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D:\BBPH\Tailieu\CSDL\"/>
    </mc:Choice>
  </mc:AlternateContent>
  <xr:revisionPtr revIDLastSave="0" documentId="13_ncr:1_{5C7001F9-4357-495D-80F9-5D9E1E7BE4FD}" xr6:coauthVersionLast="47" xr6:coauthVersionMax="47" xr10:uidLastSave="{00000000-0000-0000-0000-000000000000}"/>
  <bookViews>
    <workbookView xWindow="-120" yWindow="-120" windowWidth="29040" windowHeight="15840" activeTab="2" xr2:uid="{00000000-000D-0000-FFFF-FFFF00000000}"/>
  </bookViews>
  <sheets>
    <sheet name="Full SP" sheetId="1" r:id="rId1"/>
    <sheet name="Khách" sheetId="2" r:id="rId2"/>
    <sheet name="QC Thành phẩm" sheetId="3" r:id="rId3"/>
    <sheet name="QC Loại thùng" sheetId="5" r:id="rId4"/>
    <sheet name="QC đóng gói" sheetId="6" r:id="rId5"/>
    <sheet name="Sheet3" sheetId="4" r:id="rId6"/>
  </sheets>
  <externalReferences>
    <externalReference r:id="rId7"/>
    <externalReference r:id="rId8"/>
    <externalReference r:id="rId9"/>
    <externalReference r:id="rId10"/>
  </externalReferences>
  <definedNames>
    <definedName name="_xlnm._FilterDatabase" localSheetId="0" hidden="1">'Full SP'!$A$4:$CM$4</definedName>
    <definedName name="_xlnm._FilterDatabase" localSheetId="1" hidden="1">Khách!$C$1:$C$246</definedName>
    <definedName name="_xlnm._FilterDatabase" localSheetId="4" hidden="1">'QC đóng gói'!$C$1:$C$68</definedName>
    <definedName name="_xlnm._FilterDatabase" localSheetId="3" hidden="1">'QC Loại thùng'!$C$1:$C$27</definedName>
    <definedName name="_xlnm._FilterDatabase" localSheetId="2" hidden="1">'QC Thành phẩm'!$C$1:$C$60</definedName>
    <definedName name="_xlnm._FilterDatabase" localSheetId="5" hidden="1">Sheet3!$A$1:$A$1895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2" i="6"/>
  <c r="E3" i="5"/>
  <c r="E4" i="5"/>
  <c r="E5" i="5"/>
  <c r="E6" i="5"/>
  <c r="E7" i="5"/>
  <c r="E8" i="5"/>
  <c r="E9" i="5"/>
  <c r="E10" i="5"/>
  <c r="E11" i="5"/>
  <c r="E12" i="5"/>
  <c r="E13" i="5"/>
  <c r="E14" i="5"/>
  <c r="E15" i="5"/>
  <c r="E16" i="5"/>
  <c r="E17" i="5"/>
  <c r="E18" i="5"/>
  <c r="E19" i="5"/>
  <c r="E20" i="5"/>
  <c r="E21" i="5"/>
  <c r="E22" i="5"/>
  <c r="E23" i="5"/>
  <c r="E24" i="5"/>
  <c r="E25" i="5"/>
  <c r="E26" i="5"/>
  <c r="E27" i="5"/>
  <c r="E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2" i="3"/>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 i="2"/>
  <c r="BZ1492" i="1" l="1"/>
  <c r="BV1492" i="1"/>
  <c r="BT1492" i="1"/>
  <c r="BN1492" i="1"/>
  <c r="BL1492" i="1"/>
  <c r="BH1492" i="1"/>
  <c r="BF1492" i="1"/>
  <c r="BD1492" i="1"/>
  <c r="BZ1491" i="1"/>
  <c r="BV1491" i="1"/>
  <c r="BT1491" i="1"/>
  <c r="BN1491" i="1"/>
  <c r="BL1491" i="1"/>
  <c r="BH1491" i="1"/>
  <c r="BF1491" i="1"/>
  <c r="BD1491" i="1"/>
  <c r="BZ1490" i="1"/>
  <c r="BV1490" i="1"/>
  <c r="BT1490" i="1"/>
  <c r="BN1490" i="1"/>
  <c r="BL1490" i="1"/>
  <c r="BH1490" i="1"/>
  <c r="BF1490" i="1"/>
  <c r="BD1490" i="1"/>
  <c r="BZ1489" i="1"/>
  <c r="BV1489" i="1"/>
  <c r="BT1489" i="1"/>
  <c r="BN1489" i="1"/>
  <c r="BL1489" i="1"/>
  <c r="BH1489" i="1"/>
  <c r="BF1489" i="1"/>
  <c r="BD1489" i="1"/>
  <c r="BZ1488" i="1"/>
  <c r="BV1488" i="1"/>
  <c r="BT1488" i="1"/>
  <c r="BN1488" i="1"/>
  <c r="BL1488" i="1"/>
  <c r="BH1488" i="1"/>
  <c r="BF1488" i="1"/>
  <c r="BD1488" i="1"/>
  <c r="BZ1487" i="1"/>
  <c r="BV1487" i="1"/>
  <c r="BT1487" i="1"/>
  <c r="BN1487" i="1"/>
  <c r="BL1487" i="1"/>
  <c r="BH1487" i="1"/>
  <c r="BF1487" i="1"/>
  <c r="BD1487" i="1"/>
  <c r="BZ1486" i="1"/>
  <c r="BV1486" i="1"/>
  <c r="BT1486" i="1"/>
  <c r="BN1486" i="1"/>
  <c r="BL1486" i="1"/>
  <c r="BH1486" i="1"/>
  <c r="BF1486" i="1"/>
  <c r="BD1486" i="1"/>
  <c r="BZ1485" i="1"/>
  <c r="BV1485" i="1"/>
  <c r="BT1485" i="1"/>
  <c r="BN1485" i="1"/>
  <c r="BL1485" i="1"/>
  <c r="BH1485" i="1"/>
  <c r="BF1485" i="1"/>
  <c r="BD1485" i="1"/>
  <c r="BZ1484" i="1"/>
  <c r="BV1484" i="1"/>
  <c r="BT1484" i="1"/>
  <c r="BN1484" i="1"/>
  <c r="BL1484" i="1"/>
  <c r="BH1484" i="1"/>
  <c r="BF1484" i="1"/>
  <c r="BD1484" i="1"/>
  <c r="BZ1483" i="1"/>
  <c r="BV1483" i="1"/>
  <c r="BT1483" i="1"/>
  <c r="BN1483" i="1"/>
  <c r="BL1483" i="1"/>
  <c r="BH1483" i="1"/>
  <c r="BF1483" i="1"/>
  <c r="BD1483" i="1"/>
  <c r="BZ1482" i="1"/>
  <c r="BV1482" i="1"/>
  <c r="BT1482" i="1"/>
  <c r="BN1482" i="1"/>
  <c r="BL1482" i="1"/>
  <c r="BH1482" i="1"/>
  <c r="BF1482" i="1"/>
  <c r="BD1482" i="1"/>
  <c r="BZ1481" i="1"/>
  <c r="BV1481" i="1"/>
  <c r="BT1481" i="1"/>
  <c r="BN1481" i="1"/>
  <c r="BL1481" i="1"/>
  <c r="BH1481" i="1"/>
  <c r="BF1481" i="1"/>
  <c r="BD1481" i="1"/>
  <c r="BZ1480" i="1"/>
  <c r="BV1480" i="1"/>
  <c r="BT1480" i="1"/>
  <c r="BN1480" i="1"/>
  <c r="BL1480" i="1"/>
  <c r="BH1480" i="1"/>
  <c r="BF1480" i="1"/>
  <c r="BD1480" i="1"/>
  <c r="BZ1479" i="1"/>
  <c r="BV1479" i="1"/>
  <c r="BT1479" i="1"/>
  <c r="BN1479" i="1"/>
  <c r="BL1479" i="1"/>
  <c r="BH1479" i="1"/>
  <c r="BF1479" i="1"/>
  <c r="BD1479" i="1"/>
  <c r="BZ1478" i="1"/>
  <c r="BV1478" i="1"/>
  <c r="BT1478" i="1"/>
  <c r="BN1478" i="1"/>
  <c r="BL1478" i="1"/>
  <c r="BH1478" i="1"/>
  <c r="BF1478" i="1"/>
  <c r="BD1478" i="1"/>
  <c r="BZ1477" i="1"/>
  <c r="BV1477" i="1"/>
  <c r="BT1477" i="1"/>
  <c r="BN1477" i="1"/>
  <c r="BL1477" i="1"/>
  <c r="BH1477" i="1"/>
  <c r="BF1477" i="1"/>
  <c r="BD1477" i="1"/>
  <c r="BZ1476" i="1"/>
  <c r="BV1476" i="1"/>
  <c r="BT1476" i="1"/>
  <c r="BN1476" i="1"/>
  <c r="BL1476" i="1"/>
  <c r="BH1476" i="1"/>
  <c r="BF1476" i="1"/>
  <c r="BD1476" i="1"/>
  <c r="BZ1475" i="1"/>
  <c r="BV1475" i="1"/>
  <c r="BT1475" i="1"/>
  <c r="BN1475" i="1"/>
  <c r="BL1475" i="1"/>
  <c r="BH1475" i="1"/>
  <c r="BF1475" i="1"/>
  <c r="BD1475" i="1"/>
  <c r="BZ1474" i="1"/>
  <c r="BV1474" i="1"/>
  <c r="BT1474" i="1"/>
  <c r="BN1474" i="1"/>
  <c r="BL1474" i="1"/>
  <c r="BH1474" i="1"/>
  <c r="BF1474" i="1"/>
  <c r="BD1474" i="1"/>
  <c r="BZ1473" i="1"/>
  <c r="BV1473" i="1"/>
  <c r="BT1473" i="1"/>
  <c r="BN1473" i="1"/>
  <c r="BL1473" i="1"/>
  <c r="BH1473" i="1"/>
  <c r="BF1473" i="1"/>
  <c r="BD1473" i="1"/>
  <c r="BZ1472" i="1"/>
  <c r="BV1472" i="1"/>
  <c r="BT1472" i="1"/>
  <c r="BN1472" i="1"/>
  <c r="BL1472" i="1"/>
  <c r="BH1472" i="1"/>
  <c r="BF1472" i="1"/>
  <c r="BD1472" i="1"/>
  <c r="BZ1471" i="1"/>
  <c r="BV1471" i="1"/>
  <c r="BT1471" i="1"/>
  <c r="BN1471" i="1"/>
  <c r="BL1471" i="1"/>
  <c r="BH1471" i="1"/>
  <c r="BF1471" i="1"/>
  <c r="BD1471" i="1"/>
  <c r="BZ1470" i="1"/>
  <c r="BV1470" i="1"/>
  <c r="BT1470" i="1"/>
  <c r="BN1470" i="1"/>
  <c r="BL1470" i="1"/>
  <c r="BH1470" i="1"/>
  <c r="BF1470" i="1"/>
  <c r="BD1470" i="1"/>
  <c r="BZ1469" i="1"/>
  <c r="BV1469" i="1"/>
  <c r="BT1469" i="1"/>
  <c r="BN1469" i="1"/>
  <c r="BL1469" i="1"/>
  <c r="BH1469" i="1"/>
  <c r="BF1469" i="1"/>
  <c r="BD1469" i="1"/>
  <c r="BZ1468" i="1"/>
  <c r="BV1468" i="1"/>
  <c r="BT1468" i="1"/>
  <c r="BN1468" i="1"/>
  <c r="BL1468" i="1"/>
  <c r="BH1468" i="1"/>
  <c r="BF1468" i="1"/>
  <c r="BD1468" i="1"/>
  <c r="BZ1467" i="1"/>
  <c r="BV1467" i="1"/>
  <c r="BT1467" i="1"/>
  <c r="BN1467" i="1"/>
  <c r="BL1467" i="1"/>
  <c r="BH1467" i="1"/>
  <c r="BF1467" i="1"/>
  <c r="BD1467" i="1"/>
  <c r="BZ1466" i="1"/>
  <c r="BV1466" i="1"/>
  <c r="BT1466" i="1"/>
  <c r="BN1466" i="1"/>
  <c r="BL1466" i="1"/>
  <c r="BH1466" i="1"/>
  <c r="BF1466" i="1"/>
  <c r="BD1466" i="1"/>
  <c r="BZ1465" i="1"/>
  <c r="BV1465" i="1"/>
  <c r="BT1465" i="1"/>
  <c r="BN1465" i="1"/>
  <c r="BL1465" i="1"/>
  <c r="BH1465" i="1"/>
  <c r="BF1465" i="1"/>
  <c r="BD1465" i="1"/>
  <c r="BZ1464" i="1"/>
  <c r="BV1464" i="1"/>
  <c r="BT1464" i="1"/>
  <c r="BN1464" i="1"/>
  <c r="BL1464" i="1"/>
  <c r="BH1464" i="1"/>
  <c r="BF1464" i="1"/>
  <c r="BD1464" i="1"/>
  <c r="BZ1463" i="1"/>
  <c r="BV1463" i="1"/>
  <c r="BT1463" i="1"/>
  <c r="BN1463" i="1"/>
  <c r="BL1463" i="1"/>
  <c r="BH1463" i="1"/>
  <c r="BF1463" i="1"/>
  <c r="BD1463" i="1"/>
  <c r="BZ1462" i="1"/>
  <c r="BV1462" i="1"/>
  <c r="BT1462" i="1"/>
  <c r="BN1462" i="1"/>
  <c r="BL1462" i="1"/>
  <c r="BH1462" i="1"/>
  <c r="BF1462" i="1"/>
  <c r="BD1462" i="1"/>
  <c r="CB1457" i="1"/>
  <c r="BZ1457" i="1"/>
  <c r="BV1457" i="1"/>
  <c r="BT1457" i="1"/>
  <c r="BN1457" i="1"/>
  <c r="BL1457" i="1"/>
  <c r="BH1457" i="1"/>
  <c r="BF1457" i="1"/>
  <c r="BD1457" i="1"/>
  <c r="CB1451" i="1"/>
  <c r="BZ1451" i="1"/>
  <c r="BV1451" i="1"/>
  <c r="BT1451" i="1"/>
  <c r="BN1451" i="1"/>
  <c r="BL1451" i="1"/>
  <c r="BH1451" i="1"/>
  <c r="BF1451" i="1"/>
  <c r="BD1451" i="1"/>
  <c r="CF1425" i="1"/>
  <c r="BX1425" i="1"/>
  <c r="BF1425" i="1"/>
  <c r="BD1425" i="1"/>
  <c r="BX1424" i="1"/>
  <c r="BV1424" i="1"/>
  <c r="BL1424" i="1"/>
  <c r="BF1424" i="1"/>
  <c r="BD1424" i="1"/>
  <c r="BV1422" i="1"/>
  <c r="BT1422" i="1"/>
  <c r="BF1422" i="1"/>
  <c r="BD1422" i="1"/>
  <c r="BV1421" i="1"/>
  <c r="BT1421" i="1"/>
  <c r="BF1421" i="1"/>
  <c r="BD1421" i="1"/>
  <c r="BX1417" i="1"/>
  <c r="BF1417" i="1"/>
  <c r="BD1417" i="1"/>
  <c r="BV1416" i="1"/>
  <c r="BD1414" i="1"/>
  <c r="BD1413" i="1"/>
  <c r="BX1412" i="1"/>
  <c r="BV1412" i="1"/>
  <c r="BF1412" i="1"/>
  <c r="BD1412" i="1"/>
  <c r="BV1411" i="1"/>
  <c r="BT1411" i="1"/>
  <c r="BF1411" i="1"/>
  <c r="BD1411" i="1"/>
  <c r="CB1410" i="1"/>
  <c r="BZ1410" i="1"/>
  <c r="BV1410" i="1"/>
  <c r="BT1410" i="1"/>
  <c r="BN1410" i="1"/>
  <c r="BL1410" i="1"/>
  <c r="BH1410" i="1"/>
  <c r="BF1410" i="1"/>
  <c r="BD1410" i="1"/>
  <c r="CB1409" i="1"/>
  <c r="BZ1409" i="1"/>
  <c r="BV1409" i="1"/>
  <c r="BT1409" i="1"/>
  <c r="BN1409" i="1"/>
  <c r="BL1409" i="1"/>
  <c r="BH1409" i="1"/>
  <c r="BF1409" i="1"/>
  <c r="BD1409" i="1"/>
  <c r="BZ1401" i="1"/>
  <c r="BV1401" i="1"/>
  <c r="BN1401" i="1"/>
  <c r="BL1401" i="1"/>
  <c r="BH1401" i="1"/>
  <c r="BF1401" i="1"/>
  <c r="BD1401" i="1"/>
  <c r="BZ1400" i="1"/>
  <c r="BV1400" i="1"/>
  <c r="BN1400" i="1"/>
  <c r="BL1400" i="1"/>
  <c r="BH1400" i="1"/>
  <c r="BF1400" i="1"/>
  <c r="BD1400" i="1"/>
  <c r="BZ1397" i="1"/>
  <c r="BV1397" i="1"/>
  <c r="BN1397" i="1"/>
  <c r="BL1397" i="1"/>
  <c r="BH1397" i="1"/>
  <c r="BF1397" i="1"/>
  <c r="BD1397" i="1"/>
  <c r="BZ1396" i="1"/>
  <c r="BV1396" i="1"/>
  <c r="BN1396" i="1"/>
  <c r="BL1396" i="1"/>
  <c r="BH1396" i="1"/>
  <c r="BF1396" i="1"/>
  <c r="BD1396" i="1"/>
  <c r="BZ1395" i="1"/>
  <c r="BV1395" i="1"/>
  <c r="BN1395" i="1"/>
  <c r="BL1395" i="1"/>
  <c r="BH1395" i="1"/>
  <c r="BF1395" i="1"/>
  <c r="BD1395" i="1"/>
  <c r="BZ1394" i="1"/>
  <c r="BV1394" i="1"/>
  <c r="BN1394" i="1"/>
  <c r="BL1394" i="1"/>
  <c r="BH1394" i="1"/>
  <c r="BF1394" i="1"/>
  <c r="BD1394" i="1"/>
  <c r="BZ1393" i="1"/>
  <c r="BV1393" i="1"/>
  <c r="BN1393" i="1"/>
  <c r="BL1393" i="1"/>
  <c r="BH1393" i="1"/>
  <c r="BF1393" i="1"/>
  <c r="BD1393" i="1"/>
  <c r="BZ1392" i="1"/>
  <c r="BV1392" i="1"/>
  <c r="BN1392" i="1"/>
  <c r="BL1392" i="1"/>
  <c r="BH1392" i="1"/>
  <c r="BF1392" i="1"/>
  <c r="BD1392" i="1"/>
  <c r="BZ1391" i="1"/>
  <c r="BV1391" i="1"/>
  <c r="BN1391" i="1"/>
  <c r="BL1391" i="1"/>
  <c r="BH1391" i="1"/>
  <c r="BF1391" i="1"/>
  <c r="BD1391" i="1"/>
  <c r="BZ1390" i="1"/>
  <c r="BV1390" i="1"/>
  <c r="BN1390" i="1"/>
  <c r="BL1390" i="1"/>
  <c r="BH1390" i="1"/>
  <c r="BF1390" i="1"/>
  <c r="BD1390" i="1"/>
  <c r="CB1389" i="1"/>
  <c r="BZ1389" i="1"/>
  <c r="BV1389" i="1"/>
  <c r="BN1389" i="1"/>
  <c r="BL1389" i="1"/>
  <c r="BH1389" i="1"/>
  <c r="BF1389" i="1"/>
  <c r="BD1389" i="1"/>
  <c r="CB1388" i="1"/>
  <c r="BZ1388" i="1"/>
  <c r="BV1388" i="1"/>
  <c r="BN1388" i="1"/>
  <c r="BL1388" i="1"/>
  <c r="BH1388" i="1"/>
  <c r="BF1388" i="1"/>
  <c r="BD1388" i="1"/>
  <c r="CB1387" i="1"/>
  <c r="BZ1387" i="1"/>
  <c r="BV1387" i="1"/>
  <c r="BN1387" i="1"/>
  <c r="BL1387" i="1"/>
  <c r="BH1387" i="1"/>
  <c r="BF1387" i="1"/>
  <c r="BD1387" i="1"/>
  <c r="CB1386" i="1"/>
  <c r="BZ1386" i="1"/>
  <c r="BV1386" i="1"/>
  <c r="BN1386" i="1"/>
  <c r="BL1386" i="1"/>
  <c r="BH1386" i="1"/>
  <c r="BF1386" i="1"/>
  <c r="BD1386" i="1"/>
  <c r="CB1385" i="1"/>
  <c r="BZ1385" i="1"/>
  <c r="BV1385" i="1"/>
  <c r="BN1385" i="1"/>
  <c r="BL1385" i="1"/>
  <c r="BH1385" i="1"/>
  <c r="BF1385" i="1"/>
  <c r="BD1385" i="1"/>
  <c r="CB1384" i="1"/>
  <c r="BZ1384" i="1"/>
  <c r="BV1384" i="1"/>
  <c r="BN1384" i="1"/>
  <c r="BL1384" i="1"/>
  <c r="BH1384" i="1"/>
  <c r="BF1384" i="1"/>
  <c r="BD1384" i="1"/>
  <c r="CB1383" i="1"/>
  <c r="BZ1383" i="1"/>
  <c r="BV1383" i="1"/>
  <c r="BN1383" i="1"/>
  <c r="BL1383" i="1"/>
  <c r="BH1383" i="1"/>
  <c r="BF1383" i="1"/>
  <c r="BD1383" i="1"/>
  <c r="CB1382" i="1"/>
  <c r="BZ1382" i="1"/>
  <c r="BV1382" i="1"/>
  <c r="BN1382" i="1"/>
  <c r="BL1382" i="1"/>
  <c r="BH1382" i="1"/>
  <c r="BF1382" i="1"/>
  <c r="BD1382" i="1"/>
  <c r="CB1381" i="1"/>
  <c r="BZ1381" i="1"/>
  <c r="BV1381" i="1"/>
  <c r="BN1381" i="1"/>
  <c r="BL1381" i="1"/>
  <c r="BH1381" i="1"/>
  <c r="BF1381" i="1"/>
  <c r="BD1381" i="1"/>
  <c r="CB1380" i="1"/>
  <c r="BZ1380" i="1"/>
  <c r="BV1380" i="1"/>
  <c r="BN1380" i="1"/>
  <c r="BL1380" i="1"/>
  <c r="BH1380" i="1"/>
  <c r="BF1380" i="1"/>
  <c r="BD1380" i="1"/>
  <c r="CB1363" i="1"/>
  <c r="BZ1363" i="1"/>
  <c r="BV1363" i="1"/>
  <c r="BT1363" i="1"/>
  <c r="BN1363" i="1"/>
  <c r="BL1363" i="1"/>
  <c r="BH1363" i="1"/>
  <c r="BF1363" i="1"/>
  <c r="BD1363" i="1"/>
  <c r="CB1362" i="1"/>
  <c r="BZ1362" i="1"/>
  <c r="BV1362" i="1"/>
  <c r="BT1362" i="1"/>
  <c r="BN1362" i="1"/>
  <c r="BL1362" i="1"/>
  <c r="BH1362" i="1"/>
  <c r="BF1362" i="1"/>
  <c r="BD1362" i="1"/>
  <c r="CB1361" i="1"/>
  <c r="BZ1361" i="1"/>
  <c r="BV1361" i="1"/>
  <c r="BT1361" i="1"/>
  <c r="BN1361" i="1"/>
  <c r="BL1361" i="1"/>
  <c r="BH1361" i="1"/>
  <c r="BF1361" i="1"/>
  <c r="BD1361" i="1"/>
  <c r="CB1360" i="1"/>
  <c r="BZ1360" i="1"/>
  <c r="BV1360" i="1"/>
  <c r="BT1360" i="1"/>
  <c r="BN1360" i="1"/>
  <c r="BL1360" i="1"/>
  <c r="BH1360" i="1"/>
  <c r="BF1360" i="1"/>
  <c r="BD1360" i="1"/>
  <c r="CB1359" i="1"/>
  <c r="BZ1359" i="1"/>
  <c r="BV1359" i="1"/>
  <c r="BT1359" i="1"/>
  <c r="BN1359" i="1"/>
  <c r="BL1359" i="1"/>
  <c r="BH1359" i="1"/>
  <c r="BF1359" i="1"/>
  <c r="BD1359" i="1"/>
  <c r="CB1358" i="1"/>
  <c r="BZ1358" i="1"/>
  <c r="BV1358" i="1"/>
  <c r="BT1358" i="1"/>
  <c r="BN1358" i="1"/>
  <c r="BL1358" i="1"/>
  <c r="BH1358" i="1"/>
  <c r="BF1358" i="1"/>
  <c r="BD1358" i="1"/>
  <c r="CB1357" i="1"/>
  <c r="BZ1357" i="1"/>
  <c r="BV1357" i="1"/>
  <c r="BT1357" i="1"/>
  <c r="BN1357" i="1"/>
  <c r="BL1357" i="1"/>
  <c r="BH1357" i="1"/>
  <c r="BF1357" i="1"/>
  <c r="BD1357" i="1"/>
  <c r="CB1356" i="1"/>
  <c r="BZ1356" i="1"/>
  <c r="BV1356" i="1"/>
  <c r="BT1356" i="1"/>
  <c r="BN1356" i="1"/>
  <c r="BL1356" i="1"/>
  <c r="BH1356" i="1"/>
  <c r="BF1356" i="1"/>
  <c r="BD1356" i="1"/>
  <c r="CB1355" i="1"/>
  <c r="BZ1355" i="1"/>
  <c r="BV1355" i="1"/>
  <c r="BT1355" i="1"/>
  <c r="BN1355" i="1"/>
  <c r="BL1355" i="1"/>
  <c r="BH1355" i="1"/>
  <c r="BF1355" i="1"/>
  <c r="BD1355" i="1"/>
  <c r="CB1354" i="1"/>
  <c r="BZ1354" i="1"/>
  <c r="BV1354" i="1"/>
  <c r="BT1354" i="1"/>
  <c r="BN1354" i="1"/>
  <c r="BL1354" i="1"/>
  <c r="BH1354" i="1"/>
  <c r="BF1354" i="1"/>
  <c r="BD1354" i="1"/>
  <c r="CB1353" i="1"/>
  <c r="BZ1353" i="1"/>
  <c r="BV1353" i="1"/>
  <c r="BT1353" i="1"/>
  <c r="BN1353" i="1"/>
  <c r="BL1353" i="1"/>
  <c r="BH1353" i="1"/>
  <c r="BF1353" i="1"/>
  <c r="BD1353" i="1"/>
  <c r="CB1352" i="1"/>
  <c r="BZ1352" i="1"/>
  <c r="BV1352" i="1"/>
  <c r="BT1352" i="1"/>
  <c r="BN1352" i="1"/>
  <c r="BL1352" i="1"/>
  <c r="BH1352" i="1"/>
  <c r="BF1352" i="1"/>
  <c r="BD1352" i="1"/>
  <c r="CB1351" i="1"/>
  <c r="BZ1351" i="1"/>
  <c r="BV1351" i="1"/>
  <c r="BT1351" i="1"/>
  <c r="BN1351" i="1"/>
  <c r="BL1351" i="1"/>
  <c r="BH1351" i="1"/>
  <c r="BF1351" i="1"/>
  <c r="BD1351" i="1"/>
  <c r="CB1349" i="1"/>
  <c r="BZ1349" i="1"/>
  <c r="BV1349" i="1"/>
  <c r="BT1349" i="1"/>
  <c r="BN1349" i="1"/>
  <c r="BL1349" i="1"/>
  <c r="BH1349" i="1"/>
  <c r="BF1349" i="1"/>
  <c r="BD1349" i="1"/>
  <c r="CB1348" i="1"/>
  <c r="BZ1348" i="1"/>
  <c r="BV1348" i="1"/>
  <c r="BT1348" i="1"/>
  <c r="BN1348" i="1"/>
  <c r="BL1348" i="1"/>
  <c r="BH1348" i="1"/>
  <c r="BF1348" i="1"/>
  <c r="BD1348" i="1"/>
  <c r="CB1347" i="1"/>
  <c r="BZ1347" i="1"/>
  <c r="BV1347" i="1"/>
  <c r="BT1347" i="1"/>
  <c r="BN1347" i="1"/>
  <c r="BL1347" i="1"/>
  <c r="BH1347" i="1"/>
  <c r="BF1347" i="1"/>
  <c r="BD1347" i="1"/>
  <c r="CB1346" i="1"/>
  <c r="BZ1346" i="1"/>
  <c r="BV1346" i="1"/>
  <c r="BT1346" i="1"/>
  <c r="BN1346" i="1"/>
  <c r="BL1346" i="1"/>
  <c r="BH1346" i="1"/>
  <c r="BF1346" i="1"/>
  <c r="BD1346" i="1"/>
  <c r="CB1345" i="1"/>
  <c r="BZ1345" i="1"/>
  <c r="BV1345" i="1"/>
  <c r="BT1345" i="1"/>
  <c r="BN1345" i="1"/>
  <c r="BL1345" i="1"/>
  <c r="BH1345" i="1"/>
  <c r="BF1345" i="1"/>
  <c r="BD1345" i="1"/>
  <c r="CB1344" i="1"/>
  <c r="BZ1344" i="1"/>
  <c r="BV1344" i="1"/>
  <c r="BT1344" i="1"/>
  <c r="BN1344" i="1"/>
  <c r="BL1344" i="1"/>
  <c r="BH1344" i="1"/>
  <c r="BF1344" i="1"/>
  <c r="BD1344" i="1"/>
  <c r="CB1343" i="1"/>
  <c r="BZ1343" i="1"/>
  <c r="BV1343" i="1"/>
  <c r="BT1343" i="1"/>
  <c r="BN1343" i="1"/>
  <c r="BL1343" i="1"/>
  <c r="BH1343" i="1"/>
  <c r="BF1343" i="1"/>
  <c r="BD1343" i="1"/>
  <c r="CB1342" i="1"/>
  <c r="BZ1342" i="1"/>
  <c r="BV1342" i="1"/>
  <c r="BT1342" i="1"/>
  <c r="BN1342" i="1"/>
  <c r="BL1342" i="1"/>
  <c r="BH1342" i="1"/>
  <c r="BF1342" i="1"/>
  <c r="BD1342" i="1"/>
  <c r="CB1341" i="1"/>
  <c r="BZ1341" i="1"/>
  <c r="BV1341" i="1"/>
  <c r="BT1341" i="1"/>
  <c r="BN1341" i="1"/>
  <c r="BL1341" i="1"/>
  <c r="BH1341" i="1"/>
  <c r="BF1341" i="1"/>
  <c r="BD1341" i="1"/>
  <c r="CB1340" i="1"/>
  <c r="BZ1340" i="1"/>
  <c r="BV1340" i="1"/>
  <c r="BT1340" i="1"/>
  <c r="BN1340" i="1"/>
  <c r="BL1340" i="1"/>
  <c r="BH1340" i="1"/>
  <c r="BF1340" i="1"/>
  <c r="BD1340" i="1"/>
  <c r="CB1339" i="1"/>
  <c r="BZ1339" i="1"/>
  <c r="BV1339" i="1"/>
  <c r="BT1339" i="1"/>
  <c r="BN1339" i="1"/>
  <c r="BL1339" i="1"/>
  <c r="BH1339" i="1"/>
  <c r="BF1339" i="1"/>
  <c r="BD1339" i="1"/>
  <c r="CB1338" i="1"/>
  <c r="BZ1338" i="1"/>
  <c r="BV1338" i="1"/>
  <c r="BT1338" i="1"/>
  <c r="BN1338" i="1"/>
  <c r="BL1338" i="1"/>
  <c r="BH1338" i="1"/>
  <c r="BF1338" i="1"/>
  <c r="BD1338" i="1"/>
  <c r="CB1337" i="1"/>
  <c r="BZ1337" i="1"/>
  <c r="BV1337" i="1"/>
  <c r="BT1337" i="1"/>
  <c r="BN1337" i="1"/>
  <c r="BL1337" i="1"/>
  <c r="BH1337" i="1"/>
  <c r="BF1337" i="1"/>
  <c r="BD1337" i="1"/>
  <c r="CB1335" i="1"/>
  <c r="BZ1335" i="1"/>
  <c r="BV1335" i="1"/>
  <c r="BT1335" i="1"/>
  <c r="BN1335" i="1"/>
  <c r="BL1335" i="1"/>
  <c r="BH1335" i="1"/>
  <c r="BF1335" i="1"/>
  <c r="BD1335" i="1"/>
  <c r="CB1334" i="1"/>
  <c r="BZ1334" i="1"/>
  <c r="BV1334" i="1"/>
  <c r="BT1334" i="1"/>
  <c r="BN1334" i="1"/>
  <c r="BL1334" i="1"/>
  <c r="BH1334" i="1"/>
  <c r="BF1334" i="1"/>
  <c r="BD1334" i="1"/>
  <c r="CB1333" i="1"/>
  <c r="BZ1333" i="1"/>
  <c r="BV1333" i="1"/>
  <c r="BT1333" i="1"/>
  <c r="BN1333" i="1"/>
  <c r="BL1333" i="1"/>
  <c r="BH1333" i="1"/>
  <c r="BF1333" i="1"/>
  <c r="BD1333" i="1"/>
  <c r="CB1332" i="1"/>
  <c r="BZ1332" i="1"/>
  <c r="BV1332" i="1"/>
  <c r="BT1332" i="1"/>
  <c r="BN1332" i="1"/>
  <c r="BL1332" i="1"/>
  <c r="BH1332" i="1"/>
  <c r="BF1332" i="1"/>
  <c r="BD1332" i="1"/>
  <c r="CB1331" i="1"/>
  <c r="BZ1331" i="1"/>
  <c r="BV1331" i="1"/>
  <c r="BT1331" i="1"/>
  <c r="BN1331" i="1"/>
  <c r="BL1331" i="1"/>
  <c r="BH1331" i="1"/>
  <c r="BF1331" i="1"/>
  <c r="BD1331" i="1"/>
  <c r="CB1330" i="1"/>
  <c r="BZ1330" i="1"/>
  <c r="BV1330" i="1"/>
  <c r="BT1330" i="1"/>
  <c r="BN1330" i="1"/>
  <c r="BL1330" i="1"/>
  <c r="BH1330" i="1"/>
  <c r="BF1330" i="1"/>
  <c r="BD1330" i="1"/>
  <c r="CB1329" i="1"/>
  <c r="BZ1329" i="1"/>
  <c r="BV1329" i="1"/>
  <c r="BT1329" i="1"/>
  <c r="BN1329" i="1"/>
  <c r="BL1329" i="1"/>
  <c r="BH1329" i="1"/>
  <c r="BF1329" i="1"/>
  <c r="BD1329" i="1"/>
  <c r="CB1328" i="1"/>
  <c r="BZ1328" i="1"/>
  <c r="BV1328" i="1"/>
  <c r="BT1328" i="1"/>
  <c r="BN1328" i="1"/>
  <c r="BL1328" i="1"/>
  <c r="BH1328" i="1"/>
  <c r="BF1328" i="1"/>
  <c r="BD1328" i="1"/>
  <c r="CB1327" i="1"/>
  <c r="BZ1327" i="1"/>
  <c r="BV1327" i="1"/>
  <c r="BT1327" i="1"/>
  <c r="BN1327" i="1"/>
  <c r="BL1327" i="1"/>
  <c r="BH1327" i="1"/>
  <c r="BF1327" i="1"/>
  <c r="BD1327" i="1"/>
  <c r="CB1326" i="1"/>
  <c r="BZ1326" i="1"/>
  <c r="BV1326" i="1"/>
  <c r="BT1326" i="1"/>
  <c r="BN1326" i="1"/>
  <c r="BL1326" i="1"/>
  <c r="BH1326" i="1"/>
  <c r="BF1326" i="1"/>
  <c r="BD1326" i="1"/>
  <c r="CB1325" i="1"/>
  <c r="BZ1325" i="1"/>
  <c r="BV1325" i="1"/>
  <c r="BT1325" i="1"/>
  <c r="BN1325" i="1"/>
  <c r="BL1325" i="1"/>
  <c r="BH1325" i="1"/>
  <c r="BF1325" i="1"/>
  <c r="BD1325" i="1"/>
  <c r="CB1324" i="1"/>
  <c r="BZ1324" i="1"/>
  <c r="BV1324" i="1"/>
  <c r="BT1324" i="1"/>
  <c r="BN1324" i="1"/>
  <c r="BL1324" i="1"/>
  <c r="BH1324" i="1"/>
  <c r="BF1324" i="1"/>
  <c r="BD1324" i="1"/>
  <c r="CB1323" i="1"/>
  <c r="BZ1323" i="1"/>
  <c r="BV1323" i="1"/>
  <c r="BT1323" i="1"/>
  <c r="BN1323" i="1"/>
  <c r="BL1323" i="1"/>
  <c r="BH1323" i="1"/>
  <c r="BF1323" i="1"/>
  <c r="BD1323" i="1"/>
  <c r="CB1322" i="1"/>
  <c r="BZ1322" i="1"/>
  <c r="BV1322" i="1"/>
  <c r="BT1322" i="1"/>
  <c r="BN1322" i="1"/>
  <c r="BL1322" i="1"/>
  <c r="BH1322" i="1"/>
  <c r="BF1322" i="1"/>
  <c r="BD1322" i="1"/>
  <c r="CB1321" i="1"/>
  <c r="BZ1321" i="1"/>
  <c r="BV1321" i="1"/>
  <c r="BT1321" i="1"/>
  <c r="BN1321" i="1"/>
  <c r="BL1321" i="1"/>
  <c r="BH1321" i="1"/>
  <c r="BF1321" i="1"/>
  <c r="BD1321" i="1"/>
  <c r="CB1320" i="1"/>
  <c r="BZ1320" i="1"/>
  <c r="BV1320" i="1"/>
  <c r="BT1320" i="1"/>
  <c r="BN1320" i="1"/>
  <c r="BL1320" i="1"/>
  <c r="BH1320" i="1"/>
  <c r="BF1320" i="1"/>
  <c r="BD1320" i="1"/>
  <c r="CB1319" i="1"/>
  <c r="BZ1319" i="1"/>
  <c r="BV1319" i="1"/>
  <c r="BT1319" i="1"/>
  <c r="BN1319" i="1"/>
  <c r="BL1319" i="1"/>
  <c r="BH1319" i="1"/>
  <c r="BF1319" i="1"/>
  <c r="BD1319" i="1"/>
  <c r="CB1318" i="1"/>
  <c r="BZ1318" i="1"/>
  <c r="BV1318" i="1"/>
  <c r="BT1318" i="1"/>
  <c r="BN1318" i="1"/>
  <c r="BL1318" i="1"/>
  <c r="BH1318" i="1"/>
  <c r="BF1318" i="1"/>
  <c r="BD1318" i="1"/>
  <c r="CB1317" i="1"/>
  <c r="BZ1317" i="1"/>
  <c r="BV1317" i="1"/>
  <c r="BT1317" i="1"/>
  <c r="BN1317" i="1"/>
  <c r="BL1317" i="1"/>
  <c r="BH1317" i="1"/>
  <c r="BF1317" i="1"/>
  <c r="BD1317" i="1"/>
  <c r="CB1316" i="1"/>
  <c r="BZ1316" i="1"/>
  <c r="BV1316" i="1"/>
  <c r="BT1316" i="1"/>
  <c r="BN1316" i="1"/>
  <c r="BL1316" i="1"/>
  <c r="BH1316" i="1"/>
  <c r="BF1316" i="1"/>
  <c r="BD1316" i="1"/>
  <c r="CB1315" i="1"/>
  <c r="BZ1315" i="1"/>
  <c r="BV1315" i="1"/>
  <c r="BT1315" i="1"/>
  <c r="BN1315" i="1"/>
  <c r="BL1315" i="1"/>
  <c r="BH1315" i="1"/>
  <c r="BF1315" i="1"/>
  <c r="BD1315" i="1"/>
  <c r="CB1314" i="1"/>
  <c r="BZ1314" i="1"/>
  <c r="BV1314" i="1"/>
  <c r="BT1314" i="1"/>
  <c r="BN1314" i="1"/>
  <c r="BL1314" i="1"/>
  <c r="BH1314" i="1"/>
  <c r="BF1314" i="1"/>
  <c r="BD1314" i="1"/>
  <c r="CB1313" i="1"/>
  <c r="BZ1313" i="1"/>
  <c r="BV1313" i="1"/>
  <c r="BT1313" i="1"/>
  <c r="BN1313" i="1"/>
  <c r="BL1313" i="1"/>
  <c r="BH1313" i="1"/>
  <c r="BF1313" i="1"/>
  <c r="BD1313" i="1"/>
  <c r="CB1312" i="1"/>
  <c r="BZ1312" i="1"/>
  <c r="BV1312" i="1"/>
  <c r="BT1312" i="1"/>
  <c r="BN1312" i="1"/>
  <c r="BL1312" i="1"/>
  <c r="BH1312" i="1"/>
  <c r="BF1312" i="1"/>
  <c r="BD1312" i="1"/>
  <c r="CB1311" i="1"/>
  <c r="BZ1311" i="1"/>
  <c r="BV1311" i="1"/>
  <c r="BT1311" i="1"/>
  <c r="BN1311" i="1"/>
  <c r="BL1311" i="1"/>
  <c r="BH1311" i="1"/>
  <c r="BF1311" i="1"/>
  <c r="BD1311" i="1"/>
  <c r="CB1310" i="1"/>
  <c r="BZ1310" i="1"/>
  <c r="BV1310" i="1"/>
  <c r="BT1310" i="1"/>
  <c r="BN1310" i="1"/>
  <c r="BL1310" i="1"/>
  <c r="BH1310" i="1"/>
  <c r="BF1310" i="1"/>
  <c r="BD1310" i="1"/>
  <c r="AH1177" i="1"/>
  <c r="AH1176" i="1"/>
  <c r="AH1175" i="1"/>
  <c r="AH1174" i="1"/>
  <c r="AH1173" i="1"/>
  <c r="AH1171" i="1"/>
  <c r="AH1170" i="1"/>
  <c r="AH1169" i="1"/>
  <c r="AH1168" i="1"/>
  <c r="AH1167" i="1"/>
  <c r="AH1166" i="1"/>
  <c r="AH1165" i="1"/>
  <c r="AH1164" i="1"/>
  <c r="AH1163" i="1"/>
  <c r="AH1162" i="1"/>
  <c r="AZ1161" i="1"/>
  <c r="AY1161" i="1"/>
  <c r="AX1161" i="1"/>
  <c r="AW1161" i="1"/>
  <c r="AV1161" i="1"/>
  <c r="AU1161" i="1"/>
  <c r="AT1161" i="1"/>
  <c r="AS1161" i="1"/>
  <c r="AR1161" i="1"/>
  <c r="AQ1161" i="1"/>
  <c r="AP1161" i="1"/>
  <c r="AI1161" i="1"/>
  <c r="AH1161" i="1"/>
  <c r="AG1161" i="1"/>
  <c r="W1161" i="1"/>
  <c r="V1161" i="1"/>
  <c r="U1161" i="1"/>
  <c r="T1161" i="1"/>
  <c r="S1161" i="1"/>
  <c r="R1161" i="1"/>
  <c r="Q1161" i="1"/>
  <c r="P1161" i="1"/>
  <c r="O1161" i="1"/>
  <c r="N1161" i="1"/>
  <c r="M1161" i="1"/>
  <c r="L1161" i="1"/>
  <c r="K1161" i="1"/>
  <c r="J1161" i="1"/>
  <c r="I1161" i="1"/>
  <c r="H1161" i="1"/>
  <c r="AH1160" i="1"/>
  <c r="AG1160" i="1"/>
  <c r="W1160" i="1"/>
  <c r="V1160" i="1"/>
  <c r="U1160" i="1"/>
  <c r="T1160" i="1"/>
  <c r="S1160" i="1"/>
  <c r="R1160" i="1"/>
  <c r="Q1160" i="1"/>
  <c r="P1160" i="1"/>
  <c r="O1160" i="1"/>
  <c r="N1160" i="1"/>
  <c r="M1160" i="1"/>
  <c r="L1160" i="1"/>
  <c r="K1160" i="1"/>
  <c r="J1160" i="1"/>
  <c r="I1160" i="1"/>
  <c r="H1160" i="1"/>
  <c r="AH1159" i="1"/>
  <c r="AG1159" i="1"/>
  <c r="W1159" i="1"/>
  <c r="V1159" i="1"/>
  <c r="U1159" i="1"/>
  <c r="T1159" i="1"/>
  <c r="S1159" i="1"/>
  <c r="R1159" i="1"/>
  <c r="Q1159" i="1"/>
  <c r="P1159" i="1"/>
  <c r="O1159" i="1"/>
  <c r="N1159" i="1"/>
  <c r="M1159" i="1"/>
  <c r="L1159" i="1"/>
  <c r="K1159" i="1"/>
  <c r="J1159" i="1"/>
  <c r="I1159" i="1"/>
  <c r="H1159" i="1"/>
  <c r="AH1125" i="1"/>
  <c r="AH1124" i="1"/>
  <c r="AI1120" i="1"/>
  <c r="AH1120" i="1"/>
  <c r="AG1120" i="1"/>
  <c r="AI1119" i="1"/>
  <c r="AH1119" i="1"/>
  <c r="AG1119" i="1"/>
  <c r="AH1118" i="1"/>
  <c r="AG1118" i="1"/>
  <c r="AH1117" i="1"/>
  <c r="AG1117" i="1"/>
  <c r="AI1116" i="1"/>
  <c r="AH1116" i="1"/>
  <c r="AG1116" i="1"/>
  <c r="AI1113" i="1"/>
  <c r="AH1113" i="1"/>
  <c r="AG1113" i="1"/>
  <c r="AH1112" i="1"/>
  <c r="J1112" i="1"/>
  <c r="I1112" i="1"/>
  <c r="H1112" i="1"/>
  <c r="AI1111" i="1"/>
  <c r="AH1111" i="1"/>
  <c r="AG1111" i="1"/>
  <c r="AI1110" i="1"/>
  <c r="AH1110" i="1"/>
  <c r="AG1110" i="1"/>
  <c r="AI1109" i="1"/>
  <c r="AH1109" i="1"/>
  <c r="AG1109" i="1"/>
  <c r="AI1108" i="1"/>
  <c r="AH1108" i="1"/>
  <c r="AG1108" i="1"/>
  <c r="AI1107" i="1"/>
  <c r="AH1107" i="1"/>
  <c r="AG1107" i="1"/>
  <c r="AH1106" i="1"/>
  <c r="AG1106" i="1"/>
  <c r="AI1105" i="1"/>
  <c r="AH1105" i="1"/>
  <c r="AG1105" i="1"/>
  <c r="AI1104" i="1"/>
  <c r="AH1104" i="1"/>
  <c r="AG1104" i="1"/>
  <c r="W1104" i="1"/>
  <c r="V1104" i="1"/>
  <c r="U1104" i="1"/>
  <c r="T1104" i="1"/>
  <c r="S1104" i="1"/>
  <c r="R1104" i="1"/>
  <c r="Q1104" i="1"/>
  <c r="P1104" i="1"/>
  <c r="O1104" i="1"/>
  <c r="N1104" i="1"/>
  <c r="M1104" i="1"/>
  <c r="L1104" i="1"/>
  <c r="K1104" i="1"/>
  <c r="J1104" i="1"/>
  <c r="I1104" i="1"/>
  <c r="H1104" i="1"/>
  <c r="W1103" i="1"/>
  <c r="V1103" i="1"/>
  <c r="U1103" i="1"/>
  <c r="T1103" i="1"/>
  <c r="S1103" i="1"/>
  <c r="R1103" i="1"/>
  <c r="Q1103" i="1"/>
  <c r="P1103" i="1"/>
  <c r="O1103" i="1"/>
  <c r="N1103" i="1"/>
  <c r="M1103" i="1"/>
  <c r="L1103" i="1"/>
  <c r="K1103" i="1"/>
  <c r="J1103" i="1"/>
  <c r="I1103" i="1"/>
  <c r="H1103" i="1"/>
  <c r="W1102" i="1"/>
  <c r="V1102" i="1"/>
  <c r="U1102" i="1"/>
  <c r="T1102" i="1"/>
  <c r="S1102" i="1"/>
  <c r="R1102" i="1"/>
  <c r="Q1102" i="1"/>
  <c r="P1102" i="1"/>
  <c r="O1102" i="1"/>
  <c r="N1102" i="1"/>
  <c r="M1102" i="1"/>
  <c r="L1102" i="1"/>
  <c r="K1102" i="1"/>
  <c r="J1102" i="1"/>
  <c r="I1102" i="1"/>
  <c r="H1102" i="1"/>
  <c r="AI1101" i="1"/>
  <c r="AH1101" i="1"/>
  <c r="AG1101" i="1"/>
  <c r="W1101" i="1"/>
  <c r="V1101" i="1"/>
  <c r="U1101" i="1"/>
  <c r="T1101" i="1"/>
  <c r="S1101" i="1"/>
  <c r="R1101" i="1"/>
  <c r="Q1101" i="1"/>
  <c r="P1101" i="1"/>
  <c r="O1101" i="1"/>
  <c r="N1101" i="1"/>
  <c r="M1101" i="1"/>
  <c r="L1101" i="1"/>
  <c r="K1101" i="1"/>
  <c r="J1101" i="1"/>
  <c r="I1101" i="1"/>
  <c r="H1101" i="1"/>
  <c r="AH1100" i="1"/>
  <c r="AG1100" i="1"/>
  <c r="W1100" i="1"/>
  <c r="V1100" i="1"/>
  <c r="U1100" i="1"/>
  <c r="T1100" i="1"/>
  <c r="S1100" i="1"/>
  <c r="R1100" i="1"/>
  <c r="Q1100" i="1"/>
  <c r="P1100" i="1"/>
  <c r="O1100" i="1"/>
  <c r="N1100" i="1"/>
  <c r="M1100" i="1"/>
  <c r="L1100" i="1"/>
  <c r="K1100" i="1"/>
  <c r="J1100" i="1"/>
  <c r="I1100" i="1"/>
  <c r="H1100" i="1"/>
  <c r="AH1099" i="1"/>
  <c r="W1099" i="1"/>
  <c r="V1099" i="1"/>
  <c r="U1099" i="1"/>
  <c r="T1099" i="1"/>
  <c r="S1099" i="1"/>
  <c r="R1099" i="1"/>
  <c r="Q1099" i="1"/>
  <c r="P1099" i="1"/>
  <c r="O1099" i="1"/>
  <c r="N1099" i="1"/>
  <c r="M1099" i="1"/>
  <c r="L1099" i="1"/>
  <c r="K1099" i="1"/>
  <c r="J1099" i="1"/>
  <c r="I1099" i="1"/>
  <c r="H1099" i="1"/>
  <c r="W1098" i="1"/>
  <c r="V1098" i="1"/>
  <c r="U1098" i="1"/>
  <c r="T1098" i="1"/>
  <c r="S1098" i="1"/>
  <c r="R1098" i="1"/>
  <c r="Q1098" i="1"/>
  <c r="P1098" i="1"/>
  <c r="O1098" i="1"/>
  <c r="N1098" i="1"/>
  <c r="M1098" i="1"/>
  <c r="L1098" i="1"/>
  <c r="K1098" i="1"/>
  <c r="J1098" i="1"/>
  <c r="I1098" i="1"/>
  <c r="H1098" i="1"/>
  <c r="AI1097" i="1"/>
  <c r="AH1097" i="1"/>
  <c r="AG1097" i="1"/>
  <c r="AI1096" i="1"/>
  <c r="AH1096" i="1"/>
  <c r="AG1096" i="1"/>
  <c r="W1096" i="1"/>
  <c r="V1096" i="1"/>
  <c r="U1096" i="1"/>
  <c r="T1096" i="1"/>
  <c r="S1096" i="1"/>
  <c r="R1096" i="1"/>
  <c r="Q1096" i="1"/>
  <c r="P1096" i="1"/>
  <c r="O1096" i="1"/>
  <c r="N1096" i="1"/>
  <c r="M1096" i="1"/>
  <c r="L1096" i="1"/>
  <c r="K1096" i="1"/>
  <c r="J1096" i="1"/>
  <c r="I1096" i="1"/>
  <c r="H1096" i="1"/>
  <c r="W1095" i="1"/>
  <c r="V1095" i="1"/>
  <c r="U1095" i="1"/>
  <c r="T1095" i="1"/>
  <c r="S1095" i="1"/>
  <c r="R1095" i="1"/>
  <c r="Q1095" i="1"/>
  <c r="P1095" i="1"/>
  <c r="O1095" i="1"/>
  <c r="N1095" i="1"/>
  <c r="M1095" i="1"/>
  <c r="L1095" i="1"/>
  <c r="K1095" i="1"/>
  <c r="J1095" i="1"/>
  <c r="I1095" i="1"/>
  <c r="H1095" i="1"/>
  <c r="AH1094" i="1"/>
  <c r="AG1094" i="1"/>
  <c r="W1094" i="1"/>
  <c r="V1094" i="1"/>
  <c r="U1094" i="1"/>
  <c r="T1094" i="1"/>
  <c r="S1094" i="1"/>
  <c r="R1094" i="1"/>
  <c r="Q1094" i="1"/>
  <c r="P1094" i="1"/>
  <c r="O1094" i="1"/>
  <c r="N1094" i="1"/>
  <c r="M1094" i="1"/>
  <c r="L1094" i="1"/>
  <c r="K1094" i="1"/>
  <c r="J1094" i="1"/>
  <c r="I1094" i="1"/>
  <c r="H1094" i="1"/>
  <c r="W1093" i="1"/>
  <c r="V1093" i="1"/>
  <c r="U1093" i="1"/>
  <c r="T1093" i="1"/>
  <c r="S1093" i="1"/>
  <c r="R1093" i="1"/>
  <c r="Q1093" i="1"/>
  <c r="P1093" i="1"/>
  <c r="O1093" i="1"/>
  <c r="N1093" i="1"/>
  <c r="M1093" i="1"/>
  <c r="L1093" i="1"/>
  <c r="K1093" i="1"/>
  <c r="J1093" i="1"/>
  <c r="I1093" i="1"/>
  <c r="H1093" i="1"/>
  <c r="W1092" i="1"/>
  <c r="V1092" i="1"/>
  <c r="U1092" i="1"/>
  <c r="T1092" i="1"/>
  <c r="S1092" i="1"/>
  <c r="R1092" i="1"/>
  <c r="Q1092" i="1"/>
  <c r="P1092" i="1"/>
  <c r="O1092" i="1"/>
  <c r="N1092" i="1"/>
  <c r="M1092" i="1"/>
  <c r="L1092" i="1"/>
  <c r="K1092" i="1"/>
  <c r="J1092" i="1"/>
  <c r="I1092" i="1"/>
  <c r="H1092" i="1"/>
  <c r="AI1091" i="1"/>
  <c r="AH1091" i="1"/>
  <c r="AG1091" i="1"/>
  <c r="W1091" i="1"/>
  <c r="V1091" i="1"/>
  <c r="U1091" i="1"/>
  <c r="T1091" i="1"/>
  <c r="S1091" i="1"/>
  <c r="R1091" i="1"/>
  <c r="Q1091" i="1"/>
  <c r="P1091" i="1"/>
  <c r="O1091" i="1"/>
  <c r="N1091" i="1"/>
  <c r="M1091" i="1"/>
  <c r="L1091" i="1"/>
  <c r="K1091" i="1"/>
  <c r="J1091" i="1"/>
  <c r="I1091" i="1"/>
  <c r="H1091" i="1"/>
  <c r="AH1090" i="1"/>
  <c r="AG1090" i="1"/>
  <c r="W1090" i="1"/>
  <c r="V1090" i="1"/>
  <c r="U1090" i="1"/>
  <c r="T1090" i="1"/>
  <c r="S1090" i="1"/>
  <c r="R1090" i="1"/>
  <c r="Q1090" i="1"/>
  <c r="P1090" i="1"/>
  <c r="O1090" i="1"/>
  <c r="N1090" i="1"/>
  <c r="M1090" i="1"/>
  <c r="L1090" i="1"/>
  <c r="K1090" i="1"/>
  <c r="J1090" i="1"/>
  <c r="I1090" i="1"/>
  <c r="H1090" i="1"/>
  <c r="AI1089" i="1"/>
  <c r="AH1089" i="1"/>
  <c r="AG1089" i="1"/>
  <c r="W1089" i="1"/>
  <c r="V1089" i="1"/>
  <c r="U1089" i="1"/>
  <c r="T1089" i="1"/>
  <c r="S1089" i="1"/>
  <c r="R1089" i="1"/>
  <c r="Q1089" i="1"/>
  <c r="P1089" i="1"/>
  <c r="O1089" i="1"/>
  <c r="N1089" i="1"/>
  <c r="M1089" i="1"/>
  <c r="L1089" i="1"/>
  <c r="K1089" i="1"/>
  <c r="J1089" i="1"/>
  <c r="I1089" i="1"/>
  <c r="H1089" i="1"/>
  <c r="AH1088" i="1"/>
  <c r="AG1088" i="1"/>
  <c r="W1088" i="1"/>
  <c r="V1088" i="1"/>
  <c r="U1088" i="1"/>
  <c r="T1088" i="1"/>
  <c r="S1088" i="1"/>
  <c r="R1088" i="1"/>
  <c r="Q1088" i="1"/>
  <c r="P1088" i="1"/>
  <c r="O1088" i="1"/>
  <c r="N1088" i="1"/>
  <c r="M1088" i="1"/>
  <c r="L1088" i="1"/>
  <c r="K1088" i="1"/>
  <c r="J1088" i="1"/>
  <c r="I1088" i="1"/>
  <c r="H1088" i="1"/>
  <c r="AH1087" i="1"/>
  <c r="AG1087" i="1"/>
  <c r="W1087" i="1"/>
  <c r="V1087" i="1"/>
  <c r="U1087" i="1"/>
  <c r="T1087" i="1"/>
  <c r="S1087" i="1"/>
  <c r="R1087" i="1"/>
  <c r="Q1087" i="1"/>
  <c r="P1087" i="1"/>
  <c r="O1087" i="1"/>
  <c r="N1087" i="1"/>
  <c r="M1087" i="1"/>
  <c r="L1087" i="1"/>
  <c r="K1087" i="1"/>
  <c r="J1087" i="1"/>
  <c r="I1087" i="1"/>
  <c r="H1087" i="1"/>
  <c r="W1086" i="1"/>
  <c r="V1086" i="1"/>
  <c r="U1086" i="1"/>
  <c r="T1086" i="1"/>
  <c r="S1086" i="1"/>
  <c r="R1086" i="1"/>
  <c r="Q1086" i="1"/>
  <c r="P1086" i="1"/>
  <c r="O1086" i="1"/>
  <c r="N1086" i="1"/>
  <c r="M1086" i="1"/>
  <c r="L1086" i="1"/>
  <c r="K1086" i="1"/>
  <c r="J1086" i="1"/>
  <c r="I1086" i="1"/>
  <c r="H1086" i="1"/>
  <c r="AI1085" i="1"/>
  <c r="AH1085" i="1"/>
  <c r="AG1085" i="1"/>
  <c r="W1085" i="1"/>
  <c r="V1085" i="1"/>
  <c r="U1085" i="1"/>
  <c r="T1085" i="1"/>
  <c r="S1085" i="1"/>
  <c r="R1085" i="1"/>
  <c r="Q1085" i="1"/>
  <c r="P1085" i="1"/>
  <c r="O1085" i="1"/>
  <c r="N1085" i="1"/>
  <c r="M1085" i="1"/>
  <c r="L1085" i="1"/>
  <c r="K1085" i="1"/>
  <c r="J1085" i="1"/>
  <c r="I1085" i="1"/>
  <c r="H1085" i="1"/>
  <c r="AI1084" i="1"/>
  <c r="AH1084" i="1"/>
  <c r="AG1084" i="1"/>
  <c r="W1084" i="1"/>
  <c r="V1084" i="1"/>
  <c r="U1084" i="1"/>
  <c r="T1084" i="1"/>
  <c r="S1084" i="1"/>
  <c r="R1084" i="1"/>
  <c r="Q1084" i="1"/>
  <c r="P1084" i="1"/>
  <c r="O1084" i="1"/>
  <c r="N1084" i="1"/>
  <c r="M1084" i="1"/>
  <c r="L1084" i="1"/>
  <c r="K1084" i="1"/>
  <c r="J1084" i="1"/>
  <c r="I1084" i="1"/>
  <c r="H1084" i="1"/>
  <c r="AH1083" i="1"/>
  <c r="AG1083" i="1"/>
  <c r="W1083" i="1"/>
  <c r="V1083" i="1"/>
  <c r="U1083" i="1"/>
  <c r="T1083" i="1"/>
  <c r="S1083" i="1"/>
  <c r="R1083" i="1"/>
  <c r="Q1083" i="1"/>
  <c r="P1083" i="1"/>
  <c r="O1083" i="1"/>
  <c r="N1083" i="1"/>
  <c r="M1083" i="1"/>
  <c r="L1083" i="1"/>
  <c r="K1083" i="1"/>
  <c r="J1083" i="1"/>
  <c r="I1083" i="1"/>
  <c r="H1083" i="1"/>
  <c r="AH1082" i="1"/>
  <c r="AG1082" i="1"/>
  <c r="W1082" i="1"/>
  <c r="V1082" i="1"/>
  <c r="U1082" i="1"/>
  <c r="T1082" i="1"/>
  <c r="S1082" i="1"/>
  <c r="R1082" i="1"/>
  <c r="Q1082" i="1"/>
  <c r="P1082" i="1"/>
  <c r="O1082" i="1"/>
  <c r="N1082" i="1"/>
  <c r="M1082" i="1"/>
  <c r="L1082" i="1"/>
  <c r="K1082" i="1"/>
  <c r="J1082" i="1"/>
  <c r="I1082" i="1"/>
  <c r="H1082" i="1"/>
  <c r="AI1081" i="1"/>
  <c r="AH1081" i="1"/>
  <c r="AG1081" i="1"/>
  <c r="W1081" i="1"/>
  <c r="V1081" i="1"/>
  <c r="U1081" i="1"/>
  <c r="T1081" i="1"/>
  <c r="S1081" i="1"/>
  <c r="R1081" i="1"/>
  <c r="Q1081" i="1"/>
  <c r="P1081" i="1"/>
  <c r="O1081" i="1"/>
  <c r="N1081" i="1"/>
  <c r="M1081" i="1"/>
  <c r="L1081" i="1"/>
  <c r="K1081" i="1"/>
  <c r="J1081" i="1"/>
  <c r="I1081" i="1"/>
  <c r="H1081" i="1"/>
  <c r="AH1080" i="1"/>
  <c r="AG1080" i="1"/>
  <c r="W1080" i="1"/>
  <c r="V1080" i="1"/>
  <c r="U1080" i="1"/>
  <c r="T1080" i="1"/>
  <c r="S1080" i="1"/>
  <c r="R1080" i="1"/>
  <c r="Q1080" i="1"/>
  <c r="P1080" i="1"/>
  <c r="O1080" i="1"/>
  <c r="N1080" i="1"/>
  <c r="M1080" i="1"/>
  <c r="L1080" i="1"/>
  <c r="K1080" i="1"/>
  <c r="J1080" i="1"/>
  <c r="I1080" i="1"/>
  <c r="H1080" i="1"/>
  <c r="AI1079" i="1"/>
  <c r="AH1079" i="1"/>
  <c r="AG1079" i="1"/>
  <c r="W1079" i="1"/>
  <c r="V1079" i="1"/>
  <c r="U1079" i="1"/>
  <c r="T1079" i="1"/>
  <c r="S1079" i="1"/>
  <c r="R1079" i="1"/>
  <c r="Q1079" i="1"/>
  <c r="P1079" i="1"/>
  <c r="O1079" i="1"/>
  <c r="N1079" i="1"/>
  <c r="M1079" i="1"/>
  <c r="L1079" i="1"/>
  <c r="K1079" i="1"/>
  <c r="J1079" i="1"/>
  <c r="I1079" i="1"/>
  <c r="H1079" i="1"/>
  <c r="AI1078" i="1"/>
  <c r="AH1078" i="1"/>
  <c r="AG1078" i="1"/>
  <c r="W1078" i="1"/>
  <c r="V1078" i="1"/>
  <c r="U1078" i="1"/>
  <c r="T1078" i="1"/>
  <c r="S1078" i="1"/>
  <c r="R1078" i="1"/>
  <c r="Q1078" i="1"/>
  <c r="P1078" i="1"/>
  <c r="O1078" i="1"/>
  <c r="N1078" i="1"/>
  <c r="M1078" i="1"/>
  <c r="L1078" i="1"/>
  <c r="K1078" i="1"/>
  <c r="J1078" i="1"/>
  <c r="I1078" i="1"/>
  <c r="H1078" i="1"/>
  <c r="AH1077" i="1"/>
  <c r="AG1077" i="1"/>
  <c r="W1077" i="1"/>
  <c r="V1077" i="1"/>
  <c r="U1077" i="1"/>
  <c r="T1077" i="1"/>
  <c r="S1077" i="1"/>
  <c r="R1077" i="1"/>
  <c r="Q1077" i="1"/>
  <c r="P1077" i="1"/>
  <c r="O1077" i="1"/>
  <c r="N1077" i="1"/>
  <c r="M1077" i="1"/>
  <c r="L1077" i="1"/>
  <c r="K1077" i="1"/>
  <c r="J1077" i="1"/>
  <c r="I1077" i="1"/>
  <c r="H1077" i="1"/>
  <c r="AH1076" i="1"/>
  <c r="AG1076" i="1"/>
  <c r="W1076" i="1"/>
  <c r="V1076" i="1"/>
  <c r="U1076" i="1"/>
  <c r="T1076" i="1"/>
  <c r="S1076" i="1"/>
  <c r="R1076" i="1"/>
  <c r="Q1076" i="1"/>
  <c r="P1076" i="1"/>
  <c r="O1076" i="1"/>
  <c r="N1076" i="1"/>
  <c r="M1076" i="1"/>
  <c r="L1076" i="1"/>
  <c r="K1076" i="1"/>
  <c r="J1076" i="1"/>
  <c r="I1076" i="1"/>
  <c r="H1076" i="1"/>
  <c r="AH1075" i="1"/>
  <c r="AG1075" i="1"/>
  <c r="W1075" i="1"/>
  <c r="V1075" i="1"/>
  <c r="U1075" i="1"/>
  <c r="T1075" i="1"/>
  <c r="S1075" i="1"/>
  <c r="R1075" i="1"/>
  <c r="Q1075" i="1"/>
  <c r="P1075" i="1"/>
  <c r="O1075" i="1"/>
  <c r="N1075" i="1"/>
  <c r="M1075" i="1"/>
  <c r="L1075" i="1"/>
  <c r="K1075" i="1"/>
  <c r="J1075" i="1"/>
  <c r="I1075" i="1"/>
  <c r="H1075" i="1"/>
  <c r="AH1074" i="1"/>
  <c r="AG1074" i="1"/>
  <c r="W1074" i="1"/>
  <c r="V1074" i="1"/>
  <c r="U1074" i="1"/>
  <c r="T1074" i="1"/>
  <c r="S1074" i="1"/>
  <c r="R1074" i="1"/>
  <c r="Q1074" i="1"/>
  <c r="P1074" i="1"/>
  <c r="O1074" i="1"/>
  <c r="N1074" i="1"/>
  <c r="M1074" i="1"/>
  <c r="L1074" i="1"/>
  <c r="K1074" i="1"/>
  <c r="J1074" i="1"/>
  <c r="I1074" i="1"/>
  <c r="H1074" i="1"/>
  <c r="AH1073" i="1"/>
  <c r="AG1073" i="1"/>
  <c r="W1073" i="1"/>
  <c r="V1073" i="1"/>
  <c r="U1073" i="1"/>
  <c r="T1073" i="1"/>
  <c r="S1073" i="1"/>
  <c r="R1073" i="1"/>
  <c r="Q1073" i="1"/>
  <c r="P1073" i="1"/>
  <c r="O1073" i="1"/>
  <c r="N1073" i="1"/>
  <c r="M1073" i="1"/>
  <c r="L1073" i="1"/>
  <c r="K1073" i="1"/>
  <c r="J1073" i="1"/>
  <c r="I1073" i="1"/>
  <c r="H1073" i="1"/>
  <c r="AH1072" i="1"/>
  <c r="AG1072" i="1"/>
  <c r="W1072" i="1"/>
  <c r="V1072" i="1"/>
  <c r="U1072" i="1"/>
  <c r="T1072" i="1"/>
  <c r="S1072" i="1"/>
  <c r="R1072" i="1"/>
  <c r="Q1072" i="1"/>
  <c r="P1072" i="1"/>
  <c r="O1072" i="1"/>
  <c r="N1072" i="1"/>
  <c r="M1072" i="1"/>
  <c r="L1072" i="1"/>
  <c r="K1072" i="1"/>
  <c r="J1072" i="1"/>
  <c r="I1072" i="1"/>
  <c r="H1072" i="1"/>
  <c r="AH1071" i="1"/>
  <c r="AG1071" i="1"/>
  <c r="W1071" i="1"/>
  <c r="V1071" i="1"/>
  <c r="U1071" i="1"/>
  <c r="T1071" i="1"/>
  <c r="S1071" i="1"/>
  <c r="R1071" i="1"/>
  <c r="Q1071" i="1"/>
  <c r="P1071" i="1"/>
  <c r="O1071" i="1"/>
  <c r="N1071" i="1"/>
  <c r="M1071" i="1"/>
  <c r="L1071" i="1"/>
  <c r="K1071" i="1"/>
  <c r="J1071" i="1"/>
  <c r="I1071" i="1"/>
  <c r="H1071" i="1"/>
  <c r="AI1070" i="1"/>
  <c r="AH1070" i="1"/>
  <c r="AG1070" i="1"/>
  <c r="W1070" i="1"/>
  <c r="V1070" i="1"/>
  <c r="U1070" i="1"/>
  <c r="T1070" i="1"/>
  <c r="S1070" i="1"/>
  <c r="R1070" i="1"/>
  <c r="Q1070" i="1"/>
  <c r="P1070" i="1"/>
  <c r="O1070" i="1"/>
  <c r="N1070" i="1"/>
  <c r="M1070" i="1"/>
  <c r="L1070" i="1"/>
  <c r="K1070" i="1"/>
  <c r="J1070" i="1"/>
  <c r="I1070" i="1"/>
  <c r="H1070" i="1"/>
  <c r="AI1069" i="1"/>
  <c r="AH1069" i="1"/>
  <c r="AG1069" i="1"/>
  <c r="W1069" i="1"/>
  <c r="V1069" i="1"/>
  <c r="U1069" i="1"/>
  <c r="T1069" i="1"/>
  <c r="S1069" i="1"/>
  <c r="R1069" i="1"/>
  <c r="Q1069" i="1"/>
  <c r="P1069" i="1"/>
  <c r="O1069" i="1"/>
  <c r="N1069" i="1"/>
  <c r="M1069" i="1"/>
  <c r="L1069" i="1"/>
  <c r="K1069" i="1"/>
  <c r="J1069" i="1"/>
  <c r="I1069" i="1"/>
  <c r="H1069" i="1"/>
  <c r="AH1068" i="1"/>
  <c r="AG1068" i="1"/>
  <c r="W1068" i="1"/>
  <c r="V1068" i="1"/>
  <c r="U1068" i="1"/>
  <c r="T1068" i="1"/>
  <c r="S1068" i="1"/>
  <c r="R1068" i="1"/>
  <c r="Q1068" i="1"/>
  <c r="P1068" i="1"/>
  <c r="O1068" i="1"/>
  <c r="N1068" i="1"/>
  <c r="M1068" i="1"/>
  <c r="L1068" i="1"/>
  <c r="K1068" i="1"/>
  <c r="J1068" i="1"/>
  <c r="I1068" i="1"/>
  <c r="H1068" i="1"/>
  <c r="AH1067" i="1"/>
  <c r="AG1067" i="1"/>
  <c r="W1067" i="1"/>
  <c r="V1067" i="1"/>
  <c r="U1067" i="1"/>
  <c r="T1067" i="1"/>
  <c r="S1067" i="1"/>
  <c r="R1067" i="1"/>
  <c r="Q1067" i="1"/>
  <c r="P1067" i="1"/>
  <c r="O1067" i="1"/>
  <c r="N1067" i="1"/>
  <c r="M1067" i="1"/>
  <c r="L1067" i="1"/>
  <c r="K1067" i="1"/>
  <c r="J1067" i="1"/>
  <c r="I1067" i="1"/>
  <c r="H1067" i="1"/>
  <c r="AH1066" i="1"/>
  <c r="AG1066" i="1"/>
  <c r="W1066" i="1"/>
  <c r="V1066" i="1"/>
  <c r="U1066" i="1"/>
  <c r="T1066" i="1"/>
  <c r="S1066" i="1"/>
  <c r="R1066" i="1"/>
  <c r="Q1066" i="1"/>
  <c r="P1066" i="1"/>
  <c r="O1066" i="1"/>
  <c r="N1066" i="1"/>
  <c r="M1066" i="1"/>
  <c r="L1066" i="1"/>
  <c r="K1066" i="1"/>
  <c r="J1066" i="1"/>
  <c r="I1066" i="1"/>
  <c r="H1066" i="1"/>
  <c r="AI1065" i="1"/>
  <c r="AH1065" i="1"/>
  <c r="AG1065" i="1"/>
  <c r="W1065" i="1"/>
  <c r="V1065" i="1"/>
  <c r="U1065" i="1"/>
  <c r="T1065" i="1"/>
  <c r="S1065" i="1"/>
  <c r="R1065" i="1"/>
  <c r="Q1065" i="1"/>
  <c r="P1065" i="1"/>
  <c r="O1065" i="1"/>
  <c r="N1065" i="1"/>
  <c r="M1065" i="1"/>
  <c r="L1065" i="1"/>
  <c r="K1065" i="1"/>
  <c r="J1065" i="1"/>
  <c r="I1065" i="1"/>
  <c r="H1065" i="1"/>
  <c r="AH1064" i="1"/>
  <c r="AG1064" i="1"/>
  <c r="W1064" i="1"/>
  <c r="V1064" i="1"/>
  <c r="U1064" i="1"/>
  <c r="T1064" i="1"/>
  <c r="S1064" i="1"/>
  <c r="R1064" i="1"/>
  <c r="Q1064" i="1"/>
  <c r="P1064" i="1"/>
  <c r="O1064" i="1"/>
  <c r="N1064" i="1"/>
  <c r="M1064" i="1"/>
  <c r="L1064" i="1"/>
  <c r="K1064" i="1"/>
  <c r="J1064" i="1"/>
  <c r="I1064" i="1"/>
  <c r="H1064" i="1"/>
  <c r="AI1063" i="1"/>
  <c r="AH1063" i="1"/>
  <c r="AG1063" i="1"/>
  <c r="W1063" i="1"/>
  <c r="V1063" i="1"/>
  <c r="U1063" i="1"/>
  <c r="T1063" i="1"/>
  <c r="S1063" i="1"/>
  <c r="R1063" i="1"/>
  <c r="Q1063" i="1"/>
  <c r="P1063" i="1"/>
  <c r="O1063" i="1"/>
  <c r="N1063" i="1"/>
  <c r="M1063" i="1"/>
  <c r="L1063" i="1"/>
  <c r="K1063" i="1"/>
  <c r="J1063" i="1"/>
  <c r="I1063" i="1"/>
  <c r="H1063" i="1"/>
  <c r="AI1062" i="1"/>
  <c r="AH1062" i="1"/>
  <c r="AG1062" i="1"/>
  <c r="W1062" i="1"/>
  <c r="V1062" i="1"/>
  <c r="U1062" i="1"/>
  <c r="T1062" i="1"/>
  <c r="S1062" i="1"/>
  <c r="R1062" i="1"/>
  <c r="Q1062" i="1"/>
  <c r="P1062" i="1"/>
  <c r="O1062" i="1"/>
  <c r="N1062" i="1"/>
  <c r="M1062" i="1"/>
  <c r="L1062" i="1"/>
  <c r="K1062" i="1"/>
  <c r="J1062" i="1"/>
  <c r="I1062" i="1"/>
  <c r="H1062" i="1"/>
  <c r="AH1061" i="1"/>
  <c r="AG1061" i="1"/>
  <c r="W1061" i="1"/>
  <c r="V1061" i="1"/>
  <c r="U1061" i="1"/>
  <c r="T1061" i="1"/>
  <c r="S1061" i="1"/>
  <c r="R1061" i="1"/>
  <c r="P1061" i="1"/>
  <c r="N1061" i="1"/>
  <c r="M1061" i="1"/>
  <c r="K1061" i="1"/>
  <c r="W1060" i="1"/>
  <c r="V1060" i="1"/>
  <c r="U1060" i="1"/>
  <c r="T1060" i="1"/>
  <c r="S1060" i="1"/>
  <c r="R1060" i="1"/>
  <c r="Q1060" i="1"/>
  <c r="P1060" i="1"/>
  <c r="O1060" i="1"/>
  <c r="N1060" i="1"/>
  <c r="M1060" i="1"/>
  <c r="L1060" i="1"/>
  <c r="K1060" i="1"/>
  <c r="J1060" i="1"/>
  <c r="I1060" i="1"/>
  <c r="H1060" i="1"/>
  <c r="W1059" i="1"/>
  <c r="V1059" i="1"/>
  <c r="U1059" i="1"/>
  <c r="T1059" i="1"/>
  <c r="S1059" i="1"/>
  <c r="R1059" i="1"/>
  <c r="Q1059" i="1"/>
  <c r="P1059" i="1"/>
  <c r="O1059" i="1"/>
  <c r="N1059" i="1"/>
  <c r="M1059" i="1"/>
  <c r="L1059" i="1"/>
  <c r="K1059" i="1"/>
  <c r="J1059" i="1"/>
  <c r="I1059" i="1"/>
  <c r="H1059" i="1"/>
  <c r="AI1058" i="1"/>
  <c r="AH1058" i="1"/>
  <c r="AG1058" i="1"/>
  <c r="W1058" i="1"/>
  <c r="V1058" i="1"/>
  <c r="U1058" i="1"/>
  <c r="T1058" i="1"/>
  <c r="S1058" i="1"/>
  <c r="R1058" i="1"/>
  <c r="Q1058" i="1"/>
  <c r="P1058" i="1"/>
  <c r="O1058" i="1"/>
  <c r="N1058" i="1"/>
  <c r="M1058" i="1"/>
  <c r="L1058" i="1"/>
  <c r="K1058" i="1"/>
  <c r="J1058" i="1"/>
  <c r="I1058" i="1"/>
  <c r="H1058" i="1"/>
  <c r="AH1057" i="1"/>
  <c r="AG1057" i="1"/>
  <c r="W1057" i="1"/>
  <c r="V1057" i="1"/>
  <c r="U1057" i="1"/>
  <c r="T1057" i="1"/>
  <c r="S1057" i="1"/>
  <c r="R1057" i="1"/>
  <c r="Q1057" i="1"/>
  <c r="P1057" i="1"/>
  <c r="O1057" i="1"/>
  <c r="N1057" i="1"/>
  <c r="M1057" i="1"/>
  <c r="L1057" i="1"/>
  <c r="K1057" i="1"/>
  <c r="J1057" i="1"/>
  <c r="I1057" i="1"/>
  <c r="H1057" i="1"/>
  <c r="AI1056" i="1"/>
  <c r="AH1056" i="1"/>
  <c r="AG1056" i="1"/>
  <c r="W1056" i="1"/>
  <c r="V1056" i="1"/>
  <c r="U1056" i="1"/>
  <c r="T1056" i="1"/>
  <c r="S1056" i="1"/>
  <c r="R1056" i="1"/>
  <c r="Q1056" i="1"/>
  <c r="P1056" i="1"/>
  <c r="O1056" i="1"/>
  <c r="N1056" i="1"/>
  <c r="M1056" i="1"/>
  <c r="L1056" i="1"/>
  <c r="K1056" i="1"/>
  <c r="J1056" i="1"/>
  <c r="I1056" i="1"/>
  <c r="H1056" i="1"/>
  <c r="AI1055" i="1"/>
  <c r="AH1055" i="1"/>
  <c r="AG1055" i="1"/>
  <c r="W1055" i="1"/>
  <c r="V1055" i="1"/>
  <c r="U1055" i="1"/>
  <c r="T1055" i="1"/>
  <c r="S1055" i="1"/>
  <c r="R1055" i="1"/>
  <c r="Q1055" i="1"/>
  <c r="P1055" i="1"/>
  <c r="O1055" i="1"/>
  <c r="N1055" i="1"/>
  <c r="M1055" i="1"/>
  <c r="L1055" i="1"/>
  <c r="K1055" i="1"/>
  <c r="J1055" i="1"/>
  <c r="I1055" i="1"/>
  <c r="H1055" i="1"/>
  <c r="AH1054" i="1"/>
  <c r="AG1054" i="1"/>
  <c r="W1054" i="1"/>
  <c r="V1054" i="1"/>
  <c r="U1054" i="1"/>
  <c r="T1054" i="1"/>
  <c r="S1054" i="1"/>
  <c r="R1054" i="1"/>
  <c r="Q1054" i="1"/>
  <c r="P1054" i="1"/>
  <c r="O1054" i="1"/>
  <c r="N1054" i="1"/>
  <c r="M1054" i="1"/>
  <c r="L1054" i="1"/>
  <c r="K1054" i="1"/>
  <c r="J1054" i="1"/>
  <c r="I1054" i="1"/>
  <c r="H1054" i="1"/>
  <c r="AH1053" i="1"/>
  <c r="AG1053" i="1"/>
  <c r="W1053" i="1"/>
  <c r="V1053" i="1"/>
  <c r="U1053" i="1"/>
  <c r="T1053" i="1"/>
  <c r="S1053" i="1"/>
  <c r="R1053" i="1"/>
  <c r="Q1053" i="1"/>
  <c r="P1053" i="1"/>
  <c r="O1053" i="1"/>
  <c r="N1053" i="1"/>
  <c r="M1053" i="1"/>
  <c r="L1053" i="1"/>
  <c r="K1053" i="1"/>
  <c r="J1053" i="1"/>
  <c r="I1053" i="1"/>
  <c r="H1053" i="1"/>
  <c r="W1052" i="1"/>
  <c r="V1052" i="1"/>
  <c r="U1052" i="1"/>
  <c r="T1052" i="1"/>
  <c r="S1052" i="1"/>
  <c r="R1052" i="1"/>
  <c r="Q1052" i="1"/>
  <c r="P1052" i="1"/>
  <c r="O1052" i="1"/>
  <c r="N1052" i="1"/>
  <c r="M1052" i="1"/>
  <c r="L1052" i="1"/>
  <c r="K1052" i="1"/>
  <c r="J1052" i="1"/>
  <c r="I1052" i="1"/>
  <c r="H1052" i="1"/>
  <c r="W1051" i="1"/>
  <c r="V1051" i="1"/>
  <c r="U1051" i="1"/>
  <c r="T1051" i="1"/>
  <c r="S1051" i="1"/>
  <c r="R1051" i="1"/>
  <c r="Q1051" i="1"/>
  <c r="P1051" i="1"/>
  <c r="O1051" i="1"/>
  <c r="N1051" i="1"/>
  <c r="M1051" i="1"/>
  <c r="L1051" i="1"/>
  <c r="K1051" i="1"/>
  <c r="J1051" i="1"/>
  <c r="I1051" i="1"/>
  <c r="H1051" i="1"/>
  <c r="AH1050" i="1"/>
  <c r="AG1050" i="1"/>
  <c r="W1050" i="1"/>
  <c r="V1050" i="1"/>
  <c r="U1050" i="1"/>
  <c r="T1050" i="1"/>
  <c r="S1050" i="1"/>
  <c r="R1050" i="1"/>
  <c r="Q1050" i="1"/>
  <c r="P1050" i="1"/>
  <c r="O1050" i="1"/>
  <c r="N1050" i="1"/>
  <c r="M1050" i="1"/>
  <c r="L1050" i="1"/>
  <c r="K1050" i="1"/>
  <c r="J1050" i="1"/>
  <c r="I1050" i="1"/>
  <c r="H1050" i="1"/>
  <c r="AH1049" i="1"/>
  <c r="AG1049" i="1"/>
  <c r="W1049" i="1"/>
  <c r="V1049" i="1"/>
  <c r="U1049" i="1"/>
  <c r="T1049" i="1"/>
  <c r="S1049" i="1"/>
  <c r="R1049" i="1"/>
  <c r="Q1049" i="1"/>
  <c r="P1049" i="1"/>
  <c r="O1049" i="1"/>
  <c r="N1049" i="1"/>
  <c r="M1049" i="1"/>
  <c r="L1049" i="1"/>
  <c r="K1049" i="1"/>
  <c r="J1049" i="1"/>
  <c r="I1049" i="1"/>
  <c r="H1049" i="1"/>
  <c r="AH1048" i="1"/>
  <c r="AG1048" i="1"/>
  <c r="W1048" i="1"/>
  <c r="V1048" i="1"/>
  <c r="U1048" i="1"/>
  <c r="T1048" i="1"/>
  <c r="S1048" i="1"/>
  <c r="R1048" i="1"/>
  <c r="Q1048" i="1"/>
  <c r="P1048" i="1"/>
  <c r="O1048" i="1"/>
  <c r="N1048" i="1"/>
  <c r="M1048" i="1"/>
  <c r="L1048" i="1"/>
  <c r="K1048" i="1"/>
  <c r="J1048" i="1"/>
  <c r="I1048" i="1"/>
  <c r="H1048" i="1"/>
  <c r="AH1047" i="1"/>
  <c r="AG1047" i="1"/>
  <c r="W1047" i="1"/>
  <c r="V1047" i="1"/>
  <c r="U1047" i="1"/>
  <c r="T1047" i="1"/>
  <c r="S1047" i="1"/>
  <c r="R1047" i="1"/>
  <c r="Q1047" i="1"/>
  <c r="P1047" i="1"/>
  <c r="O1047" i="1"/>
  <c r="N1047" i="1"/>
  <c r="M1047" i="1"/>
  <c r="L1047" i="1"/>
  <c r="K1047" i="1"/>
  <c r="J1047" i="1"/>
  <c r="I1047" i="1"/>
  <c r="H1047" i="1"/>
  <c r="AH1046" i="1"/>
  <c r="AG1046" i="1"/>
  <c r="W1046" i="1"/>
  <c r="V1046" i="1"/>
  <c r="U1046" i="1"/>
  <c r="T1046" i="1"/>
  <c r="S1046" i="1"/>
  <c r="R1046" i="1"/>
  <c r="Q1046" i="1"/>
  <c r="P1046" i="1"/>
  <c r="O1046" i="1"/>
  <c r="N1046" i="1"/>
  <c r="M1046" i="1"/>
  <c r="L1046" i="1"/>
  <c r="K1046" i="1"/>
  <c r="J1046" i="1"/>
  <c r="I1046" i="1"/>
  <c r="H1046" i="1"/>
  <c r="AH1045" i="1"/>
  <c r="AG1045" i="1"/>
  <c r="W1045" i="1"/>
  <c r="V1045" i="1"/>
  <c r="U1045" i="1"/>
  <c r="T1045" i="1"/>
  <c r="S1045" i="1"/>
  <c r="R1045" i="1"/>
  <c r="Q1045" i="1"/>
  <c r="P1045" i="1"/>
  <c r="O1045" i="1"/>
  <c r="N1045" i="1"/>
  <c r="M1045" i="1"/>
  <c r="L1045" i="1"/>
  <c r="K1045" i="1"/>
  <c r="J1045" i="1"/>
  <c r="I1045" i="1"/>
  <c r="H1045" i="1"/>
  <c r="AH1044" i="1"/>
  <c r="AG1044" i="1"/>
  <c r="W1044" i="1"/>
  <c r="V1044" i="1"/>
  <c r="U1044" i="1"/>
  <c r="T1044" i="1"/>
  <c r="S1044" i="1"/>
  <c r="R1044" i="1"/>
  <c r="Q1044" i="1"/>
  <c r="P1044" i="1"/>
  <c r="O1044" i="1"/>
  <c r="N1044" i="1"/>
  <c r="M1044" i="1"/>
  <c r="L1044" i="1"/>
  <c r="K1044" i="1"/>
  <c r="J1044" i="1"/>
  <c r="I1044" i="1"/>
  <c r="H1044" i="1"/>
  <c r="AH1043" i="1"/>
  <c r="AG1043" i="1"/>
  <c r="W1043" i="1"/>
  <c r="V1043" i="1"/>
  <c r="U1043" i="1"/>
  <c r="T1043" i="1"/>
  <c r="S1043" i="1"/>
  <c r="R1043" i="1"/>
  <c r="Q1043" i="1"/>
  <c r="P1043" i="1"/>
  <c r="O1043" i="1"/>
  <c r="N1043" i="1"/>
  <c r="M1043" i="1"/>
  <c r="L1043" i="1"/>
  <c r="K1043" i="1"/>
  <c r="J1043" i="1"/>
  <c r="I1043" i="1"/>
  <c r="H1043" i="1"/>
  <c r="AH1042" i="1"/>
  <c r="AG1042" i="1"/>
  <c r="W1042" i="1"/>
  <c r="V1042" i="1"/>
  <c r="U1042" i="1"/>
  <c r="T1042" i="1"/>
  <c r="S1042" i="1"/>
  <c r="R1042" i="1"/>
  <c r="Q1042" i="1"/>
  <c r="P1042" i="1"/>
  <c r="O1042" i="1"/>
  <c r="N1042" i="1"/>
  <c r="M1042" i="1"/>
  <c r="L1042" i="1"/>
  <c r="K1042" i="1"/>
  <c r="J1042" i="1"/>
  <c r="I1042" i="1"/>
  <c r="H1042" i="1"/>
  <c r="AI1041" i="1"/>
  <c r="AH1041" i="1"/>
  <c r="AG1041" i="1"/>
  <c r="W1041" i="1"/>
  <c r="V1041" i="1"/>
  <c r="U1041" i="1"/>
  <c r="T1041" i="1"/>
  <c r="S1041" i="1"/>
  <c r="R1041" i="1"/>
  <c r="Q1041" i="1"/>
  <c r="P1041" i="1"/>
  <c r="O1041" i="1"/>
  <c r="N1041" i="1"/>
  <c r="M1041" i="1"/>
  <c r="L1041" i="1"/>
  <c r="K1041" i="1"/>
  <c r="J1041" i="1"/>
  <c r="I1041" i="1"/>
  <c r="H1041" i="1"/>
  <c r="AH1040" i="1"/>
  <c r="AG1040" i="1"/>
  <c r="W1040" i="1"/>
  <c r="V1040" i="1"/>
  <c r="U1040" i="1"/>
  <c r="T1040" i="1"/>
  <c r="S1040" i="1"/>
  <c r="R1040" i="1"/>
  <c r="Q1040" i="1"/>
  <c r="P1040" i="1"/>
  <c r="O1040" i="1"/>
  <c r="N1040" i="1"/>
  <c r="M1040" i="1"/>
  <c r="L1040" i="1"/>
  <c r="K1040" i="1"/>
  <c r="J1040" i="1"/>
  <c r="I1040" i="1"/>
  <c r="H1040" i="1"/>
  <c r="AH1039" i="1"/>
  <c r="AG1039" i="1"/>
  <c r="W1039" i="1"/>
  <c r="V1039" i="1"/>
  <c r="U1039" i="1"/>
  <c r="T1039" i="1"/>
  <c r="S1039" i="1"/>
  <c r="R1039" i="1"/>
  <c r="Q1039" i="1"/>
  <c r="P1039" i="1"/>
  <c r="O1039" i="1"/>
  <c r="N1039" i="1"/>
  <c r="M1039" i="1"/>
  <c r="L1039" i="1"/>
  <c r="K1039" i="1"/>
  <c r="J1039" i="1"/>
  <c r="I1039" i="1"/>
  <c r="H1039" i="1"/>
  <c r="AH1038" i="1"/>
  <c r="AG1038" i="1"/>
  <c r="W1038" i="1"/>
  <c r="V1038" i="1"/>
  <c r="U1038" i="1"/>
  <c r="T1038" i="1"/>
  <c r="S1038" i="1"/>
  <c r="R1038" i="1"/>
  <c r="Q1038" i="1"/>
  <c r="P1038" i="1"/>
  <c r="O1038" i="1"/>
  <c r="N1038" i="1"/>
  <c r="M1038" i="1"/>
  <c r="L1038" i="1"/>
  <c r="K1038" i="1"/>
  <c r="J1038" i="1"/>
  <c r="I1038" i="1"/>
  <c r="H1038" i="1"/>
  <c r="AH1037" i="1"/>
  <c r="AG1037" i="1"/>
  <c r="W1037" i="1"/>
  <c r="V1037" i="1"/>
  <c r="U1037" i="1"/>
  <c r="T1037" i="1"/>
  <c r="S1037" i="1"/>
  <c r="R1037" i="1"/>
  <c r="Q1037" i="1"/>
  <c r="P1037" i="1"/>
  <c r="O1037" i="1"/>
  <c r="N1037" i="1"/>
  <c r="M1037" i="1"/>
  <c r="L1037" i="1"/>
  <c r="K1037" i="1"/>
  <c r="J1037" i="1"/>
  <c r="I1037" i="1"/>
  <c r="H1037" i="1"/>
  <c r="AI1036" i="1"/>
  <c r="AH1036" i="1"/>
  <c r="AG1036" i="1"/>
  <c r="W1036" i="1"/>
  <c r="V1036" i="1"/>
  <c r="U1036" i="1"/>
  <c r="T1036" i="1"/>
  <c r="S1036" i="1"/>
  <c r="R1036" i="1"/>
  <c r="Q1036" i="1"/>
  <c r="P1036" i="1"/>
  <c r="O1036" i="1"/>
  <c r="N1036" i="1"/>
  <c r="M1036" i="1"/>
  <c r="L1036" i="1"/>
  <c r="K1036" i="1"/>
  <c r="J1036" i="1"/>
  <c r="I1036" i="1"/>
  <c r="H1036" i="1"/>
  <c r="AH1035" i="1"/>
  <c r="AG1035" i="1"/>
  <c r="W1035" i="1"/>
  <c r="V1035" i="1"/>
  <c r="U1035" i="1"/>
  <c r="T1035" i="1"/>
  <c r="S1035" i="1"/>
  <c r="R1035" i="1"/>
  <c r="Q1035" i="1"/>
  <c r="P1035" i="1"/>
  <c r="O1035" i="1"/>
  <c r="N1035" i="1"/>
  <c r="M1035" i="1"/>
  <c r="L1035" i="1"/>
  <c r="K1035" i="1"/>
  <c r="J1035" i="1"/>
  <c r="I1035" i="1"/>
  <c r="H1035" i="1"/>
  <c r="AH1034" i="1"/>
  <c r="AG1034" i="1"/>
  <c r="W1034" i="1"/>
  <c r="V1034" i="1"/>
  <c r="U1034" i="1"/>
  <c r="T1034" i="1"/>
  <c r="S1034" i="1"/>
  <c r="R1034" i="1"/>
  <c r="Q1034" i="1"/>
  <c r="P1034" i="1"/>
  <c r="O1034" i="1"/>
  <c r="N1034" i="1"/>
  <c r="M1034" i="1"/>
  <c r="L1034" i="1"/>
  <c r="K1034" i="1"/>
  <c r="J1034" i="1"/>
  <c r="I1034" i="1"/>
  <c r="H1034" i="1"/>
  <c r="AH1033" i="1"/>
  <c r="AG1033" i="1"/>
  <c r="W1033" i="1"/>
  <c r="V1033" i="1"/>
  <c r="U1033" i="1"/>
  <c r="T1033" i="1"/>
  <c r="S1033" i="1"/>
  <c r="R1033" i="1"/>
  <c r="Q1033" i="1"/>
  <c r="P1033" i="1"/>
  <c r="O1033" i="1"/>
  <c r="N1033" i="1"/>
  <c r="M1033" i="1"/>
  <c r="L1033" i="1"/>
  <c r="K1033" i="1"/>
  <c r="J1033" i="1"/>
  <c r="I1033" i="1"/>
  <c r="H1033" i="1"/>
  <c r="AH1032" i="1"/>
  <c r="AG1032" i="1"/>
  <c r="W1032" i="1"/>
  <c r="V1032" i="1"/>
  <c r="U1032" i="1"/>
  <c r="T1032" i="1"/>
  <c r="S1032" i="1"/>
  <c r="R1032" i="1"/>
  <c r="Q1032" i="1"/>
  <c r="P1032" i="1"/>
  <c r="O1032" i="1"/>
  <c r="N1032" i="1"/>
  <c r="M1032" i="1"/>
  <c r="L1032" i="1"/>
  <c r="K1032" i="1"/>
  <c r="J1032" i="1"/>
  <c r="I1032" i="1"/>
  <c r="H1032" i="1"/>
  <c r="AH1031" i="1"/>
  <c r="AG1031" i="1"/>
  <c r="W1031" i="1"/>
  <c r="V1031" i="1"/>
  <c r="U1031" i="1"/>
  <c r="T1031" i="1"/>
  <c r="S1031" i="1"/>
  <c r="R1031" i="1"/>
  <c r="Q1031" i="1"/>
  <c r="P1031" i="1"/>
  <c r="O1031" i="1"/>
  <c r="N1031" i="1"/>
  <c r="M1031" i="1"/>
  <c r="L1031" i="1"/>
  <c r="K1031" i="1"/>
  <c r="J1031" i="1"/>
  <c r="I1031" i="1"/>
  <c r="H1031" i="1"/>
  <c r="AH1030" i="1"/>
  <c r="AG1030" i="1"/>
  <c r="W1030" i="1"/>
  <c r="V1030" i="1"/>
  <c r="U1030" i="1"/>
  <c r="T1030" i="1"/>
  <c r="S1030" i="1"/>
  <c r="R1030" i="1"/>
  <c r="Q1030" i="1"/>
  <c r="P1030" i="1"/>
  <c r="O1030" i="1"/>
  <c r="N1030" i="1"/>
  <c r="M1030" i="1"/>
  <c r="L1030" i="1"/>
  <c r="K1030" i="1"/>
  <c r="J1030" i="1"/>
  <c r="I1030" i="1"/>
  <c r="H1030" i="1"/>
  <c r="AH1029" i="1"/>
  <c r="AG1029" i="1"/>
  <c r="W1029" i="1"/>
  <c r="V1029" i="1"/>
  <c r="U1029" i="1"/>
  <c r="T1029" i="1"/>
  <c r="S1029" i="1"/>
  <c r="R1029" i="1"/>
  <c r="Q1029" i="1"/>
  <c r="P1029" i="1"/>
  <c r="O1029" i="1"/>
  <c r="N1029" i="1"/>
  <c r="M1029" i="1"/>
  <c r="L1029" i="1"/>
  <c r="K1029" i="1"/>
  <c r="J1029" i="1"/>
  <c r="I1029" i="1"/>
  <c r="H1029" i="1"/>
  <c r="W1028" i="1"/>
  <c r="V1028" i="1"/>
  <c r="U1028" i="1"/>
  <c r="T1028" i="1"/>
  <c r="S1028" i="1"/>
  <c r="R1028" i="1"/>
  <c r="Q1028" i="1"/>
  <c r="P1028" i="1"/>
  <c r="O1028" i="1"/>
  <c r="N1028" i="1"/>
  <c r="M1028" i="1"/>
  <c r="L1028" i="1"/>
  <c r="K1028" i="1"/>
  <c r="J1028" i="1"/>
  <c r="I1028" i="1"/>
  <c r="H1028" i="1"/>
  <c r="AI1027" i="1"/>
  <c r="AH1027" i="1"/>
  <c r="AG1027" i="1"/>
  <c r="W1027" i="1"/>
  <c r="V1027" i="1"/>
  <c r="U1027" i="1"/>
  <c r="T1027" i="1"/>
  <c r="S1027" i="1"/>
  <c r="R1027" i="1"/>
  <c r="Q1027" i="1"/>
  <c r="P1027" i="1"/>
  <c r="O1027" i="1"/>
  <c r="N1027" i="1"/>
  <c r="M1027" i="1"/>
  <c r="L1027" i="1"/>
  <c r="K1027" i="1"/>
  <c r="J1027" i="1"/>
  <c r="I1027" i="1"/>
  <c r="H1027" i="1"/>
  <c r="AH1026" i="1"/>
  <c r="AG1026" i="1"/>
  <c r="W1026" i="1"/>
  <c r="V1026" i="1"/>
  <c r="U1026" i="1"/>
  <c r="T1026" i="1"/>
  <c r="S1026" i="1"/>
  <c r="R1026" i="1"/>
  <c r="Q1026" i="1"/>
  <c r="P1026" i="1"/>
  <c r="O1026" i="1"/>
  <c r="N1026" i="1"/>
  <c r="M1026" i="1"/>
  <c r="L1026" i="1"/>
  <c r="K1026" i="1"/>
  <c r="J1026" i="1"/>
  <c r="I1026" i="1"/>
  <c r="H1026" i="1"/>
  <c r="AH1025" i="1"/>
  <c r="AG1025" i="1"/>
  <c r="W1025" i="1"/>
  <c r="V1025" i="1"/>
  <c r="U1025" i="1"/>
  <c r="T1025" i="1"/>
  <c r="S1025" i="1"/>
  <c r="R1025" i="1"/>
  <c r="Q1025" i="1"/>
  <c r="P1025" i="1"/>
  <c r="O1025" i="1"/>
  <c r="N1025" i="1"/>
  <c r="M1025" i="1"/>
  <c r="L1025" i="1"/>
  <c r="K1025" i="1"/>
  <c r="J1025" i="1"/>
  <c r="I1025" i="1"/>
  <c r="H1025" i="1"/>
  <c r="AI1024" i="1"/>
  <c r="AH1024" i="1"/>
  <c r="AG1024" i="1"/>
  <c r="W1024" i="1"/>
  <c r="V1024" i="1"/>
  <c r="U1024" i="1"/>
  <c r="T1024" i="1"/>
  <c r="S1024" i="1"/>
  <c r="R1024" i="1"/>
  <c r="Q1024" i="1"/>
  <c r="P1024" i="1"/>
  <c r="O1024" i="1"/>
  <c r="N1024" i="1"/>
  <c r="M1024" i="1"/>
  <c r="L1024" i="1"/>
  <c r="K1024" i="1"/>
  <c r="J1024" i="1"/>
  <c r="I1024" i="1"/>
  <c r="H1024" i="1"/>
  <c r="AI1023" i="1"/>
  <c r="AH1023" i="1"/>
  <c r="AG1023" i="1"/>
  <c r="W1023" i="1"/>
  <c r="V1023" i="1"/>
  <c r="U1023" i="1"/>
  <c r="T1023" i="1"/>
  <c r="S1023" i="1"/>
  <c r="R1023" i="1"/>
  <c r="Q1023" i="1"/>
  <c r="P1023" i="1"/>
  <c r="O1023" i="1"/>
  <c r="N1023" i="1"/>
  <c r="M1023" i="1"/>
  <c r="L1023" i="1"/>
  <c r="K1023" i="1"/>
  <c r="J1023" i="1"/>
  <c r="I1023" i="1"/>
  <c r="H1023" i="1"/>
  <c r="AZ1022" i="1"/>
  <c r="AY1022" i="1"/>
  <c r="AX1022" i="1"/>
  <c r="AW1022" i="1"/>
  <c r="AV1022" i="1"/>
  <c r="AU1022" i="1"/>
  <c r="AT1022" i="1"/>
  <c r="AS1022" i="1"/>
  <c r="AR1022" i="1"/>
  <c r="AQ1022" i="1"/>
  <c r="AP1022" i="1"/>
  <c r="AH1022" i="1"/>
  <c r="AG1022" i="1"/>
  <c r="W1022" i="1"/>
  <c r="V1022" i="1"/>
  <c r="U1022" i="1"/>
  <c r="T1022" i="1"/>
  <c r="S1022" i="1"/>
  <c r="R1022" i="1"/>
  <c r="Q1022" i="1"/>
  <c r="P1022" i="1"/>
  <c r="O1022" i="1"/>
  <c r="N1022" i="1"/>
  <c r="M1022" i="1"/>
  <c r="L1022" i="1"/>
  <c r="K1022" i="1"/>
  <c r="J1022" i="1"/>
  <c r="I1022" i="1"/>
  <c r="H1022" i="1"/>
  <c r="AH1021" i="1"/>
  <c r="AG1021" i="1"/>
  <c r="W1021" i="1"/>
  <c r="V1021" i="1"/>
  <c r="U1021" i="1"/>
  <c r="T1021" i="1"/>
  <c r="S1021" i="1"/>
  <c r="R1021" i="1"/>
  <c r="Q1021" i="1"/>
  <c r="P1021" i="1"/>
  <c r="O1021" i="1"/>
  <c r="N1021" i="1"/>
  <c r="M1021" i="1"/>
  <c r="L1021" i="1"/>
  <c r="K1021" i="1"/>
  <c r="J1021" i="1"/>
  <c r="I1021" i="1"/>
  <c r="H1021" i="1"/>
  <c r="AI1020" i="1"/>
  <c r="AH1020" i="1"/>
  <c r="AG1020" i="1"/>
  <c r="W1020" i="1"/>
  <c r="V1020" i="1"/>
  <c r="U1020" i="1"/>
  <c r="T1020" i="1"/>
  <c r="S1020" i="1"/>
  <c r="R1020" i="1"/>
  <c r="Q1020" i="1"/>
  <c r="P1020" i="1"/>
  <c r="O1020" i="1"/>
  <c r="N1020" i="1"/>
  <c r="M1020" i="1"/>
  <c r="L1020" i="1"/>
  <c r="K1020" i="1"/>
  <c r="J1020" i="1"/>
  <c r="I1020" i="1"/>
  <c r="H1020" i="1"/>
  <c r="AH1019" i="1"/>
  <c r="AG1019" i="1"/>
  <c r="W1019" i="1"/>
  <c r="V1019" i="1"/>
  <c r="U1019" i="1"/>
  <c r="T1019" i="1"/>
  <c r="S1019" i="1"/>
  <c r="R1019" i="1"/>
  <c r="Q1019" i="1"/>
  <c r="P1019" i="1"/>
  <c r="O1019" i="1"/>
  <c r="N1019" i="1"/>
  <c r="M1019" i="1"/>
  <c r="L1019" i="1"/>
  <c r="K1019" i="1"/>
  <c r="J1019" i="1"/>
  <c r="I1019" i="1"/>
  <c r="H1019" i="1"/>
  <c r="AH1018" i="1"/>
  <c r="AG1018" i="1"/>
  <c r="W1018" i="1"/>
  <c r="V1018" i="1"/>
  <c r="U1018" i="1"/>
  <c r="T1018" i="1"/>
  <c r="S1018" i="1"/>
  <c r="R1018" i="1"/>
  <c r="Q1018" i="1"/>
  <c r="P1018" i="1"/>
  <c r="O1018" i="1"/>
  <c r="N1018" i="1"/>
  <c r="M1018" i="1"/>
  <c r="L1018" i="1"/>
  <c r="K1018" i="1"/>
  <c r="J1018" i="1"/>
  <c r="I1018" i="1"/>
  <c r="H1018" i="1"/>
  <c r="AH1017" i="1"/>
  <c r="AG1017" i="1"/>
  <c r="W1017" i="1"/>
  <c r="V1017" i="1"/>
  <c r="U1017" i="1"/>
  <c r="T1017" i="1"/>
  <c r="S1017" i="1"/>
  <c r="R1017" i="1"/>
  <c r="Q1017" i="1"/>
  <c r="P1017" i="1"/>
  <c r="O1017" i="1"/>
  <c r="N1017" i="1"/>
  <c r="M1017" i="1"/>
  <c r="L1017" i="1"/>
  <c r="K1017" i="1"/>
  <c r="J1017" i="1"/>
  <c r="I1017" i="1"/>
  <c r="H1017" i="1"/>
  <c r="AH1016" i="1"/>
  <c r="AG1016" i="1"/>
  <c r="W1016" i="1"/>
  <c r="V1016" i="1"/>
  <c r="U1016" i="1"/>
  <c r="T1016" i="1"/>
  <c r="S1016" i="1"/>
  <c r="R1016" i="1"/>
  <c r="Q1016" i="1"/>
  <c r="P1016" i="1"/>
  <c r="O1016" i="1"/>
  <c r="N1016" i="1"/>
  <c r="M1016" i="1"/>
  <c r="L1016" i="1"/>
  <c r="K1016" i="1"/>
  <c r="J1016" i="1"/>
  <c r="I1016" i="1"/>
  <c r="H1016" i="1"/>
  <c r="AI1015" i="1"/>
  <c r="AH1015" i="1"/>
  <c r="AG1015" i="1"/>
  <c r="W1015" i="1"/>
  <c r="V1015" i="1"/>
  <c r="U1015" i="1"/>
  <c r="T1015" i="1"/>
  <c r="S1015" i="1"/>
  <c r="R1015" i="1"/>
  <c r="Q1015" i="1"/>
  <c r="P1015" i="1"/>
  <c r="O1015" i="1"/>
  <c r="N1015" i="1"/>
  <c r="M1015" i="1"/>
  <c r="L1015" i="1"/>
  <c r="K1015" i="1"/>
  <c r="J1015" i="1"/>
  <c r="I1015" i="1"/>
  <c r="H1015" i="1"/>
  <c r="AI1014" i="1"/>
  <c r="AH1014" i="1"/>
  <c r="AG1014" i="1"/>
  <c r="W1014" i="1"/>
  <c r="V1014" i="1"/>
  <c r="U1014" i="1"/>
  <c r="T1014" i="1"/>
  <c r="S1014" i="1"/>
  <c r="R1014" i="1"/>
  <c r="Q1014" i="1"/>
  <c r="P1014" i="1"/>
  <c r="O1014" i="1"/>
  <c r="N1014" i="1"/>
  <c r="M1014" i="1"/>
  <c r="L1014" i="1"/>
  <c r="K1014" i="1"/>
  <c r="J1014" i="1"/>
  <c r="I1014" i="1"/>
  <c r="H1014" i="1"/>
  <c r="AI1013" i="1"/>
  <c r="AH1013" i="1"/>
  <c r="AG1013" i="1"/>
  <c r="W1013" i="1"/>
  <c r="V1013" i="1"/>
  <c r="U1013" i="1"/>
  <c r="T1013" i="1"/>
  <c r="S1013" i="1"/>
  <c r="R1013" i="1"/>
  <c r="Q1013" i="1"/>
  <c r="P1013" i="1"/>
  <c r="O1013" i="1"/>
  <c r="N1013" i="1"/>
  <c r="M1013" i="1"/>
  <c r="L1013" i="1"/>
  <c r="K1013" i="1"/>
  <c r="J1013" i="1"/>
  <c r="I1013" i="1"/>
  <c r="H1013" i="1"/>
  <c r="AI1012" i="1"/>
  <c r="AH1012" i="1"/>
  <c r="AG1012" i="1"/>
  <c r="W1012" i="1"/>
  <c r="V1012" i="1"/>
  <c r="U1012" i="1"/>
  <c r="T1012" i="1"/>
  <c r="S1012" i="1"/>
  <c r="R1012" i="1"/>
  <c r="Q1012" i="1"/>
  <c r="P1012" i="1"/>
  <c r="O1012" i="1"/>
  <c r="N1012" i="1"/>
  <c r="M1012" i="1"/>
  <c r="L1012" i="1"/>
  <c r="K1012" i="1"/>
  <c r="J1012" i="1"/>
  <c r="I1012" i="1"/>
  <c r="H1012" i="1"/>
  <c r="AH1011" i="1"/>
  <c r="AG1011" i="1"/>
  <c r="W1011" i="1"/>
  <c r="V1011" i="1"/>
  <c r="U1011" i="1"/>
  <c r="T1011" i="1"/>
  <c r="S1011" i="1"/>
  <c r="R1011" i="1"/>
  <c r="Q1011" i="1"/>
  <c r="P1011" i="1"/>
  <c r="O1011" i="1"/>
  <c r="N1011" i="1"/>
  <c r="M1011" i="1"/>
  <c r="L1011" i="1"/>
  <c r="K1011" i="1"/>
  <c r="J1011" i="1"/>
  <c r="I1011" i="1"/>
  <c r="H1011" i="1"/>
  <c r="AH1010" i="1"/>
  <c r="W1010" i="1"/>
  <c r="V1010" i="1"/>
  <c r="U1010" i="1"/>
  <c r="T1010" i="1"/>
  <c r="S1010" i="1"/>
  <c r="R1010" i="1"/>
  <c r="Q1010" i="1"/>
  <c r="P1010" i="1"/>
  <c r="O1010" i="1"/>
  <c r="N1010" i="1"/>
  <c r="M1010" i="1"/>
  <c r="L1010" i="1"/>
  <c r="K1010" i="1"/>
  <c r="J1010" i="1"/>
  <c r="I1010" i="1"/>
  <c r="H1010" i="1"/>
  <c r="AI1009" i="1"/>
  <c r="AH1009" i="1"/>
  <c r="AG1009" i="1"/>
  <c r="W1009" i="1"/>
  <c r="V1009" i="1"/>
  <c r="U1009" i="1"/>
  <c r="T1009" i="1"/>
  <c r="S1009" i="1"/>
  <c r="R1009" i="1"/>
  <c r="Q1009" i="1"/>
  <c r="P1009" i="1"/>
  <c r="O1009" i="1"/>
  <c r="N1009" i="1"/>
  <c r="M1009" i="1"/>
  <c r="L1009" i="1"/>
  <c r="K1009" i="1"/>
  <c r="J1009" i="1"/>
  <c r="I1009" i="1"/>
  <c r="H1009" i="1"/>
  <c r="AH1008" i="1"/>
  <c r="AG1008" i="1"/>
  <c r="W1008" i="1"/>
  <c r="V1008" i="1"/>
  <c r="U1008" i="1"/>
  <c r="T1008" i="1"/>
  <c r="S1008" i="1"/>
  <c r="R1008" i="1"/>
  <c r="Q1008" i="1"/>
  <c r="P1008" i="1"/>
  <c r="O1008" i="1"/>
  <c r="N1008" i="1"/>
  <c r="M1008" i="1"/>
  <c r="L1008" i="1"/>
  <c r="K1008" i="1"/>
  <c r="J1008" i="1"/>
  <c r="I1008" i="1"/>
  <c r="H1008" i="1"/>
  <c r="AH1007" i="1"/>
  <c r="AG1007" i="1"/>
  <c r="W1007" i="1"/>
  <c r="V1007" i="1"/>
  <c r="U1007" i="1"/>
  <c r="T1007" i="1"/>
  <c r="S1007" i="1"/>
  <c r="R1007" i="1"/>
  <c r="Q1007" i="1"/>
  <c r="P1007" i="1"/>
  <c r="O1007" i="1"/>
  <c r="N1007" i="1"/>
  <c r="M1007" i="1"/>
  <c r="L1007" i="1"/>
  <c r="K1007" i="1"/>
  <c r="J1007" i="1"/>
  <c r="I1007" i="1"/>
  <c r="H1007" i="1"/>
  <c r="AW1006" i="1"/>
  <c r="AV1006" i="1"/>
  <c r="AU1006" i="1"/>
  <c r="AT1006" i="1"/>
  <c r="AS1006" i="1"/>
  <c r="AR1006" i="1"/>
  <c r="AQ1006" i="1"/>
  <c r="AP1006" i="1"/>
  <c r="AI1006" i="1"/>
  <c r="AH1006" i="1"/>
  <c r="AG1006" i="1"/>
  <c r="W1006" i="1"/>
  <c r="V1006" i="1"/>
  <c r="U1006" i="1"/>
  <c r="T1006" i="1"/>
  <c r="S1006" i="1"/>
  <c r="R1006" i="1"/>
  <c r="Q1006" i="1"/>
  <c r="P1006" i="1"/>
  <c r="O1006" i="1"/>
  <c r="N1006" i="1"/>
  <c r="M1006" i="1"/>
  <c r="L1006" i="1"/>
  <c r="K1006" i="1"/>
  <c r="J1006" i="1"/>
  <c r="I1006" i="1"/>
  <c r="H1006" i="1"/>
  <c r="AW1005" i="1"/>
  <c r="AV1005" i="1"/>
  <c r="AU1005" i="1"/>
  <c r="AT1005" i="1"/>
  <c r="AS1005" i="1"/>
  <c r="AR1005" i="1"/>
  <c r="AQ1005" i="1"/>
  <c r="AP1005" i="1"/>
  <c r="W1005" i="1"/>
  <c r="V1005" i="1"/>
  <c r="U1005" i="1"/>
  <c r="T1005" i="1"/>
  <c r="S1005" i="1"/>
  <c r="R1005" i="1"/>
  <c r="Q1005" i="1"/>
  <c r="P1005" i="1"/>
  <c r="O1005" i="1"/>
  <c r="N1005" i="1"/>
  <c r="M1005" i="1"/>
  <c r="L1005" i="1"/>
  <c r="K1005" i="1"/>
  <c r="J1005" i="1"/>
  <c r="I1005" i="1"/>
  <c r="H1005" i="1"/>
  <c r="AZ1004" i="1"/>
  <c r="AY1004" i="1"/>
  <c r="AX1004" i="1"/>
  <c r="AW1004" i="1"/>
  <c r="AV1004" i="1"/>
  <c r="AU1004" i="1"/>
  <c r="AT1004" i="1"/>
  <c r="AS1004" i="1"/>
  <c r="AR1004" i="1"/>
  <c r="AQ1004" i="1"/>
  <c r="AP1004" i="1"/>
  <c r="AI1004" i="1"/>
  <c r="AH1004" i="1"/>
  <c r="AG1004" i="1"/>
  <c r="W1004" i="1"/>
  <c r="V1004" i="1"/>
  <c r="U1004" i="1"/>
  <c r="T1004" i="1"/>
  <c r="S1004" i="1"/>
  <c r="R1004" i="1"/>
  <c r="Q1004" i="1"/>
  <c r="P1004" i="1"/>
  <c r="O1004" i="1"/>
  <c r="N1004" i="1"/>
  <c r="M1004" i="1"/>
  <c r="L1004" i="1"/>
  <c r="K1004" i="1"/>
  <c r="J1004" i="1"/>
  <c r="I1004" i="1"/>
  <c r="H1004" i="1"/>
  <c r="AZ1003" i="1"/>
  <c r="AY1003" i="1"/>
  <c r="AX1003" i="1"/>
  <c r="AW1003" i="1"/>
  <c r="AV1003" i="1"/>
  <c r="AU1003" i="1"/>
  <c r="AT1003" i="1"/>
  <c r="AS1003" i="1"/>
  <c r="AR1003" i="1"/>
  <c r="AQ1003" i="1"/>
  <c r="AP1003" i="1"/>
  <c r="AI1003" i="1"/>
  <c r="AH1003" i="1"/>
  <c r="AG1003" i="1"/>
  <c r="W1003" i="1"/>
  <c r="V1003" i="1"/>
  <c r="U1003" i="1"/>
  <c r="T1003" i="1"/>
  <c r="S1003" i="1"/>
  <c r="R1003" i="1"/>
  <c r="Q1003" i="1"/>
  <c r="P1003" i="1"/>
  <c r="O1003" i="1"/>
  <c r="N1003" i="1"/>
  <c r="M1003" i="1"/>
  <c r="L1003" i="1"/>
  <c r="K1003" i="1"/>
  <c r="J1003" i="1"/>
  <c r="I1003" i="1"/>
  <c r="H1003" i="1"/>
  <c r="AZ1002" i="1"/>
  <c r="AY1002" i="1"/>
  <c r="AX1002" i="1"/>
  <c r="AW1002" i="1"/>
  <c r="AV1002" i="1"/>
  <c r="AU1002" i="1"/>
  <c r="AT1002" i="1"/>
  <c r="AS1002" i="1"/>
  <c r="AR1002" i="1"/>
  <c r="AQ1002" i="1"/>
  <c r="AP1002" i="1"/>
  <c r="AI1002" i="1"/>
  <c r="AH1002" i="1"/>
  <c r="AG1002" i="1"/>
  <c r="W1002" i="1"/>
  <c r="V1002" i="1"/>
  <c r="U1002" i="1"/>
  <c r="T1002" i="1"/>
  <c r="S1002" i="1"/>
  <c r="R1002" i="1"/>
  <c r="Q1002" i="1"/>
  <c r="P1002" i="1"/>
  <c r="O1002" i="1"/>
  <c r="N1002" i="1"/>
  <c r="M1002" i="1"/>
  <c r="L1002" i="1"/>
  <c r="K1002" i="1"/>
  <c r="J1002" i="1"/>
  <c r="I1002" i="1"/>
  <c r="H1002" i="1"/>
  <c r="AZ1001" i="1"/>
  <c r="AY1001" i="1"/>
  <c r="AX1001" i="1"/>
  <c r="AW1001" i="1"/>
  <c r="AV1001" i="1"/>
  <c r="AU1001" i="1"/>
  <c r="AT1001" i="1"/>
  <c r="AS1001" i="1"/>
  <c r="AR1001" i="1"/>
  <c r="AQ1001" i="1"/>
  <c r="AP1001" i="1"/>
  <c r="AH1001" i="1"/>
  <c r="AG1001" i="1"/>
  <c r="W1001" i="1"/>
  <c r="V1001" i="1"/>
  <c r="U1001" i="1"/>
  <c r="T1001" i="1"/>
  <c r="S1001" i="1"/>
  <c r="R1001" i="1"/>
  <c r="Q1001" i="1"/>
  <c r="P1001" i="1"/>
  <c r="O1001" i="1"/>
  <c r="N1001" i="1"/>
  <c r="M1001" i="1"/>
  <c r="L1001" i="1"/>
  <c r="K1001" i="1"/>
  <c r="J1001" i="1"/>
  <c r="I1001" i="1"/>
  <c r="H1001" i="1"/>
  <c r="AZ1000" i="1"/>
  <c r="AY1000" i="1"/>
  <c r="AX1000" i="1"/>
  <c r="AW1000" i="1"/>
  <c r="AV1000" i="1"/>
  <c r="AU1000" i="1"/>
  <c r="AT1000" i="1"/>
  <c r="AS1000" i="1"/>
  <c r="AR1000" i="1"/>
  <c r="AQ1000" i="1"/>
  <c r="AP1000" i="1"/>
  <c r="AH1000" i="1"/>
  <c r="AG1000" i="1"/>
  <c r="W1000" i="1"/>
  <c r="V1000" i="1"/>
  <c r="U1000" i="1"/>
  <c r="T1000" i="1"/>
  <c r="S1000" i="1"/>
  <c r="R1000" i="1"/>
  <c r="Q1000" i="1"/>
  <c r="P1000" i="1"/>
  <c r="O1000" i="1"/>
  <c r="N1000" i="1"/>
  <c r="M1000" i="1"/>
  <c r="L1000" i="1"/>
  <c r="K1000" i="1"/>
  <c r="J1000" i="1"/>
  <c r="I1000" i="1"/>
  <c r="H1000" i="1"/>
  <c r="AZ999" i="1"/>
  <c r="AY999" i="1"/>
  <c r="AX999" i="1"/>
  <c r="AW999" i="1"/>
  <c r="AV999" i="1"/>
  <c r="AU999" i="1"/>
  <c r="AT999" i="1"/>
  <c r="AS999" i="1"/>
  <c r="AR999" i="1"/>
  <c r="AQ999" i="1"/>
  <c r="AP999" i="1"/>
  <c r="AH999" i="1"/>
  <c r="AG999" i="1"/>
  <c r="W999" i="1"/>
  <c r="V999" i="1"/>
  <c r="U999" i="1"/>
  <c r="T999" i="1"/>
  <c r="S999" i="1"/>
  <c r="R999" i="1"/>
  <c r="Q999" i="1"/>
  <c r="P999" i="1"/>
  <c r="O999" i="1"/>
  <c r="N999" i="1"/>
  <c r="M999" i="1"/>
  <c r="L999" i="1"/>
  <c r="K999" i="1"/>
  <c r="J999" i="1"/>
  <c r="I999" i="1"/>
  <c r="H999" i="1"/>
  <c r="AZ998" i="1"/>
  <c r="AY998" i="1"/>
  <c r="AX998" i="1"/>
  <c r="AW998" i="1"/>
  <c r="AV998" i="1"/>
  <c r="AU998" i="1"/>
  <c r="AT998" i="1"/>
  <c r="AS998" i="1"/>
  <c r="AR998" i="1"/>
  <c r="AQ998" i="1"/>
  <c r="AP998" i="1"/>
  <c r="AH998" i="1"/>
  <c r="AG998" i="1"/>
  <c r="W998" i="1"/>
  <c r="V998" i="1"/>
  <c r="U998" i="1"/>
  <c r="T998" i="1"/>
  <c r="S998" i="1"/>
  <c r="R998" i="1"/>
  <c r="Q998" i="1"/>
  <c r="P998" i="1"/>
  <c r="O998" i="1"/>
  <c r="N998" i="1"/>
  <c r="M998" i="1"/>
  <c r="L998" i="1"/>
  <c r="K998" i="1"/>
  <c r="J998" i="1"/>
  <c r="I998" i="1"/>
  <c r="H998" i="1"/>
  <c r="AZ997" i="1"/>
  <c r="AY997" i="1"/>
  <c r="AX997" i="1"/>
  <c r="AW997" i="1"/>
  <c r="AV997" i="1"/>
  <c r="AU997" i="1"/>
  <c r="AT997" i="1"/>
  <c r="AS997" i="1"/>
  <c r="AR997" i="1"/>
  <c r="AQ997" i="1"/>
  <c r="AP997" i="1"/>
  <c r="AH997" i="1"/>
  <c r="AG997" i="1"/>
  <c r="W997" i="1"/>
  <c r="V997" i="1"/>
  <c r="U997" i="1"/>
  <c r="T997" i="1"/>
  <c r="S997" i="1"/>
  <c r="R997" i="1"/>
  <c r="Q997" i="1"/>
  <c r="P997" i="1"/>
  <c r="O997" i="1"/>
  <c r="N997" i="1"/>
  <c r="M997" i="1"/>
  <c r="L997" i="1"/>
  <c r="K997" i="1"/>
  <c r="J997" i="1"/>
  <c r="I997" i="1"/>
  <c r="H997" i="1"/>
  <c r="AZ996" i="1"/>
  <c r="AY996" i="1"/>
  <c r="AX996" i="1"/>
  <c r="AW996" i="1"/>
  <c r="AV996" i="1"/>
  <c r="AU996" i="1"/>
  <c r="AT996" i="1"/>
  <c r="AS996" i="1"/>
  <c r="AR996" i="1"/>
  <c r="AQ996" i="1"/>
  <c r="AP996" i="1"/>
  <c r="AH996" i="1"/>
  <c r="AG996" i="1"/>
  <c r="W996" i="1"/>
  <c r="V996" i="1"/>
  <c r="U996" i="1"/>
  <c r="T996" i="1"/>
  <c r="S996" i="1"/>
  <c r="R996" i="1"/>
  <c r="Q996" i="1"/>
  <c r="P996" i="1"/>
  <c r="O996" i="1"/>
  <c r="N996" i="1"/>
  <c r="M996" i="1"/>
  <c r="L996" i="1"/>
  <c r="K996" i="1"/>
  <c r="J996" i="1"/>
  <c r="I996" i="1"/>
  <c r="H996" i="1"/>
  <c r="AZ995" i="1"/>
  <c r="AY995" i="1"/>
  <c r="AX995" i="1"/>
  <c r="AW995" i="1"/>
  <c r="AV995" i="1"/>
  <c r="AU995" i="1"/>
  <c r="AT995" i="1"/>
  <c r="AS995" i="1"/>
  <c r="AR995" i="1"/>
  <c r="AQ995" i="1"/>
  <c r="AP995" i="1"/>
  <c r="AH995" i="1"/>
  <c r="AG995" i="1"/>
  <c r="W995" i="1"/>
  <c r="V995" i="1"/>
  <c r="U995" i="1"/>
  <c r="T995" i="1"/>
  <c r="S995" i="1"/>
  <c r="R995" i="1"/>
  <c r="Q995" i="1"/>
  <c r="P995" i="1"/>
  <c r="O995" i="1"/>
  <c r="N995" i="1"/>
  <c r="M995" i="1"/>
  <c r="L995" i="1"/>
  <c r="K995" i="1"/>
  <c r="J995" i="1"/>
  <c r="I995" i="1"/>
  <c r="H995" i="1"/>
  <c r="AZ994" i="1"/>
  <c r="AY994" i="1"/>
  <c r="AX994" i="1"/>
  <c r="AW994" i="1"/>
  <c r="AV994" i="1"/>
  <c r="AU994" i="1"/>
  <c r="AT994" i="1"/>
  <c r="AS994" i="1"/>
  <c r="AR994" i="1"/>
  <c r="AH994" i="1"/>
  <c r="AG994" i="1"/>
  <c r="W994" i="1"/>
  <c r="V994" i="1"/>
  <c r="U994" i="1"/>
  <c r="T994" i="1"/>
  <c r="S994" i="1"/>
  <c r="R994" i="1"/>
  <c r="Q994" i="1"/>
  <c r="P994" i="1"/>
  <c r="O994" i="1"/>
  <c r="N994" i="1"/>
  <c r="M994" i="1"/>
  <c r="L994" i="1"/>
  <c r="K994" i="1"/>
  <c r="J994" i="1"/>
  <c r="I994" i="1"/>
  <c r="H994" i="1"/>
  <c r="AZ993" i="1"/>
  <c r="AY993" i="1"/>
  <c r="AX993" i="1"/>
  <c r="AW993" i="1"/>
  <c r="AV993" i="1"/>
  <c r="AU993" i="1"/>
  <c r="AT993" i="1"/>
  <c r="AS993" i="1"/>
  <c r="AR993" i="1"/>
  <c r="AQ993" i="1"/>
  <c r="AP993" i="1"/>
  <c r="W993" i="1"/>
  <c r="V993" i="1"/>
  <c r="U993" i="1"/>
  <c r="T993" i="1"/>
  <c r="S993" i="1"/>
  <c r="R993" i="1"/>
  <c r="Q993" i="1"/>
  <c r="P993" i="1"/>
  <c r="O993" i="1"/>
  <c r="N993" i="1"/>
  <c r="M993" i="1"/>
  <c r="L993" i="1"/>
  <c r="K993" i="1"/>
  <c r="J993" i="1"/>
  <c r="I993" i="1"/>
  <c r="H993" i="1"/>
  <c r="AZ992" i="1"/>
  <c r="AY992" i="1"/>
  <c r="AX992" i="1"/>
  <c r="AW992" i="1"/>
  <c r="AV992" i="1"/>
  <c r="AU992" i="1"/>
  <c r="AT992" i="1"/>
  <c r="AS992" i="1"/>
  <c r="AR992" i="1"/>
  <c r="AQ992" i="1"/>
  <c r="AP992" i="1"/>
  <c r="AH992" i="1"/>
  <c r="AG992" i="1"/>
  <c r="W992" i="1"/>
  <c r="V992" i="1"/>
  <c r="U992" i="1"/>
  <c r="T992" i="1"/>
  <c r="S992" i="1"/>
  <c r="R992" i="1"/>
  <c r="Q992" i="1"/>
  <c r="P992" i="1"/>
  <c r="O992" i="1"/>
  <c r="N992" i="1"/>
  <c r="M992" i="1"/>
  <c r="L992" i="1"/>
  <c r="K992" i="1"/>
  <c r="J992" i="1"/>
  <c r="I992" i="1"/>
  <c r="H992" i="1"/>
  <c r="AZ991" i="1"/>
  <c r="AY991" i="1"/>
  <c r="AX991" i="1"/>
  <c r="AW991" i="1"/>
  <c r="AV991" i="1"/>
  <c r="AU991" i="1"/>
  <c r="AT991" i="1"/>
  <c r="AS991" i="1"/>
  <c r="AR991" i="1"/>
  <c r="AQ991" i="1"/>
  <c r="AP991" i="1"/>
  <c r="AH991" i="1"/>
  <c r="AG991" i="1"/>
  <c r="W991" i="1"/>
  <c r="V991" i="1"/>
  <c r="U991" i="1"/>
  <c r="T991" i="1"/>
  <c r="S991" i="1"/>
  <c r="R991" i="1"/>
  <c r="Q991" i="1"/>
  <c r="P991" i="1"/>
  <c r="O991" i="1"/>
  <c r="N991" i="1"/>
  <c r="M991" i="1"/>
  <c r="L991" i="1"/>
  <c r="K991" i="1"/>
  <c r="J991" i="1"/>
  <c r="I991" i="1"/>
  <c r="H991" i="1"/>
  <c r="AZ990" i="1"/>
  <c r="AY990" i="1"/>
  <c r="AX990" i="1"/>
  <c r="AW990" i="1"/>
  <c r="AV990" i="1"/>
  <c r="AU990" i="1"/>
  <c r="AT990" i="1"/>
  <c r="AS990" i="1"/>
  <c r="AR990" i="1"/>
  <c r="AQ990" i="1"/>
  <c r="AP990" i="1"/>
  <c r="AH990" i="1"/>
  <c r="AG990" i="1"/>
  <c r="W990" i="1"/>
  <c r="V990" i="1"/>
  <c r="U990" i="1"/>
  <c r="T990" i="1"/>
  <c r="S990" i="1"/>
  <c r="R990" i="1"/>
  <c r="Q990" i="1"/>
  <c r="P990" i="1"/>
  <c r="O990" i="1"/>
  <c r="N990" i="1"/>
  <c r="M990" i="1"/>
  <c r="L990" i="1"/>
  <c r="K990" i="1"/>
  <c r="J990" i="1"/>
  <c r="I990" i="1"/>
  <c r="H990" i="1"/>
  <c r="AZ989" i="1"/>
  <c r="AY989" i="1"/>
  <c r="AX989" i="1"/>
  <c r="AW989" i="1"/>
  <c r="AV989" i="1"/>
  <c r="AU989" i="1"/>
  <c r="AT989" i="1"/>
  <c r="AS989" i="1"/>
  <c r="AR989" i="1"/>
  <c r="AQ989" i="1"/>
  <c r="AP989" i="1"/>
  <c r="AH989" i="1"/>
  <c r="AG989" i="1"/>
  <c r="W989" i="1"/>
  <c r="V989" i="1"/>
  <c r="U989" i="1"/>
  <c r="T989" i="1"/>
  <c r="S989" i="1"/>
  <c r="R989" i="1"/>
  <c r="Q989" i="1"/>
  <c r="P989" i="1"/>
  <c r="O989" i="1"/>
  <c r="N989" i="1"/>
  <c r="M989" i="1"/>
  <c r="L989" i="1"/>
  <c r="K989" i="1"/>
  <c r="J989" i="1"/>
  <c r="I989" i="1"/>
  <c r="H989" i="1"/>
  <c r="AZ988" i="1"/>
  <c r="AY988" i="1"/>
  <c r="AX988" i="1"/>
  <c r="AW988" i="1"/>
  <c r="AV988" i="1"/>
  <c r="AU988" i="1"/>
  <c r="AT988" i="1"/>
  <c r="AS988" i="1"/>
  <c r="AR988" i="1"/>
  <c r="AQ988" i="1"/>
  <c r="AP988" i="1"/>
  <c r="AI988" i="1"/>
  <c r="AH988" i="1"/>
  <c r="AG988" i="1"/>
  <c r="W988" i="1"/>
  <c r="V988" i="1"/>
  <c r="U988" i="1"/>
  <c r="T988" i="1"/>
  <c r="S988" i="1"/>
  <c r="R988" i="1"/>
  <c r="Q988" i="1"/>
  <c r="P988" i="1"/>
  <c r="O988" i="1"/>
  <c r="N988" i="1"/>
  <c r="M988" i="1"/>
  <c r="L988" i="1"/>
  <c r="K988" i="1"/>
  <c r="J988" i="1"/>
  <c r="I988" i="1"/>
  <c r="H988" i="1"/>
  <c r="AZ987" i="1"/>
  <c r="AY987" i="1"/>
  <c r="AX987" i="1"/>
  <c r="AW987" i="1"/>
  <c r="AV987" i="1"/>
  <c r="AU987" i="1"/>
  <c r="AT987" i="1"/>
  <c r="AS987" i="1"/>
  <c r="AR987" i="1"/>
  <c r="AQ987" i="1"/>
  <c r="AP987" i="1"/>
  <c r="AH987" i="1"/>
  <c r="AG987" i="1"/>
  <c r="W987" i="1"/>
  <c r="V987" i="1"/>
  <c r="U987" i="1"/>
  <c r="T987" i="1"/>
  <c r="S987" i="1"/>
  <c r="R987" i="1"/>
  <c r="Q987" i="1"/>
  <c r="P987" i="1"/>
  <c r="O987" i="1"/>
  <c r="N987" i="1"/>
  <c r="M987" i="1"/>
  <c r="L987" i="1"/>
  <c r="K987" i="1"/>
  <c r="J987" i="1"/>
  <c r="I987" i="1"/>
  <c r="H987" i="1"/>
  <c r="AZ986" i="1"/>
  <c r="AY986" i="1"/>
  <c r="AX986" i="1"/>
  <c r="AW986" i="1"/>
  <c r="AV986" i="1"/>
  <c r="AU986" i="1"/>
  <c r="AT986" i="1"/>
  <c r="AS986" i="1"/>
  <c r="AR986" i="1"/>
  <c r="AQ986" i="1"/>
  <c r="AP986" i="1"/>
  <c r="AH986" i="1"/>
  <c r="AG986" i="1"/>
  <c r="W986" i="1"/>
  <c r="V986" i="1"/>
  <c r="U986" i="1"/>
  <c r="T986" i="1"/>
  <c r="S986" i="1"/>
  <c r="R986" i="1"/>
  <c r="Q986" i="1"/>
  <c r="P986" i="1"/>
  <c r="O986" i="1"/>
  <c r="N986" i="1"/>
  <c r="M986" i="1"/>
  <c r="L986" i="1"/>
  <c r="K986" i="1"/>
  <c r="J986" i="1"/>
  <c r="I986" i="1"/>
  <c r="H986" i="1"/>
  <c r="AZ985" i="1"/>
  <c r="AY985" i="1"/>
  <c r="AX985" i="1"/>
  <c r="AW985" i="1"/>
  <c r="AV985" i="1"/>
  <c r="AU985" i="1"/>
  <c r="AT985" i="1"/>
  <c r="AS985" i="1"/>
  <c r="AR985" i="1"/>
  <c r="AQ985" i="1"/>
  <c r="AP985" i="1"/>
  <c r="AI985" i="1"/>
  <c r="AH985" i="1"/>
  <c r="AG985" i="1"/>
  <c r="W985" i="1"/>
  <c r="V985" i="1"/>
  <c r="U985" i="1"/>
  <c r="T985" i="1"/>
  <c r="S985" i="1"/>
  <c r="R985" i="1"/>
  <c r="Q985" i="1"/>
  <c r="P985" i="1"/>
  <c r="O985" i="1"/>
  <c r="N985" i="1"/>
  <c r="M985" i="1"/>
  <c r="L985" i="1"/>
  <c r="K985" i="1"/>
  <c r="J985" i="1"/>
  <c r="I985" i="1"/>
  <c r="H985" i="1"/>
  <c r="AZ984" i="1"/>
  <c r="AY984" i="1"/>
  <c r="AX984" i="1"/>
  <c r="AW984" i="1"/>
  <c r="AV984" i="1"/>
  <c r="AU984" i="1"/>
  <c r="AT984" i="1"/>
  <c r="AS984" i="1"/>
  <c r="AR984" i="1"/>
  <c r="AQ984" i="1"/>
  <c r="AP984" i="1"/>
  <c r="AI984" i="1"/>
  <c r="AH984" i="1"/>
  <c r="AG984" i="1"/>
  <c r="W984" i="1"/>
  <c r="V984" i="1"/>
  <c r="U984" i="1"/>
  <c r="T984" i="1"/>
  <c r="S984" i="1"/>
  <c r="R984" i="1"/>
  <c r="Q984" i="1"/>
  <c r="P984" i="1"/>
  <c r="O984" i="1"/>
  <c r="N984" i="1"/>
  <c r="M984" i="1"/>
  <c r="L984" i="1"/>
  <c r="K984" i="1"/>
  <c r="J984" i="1"/>
  <c r="I984" i="1"/>
  <c r="H984" i="1"/>
  <c r="AZ983" i="1"/>
  <c r="AY983" i="1"/>
  <c r="AX983" i="1"/>
  <c r="AW983" i="1"/>
  <c r="AV983" i="1"/>
  <c r="AU983" i="1"/>
  <c r="AT983" i="1"/>
  <c r="AS983" i="1"/>
  <c r="AR983" i="1"/>
  <c r="AQ983" i="1"/>
  <c r="AP983" i="1"/>
  <c r="W983" i="1"/>
  <c r="V983" i="1"/>
  <c r="U983" i="1"/>
  <c r="T983" i="1"/>
  <c r="S983" i="1"/>
  <c r="R983" i="1"/>
  <c r="Q983" i="1"/>
  <c r="P983" i="1"/>
  <c r="O983" i="1"/>
  <c r="N983" i="1"/>
  <c r="M983" i="1"/>
  <c r="L983" i="1"/>
  <c r="K983" i="1"/>
  <c r="J983" i="1"/>
  <c r="I983" i="1"/>
  <c r="H983" i="1"/>
  <c r="AZ982" i="1"/>
  <c r="AY982" i="1"/>
  <c r="AX982" i="1"/>
  <c r="AW982" i="1"/>
  <c r="AV982" i="1"/>
  <c r="AU982" i="1"/>
  <c r="AT982" i="1"/>
  <c r="AS982" i="1"/>
  <c r="AR982" i="1"/>
  <c r="AQ982" i="1"/>
  <c r="AP982" i="1"/>
  <c r="AH982" i="1"/>
  <c r="AG982" i="1"/>
  <c r="W982" i="1"/>
  <c r="V982" i="1"/>
  <c r="U982" i="1"/>
  <c r="T982" i="1"/>
  <c r="S982" i="1"/>
  <c r="R982" i="1"/>
  <c r="Q982" i="1"/>
  <c r="P982" i="1"/>
  <c r="O982" i="1"/>
  <c r="N982" i="1"/>
  <c r="M982" i="1"/>
  <c r="L982" i="1"/>
  <c r="K982" i="1"/>
  <c r="J982" i="1"/>
  <c r="I982" i="1"/>
  <c r="H982" i="1"/>
  <c r="AZ981" i="1"/>
  <c r="AY981" i="1"/>
  <c r="AX981" i="1"/>
  <c r="AW981" i="1"/>
  <c r="AV981" i="1"/>
  <c r="AU981" i="1"/>
  <c r="AT981" i="1"/>
  <c r="AS981" i="1"/>
  <c r="AR981" i="1"/>
  <c r="AQ981" i="1"/>
  <c r="AP981" i="1"/>
  <c r="AH981" i="1"/>
  <c r="AG981" i="1"/>
  <c r="W981" i="1"/>
  <c r="V981" i="1"/>
  <c r="U981" i="1"/>
  <c r="T981" i="1"/>
  <c r="S981" i="1"/>
  <c r="R981" i="1"/>
  <c r="Q981" i="1"/>
  <c r="P981" i="1"/>
  <c r="O981" i="1"/>
  <c r="N981" i="1"/>
  <c r="M981" i="1"/>
  <c r="L981" i="1"/>
  <c r="K981" i="1"/>
  <c r="J981" i="1"/>
  <c r="I981" i="1"/>
  <c r="H981" i="1"/>
  <c r="AZ980" i="1"/>
  <c r="AY980" i="1"/>
  <c r="AX980" i="1"/>
  <c r="AW980" i="1"/>
  <c r="AV980" i="1"/>
  <c r="AU980" i="1"/>
  <c r="AT980" i="1"/>
  <c r="AS980" i="1"/>
  <c r="AR980" i="1"/>
  <c r="AQ980" i="1"/>
  <c r="AP980" i="1"/>
  <c r="AH980" i="1"/>
  <c r="AG980" i="1"/>
  <c r="W980" i="1"/>
  <c r="V980" i="1"/>
  <c r="U980" i="1"/>
  <c r="T980" i="1"/>
  <c r="S980" i="1"/>
  <c r="R980" i="1"/>
  <c r="Q980" i="1"/>
  <c r="P980" i="1"/>
  <c r="O980" i="1"/>
  <c r="N980" i="1"/>
  <c r="M980" i="1"/>
  <c r="L980" i="1"/>
  <c r="K980" i="1"/>
  <c r="J980" i="1"/>
  <c r="I980" i="1"/>
  <c r="H980" i="1"/>
  <c r="AZ979" i="1"/>
  <c r="AY979" i="1"/>
  <c r="AX979" i="1"/>
  <c r="AW979" i="1"/>
  <c r="AV979" i="1"/>
  <c r="AU979" i="1"/>
  <c r="AT979" i="1"/>
  <c r="AS979" i="1"/>
  <c r="AR979" i="1"/>
  <c r="AQ979" i="1"/>
  <c r="AP979" i="1"/>
  <c r="W979" i="1"/>
  <c r="V979" i="1"/>
  <c r="U979" i="1"/>
  <c r="T979" i="1"/>
  <c r="S979" i="1"/>
  <c r="R979" i="1"/>
  <c r="Q979" i="1"/>
  <c r="P979" i="1"/>
  <c r="O979" i="1"/>
  <c r="N979" i="1"/>
  <c r="M979" i="1"/>
  <c r="L979" i="1"/>
  <c r="K979" i="1"/>
  <c r="J979" i="1"/>
  <c r="I979" i="1"/>
  <c r="H979" i="1"/>
  <c r="AZ978" i="1"/>
  <c r="AY978" i="1"/>
  <c r="AX978" i="1"/>
  <c r="AW978" i="1"/>
  <c r="AV978" i="1"/>
  <c r="AU978" i="1"/>
  <c r="AT978" i="1"/>
  <c r="AS978" i="1"/>
  <c r="AR978" i="1"/>
  <c r="AQ978" i="1"/>
  <c r="AP978" i="1"/>
  <c r="AH978" i="1"/>
  <c r="AG978" i="1"/>
  <c r="W978" i="1"/>
  <c r="V978" i="1"/>
  <c r="U978" i="1"/>
  <c r="T978" i="1"/>
  <c r="S978" i="1"/>
  <c r="R978" i="1"/>
  <c r="Q978" i="1"/>
  <c r="P978" i="1"/>
  <c r="O978" i="1"/>
  <c r="N978" i="1"/>
  <c r="M978" i="1"/>
  <c r="L978" i="1"/>
  <c r="K978" i="1"/>
  <c r="J978" i="1"/>
  <c r="I978" i="1"/>
  <c r="H978" i="1"/>
  <c r="AZ977" i="1"/>
  <c r="AY977" i="1"/>
  <c r="AX977" i="1"/>
  <c r="AW977" i="1"/>
  <c r="AV977" i="1"/>
  <c r="AU977" i="1"/>
  <c r="AT977" i="1"/>
  <c r="AS977" i="1"/>
  <c r="AR977" i="1"/>
  <c r="AQ977" i="1"/>
  <c r="AP977" i="1"/>
  <c r="AI977" i="1"/>
  <c r="AH977" i="1"/>
  <c r="AG977" i="1"/>
  <c r="W977" i="1"/>
  <c r="V977" i="1"/>
  <c r="U977" i="1"/>
  <c r="T977" i="1"/>
  <c r="S977" i="1"/>
  <c r="R977" i="1"/>
  <c r="Q977" i="1"/>
  <c r="P977" i="1"/>
  <c r="O977" i="1"/>
  <c r="N977" i="1"/>
  <c r="M977" i="1"/>
  <c r="L977" i="1"/>
  <c r="K977" i="1"/>
  <c r="J977" i="1"/>
  <c r="I977" i="1"/>
  <c r="H977" i="1"/>
  <c r="AZ976" i="1"/>
  <c r="AY976" i="1"/>
  <c r="AX976" i="1"/>
  <c r="AW976" i="1"/>
  <c r="AV976" i="1"/>
  <c r="AU976" i="1"/>
  <c r="AT976" i="1"/>
  <c r="AS976" i="1"/>
  <c r="AR976" i="1"/>
  <c r="AQ976" i="1"/>
  <c r="AP976" i="1"/>
  <c r="AH976" i="1"/>
  <c r="AG976" i="1"/>
  <c r="W976" i="1"/>
  <c r="V976" i="1"/>
  <c r="U976" i="1"/>
  <c r="T976" i="1"/>
  <c r="S976" i="1"/>
  <c r="R976" i="1"/>
  <c r="Q976" i="1"/>
  <c r="P976" i="1"/>
  <c r="O976" i="1"/>
  <c r="N976" i="1"/>
  <c r="M976" i="1"/>
  <c r="L976" i="1"/>
  <c r="K976" i="1"/>
  <c r="J976" i="1"/>
  <c r="I976" i="1"/>
  <c r="H976" i="1"/>
  <c r="AZ975" i="1"/>
  <c r="AY975" i="1"/>
  <c r="AX975" i="1"/>
  <c r="AW975" i="1"/>
  <c r="AV975" i="1"/>
  <c r="AU975" i="1"/>
  <c r="AT975" i="1"/>
  <c r="AS975" i="1"/>
  <c r="AR975" i="1"/>
  <c r="AQ975" i="1"/>
  <c r="AP975" i="1"/>
  <c r="AI975" i="1"/>
  <c r="AH975" i="1"/>
  <c r="AG975" i="1"/>
  <c r="W975" i="1"/>
  <c r="V975" i="1"/>
  <c r="U975" i="1"/>
  <c r="T975" i="1"/>
  <c r="S975" i="1"/>
  <c r="R975" i="1"/>
  <c r="Q975" i="1"/>
  <c r="P975" i="1"/>
  <c r="O975" i="1"/>
  <c r="N975" i="1"/>
  <c r="M975" i="1"/>
  <c r="L975" i="1"/>
  <c r="K975" i="1"/>
  <c r="J975" i="1"/>
  <c r="I975" i="1"/>
  <c r="H975" i="1"/>
  <c r="AZ974" i="1"/>
  <c r="AY974" i="1"/>
  <c r="AX974" i="1"/>
  <c r="AW974" i="1"/>
  <c r="AV974" i="1"/>
  <c r="AU974" i="1"/>
  <c r="AT974" i="1"/>
  <c r="AS974" i="1"/>
  <c r="AR974" i="1"/>
  <c r="AQ974" i="1"/>
  <c r="AP974" i="1"/>
  <c r="AH974" i="1"/>
  <c r="AG974" i="1"/>
  <c r="W974" i="1"/>
  <c r="V974" i="1"/>
  <c r="U974" i="1"/>
  <c r="T974" i="1"/>
  <c r="S974" i="1"/>
  <c r="R974" i="1"/>
  <c r="Q974" i="1"/>
  <c r="P974" i="1"/>
  <c r="O974" i="1"/>
  <c r="N974" i="1"/>
  <c r="M974" i="1"/>
  <c r="L974" i="1"/>
  <c r="K974" i="1"/>
  <c r="J974" i="1"/>
  <c r="I974" i="1"/>
  <c r="H974" i="1"/>
  <c r="AZ973" i="1"/>
  <c r="AY973" i="1"/>
  <c r="AX973" i="1"/>
  <c r="AW973" i="1"/>
  <c r="AV973" i="1"/>
  <c r="AU973" i="1"/>
  <c r="AT973" i="1"/>
  <c r="AS973" i="1"/>
  <c r="AR973" i="1"/>
  <c r="AQ973" i="1"/>
  <c r="AP973" i="1"/>
  <c r="AH973" i="1"/>
  <c r="AG973" i="1"/>
  <c r="W973" i="1"/>
  <c r="V973" i="1"/>
  <c r="U973" i="1"/>
  <c r="T973" i="1"/>
  <c r="S973" i="1"/>
  <c r="R973" i="1"/>
  <c r="Q973" i="1"/>
  <c r="P973" i="1"/>
  <c r="O973" i="1"/>
  <c r="N973" i="1"/>
  <c r="M973" i="1"/>
  <c r="L973" i="1"/>
  <c r="K973" i="1"/>
  <c r="J973" i="1"/>
  <c r="I973" i="1"/>
  <c r="H973" i="1"/>
  <c r="AZ972" i="1"/>
  <c r="AY972" i="1"/>
  <c r="AX972" i="1"/>
  <c r="AW972" i="1"/>
  <c r="AV972" i="1"/>
  <c r="AU972" i="1"/>
  <c r="AT972" i="1"/>
  <c r="AS972" i="1"/>
  <c r="AR972" i="1"/>
  <c r="AQ972" i="1"/>
  <c r="AP972" i="1"/>
  <c r="AH972" i="1"/>
  <c r="AG972" i="1"/>
  <c r="W972" i="1"/>
  <c r="V972" i="1"/>
  <c r="U972" i="1"/>
  <c r="T972" i="1"/>
  <c r="S972" i="1"/>
  <c r="R972" i="1"/>
  <c r="Q972" i="1"/>
  <c r="P972" i="1"/>
  <c r="O972" i="1"/>
  <c r="N972" i="1"/>
  <c r="M972" i="1"/>
  <c r="L972" i="1"/>
  <c r="K972" i="1"/>
  <c r="J972" i="1"/>
  <c r="I972" i="1"/>
  <c r="H972" i="1"/>
  <c r="AZ971" i="1"/>
  <c r="AY971" i="1"/>
  <c r="AX971" i="1"/>
  <c r="AW971" i="1"/>
  <c r="AV971" i="1"/>
  <c r="AU971" i="1"/>
  <c r="AT971" i="1"/>
  <c r="AS971" i="1"/>
  <c r="AR971" i="1"/>
  <c r="AQ971" i="1"/>
  <c r="AP971" i="1"/>
  <c r="AH971" i="1"/>
  <c r="AG971" i="1"/>
  <c r="W971" i="1"/>
  <c r="V971" i="1"/>
  <c r="U971" i="1"/>
  <c r="T971" i="1"/>
  <c r="S971" i="1"/>
  <c r="R971" i="1"/>
  <c r="Q971" i="1"/>
  <c r="P971" i="1"/>
  <c r="O971" i="1"/>
  <c r="N971" i="1"/>
  <c r="M971" i="1"/>
  <c r="L971" i="1"/>
  <c r="K971" i="1"/>
  <c r="J971" i="1"/>
  <c r="I971" i="1"/>
  <c r="H971" i="1"/>
  <c r="AZ970" i="1"/>
  <c r="AY970" i="1"/>
  <c r="AX970" i="1"/>
  <c r="AW970" i="1"/>
  <c r="AV970" i="1"/>
  <c r="AU970" i="1"/>
  <c r="AT970" i="1"/>
  <c r="AS970" i="1"/>
  <c r="AR970" i="1"/>
  <c r="AQ970" i="1"/>
  <c r="AP970" i="1"/>
  <c r="AH970" i="1"/>
  <c r="AG970" i="1"/>
  <c r="W970" i="1"/>
  <c r="V970" i="1"/>
  <c r="U970" i="1"/>
  <c r="T970" i="1"/>
  <c r="S970" i="1"/>
  <c r="R970" i="1"/>
  <c r="Q970" i="1"/>
  <c r="P970" i="1"/>
  <c r="O970" i="1"/>
  <c r="N970" i="1"/>
  <c r="M970" i="1"/>
  <c r="L970" i="1"/>
  <c r="K970" i="1"/>
  <c r="J970" i="1"/>
  <c r="I970" i="1"/>
  <c r="H970" i="1"/>
  <c r="AZ969" i="1"/>
  <c r="AY969" i="1"/>
  <c r="AX969" i="1"/>
  <c r="AW969" i="1"/>
  <c r="AV969" i="1"/>
  <c r="AU969" i="1"/>
  <c r="AT969" i="1"/>
  <c r="AS969" i="1"/>
  <c r="AR969" i="1"/>
  <c r="AQ969" i="1"/>
  <c r="AP969" i="1"/>
  <c r="AI969" i="1"/>
  <c r="AH969" i="1"/>
  <c r="AG969" i="1"/>
  <c r="W969" i="1"/>
  <c r="V969" i="1"/>
  <c r="U969" i="1"/>
  <c r="T969" i="1"/>
  <c r="S969" i="1"/>
  <c r="R969" i="1"/>
  <c r="Q969" i="1"/>
  <c r="P969" i="1"/>
  <c r="O969" i="1"/>
  <c r="N969" i="1"/>
  <c r="M969" i="1"/>
  <c r="L969" i="1"/>
  <c r="K969" i="1"/>
  <c r="J969" i="1"/>
  <c r="I969" i="1"/>
  <c r="H969" i="1"/>
  <c r="AZ968" i="1"/>
  <c r="AY968" i="1"/>
  <c r="AX968" i="1"/>
  <c r="AW968" i="1"/>
  <c r="AV968" i="1"/>
  <c r="AU968" i="1"/>
  <c r="AT968" i="1"/>
  <c r="AS968" i="1"/>
  <c r="AR968" i="1"/>
  <c r="AQ968" i="1"/>
  <c r="AP968" i="1"/>
  <c r="AI968" i="1"/>
  <c r="AH968" i="1"/>
  <c r="AG968" i="1"/>
  <c r="W968" i="1"/>
  <c r="V968" i="1"/>
  <c r="U968" i="1"/>
  <c r="T968" i="1"/>
  <c r="S968" i="1"/>
  <c r="R968" i="1"/>
  <c r="Q968" i="1"/>
  <c r="P968" i="1"/>
  <c r="O968" i="1"/>
  <c r="N968" i="1"/>
  <c r="M968" i="1"/>
  <c r="L968" i="1"/>
  <c r="K968" i="1"/>
  <c r="J968" i="1"/>
  <c r="I968" i="1"/>
  <c r="H968" i="1"/>
  <c r="AZ967" i="1"/>
  <c r="AY967" i="1"/>
  <c r="AX967" i="1"/>
  <c r="AW967" i="1"/>
  <c r="AV967" i="1"/>
  <c r="AU967" i="1"/>
  <c r="AT967" i="1"/>
  <c r="AS967" i="1"/>
  <c r="AR967" i="1"/>
  <c r="AQ967" i="1"/>
  <c r="AP967" i="1"/>
  <c r="AH967" i="1"/>
  <c r="AG967" i="1"/>
  <c r="W967" i="1"/>
  <c r="V967" i="1"/>
  <c r="U967" i="1"/>
  <c r="T967" i="1"/>
  <c r="S967" i="1"/>
  <c r="R967" i="1"/>
  <c r="Q967" i="1"/>
  <c r="P967" i="1"/>
  <c r="O967" i="1"/>
  <c r="N967" i="1"/>
  <c r="M967" i="1"/>
  <c r="L967" i="1"/>
  <c r="K967" i="1"/>
  <c r="J967" i="1"/>
  <c r="I967" i="1"/>
  <c r="H967" i="1"/>
  <c r="AZ966" i="1"/>
  <c r="AY966" i="1"/>
  <c r="AX966" i="1"/>
  <c r="AW966" i="1"/>
  <c r="AV966" i="1"/>
  <c r="AU966" i="1"/>
  <c r="AT966" i="1"/>
  <c r="AS966" i="1"/>
  <c r="AR966" i="1"/>
  <c r="AQ966" i="1"/>
  <c r="AP966" i="1"/>
  <c r="AI966" i="1"/>
  <c r="AH966" i="1"/>
  <c r="AG966" i="1"/>
  <c r="W966" i="1"/>
  <c r="V966" i="1"/>
  <c r="U966" i="1"/>
  <c r="T966" i="1"/>
  <c r="S966" i="1"/>
  <c r="R966" i="1"/>
  <c r="Q966" i="1"/>
  <c r="P966" i="1"/>
  <c r="O966" i="1"/>
  <c r="N966" i="1"/>
  <c r="M966" i="1"/>
  <c r="L966" i="1"/>
  <c r="K966" i="1"/>
  <c r="J966" i="1"/>
  <c r="I966" i="1"/>
  <c r="H966" i="1"/>
  <c r="AZ965" i="1"/>
  <c r="AY965" i="1"/>
  <c r="AX965" i="1"/>
  <c r="AW965" i="1"/>
  <c r="AV965" i="1"/>
  <c r="AU965" i="1"/>
  <c r="AT965" i="1"/>
  <c r="AS965" i="1"/>
  <c r="AR965" i="1"/>
  <c r="AQ965" i="1"/>
  <c r="AP965" i="1"/>
  <c r="AI965" i="1"/>
  <c r="AH965" i="1"/>
  <c r="AG965" i="1"/>
  <c r="W965" i="1"/>
  <c r="V965" i="1"/>
  <c r="U965" i="1"/>
  <c r="T965" i="1"/>
  <c r="S965" i="1"/>
  <c r="R965" i="1"/>
  <c r="Q965" i="1"/>
  <c r="P965" i="1"/>
  <c r="O965" i="1"/>
  <c r="N965" i="1"/>
  <c r="M965" i="1"/>
  <c r="L965" i="1"/>
  <c r="K965" i="1"/>
  <c r="J965" i="1"/>
  <c r="I965" i="1"/>
  <c r="H965" i="1"/>
  <c r="AZ964" i="1"/>
  <c r="AY964" i="1"/>
  <c r="AX964" i="1"/>
  <c r="AW964" i="1"/>
  <c r="AV964" i="1"/>
  <c r="AU964" i="1"/>
  <c r="AT964" i="1"/>
  <c r="AS964" i="1"/>
  <c r="AR964" i="1"/>
  <c r="AQ964" i="1"/>
  <c r="AP964" i="1"/>
  <c r="AH964" i="1"/>
  <c r="AG964" i="1"/>
  <c r="W964" i="1"/>
  <c r="V964" i="1"/>
  <c r="U964" i="1"/>
  <c r="T964" i="1"/>
  <c r="S964" i="1"/>
  <c r="R964" i="1"/>
  <c r="Q964" i="1"/>
  <c r="P964" i="1"/>
  <c r="O964" i="1"/>
  <c r="N964" i="1"/>
  <c r="M964" i="1"/>
  <c r="L964" i="1"/>
  <c r="K964" i="1"/>
  <c r="J964" i="1"/>
  <c r="I964" i="1"/>
  <c r="H964" i="1"/>
  <c r="AZ963" i="1"/>
  <c r="AY963" i="1"/>
  <c r="AX963" i="1"/>
  <c r="AW963" i="1"/>
  <c r="AV963" i="1"/>
  <c r="AU963" i="1"/>
  <c r="AT963" i="1"/>
  <c r="AS963" i="1"/>
  <c r="AR963" i="1"/>
  <c r="AQ963" i="1"/>
  <c r="AP963" i="1"/>
  <c r="AH963" i="1"/>
  <c r="AG963" i="1"/>
  <c r="W963" i="1"/>
  <c r="V963" i="1"/>
  <c r="U963" i="1"/>
  <c r="T963" i="1"/>
  <c r="S963" i="1"/>
  <c r="R963" i="1"/>
  <c r="Q963" i="1"/>
  <c r="P963" i="1"/>
  <c r="O963" i="1"/>
  <c r="N963" i="1"/>
  <c r="M963" i="1"/>
  <c r="L963" i="1"/>
  <c r="K963" i="1"/>
  <c r="J963" i="1"/>
  <c r="I963" i="1"/>
  <c r="H963" i="1"/>
  <c r="AZ962" i="1"/>
  <c r="AY962" i="1"/>
  <c r="AX962" i="1"/>
  <c r="AW962" i="1"/>
  <c r="AV962" i="1"/>
  <c r="AU962" i="1"/>
  <c r="AT962" i="1"/>
  <c r="AS962" i="1"/>
  <c r="AR962" i="1"/>
  <c r="AQ962" i="1"/>
  <c r="AP962" i="1"/>
  <c r="AH962" i="1"/>
  <c r="AG962" i="1"/>
  <c r="W962" i="1"/>
  <c r="V962" i="1"/>
  <c r="U962" i="1"/>
  <c r="T962" i="1"/>
  <c r="S962" i="1"/>
  <c r="R962" i="1"/>
  <c r="Q962" i="1"/>
  <c r="P962" i="1"/>
  <c r="O962" i="1"/>
  <c r="N962" i="1"/>
  <c r="M962" i="1"/>
  <c r="L962" i="1"/>
  <c r="K962" i="1"/>
  <c r="J962" i="1"/>
  <c r="I962" i="1"/>
  <c r="H962" i="1"/>
  <c r="AZ961" i="1"/>
  <c r="AY961" i="1"/>
  <c r="AX961" i="1"/>
  <c r="AW961" i="1"/>
  <c r="AV961" i="1"/>
  <c r="AU961" i="1"/>
  <c r="AT961" i="1"/>
  <c r="AS961" i="1"/>
  <c r="AR961" i="1"/>
  <c r="AQ961" i="1"/>
  <c r="AP961" i="1"/>
  <c r="AH961" i="1"/>
  <c r="AG961" i="1"/>
  <c r="W961" i="1"/>
  <c r="V961" i="1"/>
  <c r="U961" i="1"/>
  <c r="T961" i="1"/>
  <c r="S961" i="1"/>
  <c r="R961" i="1"/>
  <c r="Q961" i="1"/>
  <c r="P961" i="1"/>
  <c r="O961" i="1"/>
  <c r="N961" i="1"/>
  <c r="M961" i="1"/>
  <c r="L961" i="1"/>
  <c r="K961" i="1"/>
  <c r="J961" i="1"/>
  <c r="I961" i="1"/>
  <c r="H961" i="1"/>
  <c r="AZ960" i="1"/>
  <c r="AY960" i="1"/>
  <c r="AX960" i="1"/>
  <c r="AW960" i="1"/>
  <c r="AV960" i="1"/>
  <c r="AU960" i="1"/>
  <c r="AT960" i="1"/>
  <c r="AS960" i="1"/>
  <c r="AR960" i="1"/>
  <c r="AQ960" i="1"/>
  <c r="AP960" i="1"/>
  <c r="AI960" i="1"/>
  <c r="AH960" i="1"/>
  <c r="AG960" i="1"/>
  <c r="W960" i="1"/>
  <c r="V960" i="1"/>
  <c r="U960" i="1"/>
  <c r="T960" i="1"/>
  <c r="S960" i="1"/>
  <c r="R960" i="1"/>
  <c r="Q960" i="1"/>
  <c r="P960" i="1"/>
  <c r="O960" i="1"/>
  <c r="N960" i="1"/>
  <c r="M960" i="1"/>
  <c r="L960" i="1"/>
  <c r="K960" i="1"/>
  <c r="J960" i="1"/>
  <c r="I960" i="1"/>
  <c r="H960" i="1"/>
  <c r="AZ959" i="1"/>
  <c r="AY959" i="1"/>
  <c r="AX959" i="1"/>
  <c r="AW959" i="1"/>
  <c r="AV959" i="1"/>
  <c r="AU959" i="1"/>
  <c r="AT959" i="1"/>
  <c r="AS959" i="1"/>
  <c r="AR959" i="1"/>
  <c r="AQ959" i="1"/>
  <c r="AP959" i="1"/>
  <c r="AI959" i="1"/>
  <c r="AH959" i="1"/>
  <c r="AG959" i="1"/>
  <c r="W959" i="1"/>
  <c r="V959" i="1"/>
  <c r="U959" i="1"/>
  <c r="T959" i="1"/>
  <c r="S959" i="1"/>
  <c r="R959" i="1"/>
  <c r="Q959" i="1"/>
  <c r="P959" i="1"/>
  <c r="O959" i="1"/>
  <c r="N959" i="1"/>
  <c r="M959" i="1"/>
  <c r="L959" i="1"/>
  <c r="K959" i="1"/>
  <c r="J959" i="1"/>
  <c r="I959" i="1"/>
  <c r="H959" i="1"/>
  <c r="AZ958" i="1"/>
  <c r="AY958" i="1"/>
  <c r="AX958" i="1"/>
  <c r="AW958" i="1"/>
  <c r="AV958" i="1"/>
  <c r="AU958" i="1"/>
  <c r="AT958" i="1"/>
  <c r="AS958" i="1"/>
  <c r="AR958" i="1"/>
  <c r="AQ958" i="1"/>
  <c r="AP958" i="1"/>
  <c r="AI958" i="1"/>
  <c r="AH958" i="1"/>
  <c r="AG958" i="1"/>
  <c r="W958" i="1"/>
  <c r="V958" i="1"/>
  <c r="U958" i="1"/>
  <c r="T958" i="1"/>
  <c r="S958" i="1"/>
  <c r="R958" i="1"/>
  <c r="Q958" i="1"/>
  <c r="P958" i="1"/>
  <c r="O958" i="1"/>
  <c r="N958" i="1"/>
  <c r="M958" i="1"/>
  <c r="L958" i="1"/>
  <c r="K958" i="1"/>
  <c r="J958" i="1"/>
  <c r="I958" i="1"/>
  <c r="H958" i="1"/>
  <c r="AZ957" i="1"/>
  <c r="AY957" i="1"/>
  <c r="AX957" i="1"/>
  <c r="AW957" i="1"/>
  <c r="AV957" i="1"/>
  <c r="AU957" i="1"/>
  <c r="AT957" i="1"/>
  <c r="AS957" i="1"/>
  <c r="AR957" i="1"/>
  <c r="AQ957" i="1"/>
  <c r="AP957" i="1"/>
  <c r="AH957" i="1"/>
  <c r="AG957" i="1"/>
  <c r="W957" i="1"/>
  <c r="V957" i="1"/>
  <c r="U957" i="1"/>
  <c r="T957" i="1"/>
  <c r="S957" i="1"/>
  <c r="R957" i="1"/>
  <c r="Q957" i="1"/>
  <c r="P957" i="1"/>
  <c r="O957" i="1"/>
  <c r="N957" i="1"/>
  <c r="M957" i="1"/>
  <c r="L957" i="1"/>
  <c r="K957" i="1"/>
  <c r="J957" i="1"/>
  <c r="I957" i="1"/>
  <c r="H957" i="1"/>
  <c r="AZ956" i="1"/>
  <c r="AY956" i="1"/>
  <c r="AX956" i="1"/>
  <c r="AW956" i="1"/>
  <c r="AV956" i="1"/>
  <c r="AU956" i="1"/>
  <c r="AT956" i="1"/>
  <c r="AS956" i="1"/>
  <c r="AR956" i="1"/>
  <c r="AQ956" i="1"/>
  <c r="AP956" i="1"/>
  <c r="AH956" i="1"/>
  <c r="AG956" i="1"/>
  <c r="W956" i="1"/>
  <c r="V956" i="1"/>
  <c r="U956" i="1"/>
  <c r="T956" i="1"/>
  <c r="S956" i="1"/>
  <c r="R956" i="1"/>
  <c r="Q956" i="1"/>
  <c r="P956" i="1"/>
  <c r="O956" i="1"/>
  <c r="N956" i="1"/>
  <c r="M956" i="1"/>
  <c r="L956" i="1"/>
  <c r="K956" i="1"/>
  <c r="J956" i="1"/>
  <c r="I956" i="1"/>
  <c r="H956" i="1"/>
  <c r="AZ955" i="1"/>
  <c r="AY955" i="1"/>
  <c r="AX955" i="1"/>
  <c r="AW955" i="1"/>
  <c r="AV955" i="1"/>
  <c r="AU955" i="1"/>
  <c r="AT955" i="1"/>
  <c r="AS955" i="1"/>
  <c r="AR955" i="1"/>
  <c r="AQ955" i="1"/>
  <c r="AP955" i="1"/>
  <c r="AH955" i="1"/>
  <c r="AG955" i="1"/>
  <c r="W955" i="1"/>
  <c r="V955" i="1"/>
  <c r="U955" i="1"/>
  <c r="T955" i="1"/>
  <c r="S955" i="1"/>
  <c r="R955" i="1"/>
  <c r="Q955" i="1"/>
  <c r="P955" i="1"/>
  <c r="O955" i="1"/>
  <c r="N955" i="1"/>
  <c r="M955" i="1"/>
  <c r="L955" i="1"/>
  <c r="K955" i="1"/>
  <c r="J955" i="1"/>
  <c r="I955" i="1"/>
  <c r="H955" i="1"/>
  <c r="AZ954" i="1"/>
  <c r="AY954" i="1"/>
  <c r="AX954" i="1"/>
  <c r="AW954" i="1"/>
  <c r="AV954" i="1"/>
  <c r="AU954" i="1"/>
  <c r="AT954" i="1"/>
  <c r="AS954" i="1"/>
  <c r="AR954" i="1"/>
  <c r="AQ954" i="1"/>
  <c r="AP954" i="1"/>
  <c r="AH954" i="1"/>
  <c r="AG954" i="1"/>
  <c r="W954" i="1"/>
  <c r="V954" i="1"/>
  <c r="U954" i="1"/>
  <c r="T954" i="1"/>
  <c r="S954" i="1"/>
  <c r="R954" i="1"/>
  <c r="Q954" i="1"/>
  <c r="P954" i="1"/>
  <c r="O954" i="1"/>
  <c r="N954" i="1"/>
  <c r="M954" i="1"/>
  <c r="L954" i="1"/>
  <c r="K954" i="1"/>
  <c r="J954" i="1"/>
  <c r="I954" i="1"/>
  <c r="H954" i="1"/>
  <c r="AZ953" i="1"/>
  <c r="AY953" i="1"/>
  <c r="AX953" i="1"/>
  <c r="AW953" i="1"/>
  <c r="AV953" i="1"/>
  <c r="AU953" i="1"/>
  <c r="AT953" i="1"/>
  <c r="AS953" i="1"/>
  <c r="AR953" i="1"/>
  <c r="AQ953" i="1"/>
  <c r="AP953" i="1"/>
  <c r="AH953" i="1"/>
  <c r="AG953" i="1"/>
  <c r="W953" i="1"/>
  <c r="V953" i="1"/>
  <c r="U953" i="1"/>
  <c r="T953" i="1"/>
  <c r="S953" i="1"/>
  <c r="R953" i="1"/>
  <c r="Q953" i="1"/>
  <c r="P953" i="1"/>
  <c r="O953" i="1"/>
  <c r="N953" i="1"/>
  <c r="M953" i="1"/>
  <c r="L953" i="1"/>
  <c r="K953" i="1"/>
  <c r="J953" i="1"/>
  <c r="I953" i="1"/>
  <c r="H953" i="1"/>
  <c r="AZ952" i="1"/>
  <c r="AY952" i="1"/>
  <c r="AX952" i="1"/>
  <c r="AW952" i="1"/>
  <c r="AV952" i="1"/>
  <c r="AU952" i="1"/>
  <c r="AT952" i="1"/>
  <c r="AS952" i="1"/>
  <c r="AR952" i="1"/>
  <c r="AQ952" i="1"/>
  <c r="AP952" i="1"/>
  <c r="AH952" i="1"/>
  <c r="AG952" i="1"/>
  <c r="W952" i="1"/>
  <c r="V952" i="1"/>
  <c r="U952" i="1"/>
  <c r="T952" i="1"/>
  <c r="S952" i="1"/>
  <c r="R952" i="1"/>
  <c r="Q952" i="1"/>
  <c r="P952" i="1"/>
  <c r="O952" i="1"/>
  <c r="N952" i="1"/>
  <c r="M952" i="1"/>
  <c r="L952" i="1"/>
  <c r="K952" i="1"/>
  <c r="J952" i="1"/>
  <c r="I952" i="1"/>
  <c r="H952" i="1"/>
  <c r="AZ951" i="1"/>
  <c r="AY951" i="1"/>
  <c r="AX951" i="1"/>
  <c r="AW951" i="1"/>
  <c r="AV951" i="1"/>
  <c r="AU951" i="1"/>
  <c r="AT951" i="1"/>
  <c r="AS951" i="1"/>
  <c r="AR951" i="1"/>
  <c r="AQ951" i="1"/>
  <c r="AP951" i="1"/>
  <c r="AG951" i="1"/>
  <c r="W951" i="1"/>
  <c r="V951" i="1"/>
  <c r="U951" i="1"/>
  <c r="T951" i="1"/>
  <c r="S951" i="1"/>
  <c r="R951" i="1"/>
  <c r="Q951" i="1"/>
  <c r="P951" i="1"/>
  <c r="O951" i="1"/>
  <c r="N951" i="1"/>
  <c r="M951" i="1"/>
  <c r="L951" i="1"/>
  <c r="K951" i="1"/>
  <c r="J951" i="1"/>
  <c r="I951" i="1"/>
  <c r="H951" i="1"/>
  <c r="AZ950" i="1"/>
  <c r="AY950" i="1"/>
  <c r="AX950" i="1"/>
  <c r="AW950" i="1"/>
  <c r="AV950" i="1"/>
  <c r="AU950" i="1"/>
  <c r="AT950" i="1"/>
  <c r="AS950" i="1"/>
  <c r="AR950" i="1"/>
  <c r="AQ950" i="1"/>
  <c r="AP950" i="1"/>
  <c r="AI950" i="1"/>
  <c r="AH950" i="1"/>
  <c r="AG950" i="1"/>
  <c r="W950" i="1"/>
  <c r="V950" i="1"/>
  <c r="U950" i="1"/>
  <c r="T950" i="1"/>
  <c r="S950" i="1"/>
  <c r="R950" i="1"/>
  <c r="Q950" i="1"/>
  <c r="P950" i="1"/>
  <c r="O950" i="1"/>
  <c r="N950" i="1"/>
  <c r="M950" i="1"/>
  <c r="L950" i="1"/>
  <c r="K950" i="1"/>
  <c r="J950" i="1"/>
  <c r="I950" i="1"/>
  <c r="H950" i="1"/>
  <c r="AZ949" i="1"/>
  <c r="AY949" i="1"/>
  <c r="AX949" i="1"/>
  <c r="AW949" i="1"/>
  <c r="AV949" i="1"/>
  <c r="AU949" i="1"/>
  <c r="AT949" i="1"/>
  <c r="AS949" i="1"/>
  <c r="AR949" i="1"/>
  <c r="AQ949" i="1"/>
  <c r="AP949" i="1"/>
  <c r="AH949" i="1"/>
  <c r="AG949" i="1"/>
  <c r="W949" i="1"/>
  <c r="V949" i="1"/>
  <c r="U949" i="1"/>
  <c r="T949" i="1"/>
  <c r="S949" i="1"/>
  <c r="R949" i="1"/>
  <c r="Q949" i="1"/>
  <c r="P949" i="1"/>
  <c r="O949" i="1"/>
  <c r="N949" i="1"/>
  <c r="M949" i="1"/>
  <c r="L949" i="1"/>
  <c r="K949" i="1"/>
  <c r="J949" i="1"/>
  <c r="I949" i="1"/>
  <c r="H949" i="1"/>
  <c r="AZ948" i="1"/>
  <c r="AY948" i="1"/>
  <c r="AX948" i="1"/>
  <c r="AW948" i="1"/>
  <c r="AV948" i="1"/>
  <c r="AU948" i="1"/>
  <c r="AT948" i="1"/>
  <c r="AS948" i="1"/>
  <c r="AR948" i="1"/>
  <c r="AQ948" i="1"/>
  <c r="AP948" i="1"/>
  <c r="AH948" i="1"/>
  <c r="AG948" i="1"/>
  <c r="W948" i="1"/>
  <c r="V948" i="1"/>
  <c r="U948" i="1"/>
  <c r="T948" i="1"/>
  <c r="S948" i="1"/>
  <c r="R948" i="1"/>
  <c r="Q948" i="1"/>
  <c r="P948" i="1"/>
  <c r="O948" i="1"/>
  <c r="N948" i="1"/>
  <c r="M948" i="1"/>
  <c r="L948" i="1"/>
  <c r="K948" i="1"/>
  <c r="J948" i="1"/>
  <c r="I948" i="1"/>
  <c r="H948" i="1"/>
  <c r="AZ947" i="1"/>
  <c r="AY947" i="1"/>
  <c r="AX947" i="1"/>
  <c r="AW947" i="1"/>
  <c r="AV947" i="1"/>
  <c r="AU947" i="1"/>
  <c r="AT947" i="1"/>
  <c r="AS947" i="1"/>
  <c r="AR947" i="1"/>
  <c r="AQ947" i="1"/>
  <c r="AP947" i="1"/>
  <c r="AH947" i="1"/>
  <c r="AG947" i="1"/>
  <c r="W947" i="1"/>
  <c r="V947" i="1"/>
  <c r="U947" i="1"/>
  <c r="T947" i="1"/>
  <c r="S947" i="1"/>
  <c r="R947" i="1"/>
  <c r="Q947" i="1"/>
  <c r="P947" i="1"/>
  <c r="O947" i="1"/>
  <c r="N947" i="1"/>
  <c r="M947" i="1"/>
  <c r="L947" i="1"/>
  <c r="K947" i="1"/>
  <c r="J947" i="1"/>
  <c r="I947" i="1"/>
  <c r="H947" i="1"/>
  <c r="AZ946" i="1"/>
  <c r="AY946" i="1"/>
  <c r="AX946" i="1"/>
  <c r="AW946" i="1"/>
  <c r="AV946" i="1"/>
  <c r="AU946" i="1"/>
  <c r="AT946" i="1"/>
  <c r="AS946" i="1"/>
  <c r="AR946" i="1"/>
  <c r="AQ946" i="1"/>
  <c r="AP946" i="1"/>
  <c r="AH946" i="1"/>
  <c r="AG946" i="1"/>
  <c r="W946" i="1"/>
  <c r="V946" i="1"/>
  <c r="U946" i="1"/>
  <c r="T946" i="1"/>
  <c r="S946" i="1"/>
  <c r="R946" i="1"/>
  <c r="Q946" i="1"/>
  <c r="P946" i="1"/>
  <c r="O946" i="1"/>
  <c r="N946" i="1"/>
  <c r="M946" i="1"/>
  <c r="L946" i="1"/>
  <c r="K946" i="1"/>
  <c r="J946" i="1"/>
  <c r="I946" i="1"/>
  <c r="H946" i="1"/>
  <c r="AZ945" i="1"/>
  <c r="AY945" i="1"/>
  <c r="AX945" i="1"/>
  <c r="AW945" i="1"/>
  <c r="AV945" i="1"/>
  <c r="AU945" i="1"/>
  <c r="AT945" i="1"/>
  <c r="AS945" i="1"/>
  <c r="AR945" i="1"/>
  <c r="AQ945" i="1"/>
  <c r="AP945" i="1"/>
  <c r="AH945" i="1"/>
  <c r="AG945" i="1"/>
  <c r="W945" i="1"/>
  <c r="V945" i="1"/>
  <c r="U945" i="1"/>
  <c r="T945" i="1"/>
  <c r="S945" i="1"/>
  <c r="R945" i="1"/>
  <c r="Q945" i="1"/>
  <c r="P945" i="1"/>
  <c r="O945" i="1"/>
  <c r="N945" i="1"/>
  <c r="M945" i="1"/>
  <c r="L945" i="1"/>
  <c r="K945" i="1"/>
  <c r="J945" i="1"/>
  <c r="I945" i="1"/>
  <c r="H945" i="1"/>
  <c r="AZ944" i="1"/>
  <c r="AY944" i="1"/>
  <c r="AX944" i="1"/>
  <c r="AW944" i="1"/>
  <c r="AV944" i="1"/>
  <c r="AU944" i="1"/>
  <c r="AT944" i="1"/>
  <c r="AS944" i="1"/>
  <c r="AR944" i="1"/>
  <c r="AQ944" i="1"/>
  <c r="AP944" i="1"/>
  <c r="AI944" i="1"/>
  <c r="AH944" i="1"/>
  <c r="AG944" i="1"/>
  <c r="W944" i="1"/>
  <c r="V944" i="1"/>
  <c r="U944" i="1"/>
  <c r="T944" i="1"/>
  <c r="S944" i="1"/>
  <c r="R944" i="1"/>
  <c r="Q944" i="1"/>
  <c r="P944" i="1"/>
  <c r="O944" i="1"/>
  <c r="N944" i="1"/>
  <c r="M944" i="1"/>
  <c r="L944" i="1"/>
  <c r="K944" i="1"/>
  <c r="J944" i="1"/>
  <c r="I944" i="1"/>
  <c r="H944" i="1"/>
  <c r="AZ943" i="1"/>
  <c r="AY943" i="1"/>
  <c r="AX943" i="1"/>
  <c r="AW943" i="1"/>
  <c r="AV943" i="1"/>
  <c r="AU943" i="1"/>
  <c r="AT943" i="1"/>
  <c r="AS943" i="1"/>
  <c r="AR943" i="1"/>
  <c r="AQ943" i="1"/>
  <c r="AP943" i="1"/>
  <c r="AH943" i="1"/>
  <c r="AG943" i="1"/>
  <c r="W943" i="1"/>
  <c r="V943" i="1"/>
  <c r="U943" i="1"/>
  <c r="T943" i="1"/>
  <c r="S943" i="1"/>
  <c r="R943" i="1"/>
  <c r="Q943" i="1"/>
  <c r="P943" i="1"/>
  <c r="O943" i="1"/>
  <c r="N943" i="1"/>
  <c r="M943" i="1"/>
  <c r="L943" i="1"/>
  <c r="K943" i="1"/>
  <c r="J943" i="1"/>
  <c r="I943" i="1"/>
  <c r="H943" i="1"/>
  <c r="AZ942" i="1"/>
  <c r="AY942" i="1"/>
  <c r="AX942" i="1"/>
  <c r="AW942" i="1"/>
  <c r="AV942" i="1"/>
  <c r="AU942" i="1"/>
  <c r="AT942" i="1"/>
  <c r="AS942" i="1"/>
  <c r="AR942" i="1"/>
  <c r="AQ942" i="1"/>
  <c r="AP942" i="1"/>
  <c r="AH942" i="1"/>
  <c r="AG942" i="1"/>
  <c r="W942" i="1"/>
  <c r="V942" i="1"/>
  <c r="U942" i="1"/>
  <c r="T942" i="1"/>
  <c r="S942" i="1"/>
  <c r="R942" i="1"/>
  <c r="Q942" i="1"/>
  <c r="P942" i="1"/>
  <c r="O942" i="1"/>
  <c r="N942" i="1"/>
  <c r="M942" i="1"/>
  <c r="L942" i="1"/>
  <c r="K942" i="1"/>
  <c r="J942" i="1"/>
  <c r="I942" i="1"/>
  <c r="H942" i="1"/>
  <c r="AZ941" i="1"/>
  <c r="AY941" i="1"/>
  <c r="AX941" i="1"/>
  <c r="AW941" i="1"/>
  <c r="AV941" i="1"/>
  <c r="AU941" i="1"/>
  <c r="AT941" i="1"/>
  <c r="AS941" i="1"/>
  <c r="AR941" i="1"/>
  <c r="AQ941" i="1"/>
  <c r="AP941" i="1"/>
  <c r="AH941" i="1"/>
  <c r="AG941" i="1"/>
  <c r="W941" i="1"/>
  <c r="V941" i="1"/>
  <c r="U941" i="1"/>
  <c r="T941" i="1"/>
  <c r="S941" i="1"/>
  <c r="R941" i="1"/>
  <c r="Q941" i="1"/>
  <c r="P941" i="1"/>
  <c r="O941" i="1"/>
  <c r="N941" i="1"/>
  <c r="M941" i="1"/>
  <c r="L941" i="1"/>
  <c r="K941" i="1"/>
  <c r="J941" i="1"/>
  <c r="I941" i="1"/>
  <c r="H941" i="1"/>
  <c r="AZ940" i="1"/>
  <c r="AY940" i="1"/>
  <c r="AX940" i="1"/>
  <c r="AW940" i="1"/>
  <c r="AV940" i="1"/>
  <c r="AU940" i="1"/>
  <c r="AT940" i="1"/>
  <c r="AS940" i="1"/>
  <c r="AR940" i="1"/>
  <c r="AQ940" i="1"/>
  <c r="AP940" i="1"/>
  <c r="AH940" i="1"/>
  <c r="AG940" i="1"/>
  <c r="W940" i="1"/>
  <c r="V940" i="1"/>
  <c r="U940" i="1"/>
  <c r="T940" i="1"/>
  <c r="S940" i="1"/>
  <c r="R940" i="1"/>
  <c r="Q940" i="1"/>
  <c r="P940" i="1"/>
  <c r="O940" i="1"/>
  <c r="N940" i="1"/>
  <c r="M940" i="1"/>
  <c r="L940" i="1"/>
  <c r="K940" i="1"/>
  <c r="J940" i="1"/>
  <c r="I940" i="1"/>
  <c r="H940" i="1"/>
  <c r="AZ939" i="1"/>
  <c r="AY939" i="1"/>
  <c r="AX939" i="1"/>
  <c r="AW939" i="1"/>
  <c r="AV939" i="1"/>
  <c r="AU939" i="1"/>
  <c r="AT939" i="1"/>
  <c r="AS939" i="1"/>
  <c r="AR939" i="1"/>
  <c r="AQ939" i="1"/>
  <c r="AP939" i="1"/>
  <c r="AH939" i="1"/>
  <c r="AG939" i="1"/>
  <c r="W939" i="1"/>
  <c r="V939" i="1"/>
  <c r="U939" i="1"/>
  <c r="T939" i="1"/>
  <c r="S939" i="1"/>
  <c r="R939" i="1"/>
  <c r="Q939" i="1"/>
  <c r="P939" i="1"/>
  <c r="O939" i="1"/>
  <c r="N939" i="1"/>
  <c r="M939" i="1"/>
  <c r="L939" i="1"/>
  <c r="K939" i="1"/>
  <c r="J939" i="1"/>
  <c r="I939" i="1"/>
  <c r="H939" i="1"/>
  <c r="AZ938" i="1"/>
  <c r="AY938" i="1"/>
  <c r="AX938" i="1"/>
  <c r="AW938" i="1"/>
  <c r="AV938" i="1"/>
  <c r="AU938" i="1"/>
  <c r="AT938" i="1"/>
  <c r="AS938" i="1"/>
  <c r="AR938" i="1"/>
  <c r="AQ938" i="1"/>
  <c r="AP938" i="1"/>
  <c r="AH938" i="1"/>
  <c r="AG938" i="1"/>
  <c r="W938" i="1"/>
  <c r="V938" i="1"/>
  <c r="U938" i="1"/>
  <c r="T938" i="1"/>
  <c r="S938" i="1"/>
  <c r="R938" i="1"/>
  <c r="Q938" i="1"/>
  <c r="P938" i="1"/>
  <c r="O938" i="1"/>
  <c r="N938" i="1"/>
  <c r="M938" i="1"/>
  <c r="L938" i="1"/>
  <c r="K938" i="1"/>
  <c r="J938" i="1"/>
  <c r="I938" i="1"/>
  <c r="H938" i="1"/>
  <c r="AZ937" i="1"/>
  <c r="AY937" i="1"/>
  <c r="AX937" i="1"/>
  <c r="AW937" i="1"/>
  <c r="AV937" i="1"/>
  <c r="AU937" i="1"/>
  <c r="AT937" i="1"/>
  <c r="AS937" i="1"/>
  <c r="AR937" i="1"/>
  <c r="AQ937" i="1"/>
  <c r="AP937" i="1"/>
  <c r="AI937" i="1"/>
  <c r="AH937" i="1"/>
  <c r="AG937" i="1"/>
  <c r="W937" i="1"/>
  <c r="V937" i="1"/>
  <c r="U937" i="1"/>
  <c r="T937" i="1"/>
  <c r="S937" i="1"/>
  <c r="R937" i="1"/>
  <c r="Q937" i="1"/>
  <c r="P937" i="1"/>
  <c r="O937" i="1"/>
  <c r="N937" i="1"/>
  <c r="M937" i="1"/>
  <c r="L937" i="1"/>
  <c r="K937" i="1"/>
  <c r="J937" i="1"/>
  <c r="I937" i="1"/>
  <c r="H937" i="1"/>
  <c r="AZ936" i="1"/>
  <c r="AY936" i="1"/>
  <c r="AX936" i="1"/>
  <c r="AW936" i="1"/>
  <c r="AV936" i="1"/>
  <c r="AU936" i="1"/>
  <c r="AT936" i="1"/>
  <c r="AS936" i="1"/>
  <c r="AR936" i="1"/>
  <c r="AQ936" i="1"/>
  <c r="AP936" i="1"/>
  <c r="AH936" i="1"/>
  <c r="AG936" i="1"/>
  <c r="W936" i="1"/>
  <c r="V936" i="1"/>
  <c r="U936" i="1"/>
  <c r="T936" i="1"/>
  <c r="S936" i="1"/>
  <c r="R936" i="1"/>
  <c r="Q936" i="1"/>
  <c r="P936" i="1"/>
  <c r="O936" i="1"/>
  <c r="N936" i="1"/>
  <c r="M936" i="1"/>
  <c r="L936" i="1"/>
  <c r="K936" i="1"/>
  <c r="J936" i="1"/>
  <c r="I936" i="1"/>
  <c r="H936" i="1"/>
  <c r="AZ935" i="1"/>
  <c r="AY935" i="1"/>
  <c r="AX935" i="1"/>
  <c r="AW935" i="1"/>
  <c r="AV935" i="1"/>
  <c r="AU935" i="1"/>
  <c r="AT935" i="1"/>
  <c r="AS935" i="1"/>
  <c r="AR935" i="1"/>
  <c r="AQ935" i="1"/>
  <c r="AP935" i="1"/>
  <c r="AH935" i="1"/>
  <c r="AG935" i="1"/>
  <c r="W935" i="1"/>
  <c r="V935" i="1"/>
  <c r="U935" i="1"/>
  <c r="T935" i="1"/>
  <c r="S935" i="1"/>
  <c r="R935" i="1"/>
  <c r="Q935" i="1"/>
  <c r="P935" i="1"/>
  <c r="O935" i="1"/>
  <c r="N935" i="1"/>
  <c r="M935" i="1"/>
  <c r="L935" i="1"/>
  <c r="K935" i="1"/>
  <c r="J935" i="1"/>
  <c r="I935" i="1"/>
  <c r="H935" i="1"/>
  <c r="AZ934" i="1"/>
  <c r="AY934" i="1"/>
  <c r="AX934" i="1"/>
  <c r="AW934" i="1"/>
  <c r="AV934" i="1"/>
  <c r="AU934" i="1"/>
  <c r="AT934" i="1"/>
  <c r="AS934" i="1"/>
  <c r="AR934" i="1"/>
  <c r="AQ934" i="1"/>
  <c r="AP934" i="1"/>
  <c r="AI934" i="1"/>
  <c r="AH934" i="1"/>
  <c r="AG934" i="1"/>
  <c r="W934" i="1"/>
  <c r="V934" i="1"/>
  <c r="U934" i="1"/>
  <c r="T934" i="1"/>
  <c r="S934" i="1"/>
  <c r="R934" i="1"/>
  <c r="Q934" i="1"/>
  <c r="P934" i="1"/>
  <c r="O934" i="1"/>
  <c r="N934" i="1"/>
  <c r="M934" i="1"/>
  <c r="L934" i="1"/>
  <c r="K934" i="1"/>
  <c r="J934" i="1"/>
  <c r="I934" i="1"/>
  <c r="H934" i="1"/>
  <c r="AZ933" i="1"/>
  <c r="AY933" i="1"/>
  <c r="AX933" i="1"/>
  <c r="AW933" i="1"/>
  <c r="AV933" i="1"/>
  <c r="AU933" i="1"/>
  <c r="AT933" i="1"/>
  <c r="AS933" i="1"/>
  <c r="AR933" i="1"/>
  <c r="AQ933" i="1"/>
  <c r="AP933" i="1"/>
  <c r="AI933" i="1"/>
  <c r="AH933" i="1"/>
  <c r="AG933" i="1"/>
  <c r="W933" i="1"/>
  <c r="V933" i="1"/>
  <c r="U933" i="1"/>
  <c r="T933" i="1"/>
  <c r="S933" i="1"/>
  <c r="R933" i="1"/>
  <c r="Q933" i="1"/>
  <c r="P933" i="1"/>
  <c r="O933" i="1"/>
  <c r="N933" i="1"/>
  <c r="M933" i="1"/>
  <c r="L933" i="1"/>
  <c r="K933" i="1"/>
  <c r="J933" i="1"/>
  <c r="I933" i="1"/>
  <c r="H933" i="1"/>
  <c r="AZ932" i="1"/>
  <c r="AY932" i="1"/>
  <c r="AX932" i="1"/>
  <c r="AW932" i="1"/>
  <c r="AV932" i="1"/>
  <c r="AU932" i="1"/>
  <c r="AT932" i="1"/>
  <c r="AS932" i="1"/>
  <c r="AR932" i="1"/>
  <c r="AQ932" i="1"/>
  <c r="AP932" i="1"/>
  <c r="AH932" i="1"/>
  <c r="AG932" i="1"/>
  <c r="W932" i="1"/>
  <c r="V932" i="1"/>
  <c r="U932" i="1"/>
  <c r="T932" i="1"/>
  <c r="S932" i="1"/>
  <c r="R932" i="1"/>
  <c r="Q932" i="1"/>
  <c r="P932" i="1"/>
  <c r="O932" i="1"/>
  <c r="N932" i="1"/>
  <c r="M932" i="1"/>
  <c r="L932" i="1"/>
  <c r="K932" i="1"/>
  <c r="J932" i="1"/>
  <c r="I932" i="1"/>
  <c r="H932" i="1"/>
  <c r="AZ931" i="1"/>
  <c r="AY931" i="1"/>
  <c r="AX931" i="1"/>
  <c r="AW931" i="1"/>
  <c r="AV931" i="1"/>
  <c r="AU931" i="1"/>
  <c r="AT931" i="1"/>
  <c r="AS931" i="1"/>
  <c r="AR931" i="1"/>
  <c r="AQ931" i="1"/>
  <c r="AP931" i="1"/>
  <c r="AH931" i="1"/>
  <c r="AG931" i="1"/>
  <c r="W931" i="1"/>
  <c r="V931" i="1"/>
  <c r="U931" i="1"/>
  <c r="T931" i="1"/>
  <c r="S931" i="1"/>
  <c r="R931" i="1"/>
  <c r="Q931" i="1"/>
  <c r="P931" i="1"/>
  <c r="O931" i="1"/>
  <c r="N931" i="1"/>
  <c r="M931" i="1"/>
  <c r="L931" i="1"/>
  <c r="K931" i="1"/>
  <c r="J931" i="1"/>
  <c r="I931" i="1"/>
  <c r="H931" i="1"/>
  <c r="AZ930" i="1"/>
  <c r="AY930" i="1"/>
  <c r="AX930" i="1"/>
  <c r="AW930" i="1"/>
  <c r="AV930" i="1"/>
  <c r="AU930" i="1"/>
  <c r="AT930" i="1"/>
  <c r="AS930" i="1"/>
  <c r="AR930" i="1"/>
  <c r="AQ930" i="1"/>
  <c r="AP930" i="1"/>
  <c r="AI930" i="1"/>
  <c r="AH930" i="1"/>
  <c r="AG930" i="1"/>
  <c r="W930" i="1"/>
  <c r="V930" i="1"/>
  <c r="U930" i="1"/>
  <c r="T930" i="1"/>
  <c r="S930" i="1"/>
  <c r="R930" i="1"/>
  <c r="Q930" i="1"/>
  <c r="P930" i="1"/>
  <c r="O930" i="1"/>
  <c r="N930" i="1"/>
  <c r="M930" i="1"/>
  <c r="L930" i="1"/>
  <c r="K930" i="1"/>
  <c r="J930" i="1"/>
  <c r="I930" i="1"/>
  <c r="H930" i="1"/>
  <c r="AZ929" i="1"/>
  <c r="AY929" i="1"/>
  <c r="AX929" i="1"/>
  <c r="AW929" i="1"/>
  <c r="AV929" i="1"/>
  <c r="AU929" i="1"/>
  <c r="AT929" i="1"/>
  <c r="AS929" i="1"/>
  <c r="AR929" i="1"/>
  <c r="AQ929" i="1"/>
  <c r="AP929" i="1"/>
  <c r="AH929" i="1"/>
  <c r="AG929" i="1"/>
  <c r="W929" i="1"/>
  <c r="V929" i="1"/>
  <c r="U929" i="1"/>
  <c r="T929" i="1"/>
  <c r="S929" i="1"/>
  <c r="R929" i="1"/>
  <c r="Q929" i="1"/>
  <c r="P929" i="1"/>
  <c r="O929" i="1"/>
  <c r="N929" i="1"/>
  <c r="M929" i="1"/>
  <c r="L929" i="1"/>
  <c r="K929" i="1"/>
  <c r="J929" i="1"/>
  <c r="I929" i="1"/>
  <c r="H929" i="1"/>
  <c r="AZ928" i="1"/>
  <c r="AY928" i="1"/>
  <c r="AX928" i="1"/>
  <c r="AW928" i="1"/>
  <c r="AV928" i="1"/>
  <c r="AU928" i="1"/>
  <c r="AT928" i="1"/>
  <c r="AS928" i="1"/>
  <c r="AR928" i="1"/>
  <c r="AQ928" i="1"/>
  <c r="AP928" i="1"/>
  <c r="AI928" i="1"/>
  <c r="AH928" i="1"/>
  <c r="AG928" i="1"/>
  <c r="W928" i="1"/>
  <c r="V928" i="1"/>
  <c r="U928" i="1"/>
  <c r="T928" i="1"/>
  <c r="S928" i="1"/>
  <c r="R928" i="1"/>
  <c r="Q928" i="1"/>
  <c r="P928" i="1"/>
  <c r="O928" i="1"/>
  <c r="N928" i="1"/>
  <c r="M928" i="1"/>
  <c r="L928" i="1"/>
  <c r="K928" i="1"/>
  <c r="J928" i="1"/>
  <c r="I928" i="1"/>
  <c r="H928" i="1"/>
  <c r="AZ927" i="1"/>
  <c r="AY927" i="1"/>
  <c r="AX927" i="1"/>
  <c r="AW927" i="1"/>
  <c r="AV927" i="1"/>
  <c r="AU927" i="1"/>
  <c r="AT927" i="1"/>
  <c r="AS927" i="1"/>
  <c r="AR927" i="1"/>
  <c r="AQ927" i="1"/>
  <c r="AP927" i="1"/>
  <c r="AI927" i="1"/>
  <c r="AH927" i="1"/>
  <c r="AG927" i="1"/>
  <c r="W927" i="1"/>
  <c r="V927" i="1"/>
  <c r="U927" i="1"/>
  <c r="T927" i="1"/>
  <c r="S927" i="1"/>
  <c r="R927" i="1"/>
  <c r="Q927" i="1"/>
  <c r="P927" i="1"/>
  <c r="O927" i="1"/>
  <c r="N927" i="1"/>
  <c r="M927" i="1"/>
  <c r="L927" i="1"/>
  <c r="K927" i="1"/>
  <c r="J927" i="1"/>
  <c r="I927" i="1"/>
  <c r="H927" i="1"/>
  <c r="AZ926" i="1"/>
  <c r="AY926" i="1"/>
  <c r="AX926" i="1"/>
  <c r="AW926" i="1"/>
  <c r="AV926" i="1"/>
  <c r="AU926" i="1"/>
  <c r="AT926" i="1"/>
  <c r="AS926" i="1"/>
  <c r="AR926" i="1"/>
  <c r="AQ926" i="1"/>
  <c r="AP926" i="1"/>
  <c r="AH926" i="1"/>
  <c r="AG926" i="1"/>
  <c r="W926" i="1"/>
  <c r="V926" i="1"/>
  <c r="U926" i="1"/>
  <c r="T926" i="1"/>
  <c r="S926" i="1"/>
  <c r="R926" i="1"/>
  <c r="Q926" i="1"/>
  <c r="P926" i="1"/>
  <c r="O926" i="1"/>
  <c r="N926" i="1"/>
  <c r="M926" i="1"/>
  <c r="L926" i="1"/>
  <c r="K926" i="1"/>
  <c r="J926" i="1"/>
  <c r="I926" i="1"/>
  <c r="H926" i="1"/>
  <c r="AZ925" i="1"/>
  <c r="AY925" i="1"/>
  <c r="AX925" i="1"/>
  <c r="AW925" i="1"/>
  <c r="AV925" i="1"/>
  <c r="AU925" i="1"/>
  <c r="AT925" i="1"/>
  <c r="AS925" i="1"/>
  <c r="AR925" i="1"/>
  <c r="AQ925" i="1"/>
  <c r="AP925" i="1"/>
  <c r="AH925" i="1"/>
  <c r="AG925" i="1"/>
  <c r="W925" i="1"/>
  <c r="V925" i="1"/>
  <c r="U925" i="1"/>
  <c r="T925" i="1"/>
  <c r="S925" i="1"/>
  <c r="R925" i="1"/>
  <c r="Q925" i="1"/>
  <c r="P925" i="1"/>
  <c r="O925" i="1"/>
  <c r="N925" i="1"/>
  <c r="M925" i="1"/>
  <c r="L925" i="1"/>
  <c r="K925" i="1"/>
  <c r="J925" i="1"/>
  <c r="I925" i="1"/>
  <c r="H925" i="1"/>
  <c r="AZ924" i="1"/>
  <c r="AY924" i="1"/>
  <c r="AX924" i="1"/>
  <c r="AW924" i="1"/>
  <c r="AV924" i="1"/>
  <c r="AU924" i="1"/>
  <c r="AT924" i="1"/>
  <c r="AS924" i="1"/>
  <c r="AR924" i="1"/>
  <c r="AQ924" i="1"/>
  <c r="AP924" i="1"/>
  <c r="AH924" i="1"/>
  <c r="AG924" i="1"/>
  <c r="W924" i="1"/>
  <c r="V924" i="1"/>
  <c r="U924" i="1"/>
  <c r="T924" i="1"/>
  <c r="S924" i="1"/>
  <c r="R924" i="1"/>
  <c r="Q924" i="1"/>
  <c r="P924" i="1"/>
  <c r="O924" i="1"/>
  <c r="N924" i="1"/>
  <c r="M924" i="1"/>
  <c r="L924" i="1"/>
  <c r="K924" i="1"/>
  <c r="J924" i="1"/>
  <c r="I924" i="1"/>
  <c r="H924" i="1"/>
  <c r="AZ923" i="1"/>
  <c r="AY923" i="1"/>
  <c r="AX923" i="1"/>
  <c r="AW923" i="1"/>
  <c r="AV923" i="1"/>
  <c r="AU923" i="1"/>
  <c r="AT923" i="1"/>
  <c r="AS923" i="1"/>
  <c r="AR923" i="1"/>
  <c r="AQ923" i="1"/>
  <c r="AP923" i="1"/>
  <c r="AH923" i="1"/>
  <c r="AG923" i="1"/>
  <c r="W923" i="1"/>
  <c r="V923" i="1"/>
  <c r="U923" i="1"/>
  <c r="T923" i="1"/>
  <c r="S923" i="1"/>
  <c r="R923" i="1"/>
  <c r="Q923" i="1"/>
  <c r="P923" i="1"/>
  <c r="O923" i="1"/>
  <c r="N923" i="1"/>
  <c r="M923" i="1"/>
  <c r="L923" i="1"/>
  <c r="K923" i="1"/>
  <c r="J923" i="1"/>
  <c r="I923" i="1"/>
  <c r="H923" i="1"/>
  <c r="AZ922" i="1"/>
  <c r="AY922" i="1"/>
  <c r="AX922" i="1"/>
  <c r="AW922" i="1"/>
  <c r="AV922" i="1"/>
  <c r="AU922" i="1"/>
  <c r="AT922" i="1"/>
  <c r="AS922" i="1"/>
  <c r="AR922" i="1"/>
  <c r="AQ922" i="1"/>
  <c r="AP922" i="1"/>
  <c r="AH922" i="1"/>
  <c r="AG922" i="1"/>
  <c r="W922" i="1"/>
  <c r="V922" i="1"/>
  <c r="U922" i="1"/>
  <c r="T922" i="1"/>
  <c r="S922" i="1"/>
  <c r="R922" i="1"/>
  <c r="Q922" i="1"/>
  <c r="P922" i="1"/>
  <c r="O922" i="1"/>
  <c r="N922" i="1"/>
  <c r="M922" i="1"/>
  <c r="L922" i="1"/>
  <c r="K922" i="1"/>
  <c r="J922" i="1"/>
  <c r="I922" i="1"/>
  <c r="H922" i="1"/>
  <c r="AZ921" i="1"/>
  <c r="AY921" i="1"/>
  <c r="AX921" i="1"/>
  <c r="AW921" i="1"/>
  <c r="AV921" i="1"/>
  <c r="AU921" i="1"/>
  <c r="AT921" i="1"/>
  <c r="AS921" i="1"/>
  <c r="AR921" i="1"/>
  <c r="AQ921" i="1"/>
  <c r="AP921" i="1"/>
  <c r="AH921" i="1"/>
  <c r="AG921" i="1"/>
  <c r="W921" i="1"/>
  <c r="V921" i="1"/>
  <c r="U921" i="1"/>
  <c r="T921" i="1"/>
  <c r="S921" i="1"/>
  <c r="R921" i="1"/>
  <c r="Q921" i="1"/>
  <c r="P921" i="1"/>
  <c r="O921" i="1"/>
  <c r="N921" i="1"/>
  <c r="M921" i="1"/>
  <c r="L921" i="1"/>
  <c r="K921" i="1"/>
  <c r="J921" i="1"/>
  <c r="I921" i="1"/>
  <c r="H921" i="1"/>
  <c r="AZ920" i="1"/>
  <c r="AY920" i="1"/>
  <c r="AX920" i="1"/>
  <c r="AW920" i="1"/>
  <c r="AV920" i="1"/>
  <c r="AU920" i="1"/>
  <c r="AT920" i="1"/>
  <c r="AS920" i="1"/>
  <c r="AR920" i="1"/>
  <c r="AQ920" i="1"/>
  <c r="AP920" i="1"/>
  <c r="AH920" i="1"/>
  <c r="AG920" i="1"/>
  <c r="W920" i="1"/>
  <c r="V920" i="1"/>
  <c r="U920" i="1"/>
  <c r="T920" i="1"/>
  <c r="S920" i="1"/>
  <c r="R920" i="1"/>
  <c r="Q920" i="1"/>
  <c r="P920" i="1"/>
  <c r="O920" i="1"/>
  <c r="N920" i="1"/>
  <c r="M920" i="1"/>
  <c r="L920" i="1"/>
  <c r="K920" i="1"/>
  <c r="J920" i="1"/>
  <c r="I920" i="1"/>
  <c r="H920" i="1"/>
  <c r="AZ919" i="1"/>
  <c r="AY919" i="1"/>
  <c r="AX919" i="1"/>
  <c r="AW919" i="1"/>
  <c r="AV919" i="1"/>
  <c r="AU919" i="1"/>
  <c r="AT919" i="1"/>
  <c r="AS919" i="1"/>
  <c r="AR919" i="1"/>
  <c r="AQ919" i="1"/>
  <c r="AP919" i="1"/>
  <c r="AH919" i="1"/>
  <c r="AG919" i="1"/>
  <c r="W919" i="1"/>
  <c r="V919" i="1"/>
  <c r="U919" i="1"/>
  <c r="T919" i="1"/>
  <c r="S919" i="1"/>
  <c r="R919" i="1"/>
  <c r="Q919" i="1"/>
  <c r="P919" i="1"/>
  <c r="O919" i="1"/>
  <c r="N919" i="1"/>
  <c r="M919" i="1"/>
  <c r="L919" i="1"/>
  <c r="K919" i="1"/>
  <c r="J919" i="1"/>
  <c r="I919" i="1"/>
  <c r="H919" i="1"/>
  <c r="AZ918" i="1"/>
  <c r="AY918" i="1"/>
  <c r="AX918" i="1"/>
  <c r="AW918" i="1"/>
  <c r="AV918" i="1"/>
  <c r="AU918" i="1"/>
  <c r="AT918" i="1"/>
  <c r="AS918" i="1"/>
  <c r="AR918" i="1"/>
  <c r="AQ918" i="1"/>
  <c r="AP918" i="1"/>
  <c r="AH918" i="1"/>
  <c r="AG918" i="1"/>
  <c r="W918" i="1"/>
  <c r="V918" i="1"/>
  <c r="U918" i="1"/>
  <c r="T918" i="1"/>
  <c r="S918" i="1"/>
  <c r="R918" i="1"/>
  <c r="Q918" i="1"/>
  <c r="P918" i="1"/>
  <c r="O918" i="1"/>
  <c r="N918" i="1"/>
  <c r="M918" i="1"/>
  <c r="L918" i="1"/>
  <c r="K918" i="1"/>
  <c r="J918" i="1"/>
  <c r="I918" i="1"/>
  <c r="H918" i="1"/>
  <c r="AZ917" i="1"/>
  <c r="AY917" i="1"/>
  <c r="AX917" i="1"/>
  <c r="AW917" i="1"/>
  <c r="AV917" i="1"/>
  <c r="AU917" i="1"/>
  <c r="AT917" i="1"/>
  <c r="AS917" i="1"/>
  <c r="AR917" i="1"/>
  <c r="AQ917" i="1"/>
  <c r="AP917" i="1"/>
  <c r="AH917" i="1"/>
  <c r="AG917" i="1"/>
  <c r="W917" i="1"/>
  <c r="V917" i="1"/>
  <c r="U917" i="1"/>
  <c r="T917" i="1"/>
  <c r="S917" i="1"/>
  <c r="R917" i="1"/>
  <c r="Q917" i="1"/>
  <c r="P917" i="1"/>
  <c r="O917" i="1"/>
  <c r="N917" i="1"/>
  <c r="M917" i="1"/>
  <c r="L917" i="1"/>
  <c r="K917" i="1"/>
  <c r="J917" i="1"/>
  <c r="I917" i="1"/>
  <c r="H917" i="1"/>
  <c r="AZ916" i="1"/>
  <c r="AY916" i="1"/>
  <c r="AX916" i="1"/>
  <c r="AW916" i="1"/>
  <c r="AV916" i="1"/>
  <c r="AU916" i="1"/>
  <c r="AT916" i="1"/>
  <c r="AS916" i="1"/>
  <c r="AR916" i="1"/>
  <c r="AQ916" i="1"/>
  <c r="AP916" i="1"/>
  <c r="AH916" i="1"/>
  <c r="AG916" i="1"/>
  <c r="W916" i="1"/>
  <c r="V916" i="1"/>
  <c r="U916" i="1"/>
  <c r="T916" i="1"/>
  <c r="S916" i="1"/>
  <c r="R916" i="1"/>
  <c r="Q916" i="1"/>
  <c r="P916" i="1"/>
  <c r="O916" i="1"/>
  <c r="N916" i="1"/>
  <c r="M916" i="1"/>
  <c r="L916" i="1"/>
  <c r="K916" i="1"/>
  <c r="J916" i="1"/>
  <c r="I916" i="1"/>
  <c r="H916" i="1"/>
  <c r="AZ915" i="1"/>
  <c r="AY915" i="1"/>
  <c r="AX915" i="1"/>
  <c r="AW915" i="1"/>
  <c r="AV915" i="1"/>
  <c r="AU915" i="1"/>
  <c r="AT915" i="1"/>
  <c r="AS915" i="1"/>
  <c r="AR915" i="1"/>
  <c r="AQ915" i="1"/>
  <c r="AP915" i="1"/>
  <c r="AH915" i="1"/>
  <c r="AG915" i="1"/>
  <c r="W915" i="1"/>
  <c r="V915" i="1"/>
  <c r="U915" i="1"/>
  <c r="T915" i="1"/>
  <c r="S915" i="1"/>
  <c r="R915" i="1"/>
  <c r="Q915" i="1"/>
  <c r="P915" i="1"/>
  <c r="O915" i="1"/>
  <c r="N915" i="1"/>
  <c r="M915" i="1"/>
  <c r="L915" i="1"/>
  <c r="K915" i="1"/>
  <c r="J915" i="1"/>
  <c r="I915" i="1"/>
  <c r="H915" i="1"/>
  <c r="AZ914" i="1"/>
  <c r="AY914" i="1"/>
  <c r="AX914" i="1"/>
  <c r="AW914" i="1"/>
  <c r="AV914" i="1"/>
  <c r="AU914" i="1"/>
  <c r="AT914" i="1"/>
  <c r="AS914" i="1"/>
  <c r="AR914" i="1"/>
  <c r="AQ914" i="1"/>
  <c r="AP914" i="1"/>
  <c r="AH914" i="1"/>
  <c r="AG914" i="1"/>
  <c r="W914" i="1"/>
  <c r="V914" i="1"/>
  <c r="U914" i="1"/>
  <c r="T914" i="1"/>
  <c r="S914" i="1"/>
  <c r="R914" i="1"/>
  <c r="Q914" i="1"/>
  <c r="P914" i="1"/>
  <c r="O914" i="1"/>
  <c r="N914" i="1"/>
  <c r="M914" i="1"/>
  <c r="L914" i="1"/>
  <c r="K914" i="1"/>
  <c r="J914" i="1"/>
  <c r="I914" i="1"/>
  <c r="H914" i="1"/>
  <c r="AZ913" i="1"/>
  <c r="AY913" i="1"/>
  <c r="AX913" i="1"/>
  <c r="AW913" i="1"/>
  <c r="AV913" i="1"/>
  <c r="AU913" i="1"/>
  <c r="AT913" i="1"/>
  <c r="AS913" i="1"/>
  <c r="AR913" i="1"/>
  <c r="AQ913" i="1"/>
  <c r="AP913" i="1"/>
  <c r="AH913" i="1"/>
  <c r="AG913" i="1"/>
  <c r="W913" i="1"/>
  <c r="V913" i="1"/>
  <c r="U913" i="1"/>
  <c r="T913" i="1"/>
  <c r="S913" i="1"/>
  <c r="R913" i="1"/>
  <c r="Q913" i="1"/>
  <c r="P913" i="1"/>
  <c r="O913" i="1"/>
  <c r="N913" i="1"/>
  <c r="M913" i="1"/>
  <c r="L913" i="1"/>
  <c r="K913" i="1"/>
  <c r="J913" i="1"/>
  <c r="I913" i="1"/>
  <c r="H913" i="1"/>
  <c r="AZ912" i="1"/>
  <c r="AY912" i="1"/>
  <c r="AX912" i="1"/>
  <c r="AW912" i="1"/>
  <c r="AV912" i="1"/>
  <c r="AU912" i="1"/>
  <c r="AT912" i="1"/>
  <c r="AS912" i="1"/>
  <c r="AR912" i="1"/>
  <c r="AQ912" i="1"/>
  <c r="AP912" i="1"/>
  <c r="AH912" i="1"/>
  <c r="AG912" i="1"/>
  <c r="W912" i="1"/>
  <c r="V912" i="1"/>
  <c r="U912" i="1"/>
  <c r="T912" i="1"/>
  <c r="S912" i="1"/>
  <c r="R912" i="1"/>
  <c r="Q912" i="1"/>
  <c r="P912" i="1"/>
  <c r="O912" i="1"/>
  <c r="N912" i="1"/>
  <c r="M912" i="1"/>
  <c r="L912" i="1"/>
  <c r="K912" i="1"/>
  <c r="J912" i="1"/>
  <c r="I912" i="1"/>
  <c r="H912" i="1"/>
  <c r="AZ911" i="1"/>
  <c r="AY911" i="1"/>
  <c r="AX911" i="1"/>
  <c r="AW911" i="1"/>
  <c r="AV911" i="1"/>
  <c r="AU911" i="1"/>
  <c r="AT911" i="1"/>
  <c r="AS911" i="1"/>
  <c r="AR911" i="1"/>
  <c r="AQ911" i="1"/>
  <c r="AP911" i="1"/>
  <c r="AI911" i="1"/>
  <c r="AH911" i="1"/>
  <c r="AG911" i="1"/>
  <c r="W911" i="1"/>
  <c r="V911" i="1"/>
  <c r="U911" i="1"/>
  <c r="T911" i="1"/>
  <c r="S911" i="1"/>
  <c r="R911" i="1"/>
  <c r="Q911" i="1"/>
  <c r="P911" i="1"/>
  <c r="O911" i="1"/>
  <c r="N911" i="1"/>
  <c r="M911" i="1"/>
  <c r="L911" i="1"/>
  <c r="K911" i="1"/>
  <c r="J911" i="1"/>
  <c r="I911" i="1"/>
  <c r="H911" i="1"/>
  <c r="AZ910" i="1"/>
  <c r="AY910" i="1"/>
  <c r="AX910" i="1"/>
  <c r="AW910" i="1"/>
  <c r="AV910" i="1"/>
  <c r="AU910" i="1"/>
  <c r="AT910" i="1"/>
  <c r="AS910" i="1"/>
  <c r="AR910" i="1"/>
  <c r="AQ910" i="1"/>
  <c r="AP910" i="1"/>
  <c r="AH910" i="1"/>
  <c r="AG910" i="1"/>
  <c r="W910" i="1"/>
  <c r="V910" i="1"/>
  <c r="U910" i="1"/>
  <c r="T910" i="1"/>
  <c r="S910" i="1"/>
  <c r="R910" i="1"/>
  <c r="Q910" i="1"/>
  <c r="P910" i="1"/>
  <c r="O910" i="1"/>
  <c r="N910" i="1"/>
  <c r="M910" i="1"/>
  <c r="L910" i="1"/>
  <c r="K910" i="1"/>
  <c r="J910" i="1"/>
  <c r="I910" i="1"/>
  <c r="H910" i="1"/>
  <c r="AZ909" i="1"/>
  <c r="AY909" i="1"/>
  <c r="AX909" i="1"/>
  <c r="AW909" i="1"/>
  <c r="AV909" i="1"/>
  <c r="AU909" i="1"/>
  <c r="AT909" i="1"/>
  <c r="AS909" i="1"/>
  <c r="AR909" i="1"/>
  <c r="AQ909" i="1"/>
  <c r="AP909" i="1"/>
  <c r="AH909" i="1"/>
  <c r="AG909" i="1"/>
  <c r="W909" i="1"/>
  <c r="V909" i="1"/>
  <c r="U909" i="1"/>
  <c r="T909" i="1"/>
  <c r="S909" i="1"/>
  <c r="R909" i="1"/>
  <c r="Q909" i="1"/>
  <c r="P909" i="1"/>
  <c r="O909" i="1"/>
  <c r="N909" i="1"/>
  <c r="M909" i="1"/>
  <c r="L909" i="1"/>
  <c r="K909" i="1"/>
  <c r="J909" i="1"/>
  <c r="I909" i="1"/>
  <c r="H909" i="1"/>
  <c r="AZ908" i="1"/>
  <c r="AY908" i="1"/>
  <c r="AX908" i="1"/>
  <c r="AW908" i="1"/>
  <c r="AV908" i="1"/>
  <c r="AU908" i="1"/>
  <c r="AT908" i="1"/>
  <c r="AS908" i="1"/>
  <c r="AR908" i="1"/>
  <c r="AQ908" i="1"/>
  <c r="AP908" i="1"/>
  <c r="AH908" i="1"/>
  <c r="AG908" i="1"/>
  <c r="W908" i="1"/>
  <c r="V908" i="1"/>
  <c r="U908" i="1"/>
  <c r="T908" i="1"/>
  <c r="S908" i="1"/>
  <c r="R908" i="1"/>
  <c r="Q908" i="1"/>
  <c r="P908" i="1"/>
  <c r="O908" i="1"/>
  <c r="N908" i="1"/>
  <c r="M908" i="1"/>
  <c r="L908" i="1"/>
  <c r="K908" i="1"/>
  <c r="J908" i="1"/>
  <c r="I908" i="1"/>
  <c r="H908" i="1"/>
  <c r="AZ907" i="1"/>
  <c r="AY907" i="1"/>
  <c r="AX907" i="1"/>
  <c r="AW907" i="1"/>
  <c r="AV907" i="1"/>
  <c r="AU907" i="1"/>
  <c r="AT907" i="1"/>
  <c r="AS907" i="1"/>
  <c r="AR907" i="1"/>
  <c r="AQ907" i="1"/>
  <c r="AP907" i="1"/>
  <c r="AI907" i="1"/>
  <c r="AH907" i="1"/>
  <c r="AG907" i="1"/>
  <c r="W907" i="1"/>
  <c r="V907" i="1"/>
  <c r="U907" i="1"/>
  <c r="T907" i="1"/>
  <c r="S907" i="1"/>
  <c r="R907" i="1"/>
  <c r="Q907" i="1"/>
  <c r="P907" i="1"/>
  <c r="O907" i="1"/>
  <c r="N907" i="1"/>
  <c r="M907" i="1"/>
  <c r="L907" i="1"/>
  <c r="K907" i="1"/>
  <c r="J907" i="1"/>
  <c r="I907" i="1"/>
  <c r="H907" i="1"/>
  <c r="AZ906" i="1"/>
  <c r="AY906" i="1"/>
  <c r="AX906" i="1"/>
  <c r="AW906" i="1"/>
  <c r="AV906" i="1"/>
  <c r="AU906" i="1"/>
  <c r="AT906" i="1"/>
  <c r="AS906" i="1"/>
  <c r="AR906" i="1"/>
  <c r="AQ906" i="1"/>
  <c r="AP906" i="1"/>
  <c r="AI906" i="1"/>
  <c r="AH906" i="1"/>
  <c r="AG906" i="1"/>
  <c r="W906" i="1"/>
  <c r="V906" i="1"/>
  <c r="U906" i="1"/>
  <c r="T906" i="1"/>
  <c r="S906" i="1"/>
  <c r="R906" i="1"/>
  <c r="Q906" i="1"/>
  <c r="P906" i="1"/>
  <c r="O906" i="1"/>
  <c r="N906" i="1"/>
  <c r="M906" i="1"/>
  <c r="L906" i="1"/>
  <c r="K906" i="1"/>
  <c r="J906" i="1"/>
  <c r="I906" i="1"/>
  <c r="H906" i="1"/>
  <c r="AZ905" i="1"/>
  <c r="AY905" i="1"/>
  <c r="AX905" i="1"/>
  <c r="AW905" i="1"/>
  <c r="AV905" i="1"/>
  <c r="AU905" i="1"/>
  <c r="AT905" i="1"/>
  <c r="AS905" i="1"/>
  <c r="AR905" i="1"/>
  <c r="AQ905" i="1"/>
  <c r="AP905" i="1"/>
  <c r="AI905" i="1"/>
  <c r="AH905" i="1"/>
  <c r="AG905" i="1"/>
  <c r="W905" i="1"/>
  <c r="V905" i="1"/>
  <c r="U905" i="1"/>
  <c r="T905" i="1"/>
  <c r="S905" i="1"/>
  <c r="R905" i="1"/>
  <c r="Q905" i="1"/>
  <c r="P905" i="1"/>
  <c r="O905" i="1"/>
  <c r="N905" i="1"/>
  <c r="M905" i="1"/>
  <c r="L905" i="1"/>
  <c r="K905" i="1"/>
  <c r="J905" i="1"/>
  <c r="I905" i="1"/>
  <c r="H905" i="1"/>
  <c r="AZ904" i="1"/>
  <c r="AY904" i="1"/>
  <c r="AX904" i="1"/>
  <c r="AW904" i="1"/>
  <c r="AV904" i="1"/>
  <c r="AU904" i="1"/>
  <c r="AT904" i="1"/>
  <c r="AS904" i="1"/>
  <c r="AR904" i="1"/>
  <c r="AQ904" i="1"/>
  <c r="AP904" i="1"/>
  <c r="AI904" i="1"/>
  <c r="AH904" i="1"/>
  <c r="AG904" i="1"/>
  <c r="W904" i="1"/>
  <c r="V904" i="1"/>
  <c r="U904" i="1"/>
  <c r="T904" i="1"/>
  <c r="S904" i="1"/>
  <c r="R904" i="1"/>
  <c r="Q904" i="1"/>
  <c r="P904" i="1"/>
  <c r="O904" i="1"/>
  <c r="N904" i="1"/>
  <c r="M904" i="1"/>
  <c r="L904" i="1"/>
  <c r="K904" i="1"/>
  <c r="J904" i="1"/>
  <c r="I904" i="1"/>
  <c r="H904" i="1"/>
  <c r="AZ903" i="1"/>
  <c r="AY903" i="1"/>
  <c r="AX903" i="1"/>
  <c r="AW903" i="1"/>
  <c r="AV903" i="1"/>
  <c r="AU903" i="1"/>
  <c r="AT903" i="1"/>
  <c r="AS903" i="1"/>
  <c r="AR903" i="1"/>
  <c r="AQ903" i="1"/>
  <c r="AP903" i="1"/>
  <c r="AI903" i="1"/>
  <c r="AH903" i="1"/>
  <c r="AG903" i="1"/>
  <c r="W903" i="1"/>
  <c r="V903" i="1"/>
  <c r="U903" i="1"/>
  <c r="T903" i="1"/>
  <c r="S903" i="1"/>
  <c r="R903" i="1"/>
  <c r="Q903" i="1"/>
  <c r="P903" i="1"/>
  <c r="O903" i="1"/>
  <c r="N903" i="1"/>
  <c r="M903" i="1"/>
  <c r="L903" i="1"/>
  <c r="K903" i="1"/>
  <c r="J903" i="1"/>
  <c r="I903" i="1"/>
  <c r="H903" i="1"/>
  <c r="AZ902" i="1"/>
  <c r="AY902" i="1"/>
  <c r="AX902" i="1"/>
  <c r="AW902" i="1"/>
  <c r="AV902" i="1"/>
  <c r="AU902" i="1"/>
  <c r="AT902" i="1"/>
  <c r="AS902" i="1"/>
  <c r="AR902" i="1"/>
  <c r="AQ902" i="1"/>
  <c r="AP902" i="1"/>
  <c r="AI902" i="1"/>
  <c r="AH902" i="1"/>
  <c r="AG902" i="1"/>
  <c r="W902" i="1"/>
  <c r="V902" i="1"/>
  <c r="U902" i="1"/>
  <c r="T902" i="1"/>
  <c r="S902" i="1"/>
  <c r="R902" i="1"/>
  <c r="Q902" i="1"/>
  <c r="P902" i="1"/>
  <c r="O902" i="1"/>
  <c r="N902" i="1"/>
  <c r="M902" i="1"/>
  <c r="L902" i="1"/>
  <c r="K902" i="1"/>
  <c r="J902" i="1"/>
  <c r="I902" i="1"/>
  <c r="H902" i="1"/>
  <c r="AZ901" i="1"/>
  <c r="AY901" i="1"/>
  <c r="AX901" i="1"/>
  <c r="AW901" i="1"/>
  <c r="AV901" i="1"/>
  <c r="AU901" i="1"/>
  <c r="AT901" i="1"/>
  <c r="AS901" i="1"/>
  <c r="AR901" i="1"/>
  <c r="AQ901" i="1"/>
  <c r="AP901" i="1"/>
  <c r="AH901" i="1"/>
  <c r="AG901" i="1"/>
  <c r="W901" i="1"/>
  <c r="V901" i="1"/>
  <c r="U901" i="1"/>
  <c r="T901" i="1"/>
  <c r="S901" i="1"/>
  <c r="R901" i="1"/>
  <c r="Q901" i="1"/>
  <c r="P901" i="1"/>
  <c r="O901" i="1"/>
  <c r="N901" i="1"/>
  <c r="M901" i="1"/>
  <c r="L901" i="1"/>
  <c r="K901" i="1"/>
  <c r="J901" i="1"/>
  <c r="I901" i="1"/>
  <c r="H901" i="1"/>
  <c r="AZ900" i="1"/>
  <c r="AY900" i="1"/>
  <c r="AX900" i="1"/>
  <c r="AW900" i="1"/>
  <c r="AV900" i="1"/>
  <c r="AU900" i="1"/>
  <c r="AT900" i="1"/>
  <c r="AS900" i="1"/>
  <c r="AR900" i="1"/>
  <c r="AQ900" i="1"/>
  <c r="AP900" i="1"/>
  <c r="AH900" i="1"/>
  <c r="AG900" i="1"/>
  <c r="W900" i="1"/>
  <c r="V900" i="1"/>
  <c r="U900" i="1"/>
  <c r="T900" i="1"/>
  <c r="S900" i="1"/>
  <c r="R900" i="1"/>
  <c r="Q900" i="1"/>
  <c r="P900" i="1"/>
  <c r="O900" i="1"/>
  <c r="N900" i="1"/>
  <c r="M900" i="1"/>
  <c r="L900" i="1"/>
  <c r="K900" i="1"/>
  <c r="J900" i="1"/>
  <c r="I900" i="1"/>
  <c r="H900" i="1"/>
  <c r="AZ899" i="1"/>
  <c r="AY899" i="1"/>
  <c r="AX899" i="1"/>
  <c r="AW899" i="1"/>
  <c r="AV899" i="1"/>
  <c r="AU899" i="1"/>
  <c r="AT899" i="1"/>
  <c r="AS899" i="1"/>
  <c r="AR899" i="1"/>
  <c r="AQ899" i="1"/>
  <c r="AP899" i="1"/>
  <c r="AH899" i="1"/>
  <c r="AG899" i="1"/>
  <c r="W899" i="1"/>
  <c r="V899" i="1"/>
  <c r="U899" i="1"/>
  <c r="T899" i="1"/>
  <c r="S899" i="1"/>
  <c r="R899" i="1"/>
  <c r="Q899" i="1"/>
  <c r="P899" i="1"/>
  <c r="O899" i="1"/>
  <c r="N899" i="1"/>
  <c r="M899" i="1"/>
  <c r="L899" i="1"/>
  <c r="K899" i="1"/>
  <c r="J899" i="1"/>
  <c r="I899" i="1"/>
  <c r="H899" i="1"/>
  <c r="AZ898" i="1"/>
  <c r="AY898" i="1"/>
  <c r="AX898" i="1"/>
  <c r="AW898" i="1"/>
  <c r="AV898" i="1"/>
  <c r="AU898" i="1"/>
  <c r="AT898" i="1"/>
  <c r="AS898" i="1"/>
  <c r="AR898" i="1"/>
  <c r="AQ898" i="1"/>
  <c r="AP898" i="1"/>
  <c r="AH898" i="1"/>
  <c r="AG898" i="1"/>
  <c r="W898" i="1"/>
  <c r="V898" i="1"/>
  <c r="U898" i="1"/>
  <c r="T898" i="1"/>
  <c r="S898" i="1"/>
  <c r="R898" i="1"/>
  <c r="Q898" i="1"/>
  <c r="P898" i="1"/>
  <c r="O898" i="1"/>
  <c r="N898" i="1"/>
  <c r="M898" i="1"/>
  <c r="L898" i="1"/>
  <c r="K898" i="1"/>
  <c r="J898" i="1"/>
  <c r="I898" i="1"/>
  <c r="H898" i="1"/>
  <c r="AZ897" i="1"/>
  <c r="AY897" i="1"/>
  <c r="AX897" i="1"/>
  <c r="AW897" i="1"/>
  <c r="AV897" i="1"/>
  <c r="AU897" i="1"/>
  <c r="AT897" i="1"/>
  <c r="AS897" i="1"/>
  <c r="AR897" i="1"/>
  <c r="AQ897" i="1"/>
  <c r="AP897" i="1"/>
  <c r="AH897" i="1"/>
  <c r="AG897" i="1"/>
  <c r="W897" i="1"/>
  <c r="V897" i="1"/>
  <c r="U897" i="1"/>
  <c r="T897" i="1"/>
  <c r="S897" i="1"/>
  <c r="R897" i="1"/>
  <c r="Q897" i="1"/>
  <c r="P897" i="1"/>
  <c r="O897" i="1"/>
  <c r="N897" i="1"/>
  <c r="M897" i="1"/>
  <c r="L897" i="1"/>
  <c r="K897" i="1"/>
  <c r="J897" i="1"/>
  <c r="I897" i="1"/>
  <c r="H897" i="1"/>
  <c r="AZ896" i="1"/>
  <c r="AY896" i="1"/>
  <c r="AX896" i="1"/>
  <c r="AW896" i="1"/>
  <c r="AV896" i="1"/>
  <c r="AU896" i="1"/>
  <c r="AT896" i="1"/>
  <c r="AS896" i="1"/>
  <c r="AR896" i="1"/>
  <c r="AQ896" i="1"/>
  <c r="AP896" i="1"/>
  <c r="AI896" i="1"/>
  <c r="AH896" i="1"/>
  <c r="AG896" i="1"/>
  <c r="W896" i="1"/>
  <c r="V896" i="1"/>
  <c r="U896" i="1"/>
  <c r="T896" i="1"/>
  <c r="S896" i="1"/>
  <c r="R896" i="1"/>
  <c r="Q896" i="1"/>
  <c r="P896" i="1"/>
  <c r="O896" i="1"/>
  <c r="N896" i="1"/>
  <c r="M896" i="1"/>
  <c r="L896" i="1"/>
  <c r="K896" i="1"/>
  <c r="J896" i="1"/>
  <c r="I896" i="1"/>
  <c r="H896" i="1"/>
  <c r="AZ895" i="1"/>
  <c r="AY895" i="1"/>
  <c r="AX895" i="1"/>
  <c r="AW895" i="1"/>
  <c r="AV895" i="1"/>
  <c r="AU895" i="1"/>
  <c r="AT895" i="1"/>
  <c r="AS895" i="1"/>
  <c r="AR895" i="1"/>
  <c r="AQ895" i="1"/>
  <c r="AP895" i="1"/>
  <c r="AI895" i="1"/>
  <c r="AH895" i="1"/>
  <c r="AG895" i="1"/>
  <c r="W895" i="1"/>
  <c r="V895" i="1"/>
  <c r="U895" i="1"/>
  <c r="T895" i="1"/>
  <c r="S895" i="1"/>
  <c r="R895" i="1"/>
  <c r="Q895" i="1"/>
  <c r="P895" i="1"/>
  <c r="O895" i="1"/>
  <c r="N895" i="1"/>
  <c r="M895" i="1"/>
  <c r="L895" i="1"/>
  <c r="K895" i="1"/>
  <c r="J895" i="1"/>
  <c r="I895" i="1"/>
  <c r="H895" i="1"/>
  <c r="AZ894" i="1"/>
  <c r="AY894" i="1"/>
  <c r="AX894" i="1"/>
  <c r="AW894" i="1"/>
  <c r="AV894" i="1"/>
  <c r="AU894" i="1"/>
  <c r="AT894" i="1"/>
  <c r="AS894" i="1"/>
  <c r="AR894" i="1"/>
  <c r="AQ894" i="1"/>
  <c r="AP894" i="1"/>
  <c r="AH894" i="1"/>
  <c r="AG894" i="1"/>
  <c r="W894" i="1"/>
  <c r="V894" i="1"/>
  <c r="U894" i="1"/>
  <c r="T894" i="1"/>
  <c r="S894" i="1"/>
  <c r="R894" i="1"/>
  <c r="Q894" i="1"/>
  <c r="P894" i="1"/>
  <c r="O894" i="1"/>
  <c r="N894" i="1"/>
  <c r="M894" i="1"/>
  <c r="L894" i="1"/>
  <c r="K894" i="1"/>
  <c r="J894" i="1"/>
  <c r="I894" i="1"/>
  <c r="H894" i="1"/>
  <c r="AZ893" i="1"/>
  <c r="AY893" i="1"/>
  <c r="AX893" i="1"/>
  <c r="AW893" i="1"/>
  <c r="AV893" i="1"/>
  <c r="AU893" i="1"/>
  <c r="AT893" i="1"/>
  <c r="AS893" i="1"/>
  <c r="AR893" i="1"/>
  <c r="AQ893" i="1"/>
  <c r="AP893" i="1"/>
  <c r="AH893" i="1"/>
  <c r="AG893" i="1"/>
  <c r="W893" i="1"/>
  <c r="V893" i="1"/>
  <c r="U893" i="1"/>
  <c r="T893" i="1"/>
  <c r="S893" i="1"/>
  <c r="R893" i="1"/>
  <c r="Q893" i="1"/>
  <c r="P893" i="1"/>
  <c r="O893" i="1"/>
  <c r="N893" i="1"/>
  <c r="M893" i="1"/>
  <c r="L893" i="1"/>
  <c r="K893" i="1"/>
  <c r="J893" i="1"/>
  <c r="I893" i="1"/>
  <c r="H893" i="1"/>
  <c r="AZ892" i="1"/>
  <c r="AY892" i="1"/>
  <c r="AX892" i="1"/>
  <c r="AW892" i="1"/>
  <c r="AV892" i="1"/>
  <c r="AU892" i="1"/>
  <c r="AT892" i="1"/>
  <c r="AS892" i="1"/>
  <c r="AR892" i="1"/>
  <c r="AQ892" i="1"/>
  <c r="AP892" i="1"/>
  <c r="AH892" i="1"/>
  <c r="AG892" i="1"/>
  <c r="W892" i="1"/>
  <c r="V892" i="1"/>
  <c r="U892" i="1"/>
  <c r="T892" i="1"/>
  <c r="S892" i="1"/>
  <c r="R892" i="1"/>
  <c r="Q892" i="1"/>
  <c r="P892" i="1"/>
  <c r="O892" i="1"/>
  <c r="N892" i="1"/>
  <c r="M892" i="1"/>
  <c r="L892" i="1"/>
  <c r="K892" i="1"/>
  <c r="J892" i="1"/>
  <c r="I892" i="1"/>
  <c r="H892" i="1"/>
  <c r="AZ891" i="1"/>
  <c r="AY891" i="1"/>
  <c r="AX891" i="1"/>
  <c r="AW891" i="1"/>
  <c r="AV891" i="1"/>
  <c r="AU891" i="1"/>
  <c r="AT891" i="1"/>
  <c r="AS891" i="1"/>
  <c r="AR891" i="1"/>
  <c r="AQ891" i="1"/>
  <c r="AP891" i="1"/>
  <c r="AH891" i="1"/>
  <c r="AG891" i="1"/>
  <c r="W891" i="1"/>
  <c r="V891" i="1"/>
  <c r="U891" i="1"/>
  <c r="T891" i="1"/>
  <c r="S891" i="1"/>
  <c r="R891" i="1"/>
  <c r="Q891" i="1"/>
  <c r="P891" i="1"/>
  <c r="O891" i="1"/>
  <c r="N891" i="1"/>
  <c r="M891" i="1"/>
  <c r="L891" i="1"/>
  <c r="K891" i="1"/>
  <c r="J891" i="1"/>
  <c r="I891" i="1"/>
  <c r="H891" i="1"/>
  <c r="AZ890" i="1"/>
  <c r="AY890" i="1"/>
  <c r="AX890" i="1"/>
  <c r="AW890" i="1"/>
  <c r="AV890" i="1"/>
  <c r="AU890" i="1"/>
  <c r="AT890" i="1"/>
  <c r="AS890" i="1"/>
  <c r="AR890" i="1"/>
  <c r="AQ890" i="1"/>
  <c r="AP890" i="1"/>
  <c r="AH890" i="1"/>
  <c r="AG890" i="1"/>
  <c r="W890" i="1"/>
  <c r="V890" i="1"/>
  <c r="U890" i="1"/>
  <c r="T890" i="1"/>
  <c r="S890" i="1"/>
  <c r="R890" i="1"/>
  <c r="Q890" i="1"/>
  <c r="P890" i="1"/>
  <c r="O890" i="1"/>
  <c r="N890" i="1"/>
  <c r="M890" i="1"/>
  <c r="L890" i="1"/>
  <c r="K890" i="1"/>
  <c r="J890" i="1"/>
  <c r="I890" i="1"/>
  <c r="H890" i="1"/>
  <c r="AZ889" i="1"/>
  <c r="AY889" i="1"/>
  <c r="AX889" i="1"/>
  <c r="AW889" i="1"/>
  <c r="AV889" i="1"/>
  <c r="AU889" i="1"/>
  <c r="AT889" i="1"/>
  <c r="AS889" i="1"/>
  <c r="AR889" i="1"/>
  <c r="AQ889" i="1"/>
  <c r="AP889" i="1"/>
  <c r="AI889" i="1"/>
  <c r="AH889" i="1"/>
  <c r="AG889" i="1"/>
  <c r="W889" i="1"/>
  <c r="V889" i="1"/>
  <c r="U889" i="1"/>
  <c r="T889" i="1"/>
  <c r="S889" i="1"/>
  <c r="R889" i="1"/>
  <c r="Q889" i="1"/>
  <c r="P889" i="1"/>
  <c r="O889" i="1"/>
  <c r="N889" i="1"/>
  <c r="M889" i="1"/>
  <c r="L889" i="1"/>
  <c r="K889" i="1"/>
  <c r="J889" i="1"/>
  <c r="I889" i="1"/>
  <c r="H889" i="1"/>
  <c r="AZ888" i="1"/>
  <c r="AY888" i="1"/>
  <c r="AX888" i="1"/>
  <c r="AW888" i="1"/>
  <c r="AV888" i="1"/>
  <c r="AU888" i="1"/>
  <c r="AT888" i="1"/>
  <c r="AS888" i="1"/>
  <c r="AR888" i="1"/>
  <c r="AQ888" i="1"/>
  <c r="AP888" i="1"/>
  <c r="AH888" i="1"/>
  <c r="AG888" i="1"/>
  <c r="W888" i="1"/>
  <c r="V888" i="1"/>
  <c r="U888" i="1"/>
  <c r="T888" i="1"/>
  <c r="S888" i="1"/>
  <c r="R888" i="1"/>
  <c r="Q888" i="1"/>
  <c r="P888" i="1"/>
  <c r="O888" i="1"/>
  <c r="N888" i="1"/>
  <c r="M888" i="1"/>
  <c r="L888" i="1"/>
  <c r="K888" i="1"/>
  <c r="J888" i="1"/>
  <c r="I888" i="1"/>
  <c r="H888" i="1"/>
  <c r="AZ887" i="1"/>
  <c r="AY887" i="1"/>
  <c r="AX887" i="1"/>
  <c r="AW887" i="1"/>
  <c r="AV887" i="1"/>
  <c r="AU887" i="1"/>
  <c r="AT887" i="1"/>
  <c r="AS887" i="1"/>
  <c r="AR887" i="1"/>
  <c r="AQ887" i="1"/>
  <c r="AP887" i="1"/>
  <c r="AI887" i="1"/>
  <c r="AH887" i="1"/>
  <c r="AG887" i="1"/>
  <c r="W887" i="1"/>
  <c r="V887" i="1"/>
  <c r="U887" i="1"/>
  <c r="T887" i="1"/>
  <c r="S887" i="1"/>
  <c r="R887" i="1"/>
  <c r="Q887" i="1"/>
  <c r="P887" i="1"/>
  <c r="O887" i="1"/>
  <c r="N887" i="1"/>
  <c r="M887" i="1"/>
  <c r="L887" i="1"/>
  <c r="K887" i="1"/>
  <c r="J887" i="1"/>
  <c r="I887" i="1"/>
  <c r="H887" i="1"/>
  <c r="AZ886" i="1"/>
  <c r="AY886" i="1"/>
  <c r="AX886" i="1"/>
  <c r="AW886" i="1"/>
  <c r="AV886" i="1"/>
  <c r="AU886" i="1"/>
  <c r="AT886" i="1"/>
  <c r="AS886" i="1"/>
  <c r="AR886" i="1"/>
  <c r="AQ886" i="1"/>
  <c r="AP886" i="1"/>
  <c r="AI886" i="1"/>
  <c r="AH886" i="1"/>
  <c r="AG886" i="1"/>
  <c r="W886" i="1"/>
  <c r="V886" i="1"/>
  <c r="U886" i="1"/>
  <c r="T886" i="1"/>
  <c r="S886" i="1"/>
  <c r="R886" i="1"/>
  <c r="Q886" i="1"/>
  <c r="P886" i="1"/>
  <c r="O886" i="1"/>
  <c r="N886" i="1"/>
  <c r="M886" i="1"/>
  <c r="L886" i="1"/>
  <c r="K886" i="1"/>
  <c r="J886" i="1"/>
  <c r="I886" i="1"/>
  <c r="H886" i="1"/>
  <c r="AZ885" i="1"/>
  <c r="AY885" i="1"/>
  <c r="AX885" i="1"/>
  <c r="AW885" i="1"/>
  <c r="AV885" i="1"/>
  <c r="AU885" i="1"/>
  <c r="AT885" i="1"/>
  <c r="AS885" i="1"/>
  <c r="AR885" i="1"/>
  <c r="AQ885" i="1"/>
  <c r="AP885" i="1"/>
  <c r="AI885" i="1"/>
  <c r="AH885" i="1"/>
  <c r="AG885" i="1"/>
  <c r="W885" i="1"/>
  <c r="V885" i="1"/>
  <c r="U885" i="1"/>
  <c r="T885" i="1"/>
  <c r="S885" i="1"/>
  <c r="R885" i="1"/>
  <c r="Q885" i="1"/>
  <c r="P885" i="1"/>
  <c r="O885" i="1"/>
  <c r="N885" i="1"/>
  <c r="M885" i="1"/>
  <c r="L885" i="1"/>
  <c r="K885" i="1"/>
  <c r="J885" i="1"/>
  <c r="I885" i="1"/>
  <c r="H885" i="1"/>
  <c r="AZ884" i="1"/>
  <c r="AY884" i="1"/>
  <c r="AX884" i="1"/>
  <c r="AW884" i="1"/>
  <c r="AV884" i="1"/>
  <c r="AU884" i="1"/>
  <c r="AT884" i="1"/>
  <c r="AS884" i="1"/>
  <c r="AR884" i="1"/>
  <c r="AQ884" i="1"/>
  <c r="AP884" i="1"/>
  <c r="AI884" i="1"/>
  <c r="AH884" i="1"/>
  <c r="AG884" i="1"/>
  <c r="W884" i="1"/>
  <c r="V884" i="1"/>
  <c r="U884" i="1"/>
  <c r="T884" i="1"/>
  <c r="S884" i="1"/>
  <c r="R884" i="1"/>
  <c r="Q884" i="1"/>
  <c r="P884" i="1"/>
  <c r="O884" i="1"/>
  <c r="N884" i="1"/>
  <c r="M884" i="1"/>
  <c r="L884" i="1"/>
  <c r="K884" i="1"/>
  <c r="J884" i="1"/>
  <c r="I884" i="1"/>
  <c r="H884" i="1"/>
  <c r="AZ883" i="1"/>
  <c r="AY883" i="1"/>
  <c r="AX883" i="1"/>
  <c r="AW883" i="1"/>
  <c r="AV883" i="1"/>
  <c r="AU883" i="1"/>
  <c r="AT883" i="1"/>
  <c r="AS883" i="1"/>
  <c r="AR883" i="1"/>
  <c r="AQ883" i="1"/>
  <c r="AP883" i="1"/>
  <c r="AI883" i="1"/>
  <c r="AH883" i="1"/>
  <c r="AG883" i="1"/>
  <c r="W883" i="1"/>
  <c r="V883" i="1"/>
  <c r="U883" i="1"/>
  <c r="T883" i="1"/>
  <c r="S883" i="1"/>
  <c r="R883" i="1"/>
  <c r="Q883" i="1"/>
  <c r="P883" i="1"/>
  <c r="O883" i="1"/>
  <c r="N883" i="1"/>
  <c r="M883" i="1"/>
  <c r="L883" i="1"/>
  <c r="K883" i="1"/>
  <c r="J883" i="1"/>
  <c r="I883" i="1"/>
  <c r="H883" i="1"/>
  <c r="AZ882" i="1"/>
  <c r="AY882" i="1"/>
  <c r="AX882" i="1"/>
  <c r="AW882" i="1"/>
  <c r="AV882" i="1"/>
  <c r="AU882" i="1"/>
  <c r="AT882" i="1"/>
  <c r="AS882" i="1"/>
  <c r="AR882" i="1"/>
  <c r="AQ882" i="1"/>
  <c r="AP882" i="1"/>
  <c r="AI882" i="1"/>
  <c r="AH882" i="1"/>
  <c r="AG882" i="1"/>
  <c r="W882" i="1"/>
  <c r="V882" i="1"/>
  <c r="U882" i="1"/>
  <c r="T882" i="1"/>
  <c r="S882" i="1"/>
  <c r="R882" i="1"/>
  <c r="Q882" i="1"/>
  <c r="P882" i="1"/>
  <c r="O882" i="1"/>
  <c r="N882" i="1"/>
  <c r="M882" i="1"/>
  <c r="L882" i="1"/>
  <c r="K882" i="1"/>
  <c r="J882" i="1"/>
  <c r="I882" i="1"/>
  <c r="H882" i="1"/>
  <c r="AZ881" i="1"/>
  <c r="AY881" i="1"/>
  <c r="AX881" i="1"/>
  <c r="AW881" i="1"/>
  <c r="AV881" i="1"/>
  <c r="AU881" i="1"/>
  <c r="AT881" i="1"/>
  <c r="AS881" i="1"/>
  <c r="AR881" i="1"/>
  <c r="AQ881" i="1"/>
  <c r="AP881" i="1"/>
  <c r="AI881" i="1"/>
  <c r="AH881" i="1"/>
  <c r="AG881" i="1"/>
  <c r="W881" i="1"/>
  <c r="V881" i="1"/>
  <c r="U881" i="1"/>
  <c r="T881" i="1"/>
  <c r="S881" i="1"/>
  <c r="R881" i="1"/>
  <c r="Q881" i="1"/>
  <c r="P881" i="1"/>
  <c r="O881" i="1"/>
  <c r="N881" i="1"/>
  <c r="M881" i="1"/>
  <c r="L881" i="1"/>
  <c r="K881" i="1"/>
  <c r="J881" i="1"/>
  <c r="I881" i="1"/>
  <c r="H881" i="1"/>
  <c r="AZ880" i="1"/>
  <c r="AY880" i="1"/>
  <c r="AX880" i="1"/>
  <c r="AW880" i="1"/>
  <c r="AV880" i="1"/>
  <c r="AU880" i="1"/>
  <c r="AT880" i="1"/>
  <c r="AS880" i="1"/>
  <c r="AR880" i="1"/>
  <c r="AQ880" i="1"/>
  <c r="AP880" i="1"/>
  <c r="AI880" i="1"/>
  <c r="AH880" i="1"/>
  <c r="AG880" i="1"/>
  <c r="W880" i="1"/>
  <c r="V880" i="1"/>
  <c r="U880" i="1"/>
  <c r="T880" i="1"/>
  <c r="S880" i="1"/>
  <c r="R880" i="1"/>
  <c r="Q880" i="1"/>
  <c r="P880" i="1"/>
  <c r="O880" i="1"/>
  <c r="N880" i="1"/>
  <c r="M880" i="1"/>
  <c r="L880" i="1"/>
  <c r="K880" i="1"/>
  <c r="J880" i="1"/>
  <c r="I880" i="1"/>
  <c r="H880" i="1"/>
  <c r="AZ879" i="1"/>
  <c r="AY879" i="1"/>
  <c r="AX879" i="1"/>
  <c r="AW879" i="1"/>
  <c r="AV879" i="1"/>
  <c r="AU879" i="1"/>
  <c r="AT879" i="1"/>
  <c r="AS879" i="1"/>
  <c r="AR879" i="1"/>
  <c r="AQ879" i="1"/>
  <c r="AP879" i="1"/>
  <c r="AI879" i="1"/>
  <c r="AH879" i="1"/>
  <c r="AG879" i="1"/>
  <c r="W879" i="1"/>
  <c r="V879" i="1"/>
  <c r="U879" i="1"/>
  <c r="T879" i="1"/>
  <c r="S879" i="1"/>
  <c r="R879" i="1"/>
  <c r="Q879" i="1"/>
  <c r="P879" i="1"/>
  <c r="O879" i="1"/>
  <c r="N879" i="1"/>
  <c r="M879" i="1"/>
  <c r="L879" i="1"/>
  <c r="K879" i="1"/>
  <c r="J879" i="1"/>
  <c r="I879" i="1"/>
  <c r="H879" i="1"/>
  <c r="AZ878" i="1"/>
  <c r="AY878" i="1"/>
  <c r="AX878" i="1"/>
  <c r="AW878" i="1"/>
  <c r="AV878" i="1"/>
  <c r="AU878" i="1"/>
  <c r="AT878" i="1"/>
  <c r="AS878" i="1"/>
  <c r="AR878" i="1"/>
  <c r="AQ878" i="1"/>
  <c r="AP878" i="1"/>
  <c r="AH878" i="1"/>
  <c r="AG878" i="1"/>
  <c r="W878" i="1"/>
  <c r="V878" i="1"/>
  <c r="U878" i="1"/>
  <c r="T878" i="1"/>
  <c r="S878" i="1"/>
  <c r="R878" i="1"/>
  <c r="Q878" i="1"/>
  <c r="P878" i="1"/>
  <c r="O878" i="1"/>
  <c r="N878" i="1"/>
  <c r="M878" i="1"/>
  <c r="L878" i="1"/>
  <c r="K878" i="1"/>
  <c r="J878" i="1"/>
  <c r="I878" i="1"/>
  <c r="H878" i="1"/>
  <c r="AZ877" i="1"/>
  <c r="AY877" i="1"/>
  <c r="AX877" i="1"/>
  <c r="AW877" i="1"/>
  <c r="AV877" i="1"/>
  <c r="AU877" i="1"/>
  <c r="AT877" i="1"/>
  <c r="AS877" i="1"/>
  <c r="AR877" i="1"/>
  <c r="AQ877" i="1"/>
  <c r="AP877" i="1"/>
  <c r="AI877" i="1"/>
  <c r="AH877" i="1"/>
  <c r="AG877" i="1"/>
  <c r="W877" i="1"/>
  <c r="V877" i="1"/>
  <c r="U877" i="1"/>
  <c r="T877" i="1"/>
  <c r="S877" i="1"/>
  <c r="R877" i="1"/>
  <c r="Q877" i="1"/>
  <c r="P877" i="1"/>
  <c r="O877" i="1"/>
  <c r="N877" i="1"/>
  <c r="M877" i="1"/>
  <c r="L877" i="1"/>
  <c r="K877" i="1"/>
  <c r="J877" i="1"/>
  <c r="I877" i="1"/>
  <c r="H877" i="1"/>
  <c r="AZ876" i="1"/>
  <c r="AY876" i="1"/>
  <c r="AX876" i="1"/>
  <c r="AW876" i="1"/>
  <c r="AV876" i="1"/>
  <c r="AU876" i="1"/>
  <c r="AT876" i="1"/>
  <c r="AS876" i="1"/>
  <c r="AR876" i="1"/>
  <c r="AQ876" i="1"/>
  <c r="AP876" i="1"/>
  <c r="AH876" i="1"/>
  <c r="AG876" i="1"/>
  <c r="W876" i="1"/>
  <c r="V876" i="1"/>
  <c r="U876" i="1"/>
  <c r="T876" i="1"/>
  <c r="S876" i="1"/>
  <c r="R876" i="1"/>
  <c r="Q876" i="1"/>
  <c r="P876" i="1"/>
  <c r="O876" i="1"/>
  <c r="N876" i="1"/>
  <c r="M876" i="1"/>
  <c r="L876" i="1"/>
  <c r="K876" i="1"/>
  <c r="J876" i="1"/>
  <c r="I876" i="1"/>
  <c r="H876" i="1"/>
  <c r="AZ875" i="1"/>
  <c r="AY875" i="1"/>
  <c r="AX875" i="1"/>
  <c r="AW875" i="1"/>
  <c r="AV875" i="1"/>
  <c r="AU875" i="1"/>
  <c r="AT875" i="1"/>
  <c r="AS875" i="1"/>
  <c r="AR875" i="1"/>
  <c r="AQ875" i="1"/>
  <c r="AP875" i="1"/>
  <c r="W875" i="1"/>
  <c r="V875" i="1"/>
  <c r="U875" i="1"/>
  <c r="T875" i="1"/>
  <c r="S875" i="1"/>
  <c r="R875" i="1"/>
  <c r="Q875" i="1"/>
  <c r="P875" i="1"/>
  <c r="O875" i="1"/>
  <c r="N875" i="1"/>
  <c r="M875" i="1"/>
  <c r="L875" i="1"/>
  <c r="K875" i="1"/>
  <c r="J875" i="1"/>
  <c r="I875" i="1"/>
  <c r="H875" i="1"/>
  <c r="AZ874" i="1"/>
  <c r="AY874" i="1"/>
  <c r="AX874" i="1"/>
  <c r="AW874" i="1"/>
  <c r="AV874" i="1"/>
  <c r="AU874" i="1"/>
  <c r="AT874" i="1"/>
  <c r="AS874" i="1"/>
  <c r="AR874" i="1"/>
  <c r="AQ874" i="1"/>
  <c r="AP874" i="1"/>
  <c r="AH874" i="1"/>
  <c r="AG874" i="1"/>
  <c r="W874" i="1"/>
  <c r="V874" i="1"/>
  <c r="U874" i="1"/>
  <c r="T874" i="1"/>
  <c r="S874" i="1"/>
  <c r="R874" i="1"/>
  <c r="Q874" i="1"/>
  <c r="P874" i="1"/>
  <c r="O874" i="1"/>
  <c r="N874" i="1"/>
  <c r="M874" i="1"/>
  <c r="L874" i="1"/>
  <c r="K874" i="1"/>
  <c r="J874" i="1"/>
  <c r="I874" i="1"/>
  <c r="H874" i="1"/>
  <c r="AZ873" i="1"/>
  <c r="AY873" i="1"/>
  <c r="AX873" i="1"/>
  <c r="AW873" i="1"/>
  <c r="AV873" i="1"/>
  <c r="AU873" i="1"/>
  <c r="AT873" i="1"/>
  <c r="AS873" i="1"/>
  <c r="AR873" i="1"/>
  <c r="AQ873" i="1"/>
  <c r="AP873" i="1"/>
  <c r="AI873" i="1"/>
  <c r="AH873" i="1"/>
  <c r="AG873" i="1"/>
  <c r="W873" i="1"/>
  <c r="V873" i="1"/>
  <c r="U873" i="1"/>
  <c r="T873" i="1"/>
  <c r="S873" i="1"/>
  <c r="R873" i="1"/>
  <c r="Q873" i="1"/>
  <c r="P873" i="1"/>
  <c r="O873" i="1"/>
  <c r="N873" i="1"/>
  <c r="M873" i="1"/>
  <c r="L873" i="1"/>
  <c r="K873" i="1"/>
  <c r="J873" i="1"/>
  <c r="I873" i="1"/>
  <c r="H873" i="1"/>
  <c r="AZ872" i="1"/>
  <c r="AY872" i="1"/>
  <c r="AX872" i="1"/>
  <c r="AW872" i="1"/>
  <c r="AV872" i="1"/>
  <c r="AU872" i="1"/>
  <c r="AT872" i="1"/>
  <c r="AS872" i="1"/>
  <c r="AR872" i="1"/>
  <c r="AQ872" i="1"/>
  <c r="AP872" i="1"/>
  <c r="AI872" i="1"/>
  <c r="AH872" i="1"/>
  <c r="AG872" i="1"/>
  <c r="W872" i="1"/>
  <c r="V872" i="1"/>
  <c r="U872" i="1"/>
  <c r="T872" i="1"/>
  <c r="S872" i="1"/>
  <c r="R872" i="1"/>
  <c r="Q872" i="1"/>
  <c r="P872" i="1"/>
  <c r="O872" i="1"/>
  <c r="N872" i="1"/>
  <c r="M872" i="1"/>
  <c r="L872" i="1"/>
  <c r="K872" i="1"/>
  <c r="J872" i="1"/>
  <c r="I872" i="1"/>
  <c r="H872" i="1"/>
  <c r="AZ871" i="1"/>
  <c r="AY871" i="1"/>
  <c r="AX871" i="1"/>
  <c r="AW871" i="1"/>
  <c r="AV871" i="1"/>
  <c r="AU871" i="1"/>
  <c r="AT871" i="1"/>
  <c r="AS871" i="1"/>
  <c r="AR871" i="1"/>
  <c r="AQ871" i="1"/>
  <c r="AP871" i="1"/>
  <c r="AI871" i="1"/>
  <c r="AH871" i="1"/>
  <c r="AG871" i="1"/>
  <c r="W871" i="1"/>
  <c r="V871" i="1"/>
  <c r="U871" i="1"/>
  <c r="T871" i="1"/>
  <c r="S871" i="1"/>
  <c r="R871" i="1"/>
  <c r="Q871" i="1"/>
  <c r="P871" i="1"/>
  <c r="O871" i="1"/>
  <c r="N871" i="1"/>
  <c r="M871" i="1"/>
  <c r="L871" i="1"/>
  <c r="K871" i="1"/>
  <c r="J871" i="1"/>
  <c r="I871" i="1"/>
  <c r="H871" i="1"/>
  <c r="AZ870" i="1"/>
  <c r="AY870" i="1"/>
  <c r="AX870" i="1"/>
  <c r="AW870" i="1"/>
  <c r="AV870" i="1"/>
  <c r="AU870" i="1"/>
  <c r="AT870" i="1"/>
  <c r="AS870" i="1"/>
  <c r="AR870" i="1"/>
  <c r="AQ870" i="1"/>
  <c r="AP870" i="1"/>
  <c r="AH870" i="1"/>
  <c r="AG870" i="1"/>
  <c r="W870" i="1"/>
  <c r="V870" i="1"/>
  <c r="U870" i="1"/>
  <c r="T870" i="1"/>
  <c r="S870" i="1"/>
  <c r="R870" i="1"/>
  <c r="Q870" i="1"/>
  <c r="P870" i="1"/>
  <c r="O870" i="1"/>
  <c r="N870" i="1"/>
  <c r="M870" i="1"/>
  <c r="L870" i="1"/>
  <c r="K870" i="1"/>
  <c r="J870" i="1"/>
  <c r="I870" i="1"/>
  <c r="H870" i="1"/>
  <c r="AZ869" i="1"/>
  <c r="AY869" i="1"/>
  <c r="AX869" i="1"/>
  <c r="AW869" i="1"/>
  <c r="AV869" i="1"/>
  <c r="AU869" i="1"/>
  <c r="AT869" i="1"/>
  <c r="AS869" i="1"/>
  <c r="AR869" i="1"/>
  <c r="AQ869" i="1"/>
  <c r="AP869" i="1"/>
  <c r="AI869" i="1"/>
  <c r="AH869" i="1"/>
  <c r="AG869" i="1"/>
  <c r="W869" i="1"/>
  <c r="V869" i="1"/>
  <c r="U869" i="1"/>
  <c r="T869" i="1"/>
  <c r="S869" i="1"/>
  <c r="R869" i="1"/>
  <c r="Q869" i="1"/>
  <c r="P869" i="1"/>
  <c r="O869" i="1"/>
  <c r="N869" i="1"/>
  <c r="M869" i="1"/>
  <c r="L869" i="1"/>
  <c r="K869" i="1"/>
  <c r="J869" i="1"/>
  <c r="I869" i="1"/>
  <c r="H869" i="1"/>
  <c r="AZ868" i="1"/>
  <c r="AY868" i="1"/>
  <c r="AX868" i="1"/>
  <c r="AW868" i="1"/>
  <c r="AV868" i="1"/>
  <c r="AU868" i="1"/>
  <c r="AT868" i="1"/>
  <c r="AS868" i="1"/>
  <c r="AR868" i="1"/>
  <c r="AQ868" i="1"/>
  <c r="AP868" i="1"/>
  <c r="AI868" i="1"/>
  <c r="AH868" i="1"/>
  <c r="AG868" i="1"/>
  <c r="W868" i="1"/>
  <c r="V868" i="1"/>
  <c r="U868" i="1"/>
  <c r="T868" i="1"/>
  <c r="S868" i="1"/>
  <c r="R868" i="1"/>
  <c r="Q868" i="1"/>
  <c r="P868" i="1"/>
  <c r="O868" i="1"/>
  <c r="N868" i="1"/>
  <c r="M868" i="1"/>
  <c r="L868" i="1"/>
  <c r="K868" i="1"/>
  <c r="J868" i="1"/>
  <c r="I868" i="1"/>
  <c r="H868" i="1"/>
  <c r="AZ867" i="1"/>
  <c r="AY867" i="1"/>
  <c r="AX867" i="1"/>
  <c r="AW867" i="1"/>
  <c r="AV867" i="1"/>
  <c r="AU867" i="1"/>
  <c r="AT867" i="1"/>
  <c r="AS867" i="1"/>
  <c r="AR867" i="1"/>
  <c r="AQ867" i="1"/>
  <c r="AP867" i="1"/>
  <c r="AI867" i="1"/>
  <c r="AH867" i="1"/>
  <c r="AG867" i="1"/>
  <c r="W867" i="1"/>
  <c r="V867" i="1"/>
  <c r="U867" i="1"/>
  <c r="T867" i="1"/>
  <c r="S867" i="1"/>
  <c r="R867" i="1"/>
  <c r="Q867" i="1"/>
  <c r="P867" i="1"/>
  <c r="O867" i="1"/>
  <c r="N867" i="1"/>
  <c r="M867" i="1"/>
  <c r="L867" i="1"/>
  <c r="K867" i="1"/>
  <c r="J867" i="1"/>
  <c r="I867" i="1"/>
  <c r="H867" i="1"/>
  <c r="AZ866" i="1"/>
  <c r="AY866" i="1"/>
  <c r="AX866" i="1"/>
  <c r="AW866" i="1"/>
  <c r="AV866" i="1"/>
  <c r="AU866" i="1"/>
  <c r="AT866" i="1"/>
  <c r="AS866" i="1"/>
  <c r="AR866" i="1"/>
  <c r="AQ866" i="1"/>
  <c r="AP866" i="1"/>
  <c r="AH866" i="1"/>
  <c r="AG866" i="1"/>
  <c r="W866" i="1"/>
  <c r="V866" i="1"/>
  <c r="U866" i="1"/>
  <c r="T866" i="1"/>
  <c r="S866" i="1"/>
  <c r="R866" i="1"/>
  <c r="Q866" i="1"/>
  <c r="P866" i="1"/>
  <c r="O866" i="1"/>
  <c r="N866" i="1"/>
  <c r="M866" i="1"/>
  <c r="L866" i="1"/>
  <c r="K866" i="1"/>
  <c r="J866" i="1"/>
  <c r="I866" i="1"/>
  <c r="H866" i="1"/>
  <c r="AZ865" i="1"/>
  <c r="AY865" i="1"/>
  <c r="AX865" i="1"/>
  <c r="AW865" i="1"/>
  <c r="AV865" i="1"/>
  <c r="AU865" i="1"/>
  <c r="AT865" i="1"/>
  <c r="AS865" i="1"/>
  <c r="AR865" i="1"/>
  <c r="AQ865" i="1"/>
  <c r="AP865" i="1"/>
  <c r="AI865" i="1"/>
  <c r="AH865" i="1"/>
  <c r="AG865" i="1"/>
  <c r="W865" i="1"/>
  <c r="V865" i="1"/>
  <c r="U865" i="1"/>
  <c r="T865" i="1"/>
  <c r="S865" i="1"/>
  <c r="R865" i="1"/>
  <c r="Q865" i="1"/>
  <c r="P865" i="1"/>
  <c r="O865" i="1"/>
  <c r="N865" i="1"/>
  <c r="M865" i="1"/>
  <c r="L865" i="1"/>
  <c r="K865" i="1"/>
  <c r="J865" i="1"/>
  <c r="I865" i="1"/>
  <c r="H865" i="1"/>
  <c r="AZ864" i="1"/>
  <c r="AY864" i="1"/>
  <c r="AX864" i="1"/>
  <c r="AW864" i="1"/>
  <c r="AV864" i="1"/>
  <c r="AU864" i="1"/>
  <c r="AT864" i="1"/>
  <c r="AS864" i="1"/>
  <c r="AR864" i="1"/>
  <c r="AQ864" i="1"/>
  <c r="AP864" i="1"/>
  <c r="AI864" i="1"/>
  <c r="AH864" i="1"/>
  <c r="AG864" i="1"/>
  <c r="W864" i="1"/>
  <c r="V864" i="1"/>
  <c r="U864" i="1"/>
  <c r="T864" i="1"/>
  <c r="S864" i="1"/>
  <c r="R864" i="1"/>
  <c r="Q864" i="1"/>
  <c r="P864" i="1"/>
  <c r="O864" i="1"/>
  <c r="N864" i="1"/>
  <c r="M864" i="1"/>
  <c r="L864" i="1"/>
  <c r="K864" i="1"/>
  <c r="J864" i="1"/>
  <c r="I864" i="1"/>
  <c r="H864" i="1"/>
  <c r="AZ863" i="1"/>
  <c r="AY863" i="1"/>
  <c r="AX863" i="1"/>
  <c r="AW863" i="1"/>
  <c r="AV863" i="1"/>
  <c r="AU863" i="1"/>
  <c r="AT863" i="1"/>
  <c r="AS863" i="1"/>
  <c r="AR863" i="1"/>
  <c r="AQ863" i="1"/>
  <c r="AP863" i="1"/>
  <c r="AI863" i="1"/>
  <c r="AH863" i="1"/>
  <c r="AG863" i="1"/>
  <c r="W863" i="1"/>
  <c r="V863" i="1"/>
  <c r="U863" i="1"/>
  <c r="T863" i="1"/>
  <c r="S863" i="1"/>
  <c r="R863" i="1"/>
  <c r="Q863" i="1"/>
  <c r="P863" i="1"/>
  <c r="O863" i="1"/>
  <c r="N863" i="1"/>
  <c r="M863" i="1"/>
  <c r="L863" i="1"/>
  <c r="K863" i="1"/>
  <c r="J863" i="1"/>
  <c r="I863" i="1"/>
  <c r="H863" i="1"/>
  <c r="AZ862" i="1"/>
  <c r="AY862" i="1"/>
  <c r="AX862" i="1"/>
  <c r="AW862" i="1"/>
  <c r="AV862" i="1"/>
  <c r="AU862" i="1"/>
  <c r="AT862" i="1"/>
  <c r="AS862" i="1"/>
  <c r="AR862" i="1"/>
  <c r="AQ862" i="1"/>
  <c r="AP862" i="1"/>
  <c r="AI862" i="1"/>
  <c r="AH862" i="1"/>
  <c r="AG862" i="1"/>
  <c r="W862" i="1"/>
  <c r="V862" i="1"/>
  <c r="U862" i="1"/>
  <c r="T862" i="1"/>
  <c r="S862" i="1"/>
  <c r="R862" i="1"/>
  <c r="Q862" i="1"/>
  <c r="P862" i="1"/>
  <c r="O862" i="1"/>
  <c r="N862" i="1"/>
  <c r="M862" i="1"/>
  <c r="L862" i="1"/>
  <c r="K862" i="1"/>
  <c r="J862" i="1"/>
  <c r="I862" i="1"/>
  <c r="H862" i="1"/>
  <c r="AZ861" i="1"/>
  <c r="AY861" i="1"/>
  <c r="AX861" i="1"/>
  <c r="AW861" i="1"/>
  <c r="AV861" i="1"/>
  <c r="AU861" i="1"/>
  <c r="AT861" i="1"/>
  <c r="AS861" i="1"/>
  <c r="AR861" i="1"/>
  <c r="AQ861" i="1"/>
  <c r="AP861" i="1"/>
  <c r="AH861" i="1"/>
  <c r="AG861" i="1"/>
  <c r="W861" i="1"/>
  <c r="V861" i="1"/>
  <c r="U861" i="1"/>
  <c r="T861" i="1"/>
  <c r="S861" i="1"/>
  <c r="R861" i="1"/>
  <c r="Q861" i="1"/>
  <c r="P861" i="1"/>
  <c r="O861" i="1"/>
  <c r="N861" i="1"/>
  <c r="M861" i="1"/>
  <c r="L861" i="1"/>
  <c r="K861" i="1"/>
  <c r="J861" i="1"/>
  <c r="I861" i="1"/>
  <c r="H861" i="1"/>
  <c r="AZ860" i="1"/>
  <c r="AY860" i="1"/>
  <c r="AX860" i="1"/>
  <c r="AW860" i="1"/>
  <c r="AV860" i="1"/>
  <c r="AU860" i="1"/>
  <c r="AT860" i="1"/>
  <c r="AS860" i="1"/>
  <c r="AR860" i="1"/>
  <c r="AQ860" i="1"/>
  <c r="AP860" i="1"/>
  <c r="AH860" i="1"/>
  <c r="AG860" i="1"/>
  <c r="W860" i="1"/>
  <c r="V860" i="1"/>
  <c r="U860" i="1"/>
  <c r="T860" i="1"/>
  <c r="S860" i="1"/>
  <c r="R860" i="1"/>
  <c r="Q860" i="1"/>
  <c r="P860" i="1"/>
  <c r="O860" i="1"/>
  <c r="N860" i="1"/>
  <c r="M860" i="1"/>
  <c r="L860" i="1"/>
  <c r="K860" i="1"/>
  <c r="J860" i="1"/>
  <c r="I860" i="1"/>
  <c r="H860" i="1"/>
  <c r="AZ859" i="1"/>
  <c r="AY859" i="1"/>
  <c r="AX859" i="1"/>
  <c r="AW859" i="1"/>
  <c r="AV859" i="1"/>
  <c r="AU859" i="1"/>
  <c r="AT859" i="1"/>
  <c r="AS859" i="1"/>
  <c r="AR859" i="1"/>
  <c r="AQ859" i="1"/>
  <c r="AP859" i="1"/>
  <c r="AH859" i="1"/>
  <c r="AG859" i="1"/>
  <c r="W859" i="1"/>
  <c r="V859" i="1"/>
  <c r="U859" i="1"/>
  <c r="T859" i="1"/>
  <c r="S859" i="1"/>
  <c r="R859" i="1"/>
  <c r="Q859" i="1"/>
  <c r="P859" i="1"/>
  <c r="O859" i="1"/>
  <c r="N859" i="1"/>
  <c r="M859" i="1"/>
  <c r="L859" i="1"/>
  <c r="K859" i="1"/>
  <c r="J859" i="1"/>
  <c r="I859" i="1"/>
  <c r="H859" i="1"/>
  <c r="AZ858" i="1"/>
  <c r="AY858" i="1"/>
  <c r="AX858" i="1"/>
  <c r="AW858" i="1"/>
  <c r="AV858" i="1"/>
  <c r="AU858" i="1"/>
  <c r="AT858" i="1"/>
  <c r="AS858" i="1"/>
  <c r="AR858" i="1"/>
  <c r="AQ858" i="1"/>
  <c r="AP858" i="1"/>
  <c r="AH858" i="1"/>
  <c r="AG858" i="1"/>
  <c r="W858" i="1"/>
  <c r="V858" i="1"/>
  <c r="U858" i="1"/>
  <c r="T858" i="1"/>
  <c r="S858" i="1"/>
  <c r="R858" i="1"/>
  <c r="Q858" i="1"/>
  <c r="P858" i="1"/>
  <c r="O858" i="1"/>
  <c r="N858" i="1"/>
  <c r="M858" i="1"/>
  <c r="L858" i="1"/>
  <c r="K858" i="1"/>
  <c r="J858" i="1"/>
  <c r="I858" i="1"/>
  <c r="H858" i="1"/>
  <c r="AZ857" i="1"/>
  <c r="AY857" i="1"/>
  <c r="AX857" i="1"/>
  <c r="AW857" i="1"/>
  <c r="AV857" i="1"/>
  <c r="AU857" i="1"/>
  <c r="AT857" i="1"/>
  <c r="AS857" i="1"/>
  <c r="AR857" i="1"/>
  <c r="AQ857" i="1"/>
  <c r="AP857" i="1"/>
  <c r="AI857" i="1"/>
  <c r="AH857" i="1"/>
  <c r="AG857" i="1"/>
  <c r="W857" i="1"/>
  <c r="V857" i="1"/>
  <c r="U857" i="1"/>
  <c r="T857" i="1"/>
  <c r="S857" i="1"/>
  <c r="R857" i="1"/>
  <c r="Q857" i="1"/>
  <c r="P857" i="1"/>
  <c r="O857" i="1"/>
  <c r="N857" i="1"/>
  <c r="M857" i="1"/>
  <c r="L857" i="1"/>
  <c r="K857" i="1"/>
  <c r="J857" i="1"/>
  <c r="I857" i="1"/>
  <c r="H857" i="1"/>
  <c r="AZ856" i="1"/>
  <c r="AY856" i="1"/>
  <c r="AX856" i="1"/>
  <c r="AW856" i="1"/>
  <c r="AV856" i="1"/>
  <c r="AU856" i="1"/>
  <c r="AT856" i="1"/>
  <c r="AS856" i="1"/>
  <c r="AR856" i="1"/>
  <c r="AQ856" i="1"/>
  <c r="AP856" i="1"/>
  <c r="W856" i="1"/>
  <c r="V856" i="1"/>
  <c r="U856" i="1"/>
  <c r="T856" i="1"/>
  <c r="S856" i="1"/>
  <c r="R856" i="1"/>
  <c r="Q856" i="1"/>
  <c r="P856" i="1"/>
  <c r="O856" i="1"/>
  <c r="N856" i="1"/>
  <c r="M856" i="1"/>
  <c r="L856" i="1"/>
  <c r="K856" i="1"/>
  <c r="J856" i="1"/>
  <c r="I856" i="1"/>
  <c r="H856" i="1"/>
  <c r="AZ855" i="1"/>
  <c r="AY855" i="1"/>
  <c r="AX855" i="1"/>
  <c r="AW855" i="1"/>
  <c r="AV855" i="1"/>
  <c r="AU855" i="1"/>
  <c r="AT855" i="1"/>
  <c r="AS855" i="1"/>
  <c r="AR855" i="1"/>
  <c r="AQ855" i="1"/>
  <c r="AP855" i="1"/>
  <c r="AH855" i="1"/>
  <c r="AG855" i="1"/>
  <c r="W855" i="1"/>
  <c r="V855" i="1"/>
  <c r="U855" i="1"/>
  <c r="T855" i="1"/>
  <c r="S855" i="1"/>
  <c r="R855" i="1"/>
  <c r="Q855" i="1"/>
  <c r="P855" i="1"/>
  <c r="O855" i="1"/>
  <c r="N855" i="1"/>
  <c r="M855" i="1"/>
  <c r="L855" i="1"/>
  <c r="K855" i="1"/>
  <c r="J855" i="1"/>
  <c r="I855" i="1"/>
  <c r="H855" i="1"/>
  <c r="AZ854" i="1"/>
  <c r="AY854" i="1"/>
  <c r="AX854" i="1"/>
  <c r="AW854" i="1"/>
  <c r="AV854" i="1"/>
  <c r="AU854" i="1"/>
  <c r="AT854" i="1"/>
  <c r="AS854" i="1"/>
  <c r="AR854" i="1"/>
  <c r="AQ854" i="1"/>
  <c r="AP854" i="1"/>
  <c r="AH854" i="1"/>
  <c r="AG854" i="1"/>
  <c r="W854" i="1"/>
  <c r="V854" i="1"/>
  <c r="U854" i="1"/>
  <c r="T854" i="1"/>
  <c r="S854" i="1"/>
  <c r="R854" i="1"/>
  <c r="Q854" i="1"/>
  <c r="P854" i="1"/>
  <c r="O854" i="1"/>
  <c r="N854" i="1"/>
  <c r="M854" i="1"/>
  <c r="L854" i="1"/>
  <c r="K854" i="1"/>
  <c r="J854" i="1"/>
  <c r="I854" i="1"/>
  <c r="H854" i="1"/>
  <c r="AZ853" i="1"/>
  <c r="AY853" i="1"/>
  <c r="AX853" i="1"/>
  <c r="AW853" i="1"/>
  <c r="AV853" i="1"/>
  <c r="AU853" i="1"/>
  <c r="AT853" i="1"/>
  <c r="AS853" i="1"/>
  <c r="AR853" i="1"/>
  <c r="AQ853" i="1"/>
  <c r="AP853" i="1"/>
  <c r="AH853" i="1"/>
  <c r="AG853" i="1"/>
  <c r="W853" i="1"/>
  <c r="V853" i="1"/>
  <c r="U853" i="1"/>
  <c r="T853" i="1"/>
  <c r="S853" i="1"/>
  <c r="R853" i="1"/>
  <c r="Q853" i="1"/>
  <c r="P853" i="1"/>
  <c r="O853" i="1"/>
  <c r="N853" i="1"/>
  <c r="M853" i="1"/>
  <c r="L853" i="1"/>
  <c r="K853" i="1"/>
  <c r="J853" i="1"/>
  <c r="I853" i="1"/>
  <c r="H853" i="1"/>
  <c r="AZ852" i="1"/>
  <c r="AY852" i="1"/>
  <c r="AX852" i="1"/>
  <c r="AW852" i="1"/>
  <c r="AV852" i="1"/>
  <c r="AU852" i="1"/>
  <c r="AT852" i="1"/>
  <c r="AS852" i="1"/>
  <c r="AR852" i="1"/>
  <c r="AQ852" i="1"/>
  <c r="AP852" i="1"/>
  <c r="AH852" i="1"/>
  <c r="AG852" i="1"/>
  <c r="W852" i="1"/>
  <c r="V852" i="1"/>
  <c r="U852" i="1"/>
  <c r="T852" i="1"/>
  <c r="S852" i="1"/>
  <c r="R852" i="1"/>
  <c r="Q852" i="1"/>
  <c r="P852" i="1"/>
  <c r="O852" i="1"/>
  <c r="N852" i="1"/>
  <c r="M852" i="1"/>
  <c r="L852" i="1"/>
  <c r="K852" i="1"/>
  <c r="J852" i="1"/>
  <c r="I852" i="1"/>
  <c r="H852" i="1"/>
  <c r="AZ851" i="1"/>
  <c r="AY851" i="1"/>
  <c r="AX851" i="1"/>
  <c r="AW851" i="1"/>
  <c r="AV851" i="1"/>
  <c r="AU851" i="1"/>
  <c r="AT851" i="1"/>
  <c r="AS851" i="1"/>
  <c r="AR851" i="1"/>
  <c r="AQ851" i="1"/>
  <c r="AP851" i="1"/>
  <c r="AH851" i="1"/>
  <c r="AG851" i="1"/>
  <c r="W851" i="1"/>
  <c r="V851" i="1"/>
  <c r="U851" i="1"/>
  <c r="T851" i="1"/>
  <c r="S851" i="1"/>
  <c r="R851" i="1"/>
  <c r="Q851" i="1"/>
  <c r="P851" i="1"/>
  <c r="O851" i="1"/>
  <c r="N851" i="1"/>
  <c r="M851" i="1"/>
  <c r="L851" i="1"/>
  <c r="K851" i="1"/>
  <c r="J851" i="1"/>
  <c r="I851" i="1"/>
  <c r="H851" i="1"/>
  <c r="AZ850" i="1"/>
  <c r="AY850" i="1"/>
  <c r="AX850" i="1"/>
  <c r="AW850" i="1"/>
  <c r="AV850" i="1"/>
  <c r="AU850" i="1"/>
  <c r="AT850" i="1"/>
  <c r="AS850" i="1"/>
  <c r="AR850" i="1"/>
  <c r="AQ850" i="1"/>
  <c r="AP850" i="1"/>
  <c r="AH850" i="1"/>
  <c r="AG850" i="1"/>
  <c r="W850" i="1"/>
  <c r="V850" i="1"/>
  <c r="U850" i="1"/>
  <c r="T850" i="1"/>
  <c r="S850" i="1"/>
  <c r="R850" i="1"/>
  <c r="Q850" i="1"/>
  <c r="P850" i="1"/>
  <c r="O850" i="1"/>
  <c r="N850" i="1"/>
  <c r="M850" i="1"/>
  <c r="L850" i="1"/>
  <c r="K850" i="1"/>
  <c r="J850" i="1"/>
  <c r="I850" i="1"/>
  <c r="H850" i="1"/>
  <c r="AZ849" i="1"/>
  <c r="AY849" i="1"/>
  <c r="AX849" i="1"/>
  <c r="AW849" i="1"/>
  <c r="AV849" i="1"/>
  <c r="AU849" i="1"/>
  <c r="AT849" i="1"/>
  <c r="AS849" i="1"/>
  <c r="AR849" i="1"/>
  <c r="AQ849" i="1"/>
  <c r="AP849" i="1"/>
  <c r="AH849" i="1"/>
  <c r="AG849" i="1"/>
  <c r="W849" i="1"/>
  <c r="V849" i="1"/>
  <c r="U849" i="1"/>
  <c r="T849" i="1"/>
  <c r="S849" i="1"/>
  <c r="R849" i="1"/>
  <c r="Q849" i="1"/>
  <c r="P849" i="1"/>
  <c r="O849" i="1"/>
  <c r="N849" i="1"/>
  <c r="M849" i="1"/>
  <c r="L849" i="1"/>
  <c r="K849" i="1"/>
  <c r="J849" i="1"/>
  <c r="I849" i="1"/>
  <c r="H849" i="1"/>
  <c r="AZ848" i="1"/>
  <c r="AY848" i="1"/>
  <c r="AX848" i="1"/>
  <c r="AW848" i="1"/>
  <c r="AV848" i="1"/>
  <c r="AU848" i="1"/>
  <c r="AT848" i="1"/>
  <c r="AS848" i="1"/>
  <c r="AR848" i="1"/>
  <c r="AQ848" i="1"/>
  <c r="AP848" i="1"/>
  <c r="AI848" i="1"/>
  <c r="AH848" i="1"/>
  <c r="AG848" i="1"/>
  <c r="W848" i="1"/>
  <c r="V848" i="1"/>
  <c r="U848" i="1"/>
  <c r="T848" i="1"/>
  <c r="S848" i="1"/>
  <c r="R848" i="1"/>
  <c r="Q848" i="1"/>
  <c r="P848" i="1"/>
  <c r="O848" i="1"/>
  <c r="N848" i="1"/>
  <c r="M848" i="1"/>
  <c r="L848" i="1"/>
  <c r="K848" i="1"/>
  <c r="J848" i="1"/>
  <c r="I848" i="1"/>
  <c r="H848" i="1"/>
  <c r="AZ847" i="1"/>
  <c r="AY847" i="1"/>
  <c r="AX847" i="1"/>
  <c r="AW847" i="1"/>
  <c r="AV847" i="1"/>
  <c r="AU847" i="1"/>
  <c r="AT847" i="1"/>
  <c r="AS847" i="1"/>
  <c r="AR847" i="1"/>
  <c r="AQ847" i="1"/>
  <c r="AP847" i="1"/>
  <c r="AI847" i="1"/>
  <c r="AH847" i="1"/>
  <c r="AG847" i="1"/>
  <c r="W847" i="1"/>
  <c r="V847" i="1"/>
  <c r="U847" i="1"/>
  <c r="T847" i="1"/>
  <c r="S847" i="1"/>
  <c r="R847" i="1"/>
  <c r="Q847" i="1"/>
  <c r="P847" i="1"/>
  <c r="O847" i="1"/>
  <c r="N847" i="1"/>
  <c r="M847" i="1"/>
  <c r="L847" i="1"/>
  <c r="K847" i="1"/>
  <c r="J847" i="1"/>
  <c r="I847" i="1"/>
  <c r="H847" i="1"/>
  <c r="AZ846" i="1"/>
  <c r="AY846" i="1"/>
  <c r="AX846" i="1"/>
  <c r="AW846" i="1"/>
  <c r="AV846" i="1"/>
  <c r="AU846" i="1"/>
  <c r="AT846" i="1"/>
  <c r="AS846" i="1"/>
  <c r="AR846" i="1"/>
  <c r="AQ846" i="1"/>
  <c r="AP846" i="1"/>
  <c r="AH846" i="1"/>
  <c r="AG846" i="1"/>
  <c r="W846" i="1"/>
  <c r="V846" i="1"/>
  <c r="U846" i="1"/>
  <c r="T846" i="1"/>
  <c r="S846" i="1"/>
  <c r="R846" i="1"/>
  <c r="Q846" i="1"/>
  <c r="P846" i="1"/>
  <c r="O846" i="1"/>
  <c r="N846" i="1"/>
  <c r="M846" i="1"/>
  <c r="L846" i="1"/>
  <c r="K846" i="1"/>
  <c r="J846" i="1"/>
  <c r="I846" i="1"/>
  <c r="H846" i="1"/>
  <c r="AZ845" i="1"/>
  <c r="AY845" i="1"/>
  <c r="AX845" i="1"/>
  <c r="AW845" i="1"/>
  <c r="AV845" i="1"/>
  <c r="AU845" i="1"/>
  <c r="AT845" i="1"/>
  <c r="AS845" i="1"/>
  <c r="AR845" i="1"/>
  <c r="AQ845" i="1"/>
  <c r="AP845" i="1"/>
  <c r="W845" i="1"/>
  <c r="V845" i="1"/>
  <c r="U845" i="1"/>
  <c r="T845" i="1"/>
  <c r="S845" i="1"/>
  <c r="R845" i="1"/>
  <c r="Q845" i="1"/>
  <c r="P845" i="1"/>
  <c r="O845" i="1"/>
  <c r="N845" i="1"/>
  <c r="M845" i="1"/>
  <c r="L845" i="1"/>
  <c r="K845" i="1"/>
  <c r="J845" i="1"/>
  <c r="I845" i="1"/>
  <c r="H845" i="1"/>
  <c r="AZ844" i="1"/>
  <c r="AY844" i="1"/>
  <c r="AX844" i="1"/>
  <c r="AW844" i="1"/>
  <c r="AV844" i="1"/>
  <c r="AU844" i="1"/>
  <c r="AT844" i="1"/>
  <c r="AS844" i="1"/>
  <c r="AR844" i="1"/>
  <c r="AQ844" i="1"/>
  <c r="AP844" i="1"/>
  <c r="AI844" i="1"/>
  <c r="AH844" i="1"/>
  <c r="AG844" i="1"/>
  <c r="W844" i="1"/>
  <c r="V844" i="1"/>
  <c r="U844" i="1"/>
  <c r="T844" i="1"/>
  <c r="S844" i="1"/>
  <c r="R844" i="1"/>
  <c r="Q844" i="1"/>
  <c r="P844" i="1"/>
  <c r="O844" i="1"/>
  <c r="N844" i="1"/>
  <c r="M844" i="1"/>
  <c r="L844" i="1"/>
  <c r="K844" i="1"/>
  <c r="J844" i="1"/>
  <c r="I844" i="1"/>
  <c r="H844" i="1"/>
  <c r="AZ843" i="1"/>
  <c r="AY843" i="1"/>
  <c r="AX843" i="1"/>
  <c r="AW843" i="1"/>
  <c r="AV843" i="1"/>
  <c r="AU843" i="1"/>
  <c r="AT843" i="1"/>
  <c r="AS843" i="1"/>
  <c r="AR843" i="1"/>
  <c r="AQ843" i="1"/>
  <c r="AP843" i="1"/>
  <c r="AI843" i="1"/>
  <c r="AH843" i="1"/>
  <c r="AG843" i="1"/>
  <c r="W843" i="1"/>
  <c r="V843" i="1"/>
  <c r="U843" i="1"/>
  <c r="T843" i="1"/>
  <c r="S843" i="1"/>
  <c r="R843" i="1"/>
  <c r="Q843" i="1"/>
  <c r="P843" i="1"/>
  <c r="O843" i="1"/>
  <c r="N843" i="1"/>
  <c r="M843" i="1"/>
  <c r="L843" i="1"/>
  <c r="K843" i="1"/>
  <c r="J843" i="1"/>
  <c r="I843" i="1"/>
  <c r="H843" i="1"/>
  <c r="AZ842" i="1"/>
  <c r="AY842" i="1"/>
  <c r="AX842" i="1"/>
  <c r="AW842" i="1"/>
  <c r="AV842" i="1"/>
  <c r="AU842" i="1"/>
  <c r="AT842" i="1"/>
  <c r="AS842" i="1"/>
  <c r="AR842" i="1"/>
  <c r="AQ842" i="1"/>
  <c r="AP842" i="1"/>
  <c r="AI842" i="1"/>
  <c r="AH842" i="1"/>
  <c r="AG842" i="1"/>
  <c r="W842" i="1"/>
  <c r="V842" i="1"/>
  <c r="U842" i="1"/>
  <c r="T842" i="1"/>
  <c r="S842" i="1"/>
  <c r="R842" i="1"/>
  <c r="Q842" i="1"/>
  <c r="P842" i="1"/>
  <c r="O842" i="1"/>
  <c r="N842" i="1"/>
  <c r="M842" i="1"/>
  <c r="L842" i="1"/>
  <c r="K842" i="1"/>
  <c r="J842" i="1"/>
  <c r="I842" i="1"/>
  <c r="H842" i="1"/>
  <c r="AZ841" i="1"/>
  <c r="AY841" i="1"/>
  <c r="AX841" i="1"/>
  <c r="AW841" i="1"/>
  <c r="AV841" i="1"/>
  <c r="AU841" i="1"/>
  <c r="AT841" i="1"/>
  <c r="AS841" i="1"/>
  <c r="AR841" i="1"/>
  <c r="AQ841" i="1"/>
  <c r="AP841" i="1"/>
  <c r="AI841" i="1"/>
  <c r="AH841" i="1"/>
  <c r="AG841" i="1"/>
  <c r="W841" i="1"/>
  <c r="V841" i="1"/>
  <c r="U841" i="1"/>
  <c r="T841" i="1"/>
  <c r="S841" i="1"/>
  <c r="R841" i="1"/>
  <c r="Q841" i="1"/>
  <c r="P841" i="1"/>
  <c r="O841" i="1"/>
  <c r="N841" i="1"/>
  <c r="M841" i="1"/>
  <c r="L841" i="1"/>
  <c r="K841" i="1"/>
  <c r="J841" i="1"/>
  <c r="I841" i="1"/>
  <c r="H841" i="1"/>
  <c r="AZ840" i="1"/>
  <c r="AY840" i="1"/>
  <c r="AX840" i="1"/>
  <c r="AW840" i="1"/>
  <c r="AV840" i="1"/>
  <c r="AU840" i="1"/>
  <c r="AT840" i="1"/>
  <c r="AS840" i="1"/>
  <c r="AR840" i="1"/>
  <c r="AQ840" i="1"/>
  <c r="AP840" i="1"/>
  <c r="AH840" i="1"/>
  <c r="AG840" i="1"/>
  <c r="W840" i="1"/>
  <c r="V840" i="1"/>
  <c r="U840" i="1"/>
  <c r="T840" i="1"/>
  <c r="S840" i="1"/>
  <c r="R840" i="1"/>
  <c r="Q840" i="1"/>
  <c r="P840" i="1"/>
  <c r="O840" i="1"/>
  <c r="N840" i="1"/>
  <c r="M840" i="1"/>
  <c r="L840" i="1"/>
  <c r="K840" i="1"/>
  <c r="J840" i="1"/>
  <c r="I840" i="1"/>
  <c r="H840" i="1"/>
  <c r="AZ839" i="1"/>
  <c r="AY839" i="1"/>
  <c r="AX839" i="1"/>
  <c r="AW839" i="1"/>
  <c r="AV839" i="1"/>
  <c r="AU839" i="1"/>
  <c r="AT839" i="1"/>
  <c r="AS839" i="1"/>
  <c r="AR839" i="1"/>
  <c r="AQ839" i="1"/>
  <c r="AP839" i="1"/>
  <c r="AI839" i="1"/>
  <c r="AH839" i="1"/>
  <c r="AG839" i="1"/>
  <c r="W839" i="1"/>
  <c r="V839" i="1"/>
  <c r="U839" i="1"/>
  <c r="T839" i="1"/>
  <c r="S839" i="1"/>
  <c r="R839" i="1"/>
  <c r="Q839" i="1"/>
  <c r="P839" i="1"/>
  <c r="O839" i="1"/>
  <c r="N839" i="1"/>
  <c r="M839" i="1"/>
  <c r="L839" i="1"/>
  <c r="K839" i="1"/>
  <c r="J839" i="1"/>
  <c r="I839" i="1"/>
  <c r="H839" i="1"/>
  <c r="AZ838" i="1"/>
  <c r="AY838" i="1"/>
  <c r="AX838" i="1"/>
  <c r="AW838" i="1"/>
  <c r="AV838" i="1"/>
  <c r="AU838" i="1"/>
  <c r="AT838" i="1"/>
  <c r="AS838" i="1"/>
  <c r="AR838" i="1"/>
  <c r="AQ838" i="1"/>
  <c r="AP838" i="1"/>
  <c r="AH838" i="1"/>
  <c r="AG838" i="1"/>
  <c r="W838" i="1"/>
  <c r="V838" i="1"/>
  <c r="U838" i="1"/>
  <c r="T838" i="1"/>
  <c r="S838" i="1"/>
  <c r="R838" i="1"/>
  <c r="Q838" i="1"/>
  <c r="P838" i="1"/>
  <c r="O838" i="1"/>
  <c r="N838" i="1"/>
  <c r="M838" i="1"/>
  <c r="L838" i="1"/>
  <c r="K838" i="1"/>
  <c r="J838" i="1"/>
  <c r="I838" i="1"/>
  <c r="H838" i="1"/>
  <c r="AZ837" i="1"/>
  <c r="AY837" i="1"/>
  <c r="AX837" i="1"/>
  <c r="AW837" i="1"/>
  <c r="AV837" i="1"/>
  <c r="AU837" i="1"/>
  <c r="AT837" i="1"/>
  <c r="AS837" i="1"/>
  <c r="AR837" i="1"/>
  <c r="AQ837" i="1"/>
  <c r="AP837" i="1"/>
  <c r="AI837" i="1"/>
  <c r="AH837" i="1"/>
  <c r="AG837" i="1"/>
  <c r="W837" i="1"/>
  <c r="V837" i="1"/>
  <c r="U837" i="1"/>
  <c r="T837" i="1"/>
  <c r="S837" i="1"/>
  <c r="R837" i="1"/>
  <c r="Q837" i="1"/>
  <c r="P837" i="1"/>
  <c r="O837" i="1"/>
  <c r="N837" i="1"/>
  <c r="M837" i="1"/>
  <c r="L837" i="1"/>
  <c r="K837" i="1"/>
  <c r="J837" i="1"/>
  <c r="I837" i="1"/>
  <c r="H837" i="1"/>
  <c r="AZ836" i="1"/>
  <c r="AY836" i="1"/>
  <c r="AX836" i="1"/>
  <c r="AW836" i="1"/>
  <c r="AV836" i="1"/>
  <c r="AU836" i="1"/>
  <c r="AT836" i="1"/>
  <c r="AS836" i="1"/>
  <c r="AR836" i="1"/>
  <c r="AQ836" i="1"/>
  <c r="AP836" i="1"/>
  <c r="AI836" i="1"/>
  <c r="AH836" i="1"/>
  <c r="AG836" i="1"/>
  <c r="W836" i="1"/>
  <c r="V836" i="1"/>
  <c r="U836" i="1"/>
  <c r="T836" i="1"/>
  <c r="S836" i="1"/>
  <c r="R836" i="1"/>
  <c r="Q836" i="1"/>
  <c r="P836" i="1"/>
  <c r="O836" i="1"/>
  <c r="N836" i="1"/>
  <c r="M836" i="1"/>
  <c r="L836" i="1"/>
  <c r="K836" i="1"/>
  <c r="J836" i="1"/>
  <c r="I836" i="1"/>
  <c r="H836" i="1"/>
  <c r="AZ835" i="1"/>
  <c r="AY835" i="1"/>
  <c r="AX835" i="1"/>
  <c r="AW835" i="1"/>
  <c r="AV835" i="1"/>
  <c r="AU835" i="1"/>
  <c r="AT835" i="1"/>
  <c r="AS835" i="1"/>
  <c r="AR835" i="1"/>
  <c r="AQ835" i="1"/>
  <c r="AP835" i="1"/>
  <c r="AI835" i="1"/>
  <c r="AH835" i="1"/>
  <c r="AG835" i="1"/>
  <c r="W835" i="1"/>
  <c r="V835" i="1"/>
  <c r="U835" i="1"/>
  <c r="T835" i="1"/>
  <c r="S835" i="1"/>
  <c r="R835" i="1"/>
  <c r="Q835" i="1"/>
  <c r="P835" i="1"/>
  <c r="O835" i="1"/>
  <c r="N835" i="1"/>
  <c r="M835" i="1"/>
  <c r="L835" i="1"/>
  <c r="K835" i="1"/>
  <c r="J835" i="1"/>
  <c r="I835" i="1"/>
  <c r="H835" i="1"/>
  <c r="AZ834" i="1"/>
  <c r="AY834" i="1"/>
  <c r="AX834" i="1"/>
  <c r="AW834" i="1"/>
  <c r="AV834" i="1"/>
  <c r="AU834" i="1"/>
  <c r="AT834" i="1"/>
  <c r="AS834" i="1"/>
  <c r="AR834" i="1"/>
  <c r="AQ834" i="1"/>
  <c r="AP834" i="1"/>
  <c r="AI834" i="1"/>
  <c r="AH834" i="1"/>
  <c r="AG834" i="1"/>
  <c r="W834" i="1"/>
  <c r="V834" i="1"/>
  <c r="U834" i="1"/>
  <c r="T834" i="1"/>
  <c r="S834" i="1"/>
  <c r="R834" i="1"/>
  <c r="Q834" i="1"/>
  <c r="P834" i="1"/>
  <c r="O834" i="1"/>
  <c r="N834" i="1"/>
  <c r="M834" i="1"/>
  <c r="L834" i="1"/>
  <c r="K834" i="1"/>
  <c r="J834" i="1"/>
  <c r="I834" i="1"/>
  <c r="H834" i="1"/>
  <c r="AZ833" i="1"/>
  <c r="AY833" i="1"/>
  <c r="AX833" i="1"/>
  <c r="AW833" i="1"/>
  <c r="AV833" i="1"/>
  <c r="AU833" i="1"/>
  <c r="AT833" i="1"/>
  <c r="AS833" i="1"/>
  <c r="AR833" i="1"/>
  <c r="AQ833" i="1"/>
  <c r="AP833" i="1"/>
  <c r="AH833" i="1"/>
  <c r="AG833" i="1"/>
  <c r="W833" i="1"/>
  <c r="V833" i="1"/>
  <c r="U833" i="1"/>
  <c r="T833" i="1"/>
  <c r="S833" i="1"/>
  <c r="R833" i="1"/>
  <c r="Q833" i="1"/>
  <c r="P833" i="1"/>
  <c r="O833" i="1"/>
  <c r="N833" i="1"/>
  <c r="M833" i="1"/>
  <c r="L833" i="1"/>
  <c r="K833" i="1"/>
  <c r="J833" i="1"/>
  <c r="I833" i="1"/>
  <c r="H833" i="1"/>
  <c r="AZ832" i="1"/>
  <c r="AY832" i="1"/>
  <c r="AX832" i="1"/>
  <c r="AW832" i="1"/>
  <c r="AV832" i="1"/>
  <c r="AU832" i="1"/>
  <c r="AT832" i="1"/>
  <c r="AS832" i="1"/>
  <c r="AR832" i="1"/>
  <c r="AQ832" i="1"/>
  <c r="AP832" i="1"/>
  <c r="AI832" i="1"/>
  <c r="AH832" i="1"/>
  <c r="AG832" i="1"/>
  <c r="W832" i="1"/>
  <c r="V832" i="1"/>
  <c r="U832" i="1"/>
  <c r="T832" i="1"/>
  <c r="S832" i="1"/>
  <c r="R832" i="1"/>
  <c r="Q832" i="1"/>
  <c r="P832" i="1"/>
  <c r="O832" i="1"/>
  <c r="N832" i="1"/>
  <c r="M832" i="1"/>
  <c r="L832" i="1"/>
  <c r="K832" i="1"/>
  <c r="J832" i="1"/>
  <c r="I832" i="1"/>
  <c r="H832" i="1"/>
  <c r="AZ831" i="1"/>
  <c r="AY831" i="1"/>
  <c r="AX831" i="1"/>
  <c r="AW831" i="1"/>
  <c r="AV831" i="1"/>
  <c r="AU831" i="1"/>
  <c r="AT831" i="1"/>
  <c r="AS831" i="1"/>
  <c r="AR831" i="1"/>
  <c r="AQ831" i="1"/>
  <c r="AP831" i="1"/>
  <c r="AJ831" i="1"/>
  <c r="AI831" i="1"/>
  <c r="AH831" i="1"/>
  <c r="AG831" i="1"/>
  <c r="W831" i="1"/>
  <c r="V831" i="1"/>
  <c r="U831" i="1"/>
  <c r="T831" i="1"/>
  <c r="S831" i="1"/>
  <c r="R831" i="1"/>
  <c r="Q831" i="1"/>
  <c r="P831" i="1"/>
  <c r="O831" i="1"/>
  <c r="N831" i="1"/>
  <c r="M831" i="1"/>
  <c r="L831" i="1"/>
  <c r="K831" i="1"/>
  <c r="J831" i="1"/>
  <c r="I831" i="1"/>
  <c r="H831" i="1"/>
  <c r="AZ830" i="1"/>
  <c r="AY830" i="1"/>
  <c r="AX830" i="1"/>
  <c r="AW830" i="1"/>
  <c r="AV830" i="1"/>
  <c r="AU830" i="1"/>
  <c r="AT830" i="1"/>
  <c r="AS830" i="1"/>
  <c r="AR830" i="1"/>
  <c r="AQ830" i="1"/>
  <c r="AP830" i="1"/>
  <c r="AJ830" i="1"/>
  <c r="AI830" i="1"/>
  <c r="AH830" i="1"/>
  <c r="AG830" i="1"/>
  <c r="W830" i="1"/>
  <c r="V830" i="1"/>
  <c r="U830" i="1"/>
  <c r="T830" i="1"/>
  <c r="S830" i="1"/>
  <c r="R830" i="1"/>
  <c r="Q830" i="1"/>
  <c r="P830" i="1"/>
  <c r="O830" i="1"/>
  <c r="N830" i="1"/>
  <c r="M830" i="1"/>
  <c r="L830" i="1"/>
  <c r="K830" i="1"/>
  <c r="J830" i="1"/>
  <c r="I830" i="1"/>
  <c r="H830" i="1"/>
  <c r="AZ829" i="1"/>
  <c r="AY829" i="1"/>
  <c r="AX829" i="1"/>
  <c r="AW829" i="1"/>
  <c r="AV829" i="1"/>
  <c r="AU829" i="1"/>
  <c r="AT829" i="1"/>
  <c r="AS829" i="1"/>
  <c r="AR829" i="1"/>
  <c r="AQ829" i="1"/>
  <c r="AP829" i="1"/>
  <c r="AH829" i="1"/>
  <c r="AG829" i="1"/>
  <c r="W829" i="1"/>
  <c r="V829" i="1"/>
  <c r="U829" i="1"/>
  <c r="T829" i="1"/>
  <c r="S829" i="1"/>
  <c r="R829" i="1"/>
  <c r="Q829" i="1"/>
  <c r="P829" i="1"/>
  <c r="O829" i="1"/>
  <c r="N829" i="1"/>
  <c r="M829" i="1"/>
  <c r="L829" i="1"/>
  <c r="K829" i="1"/>
  <c r="J829" i="1"/>
  <c r="I829" i="1"/>
  <c r="H829" i="1"/>
  <c r="AZ828" i="1"/>
  <c r="AY828" i="1"/>
  <c r="AX828" i="1"/>
  <c r="AW828" i="1"/>
  <c r="AV828" i="1"/>
  <c r="AU828" i="1"/>
  <c r="AT828" i="1"/>
  <c r="AS828" i="1"/>
  <c r="AR828" i="1"/>
  <c r="AQ828" i="1"/>
  <c r="AP828" i="1"/>
  <c r="AI828" i="1"/>
  <c r="AH828" i="1"/>
  <c r="AG828" i="1"/>
  <c r="W828" i="1"/>
  <c r="V828" i="1"/>
  <c r="U828" i="1"/>
  <c r="T828" i="1"/>
  <c r="S828" i="1"/>
  <c r="R828" i="1"/>
  <c r="Q828" i="1"/>
  <c r="P828" i="1"/>
  <c r="O828" i="1"/>
  <c r="N828" i="1"/>
  <c r="M828" i="1"/>
  <c r="L828" i="1"/>
  <c r="K828" i="1"/>
  <c r="J828" i="1"/>
  <c r="I828" i="1"/>
  <c r="H828" i="1"/>
  <c r="AZ827" i="1"/>
  <c r="AY827" i="1"/>
  <c r="AX827" i="1"/>
  <c r="AW827" i="1"/>
  <c r="AV827" i="1"/>
  <c r="AU827" i="1"/>
  <c r="AT827" i="1"/>
  <c r="AS827" i="1"/>
  <c r="AR827" i="1"/>
  <c r="AQ827" i="1"/>
  <c r="AP827" i="1"/>
  <c r="AH827" i="1"/>
  <c r="AG827" i="1"/>
  <c r="W827" i="1"/>
  <c r="V827" i="1"/>
  <c r="U827" i="1"/>
  <c r="T827" i="1"/>
  <c r="S827" i="1"/>
  <c r="R827" i="1"/>
  <c r="Q827" i="1"/>
  <c r="P827" i="1"/>
  <c r="O827" i="1"/>
  <c r="N827" i="1"/>
  <c r="M827" i="1"/>
  <c r="L827" i="1"/>
  <c r="K827" i="1"/>
  <c r="J827" i="1"/>
  <c r="I827" i="1"/>
  <c r="H827" i="1"/>
  <c r="AZ826" i="1"/>
  <c r="AY826" i="1"/>
  <c r="AX826" i="1"/>
  <c r="AW826" i="1"/>
  <c r="AV826" i="1"/>
  <c r="AU826" i="1"/>
  <c r="AT826" i="1"/>
  <c r="AS826" i="1"/>
  <c r="AR826" i="1"/>
  <c r="AQ826" i="1"/>
  <c r="AP826" i="1"/>
  <c r="AI826" i="1"/>
  <c r="AH826" i="1"/>
  <c r="AG826" i="1"/>
  <c r="W826" i="1"/>
  <c r="V826" i="1"/>
  <c r="U826" i="1"/>
  <c r="T826" i="1"/>
  <c r="S826" i="1"/>
  <c r="R826" i="1"/>
  <c r="Q826" i="1"/>
  <c r="P826" i="1"/>
  <c r="O826" i="1"/>
  <c r="N826" i="1"/>
  <c r="M826" i="1"/>
  <c r="L826" i="1"/>
  <c r="K826" i="1"/>
  <c r="J826" i="1"/>
  <c r="I826" i="1"/>
  <c r="H826" i="1"/>
  <c r="AZ825" i="1"/>
  <c r="AY825" i="1"/>
  <c r="AX825" i="1"/>
  <c r="AW825" i="1"/>
  <c r="AV825" i="1"/>
  <c r="AU825" i="1"/>
  <c r="AT825" i="1"/>
  <c r="AS825" i="1"/>
  <c r="AR825" i="1"/>
  <c r="AQ825" i="1"/>
  <c r="AP825" i="1"/>
  <c r="AI825" i="1"/>
  <c r="AH825" i="1"/>
  <c r="AG825" i="1"/>
  <c r="W825" i="1"/>
  <c r="V825" i="1"/>
  <c r="U825" i="1"/>
  <c r="T825" i="1"/>
  <c r="S825" i="1"/>
  <c r="R825" i="1"/>
  <c r="Q825" i="1"/>
  <c r="P825" i="1"/>
  <c r="O825" i="1"/>
  <c r="N825" i="1"/>
  <c r="M825" i="1"/>
  <c r="L825" i="1"/>
  <c r="K825" i="1"/>
  <c r="J825" i="1"/>
  <c r="I825" i="1"/>
  <c r="H825" i="1"/>
  <c r="AZ824" i="1"/>
  <c r="AY824" i="1"/>
  <c r="AX824" i="1"/>
  <c r="AW824" i="1"/>
  <c r="AV824" i="1"/>
  <c r="AU824" i="1"/>
  <c r="AT824" i="1"/>
  <c r="AS824" i="1"/>
  <c r="AR824" i="1"/>
  <c r="AQ824" i="1"/>
  <c r="AP824" i="1"/>
  <c r="AI824" i="1"/>
  <c r="AH824" i="1"/>
  <c r="AG824" i="1"/>
  <c r="W824" i="1"/>
  <c r="V824" i="1"/>
  <c r="U824" i="1"/>
  <c r="T824" i="1"/>
  <c r="S824" i="1"/>
  <c r="R824" i="1"/>
  <c r="Q824" i="1"/>
  <c r="P824" i="1"/>
  <c r="O824" i="1"/>
  <c r="N824" i="1"/>
  <c r="M824" i="1"/>
  <c r="L824" i="1"/>
  <c r="K824" i="1"/>
  <c r="J824" i="1"/>
  <c r="I824" i="1"/>
  <c r="H824" i="1"/>
  <c r="AZ823" i="1"/>
  <c r="AY823" i="1"/>
  <c r="AX823" i="1"/>
  <c r="AW823" i="1"/>
  <c r="AV823" i="1"/>
  <c r="AU823" i="1"/>
  <c r="AT823" i="1"/>
  <c r="AS823" i="1"/>
  <c r="AR823" i="1"/>
  <c r="AQ823" i="1"/>
  <c r="AP823" i="1"/>
  <c r="AI823" i="1"/>
  <c r="AH823" i="1"/>
  <c r="AG823" i="1"/>
  <c r="W823" i="1"/>
  <c r="V823" i="1"/>
  <c r="U823" i="1"/>
  <c r="T823" i="1"/>
  <c r="S823" i="1"/>
  <c r="R823" i="1"/>
  <c r="Q823" i="1"/>
  <c r="P823" i="1"/>
  <c r="O823" i="1"/>
  <c r="N823" i="1"/>
  <c r="M823" i="1"/>
  <c r="L823" i="1"/>
  <c r="K823" i="1"/>
  <c r="J823" i="1"/>
  <c r="I823" i="1"/>
  <c r="H823" i="1"/>
  <c r="AZ822" i="1"/>
  <c r="AY822" i="1"/>
  <c r="AX822" i="1"/>
  <c r="AW822" i="1"/>
  <c r="AV822" i="1"/>
  <c r="AU822" i="1"/>
  <c r="AT822" i="1"/>
  <c r="AS822" i="1"/>
  <c r="AR822" i="1"/>
  <c r="AQ822" i="1"/>
  <c r="AP822" i="1"/>
  <c r="AI822" i="1"/>
  <c r="AH822" i="1"/>
  <c r="AG822" i="1"/>
  <c r="W822" i="1"/>
  <c r="V822" i="1"/>
  <c r="U822" i="1"/>
  <c r="T822" i="1"/>
  <c r="S822" i="1"/>
  <c r="R822" i="1"/>
  <c r="Q822" i="1"/>
  <c r="P822" i="1"/>
  <c r="O822" i="1"/>
  <c r="N822" i="1"/>
  <c r="M822" i="1"/>
  <c r="L822" i="1"/>
  <c r="K822" i="1"/>
  <c r="J822" i="1"/>
  <c r="I822" i="1"/>
  <c r="H822" i="1"/>
  <c r="AZ821" i="1"/>
  <c r="AY821" i="1"/>
  <c r="AX821" i="1"/>
  <c r="AW821" i="1"/>
  <c r="AV821" i="1"/>
  <c r="AU821" i="1"/>
  <c r="AT821" i="1"/>
  <c r="AS821" i="1"/>
  <c r="AR821" i="1"/>
  <c r="AQ821" i="1"/>
  <c r="AP821" i="1"/>
  <c r="AI821" i="1"/>
  <c r="AH821" i="1"/>
  <c r="AG821" i="1"/>
  <c r="W821" i="1"/>
  <c r="V821" i="1"/>
  <c r="U821" i="1"/>
  <c r="T821" i="1"/>
  <c r="S821" i="1"/>
  <c r="R821" i="1"/>
  <c r="Q821" i="1"/>
  <c r="P821" i="1"/>
  <c r="O821" i="1"/>
  <c r="N821" i="1"/>
  <c r="M821" i="1"/>
  <c r="L821" i="1"/>
  <c r="K821" i="1"/>
  <c r="J821" i="1"/>
  <c r="I821" i="1"/>
  <c r="H821" i="1"/>
  <c r="AZ820" i="1"/>
  <c r="AY820" i="1"/>
  <c r="AX820" i="1"/>
  <c r="AW820" i="1"/>
  <c r="AV820" i="1"/>
  <c r="AU820" i="1"/>
  <c r="AT820" i="1"/>
  <c r="AS820" i="1"/>
  <c r="AR820" i="1"/>
  <c r="AQ820" i="1"/>
  <c r="AP820" i="1"/>
  <c r="AI820" i="1"/>
  <c r="AH820" i="1"/>
  <c r="AG820" i="1"/>
  <c r="W820" i="1"/>
  <c r="V820" i="1"/>
  <c r="U820" i="1"/>
  <c r="T820" i="1"/>
  <c r="S820" i="1"/>
  <c r="R820" i="1"/>
  <c r="Q820" i="1"/>
  <c r="P820" i="1"/>
  <c r="O820" i="1"/>
  <c r="N820" i="1"/>
  <c r="M820" i="1"/>
  <c r="L820" i="1"/>
  <c r="K820" i="1"/>
  <c r="J820" i="1"/>
  <c r="I820" i="1"/>
  <c r="H820" i="1"/>
  <c r="AZ819" i="1"/>
  <c r="AY819" i="1"/>
  <c r="AX819" i="1"/>
  <c r="AW819" i="1"/>
  <c r="AV819" i="1"/>
  <c r="AU819" i="1"/>
  <c r="AT819" i="1"/>
  <c r="AS819" i="1"/>
  <c r="AR819" i="1"/>
  <c r="AQ819" i="1"/>
  <c r="AP819" i="1"/>
  <c r="AI819" i="1"/>
  <c r="AH819" i="1"/>
  <c r="AG819" i="1"/>
  <c r="W819" i="1"/>
  <c r="V819" i="1"/>
  <c r="U819" i="1"/>
  <c r="T819" i="1"/>
  <c r="S819" i="1"/>
  <c r="R819" i="1"/>
  <c r="Q819" i="1"/>
  <c r="P819" i="1"/>
  <c r="O819" i="1"/>
  <c r="N819" i="1"/>
  <c r="M819" i="1"/>
  <c r="L819" i="1"/>
  <c r="K819" i="1"/>
  <c r="J819" i="1"/>
  <c r="I819" i="1"/>
  <c r="H819" i="1"/>
  <c r="AZ818" i="1"/>
  <c r="AY818" i="1"/>
  <c r="AX818" i="1"/>
  <c r="AW818" i="1"/>
  <c r="AV818" i="1"/>
  <c r="AU818" i="1"/>
  <c r="AT818" i="1"/>
  <c r="AS818" i="1"/>
  <c r="AR818" i="1"/>
  <c r="AQ818" i="1"/>
  <c r="AP818" i="1"/>
  <c r="AI818" i="1"/>
  <c r="AH818" i="1"/>
  <c r="AG818" i="1"/>
  <c r="W818" i="1"/>
  <c r="V818" i="1"/>
  <c r="U818" i="1"/>
  <c r="T818" i="1"/>
  <c r="S818" i="1"/>
  <c r="R818" i="1"/>
  <c r="Q818" i="1"/>
  <c r="P818" i="1"/>
  <c r="O818" i="1"/>
  <c r="N818" i="1"/>
  <c r="M818" i="1"/>
  <c r="L818" i="1"/>
  <c r="K818" i="1"/>
  <c r="J818" i="1"/>
  <c r="I818" i="1"/>
  <c r="H818" i="1"/>
  <c r="AZ817" i="1"/>
  <c r="AY817" i="1"/>
  <c r="AX817" i="1"/>
  <c r="AW817" i="1"/>
  <c r="AV817" i="1"/>
  <c r="AU817" i="1"/>
  <c r="AT817" i="1"/>
  <c r="AS817" i="1"/>
  <c r="AR817" i="1"/>
  <c r="AQ817" i="1"/>
  <c r="AP817" i="1"/>
  <c r="AI817" i="1"/>
  <c r="AH817" i="1"/>
  <c r="AG817" i="1"/>
  <c r="W817" i="1"/>
  <c r="V817" i="1"/>
  <c r="U817" i="1"/>
  <c r="T817" i="1"/>
  <c r="S817" i="1"/>
  <c r="R817" i="1"/>
  <c r="Q817" i="1"/>
  <c r="P817" i="1"/>
  <c r="O817" i="1"/>
  <c r="N817" i="1"/>
  <c r="M817" i="1"/>
  <c r="L817" i="1"/>
  <c r="K817" i="1"/>
  <c r="J817" i="1"/>
  <c r="I817" i="1"/>
  <c r="H817" i="1"/>
  <c r="AZ816" i="1"/>
  <c r="AY816" i="1"/>
  <c r="AX816" i="1"/>
  <c r="AW816" i="1"/>
  <c r="AV816" i="1"/>
  <c r="AU816" i="1"/>
  <c r="AT816" i="1"/>
  <c r="AS816" i="1"/>
  <c r="AR816" i="1"/>
  <c r="AQ816" i="1"/>
  <c r="AP816" i="1"/>
  <c r="AH816" i="1"/>
  <c r="AG816" i="1"/>
  <c r="W816" i="1"/>
  <c r="V816" i="1"/>
  <c r="U816" i="1"/>
  <c r="T816" i="1"/>
  <c r="S816" i="1"/>
  <c r="R816" i="1"/>
  <c r="Q816" i="1"/>
  <c r="P816" i="1"/>
  <c r="O816" i="1"/>
  <c r="N816" i="1"/>
  <c r="M816" i="1"/>
  <c r="L816" i="1"/>
  <c r="K816" i="1"/>
  <c r="J816" i="1"/>
  <c r="I816" i="1"/>
  <c r="H816" i="1"/>
  <c r="AZ815" i="1"/>
  <c r="AY815" i="1"/>
  <c r="AX815" i="1"/>
  <c r="AW815" i="1"/>
  <c r="AV815" i="1"/>
  <c r="AU815" i="1"/>
  <c r="AT815" i="1"/>
  <c r="AS815" i="1"/>
  <c r="AR815" i="1"/>
  <c r="AQ815" i="1"/>
  <c r="AP815" i="1"/>
  <c r="AH815" i="1"/>
  <c r="AG815" i="1"/>
  <c r="W815" i="1"/>
  <c r="V815" i="1"/>
  <c r="U815" i="1"/>
  <c r="T815" i="1"/>
  <c r="S815" i="1"/>
  <c r="R815" i="1"/>
  <c r="Q815" i="1"/>
  <c r="P815" i="1"/>
  <c r="O815" i="1"/>
  <c r="N815" i="1"/>
  <c r="M815" i="1"/>
  <c r="L815" i="1"/>
  <c r="K815" i="1"/>
  <c r="J815" i="1"/>
  <c r="I815" i="1"/>
  <c r="H815" i="1"/>
  <c r="AZ814" i="1"/>
  <c r="AY814" i="1"/>
  <c r="AX814" i="1"/>
  <c r="AW814" i="1"/>
  <c r="AV814" i="1"/>
  <c r="AU814" i="1"/>
  <c r="AT814" i="1"/>
  <c r="AS814" i="1"/>
  <c r="AR814" i="1"/>
  <c r="AQ814" i="1"/>
  <c r="AP814" i="1"/>
  <c r="AH814" i="1"/>
  <c r="AG814" i="1"/>
  <c r="W814" i="1"/>
  <c r="V814" i="1"/>
  <c r="U814" i="1"/>
  <c r="T814" i="1"/>
  <c r="S814" i="1"/>
  <c r="R814" i="1"/>
  <c r="Q814" i="1"/>
  <c r="P814" i="1"/>
  <c r="O814" i="1"/>
  <c r="N814" i="1"/>
  <c r="M814" i="1"/>
  <c r="L814" i="1"/>
  <c r="K814" i="1"/>
  <c r="J814" i="1"/>
  <c r="I814" i="1"/>
  <c r="H814" i="1"/>
  <c r="AZ813" i="1"/>
  <c r="AY813" i="1"/>
  <c r="AX813" i="1"/>
  <c r="AW813" i="1"/>
  <c r="AV813" i="1"/>
  <c r="AU813" i="1"/>
  <c r="AT813" i="1"/>
  <c r="AS813" i="1"/>
  <c r="AR813" i="1"/>
  <c r="AQ813" i="1"/>
  <c r="AP813" i="1"/>
  <c r="AI813" i="1"/>
  <c r="AH813" i="1"/>
  <c r="AG813" i="1"/>
  <c r="W813" i="1"/>
  <c r="V813" i="1"/>
  <c r="U813" i="1"/>
  <c r="T813" i="1"/>
  <c r="S813" i="1"/>
  <c r="R813" i="1"/>
  <c r="Q813" i="1"/>
  <c r="P813" i="1"/>
  <c r="O813" i="1"/>
  <c r="N813" i="1"/>
  <c r="M813" i="1"/>
  <c r="L813" i="1"/>
  <c r="K813" i="1"/>
  <c r="J813" i="1"/>
  <c r="I813" i="1"/>
  <c r="H813" i="1"/>
  <c r="AZ812" i="1"/>
  <c r="AY812" i="1"/>
  <c r="AX812" i="1"/>
  <c r="AW812" i="1"/>
  <c r="AV812" i="1"/>
  <c r="AU812" i="1"/>
  <c r="AT812" i="1"/>
  <c r="AS812" i="1"/>
  <c r="AR812" i="1"/>
  <c r="AQ812" i="1"/>
  <c r="AP812" i="1"/>
  <c r="AI812" i="1"/>
  <c r="AH812" i="1"/>
  <c r="AG812" i="1"/>
  <c r="W812" i="1"/>
  <c r="V812" i="1"/>
  <c r="U812" i="1"/>
  <c r="T812" i="1"/>
  <c r="S812" i="1"/>
  <c r="R812" i="1"/>
  <c r="Q812" i="1"/>
  <c r="P812" i="1"/>
  <c r="O812" i="1"/>
  <c r="N812" i="1"/>
  <c r="M812" i="1"/>
  <c r="L812" i="1"/>
  <c r="K812" i="1"/>
  <c r="J812" i="1"/>
  <c r="I812" i="1"/>
  <c r="H812" i="1"/>
  <c r="AZ811" i="1"/>
  <c r="AY811" i="1"/>
  <c r="AX811" i="1"/>
  <c r="AW811" i="1"/>
  <c r="AV811" i="1"/>
  <c r="AU811" i="1"/>
  <c r="AT811" i="1"/>
  <c r="AS811" i="1"/>
  <c r="AR811" i="1"/>
  <c r="AQ811" i="1"/>
  <c r="AP811" i="1"/>
  <c r="AI811" i="1"/>
  <c r="AH811" i="1"/>
  <c r="AG811" i="1"/>
  <c r="W811" i="1"/>
  <c r="V811" i="1"/>
  <c r="U811" i="1"/>
  <c r="T811" i="1"/>
  <c r="S811" i="1"/>
  <c r="R811" i="1"/>
  <c r="Q811" i="1"/>
  <c r="P811" i="1"/>
  <c r="O811" i="1"/>
  <c r="N811" i="1"/>
  <c r="M811" i="1"/>
  <c r="L811" i="1"/>
  <c r="K811" i="1"/>
  <c r="J811" i="1"/>
  <c r="I811" i="1"/>
  <c r="H811" i="1"/>
  <c r="AZ810" i="1"/>
  <c r="AY810" i="1"/>
  <c r="AX810" i="1"/>
  <c r="AW810" i="1"/>
  <c r="AV810" i="1"/>
  <c r="AU810" i="1"/>
  <c r="AT810" i="1"/>
  <c r="AS810" i="1"/>
  <c r="AR810" i="1"/>
  <c r="AQ810" i="1"/>
  <c r="AP810" i="1"/>
  <c r="AI810" i="1"/>
  <c r="AH810" i="1"/>
  <c r="AG810" i="1"/>
  <c r="W810" i="1"/>
  <c r="V810" i="1"/>
  <c r="U810" i="1"/>
  <c r="T810" i="1"/>
  <c r="S810" i="1"/>
  <c r="R810" i="1"/>
  <c r="Q810" i="1"/>
  <c r="P810" i="1"/>
  <c r="O810" i="1"/>
  <c r="N810" i="1"/>
  <c r="M810" i="1"/>
  <c r="L810" i="1"/>
  <c r="K810" i="1"/>
  <c r="J810" i="1"/>
  <c r="I810" i="1"/>
  <c r="H810" i="1"/>
  <c r="AZ809" i="1"/>
  <c r="AY809" i="1"/>
  <c r="AX809" i="1"/>
  <c r="AW809" i="1"/>
  <c r="AV809" i="1"/>
  <c r="AU809" i="1"/>
  <c r="AT809" i="1"/>
  <c r="AS809" i="1"/>
  <c r="AR809" i="1"/>
  <c r="AQ809" i="1"/>
  <c r="AP809" i="1"/>
  <c r="AH809" i="1"/>
  <c r="AG809" i="1"/>
  <c r="W809" i="1"/>
  <c r="V809" i="1"/>
  <c r="U809" i="1"/>
  <c r="T809" i="1"/>
  <c r="S809" i="1"/>
  <c r="R809" i="1"/>
  <c r="Q809" i="1"/>
  <c r="P809" i="1"/>
  <c r="O809" i="1"/>
  <c r="N809" i="1"/>
  <c r="M809" i="1"/>
  <c r="L809" i="1"/>
  <c r="K809" i="1"/>
  <c r="J809" i="1"/>
  <c r="I809" i="1"/>
  <c r="H809" i="1"/>
  <c r="AZ808" i="1"/>
  <c r="AY808" i="1"/>
  <c r="AX808" i="1"/>
  <c r="AW808" i="1"/>
  <c r="AV808" i="1"/>
  <c r="AU808" i="1"/>
  <c r="AT808" i="1"/>
  <c r="AS808" i="1"/>
  <c r="AR808" i="1"/>
  <c r="AQ808" i="1"/>
  <c r="AP808" i="1"/>
  <c r="AI808" i="1"/>
  <c r="AH808" i="1"/>
  <c r="AG808" i="1"/>
  <c r="W808" i="1"/>
  <c r="V808" i="1"/>
  <c r="U808" i="1"/>
  <c r="T808" i="1"/>
  <c r="S808" i="1"/>
  <c r="R808" i="1"/>
  <c r="Q808" i="1"/>
  <c r="P808" i="1"/>
  <c r="O808" i="1"/>
  <c r="N808" i="1"/>
  <c r="M808" i="1"/>
  <c r="L808" i="1"/>
  <c r="K808" i="1"/>
  <c r="J808" i="1"/>
  <c r="I808" i="1"/>
  <c r="H808" i="1"/>
  <c r="AZ807" i="1"/>
  <c r="AY807" i="1"/>
  <c r="AX807" i="1"/>
  <c r="AW807" i="1"/>
  <c r="AV807" i="1"/>
  <c r="AU807" i="1"/>
  <c r="AT807" i="1"/>
  <c r="AS807" i="1"/>
  <c r="AR807" i="1"/>
  <c r="AQ807" i="1"/>
  <c r="AP807" i="1"/>
  <c r="AH807" i="1"/>
  <c r="AG807" i="1"/>
  <c r="W807" i="1"/>
  <c r="V807" i="1"/>
  <c r="U807" i="1"/>
  <c r="T807" i="1"/>
  <c r="S807" i="1"/>
  <c r="R807" i="1"/>
  <c r="Q807" i="1"/>
  <c r="P807" i="1"/>
  <c r="O807" i="1"/>
  <c r="N807" i="1"/>
  <c r="M807" i="1"/>
  <c r="L807" i="1"/>
  <c r="K807" i="1"/>
  <c r="J807" i="1"/>
  <c r="I807" i="1"/>
  <c r="H807" i="1"/>
  <c r="AZ806" i="1"/>
  <c r="AY806" i="1"/>
  <c r="AX806" i="1"/>
  <c r="AW806" i="1"/>
  <c r="AV806" i="1"/>
  <c r="AU806" i="1"/>
  <c r="AT806" i="1"/>
  <c r="AS806" i="1"/>
  <c r="AR806" i="1"/>
  <c r="AQ806" i="1"/>
  <c r="AP806" i="1"/>
  <c r="AI806" i="1"/>
  <c r="AH806" i="1"/>
  <c r="AG806" i="1"/>
  <c r="W806" i="1"/>
  <c r="V806" i="1"/>
  <c r="U806" i="1"/>
  <c r="T806" i="1"/>
  <c r="S806" i="1"/>
  <c r="R806" i="1"/>
  <c r="Q806" i="1"/>
  <c r="P806" i="1"/>
  <c r="O806" i="1"/>
  <c r="N806" i="1"/>
  <c r="M806" i="1"/>
  <c r="L806" i="1"/>
  <c r="K806" i="1"/>
  <c r="J806" i="1"/>
  <c r="I806" i="1"/>
  <c r="H806" i="1"/>
  <c r="AZ805" i="1"/>
  <c r="AY805" i="1"/>
  <c r="AX805" i="1"/>
  <c r="AW805" i="1"/>
  <c r="AV805" i="1"/>
  <c r="AU805" i="1"/>
  <c r="AT805" i="1"/>
  <c r="AS805" i="1"/>
  <c r="AR805" i="1"/>
  <c r="AQ805" i="1"/>
  <c r="AP805" i="1"/>
  <c r="AI805" i="1"/>
  <c r="AH805" i="1"/>
  <c r="AG805" i="1"/>
  <c r="W805" i="1"/>
  <c r="V805" i="1"/>
  <c r="U805" i="1"/>
  <c r="T805" i="1"/>
  <c r="S805" i="1"/>
  <c r="R805" i="1"/>
  <c r="Q805" i="1"/>
  <c r="P805" i="1"/>
  <c r="O805" i="1"/>
  <c r="N805" i="1"/>
  <c r="M805" i="1"/>
  <c r="L805" i="1"/>
  <c r="K805" i="1"/>
  <c r="J805" i="1"/>
  <c r="I805" i="1"/>
  <c r="H805" i="1"/>
  <c r="AZ804" i="1"/>
  <c r="AY804" i="1"/>
  <c r="AX804" i="1"/>
  <c r="AW804" i="1"/>
  <c r="AV804" i="1"/>
  <c r="AU804" i="1"/>
  <c r="AT804" i="1"/>
  <c r="AS804" i="1"/>
  <c r="AR804" i="1"/>
  <c r="AQ804" i="1"/>
  <c r="AP804" i="1"/>
  <c r="AI804" i="1"/>
  <c r="AH804" i="1"/>
  <c r="AG804" i="1"/>
  <c r="W804" i="1"/>
  <c r="V804" i="1"/>
  <c r="U804" i="1"/>
  <c r="T804" i="1"/>
  <c r="S804" i="1"/>
  <c r="R804" i="1"/>
  <c r="Q804" i="1"/>
  <c r="P804" i="1"/>
  <c r="O804" i="1"/>
  <c r="N804" i="1"/>
  <c r="M804" i="1"/>
  <c r="L804" i="1"/>
  <c r="K804" i="1"/>
  <c r="J804" i="1"/>
  <c r="I804" i="1"/>
  <c r="H804" i="1"/>
  <c r="AZ803" i="1"/>
  <c r="AY803" i="1"/>
  <c r="AX803" i="1"/>
  <c r="AW803" i="1"/>
  <c r="AV803" i="1"/>
  <c r="AU803" i="1"/>
  <c r="AT803" i="1"/>
  <c r="AS803" i="1"/>
  <c r="AR803" i="1"/>
  <c r="AQ803" i="1"/>
  <c r="AP803" i="1"/>
  <c r="AH803" i="1"/>
  <c r="AG803" i="1"/>
  <c r="W803" i="1"/>
  <c r="V803" i="1"/>
  <c r="U803" i="1"/>
  <c r="T803" i="1"/>
  <c r="S803" i="1"/>
  <c r="R803" i="1"/>
  <c r="Q803" i="1"/>
  <c r="P803" i="1"/>
  <c r="O803" i="1"/>
  <c r="N803" i="1"/>
  <c r="M803" i="1"/>
  <c r="L803" i="1"/>
  <c r="K803" i="1"/>
  <c r="J803" i="1"/>
  <c r="I803" i="1"/>
  <c r="H803" i="1"/>
  <c r="AZ802" i="1"/>
  <c r="AY802" i="1"/>
  <c r="AX802" i="1"/>
  <c r="AW802" i="1"/>
  <c r="AV802" i="1"/>
  <c r="AU802" i="1"/>
  <c r="AT802" i="1"/>
  <c r="AS802" i="1"/>
  <c r="AR802" i="1"/>
  <c r="AQ802" i="1"/>
  <c r="AP802" i="1"/>
  <c r="AH802" i="1"/>
  <c r="AG802" i="1"/>
  <c r="W802" i="1"/>
  <c r="V802" i="1"/>
  <c r="U802" i="1"/>
  <c r="T802" i="1"/>
  <c r="S802" i="1"/>
  <c r="R802" i="1"/>
  <c r="Q802" i="1"/>
  <c r="P802" i="1"/>
  <c r="O802" i="1"/>
  <c r="N802" i="1"/>
  <c r="M802" i="1"/>
  <c r="L802" i="1"/>
  <c r="K802" i="1"/>
  <c r="J802" i="1"/>
  <c r="I802" i="1"/>
  <c r="H802" i="1"/>
  <c r="AZ801" i="1"/>
  <c r="AY801" i="1"/>
  <c r="AX801" i="1"/>
  <c r="AW801" i="1"/>
  <c r="AV801" i="1"/>
  <c r="AU801" i="1"/>
  <c r="AT801" i="1"/>
  <c r="AS801" i="1"/>
  <c r="AR801" i="1"/>
  <c r="AQ801" i="1"/>
  <c r="AP801" i="1"/>
  <c r="AH801" i="1"/>
  <c r="AG801" i="1"/>
  <c r="W801" i="1"/>
  <c r="V801" i="1"/>
  <c r="U801" i="1"/>
  <c r="T801" i="1"/>
  <c r="S801" i="1"/>
  <c r="R801" i="1"/>
  <c r="Q801" i="1"/>
  <c r="P801" i="1"/>
  <c r="O801" i="1"/>
  <c r="N801" i="1"/>
  <c r="M801" i="1"/>
  <c r="L801" i="1"/>
  <c r="K801" i="1"/>
  <c r="J801" i="1"/>
  <c r="I801" i="1"/>
  <c r="H801" i="1"/>
  <c r="AZ800" i="1"/>
  <c r="AY800" i="1"/>
  <c r="AX800" i="1"/>
  <c r="AW800" i="1"/>
  <c r="AV800" i="1"/>
  <c r="AU800" i="1"/>
  <c r="AT800" i="1"/>
  <c r="AS800" i="1"/>
  <c r="AR800" i="1"/>
  <c r="AQ800" i="1"/>
  <c r="AP800" i="1"/>
  <c r="AI800" i="1"/>
  <c r="AH800" i="1"/>
  <c r="AG800" i="1"/>
  <c r="W800" i="1"/>
  <c r="V800" i="1"/>
  <c r="U800" i="1"/>
  <c r="T800" i="1"/>
  <c r="S800" i="1"/>
  <c r="R800" i="1"/>
  <c r="Q800" i="1"/>
  <c r="P800" i="1"/>
  <c r="O800" i="1"/>
  <c r="N800" i="1"/>
  <c r="M800" i="1"/>
  <c r="L800" i="1"/>
  <c r="K800" i="1"/>
  <c r="J800" i="1"/>
  <c r="I800" i="1"/>
  <c r="H800" i="1"/>
  <c r="AZ799" i="1"/>
  <c r="AY799" i="1"/>
  <c r="AX799" i="1"/>
  <c r="AW799" i="1"/>
  <c r="AV799" i="1"/>
  <c r="AU799" i="1"/>
  <c r="AT799" i="1"/>
  <c r="AS799" i="1"/>
  <c r="AR799" i="1"/>
  <c r="AQ799" i="1"/>
  <c r="AP799" i="1"/>
  <c r="AH799" i="1"/>
  <c r="AG799" i="1"/>
  <c r="W799" i="1"/>
  <c r="V799" i="1"/>
  <c r="U799" i="1"/>
  <c r="T799" i="1"/>
  <c r="S799" i="1"/>
  <c r="R799" i="1"/>
  <c r="Q799" i="1"/>
  <c r="P799" i="1"/>
  <c r="O799" i="1"/>
  <c r="N799" i="1"/>
  <c r="M799" i="1"/>
  <c r="L799" i="1"/>
  <c r="K799" i="1"/>
  <c r="J799" i="1"/>
  <c r="I799" i="1"/>
  <c r="H799" i="1"/>
  <c r="AZ798" i="1"/>
  <c r="AY798" i="1"/>
  <c r="AX798" i="1"/>
  <c r="AW798" i="1"/>
  <c r="AV798" i="1"/>
  <c r="AU798" i="1"/>
  <c r="AT798" i="1"/>
  <c r="AS798" i="1"/>
  <c r="AR798" i="1"/>
  <c r="AQ798" i="1"/>
  <c r="AP798" i="1"/>
  <c r="AH798" i="1"/>
  <c r="AG798" i="1"/>
  <c r="W798" i="1"/>
  <c r="V798" i="1"/>
  <c r="U798" i="1"/>
  <c r="T798" i="1"/>
  <c r="S798" i="1"/>
  <c r="R798" i="1"/>
  <c r="Q798" i="1"/>
  <c r="P798" i="1"/>
  <c r="O798" i="1"/>
  <c r="N798" i="1"/>
  <c r="M798" i="1"/>
  <c r="L798" i="1"/>
  <c r="K798" i="1"/>
  <c r="J798" i="1"/>
  <c r="I798" i="1"/>
  <c r="H798" i="1"/>
  <c r="AZ797" i="1"/>
  <c r="AY797" i="1"/>
  <c r="AX797" i="1"/>
  <c r="AW797" i="1"/>
  <c r="AV797" i="1"/>
  <c r="AU797" i="1"/>
  <c r="AT797" i="1"/>
  <c r="AS797" i="1"/>
  <c r="AR797" i="1"/>
  <c r="AQ797" i="1"/>
  <c r="AP797" i="1"/>
  <c r="AH797" i="1"/>
  <c r="AG797" i="1"/>
  <c r="W797" i="1"/>
  <c r="V797" i="1"/>
  <c r="U797" i="1"/>
  <c r="T797" i="1"/>
  <c r="S797" i="1"/>
  <c r="R797" i="1"/>
  <c r="Q797" i="1"/>
  <c r="P797" i="1"/>
  <c r="O797" i="1"/>
  <c r="N797" i="1"/>
  <c r="M797" i="1"/>
  <c r="L797" i="1"/>
  <c r="K797" i="1"/>
  <c r="J797" i="1"/>
  <c r="I797" i="1"/>
  <c r="H797" i="1"/>
  <c r="AZ796" i="1"/>
  <c r="AY796" i="1"/>
  <c r="AX796" i="1"/>
  <c r="AW796" i="1"/>
  <c r="AV796" i="1"/>
  <c r="AU796" i="1"/>
  <c r="AT796" i="1"/>
  <c r="AS796" i="1"/>
  <c r="AR796" i="1"/>
  <c r="AQ796" i="1"/>
  <c r="AP796" i="1"/>
  <c r="AH796" i="1"/>
  <c r="AG796" i="1"/>
  <c r="W796" i="1"/>
  <c r="V796" i="1"/>
  <c r="U796" i="1"/>
  <c r="T796" i="1"/>
  <c r="S796" i="1"/>
  <c r="R796" i="1"/>
  <c r="Q796" i="1"/>
  <c r="P796" i="1"/>
  <c r="O796" i="1"/>
  <c r="N796" i="1"/>
  <c r="M796" i="1"/>
  <c r="L796" i="1"/>
  <c r="K796" i="1"/>
  <c r="J796" i="1"/>
  <c r="I796" i="1"/>
  <c r="H796" i="1"/>
  <c r="AZ795" i="1"/>
  <c r="AY795" i="1"/>
  <c r="AX795" i="1"/>
  <c r="AW795" i="1"/>
  <c r="AV795" i="1"/>
  <c r="AU795" i="1"/>
  <c r="AT795" i="1"/>
  <c r="AS795" i="1"/>
  <c r="AR795" i="1"/>
  <c r="AQ795" i="1"/>
  <c r="AP795" i="1"/>
  <c r="AH795" i="1"/>
  <c r="AG795" i="1"/>
  <c r="W795" i="1"/>
  <c r="V795" i="1"/>
  <c r="U795" i="1"/>
  <c r="T795" i="1"/>
  <c r="S795" i="1"/>
  <c r="R795" i="1"/>
  <c r="Q795" i="1"/>
  <c r="P795" i="1"/>
  <c r="O795" i="1"/>
  <c r="N795" i="1"/>
  <c r="M795" i="1"/>
  <c r="L795" i="1"/>
  <c r="K795" i="1"/>
  <c r="J795" i="1"/>
  <c r="I795" i="1"/>
  <c r="H795" i="1"/>
  <c r="AZ794" i="1"/>
  <c r="AY794" i="1"/>
  <c r="AX794" i="1"/>
  <c r="AW794" i="1"/>
  <c r="AV794" i="1"/>
  <c r="AU794" i="1"/>
  <c r="AT794" i="1"/>
  <c r="AS794" i="1"/>
  <c r="AR794" i="1"/>
  <c r="AQ794" i="1"/>
  <c r="AP794" i="1"/>
  <c r="AH794" i="1"/>
  <c r="AG794" i="1"/>
  <c r="W794" i="1"/>
  <c r="V794" i="1"/>
  <c r="U794" i="1"/>
  <c r="T794" i="1"/>
  <c r="S794" i="1"/>
  <c r="R794" i="1"/>
  <c r="Q794" i="1"/>
  <c r="P794" i="1"/>
  <c r="O794" i="1"/>
  <c r="N794" i="1"/>
  <c r="M794" i="1"/>
  <c r="L794" i="1"/>
  <c r="K794" i="1"/>
  <c r="J794" i="1"/>
  <c r="I794" i="1"/>
  <c r="H794" i="1"/>
  <c r="AZ793" i="1"/>
  <c r="AY793" i="1"/>
  <c r="AX793" i="1"/>
  <c r="AW793" i="1"/>
  <c r="AV793" i="1"/>
  <c r="AU793" i="1"/>
  <c r="AT793" i="1"/>
  <c r="AS793" i="1"/>
  <c r="AR793" i="1"/>
  <c r="AQ793" i="1"/>
  <c r="AP793" i="1"/>
  <c r="AI793" i="1"/>
  <c r="AH793" i="1"/>
  <c r="AG793" i="1"/>
  <c r="W793" i="1"/>
  <c r="V793" i="1"/>
  <c r="U793" i="1"/>
  <c r="T793" i="1"/>
  <c r="S793" i="1"/>
  <c r="R793" i="1"/>
  <c r="Q793" i="1"/>
  <c r="P793" i="1"/>
  <c r="O793" i="1"/>
  <c r="N793" i="1"/>
  <c r="M793" i="1"/>
  <c r="L793" i="1"/>
  <c r="K793" i="1"/>
  <c r="J793" i="1"/>
  <c r="I793" i="1"/>
  <c r="H793" i="1"/>
  <c r="AZ792" i="1"/>
  <c r="AY792" i="1"/>
  <c r="AX792" i="1"/>
  <c r="AW792" i="1"/>
  <c r="AV792" i="1"/>
  <c r="AU792" i="1"/>
  <c r="AT792" i="1"/>
  <c r="AS792" i="1"/>
  <c r="AR792" i="1"/>
  <c r="AQ792" i="1"/>
  <c r="AP792" i="1"/>
  <c r="AH792" i="1"/>
  <c r="AG792" i="1"/>
  <c r="W792" i="1"/>
  <c r="V792" i="1"/>
  <c r="U792" i="1"/>
  <c r="T792" i="1"/>
  <c r="S792" i="1"/>
  <c r="R792" i="1"/>
  <c r="Q792" i="1"/>
  <c r="P792" i="1"/>
  <c r="O792" i="1"/>
  <c r="N792" i="1"/>
  <c r="M792" i="1"/>
  <c r="L792" i="1"/>
  <c r="K792" i="1"/>
  <c r="J792" i="1"/>
  <c r="I792" i="1"/>
  <c r="H792" i="1"/>
  <c r="AZ791" i="1"/>
  <c r="AY791" i="1"/>
  <c r="AX791" i="1"/>
  <c r="AW791" i="1"/>
  <c r="AV791" i="1"/>
  <c r="AU791" i="1"/>
  <c r="AT791" i="1"/>
  <c r="AS791" i="1"/>
  <c r="AR791" i="1"/>
  <c r="AQ791" i="1"/>
  <c r="AP791" i="1"/>
  <c r="AI791" i="1"/>
  <c r="AH791" i="1"/>
  <c r="AG791" i="1"/>
  <c r="W791" i="1"/>
  <c r="V791" i="1"/>
  <c r="U791" i="1"/>
  <c r="T791" i="1"/>
  <c r="S791" i="1"/>
  <c r="R791" i="1"/>
  <c r="Q791" i="1"/>
  <c r="P791" i="1"/>
  <c r="O791" i="1"/>
  <c r="N791" i="1"/>
  <c r="M791" i="1"/>
  <c r="L791" i="1"/>
  <c r="K791" i="1"/>
  <c r="J791" i="1"/>
  <c r="I791" i="1"/>
  <c r="H791" i="1"/>
  <c r="AZ790" i="1"/>
  <c r="AY790" i="1"/>
  <c r="AX790" i="1"/>
  <c r="AW790" i="1"/>
  <c r="AV790" i="1"/>
  <c r="AU790" i="1"/>
  <c r="AT790" i="1"/>
  <c r="AS790" i="1"/>
  <c r="AR790" i="1"/>
  <c r="AQ790" i="1"/>
  <c r="AP790" i="1"/>
  <c r="AI790" i="1"/>
  <c r="AH790" i="1"/>
  <c r="AG790" i="1"/>
  <c r="W790" i="1"/>
  <c r="V790" i="1"/>
  <c r="U790" i="1"/>
  <c r="T790" i="1"/>
  <c r="S790" i="1"/>
  <c r="R790" i="1"/>
  <c r="Q790" i="1"/>
  <c r="P790" i="1"/>
  <c r="O790" i="1"/>
  <c r="N790" i="1"/>
  <c r="M790" i="1"/>
  <c r="L790" i="1"/>
  <c r="K790" i="1"/>
  <c r="J790" i="1"/>
  <c r="I790" i="1"/>
  <c r="H790" i="1"/>
  <c r="AZ789" i="1"/>
  <c r="AY789" i="1"/>
  <c r="AX789" i="1"/>
  <c r="AW789" i="1"/>
  <c r="AV789" i="1"/>
  <c r="AU789" i="1"/>
  <c r="AT789" i="1"/>
  <c r="AS789" i="1"/>
  <c r="AR789" i="1"/>
  <c r="AQ789" i="1"/>
  <c r="AP789" i="1"/>
  <c r="AI789" i="1"/>
  <c r="AH789" i="1"/>
  <c r="AG789" i="1"/>
  <c r="W789" i="1"/>
  <c r="V789" i="1"/>
  <c r="U789" i="1"/>
  <c r="T789" i="1"/>
  <c r="S789" i="1"/>
  <c r="R789" i="1"/>
  <c r="Q789" i="1"/>
  <c r="P789" i="1"/>
  <c r="O789" i="1"/>
  <c r="N789" i="1"/>
  <c r="M789" i="1"/>
  <c r="L789" i="1"/>
  <c r="K789" i="1"/>
  <c r="J789" i="1"/>
  <c r="I789" i="1"/>
  <c r="H789" i="1"/>
  <c r="AZ788" i="1"/>
  <c r="AY788" i="1"/>
  <c r="AX788" i="1"/>
  <c r="AW788" i="1"/>
  <c r="AV788" i="1"/>
  <c r="AU788" i="1"/>
  <c r="AT788" i="1"/>
  <c r="AS788" i="1"/>
  <c r="AR788" i="1"/>
  <c r="AQ788" i="1"/>
  <c r="AP788" i="1"/>
  <c r="AH788" i="1"/>
  <c r="AG788" i="1"/>
  <c r="W788" i="1"/>
  <c r="V788" i="1"/>
  <c r="U788" i="1"/>
  <c r="T788" i="1"/>
  <c r="S788" i="1"/>
  <c r="R788" i="1"/>
  <c r="Q788" i="1"/>
  <c r="P788" i="1"/>
  <c r="O788" i="1"/>
  <c r="N788" i="1"/>
  <c r="M788" i="1"/>
  <c r="L788" i="1"/>
  <c r="K788" i="1"/>
  <c r="J788" i="1"/>
  <c r="I788" i="1"/>
  <c r="H788" i="1"/>
  <c r="AZ787" i="1"/>
  <c r="AY787" i="1"/>
  <c r="AX787" i="1"/>
  <c r="AW787" i="1"/>
  <c r="AV787" i="1"/>
  <c r="AU787" i="1"/>
  <c r="AT787" i="1"/>
  <c r="AS787" i="1"/>
  <c r="AR787" i="1"/>
  <c r="AQ787" i="1"/>
  <c r="AP787" i="1"/>
  <c r="AH787" i="1"/>
  <c r="AG787" i="1"/>
  <c r="W787" i="1"/>
  <c r="V787" i="1"/>
  <c r="U787" i="1"/>
  <c r="T787" i="1"/>
  <c r="S787" i="1"/>
  <c r="R787" i="1"/>
  <c r="Q787" i="1"/>
  <c r="P787" i="1"/>
  <c r="O787" i="1"/>
  <c r="N787" i="1"/>
  <c r="M787" i="1"/>
  <c r="L787" i="1"/>
  <c r="K787" i="1"/>
  <c r="J787" i="1"/>
  <c r="I787" i="1"/>
  <c r="H787" i="1"/>
  <c r="AZ786" i="1"/>
  <c r="AY786" i="1"/>
  <c r="AX786" i="1"/>
  <c r="AW786" i="1"/>
  <c r="AV786" i="1"/>
  <c r="AU786" i="1"/>
  <c r="AT786" i="1"/>
  <c r="AS786" i="1"/>
  <c r="AR786" i="1"/>
  <c r="AQ786" i="1"/>
  <c r="AP786" i="1"/>
  <c r="AH786" i="1"/>
  <c r="AG786" i="1"/>
  <c r="W786" i="1"/>
  <c r="V786" i="1"/>
  <c r="U786" i="1"/>
  <c r="T786" i="1"/>
  <c r="S786" i="1"/>
  <c r="R786" i="1"/>
  <c r="Q786" i="1"/>
  <c r="P786" i="1"/>
  <c r="O786" i="1"/>
  <c r="N786" i="1"/>
  <c r="M786" i="1"/>
  <c r="L786" i="1"/>
  <c r="K786" i="1"/>
  <c r="J786" i="1"/>
  <c r="I786" i="1"/>
  <c r="H786" i="1"/>
  <c r="AZ785" i="1"/>
  <c r="AY785" i="1"/>
  <c r="AX785" i="1"/>
  <c r="AW785" i="1"/>
  <c r="AV785" i="1"/>
  <c r="AU785" i="1"/>
  <c r="AT785" i="1"/>
  <c r="AS785" i="1"/>
  <c r="AR785" i="1"/>
  <c r="AQ785" i="1"/>
  <c r="AP785" i="1"/>
  <c r="AH785" i="1"/>
  <c r="AG785" i="1"/>
  <c r="W785" i="1"/>
  <c r="V785" i="1"/>
  <c r="U785" i="1"/>
  <c r="T785" i="1"/>
  <c r="S785" i="1"/>
  <c r="R785" i="1"/>
  <c r="Q785" i="1"/>
  <c r="P785" i="1"/>
  <c r="O785" i="1"/>
  <c r="N785" i="1"/>
  <c r="M785" i="1"/>
  <c r="L785" i="1"/>
  <c r="K785" i="1"/>
  <c r="J785" i="1"/>
  <c r="I785" i="1"/>
  <c r="H785" i="1"/>
  <c r="AZ784" i="1"/>
  <c r="AY784" i="1"/>
  <c r="AX784" i="1"/>
  <c r="AW784" i="1"/>
  <c r="AV784" i="1"/>
  <c r="AU784" i="1"/>
  <c r="AT784" i="1"/>
  <c r="AS784" i="1"/>
  <c r="AR784" i="1"/>
  <c r="AQ784" i="1"/>
  <c r="AP784" i="1"/>
  <c r="AH784" i="1"/>
  <c r="AG784" i="1"/>
  <c r="W784" i="1"/>
  <c r="V784" i="1"/>
  <c r="U784" i="1"/>
  <c r="T784" i="1"/>
  <c r="S784" i="1"/>
  <c r="R784" i="1"/>
  <c r="Q784" i="1"/>
  <c r="P784" i="1"/>
  <c r="O784" i="1"/>
  <c r="N784" i="1"/>
  <c r="M784" i="1"/>
  <c r="L784" i="1"/>
  <c r="K784" i="1"/>
  <c r="J784" i="1"/>
  <c r="I784" i="1"/>
  <c r="H784" i="1"/>
  <c r="AZ783" i="1"/>
  <c r="AY783" i="1"/>
  <c r="AX783" i="1"/>
  <c r="AW783" i="1"/>
  <c r="AV783" i="1"/>
  <c r="AU783" i="1"/>
  <c r="AT783" i="1"/>
  <c r="AS783" i="1"/>
  <c r="AR783" i="1"/>
  <c r="AQ783" i="1"/>
  <c r="AP783" i="1"/>
  <c r="AI783" i="1"/>
  <c r="AH783" i="1"/>
  <c r="AG783" i="1"/>
  <c r="W783" i="1"/>
  <c r="V783" i="1"/>
  <c r="U783" i="1"/>
  <c r="T783" i="1"/>
  <c r="S783" i="1"/>
  <c r="R783" i="1"/>
  <c r="Q783" i="1"/>
  <c r="P783" i="1"/>
  <c r="O783" i="1"/>
  <c r="N783" i="1"/>
  <c r="M783" i="1"/>
  <c r="L783" i="1"/>
  <c r="K783" i="1"/>
  <c r="J783" i="1"/>
  <c r="I783" i="1"/>
  <c r="H783" i="1"/>
  <c r="AZ782" i="1"/>
  <c r="AY782" i="1"/>
  <c r="AX782" i="1"/>
  <c r="AW782" i="1"/>
  <c r="AV782" i="1"/>
  <c r="AU782" i="1"/>
  <c r="AT782" i="1"/>
  <c r="AS782" i="1"/>
  <c r="AR782" i="1"/>
  <c r="AQ782" i="1"/>
  <c r="AP782" i="1"/>
  <c r="AH782" i="1"/>
  <c r="AG782" i="1"/>
  <c r="W782" i="1"/>
  <c r="V782" i="1"/>
  <c r="U782" i="1"/>
  <c r="T782" i="1"/>
  <c r="S782" i="1"/>
  <c r="R782" i="1"/>
  <c r="Q782" i="1"/>
  <c r="P782" i="1"/>
  <c r="O782" i="1"/>
  <c r="N782" i="1"/>
  <c r="M782" i="1"/>
  <c r="L782" i="1"/>
  <c r="K782" i="1"/>
  <c r="J782" i="1"/>
  <c r="I782" i="1"/>
  <c r="H782" i="1"/>
  <c r="AZ781" i="1"/>
  <c r="AY781" i="1"/>
  <c r="AX781" i="1"/>
  <c r="AW781" i="1"/>
  <c r="AV781" i="1"/>
  <c r="AU781" i="1"/>
  <c r="AT781" i="1"/>
  <c r="AS781" i="1"/>
  <c r="AR781" i="1"/>
  <c r="AQ781" i="1"/>
  <c r="AP781" i="1"/>
  <c r="AH781" i="1"/>
  <c r="AG781" i="1"/>
  <c r="W781" i="1"/>
  <c r="V781" i="1"/>
  <c r="U781" i="1"/>
  <c r="T781" i="1"/>
  <c r="S781" i="1"/>
  <c r="R781" i="1"/>
  <c r="Q781" i="1"/>
  <c r="P781" i="1"/>
  <c r="O781" i="1"/>
  <c r="N781" i="1"/>
  <c r="M781" i="1"/>
  <c r="L781" i="1"/>
  <c r="K781" i="1"/>
  <c r="J781" i="1"/>
  <c r="I781" i="1"/>
  <c r="H781" i="1"/>
  <c r="AZ780" i="1"/>
  <c r="AY780" i="1"/>
  <c r="AX780" i="1"/>
  <c r="AW780" i="1"/>
  <c r="AV780" i="1"/>
  <c r="AU780" i="1"/>
  <c r="AT780" i="1"/>
  <c r="AS780" i="1"/>
  <c r="AR780" i="1"/>
  <c r="AQ780" i="1"/>
  <c r="AP780" i="1"/>
  <c r="AI780" i="1"/>
  <c r="AH780" i="1"/>
  <c r="AG780" i="1"/>
  <c r="W780" i="1"/>
  <c r="V780" i="1"/>
  <c r="U780" i="1"/>
  <c r="T780" i="1"/>
  <c r="S780" i="1"/>
  <c r="R780" i="1"/>
  <c r="Q780" i="1"/>
  <c r="P780" i="1"/>
  <c r="O780" i="1"/>
  <c r="N780" i="1"/>
  <c r="M780" i="1"/>
  <c r="L780" i="1"/>
  <c r="K780" i="1"/>
  <c r="J780" i="1"/>
  <c r="I780" i="1"/>
  <c r="H780" i="1"/>
  <c r="AZ779" i="1"/>
  <c r="AY779" i="1"/>
  <c r="AX779" i="1"/>
  <c r="AW779" i="1"/>
  <c r="AV779" i="1"/>
  <c r="AU779" i="1"/>
  <c r="AT779" i="1"/>
  <c r="AS779" i="1"/>
  <c r="AR779" i="1"/>
  <c r="AQ779" i="1"/>
  <c r="AP779" i="1"/>
  <c r="AI779" i="1"/>
  <c r="AH779" i="1"/>
  <c r="AG779" i="1"/>
  <c r="W779" i="1"/>
  <c r="V779" i="1"/>
  <c r="U779" i="1"/>
  <c r="T779" i="1"/>
  <c r="S779" i="1"/>
  <c r="R779" i="1"/>
  <c r="Q779" i="1"/>
  <c r="P779" i="1"/>
  <c r="O779" i="1"/>
  <c r="N779" i="1"/>
  <c r="M779" i="1"/>
  <c r="L779" i="1"/>
  <c r="K779" i="1"/>
  <c r="J779" i="1"/>
  <c r="I779" i="1"/>
  <c r="H779" i="1"/>
  <c r="AZ778" i="1"/>
  <c r="AY778" i="1"/>
  <c r="AX778" i="1"/>
  <c r="AW778" i="1"/>
  <c r="AV778" i="1"/>
  <c r="AU778" i="1"/>
  <c r="AT778" i="1"/>
  <c r="AS778" i="1"/>
  <c r="AR778" i="1"/>
  <c r="AQ778" i="1"/>
  <c r="AP778" i="1"/>
  <c r="AI778" i="1"/>
  <c r="AH778" i="1"/>
  <c r="AG778" i="1"/>
  <c r="W778" i="1"/>
  <c r="V778" i="1"/>
  <c r="U778" i="1"/>
  <c r="T778" i="1"/>
  <c r="S778" i="1"/>
  <c r="R778" i="1"/>
  <c r="Q778" i="1"/>
  <c r="P778" i="1"/>
  <c r="O778" i="1"/>
  <c r="N778" i="1"/>
  <c r="M778" i="1"/>
  <c r="L778" i="1"/>
  <c r="K778" i="1"/>
  <c r="J778" i="1"/>
  <c r="I778" i="1"/>
  <c r="H778" i="1"/>
  <c r="AZ777" i="1"/>
  <c r="AY777" i="1"/>
  <c r="AX777" i="1"/>
  <c r="AW777" i="1"/>
  <c r="AV777" i="1"/>
  <c r="AU777" i="1"/>
  <c r="AT777" i="1"/>
  <c r="AS777" i="1"/>
  <c r="AR777" i="1"/>
  <c r="AQ777" i="1"/>
  <c r="AP777" i="1"/>
  <c r="AI777" i="1"/>
  <c r="AH777" i="1"/>
  <c r="AG777" i="1"/>
  <c r="W777" i="1"/>
  <c r="V777" i="1"/>
  <c r="U777" i="1"/>
  <c r="T777" i="1"/>
  <c r="S777" i="1"/>
  <c r="R777" i="1"/>
  <c r="Q777" i="1"/>
  <c r="P777" i="1"/>
  <c r="O777" i="1"/>
  <c r="N777" i="1"/>
  <c r="M777" i="1"/>
  <c r="L777" i="1"/>
  <c r="K777" i="1"/>
  <c r="J777" i="1"/>
  <c r="I777" i="1"/>
  <c r="H777" i="1"/>
  <c r="AZ776" i="1"/>
  <c r="AY776" i="1"/>
  <c r="AX776" i="1"/>
  <c r="AW776" i="1"/>
  <c r="AV776" i="1"/>
  <c r="AU776" i="1"/>
  <c r="AT776" i="1"/>
  <c r="AS776" i="1"/>
  <c r="AR776" i="1"/>
  <c r="AQ776" i="1"/>
  <c r="AP776" i="1"/>
  <c r="AI776" i="1"/>
  <c r="AH776" i="1"/>
  <c r="AG776" i="1"/>
  <c r="W776" i="1"/>
  <c r="V776" i="1"/>
  <c r="U776" i="1"/>
  <c r="T776" i="1"/>
  <c r="S776" i="1"/>
  <c r="R776" i="1"/>
  <c r="Q776" i="1"/>
  <c r="P776" i="1"/>
  <c r="O776" i="1"/>
  <c r="N776" i="1"/>
  <c r="M776" i="1"/>
  <c r="L776" i="1"/>
  <c r="K776" i="1"/>
  <c r="J776" i="1"/>
  <c r="I776" i="1"/>
  <c r="H776" i="1"/>
  <c r="AZ775" i="1"/>
  <c r="AY775" i="1"/>
  <c r="AX775" i="1"/>
  <c r="AW775" i="1"/>
  <c r="AV775" i="1"/>
  <c r="AU775" i="1"/>
  <c r="AT775" i="1"/>
  <c r="AS775" i="1"/>
  <c r="AR775" i="1"/>
  <c r="AQ775" i="1"/>
  <c r="AP775" i="1"/>
  <c r="AH775" i="1"/>
  <c r="AG775" i="1"/>
  <c r="W775" i="1"/>
  <c r="V775" i="1"/>
  <c r="U775" i="1"/>
  <c r="T775" i="1"/>
  <c r="S775" i="1"/>
  <c r="R775" i="1"/>
  <c r="Q775" i="1"/>
  <c r="P775" i="1"/>
  <c r="O775" i="1"/>
  <c r="N775" i="1"/>
  <c r="M775" i="1"/>
  <c r="L775" i="1"/>
  <c r="K775" i="1"/>
  <c r="J775" i="1"/>
  <c r="I775" i="1"/>
  <c r="H775" i="1"/>
  <c r="AZ774" i="1"/>
  <c r="AY774" i="1"/>
  <c r="AX774" i="1"/>
  <c r="AW774" i="1"/>
  <c r="AV774" i="1"/>
  <c r="AU774" i="1"/>
  <c r="AT774" i="1"/>
  <c r="AS774" i="1"/>
  <c r="AR774" i="1"/>
  <c r="AQ774" i="1"/>
  <c r="AP774" i="1"/>
  <c r="AH774" i="1"/>
  <c r="AG774" i="1"/>
  <c r="W774" i="1"/>
  <c r="V774" i="1"/>
  <c r="U774" i="1"/>
  <c r="T774" i="1"/>
  <c r="S774" i="1"/>
  <c r="R774" i="1"/>
  <c r="Q774" i="1"/>
  <c r="P774" i="1"/>
  <c r="O774" i="1"/>
  <c r="N774" i="1"/>
  <c r="M774" i="1"/>
  <c r="L774" i="1"/>
  <c r="K774" i="1"/>
  <c r="J774" i="1"/>
  <c r="I774" i="1"/>
  <c r="H774" i="1"/>
  <c r="AZ773" i="1"/>
  <c r="AY773" i="1"/>
  <c r="AX773" i="1"/>
  <c r="AW773" i="1"/>
  <c r="AV773" i="1"/>
  <c r="AU773" i="1"/>
  <c r="AT773" i="1"/>
  <c r="AS773" i="1"/>
  <c r="AR773" i="1"/>
  <c r="AQ773" i="1"/>
  <c r="AP773" i="1"/>
  <c r="AH773" i="1"/>
  <c r="AG773" i="1"/>
  <c r="W773" i="1"/>
  <c r="V773" i="1"/>
  <c r="U773" i="1"/>
  <c r="T773" i="1"/>
  <c r="S773" i="1"/>
  <c r="R773" i="1"/>
  <c r="Q773" i="1"/>
  <c r="P773" i="1"/>
  <c r="O773" i="1"/>
  <c r="N773" i="1"/>
  <c r="M773" i="1"/>
  <c r="L773" i="1"/>
  <c r="K773" i="1"/>
  <c r="J773" i="1"/>
  <c r="I773" i="1"/>
  <c r="H773" i="1"/>
  <c r="AZ772" i="1"/>
  <c r="AY772" i="1"/>
  <c r="AX772" i="1"/>
  <c r="AW772" i="1"/>
  <c r="AV772" i="1"/>
  <c r="AU772" i="1"/>
  <c r="AT772" i="1"/>
  <c r="AS772" i="1"/>
  <c r="AR772" i="1"/>
  <c r="AQ772" i="1"/>
  <c r="AP772" i="1"/>
  <c r="AI772" i="1"/>
  <c r="AH772" i="1"/>
  <c r="AG772" i="1"/>
  <c r="W772" i="1"/>
  <c r="V772" i="1"/>
  <c r="U772" i="1"/>
  <c r="T772" i="1"/>
  <c r="S772" i="1"/>
  <c r="R772" i="1"/>
  <c r="Q772" i="1"/>
  <c r="P772" i="1"/>
  <c r="O772" i="1"/>
  <c r="N772" i="1"/>
  <c r="M772" i="1"/>
  <c r="L772" i="1"/>
  <c r="K772" i="1"/>
  <c r="J772" i="1"/>
  <c r="I772" i="1"/>
  <c r="H772" i="1"/>
  <c r="AZ771" i="1"/>
  <c r="AY771" i="1"/>
  <c r="AX771" i="1"/>
  <c r="AW771" i="1"/>
  <c r="AV771" i="1"/>
  <c r="AU771" i="1"/>
  <c r="AT771" i="1"/>
  <c r="AS771" i="1"/>
  <c r="AR771" i="1"/>
  <c r="AQ771" i="1"/>
  <c r="AP771" i="1"/>
  <c r="AI771" i="1"/>
  <c r="AH771" i="1"/>
  <c r="AG771" i="1"/>
  <c r="W771" i="1"/>
  <c r="V771" i="1"/>
  <c r="U771" i="1"/>
  <c r="T771" i="1"/>
  <c r="S771" i="1"/>
  <c r="R771" i="1"/>
  <c r="Q771" i="1"/>
  <c r="P771" i="1"/>
  <c r="O771" i="1"/>
  <c r="N771" i="1"/>
  <c r="M771" i="1"/>
  <c r="L771" i="1"/>
  <c r="K771" i="1"/>
  <c r="J771" i="1"/>
  <c r="I771" i="1"/>
  <c r="H771" i="1"/>
  <c r="AZ770" i="1"/>
  <c r="AY770" i="1"/>
  <c r="AX770" i="1"/>
  <c r="AW770" i="1"/>
  <c r="AV770" i="1"/>
  <c r="AU770" i="1"/>
  <c r="AT770" i="1"/>
  <c r="AS770" i="1"/>
  <c r="AR770" i="1"/>
  <c r="AQ770" i="1"/>
  <c r="AP770" i="1"/>
  <c r="AI770" i="1"/>
  <c r="AH770" i="1"/>
  <c r="AG770" i="1"/>
  <c r="W770" i="1"/>
  <c r="V770" i="1"/>
  <c r="U770" i="1"/>
  <c r="T770" i="1"/>
  <c r="S770" i="1"/>
  <c r="R770" i="1"/>
  <c r="Q770" i="1"/>
  <c r="P770" i="1"/>
  <c r="O770" i="1"/>
  <c r="N770" i="1"/>
  <c r="M770" i="1"/>
  <c r="L770" i="1"/>
  <c r="K770" i="1"/>
  <c r="J770" i="1"/>
  <c r="I770" i="1"/>
  <c r="H770" i="1"/>
  <c r="AZ769" i="1"/>
  <c r="AY769" i="1"/>
  <c r="AX769" i="1"/>
  <c r="AW769" i="1"/>
  <c r="AV769" i="1"/>
  <c r="AU769" i="1"/>
  <c r="AT769" i="1"/>
  <c r="AS769" i="1"/>
  <c r="AR769" i="1"/>
  <c r="AQ769" i="1"/>
  <c r="AP769" i="1"/>
  <c r="AH769" i="1"/>
  <c r="AG769" i="1"/>
  <c r="W769" i="1"/>
  <c r="V769" i="1"/>
  <c r="U769" i="1"/>
  <c r="T769" i="1"/>
  <c r="S769" i="1"/>
  <c r="R769" i="1"/>
  <c r="Q769" i="1"/>
  <c r="P769" i="1"/>
  <c r="O769" i="1"/>
  <c r="N769" i="1"/>
  <c r="M769" i="1"/>
  <c r="L769" i="1"/>
  <c r="K769" i="1"/>
  <c r="J769" i="1"/>
  <c r="I769" i="1"/>
  <c r="H769" i="1"/>
  <c r="AZ768" i="1"/>
  <c r="AY768" i="1"/>
  <c r="AX768" i="1"/>
  <c r="AW768" i="1"/>
  <c r="AV768" i="1"/>
  <c r="AU768" i="1"/>
  <c r="AT768" i="1"/>
  <c r="AS768" i="1"/>
  <c r="AR768" i="1"/>
  <c r="AQ768" i="1"/>
  <c r="AP768" i="1"/>
  <c r="AH768" i="1"/>
  <c r="AG768" i="1"/>
  <c r="W768" i="1"/>
  <c r="V768" i="1"/>
  <c r="U768" i="1"/>
  <c r="T768" i="1"/>
  <c r="S768" i="1"/>
  <c r="R768" i="1"/>
  <c r="Q768" i="1"/>
  <c r="P768" i="1"/>
  <c r="O768" i="1"/>
  <c r="N768" i="1"/>
  <c r="M768" i="1"/>
  <c r="L768" i="1"/>
  <c r="K768" i="1"/>
  <c r="J768" i="1"/>
  <c r="I768" i="1"/>
  <c r="H768" i="1"/>
  <c r="AZ767" i="1"/>
  <c r="AY767" i="1"/>
  <c r="AX767" i="1"/>
  <c r="AW767" i="1"/>
  <c r="AV767" i="1"/>
  <c r="AU767" i="1"/>
  <c r="AT767" i="1"/>
  <c r="AS767" i="1"/>
  <c r="AR767" i="1"/>
  <c r="AQ767" i="1"/>
  <c r="AP767" i="1"/>
  <c r="AH767" i="1"/>
  <c r="AG767" i="1"/>
  <c r="W767" i="1"/>
  <c r="V767" i="1"/>
  <c r="U767" i="1"/>
  <c r="T767" i="1"/>
  <c r="S767" i="1"/>
  <c r="R767" i="1"/>
  <c r="Q767" i="1"/>
  <c r="P767" i="1"/>
  <c r="O767" i="1"/>
  <c r="N767" i="1"/>
  <c r="M767" i="1"/>
  <c r="L767" i="1"/>
  <c r="K767" i="1"/>
  <c r="J767" i="1"/>
  <c r="I767" i="1"/>
  <c r="H767" i="1"/>
  <c r="AZ766" i="1"/>
  <c r="AY766" i="1"/>
  <c r="AX766" i="1"/>
  <c r="AW766" i="1"/>
  <c r="AV766" i="1"/>
  <c r="AU766" i="1"/>
  <c r="AT766" i="1"/>
  <c r="AS766" i="1"/>
  <c r="AR766" i="1"/>
  <c r="AQ766" i="1"/>
  <c r="AP766" i="1"/>
  <c r="AH766" i="1"/>
  <c r="AG766" i="1"/>
  <c r="W766" i="1"/>
  <c r="V766" i="1"/>
  <c r="U766" i="1"/>
  <c r="T766" i="1"/>
  <c r="S766" i="1"/>
  <c r="R766" i="1"/>
  <c r="Q766" i="1"/>
  <c r="P766" i="1"/>
  <c r="O766" i="1"/>
  <c r="N766" i="1"/>
  <c r="M766" i="1"/>
  <c r="L766" i="1"/>
  <c r="K766" i="1"/>
  <c r="J766" i="1"/>
  <c r="I766" i="1"/>
  <c r="H766" i="1"/>
  <c r="AZ765" i="1"/>
  <c r="AY765" i="1"/>
  <c r="AX765" i="1"/>
  <c r="AW765" i="1"/>
  <c r="AV765" i="1"/>
  <c r="AU765" i="1"/>
  <c r="AT765" i="1"/>
  <c r="AS765" i="1"/>
  <c r="AR765" i="1"/>
  <c r="AQ765" i="1"/>
  <c r="AP765" i="1"/>
  <c r="AH765" i="1"/>
  <c r="AG765" i="1"/>
  <c r="W765" i="1"/>
  <c r="V765" i="1"/>
  <c r="U765" i="1"/>
  <c r="T765" i="1"/>
  <c r="S765" i="1"/>
  <c r="R765" i="1"/>
  <c r="Q765" i="1"/>
  <c r="P765" i="1"/>
  <c r="O765" i="1"/>
  <c r="N765" i="1"/>
  <c r="M765" i="1"/>
  <c r="L765" i="1"/>
  <c r="K765" i="1"/>
  <c r="J765" i="1"/>
  <c r="I765" i="1"/>
  <c r="H765" i="1"/>
  <c r="AZ764" i="1"/>
  <c r="AY764" i="1"/>
  <c r="AX764" i="1"/>
  <c r="AW764" i="1"/>
  <c r="AV764" i="1"/>
  <c r="AU764" i="1"/>
  <c r="AT764" i="1"/>
  <c r="AS764" i="1"/>
  <c r="AR764" i="1"/>
  <c r="AQ764" i="1"/>
  <c r="AP764" i="1"/>
  <c r="AH764" i="1"/>
  <c r="AG764" i="1"/>
  <c r="W764" i="1"/>
  <c r="V764" i="1"/>
  <c r="U764" i="1"/>
  <c r="T764" i="1"/>
  <c r="S764" i="1"/>
  <c r="R764" i="1"/>
  <c r="Q764" i="1"/>
  <c r="P764" i="1"/>
  <c r="O764" i="1"/>
  <c r="N764" i="1"/>
  <c r="M764" i="1"/>
  <c r="L764" i="1"/>
  <c r="K764" i="1"/>
  <c r="J764" i="1"/>
  <c r="I764" i="1"/>
  <c r="H764" i="1"/>
  <c r="AZ763" i="1"/>
  <c r="AY763" i="1"/>
  <c r="AX763" i="1"/>
  <c r="AW763" i="1"/>
  <c r="AV763" i="1"/>
  <c r="AU763" i="1"/>
  <c r="AT763" i="1"/>
  <c r="AS763" i="1"/>
  <c r="AR763" i="1"/>
  <c r="AQ763" i="1"/>
  <c r="AP763" i="1"/>
  <c r="AH763" i="1"/>
  <c r="AG763" i="1"/>
  <c r="W763" i="1"/>
  <c r="V763" i="1"/>
  <c r="U763" i="1"/>
  <c r="T763" i="1"/>
  <c r="S763" i="1"/>
  <c r="R763" i="1"/>
  <c r="Q763" i="1"/>
  <c r="P763" i="1"/>
  <c r="O763" i="1"/>
  <c r="N763" i="1"/>
  <c r="M763" i="1"/>
  <c r="L763" i="1"/>
  <c r="K763" i="1"/>
  <c r="J763" i="1"/>
  <c r="I763" i="1"/>
  <c r="H763" i="1"/>
  <c r="AZ762" i="1"/>
  <c r="AY762" i="1"/>
  <c r="AX762" i="1"/>
  <c r="AW762" i="1"/>
  <c r="AV762" i="1"/>
  <c r="AU762" i="1"/>
  <c r="AT762" i="1"/>
  <c r="AS762" i="1"/>
  <c r="AR762" i="1"/>
  <c r="AQ762" i="1"/>
  <c r="AP762" i="1"/>
  <c r="AH762" i="1"/>
  <c r="AG762" i="1"/>
  <c r="W762" i="1"/>
  <c r="V762" i="1"/>
  <c r="U762" i="1"/>
  <c r="T762" i="1"/>
  <c r="S762" i="1"/>
  <c r="R762" i="1"/>
  <c r="Q762" i="1"/>
  <c r="P762" i="1"/>
  <c r="O762" i="1"/>
  <c r="N762" i="1"/>
  <c r="M762" i="1"/>
  <c r="L762" i="1"/>
  <c r="K762" i="1"/>
  <c r="J762" i="1"/>
  <c r="I762" i="1"/>
  <c r="H762" i="1"/>
  <c r="AZ761" i="1"/>
  <c r="AY761" i="1"/>
  <c r="AX761" i="1"/>
  <c r="AW761" i="1"/>
  <c r="AV761" i="1"/>
  <c r="AU761" i="1"/>
  <c r="AT761" i="1"/>
  <c r="AS761" i="1"/>
  <c r="AR761" i="1"/>
  <c r="AQ761" i="1"/>
  <c r="AP761" i="1"/>
  <c r="AH761" i="1"/>
  <c r="AG761" i="1"/>
  <c r="W761" i="1"/>
  <c r="V761" i="1"/>
  <c r="U761" i="1"/>
  <c r="T761" i="1"/>
  <c r="S761" i="1"/>
  <c r="R761" i="1"/>
  <c r="Q761" i="1"/>
  <c r="P761" i="1"/>
  <c r="O761" i="1"/>
  <c r="N761" i="1"/>
  <c r="M761" i="1"/>
  <c r="L761" i="1"/>
  <c r="K761" i="1"/>
  <c r="J761" i="1"/>
  <c r="I761" i="1"/>
  <c r="H761" i="1"/>
  <c r="AZ760" i="1"/>
  <c r="AY760" i="1"/>
  <c r="AX760" i="1"/>
  <c r="AW760" i="1"/>
  <c r="AV760" i="1"/>
  <c r="AU760" i="1"/>
  <c r="AT760" i="1"/>
  <c r="AS760" i="1"/>
  <c r="AR760" i="1"/>
  <c r="AQ760" i="1"/>
  <c r="AP760" i="1"/>
  <c r="AH760" i="1"/>
  <c r="AG760" i="1"/>
  <c r="W760" i="1"/>
  <c r="V760" i="1"/>
  <c r="U760" i="1"/>
  <c r="T760" i="1"/>
  <c r="S760" i="1"/>
  <c r="R760" i="1"/>
  <c r="Q760" i="1"/>
  <c r="P760" i="1"/>
  <c r="O760" i="1"/>
  <c r="N760" i="1"/>
  <c r="M760" i="1"/>
  <c r="L760" i="1"/>
  <c r="K760" i="1"/>
  <c r="J760" i="1"/>
  <c r="I760" i="1"/>
  <c r="H760" i="1"/>
  <c r="AZ759" i="1"/>
  <c r="AY759" i="1"/>
  <c r="AX759" i="1"/>
  <c r="AW759" i="1"/>
  <c r="AV759" i="1"/>
  <c r="AU759" i="1"/>
  <c r="AT759" i="1"/>
  <c r="AS759" i="1"/>
  <c r="AR759" i="1"/>
  <c r="AQ759" i="1"/>
  <c r="AP759" i="1"/>
  <c r="AH759" i="1"/>
  <c r="AG759" i="1"/>
  <c r="W759" i="1"/>
  <c r="V759" i="1"/>
  <c r="U759" i="1"/>
  <c r="T759" i="1"/>
  <c r="S759" i="1"/>
  <c r="R759" i="1"/>
  <c r="Q759" i="1"/>
  <c r="P759" i="1"/>
  <c r="O759" i="1"/>
  <c r="N759" i="1"/>
  <c r="M759" i="1"/>
  <c r="L759" i="1"/>
  <c r="K759" i="1"/>
  <c r="J759" i="1"/>
  <c r="I759" i="1"/>
  <c r="H759" i="1"/>
  <c r="AZ758" i="1"/>
  <c r="AY758" i="1"/>
  <c r="AX758" i="1"/>
  <c r="AW758" i="1"/>
  <c r="AV758" i="1"/>
  <c r="AU758" i="1"/>
  <c r="AT758" i="1"/>
  <c r="AS758" i="1"/>
  <c r="AR758" i="1"/>
  <c r="AQ758" i="1"/>
  <c r="AP758" i="1"/>
  <c r="AI758" i="1"/>
  <c r="AH758" i="1"/>
  <c r="AG758" i="1"/>
  <c r="W758" i="1"/>
  <c r="V758" i="1"/>
  <c r="U758" i="1"/>
  <c r="T758" i="1"/>
  <c r="S758" i="1"/>
  <c r="R758" i="1"/>
  <c r="Q758" i="1"/>
  <c r="P758" i="1"/>
  <c r="O758" i="1"/>
  <c r="N758" i="1"/>
  <c r="M758" i="1"/>
  <c r="L758" i="1"/>
  <c r="K758" i="1"/>
  <c r="J758" i="1"/>
  <c r="I758" i="1"/>
  <c r="H758" i="1"/>
  <c r="AZ757" i="1"/>
  <c r="AY757" i="1"/>
  <c r="AX757" i="1"/>
  <c r="AW757" i="1"/>
  <c r="AV757" i="1"/>
  <c r="AU757" i="1"/>
  <c r="AT757" i="1"/>
  <c r="AS757" i="1"/>
  <c r="AR757" i="1"/>
  <c r="AQ757" i="1"/>
  <c r="AP757" i="1"/>
  <c r="AH757" i="1"/>
  <c r="AG757" i="1"/>
  <c r="W757" i="1"/>
  <c r="V757" i="1"/>
  <c r="U757" i="1"/>
  <c r="T757" i="1"/>
  <c r="S757" i="1"/>
  <c r="R757" i="1"/>
  <c r="Q757" i="1"/>
  <c r="P757" i="1"/>
  <c r="O757" i="1"/>
  <c r="N757" i="1"/>
  <c r="M757" i="1"/>
  <c r="L757" i="1"/>
  <c r="K757" i="1"/>
  <c r="J757" i="1"/>
  <c r="I757" i="1"/>
  <c r="H757" i="1"/>
  <c r="AZ756" i="1"/>
  <c r="AY756" i="1"/>
  <c r="AX756" i="1"/>
  <c r="AW756" i="1"/>
  <c r="AV756" i="1"/>
  <c r="AU756" i="1"/>
  <c r="AT756" i="1"/>
  <c r="AS756" i="1"/>
  <c r="AR756" i="1"/>
  <c r="AQ756" i="1"/>
  <c r="AP756" i="1"/>
  <c r="AI756" i="1"/>
  <c r="AH756" i="1"/>
  <c r="AG756" i="1"/>
  <c r="W756" i="1"/>
  <c r="V756" i="1"/>
  <c r="U756" i="1"/>
  <c r="T756" i="1"/>
  <c r="S756" i="1"/>
  <c r="R756" i="1"/>
  <c r="Q756" i="1"/>
  <c r="P756" i="1"/>
  <c r="O756" i="1"/>
  <c r="N756" i="1"/>
  <c r="M756" i="1"/>
  <c r="L756" i="1"/>
  <c r="K756" i="1"/>
  <c r="J756" i="1"/>
  <c r="I756" i="1"/>
  <c r="H756" i="1"/>
  <c r="AZ755" i="1"/>
  <c r="AY755" i="1"/>
  <c r="AX755" i="1"/>
  <c r="AW755" i="1"/>
  <c r="AV755" i="1"/>
  <c r="AU755" i="1"/>
  <c r="AT755" i="1"/>
  <c r="AS755" i="1"/>
  <c r="AR755" i="1"/>
  <c r="AQ755" i="1"/>
  <c r="AP755" i="1"/>
  <c r="AI755" i="1"/>
  <c r="AH755" i="1"/>
  <c r="AG755" i="1"/>
  <c r="W755" i="1"/>
  <c r="V755" i="1"/>
  <c r="U755" i="1"/>
  <c r="T755" i="1"/>
  <c r="S755" i="1"/>
  <c r="R755" i="1"/>
  <c r="Q755" i="1"/>
  <c r="P755" i="1"/>
  <c r="O755" i="1"/>
  <c r="N755" i="1"/>
  <c r="M755" i="1"/>
  <c r="L755" i="1"/>
  <c r="K755" i="1"/>
  <c r="J755" i="1"/>
  <c r="I755" i="1"/>
  <c r="H755" i="1"/>
  <c r="AZ754" i="1"/>
  <c r="AY754" i="1"/>
  <c r="AX754" i="1"/>
  <c r="AW754" i="1"/>
  <c r="AV754" i="1"/>
  <c r="AU754" i="1"/>
  <c r="AT754" i="1"/>
  <c r="AS754" i="1"/>
  <c r="AR754" i="1"/>
  <c r="AQ754" i="1"/>
  <c r="AP754" i="1"/>
  <c r="AH754" i="1"/>
  <c r="AG754" i="1"/>
  <c r="W754" i="1"/>
  <c r="V754" i="1"/>
  <c r="U754" i="1"/>
  <c r="T754" i="1"/>
  <c r="S754" i="1"/>
  <c r="R754" i="1"/>
  <c r="Q754" i="1"/>
  <c r="P754" i="1"/>
  <c r="O754" i="1"/>
  <c r="N754" i="1"/>
  <c r="M754" i="1"/>
  <c r="L754" i="1"/>
  <c r="K754" i="1"/>
  <c r="J754" i="1"/>
  <c r="I754" i="1"/>
  <c r="H754" i="1"/>
  <c r="AZ753" i="1"/>
  <c r="AY753" i="1"/>
  <c r="AX753" i="1"/>
  <c r="AW753" i="1"/>
  <c r="AV753" i="1"/>
  <c r="AU753" i="1"/>
  <c r="AT753" i="1"/>
  <c r="AS753" i="1"/>
  <c r="AR753" i="1"/>
  <c r="AQ753" i="1"/>
  <c r="AP753" i="1"/>
  <c r="AH753" i="1"/>
  <c r="AG753" i="1"/>
  <c r="W753" i="1"/>
  <c r="V753" i="1"/>
  <c r="U753" i="1"/>
  <c r="T753" i="1"/>
  <c r="S753" i="1"/>
  <c r="R753" i="1"/>
  <c r="Q753" i="1"/>
  <c r="P753" i="1"/>
  <c r="O753" i="1"/>
  <c r="N753" i="1"/>
  <c r="M753" i="1"/>
  <c r="L753" i="1"/>
  <c r="K753" i="1"/>
  <c r="J753" i="1"/>
  <c r="I753" i="1"/>
  <c r="H753" i="1"/>
  <c r="AZ752" i="1"/>
  <c r="AY752" i="1"/>
  <c r="AX752" i="1"/>
  <c r="AW752" i="1"/>
  <c r="AV752" i="1"/>
  <c r="AU752" i="1"/>
  <c r="AT752" i="1"/>
  <c r="AS752" i="1"/>
  <c r="AR752" i="1"/>
  <c r="AQ752" i="1"/>
  <c r="AP752" i="1"/>
  <c r="AI752" i="1"/>
  <c r="AH752" i="1"/>
  <c r="AG752" i="1"/>
  <c r="W752" i="1"/>
  <c r="V752" i="1"/>
  <c r="U752" i="1"/>
  <c r="T752" i="1"/>
  <c r="S752" i="1"/>
  <c r="R752" i="1"/>
  <c r="Q752" i="1"/>
  <c r="P752" i="1"/>
  <c r="O752" i="1"/>
  <c r="N752" i="1"/>
  <c r="M752" i="1"/>
  <c r="L752" i="1"/>
  <c r="K752" i="1"/>
  <c r="J752" i="1"/>
  <c r="I752" i="1"/>
  <c r="H752" i="1"/>
  <c r="AZ751" i="1"/>
  <c r="AY751" i="1"/>
  <c r="AX751" i="1"/>
  <c r="AW751" i="1"/>
  <c r="AV751" i="1"/>
  <c r="AU751" i="1"/>
  <c r="AT751" i="1"/>
  <c r="AS751" i="1"/>
  <c r="AR751" i="1"/>
  <c r="AQ751" i="1"/>
  <c r="AP751" i="1"/>
  <c r="AI751" i="1"/>
  <c r="AH751" i="1"/>
  <c r="AG751" i="1"/>
  <c r="W751" i="1"/>
  <c r="V751" i="1"/>
  <c r="U751" i="1"/>
  <c r="T751" i="1"/>
  <c r="S751" i="1"/>
  <c r="R751" i="1"/>
  <c r="Q751" i="1"/>
  <c r="P751" i="1"/>
  <c r="O751" i="1"/>
  <c r="N751" i="1"/>
  <c r="M751" i="1"/>
  <c r="L751" i="1"/>
  <c r="K751" i="1"/>
  <c r="J751" i="1"/>
  <c r="I751" i="1"/>
  <c r="H751" i="1"/>
  <c r="AZ750" i="1"/>
  <c r="AY750" i="1"/>
  <c r="AX750" i="1"/>
  <c r="AW750" i="1"/>
  <c r="AV750" i="1"/>
  <c r="AU750" i="1"/>
  <c r="AT750" i="1"/>
  <c r="AS750" i="1"/>
  <c r="AR750" i="1"/>
  <c r="AQ750" i="1"/>
  <c r="AP750" i="1"/>
  <c r="AI750" i="1"/>
  <c r="AH750" i="1"/>
  <c r="AG750" i="1"/>
  <c r="W750" i="1"/>
  <c r="V750" i="1"/>
  <c r="U750" i="1"/>
  <c r="T750" i="1"/>
  <c r="S750" i="1"/>
  <c r="R750" i="1"/>
  <c r="Q750" i="1"/>
  <c r="P750" i="1"/>
  <c r="O750" i="1"/>
  <c r="N750" i="1"/>
  <c r="M750" i="1"/>
  <c r="L750" i="1"/>
  <c r="K750" i="1"/>
  <c r="J750" i="1"/>
  <c r="I750" i="1"/>
  <c r="H750" i="1"/>
  <c r="AZ749" i="1"/>
  <c r="AY749" i="1"/>
  <c r="AX749" i="1"/>
  <c r="AW749" i="1"/>
  <c r="AV749" i="1"/>
  <c r="AU749" i="1"/>
  <c r="AT749" i="1"/>
  <c r="AS749" i="1"/>
  <c r="AR749" i="1"/>
  <c r="AQ749" i="1"/>
  <c r="AP749" i="1"/>
  <c r="AH749" i="1"/>
  <c r="AG749" i="1"/>
  <c r="W749" i="1"/>
  <c r="V749" i="1"/>
  <c r="U749" i="1"/>
  <c r="T749" i="1"/>
  <c r="S749" i="1"/>
  <c r="R749" i="1"/>
  <c r="Q749" i="1"/>
  <c r="P749" i="1"/>
  <c r="O749" i="1"/>
  <c r="N749" i="1"/>
  <c r="M749" i="1"/>
  <c r="L749" i="1"/>
  <c r="K749" i="1"/>
  <c r="J749" i="1"/>
  <c r="I749" i="1"/>
  <c r="H749" i="1"/>
  <c r="AZ748" i="1"/>
  <c r="AY748" i="1"/>
  <c r="AX748" i="1"/>
  <c r="AW748" i="1"/>
  <c r="AV748" i="1"/>
  <c r="AU748" i="1"/>
  <c r="AT748" i="1"/>
  <c r="AS748" i="1"/>
  <c r="AR748" i="1"/>
  <c r="AQ748" i="1"/>
  <c r="AP748" i="1"/>
  <c r="AI748" i="1"/>
  <c r="AH748" i="1"/>
  <c r="AG748" i="1"/>
  <c r="W748" i="1"/>
  <c r="V748" i="1"/>
  <c r="U748" i="1"/>
  <c r="T748" i="1"/>
  <c r="S748" i="1"/>
  <c r="R748" i="1"/>
  <c r="Q748" i="1"/>
  <c r="P748" i="1"/>
  <c r="O748" i="1"/>
  <c r="N748" i="1"/>
  <c r="M748" i="1"/>
  <c r="L748" i="1"/>
  <c r="K748" i="1"/>
  <c r="J748" i="1"/>
  <c r="I748" i="1"/>
  <c r="H748" i="1"/>
  <c r="AZ747" i="1"/>
  <c r="AY747" i="1"/>
  <c r="AX747" i="1"/>
  <c r="AW747" i="1"/>
  <c r="AV747" i="1"/>
  <c r="AU747" i="1"/>
  <c r="AT747" i="1"/>
  <c r="AS747" i="1"/>
  <c r="AR747" i="1"/>
  <c r="AQ747" i="1"/>
  <c r="AP747" i="1"/>
  <c r="AH747" i="1"/>
  <c r="AG747" i="1"/>
  <c r="W747" i="1"/>
  <c r="V747" i="1"/>
  <c r="U747" i="1"/>
  <c r="T747" i="1"/>
  <c r="S747" i="1"/>
  <c r="R747" i="1"/>
  <c r="Q747" i="1"/>
  <c r="P747" i="1"/>
  <c r="O747" i="1"/>
  <c r="N747" i="1"/>
  <c r="M747" i="1"/>
  <c r="L747" i="1"/>
  <c r="K747" i="1"/>
  <c r="J747" i="1"/>
  <c r="I747" i="1"/>
  <c r="H747" i="1"/>
  <c r="AZ746" i="1"/>
  <c r="AY746" i="1"/>
  <c r="AX746" i="1"/>
  <c r="AW746" i="1"/>
  <c r="AV746" i="1"/>
  <c r="AU746" i="1"/>
  <c r="AT746" i="1"/>
  <c r="AS746" i="1"/>
  <c r="AR746" i="1"/>
  <c r="AQ746" i="1"/>
  <c r="AP746" i="1"/>
  <c r="AH746" i="1"/>
  <c r="AG746" i="1"/>
  <c r="W746" i="1"/>
  <c r="V746" i="1"/>
  <c r="U746" i="1"/>
  <c r="T746" i="1"/>
  <c r="S746" i="1"/>
  <c r="R746" i="1"/>
  <c r="Q746" i="1"/>
  <c r="P746" i="1"/>
  <c r="O746" i="1"/>
  <c r="N746" i="1"/>
  <c r="M746" i="1"/>
  <c r="L746" i="1"/>
  <c r="K746" i="1"/>
  <c r="J746" i="1"/>
  <c r="I746" i="1"/>
  <c r="H746" i="1"/>
  <c r="AZ745" i="1"/>
  <c r="AY745" i="1"/>
  <c r="AX745" i="1"/>
  <c r="AW745" i="1"/>
  <c r="AV745" i="1"/>
  <c r="AU745" i="1"/>
  <c r="AT745" i="1"/>
  <c r="AS745" i="1"/>
  <c r="AR745" i="1"/>
  <c r="AQ745" i="1"/>
  <c r="AP745" i="1"/>
  <c r="AH745" i="1"/>
  <c r="AG745" i="1"/>
  <c r="W745" i="1"/>
  <c r="V745" i="1"/>
  <c r="U745" i="1"/>
  <c r="T745" i="1"/>
  <c r="S745" i="1"/>
  <c r="R745" i="1"/>
  <c r="Q745" i="1"/>
  <c r="P745" i="1"/>
  <c r="O745" i="1"/>
  <c r="N745" i="1"/>
  <c r="M745" i="1"/>
  <c r="L745" i="1"/>
  <c r="K745" i="1"/>
  <c r="J745" i="1"/>
  <c r="I745" i="1"/>
  <c r="H745" i="1"/>
  <c r="AZ744" i="1"/>
  <c r="AY744" i="1"/>
  <c r="AX744" i="1"/>
  <c r="AW744" i="1"/>
  <c r="AV744" i="1"/>
  <c r="AU744" i="1"/>
  <c r="AT744" i="1"/>
  <c r="AS744" i="1"/>
  <c r="AR744" i="1"/>
  <c r="AQ744" i="1"/>
  <c r="AP744" i="1"/>
  <c r="AH744" i="1"/>
  <c r="AG744" i="1"/>
  <c r="W744" i="1"/>
  <c r="V744" i="1"/>
  <c r="U744" i="1"/>
  <c r="T744" i="1"/>
  <c r="S744" i="1"/>
  <c r="R744" i="1"/>
  <c r="Q744" i="1"/>
  <c r="P744" i="1"/>
  <c r="O744" i="1"/>
  <c r="N744" i="1"/>
  <c r="M744" i="1"/>
  <c r="L744" i="1"/>
  <c r="K744" i="1"/>
  <c r="J744" i="1"/>
  <c r="I744" i="1"/>
  <c r="H744" i="1"/>
  <c r="AZ743" i="1"/>
  <c r="AY743" i="1"/>
  <c r="AX743" i="1"/>
  <c r="AW743" i="1"/>
  <c r="AV743" i="1"/>
  <c r="AU743" i="1"/>
  <c r="AT743" i="1"/>
  <c r="AS743" i="1"/>
  <c r="AR743" i="1"/>
  <c r="AQ743" i="1"/>
  <c r="AP743" i="1"/>
  <c r="AI743" i="1"/>
  <c r="AH743" i="1"/>
  <c r="AG743" i="1"/>
  <c r="W743" i="1"/>
  <c r="V743" i="1"/>
  <c r="U743" i="1"/>
  <c r="T743" i="1"/>
  <c r="S743" i="1"/>
  <c r="R743" i="1"/>
  <c r="Q743" i="1"/>
  <c r="P743" i="1"/>
  <c r="O743" i="1"/>
  <c r="N743" i="1"/>
  <c r="M743" i="1"/>
  <c r="L743" i="1"/>
  <c r="K743" i="1"/>
  <c r="J743" i="1"/>
  <c r="I743" i="1"/>
  <c r="H743" i="1"/>
  <c r="AZ742" i="1"/>
  <c r="AY742" i="1"/>
  <c r="AX742" i="1"/>
  <c r="AW742" i="1"/>
  <c r="AV742" i="1"/>
  <c r="AU742" i="1"/>
  <c r="AT742" i="1"/>
  <c r="AS742" i="1"/>
  <c r="AR742" i="1"/>
  <c r="AQ742" i="1"/>
  <c r="AP742" i="1"/>
  <c r="AI742" i="1"/>
  <c r="AH742" i="1"/>
  <c r="AG742" i="1"/>
  <c r="W742" i="1"/>
  <c r="V742" i="1"/>
  <c r="U742" i="1"/>
  <c r="T742" i="1"/>
  <c r="S742" i="1"/>
  <c r="R742" i="1"/>
  <c r="Q742" i="1"/>
  <c r="P742" i="1"/>
  <c r="O742" i="1"/>
  <c r="N742" i="1"/>
  <c r="M742" i="1"/>
  <c r="L742" i="1"/>
  <c r="K742" i="1"/>
  <c r="J742" i="1"/>
  <c r="I742" i="1"/>
  <c r="H742" i="1"/>
  <c r="AZ741" i="1"/>
  <c r="AY741" i="1"/>
  <c r="AX741" i="1"/>
  <c r="AW741" i="1"/>
  <c r="AV741" i="1"/>
  <c r="AU741" i="1"/>
  <c r="AT741" i="1"/>
  <c r="AS741" i="1"/>
  <c r="AR741" i="1"/>
  <c r="AQ741" i="1"/>
  <c r="AP741" i="1"/>
  <c r="AI741" i="1"/>
  <c r="AH741" i="1"/>
  <c r="AG741" i="1"/>
  <c r="W741" i="1"/>
  <c r="V741" i="1"/>
  <c r="U741" i="1"/>
  <c r="T741" i="1"/>
  <c r="S741" i="1"/>
  <c r="R741" i="1"/>
  <c r="Q741" i="1"/>
  <c r="P741" i="1"/>
  <c r="O741" i="1"/>
  <c r="N741" i="1"/>
  <c r="M741" i="1"/>
  <c r="L741" i="1"/>
  <c r="K741" i="1"/>
  <c r="J741" i="1"/>
  <c r="I741" i="1"/>
  <c r="H741" i="1"/>
  <c r="AZ740" i="1"/>
  <c r="AY740" i="1"/>
  <c r="AX740" i="1"/>
  <c r="AW740" i="1"/>
  <c r="AV740" i="1"/>
  <c r="AU740" i="1"/>
  <c r="AT740" i="1"/>
  <c r="AS740" i="1"/>
  <c r="AR740" i="1"/>
  <c r="AQ740" i="1"/>
  <c r="AP740" i="1"/>
  <c r="AI740" i="1"/>
  <c r="AH740" i="1"/>
  <c r="AG740" i="1"/>
  <c r="W740" i="1"/>
  <c r="V740" i="1"/>
  <c r="U740" i="1"/>
  <c r="T740" i="1"/>
  <c r="S740" i="1"/>
  <c r="R740" i="1"/>
  <c r="Q740" i="1"/>
  <c r="P740" i="1"/>
  <c r="O740" i="1"/>
  <c r="N740" i="1"/>
  <c r="M740" i="1"/>
  <c r="L740" i="1"/>
  <c r="K740" i="1"/>
  <c r="J740" i="1"/>
  <c r="I740" i="1"/>
  <c r="H740" i="1"/>
  <c r="AZ739" i="1"/>
  <c r="AY739" i="1"/>
  <c r="AX739" i="1"/>
  <c r="AW739" i="1"/>
  <c r="AV739" i="1"/>
  <c r="AU739" i="1"/>
  <c r="AT739" i="1"/>
  <c r="AS739" i="1"/>
  <c r="AR739" i="1"/>
  <c r="AQ739" i="1"/>
  <c r="AP739" i="1"/>
  <c r="AI739" i="1"/>
  <c r="AH739" i="1"/>
  <c r="AG739" i="1"/>
  <c r="W739" i="1"/>
  <c r="V739" i="1"/>
  <c r="U739" i="1"/>
  <c r="T739" i="1"/>
  <c r="S739" i="1"/>
  <c r="R739" i="1"/>
  <c r="Q739" i="1"/>
  <c r="P739" i="1"/>
  <c r="O739" i="1"/>
  <c r="N739" i="1"/>
  <c r="M739" i="1"/>
  <c r="L739" i="1"/>
  <c r="K739" i="1"/>
  <c r="J739" i="1"/>
  <c r="I739" i="1"/>
  <c r="H739" i="1"/>
  <c r="AZ738" i="1"/>
  <c r="AY738" i="1"/>
  <c r="AX738" i="1"/>
  <c r="AW738" i="1"/>
  <c r="AV738" i="1"/>
  <c r="AU738" i="1"/>
  <c r="AT738" i="1"/>
  <c r="AS738" i="1"/>
  <c r="AR738" i="1"/>
  <c r="AQ738" i="1"/>
  <c r="AP738" i="1"/>
  <c r="AI738" i="1"/>
  <c r="AH738" i="1"/>
  <c r="AG738" i="1"/>
  <c r="W738" i="1"/>
  <c r="V738" i="1"/>
  <c r="U738" i="1"/>
  <c r="T738" i="1"/>
  <c r="S738" i="1"/>
  <c r="R738" i="1"/>
  <c r="Q738" i="1"/>
  <c r="P738" i="1"/>
  <c r="O738" i="1"/>
  <c r="N738" i="1"/>
  <c r="M738" i="1"/>
  <c r="L738" i="1"/>
  <c r="K738" i="1"/>
  <c r="J738" i="1"/>
  <c r="I738" i="1"/>
  <c r="H738" i="1"/>
  <c r="AZ737" i="1"/>
  <c r="AY737" i="1"/>
  <c r="AX737" i="1"/>
  <c r="AW737" i="1"/>
  <c r="AV737" i="1"/>
  <c r="AU737" i="1"/>
  <c r="AT737" i="1"/>
  <c r="AS737" i="1"/>
  <c r="AR737" i="1"/>
  <c r="AQ737" i="1"/>
  <c r="AP737" i="1"/>
  <c r="AI737" i="1"/>
  <c r="AH737" i="1"/>
  <c r="AG737" i="1"/>
  <c r="W737" i="1"/>
  <c r="V737" i="1"/>
  <c r="U737" i="1"/>
  <c r="T737" i="1"/>
  <c r="S737" i="1"/>
  <c r="R737" i="1"/>
  <c r="Q737" i="1"/>
  <c r="P737" i="1"/>
  <c r="O737" i="1"/>
  <c r="N737" i="1"/>
  <c r="M737" i="1"/>
  <c r="L737" i="1"/>
  <c r="K737" i="1"/>
  <c r="J737" i="1"/>
  <c r="I737" i="1"/>
  <c r="H737" i="1"/>
  <c r="AZ736" i="1"/>
  <c r="AY736" i="1"/>
  <c r="AX736" i="1"/>
  <c r="AW736" i="1"/>
  <c r="AV736" i="1"/>
  <c r="AU736" i="1"/>
  <c r="AT736" i="1"/>
  <c r="AS736" i="1"/>
  <c r="AR736" i="1"/>
  <c r="AQ736" i="1"/>
  <c r="AP736" i="1"/>
  <c r="AI736" i="1"/>
  <c r="AH736" i="1"/>
  <c r="AG736" i="1"/>
  <c r="W736" i="1"/>
  <c r="V736" i="1"/>
  <c r="U736" i="1"/>
  <c r="T736" i="1"/>
  <c r="S736" i="1"/>
  <c r="R736" i="1"/>
  <c r="Q736" i="1"/>
  <c r="P736" i="1"/>
  <c r="O736" i="1"/>
  <c r="N736" i="1"/>
  <c r="M736" i="1"/>
  <c r="L736" i="1"/>
  <c r="K736" i="1"/>
  <c r="J736" i="1"/>
  <c r="I736" i="1"/>
  <c r="H736" i="1"/>
  <c r="AZ735" i="1"/>
  <c r="AY735" i="1"/>
  <c r="AX735" i="1"/>
  <c r="AW735" i="1"/>
  <c r="AV735" i="1"/>
  <c r="AU735" i="1"/>
  <c r="AT735" i="1"/>
  <c r="AS735" i="1"/>
  <c r="AR735" i="1"/>
  <c r="AQ735" i="1"/>
  <c r="AP735" i="1"/>
  <c r="AI735" i="1"/>
  <c r="AH735" i="1"/>
  <c r="AG735" i="1"/>
  <c r="W735" i="1"/>
  <c r="V735" i="1"/>
  <c r="U735" i="1"/>
  <c r="T735" i="1"/>
  <c r="S735" i="1"/>
  <c r="R735" i="1"/>
  <c r="Q735" i="1"/>
  <c r="P735" i="1"/>
  <c r="O735" i="1"/>
  <c r="N735" i="1"/>
  <c r="M735" i="1"/>
  <c r="L735" i="1"/>
  <c r="K735" i="1"/>
  <c r="J735" i="1"/>
  <c r="I735" i="1"/>
  <c r="H735" i="1"/>
  <c r="AZ734" i="1"/>
  <c r="AY734" i="1"/>
  <c r="AX734" i="1"/>
  <c r="AW734" i="1"/>
  <c r="AV734" i="1"/>
  <c r="AU734" i="1"/>
  <c r="AT734" i="1"/>
  <c r="AS734" i="1"/>
  <c r="AR734" i="1"/>
  <c r="AQ734" i="1"/>
  <c r="AP734" i="1"/>
  <c r="AH734" i="1"/>
  <c r="AG734" i="1"/>
  <c r="W734" i="1"/>
  <c r="V734" i="1"/>
  <c r="U734" i="1"/>
  <c r="T734" i="1"/>
  <c r="S734" i="1"/>
  <c r="R734" i="1"/>
  <c r="Q734" i="1"/>
  <c r="P734" i="1"/>
  <c r="O734" i="1"/>
  <c r="N734" i="1"/>
  <c r="M734" i="1"/>
  <c r="L734" i="1"/>
  <c r="K734" i="1"/>
  <c r="J734" i="1"/>
  <c r="I734" i="1"/>
  <c r="H734" i="1"/>
  <c r="AZ733" i="1"/>
  <c r="AY733" i="1"/>
  <c r="AX733" i="1"/>
  <c r="AW733" i="1"/>
  <c r="AV733" i="1"/>
  <c r="AU733" i="1"/>
  <c r="AT733" i="1"/>
  <c r="AS733" i="1"/>
  <c r="AR733" i="1"/>
  <c r="AQ733" i="1"/>
  <c r="AP733" i="1"/>
  <c r="AH733" i="1"/>
  <c r="AG733" i="1"/>
  <c r="W733" i="1"/>
  <c r="V733" i="1"/>
  <c r="U733" i="1"/>
  <c r="T733" i="1"/>
  <c r="S733" i="1"/>
  <c r="R733" i="1"/>
  <c r="Q733" i="1"/>
  <c r="P733" i="1"/>
  <c r="O733" i="1"/>
  <c r="N733" i="1"/>
  <c r="M733" i="1"/>
  <c r="L733" i="1"/>
  <c r="K733" i="1"/>
  <c r="J733" i="1"/>
  <c r="I733" i="1"/>
  <c r="H733" i="1"/>
  <c r="AZ732" i="1"/>
  <c r="AY732" i="1"/>
  <c r="AX732" i="1"/>
  <c r="AW732" i="1"/>
  <c r="AV732" i="1"/>
  <c r="AU732" i="1"/>
  <c r="AT732" i="1"/>
  <c r="AS732" i="1"/>
  <c r="AR732" i="1"/>
  <c r="AQ732" i="1"/>
  <c r="AP732" i="1"/>
  <c r="AH732" i="1"/>
  <c r="AG732" i="1"/>
  <c r="W732" i="1"/>
  <c r="V732" i="1"/>
  <c r="U732" i="1"/>
  <c r="T732" i="1"/>
  <c r="S732" i="1"/>
  <c r="R732" i="1"/>
  <c r="Q732" i="1"/>
  <c r="P732" i="1"/>
  <c r="O732" i="1"/>
  <c r="N732" i="1"/>
  <c r="M732" i="1"/>
  <c r="L732" i="1"/>
  <c r="K732" i="1"/>
  <c r="J732" i="1"/>
  <c r="I732" i="1"/>
  <c r="H732" i="1"/>
  <c r="AZ731" i="1"/>
  <c r="AY731" i="1"/>
  <c r="AX731" i="1"/>
  <c r="AW731" i="1"/>
  <c r="AV731" i="1"/>
  <c r="AU731" i="1"/>
  <c r="AT731" i="1"/>
  <c r="AS731" i="1"/>
  <c r="AR731" i="1"/>
  <c r="AQ731" i="1"/>
  <c r="AP731" i="1"/>
  <c r="AH731" i="1"/>
  <c r="AG731" i="1"/>
  <c r="W731" i="1"/>
  <c r="V731" i="1"/>
  <c r="U731" i="1"/>
  <c r="T731" i="1"/>
  <c r="S731" i="1"/>
  <c r="R731" i="1"/>
  <c r="Q731" i="1"/>
  <c r="P731" i="1"/>
  <c r="O731" i="1"/>
  <c r="N731" i="1"/>
  <c r="M731" i="1"/>
  <c r="L731" i="1"/>
  <c r="K731" i="1"/>
  <c r="J731" i="1"/>
  <c r="I731" i="1"/>
  <c r="H731" i="1"/>
  <c r="AZ730" i="1"/>
  <c r="AY730" i="1"/>
  <c r="AX730" i="1"/>
  <c r="AW730" i="1"/>
  <c r="AV730" i="1"/>
  <c r="AU730" i="1"/>
  <c r="AT730" i="1"/>
  <c r="AS730" i="1"/>
  <c r="AR730" i="1"/>
  <c r="AQ730" i="1"/>
  <c r="AP730" i="1"/>
  <c r="AI730" i="1"/>
  <c r="AH730" i="1"/>
  <c r="AG730" i="1"/>
  <c r="W730" i="1"/>
  <c r="V730" i="1"/>
  <c r="U730" i="1"/>
  <c r="T730" i="1"/>
  <c r="S730" i="1"/>
  <c r="R730" i="1"/>
  <c r="Q730" i="1"/>
  <c r="P730" i="1"/>
  <c r="O730" i="1"/>
  <c r="N730" i="1"/>
  <c r="M730" i="1"/>
  <c r="L730" i="1"/>
  <c r="K730" i="1"/>
  <c r="J730" i="1"/>
  <c r="I730" i="1"/>
  <c r="H730" i="1"/>
  <c r="AZ729" i="1"/>
  <c r="AY729" i="1"/>
  <c r="AX729" i="1"/>
  <c r="AW729" i="1"/>
  <c r="AV729" i="1"/>
  <c r="AU729" i="1"/>
  <c r="AT729" i="1"/>
  <c r="AS729" i="1"/>
  <c r="AR729" i="1"/>
  <c r="AQ729" i="1"/>
  <c r="AP729" i="1"/>
  <c r="AI729" i="1"/>
  <c r="AH729" i="1"/>
  <c r="AG729" i="1"/>
  <c r="W729" i="1"/>
  <c r="V729" i="1"/>
  <c r="U729" i="1"/>
  <c r="T729" i="1"/>
  <c r="S729" i="1"/>
  <c r="R729" i="1"/>
  <c r="Q729" i="1"/>
  <c r="P729" i="1"/>
  <c r="O729" i="1"/>
  <c r="N729" i="1"/>
  <c r="M729" i="1"/>
  <c r="L729" i="1"/>
  <c r="K729" i="1"/>
  <c r="J729" i="1"/>
  <c r="I729" i="1"/>
  <c r="H729" i="1"/>
  <c r="AZ728" i="1"/>
  <c r="AY728" i="1"/>
  <c r="AX728" i="1"/>
  <c r="AW728" i="1"/>
  <c r="AV728" i="1"/>
  <c r="AU728" i="1"/>
  <c r="AT728" i="1"/>
  <c r="AS728" i="1"/>
  <c r="AR728" i="1"/>
  <c r="AQ728" i="1"/>
  <c r="AP728" i="1"/>
  <c r="AH728" i="1"/>
  <c r="AG728" i="1"/>
  <c r="W728" i="1"/>
  <c r="V728" i="1"/>
  <c r="U728" i="1"/>
  <c r="T728" i="1"/>
  <c r="S728" i="1"/>
  <c r="R728" i="1"/>
  <c r="Q728" i="1"/>
  <c r="P728" i="1"/>
  <c r="O728" i="1"/>
  <c r="N728" i="1"/>
  <c r="M728" i="1"/>
  <c r="L728" i="1"/>
  <c r="K728" i="1"/>
  <c r="J728" i="1"/>
  <c r="I728" i="1"/>
  <c r="H728" i="1"/>
  <c r="AZ727" i="1"/>
  <c r="AY727" i="1"/>
  <c r="AX727" i="1"/>
  <c r="AW727" i="1"/>
  <c r="AV727" i="1"/>
  <c r="AU727" i="1"/>
  <c r="AT727" i="1"/>
  <c r="AS727" i="1"/>
  <c r="AR727" i="1"/>
  <c r="AQ727" i="1"/>
  <c r="AP727" i="1"/>
  <c r="AH727" i="1"/>
  <c r="AG727" i="1"/>
  <c r="W727" i="1"/>
  <c r="V727" i="1"/>
  <c r="U727" i="1"/>
  <c r="T727" i="1"/>
  <c r="S727" i="1"/>
  <c r="R727" i="1"/>
  <c r="Q727" i="1"/>
  <c r="P727" i="1"/>
  <c r="O727" i="1"/>
  <c r="N727" i="1"/>
  <c r="M727" i="1"/>
  <c r="L727" i="1"/>
  <c r="K727" i="1"/>
  <c r="J727" i="1"/>
  <c r="I727" i="1"/>
  <c r="H727" i="1"/>
  <c r="AZ726" i="1"/>
  <c r="AY726" i="1"/>
  <c r="AX726" i="1"/>
  <c r="AW726" i="1"/>
  <c r="AV726" i="1"/>
  <c r="AU726" i="1"/>
  <c r="AT726" i="1"/>
  <c r="AS726" i="1"/>
  <c r="AR726" i="1"/>
  <c r="AQ726" i="1"/>
  <c r="AP726" i="1"/>
  <c r="AH726" i="1"/>
  <c r="AG726" i="1"/>
  <c r="W726" i="1"/>
  <c r="V726" i="1"/>
  <c r="U726" i="1"/>
  <c r="T726" i="1"/>
  <c r="S726" i="1"/>
  <c r="R726" i="1"/>
  <c r="Q726" i="1"/>
  <c r="P726" i="1"/>
  <c r="O726" i="1"/>
  <c r="N726" i="1"/>
  <c r="M726" i="1"/>
  <c r="L726" i="1"/>
  <c r="K726" i="1"/>
  <c r="J726" i="1"/>
  <c r="I726" i="1"/>
  <c r="H726" i="1"/>
  <c r="AZ725" i="1"/>
  <c r="AY725" i="1"/>
  <c r="AX725" i="1"/>
  <c r="AW725" i="1"/>
  <c r="AV725" i="1"/>
  <c r="AU725" i="1"/>
  <c r="AT725" i="1"/>
  <c r="AS725" i="1"/>
  <c r="AR725" i="1"/>
  <c r="AQ725" i="1"/>
  <c r="AP725" i="1"/>
  <c r="AI725" i="1"/>
  <c r="AH725" i="1"/>
  <c r="AG725" i="1"/>
  <c r="W725" i="1"/>
  <c r="V725" i="1"/>
  <c r="U725" i="1"/>
  <c r="T725" i="1"/>
  <c r="S725" i="1"/>
  <c r="R725" i="1"/>
  <c r="Q725" i="1"/>
  <c r="P725" i="1"/>
  <c r="O725" i="1"/>
  <c r="N725" i="1"/>
  <c r="M725" i="1"/>
  <c r="L725" i="1"/>
  <c r="K725" i="1"/>
  <c r="J725" i="1"/>
  <c r="I725" i="1"/>
  <c r="H725" i="1"/>
  <c r="AZ724" i="1"/>
  <c r="AY724" i="1"/>
  <c r="AX724" i="1"/>
  <c r="AW724" i="1"/>
  <c r="AV724" i="1"/>
  <c r="AU724" i="1"/>
  <c r="AT724" i="1"/>
  <c r="AS724" i="1"/>
  <c r="AR724" i="1"/>
  <c r="AQ724" i="1"/>
  <c r="AP724" i="1"/>
  <c r="AI724" i="1"/>
  <c r="AH724" i="1"/>
  <c r="AG724" i="1"/>
  <c r="W724" i="1"/>
  <c r="V724" i="1"/>
  <c r="U724" i="1"/>
  <c r="T724" i="1"/>
  <c r="S724" i="1"/>
  <c r="R724" i="1"/>
  <c r="Q724" i="1"/>
  <c r="P724" i="1"/>
  <c r="O724" i="1"/>
  <c r="N724" i="1"/>
  <c r="M724" i="1"/>
  <c r="L724" i="1"/>
  <c r="K724" i="1"/>
  <c r="J724" i="1"/>
  <c r="I724" i="1"/>
  <c r="H724" i="1"/>
  <c r="AZ723" i="1"/>
  <c r="AY723" i="1"/>
  <c r="AX723" i="1"/>
  <c r="AW723" i="1"/>
  <c r="AV723" i="1"/>
  <c r="AU723" i="1"/>
  <c r="AT723" i="1"/>
  <c r="AS723" i="1"/>
  <c r="AR723" i="1"/>
  <c r="AQ723" i="1"/>
  <c r="AP723" i="1"/>
  <c r="AI723" i="1"/>
  <c r="AH723" i="1"/>
  <c r="AG723" i="1"/>
  <c r="W723" i="1"/>
  <c r="V723" i="1"/>
  <c r="U723" i="1"/>
  <c r="T723" i="1"/>
  <c r="S723" i="1"/>
  <c r="R723" i="1"/>
  <c r="Q723" i="1"/>
  <c r="P723" i="1"/>
  <c r="O723" i="1"/>
  <c r="N723" i="1"/>
  <c r="M723" i="1"/>
  <c r="L723" i="1"/>
  <c r="K723" i="1"/>
  <c r="J723" i="1"/>
  <c r="I723" i="1"/>
  <c r="H723" i="1"/>
  <c r="AZ722" i="1"/>
  <c r="AY722" i="1"/>
  <c r="AX722" i="1"/>
  <c r="AW722" i="1"/>
  <c r="AV722" i="1"/>
  <c r="AU722" i="1"/>
  <c r="AT722" i="1"/>
  <c r="AS722" i="1"/>
  <c r="AR722" i="1"/>
  <c r="AQ722" i="1"/>
  <c r="AP722" i="1"/>
  <c r="AH722" i="1"/>
  <c r="AG722" i="1"/>
  <c r="W722" i="1"/>
  <c r="V722" i="1"/>
  <c r="U722" i="1"/>
  <c r="T722" i="1"/>
  <c r="S722" i="1"/>
  <c r="R722" i="1"/>
  <c r="Q722" i="1"/>
  <c r="P722" i="1"/>
  <c r="O722" i="1"/>
  <c r="N722" i="1"/>
  <c r="M722" i="1"/>
  <c r="L722" i="1"/>
  <c r="K722" i="1"/>
  <c r="J722" i="1"/>
  <c r="I722" i="1"/>
  <c r="H722" i="1"/>
  <c r="AZ721" i="1"/>
  <c r="AY721" i="1"/>
  <c r="AX721" i="1"/>
  <c r="AW721" i="1"/>
  <c r="AV721" i="1"/>
  <c r="AU721" i="1"/>
  <c r="AT721" i="1"/>
  <c r="AS721" i="1"/>
  <c r="AR721" i="1"/>
  <c r="AQ721" i="1"/>
  <c r="AP721" i="1"/>
  <c r="AH721" i="1"/>
  <c r="AG721" i="1"/>
  <c r="W721" i="1"/>
  <c r="V721" i="1"/>
  <c r="U721" i="1"/>
  <c r="T721" i="1"/>
  <c r="S721" i="1"/>
  <c r="R721" i="1"/>
  <c r="Q721" i="1"/>
  <c r="P721" i="1"/>
  <c r="O721" i="1"/>
  <c r="N721" i="1"/>
  <c r="M721" i="1"/>
  <c r="L721" i="1"/>
  <c r="K721" i="1"/>
  <c r="J721" i="1"/>
  <c r="I721" i="1"/>
  <c r="H721" i="1"/>
  <c r="AZ720" i="1"/>
  <c r="AY720" i="1"/>
  <c r="AX720" i="1"/>
  <c r="AW720" i="1"/>
  <c r="AV720" i="1"/>
  <c r="AU720" i="1"/>
  <c r="AT720" i="1"/>
  <c r="AS720" i="1"/>
  <c r="AR720" i="1"/>
  <c r="AQ720" i="1"/>
  <c r="AP720" i="1"/>
  <c r="AH720" i="1"/>
  <c r="AG720" i="1"/>
  <c r="W720" i="1"/>
  <c r="V720" i="1"/>
  <c r="U720" i="1"/>
  <c r="T720" i="1"/>
  <c r="S720" i="1"/>
  <c r="R720" i="1"/>
  <c r="Q720" i="1"/>
  <c r="P720" i="1"/>
  <c r="O720" i="1"/>
  <c r="N720" i="1"/>
  <c r="M720" i="1"/>
  <c r="L720" i="1"/>
  <c r="K720" i="1"/>
  <c r="J720" i="1"/>
  <c r="I720" i="1"/>
  <c r="H720" i="1"/>
  <c r="AZ719" i="1"/>
  <c r="AY719" i="1"/>
  <c r="AX719" i="1"/>
  <c r="AW719" i="1"/>
  <c r="AV719" i="1"/>
  <c r="AU719" i="1"/>
  <c r="AT719" i="1"/>
  <c r="AS719" i="1"/>
  <c r="AR719" i="1"/>
  <c r="AQ719" i="1"/>
  <c r="AP719" i="1"/>
  <c r="AH719" i="1"/>
  <c r="AG719" i="1"/>
  <c r="W719" i="1"/>
  <c r="V719" i="1"/>
  <c r="U719" i="1"/>
  <c r="T719" i="1"/>
  <c r="S719" i="1"/>
  <c r="R719" i="1"/>
  <c r="Q719" i="1"/>
  <c r="P719" i="1"/>
  <c r="O719" i="1"/>
  <c r="N719" i="1"/>
  <c r="M719" i="1"/>
  <c r="L719" i="1"/>
  <c r="K719" i="1"/>
  <c r="J719" i="1"/>
  <c r="I719" i="1"/>
  <c r="H719" i="1"/>
  <c r="AZ718" i="1"/>
  <c r="AY718" i="1"/>
  <c r="AX718" i="1"/>
  <c r="AW718" i="1"/>
  <c r="AV718" i="1"/>
  <c r="AU718" i="1"/>
  <c r="AT718" i="1"/>
  <c r="AS718" i="1"/>
  <c r="AR718" i="1"/>
  <c r="AQ718" i="1"/>
  <c r="AP718" i="1"/>
  <c r="AI718" i="1"/>
  <c r="AH718" i="1"/>
  <c r="AG718" i="1"/>
  <c r="W718" i="1"/>
  <c r="V718" i="1"/>
  <c r="U718" i="1"/>
  <c r="T718" i="1"/>
  <c r="S718" i="1"/>
  <c r="R718" i="1"/>
  <c r="Q718" i="1"/>
  <c r="P718" i="1"/>
  <c r="O718" i="1"/>
  <c r="N718" i="1"/>
  <c r="M718" i="1"/>
  <c r="L718" i="1"/>
  <c r="K718" i="1"/>
  <c r="J718" i="1"/>
  <c r="I718" i="1"/>
  <c r="H718" i="1"/>
  <c r="AZ717" i="1"/>
  <c r="AY717" i="1"/>
  <c r="AX717" i="1"/>
  <c r="AW717" i="1"/>
  <c r="AV717" i="1"/>
  <c r="AU717" i="1"/>
  <c r="AT717" i="1"/>
  <c r="AS717" i="1"/>
  <c r="AR717" i="1"/>
  <c r="AQ717" i="1"/>
  <c r="AP717" i="1"/>
  <c r="AI717" i="1"/>
  <c r="AH717" i="1"/>
  <c r="AG717" i="1"/>
  <c r="W717" i="1"/>
  <c r="V717" i="1"/>
  <c r="U717" i="1"/>
  <c r="T717" i="1"/>
  <c r="S717" i="1"/>
  <c r="R717" i="1"/>
  <c r="Q717" i="1"/>
  <c r="P717" i="1"/>
  <c r="O717" i="1"/>
  <c r="N717" i="1"/>
  <c r="M717" i="1"/>
  <c r="L717" i="1"/>
  <c r="K717" i="1"/>
  <c r="J717" i="1"/>
  <c r="I717" i="1"/>
  <c r="H717" i="1"/>
  <c r="AZ716" i="1"/>
  <c r="AY716" i="1"/>
  <c r="AX716" i="1"/>
  <c r="AW716" i="1"/>
  <c r="AV716" i="1"/>
  <c r="AU716" i="1"/>
  <c r="AT716" i="1"/>
  <c r="AS716" i="1"/>
  <c r="AR716" i="1"/>
  <c r="AQ716" i="1"/>
  <c r="AP716" i="1"/>
  <c r="AI716" i="1"/>
  <c r="AH716" i="1"/>
  <c r="AG716" i="1"/>
  <c r="W716" i="1"/>
  <c r="V716" i="1"/>
  <c r="U716" i="1"/>
  <c r="T716" i="1"/>
  <c r="S716" i="1"/>
  <c r="R716" i="1"/>
  <c r="Q716" i="1"/>
  <c r="P716" i="1"/>
  <c r="O716" i="1"/>
  <c r="N716" i="1"/>
  <c r="M716" i="1"/>
  <c r="L716" i="1"/>
  <c r="K716" i="1"/>
  <c r="J716" i="1"/>
  <c r="I716" i="1"/>
  <c r="H716" i="1"/>
  <c r="AZ715" i="1"/>
  <c r="AY715" i="1"/>
  <c r="AX715" i="1"/>
  <c r="AW715" i="1"/>
  <c r="AV715" i="1"/>
  <c r="AU715" i="1"/>
  <c r="AT715" i="1"/>
  <c r="AS715" i="1"/>
  <c r="AR715" i="1"/>
  <c r="AQ715" i="1"/>
  <c r="AP715" i="1"/>
  <c r="AI715" i="1"/>
  <c r="AH715" i="1"/>
  <c r="AG715" i="1"/>
  <c r="W715" i="1"/>
  <c r="V715" i="1"/>
  <c r="U715" i="1"/>
  <c r="T715" i="1"/>
  <c r="S715" i="1"/>
  <c r="R715" i="1"/>
  <c r="Q715" i="1"/>
  <c r="P715" i="1"/>
  <c r="O715" i="1"/>
  <c r="N715" i="1"/>
  <c r="M715" i="1"/>
  <c r="L715" i="1"/>
  <c r="K715" i="1"/>
  <c r="J715" i="1"/>
  <c r="I715" i="1"/>
  <c r="H715" i="1"/>
  <c r="AZ714" i="1"/>
  <c r="AY714" i="1"/>
  <c r="AX714" i="1"/>
  <c r="AW714" i="1"/>
  <c r="AV714" i="1"/>
  <c r="AU714" i="1"/>
  <c r="AT714" i="1"/>
  <c r="AS714" i="1"/>
  <c r="AR714" i="1"/>
  <c r="AQ714" i="1"/>
  <c r="AP714" i="1"/>
  <c r="AH714" i="1"/>
  <c r="AG714" i="1"/>
  <c r="W714" i="1"/>
  <c r="V714" i="1"/>
  <c r="U714" i="1"/>
  <c r="T714" i="1"/>
  <c r="S714" i="1"/>
  <c r="R714" i="1"/>
  <c r="Q714" i="1"/>
  <c r="P714" i="1"/>
  <c r="O714" i="1"/>
  <c r="N714" i="1"/>
  <c r="M714" i="1"/>
  <c r="L714" i="1"/>
  <c r="K714" i="1"/>
  <c r="J714" i="1"/>
  <c r="I714" i="1"/>
  <c r="H714" i="1"/>
  <c r="AZ713" i="1"/>
  <c r="AY713" i="1"/>
  <c r="AX713" i="1"/>
  <c r="AW713" i="1"/>
  <c r="AV713" i="1"/>
  <c r="AU713" i="1"/>
  <c r="AT713" i="1"/>
  <c r="AS713" i="1"/>
  <c r="AR713" i="1"/>
  <c r="AQ713" i="1"/>
  <c r="AP713" i="1"/>
  <c r="AH713" i="1"/>
  <c r="AG713" i="1"/>
  <c r="W713" i="1"/>
  <c r="V713" i="1"/>
  <c r="U713" i="1"/>
  <c r="T713" i="1"/>
  <c r="S713" i="1"/>
  <c r="R713" i="1"/>
  <c r="Q713" i="1"/>
  <c r="P713" i="1"/>
  <c r="O713" i="1"/>
  <c r="N713" i="1"/>
  <c r="M713" i="1"/>
  <c r="L713" i="1"/>
  <c r="K713" i="1"/>
  <c r="J713" i="1"/>
  <c r="I713" i="1"/>
  <c r="H713" i="1"/>
  <c r="AZ712" i="1"/>
  <c r="AY712" i="1"/>
  <c r="AX712" i="1"/>
  <c r="AW712" i="1"/>
  <c r="AV712" i="1"/>
  <c r="AU712" i="1"/>
  <c r="AT712" i="1"/>
  <c r="AS712" i="1"/>
  <c r="AR712" i="1"/>
  <c r="AQ712" i="1"/>
  <c r="AP712" i="1"/>
  <c r="AH712" i="1"/>
  <c r="AG712" i="1"/>
  <c r="W712" i="1"/>
  <c r="V712" i="1"/>
  <c r="U712" i="1"/>
  <c r="T712" i="1"/>
  <c r="S712" i="1"/>
  <c r="R712" i="1"/>
  <c r="Q712" i="1"/>
  <c r="P712" i="1"/>
  <c r="O712" i="1"/>
  <c r="N712" i="1"/>
  <c r="M712" i="1"/>
  <c r="L712" i="1"/>
  <c r="K712" i="1"/>
  <c r="J712" i="1"/>
  <c r="I712" i="1"/>
  <c r="H712" i="1"/>
  <c r="AZ711" i="1"/>
  <c r="AY711" i="1"/>
  <c r="AX711" i="1"/>
  <c r="AW711" i="1"/>
  <c r="AV711" i="1"/>
  <c r="AU711" i="1"/>
  <c r="AT711" i="1"/>
  <c r="AS711" i="1"/>
  <c r="AR711" i="1"/>
  <c r="AQ711" i="1"/>
  <c r="AP711" i="1"/>
  <c r="AH711" i="1"/>
  <c r="AG711" i="1"/>
  <c r="W711" i="1"/>
  <c r="V711" i="1"/>
  <c r="U711" i="1"/>
  <c r="T711" i="1"/>
  <c r="S711" i="1"/>
  <c r="R711" i="1"/>
  <c r="Q711" i="1"/>
  <c r="P711" i="1"/>
  <c r="O711" i="1"/>
  <c r="N711" i="1"/>
  <c r="M711" i="1"/>
  <c r="L711" i="1"/>
  <c r="K711" i="1"/>
  <c r="J711" i="1"/>
  <c r="I711" i="1"/>
  <c r="H711" i="1"/>
  <c r="AZ710" i="1"/>
  <c r="AY710" i="1"/>
  <c r="AX710" i="1"/>
  <c r="AW710" i="1"/>
  <c r="AV710" i="1"/>
  <c r="AU710" i="1"/>
  <c r="AT710" i="1"/>
  <c r="AS710" i="1"/>
  <c r="AR710" i="1"/>
  <c r="AQ710" i="1"/>
  <c r="AP710" i="1"/>
  <c r="AI710" i="1"/>
  <c r="AH710" i="1"/>
  <c r="AG710" i="1"/>
  <c r="W710" i="1"/>
  <c r="V710" i="1"/>
  <c r="U710" i="1"/>
  <c r="T710" i="1"/>
  <c r="S710" i="1"/>
  <c r="R710" i="1"/>
  <c r="Q710" i="1"/>
  <c r="P710" i="1"/>
  <c r="O710" i="1"/>
  <c r="N710" i="1"/>
  <c r="M710" i="1"/>
  <c r="L710" i="1"/>
  <c r="K710" i="1"/>
  <c r="J710" i="1"/>
  <c r="I710" i="1"/>
  <c r="H710" i="1"/>
  <c r="AZ709" i="1"/>
  <c r="AY709" i="1"/>
  <c r="AX709" i="1"/>
  <c r="AW709" i="1"/>
  <c r="AV709" i="1"/>
  <c r="AU709" i="1"/>
  <c r="AT709" i="1"/>
  <c r="AS709" i="1"/>
  <c r="AR709" i="1"/>
  <c r="AQ709" i="1"/>
  <c r="AP709" i="1"/>
  <c r="AI709" i="1"/>
  <c r="AH709" i="1"/>
  <c r="AG709" i="1"/>
  <c r="W709" i="1"/>
  <c r="V709" i="1"/>
  <c r="U709" i="1"/>
  <c r="T709" i="1"/>
  <c r="S709" i="1"/>
  <c r="R709" i="1"/>
  <c r="Q709" i="1"/>
  <c r="P709" i="1"/>
  <c r="O709" i="1"/>
  <c r="N709" i="1"/>
  <c r="M709" i="1"/>
  <c r="L709" i="1"/>
  <c r="K709" i="1"/>
  <c r="J709" i="1"/>
  <c r="I709" i="1"/>
  <c r="H709" i="1"/>
  <c r="AZ708" i="1"/>
  <c r="AY708" i="1"/>
  <c r="AX708" i="1"/>
  <c r="AW708" i="1"/>
  <c r="AV708" i="1"/>
  <c r="AU708" i="1"/>
  <c r="AT708" i="1"/>
  <c r="AS708" i="1"/>
  <c r="AR708" i="1"/>
  <c r="AQ708" i="1"/>
  <c r="AP708" i="1"/>
  <c r="AH708" i="1"/>
  <c r="AG708" i="1"/>
  <c r="W708" i="1"/>
  <c r="V708" i="1"/>
  <c r="U708" i="1"/>
  <c r="T708" i="1"/>
  <c r="S708" i="1"/>
  <c r="R708" i="1"/>
  <c r="Q708" i="1"/>
  <c r="P708" i="1"/>
  <c r="O708" i="1"/>
  <c r="N708" i="1"/>
  <c r="M708" i="1"/>
  <c r="L708" i="1"/>
  <c r="K708" i="1"/>
  <c r="J708" i="1"/>
  <c r="I708" i="1"/>
  <c r="H708" i="1"/>
  <c r="AZ707" i="1"/>
  <c r="AY707" i="1"/>
  <c r="AX707" i="1"/>
  <c r="AW707" i="1"/>
  <c r="AV707" i="1"/>
  <c r="AU707" i="1"/>
  <c r="AT707" i="1"/>
  <c r="AS707" i="1"/>
  <c r="AR707" i="1"/>
  <c r="AQ707" i="1"/>
  <c r="AP707" i="1"/>
  <c r="AI707" i="1"/>
  <c r="AH707" i="1"/>
  <c r="AG707" i="1"/>
  <c r="W707" i="1"/>
  <c r="V707" i="1"/>
  <c r="U707" i="1"/>
  <c r="T707" i="1"/>
  <c r="S707" i="1"/>
  <c r="R707" i="1"/>
  <c r="Q707" i="1"/>
  <c r="P707" i="1"/>
  <c r="O707" i="1"/>
  <c r="N707" i="1"/>
  <c r="M707" i="1"/>
  <c r="L707" i="1"/>
  <c r="K707" i="1"/>
  <c r="J707" i="1"/>
  <c r="I707" i="1"/>
  <c r="H707" i="1"/>
  <c r="AZ706" i="1"/>
  <c r="AY706" i="1"/>
  <c r="AX706" i="1"/>
  <c r="AW706" i="1"/>
  <c r="AV706" i="1"/>
  <c r="AU706" i="1"/>
  <c r="AT706" i="1"/>
  <c r="AS706" i="1"/>
  <c r="AR706" i="1"/>
  <c r="AQ706" i="1"/>
  <c r="AP706" i="1"/>
  <c r="AI706" i="1"/>
  <c r="AH706" i="1"/>
  <c r="AG706" i="1"/>
  <c r="W706" i="1"/>
  <c r="V706" i="1"/>
  <c r="U706" i="1"/>
  <c r="T706" i="1"/>
  <c r="S706" i="1"/>
  <c r="R706" i="1"/>
  <c r="Q706" i="1"/>
  <c r="P706" i="1"/>
  <c r="O706" i="1"/>
  <c r="N706" i="1"/>
  <c r="M706" i="1"/>
  <c r="L706" i="1"/>
  <c r="K706" i="1"/>
  <c r="J706" i="1"/>
  <c r="I706" i="1"/>
  <c r="H706" i="1"/>
  <c r="AZ705" i="1"/>
  <c r="AY705" i="1"/>
  <c r="AX705" i="1"/>
  <c r="AW705" i="1"/>
  <c r="AV705" i="1"/>
  <c r="AU705" i="1"/>
  <c r="AT705" i="1"/>
  <c r="AS705" i="1"/>
  <c r="AR705" i="1"/>
  <c r="AQ705" i="1"/>
  <c r="AP705" i="1"/>
  <c r="AI705" i="1"/>
  <c r="AH705" i="1"/>
  <c r="AG705" i="1"/>
  <c r="W705" i="1"/>
  <c r="V705" i="1"/>
  <c r="U705" i="1"/>
  <c r="T705" i="1"/>
  <c r="S705" i="1"/>
  <c r="R705" i="1"/>
  <c r="Q705" i="1"/>
  <c r="P705" i="1"/>
  <c r="O705" i="1"/>
  <c r="N705" i="1"/>
  <c r="M705" i="1"/>
  <c r="L705" i="1"/>
  <c r="K705" i="1"/>
  <c r="J705" i="1"/>
  <c r="I705" i="1"/>
  <c r="H705" i="1"/>
  <c r="AZ704" i="1"/>
  <c r="AY704" i="1"/>
  <c r="AX704" i="1"/>
  <c r="AW704" i="1"/>
  <c r="AV704" i="1"/>
  <c r="AU704" i="1"/>
  <c r="AT704" i="1"/>
  <c r="AS704" i="1"/>
  <c r="AR704" i="1"/>
  <c r="AQ704" i="1"/>
  <c r="AP704" i="1"/>
  <c r="AI704" i="1"/>
  <c r="AH704" i="1"/>
  <c r="AG704" i="1"/>
  <c r="W704" i="1"/>
  <c r="V704" i="1"/>
  <c r="U704" i="1"/>
  <c r="T704" i="1"/>
  <c r="S704" i="1"/>
  <c r="R704" i="1"/>
  <c r="Q704" i="1"/>
  <c r="P704" i="1"/>
  <c r="O704" i="1"/>
  <c r="N704" i="1"/>
  <c r="M704" i="1"/>
  <c r="L704" i="1"/>
  <c r="K704" i="1"/>
  <c r="J704" i="1"/>
  <c r="I704" i="1"/>
  <c r="H704" i="1"/>
  <c r="AZ703" i="1"/>
  <c r="AY703" i="1"/>
  <c r="AX703" i="1"/>
  <c r="AW703" i="1"/>
  <c r="AV703" i="1"/>
  <c r="AU703" i="1"/>
  <c r="AT703" i="1"/>
  <c r="AS703" i="1"/>
  <c r="AR703" i="1"/>
  <c r="AQ703" i="1"/>
  <c r="AP703" i="1"/>
  <c r="AI703" i="1"/>
  <c r="AH703" i="1"/>
  <c r="AG703" i="1"/>
  <c r="W703" i="1"/>
  <c r="V703" i="1"/>
  <c r="U703" i="1"/>
  <c r="T703" i="1"/>
  <c r="S703" i="1"/>
  <c r="R703" i="1"/>
  <c r="Q703" i="1"/>
  <c r="P703" i="1"/>
  <c r="O703" i="1"/>
  <c r="N703" i="1"/>
  <c r="M703" i="1"/>
  <c r="L703" i="1"/>
  <c r="K703" i="1"/>
  <c r="J703" i="1"/>
  <c r="I703" i="1"/>
  <c r="H703" i="1"/>
  <c r="AZ702" i="1"/>
  <c r="AY702" i="1"/>
  <c r="AX702" i="1"/>
  <c r="AW702" i="1"/>
  <c r="AV702" i="1"/>
  <c r="AU702" i="1"/>
  <c r="AT702" i="1"/>
  <c r="AS702" i="1"/>
  <c r="AR702" i="1"/>
  <c r="AQ702" i="1"/>
  <c r="AP702" i="1"/>
  <c r="AI702" i="1"/>
  <c r="AH702" i="1"/>
  <c r="AG702" i="1"/>
  <c r="W702" i="1"/>
  <c r="V702" i="1"/>
  <c r="U702" i="1"/>
  <c r="T702" i="1"/>
  <c r="S702" i="1"/>
  <c r="R702" i="1"/>
  <c r="Q702" i="1"/>
  <c r="P702" i="1"/>
  <c r="O702" i="1"/>
  <c r="N702" i="1"/>
  <c r="M702" i="1"/>
  <c r="L702" i="1"/>
  <c r="K702" i="1"/>
  <c r="J702" i="1"/>
  <c r="I702" i="1"/>
  <c r="H702" i="1"/>
  <c r="AZ701" i="1"/>
  <c r="AY701" i="1"/>
  <c r="AX701" i="1"/>
  <c r="AW701" i="1"/>
  <c r="AV701" i="1"/>
  <c r="AU701" i="1"/>
  <c r="AT701" i="1"/>
  <c r="AS701" i="1"/>
  <c r="AR701" i="1"/>
  <c r="AQ701" i="1"/>
  <c r="AP701" i="1"/>
  <c r="AI701" i="1"/>
  <c r="AH701" i="1"/>
  <c r="AG701" i="1"/>
  <c r="W701" i="1"/>
  <c r="V701" i="1"/>
  <c r="U701" i="1"/>
  <c r="T701" i="1"/>
  <c r="S701" i="1"/>
  <c r="R701" i="1"/>
  <c r="Q701" i="1"/>
  <c r="P701" i="1"/>
  <c r="O701" i="1"/>
  <c r="N701" i="1"/>
  <c r="M701" i="1"/>
  <c r="L701" i="1"/>
  <c r="K701" i="1"/>
  <c r="J701" i="1"/>
  <c r="I701" i="1"/>
  <c r="H701" i="1"/>
  <c r="AZ700" i="1"/>
  <c r="AY700" i="1"/>
  <c r="AX700" i="1"/>
  <c r="AW700" i="1"/>
  <c r="AV700" i="1"/>
  <c r="AU700" i="1"/>
  <c r="AT700" i="1"/>
  <c r="AS700" i="1"/>
  <c r="AR700" i="1"/>
  <c r="AQ700" i="1"/>
  <c r="AP700" i="1"/>
  <c r="AI700" i="1"/>
  <c r="AH700" i="1"/>
  <c r="AG700" i="1"/>
  <c r="W700" i="1"/>
  <c r="V700" i="1"/>
  <c r="U700" i="1"/>
  <c r="T700" i="1"/>
  <c r="S700" i="1"/>
  <c r="R700" i="1"/>
  <c r="Q700" i="1"/>
  <c r="P700" i="1"/>
  <c r="O700" i="1"/>
  <c r="N700" i="1"/>
  <c r="M700" i="1"/>
  <c r="L700" i="1"/>
  <c r="K700" i="1"/>
  <c r="J700" i="1"/>
  <c r="I700" i="1"/>
  <c r="H700" i="1"/>
  <c r="AZ699" i="1"/>
  <c r="AY699" i="1"/>
  <c r="AX699" i="1"/>
  <c r="AW699" i="1"/>
  <c r="AV699" i="1"/>
  <c r="AU699" i="1"/>
  <c r="AT699" i="1"/>
  <c r="AS699" i="1"/>
  <c r="AR699" i="1"/>
  <c r="AQ699" i="1"/>
  <c r="AP699" i="1"/>
  <c r="AI699" i="1"/>
  <c r="AH699" i="1"/>
  <c r="AG699" i="1"/>
  <c r="W699" i="1"/>
  <c r="V699" i="1"/>
  <c r="U699" i="1"/>
  <c r="T699" i="1"/>
  <c r="S699" i="1"/>
  <c r="R699" i="1"/>
  <c r="Q699" i="1"/>
  <c r="P699" i="1"/>
  <c r="O699" i="1"/>
  <c r="N699" i="1"/>
  <c r="M699" i="1"/>
  <c r="L699" i="1"/>
  <c r="K699" i="1"/>
  <c r="J699" i="1"/>
  <c r="I699" i="1"/>
  <c r="H699" i="1"/>
  <c r="AZ698" i="1"/>
  <c r="AY698" i="1"/>
  <c r="AX698" i="1"/>
  <c r="AW698" i="1"/>
  <c r="AV698" i="1"/>
  <c r="AU698" i="1"/>
  <c r="AT698" i="1"/>
  <c r="AS698" i="1"/>
  <c r="AR698" i="1"/>
  <c r="AQ698" i="1"/>
  <c r="AP698" i="1"/>
  <c r="AH698" i="1"/>
  <c r="AG698" i="1"/>
  <c r="W698" i="1"/>
  <c r="V698" i="1"/>
  <c r="U698" i="1"/>
  <c r="T698" i="1"/>
  <c r="S698" i="1"/>
  <c r="R698" i="1"/>
  <c r="Q698" i="1"/>
  <c r="P698" i="1"/>
  <c r="O698" i="1"/>
  <c r="N698" i="1"/>
  <c r="M698" i="1"/>
  <c r="L698" i="1"/>
  <c r="K698" i="1"/>
  <c r="J698" i="1"/>
  <c r="I698" i="1"/>
  <c r="H698" i="1"/>
  <c r="AZ697" i="1"/>
  <c r="AY697" i="1"/>
  <c r="AX697" i="1"/>
  <c r="AW697" i="1"/>
  <c r="AV697" i="1"/>
  <c r="AU697" i="1"/>
  <c r="AT697" i="1"/>
  <c r="AS697" i="1"/>
  <c r="AR697" i="1"/>
  <c r="AQ697" i="1"/>
  <c r="AP697" i="1"/>
  <c r="AH697" i="1"/>
  <c r="AG697" i="1"/>
  <c r="W697" i="1"/>
  <c r="V697" i="1"/>
  <c r="U697" i="1"/>
  <c r="T697" i="1"/>
  <c r="S697" i="1"/>
  <c r="R697" i="1"/>
  <c r="Q697" i="1"/>
  <c r="P697" i="1"/>
  <c r="O697" i="1"/>
  <c r="N697" i="1"/>
  <c r="M697" i="1"/>
  <c r="L697" i="1"/>
  <c r="K697" i="1"/>
  <c r="J697" i="1"/>
  <c r="I697" i="1"/>
  <c r="H697" i="1"/>
  <c r="AZ696" i="1"/>
  <c r="AY696" i="1"/>
  <c r="AX696" i="1"/>
  <c r="AW696" i="1"/>
  <c r="AV696" i="1"/>
  <c r="AU696" i="1"/>
  <c r="AT696" i="1"/>
  <c r="AS696" i="1"/>
  <c r="AR696" i="1"/>
  <c r="AQ696" i="1"/>
  <c r="AP696" i="1"/>
  <c r="AH696" i="1"/>
  <c r="AG696" i="1"/>
  <c r="W696" i="1"/>
  <c r="V696" i="1"/>
  <c r="U696" i="1"/>
  <c r="T696" i="1"/>
  <c r="S696" i="1"/>
  <c r="R696" i="1"/>
  <c r="Q696" i="1"/>
  <c r="P696" i="1"/>
  <c r="O696" i="1"/>
  <c r="N696" i="1"/>
  <c r="M696" i="1"/>
  <c r="L696" i="1"/>
  <c r="K696" i="1"/>
  <c r="J696" i="1"/>
  <c r="I696" i="1"/>
  <c r="H696" i="1"/>
  <c r="AZ695" i="1"/>
  <c r="AY695" i="1"/>
  <c r="AX695" i="1"/>
  <c r="AW695" i="1"/>
  <c r="AV695" i="1"/>
  <c r="AU695" i="1"/>
  <c r="AT695" i="1"/>
  <c r="AS695" i="1"/>
  <c r="AR695" i="1"/>
  <c r="AQ695" i="1"/>
  <c r="AP695" i="1"/>
  <c r="AH695" i="1"/>
  <c r="AG695" i="1"/>
  <c r="W695" i="1"/>
  <c r="V695" i="1"/>
  <c r="U695" i="1"/>
  <c r="T695" i="1"/>
  <c r="S695" i="1"/>
  <c r="R695" i="1"/>
  <c r="Q695" i="1"/>
  <c r="P695" i="1"/>
  <c r="O695" i="1"/>
  <c r="N695" i="1"/>
  <c r="M695" i="1"/>
  <c r="L695" i="1"/>
  <c r="K695" i="1"/>
  <c r="J695" i="1"/>
  <c r="I695" i="1"/>
  <c r="H695" i="1"/>
  <c r="AZ694" i="1"/>
  <c r="AY694" i="1"/>
  <c r="AX694" i="1"/>
  <c r="AW694" i="1"/>
  <c r="AV694" i="1"/>
  <c r="AU694" i="1"/>
  <c r="AT694" i="1"/>
  <c r="AS694" i="1"/>
  <c r="AR694" i="1"/>
  <c r="AQ694" i="1"/>
  <c r="AP694" i="1"/>
  <c r="AH694" i="1"/>
  <c r="AG694" i="1"/>
  <c r="W694" i="1"/>
  <c r="V694" i="1"/>
  <c r="U694" i="1"/>
  <c r="T694" i="1"/>
  <c r="S694" i="1"/>
  <c r="R694" i="1"/>
  <c r="Q694" i="1"/>
  <c r="P694" i="1"/>
  <c r="O694" i="1"/>
  <c r="N694" i="1"/>
  <c r="M694" i="1"/>
  <c r="L694" i="1"/>
  <c r="K694" i="1"/>
  <c r="J694" i="1"/>
  <c r="I694" i="1"/>
  <c r="H694" i="1"/>
  <c r="AZ693" i="1"/>
  <c r="AY693" i="1"/>
  <c r="AX693" i="1"/>
  <c r="AW693" i="1"/>
  <c r="AV693" i="1"/>
  <c r="AU693" i="1"/>
  <c r="AT693" i="1"/>
  <c r="AS693" i="1"/>
  <c r="AR693" i="1"/>
  <c r="AQ693" i="1"/>
  <c r="AP693" i="1"/>
  <c r="AH693" i="1"/>
  <c r="AG693" i="1"/>
  <c r="W693" i="1"/>
  <c r="V693" i="1"/>
  <c r="U693" i="1"/>
  <c r="T693" i="1"/>
  <c r="S693" i="1"/>
  <c r="R693" i="1"/>
  <c r="Q693" i="1"/>
  <c r="P693" i="1"/>
  <c r="O693" i="1"/>
  <c r="N693" i="1"/>
  <c r="M693" i="1"/>
  <c r="L693" i="1"/>
  <c r="K693" i="1"/>
  <c r="J693" i="1"/>
  <c r="I693" i="1"/>
  <c r="H693" i="1"/>
  <c r="AZ692" i="1"/>
  <c r="AY692" i="1"/>
  <c r="AX692" i="1"/>
  <c r="AW692" i="1"/>
  <c r="AV692" i="1"/>
  <c r="AU692" i="1"/>
  <c r="AT692" i="1"/>
  <c r="AS692" i="1"/>
  <c r="AR692" i="1"/>
  <c r="AQ692" i="1"/>
  <c r="AP692" i="1"/>
  <c r="AH692" i="1"/>
  <c r="AG692" i="1"/>
  <c r="W692" i="1"/>
  <c r="V692" i="1"/>
  <c r="U692" i="1"/>
  <c r="T692" i="1"/>
  <c r="S692" i="1"/>
  <c r="R692" i="1"/>
  <c r="Q692" i="1"/>
  <c r="P692" i="1"/>
  <c r="O692" i="1"/>
  <c r="N692" i="1"/>
  <c r="M692" i="1"/>
  <c r="L692" i="1"/>
  <c r="K692" i="1"/>
  <c r="J692" i="1"/>
  <c r="I692" i="1"/>
  <c r="H692" i="1"/>
  <c r="AZ691" i="1"/>
  <c r="AY691" i="1"/>
  <c r="AX691" i="1"/>
  <c r="AW691" i="1"/>
  <c r="AV691" i="1"/>
  <c r="AU691" i="1"/>
  <c r="AT691" i="1"/>
  <c r="AS691" i="1"/>
  <c r="AR691" i="1"/>
  <c r="AQ691" i="1"/>
  <c r="AP691" i="1"/>
  <c r="W691" i="1"/>
  <c r="V691" i="1"/>
  <c r="U691" i="1"/>
  <c r="T691" i="1"/>
  <c r="S691" i="1"/>
  <c r="R691" i="1"/>
  <c r="Q691" i="1"/>
  <c r="P691" i="1"/>
  <c r="O691" i="1"/>
  <c r="N691" i="1"/>
  <c r="M691" i="1"/>
  <c r="L691" i="1"/>
  <c r="K691" i="1"/>
  <c r="J691" i="1"/>
  <c r="I691" i="1"/>
  <c r="H691" i="1"/>
  <c r="AZ690" i="1"/>
  <c r="AY690" i="1"/>
  <c r="AX690" i="1"/>
  <c r="AW690" i="1"/>
  <c r="AV690" i="1"/>
  <c r="AU690" i="1"/>
  <c r="AT690" i="1"/>
  <c r="AS690" i="1"/>
  <c r="AR690" i="1"/>
  <c r="AQ690" i="1"/>
  <c r="AP690" i="1"/>
  <c r="AI690" i="1"/>
  <c r="AH690" i="1"/>
  <c r="AG690" i="1"/>
  <c r="W690" i="1"/>
  <c r="V690" i="1"/>
  <c r="U690" i="1"/>
  <c r="T690" i="1"/>
  <c r="S690" i="1"/>
  <c r="R690" i="1"/>
  <c r="Q690" i="1"/>
  <c r="P690" i="1"/>
  <c r="O690" i="1"/>
  <c r="N690" i="1"/>
  <c r="M690" i="1"/>
  <c r="L690" i="1"/>
  <c r="K690" i="1"/>
  <c r="J690" i="1"/>
  <c r="I690" i="1"/>
  <c r="H690" i="1"/>
  <c r="AZ689" i="1"/>
  <c r="AY689" i="1"/>
  <c r="AX689" i="1"/>
  <c r="AW689" i="1"/>
  <c r="AV689" i="1"/>
  <c r="AU689" i="1"/>
  <c r="AT689" i="1"/>
  <c r="AS689" i="1"/>
  <c r="AR689" i="1"/>
  <c r="AQ689" i="1"/>
  <c r="AP689" i="1"/>
  <c r="W689" i="1"/>
  <c r="V689" i="1"/>
  <c r="U689" i="1"/>
  <c r="T689" i="1"/>
  <c r="S689" i="1"/>
  <c r="R689" i="1"/>
  <c r="Q689" i="1"/>
  <c r="P689" i="1"/>
  <c r="O689" i="1"/>
  <c r="N689" i="1"/>
  <c r="M689" i="1"/>
  <c r="L689" i="1"/>
  <c r="K689" i="1"/>
  <c r="J689" i="1"/>
  <c r="I689" i="1"/>
  <c r="H689" i="1"/>
  <c r="AZ688" i="1"/>
  <c r="AY688" i="1"/>
  <c r="AX688" i="1"/>
  <c r="AW688" i="1"/>
  <c r="AV688" i="1"/>
  <c r="AU688" i="1"/>
  <c r="AT688" i="1"/>
  <c r="AS688" i="1"/>
  <c r="AR688" i="1"/>
  <c r="AQ688" i="1"/>
  <c r="AP688" i="1"/>
  <c r="W688" i="1"/>
  <c r="V688" i="1"/>
  <c r="U688" i="1"/>
  <c r="T688" i="1"/>
  <c r="S688" i="1"/>
  <c r="R688" i="1"/>
  <c r="Q688" i="1"/>
  <c r="P688" i="1"/>
  <c r="O688" i="1"/>
  <c r="N688" i="1"/>
  <c r="M688" i="1"/>
  <c r="L688" i="1"/>
  <c r="K688" i="1"/>
  <c r="J688" i="1"/>
  <c r="I688" i="1"/>
  <c r="H688" i="1"/>
  <c r="AZ687" i="1"/>
  <c r="AY687" i="1"/>
  <c r="AX687" i="1"/>
  <c r="AW687" i="1"/>
  <c r="AV687" i="1"/>
  <c r="AU687" i="1"/>
  <c r="AT687" i="1"/>
  <c r="AS687" i="1"/>
  <c r="AR687" i="1"/>
  <c r="AQ687" i="1"/>
  <c r="AP687" i="1"/>
  <c r="W687" i="1"/>
  <c r="V687" i="1"/>
  <c r="U687" i="1"/>
  <c r="T687" i="1"/>
  <c r="S687" i="1"/>
  <c r="R687" i="1"/>
  <c r="Q687" i="1"/>
  <c r="P687" i="1"/>
  <c r="O687" i="1"/>
  <c r="N687" i="1"/>
  <c r="M687" i="1"/>
  <c r="L687" i="1"/>
  <c r="K687" i="1"/>
  <c r="J687" i="1"/>
  <c r="I687" i="1"/>
  <c r="H687" i="1"/>
  <c r="AZ686" i="1"/>
  <c r="AY686" i="1"/>
  <c r="AX686" i="1"/>
  <c r="AW686" i="1"/>
  <c r="AV686" i="1"/>
  <c r="AU686" i="1"/>
  <c r="AT686" i="1"/>
  <c r="AS686" i="1"/>
  <c r="AR686" i="1"/>
  <c r="AQ686" i="1"/>
  <c r="AP686" i="1"/>
  <c r="AI686" i="1"/>
  <c r="AH686" i="1"/>
  <c r="AG686" i="1"/>
  <c r="W686" i="1"/>
  <c r="V686" i="1"/>
  <c r="U686" i="1"/>
  <c r="T686" i="1"/>
  <c r="S686" i="1"/>
  <c r="R686" i="1"/>
  <c r="Q686" i="1"/>
  <c r="P686" i="1"/>
  <c r="O686" i="1"/>
  <c r="N686" i="1"/>
  <c r="M686" i="1"/>
  <c r="L686" i="1"/>
  <c r="K686" i="1"/>
  <c r="J686" i="1"/>
  <c r="I686" i="1"/>
  <c r="H686" i="1"/>
  <c r="AZ685" i="1"/>
  <c r="AY685" i="1"/>
  <c r="AX685" i="1"/>
  <c r="AW685" i="1"/>
  <c r="AV685" i="1"/>
  <c r="AU685" i="1"/>
  <c r="AT685" i="1"/>
  <c r="AS685" i="1"/>
  <c r="AR685" i="1"/>
  <c r="AQ685" i="1"/>
  <c r="AP685" i="1"/>
  <c r="AI685" i="1"/>
  <c r="AH685" i="1"/>
  <c r="AG685" i="1"/>
  <c r="W685" i="1"/>
  <c r="V685" i="1"/>
  <c r="U685" i="1"/>
  <c r="T685" i="1"/>
  <c r="S685" i="1"/>
  <c r="R685" i="1"/>
  <c r="Q685" i="1"/>
  <c r="P685" i="1"/>
  <c r="O685" i="1"/>
  <c r="N685" i="1"/>
  <c r="M685" i="1"/>
  <c r="L685" i="1"/>
  <c r="K685" i="1"/>
  <c r="J685" i="1"/>
  <c r="I685" i="1"/>
  <c r="H685" i="1"/>
  <c r="AZ684" i="1"/>
  <c r="AY684" i="1"/>
  <c r="AX684" i="1"/>
  <c r="AW684" i="1"/>
  <c r="AV684" i="1"/>
  <c r="AU684" i="1"/>
  <c r="AT684" i="1"/>
  <c r="AS684" i="1"/>
  <c r="AR684" i="1"/>
  <c r="AQ684" i="1"/>
  <c r="AP684" i="1"/>
  <c r="AI684" i="1"/>
  <c r="AH684" i="1"/>
  <c r="AG684" i="1"/>
  <c r="W684" i="1"/>
  <c r="V684" i="1"/>
  <c r="U684" i="1"/>
  <c r="T684" i="1"/>
  <c r="S684" i="1"/>
  <c r="R684" i="1"/>
  <c r="Q684" i="1"/>
  <c r="P684" i="1"/>
  <c r="O684" i="1"/>
  <c r="N684" i="1"/>
  <c r="M684" i="1"/>
  <c r="L684" i="1"/>
  <c r="K684" i="1"/>
  <c r="J684" i="1"/>
  <c r="I684" i="1"/>
  <c r="H684" i="1"/>
  <c r="AZ683" i="1"/>
  <c r="AY683" i="1"/>
  <c r="AX683" i="1"/>
  <c r="AW683" i="1"/>
  <c r="AV683" i="1"/>
  <c r="AU683" i="1"/>
  <c r="AT683" i="1"/>
  <c r="AS683" i="1"/>
  <c r="AR683" i="1"/>
  <c r="AQ683" i="1"/>
  <c r="AP683" i="1"/>
  <c r="AI683" i="1"/>
  <c r="AH683" i="1"/>
  <c r="AG683" i="1"/>
  <c r="W683" i="1"/>
  <c r="V683" i="1"/>
  <c r="U683" i="1"/>
  <c r="T683" i="1"/>
  <c r="S683" i="1"/>
  <c r="R683" i="1"/>
  <c r="Q683" i="1"/>
  <c r="P683" i="1"/>
  <c r="O683" i="1"/>
  <c r="N683" i="1"/>
  <c r="M683" i="1"/>
  <c r="L683" i="1"/>
  <c r="K683" i="1"/>
  <c r="J683" i="1"/>
  <c r="I683" i="1"/>
  <c r="H683" i="1"/>
  <c r="AZ682" i="1"/>
  <c r="AY682" i="1"/>
  <c r="AX682" i="1"/>
  <c r="AW682" i="1"/>
  <c r="AV682" i="1"/>
  <c r="AU682" i="1"/>
  <c r="AT682" i="1"/>
  <c r="AS682" i="1"/>
  <c r="AR682" i="1"/>
  <c r="AQ682" i="1"/>
  <c r="AP682" i="1"/>
  <c r="W682" i="1"/>
  <c r="V682" i="1"/>
  <c r="U682" i="1"/>
  <c r="T682" i="1"/>
  <c r="S682" i="1"/>
  <c r="R682" i="1"/>
  <c r="Q682" i="1"/>
  <c r="P682" i="1"/>
  <c r="O682" i="1"/>
  <c r="N682" i="1"/>
  <c r="M682" i="1"/>
  <c r="L682" i="1"/>
  <c r="K682" i="1"/>
  <c r="J682" i="1"/>
  <c r="I682" i="1"/>
  <c r="H682" i="1"/>
  <c r="BZ681" i="1"/>
  <c r="BV681" i="1"/>
  <c r="BT681" i="1"/>
  <c r="BN681" i="1"/>
  <c r="BL681" i="1"/>
  <c r="BH681" i="1"/>
  <c r="BF681" i="1"/>
  <c r="BD681" i="1"/>
  <c r="AZ681" i="1"/>
  <c r="AY681" i="1"/>
  <c r="AX681" i="1"/>
  <c r="AW681" i="1"/>
  <c r="AV681" i="1"/>
  <c r="AU681" i="1"/>
  <c r="AT681" i="1"/>
  <c r="AS681" i="1"/>
  <c r="AR681" i="1"/>
  <c r="AQ681" i="1"/>
  <c r="AP681" i="1"/>
  <c r="W681" i="1"/>
  <c r="V681" i="1"/>
  <c r="U681" i="1"/>
  <c r="T681" i="1"/>
  <c r="S681" i="1"/>
  <c r="R681" i="1"/>
  <c r="Q681" i="1"/>
  <c r="P681" i="1"/>
  <c r="O681" i="1"/>
  <c r="N681" i="1"/>
  <c r="M681" i="1"/>
  <c r="L681" i="1"/>
  <c r="K681" i="1"/>
  <c r="J681" i="1"/>
  <c r="I681" i="1"/>
  <c r="H681" i="1"/>
  <c r="AZ680" i="1"/>
  <c r="AY680" i="1"/>
  <c r="AX680" i="1"/>
  <c r="AW680" i="1"/>
  <c r="AV680" i="1"/>
  <c r="AU680" i="1"/>
  <c r="AT680" i="1"/>
  <c r="AS680" i="1"/>
  <c r="AR680" i="1"/>
  <c r="AQ680" i="1"/>
  <c r="AP680" i="1"/>
  <c r="AH680" i="1"/>
  <c r="AG680" i="1"/>
  <c r="W680" i="1"/>
  <c r="V680" i="1"/>
  <c r="U680" i="1"/>
  <c r="T680" i="1"/>
  <c r="S680" i="1"/>
  <c r="R680" i="1"/>
  <c r="Q680" i="1"/>
  <c r="P680" i="1"/>
  <c r="O680" i="1"/>
  <c r="N680" i="1"/>
  <c r="M680" i="1"/>
  <c r="L680" i="1"/>
  <c r="K680" i="1"/>
  <c r="J680" i="1"/>
  <c r="I680" i="1"/>
  <c r="H680" i="1"/>
  <c r="AZ679" i="1"/>
  <c r="AY679" i="1"/>
  <c r="AX679" i="1"/>
  <c r="AW679" i="1"/>
  <c r="AV679" i="1"/>
  <c r="AU679" i="1"/>
  <c r="AT679" i="1"/>
  <c r="AS679" i="1"/>
  <c r="AR679" i="1"/>
  <c r="AQ679" i="1"/>
  <c r="AP679" i="1"/>
  <c r="AH679" i="1"/>
  <c r="AG679" i="1"/>
  <c r="W679" i="1"/>
  <c r="V679" i="1"/>
  <c r="U679" i="1"/>
  <c r="T679" i="1"/>
  <c r="S679" i="1"/>
  <c r="R679" i="1"/>
  <c r="Q679" i="1"/>
  <c r="P679" i="1"/>
  <c r="O679" i="1"/>
  <c r="N679" i="1"/>
  <c r="M679" i="1"/>
  <c r="L679" i="1"/>
  <c r="K679" i="1"/>
  <c r="J679" i="1"/>
  <c r="I679" i="1"/>
  <c r="H679" i="1"/>
  <c r="BZ678" i="1"/>
  <c r="BV678" i="1"/>
  <c r="BT678" i="1"/>
  <c r="BN678" i="1"/>
  <c r="BL678" i="1"/>
  <c r="BH678" i="1"/>
  <c r="BF678" i="1"/>
  <c r="BD678" i="1"/>
  <c r="AZ678" i="1"/>
  <c r="AY678" i="1"/>
  <c r="AX678" i="1"/>
  <c r="AW678" i="1"/>
  <c r="AV678" i="1"/>
  <c r="AU678" i="1"/>
  <c r="AT678" i="1"/>
  <c r="AS678" i="1"/>
  <c r="AR678" i="1"/>
  <c r="AQ678" i="1"/>
  <c r="AP678" i="1"/>
  <c r="W678" i="1"/>
  <c r="V678" i="1"/>
  <c r="U678" i="1"/>
  <c r="T678" i="1"/>
  <c r="S678" i="1"/>
  <c r="R678" i="1"/>
  <c r="Q678" i="1"/>
  <c r="P678" i="1"/>
  <c r="O678" i="1"/>
  <c r="N678" i="1"/>
  <c r="M678" i="1"/>
  <c r="L678" i="1"/>
  <c r="K678" i="1"/>
  <c r="J678" i="1"/>
  <c r="I678" i="1"/>
  <c r="H678" i="1"/>
  <c r="AZ677" i="1"/>
  <c r="AY677" i="1"/>
  <c r="AX677" i="1"/>
  <c r="AW677" i="1"/>
  <c r="AV677" i="1"/>
  <c r="AU677" i="1"/>
  <c r="AT677" i="1"/>
  <c r="AS677" i="1"/>
  <c r="AR677" i="1"/>
  <c r="AQ677" i="1"/>
  <c r="AP677" i="1"/>
  <c r="AI677" i="1"/>
  <c r="AH677" i="1"/>
  <c r="AG677" i="1"/>
  <c r="W677" i="1"/>
  <c r="V677" i="1"/>
  <c r="U677" i="1"/>
  <c r="T677" i="1"/>
  <c r="S677" i="1"/>
  <c r="R677" i="1"/>
  <c r="Q677" i="1"/>
  <c r="P677" i="1"/>
  <c r="O677" i="1"/>
  <c r="N677" i="1"/>
  <c r="M677" i="1"/>
  <c r="L677" i="1"/>
  <c r="K677" i="1"/>
  <c r="J677" i="1"/>
  <c r="I677" i="1"/>
  <c r="H677" i="1"/>
  <c r="AZ676" i="1"/>
  <c r="AY676" i="1"/>
  <c r="AX676" i="1"/>
  <c r="AW676" i="1"/>
  <c r="AV676" i="1"/>
  <c r="AU676" i="1"/>
  <c r="AT676" i="1"/>
  <c r="AS676" i="1"/>
  <c r="AR676" i="1"/>
  <c r="AQ676" i="1"/>
  <c r="AP676" i="1"/>
  <c r="AH676" i="1"/>
  <c r="AG676" i="1"/>
  <c r="W676" i="1"/>
  <c r="V676" i="1"/>
  <c r="U676" i="1"/>
  <c r="T676" i="1"/>
  <c r="S676" i="1"/>
  <c r="R676" i="1"/>
  <c r="Q676" i="1"/>
  <c r="P676" i="1"/>
  <c r="O676" i="1"/>
  <c r="N676" i="1"/>
  <c r="M676" i="1"/>
  <c r="L676" i="1"/>
  <c r="K676" i="1"/>
  <c r="J676" i="1"/>
  <c r="I676" i="1"/>
  <c r="H676" i="1"/>
  <c r="AZ675" i="1"/>
  <c r="AY675" i="1"/>
  <c r="AX675" i="1"/>
  <c r="AW675" i="1"/>
  <c r="AV675" i="1"/>
  <c r="AU675" i="1"/>
  <c r="AT675" i="1"/>
  <c r="AS675" i="1"/>
  <c r="AR675" i="1"/>
  <c r="AQ675" i="1"/>
  <c r="AP675" i="1"/>
  <c r="AI675" i="1"/>
  <c r="AH675" i="1"/>
  <c r="AG675" i="1"/>
  <c r="W675" i="1"/>
  <c r="V675" i="1"/>
  <c r="U675" i="1"/>
  <c r="T675" i="1"/>
  <c r="S675" i="1"/>
  <c r="R675" i="1"/>
  <c r="Q675" i="1"/>
  <c r="P675" i="1"/>
  <c r="O675" i="1"/>
  <c r="N675" i="1"/>
  <c r="M675" i="1"/>
  <c r="L675" i="1"/>
  <c r="K675" i="1"/>
  <c r="J675" i="1"/>
  <c r="I675" i="1"/>
  <c r="H675" i="1"/>
  <c r="AZ674" i="1"/>
  <c r="AY674" i="1"/>
  <c r="AX674" i="1"/>
  <c r="AW674" i="1"/>
  <c r="AV674" i="1"/>
  <c r="AU674" i="1"/>
  <c r="AT674" i="1"/>
  <c r="AS674" i="1"/>
  <c r="AR674" i="1"/>
  <c r="AQ674" i="1"/>
  <c r="AP674" i="1"/>
  <c r="AI674" i="1"/>
  <c r="AH674" i="1"/>
  <c r="AG674" i="1"/>
  <c r="W674" i="1"/>
  <c r="V674" i="1"/>
  <c r="U674" i="1"/>
  <c r="T674" i="1"/>
  <c r="S674" i="1"/>
  <c r="R674" i="1"/>
  <c r="Q674" i="1"/>
  <c r="P674" i="1"/>
  <c r="O674" i="1"/>
  <c r="N674" i="1"/>
  <c r="M674" i="1"/>
  <c r="L674" i="1"/>
  <c r="K674" i="1"/>
  <c r="J674" i="1"/>
  <c r="I674" i="1"/>
  <c r="H674" i="1"/>
  <c r="AZ673" i="1"/>
  <c r="AY673" i="1"/>
  <c r="AX673" i="1"/>
  <c r="AW673" i="1"/>
  <c r="AV673" i="1"/>
  <c r="AU673" i="1"/>
  <c r="AT673" i="1"/>
  <c r="AS673" i="1"/>
  <c r="AR673" i="1"/>
  <c r="AQ673" i="1"/>
  <c r="AP673" i="1"/>
  <c r="AH673" i="1"/>
  <c r="AG673" i="1"/>
  <c r="W673" i="1"/>
  <c r="V673" i="1"/>
  <c r="U673" i="1"/>
  <c r="T673" i="1"/>
  <c r="S673" i="1"/>
  <c r="R673" i="1"/>
  <c r="Q673" i="1"/>
  <c r="P673" i="1"/>
  <c r="O673" i="1"/>
  <c r="N673" i="1"/>
  <c r="M673" i="1"/>
  <c r="L673" i="1"/>
  <c r="K673" i="1"/>
  <c r="J673" i="1"/>
  <c r="I673" i="1"/>
  <c r="H673" i="1"/>
  <c r="AZ672" i="1"/>
  <c r="AY672" i="1"/>
  <c r="AX672" i="1"/>
  <c r="AW672" i="1"/>
  <c r="AV672" i="1"/>
  <c r="AU672" i="1"/>
  <c r="AT672" i="1"/>
  <c r="AS672" i="1"/>
  <c r="AR672" i="1"/>
  <c r="AQ672" i="1"/>
  <c r="AP672" i="1"/>
  <c r="W672" i="1"/>
  <c r="V672" i="1"/>
  <c r="U672" i="1"/>
  <c r="T672" i="1"/>
  <c r="S672" i="1"/>
  <c r="R672" i="1"/>
  <c r="Q672" i="1"/>
  <c r="P672" i="1"/>
  <c r="O672" i="1"/>
  <c r="N672" i="1"/>
  <c r="M672" i="1"/>
  <c r="L672" i="1"/>
  <c r="K672" i="1"/>
  <c r="J672" i="1"/>
  <c r="I672" i="1"/>
  <c r="H672" i="1"/>
  <c r="AZ671" i="1"/>
  <c r="AY671" i="1"/>
  <c r="AX671" i="1"/>
  <c r="AW671" i="1"/>
  <c r="AV671" i="1"/>
  <c r="AU671" i="1"/>
  <c r="AT671" i="1"/>
  <c r="AS671" i="1"/>
  <c r="AR671" i="1"/>
  <c r="AQ671" i="1"/>
  <c r="AP671" i="1"/>
  <c r="AH671" i="1"/>
  <c r="AG671" i="1"/>
  <c r="W671" i="1"/>
  <c r="V671" i="1"/>
  <c r="U671" i="1"/>
  <c r="T671" i="1"/>
  <c r="S671" i="1"/>
  <c r="R671" i="1"/>
  <c r="Q671" i="1"/>
  <c r="P671" i="1"/>
  <c r="O671" i="1"/>
  <c r="N671" i="1"/>
  <c r="M671" i="1"/>
  <c r="L671" i="1"/>
  <c r="K671" i="1"/>
  <c r="J671" i="1"/>
  <c r="I671" i="1"/>
  <c r="H671" i="1"/>
  <c r="AZ670" i="1"/>
  <c r="AY670" i="1"/>
  <c r="AX670" i="1"/>
  <c r="AW670" i="1"/>
  <c r="AV670" i="1"/>
  <c r="AU670" i="1"/>
  <c r="AT670" i="1"/>
  <c r="AS670" i="1"/>
  <c r="AR670" i="1"/>
  <c r="AQ670" i="1"/>
  <c r="AP670" i="1"/>
  <c r="AI670" i="1"/>
  <c r="AH670" i="1"/>
  <c r="AG670" i="1"/>
  <c r="W670" i="1"/>
  <c r="V670" i="1"/>
  <c r="U670" i="1"/>
  <c r="T670" i="1"/>
  <c r="S670" i="1"/>
  <c r="R670" i="1"/>
  <c r="Q670" i="1"/>
  <c r="P670" i="1"/>
  <c r="O670" i="1"/>
  <c r="N670" i="1"/>
  <c r="M670" i="1"/>
  <c r="L670" i="1"/>
  <c r="K670" i="1"/>
  <c r="J670" i="1"/>
  <c r="I670" i="1"/>
  <c r="H670" i="1"/>
  <c r="AZ669" i="1"/>
  <c r="AY669" i="1"/>
  <c r="AX669" i="1"/>
  <c r="AW669" i="1"/>
  <c r="AV669" i="1"/>
  <c r="AU669" i="1"/>
  <c r="AT669" i="1"/>
  <c r="AS669" i="1"/>
  <c r="AR669" i="1"/>
  <c r="AQ669" i="1"/>
  <c r="AP669" i="1"/>
  <c r="AI669" i="1"/>
  <c r="AH669" i="1"/>
  <c r="AG669" i="1"/>
  <c r="W669" i="1"/>
  <c r="V669" i="1"/>
  <c r="U669" i="1"/>
  <c r="T669" i="1"/>
  <c r="S669" i="1"/>
  <c r="R669" i="1"/>
  <c r="Q669" i="1"/>
  <c r="P669" i="1"/>
  <c r="O669" i="1"/>
  <c r="N669" i="1"/>
  <c r="M669" i="1"/>
  <c r="L669" i="1"/>
  <c r="K669" i="1"/>
  <c r="J669" i="1"/>
  <c r="I669" i="1"/>
  <c r="H669" i="1"/>
  <c r="AZ668" i="1"/>
  <c r="AY668" i="1"/>
  <c r="AX668" i="1"/>
  <c r="AW668" i="1"/>
  <c r="AV668" i="1"/>
  <c r="AU668" i="1"/>
  <c r="AT668" i="1"/>
  <c r="AS668" i="1"/>
  <c r="AR668" i="1"/>
  <c r="AQ668" i="1"/>
  <c r="AP668" i="1"/>
  <c r="W668" i="1"/>
  <c r="V668" i="1"/>
  <c r="U668" i="1"/>
  <c r="T668" i="1"/>
  <c r="S668" i="1"/>
  <c r="R668" i="1"/>
  <c r="Q668" i="1"/>
  <c r="P668" i="1"/>
  <c r="O668" i="1"/>
  <c r="N668" i="1"/>
  <c r="M668" i="1"/>
  <c r="L668" i="1"/>
  <c r="K668" i="1"/>
  <c r="J668" i="1"/>
  <c r="I668" i="1"/>
  <c r="H668" i="1"/>
  <c r="AZ667" i="1"/>
  <c r="AY667" i="1"/>
  <c r="AX667" i="1"/>
  <c r="AW667" i="1"/>
  <c r="AV667" i="1"/>
  <c r="AU667" i="1"/>
  <c r="AT667" i="1"/>
  <c r="AS667" i="1"/>
  <c r="AR667" i="1"/>
  <c r="AQ667" i="1"/>
  <c r="AP667" i="1"/>
  <c r="AI667" i="1"/>
  <c r="AH667" i="1"/>
  <c r="AG667" i="1"/>
  <c r="W667" i="1"/>
  <c r="V667" i="1"/>
  <c r="U667" i="1"/>
  <c r="T667" i="1"/>
  <c r="S667" i="1"/>
  <c r="R667" i="1"/>
  <c r="Q667" i="1"/>
  <c r="P667" i="1"/>
  <c r="O667" i="1"/>
  <c r="N667" i="1"/>
  <c r="M667" i="1"/>
  <c r="L667" i="1"/>
  <c r="K667" i="1"/>
  <c r="J667" i="1"/>
  <c r="I667" i="1"/>
  <c r="H667" i="1"/>
  <c r="AZ666" i="1"/>
  <c r="AY666" i="1"/>
  <c r="AX666" i="1"/>
  <c r="AW666" i="1"/>
  <c r="AV666" i="1"/>
  <c r="AU666" i="1"/>
  <c r="AT666" i="1"/>
  <c r="AS666" i="1"/>
  <c r="AR666" i="1"/>
  <c r="AQ666" i="1"/>
  <c r="AP666" i="1"/>
  <c r="AH666" i="1"/>
  <c r="AG666" i="1"/>
  <c r="W666" i="1"/>
  <c r="V666" i="1"/>
  <c r="U666" i="1"/>
  <c r="T666" i="1"/>
  <c r="S666" i="1"/>
  <c r="R666" i="1"/>
  <c r="Q666" i="1"/>
  <c r="P666" i="1"/>
  <c r="O666" i="1"/>
  <c r="N666" i="1"/>
  <c r="M666" i="1"/>
  <c r="L666" i="1"/>
  <c r="K666" i="1"/>
  <c r="J666" i="1"/>
  <c r="I666" i="1"/>
  <c r="H666" i="1"/>
  <c r="AZ665" i="1"/>
  <c r="AY665" i="1"/>
  <c r="AX665" i="1"/>
  <c r="AW665" i="1"/>
  <c r="AV665" i="1"/>
  <c r="AU665" i="1"/>
  <c r="AT665" i="1"/>
  <c r="AS665" i="1"/>
  <c r="AR665" i="1"/>
  <c r="AQ665" i="1"/>
  <c r="AP665" i="1"/>
  <c r="AH665" i="1"/>
  <c r="AG665" i="1"/>
  <c r="W665" i="1"/>
  <c r="V665" i="1"/>
  <c r="U665" i="1"/>
  <c r="T665" i="1"/>
  <c r="S665" i="1"/>
  <c r="R665" i="1"/>
  <c r="Q665" i="1"/>
  <c r="P665" i="1"/>
  <c r="O665" i="1"/>
  <c r="N665" i="1"/>
  <c r="M665" i="1"/>
  <c r="L665" i="1"/>
  <c r="K665" i="1"/>
  <c r="J665" i="1"/>
  <c r="I665" i="1"/>
  <c r="H665" i="1"/>
  <c r="AZ664" i="1"/>
  <c r="AY664" i="1"/>
  <c r="AX664" i="1"/>
  <c r="AW664" i="1"/>
  <c r="AV664" i="1"/>
  <c r="AU664" i="1"/>
  <c r="AT664" i="1"/>
  <c r="AS664" i="1"/>
  <c r="AR664" i="1"/>
  <c r="AQ664" i="1"/>
  <c r="AP664" i="1"/>
  <c r="AI664" i="1"/>
  <c r="AH664" i="1"/>
  <c r="AG664" i="1"/>
  <c r="W664" i="1"/>
  <c r="V664" i="1"/>
  <c r="U664" i="1"/>
  <c r="T664" i="1"/>
  <c r="S664" i="1"/>
  <c r="R664" i="1"/>
  <c r="Q664" i="1"/>
  <c r="P664" i="1"/>
  <c r="O664" i="1"/>
  <c r="N664" i="1"/>
  <c r="M664" i="1"/>
  <c r="L664" i="1"/>
  <c r="K664" i="1"/>
  <c r="J664" i="1"/>
  <c r="I664" i="1"/>
  <c r="H664" i="1"/>
  <c r="AZ663" i="1"/>
  <c r="AY663" i="1"/>
  <c r="AX663" i="1"/>
  <c r="AW663" i="1"/>
  <c r="AV663" i="1"/>
  <c r="AU663" i="1"/>
  <c r="AT663" i="1"/>
  <c r="AS663" i="1"/>
  <c r="AR663" i="1"/>
  <c r="AQ663" i="1"/>
  <c r="AP663" i="1"/>
  <c r="AI663" i="1"/>
  <c r="AH663" i="1"/>
  <c r="AG663" i="1"/>
  <c r="W663" i="1"/>
  <c r="V663" i="1"/>
  <c r="U663" i="1"/>
  <c r="T663" i="1"/>
  <c r="S663" i="1"/>
  <c r="R663" i="1"/>
  <c r="Q663" i="1"/>
  <c r="P663" i="1"/>
  <c r="O663" i="1"/>
  <c r="N663" i="1"/>
  <c r="M663" i="1"/>
  <c r="L663" i="1"/>
  <c r="K663" i="1"/>
  <c r="J663" i="1"/>
  <c r="I663" i="1"/>
  <c r="H663" i="1"/>
  <c r="AZ662" i="1"/>
  <c r="AY662" i="1"/>
  <c r="AX662" i="1"/>
  <c r="AW662" i="1"/>
  <c r="AV662" i="1"/>
  <c r="AU662" i="1"/>
  <c r="AT662" i="1"/>
  <c r="AS662" i="1"/>
  <c r="AR662" i="1"/>
  <c r="AQ662" i="1"/>
  <c r="AP662" i="1"/>
  <c r="W662" i="1"/>
  <c r="V662" i="1"/>
  <c r="U662" i="1"/>
  <c r="T662" i="1"/>
  <c r="S662" i="1"/>
  <c r="R662" i="1"/>
  <c r="Q662" i="1"/>
  <c r="P662" i="1"/>
  <c r="O662" i="1"/>
  <c r="N662" i="1"/>
  <c r="M662" i="1"/>
  <c r="L662" i="1"/>
  <c r="K662" i="1"/>
  <c r="J662" i="1"/>
  <c r="I662" i="1"/>
  <c r="H662" i="1"/>
  <c r="AZ661" i="1"/>
  <c r="AY661" i="1"/>
  <c r="AX661" i="1"/>
  <c r="AW661" i="1"/>
  <c r="AV661" i="1"/>
  <c r="AU661" i="1"/>
  <c r="AT661" i="1"/>
  <c r="AS661" i="1"/>
  <c r="AR661" i="1"/>
  <c r="AQ661" i="1"/>
  <c r="AP661" i="1"/>
  <c r="W661" i="1"/>
  <c r="V661" i="1"/>
  <c r="U661" i="1"/>
  <c r="T661" i="1"/>
  <c r="S661" i="1"/>
  <c r="R661" i="1"/>
  <c r="Q661" i="1"/>
  <c r="P661" i="1"/>
  <c r="O661" i="1"/>
  <c r="N661" i="1"/>
  <c r="M661" i="1"/>
  <c r="L661" i="1"/>
  <c r="K661" i="1"/>
  <c r="J661" i="1"/>
  <c r="I661" i="1"/>
  <c r="H661" i="1"/>
  <c r="AZ660" i="1"/>
  <c r="AY660" i="1"/>
  <c r="AX660" i="1"/>
  <c r="AW660" i="1"/>
  <c r="AV660" i="1"/>
  <c r="AU660" i="1"/>
  <c r="AT660" i="1"/>
  <c r="AS660" i="1"/>
  <c r="AR660" i="1"/>
  <c r="AQ660" i="1"/>
  <c r="AP660" i="1"/>
  <c r="W660" i="1"/>
  <c r="V660" i="1"/>
  <c r="U660" i="1"/>
  <c r="T660" i="1"/>
  <c r="S660" i="1"/>
  <c r="R660" i="1"/>
  <c r="Q660" i="1"/>
  <c r="P660" i="1"/>
  <c r="O660" i="1"/>
  <c r="N660" i="1"/>
  <c r="M660" i="1"/>
  <c r="L660" i="1"/>
  <c r="K660" i="1"/>
  <c r="J660" i="1"/>
  <c r="I660" i="1"/>
  <c r="H660" i="1"/>
  <c r="AZ659" i="1"/>
  <c r="AY659" i="1"/>
  <c r="AX659" i="1"/>
  <c r="AW659" i="1"/>
  <c r="AV659" i="1"/>
  <c r="AU659" i="1"/>
  <c r="AT659" i="1"/>
  <c r="AS659" i="1"/>
  <c r="AR659" i="1"/>
  <c r="AQ659" i="1"/>
  <c r="AP659" i="1"/>
  <c r="W659" i="1"/>
  <c r="V659" i="1"/>
  <c r="U659" i="1"/>
  <c r="T659" i="1"/>
  <c r="S659" i="1"/>
  <c r="R659" i="1"/>
  <c r="Q659" i="1"/>
  <c r="P659" i="1"/>
  <c r="O659" i="1"/>
  <c r="N659" i="1"/>
  <c r="M659" i="1"/>
  <c r="L659" i="1"/>
  <c r="K659" i="1"/>
  <c r="J659" i="1"/>
  <c r="I659" i="1"/>
  <c r="H659" i="1"/>
  <c r="AZ658" i="1"/>
  <c r="AY658" i="1"/>
  <c r="AX658" i="1"/>
  <c r="AW658" i="1"/>
  <c r="AV658" i="1"/>
  <c r="AU658" i="1"/>
  <c r="AT658" i="1"/>
  <c r="AS658" i="1"/>
  <c r="AR658" i="1"/>
  <c r="AQ658" i="1"/>
  <c r="AP658" i="1"/>
  <c r="W658" i="1"/>
  <c r="V658" i="1"/>
  <c r="U658" i="1"/>
  <c r="T658" i="1"/>
  <c r="S658" i="1"/>
  <c r="R658" i="1"/>
  <c r="Q658" i="1"/>
  <c r="P658" i="1"/>
  <c r="O658" i="1"/>
  <c r="N658" i="1"/>
  <c r="M658" i="1"/>
  <c r="L658" i="1"/>
  <c r="K658" i="1"/>
  <c r="J658" i="1"/>
  <c r="I658" i="1"/>
  <c r="H658" i="1"/>
  <c r="AZ657" i="1"/>
  <c r="AY657" i="1"/>
  <c r="AX657" i="1"/>
  <c r="AW657" i="1"/>
  <c r="AV657" i="1"/>
  <c r="AU657" i="1"/>
  <c r="AT657" i="1"/>
  <c r="AS657" i="1"/>
  <c r="AR657" i="1"/>
  <c r="AQ657" i="1"/>
  <c r="AP657" i="1"/>
  <c r="AH657" i="1"/>
  <c r="AG657" i="1"/>
  <c r="W657" i="1"/>
  <c r="V657" i="1"/>
  <c r="U657" i="1"/>
  <c r="T657" i="1"/>
  <c r="S657" i="1"/>
  <c r="R657" i="1"/>
  <c r="Q657" i="1"/>
  <c r="P657" i="1"/>
  <c r="O657" i="1"/>
  <c r="N657" i="1"/>
  <c r="M657" i="1"/>
  <c r="L657" i="1"/>
  <c r="K657" i="1"/>
  <c r="J657" i="1"/>
  <c r="I657" i="1"/>
  <c r="H657" i="1"/>
  <c r="AZ656" i="1"/>
  <c r="AY656" i="1"/>
  <c r="AX656" i="1"/>
  <c r="AW656" i="1"/>
  <c r="AV656" i="1"/>
  <c r="AU656" i="1"/>
  <c r="AT656" i="1"/>
  <c r="AS656" i="1"/>
  <c r="AR656" i="1"/>
  <c r="AQ656" i="1"/>
  <c r="AP656" i="1"/>
  <c r="AH656" i="1"/>
  <c r="AG656" i="1"/>
  <c r="W656" i="1"/>
  <c r="V656" i="1"/>
  <c r="U656" i="1"/>
  <c r="T656" i="1"/>
  <c r="S656" i="1"/>
  <c r="R656" i="1"/>
  <c r="Q656" i="1"/>
  <c r="P656" i="1"/>
  <c r="O656" i="1"/>
  <c r="N656" i="1"/>
  <c r="M656" i="1"/>
  <c r="L656" i="1"/>
  <c r="K656" i="1"/>
  <c r="J656" i="1"/>
  <c r="I656" i="1"/>
  <c r="H656" i="1"/>
  <c r="AZ655" i="1"/>
  <c r="AY655" i="1"/>
  <c r="AX655" i="1"/>
  <c r="AW655" i="1"/>
  <c r="AV655" i="1"/>
  <c r="AU655" i="1"/>
  <c r="AT655" i="1"/>
  <c r="AS655" i="1"/>
  <c r="AR655" i="1"/>
  <c r="AQ655" i="1"/>
  <c r="AP655" i="1"/>
  <c r="AH655" i="1"/>
  <c r="AG655" i="1"/>
  <c r="W655" i="1"/>
  <c r="V655" i="1"/>
  <c r="U655" i="1"/>
  <c r="T655" i="1"/>
  <c r="S655" i="1"/>
  <c r="R655" i="1"/>
  <c r="Q655" i="1"/>
  <c r="P655" i="1"/>
  <c r="O655" i="1"/>
  <c r="N655" i="1"/>
  <c r="M655" i="1"/>
  <c r="L655" i="1"/>
  <c r="K655" i="1"/>
  <c r="J655" i="1"/>
  <c r="I655" i="1"/>
  <c r="H655" i="1"/>
  <c r="AZ654" i="1"/>
  <c r="AY654" i="1"/>
  <c r="AX654" i="1"/>
  <c r="AW654" i="1"/>
  <c r="AV654" i="1"/>
  <c r="AU654" i="1"/>
  <c r="AT654" i="1"/>
  <c r="AS654" i="1"/>
  <c r="AR654" i="1"/>
  <c r="AQ654" i="1"/>
  <c r="AP654" i="1"/>
  <c r="AH654" i="1"/>
  <c r="AG654" i="1"/>
  <c r="W654" i="1"/>
  <c r="V654" i="1"/>
  <c r="U654" i="1"/>
  <c r="T654" i="1"/>
  <c r="S654" i="1"/>
  <c r="R654" i="1"/>
  <c r="Q654" i="1"/>
  <c r="P654" i="1"/>
  <c r="O654" i="1"/>
  <c r="N654" i="1"/>
  <c r="M654" i="1"/>
  <c r="L654" i="1"/>
  <c r="K654" i="1"/>
  <c r="J654" i="1"/>
  <c r="I654" i="1"/>
  <c r="H654" i="1"/>
  <c r="AZ653" i="1"/>
  <c r="AY653" i="1"/>
  <c r="AX653" i="1"/>
  <c r="AW653" i="1"/>
  <c r="AV653" i="1"/>
  <c r="AU653" i="1"/>
  <c r="AT653" i="1"/>
  <c r="AS653" i="1"/>
  <c r="AR653" i="1"/>
  <c r="AQ653" i="1"/>
  <c r="AP653" i="1"/>
  <c r="AH653" i="1"/>
  <c r="AG653" i="1"/>
  <c r="W653" i="1"/>
  <c r="V653" i="1"/>
  <c r="U653" i="1"/>
  <c r="T653" i="1"/>
  <c r="S653" i="1"/>
  <c r="R653" i="1"/>
  <c r="Q653" i="1"/>
  <c r="P653" i="1"/>
  <c r="O653" i="1"/>
  <c r="N653" i="1"/>
  <c r="M653" i="1"/>
  <c r="L653" i="1"/>
  <c r="K653" i="1"/>
  <c r="J653" i="1"/>
  <c r="I653" i="1"/>
  <c r="H653" i="1"/>
  <c r="AZ652" i="1"/>
  <c r="AY652" i="1"/>
  <c r="AX652" i="1"/>
  <c r="AW652" i="1"/>
  <c r="AV652" i="1"/>
  <c r="AU652" i="1"/>
  <c r="AT652" i="1"/>
  <c r="AS652" i="1"/>
  <c r="AR652" i="1"/>
  <c r="AQ652" i="1"/>
  <c r="AP652" i="1"/>
  <c r="AH652" i="1"/>
  <c r="AG652" i="1"/>
  <c r="W652" i="1"/>
  <c r="V652" i="1"/>
  <c r="U652" i="1"/>
  <c r="T652" i="1"/>
  <c r="S652" i="1"/>
  <c r="R652" i="1"/>
  <c r="Q652" i="1"/>
  <c r="P652" i="1"/>
  <c r="O652" i="1"/>
  <c r="N652" i="1"/>
  <c r="M652" i="1"/>
  <c r="L652" i="1"/>
  <c r="K652" i="1"/>
  <c r="J652" i="1"/>
  <c r="I652" i="1"/>
  <c r="H652" i="1"/>
  <c r="AZ651" i="1"/>
  <c r="AY651" i="1"/>
  <c r="AX651" i="1"/>
  <c r="AW651" i="1"/>
  <c r="AV651" i="1"/>
  <c r="AU651" i="1"/>
  <c r="AT651" i="1"/>
  <c r="AS651" i="1"/>
  <c r="AR651" i="1"/>
  <c r="AQ651" i="1"/>
  <c r="AP651" i="1"/>
  <c r="AH651" i="1"/>
  <c r="AG651" i="1"/>
  <c r="W651" i="1"/>
  <c r="V651" i="1"/>
  <c r="U651" i="1"/>
  <c r="T651" i="1"/>
  <c r="S651" i="1"/>
  <c r="R651" i="1"/>
  <c r="Q651" i="1"/>
  <c r="P651" i="1"/>
  <c r="O651" i="1"/>
  <c r="N651" i="1"/>
  <c r="M651" i="1"/>
  <c r="L651" i="1"/>
  <c r="K651" i="1"/>
  <c r="J651" i="1"/>
  <c r="I651" i="1"/>
  <c r="H651" i="1"/>
  <c r="AZ650" i="1"/>
  <c r="AY650" i="1"/>
  <c r="AX650" i="1"/>
  <c r="AW650" i="1"/>
  <c r="AV650" i="1"/>
  <c r="AU650" i="1"/>
  <c r="AT650" i="1"/>
  <c r="AS650" i="1"/>
  <c r="AR650" i="1"/>
  <c r="AQ650" i="1"/>
  <c r="AP650" i="1"/>
  <c r="AH650" i="1"/>
  <c r="AG650" i="1"/>
  <c r="W650" i="1"/>
  <c r="V650" i="1"/>
  <c r="U650" i="1"/>
  <c r="T650" i="1"/>
  <c r="S650" i="1"/>
  <c r="R650" i="1"/>
  <c r="Q650" i="1"/>
  <c r="P650" i="1"/>
  <c r="O650" i="1"/>
  <c r="N650" i="1"/>
  <c r="M650" i="1"/>
  <c r="L650" i="1"/>
  <c r="K650" i="1"/>
  <c r="J650" i="1"/>
  <c r="I650" i="1"/>
  <c r="H650" i="1"/>
  <c r="AZ649" i="1"/>
  <c r="AY649" i="1"/>
  <c r="AX649" i="1"/>
  <c r="AW649" i="1"/>
  <c r="AV649" i="1"/>
  <c r="AU649" i="1"/>
  <c r="AT649" i="1"/>
  <c r="AS649" i="1"/>
  <c r="AR649" i="1"/>
  <c r="AQ649" i="1"/>
  <c r="AP649" i="1"/>
  <c r="AH649" i="1"/>
  <c r="AG649" i="1"/>
  <c r="W649" i="1"/>
  <c r="V649" i="1"/>
  <c r="U649" i="1"/>
  <c r="T649" i="1"/>
  <c r="S649" i="1"/>
  <c r="R649" i="1"/>
  <c r="Q649" i="1"/>
  <c r="P649" i="1"/>
  <c r="O649" i="1"/>
  <c r="N649" i="1"/>
  <c r="M649" i="1"/>
  <c r="L649" i="1"/>
  <c r="K649" i="1"/>
  <c r="J649" i="1"/>
  <c r="I649" i="1"/>
  <c r="H649" i="1"/>
  <c r="AZ648" i="1"/>
  <c r="AY648" i="1"/>
  <c r="AX648" i="1"/>
  <c r="AW648" i="1"/>
  <c r="AV648" i="1"/>
  <c r="AU648" i="1"/>
  <c r="AT648" i="1"/>
  <c r="AS648" i="1"/>
  <c r="AR648" i="1"/>
  <c r="AQ648" i="1"/>
  <c r="AP648" i="1"/>
  <c r="AH648" i="1"/>
  <c r="AG648" i="1"/>
  <c r="W648" i="1"/>
  <c r="V648" i="1"/>
  <c r="U648" i="1"/>
  <c r="T648" i="1"/>
  <c r="S648" i="1"/>
  <c r="R648" i="1"/>
  <c r="Q648" i="1"/>
  <c r="P648" i="1"/>
  <c r="O648" i="1"/>
  <c r="N648" i="1"/>
  <c r="M648" i="1"/>
  <c r="L648" i="1"/>
  <c r="K648" i="1"/>
  <c r="J648" i="1"/>
  <c r="I648" i="1"/>
  <c r="H648" i="1"/>
  <c r="AZ647" i="1"/>
  <c r="AY647" i="1"/>
  <c r="AX647" i="1"/>
  <c r="AW647" i="1"/>
  <c r="AV647" i="1"/>
  <c r="AU647" i="1"/>
  <c r="AT647" i="1"/>
  <c r="AS647" i="1"/>
  <c r="AR647" i="1"/>
  <c r="AQ647" i="1"/>
  <c r="AP647" i="1"/>
  <c r="AH647" i="1"/>
  <c r="AG647" i="1"/>
  <c r="W647" i="1"/>
  <c r="V647" i="1"/>
  <c r="U647" i="1"/>
  <c r="T647" i="1"/>
  <c r="S647" i="1"/>
  <c r="R647" i="1"/>
  <c r="Q647" i="1"/>
  <c r="P647" i="1"/>
  <c r="O647" i="1"/>
  <c r="N647" i="1"/>
  <c r="M647" i="1"/>
  <c r="L647" i="1"/>
  <c r="K647" i="1"/>
  <c r="J647" i="1"/>
  <c r="I647" i="1"/>
  <c r="H647" i="1"/>
  <c r="AZ646" i="1"/>
  <c r="AY646" i="1"/>
  <c r="AX646" i="1"/>
  <c r="AW646" i="1"/>
  <c r="AV646" i="1"/>
  <c r="AU646" i="1"/>
  <c r="AT646" i="1"/>
  <c r="AS646" i="1"/>
  <c r="AR646" i="1"/>
  <c r="AQ646" i="1"/>
  <c r="AP646" i="1"/>
  <c r="AI646" i="1"/>
  <c r="AH646" i="1"/>
  <c r="AG646" i="1"/>
  <c r="W646" i="1"/>
  <c r="V646" i="1"/>
  <c r="U646" i="1"/>
  <c r="T646" i="1"/>
  <c r="S646" i="1"/>
  <c r="R646" i="1"/>
  <c r="Q646" i="1"/>
  <c r="P646" i="1"/>
  <c r="O646" i="1"/>
  <c r="N646" i="1"/>
  <c r="M646" i="1"/>
  <c r="L646" i="1"/>
  <c r="K646" i="1"/>
  <c r="J646" i="1"/>
  <c r="I646" i="1"/>
  <c r="H646" i="1"/>
  <c r="AZ645" i="1"/>
  <c r="AY645" i="1"/>
  <c r="AX645" i="1"/>
  <c r="AW645" i="1"/>
  <c r="AV645" i="1"/>
  <c r="AU645" i="1"/>
  <c r="AT645" i="1"/>
  <c r="AS645" i="1"/>
  <c r="AR645" i="1"/>
  <c r="AQ645" i="1"/>
  <c r="AP645" i="1"/>
  <c r="AI645" i="1"/>
  <c r="AH645" i="1"/>
  <c r="AG645" i="1"/>
  <c r="W645" i="1"/>
  <c r="V645" i="1"/>
  <c r="U645" i="1"/>
  <c r="T645" i="1"/>
  <c r="S645" i="1"/>
  <c r="R645" i="1"/>
  <c r="Q645" i="1"/>
  <c r="P645" i="1"/>
  <c r="O645" i="1"/>
  <c r="N645" i="1"/>
  <c r="M645" i="1"/>
  <c r="L645" i="1"/>
  <c r="K645" i="1"/>
  <c r="J645" i="1"/>
  <c r="I645" i="1"/>
  <c r="H645" i="1"/>
  <c r="AZ644" i="1"/>
  <c r="AY644" i="1"/>
  <c r="AX644" i="1"/>
  <c r="AW644" i="1"/>
  <c r="AV644" i="1"/>
  <c r="AU644" i="1"/>
  <c r="AT644" i="1"/>
  <c r="AS644" i="1"/>
  <c r="AR644" i="1"/>
  <c r="AQ644" i="1"/>
  <c r="AP644" i="1"/>
  <c r="AI644" i="1"/>
  <c r="AH644" i="1"/>
  <c r="AG644" i="1"/>
  <c r="W644" i="1"/>
  <c r="V644" i="1"/>
  <c r="U644" i="1"/>
  <c r="T644" i="1"/>
  <c r="S644" i="1"/>
  <c r="R644" i="1"/>
  <c r="Q644" i="1"/>
  <c r="P644" i="1"/>
  <c r="O644" i="1"/>
  <c r="N644" i="1"/>
  <c r="M644" i="1"/>
  <c r="L644" i="1"/>
  <c r="K644" i="1"/>
  <c r="J644" i="1"/>
  <c r="I644" i="1"/>
  <c r="H644" i="1"/>
  <c r="AZ643" i="1"/>
  <c r="AY643" i="1"/>
  <c r="AX643" i="1"/>
  <c r="AW643" i="1"/>
  <c r="AV643" i="1"/>
  <c r="AU643" i="1"/>
  <c r="AT643" i="1"/>
  <c r="AS643" i="1"/>
  <c r="AR643" i="1"/>
  <c r="AQ643" i="1"/>
  <c r="AP643" i="1"/>
  <c r="AI643" i="1"/>
  <c r="AH643" i="1"/>
  <c r="AG643" i="1"/>
  <c r="W643" i="1"/>
  <c r="V643" i="1"/>
  <c r="U643" i="1"/>
  <c r="T643" i="1"/>
  <c r="S643" i="1"/>
  <c r="R643" i="1"/>
  <c r="Q643" i="1"/>
  <c r="P643" i="1"/>
  <c r="O643" i="1"/>
  <c r="N643" i="1"/>
  <c r="M643" i="1"/>
  <c r="L643" i="1"/>
  <c r="K643" i="1"/>
  <c r="J643" i="1"/>
  <c r="I643" i="1"/>
  <c r="H643" i="1"/>
  <c r="AZ642" i="1"/>
  <c r="AY642" i="1"/>
  <c r="AX642" i="1"/>
  <c r="AW642" i="1"/>
  <c r="AV642" i="1"/>
  <c r="AU642" i="1"/>
  <c r="AT642" i="1"/>
  <c r="AS642" i="1"/>
  <c r="AR642" i="1"/>
  <c r="AQ642" i="1"/>
  <c r="AP642" i="1"/>
  <c r="AI642" i="1"/>
  <c r="AH642" i="1"/>
  <c r="AG642" i="1"/>
  <c r="W642" i="1"/>
  <c r="V642" i="1"/>
  <c r="U642" i="1"/>
  <c r="T642" i="1"/>
  <c r="S642" i="1"/>
  <c r="R642" i="1"/>
  <c r="Q642" i="1"/>
  <c r="P642" i="1"/>
  <c r="O642" i="1"/>
  <c r="N642" i="1"/>
  <c r="M642" i="1"/>
  <c r="L642" i="1"/>
  <c r="K642" i="1"/>
  <c r="J642" i="1"/>
  <c r="I642" i="1"/>
  <c r="H642" i="1"/>
  <c r="AZ641" i="1"/>
  <c r="AY641" i="1"/>
  <c r="AX641" i="1"/>
  <c r="AW641" i="1"/>
  <c r="AV641" i="1"/>
  <c r="AU641" i="1"/>
  <c r="AT641" i="1"/>
  <c r="AS641" i="1"/>
  <c r="AR641" i="1"/>
  <c r="AQ641" i="1"/>
  <c r="AP641" i="1"/>
  <c r="AH641" i="1"/>
  <c r="AG641" i="1"/>
  <c r="W641" i="1"/>
  <c r="V641" i="1"/>
  <c r="U641" i="1"/>
  <c r="T641" i="1"/>
  <c r="S641" i="1"/>
  <c r="R641" i="1"/>
  <c r="Q641" i="1"/>
  <c r="P641" i="1"/>
  <c r="O641" i="1"/>
  <c r="N641" i="1"/>
  <c r="M641" i="1"/>
  <c r="L641" i="1"/>
  <c r="K641" i="1"/>
  <c r="J641" i="1"/>
  <c r="I641" i="1"/>
  <c r="H641" i="1"/>
  <c r="AZ640" i="1"/>
  <c r="AY640" i="1"/>
  <c r="AX640" i="1"/>
  <c r="AW640" i="1"/>
  <c r="AV640" i="1"/>
  <c r="AU640" i="1"/>
  <c r="AT640" i="1"/>
  <c r="AS640" i="1"/>
  <c r="AR640" i="1"/>
  <c r="AQ640" i="1"/>
  <c r="AP640" i="1"/>
  <c r="AH640" i="1"/>
  <c r="AG640" i="1"/>
  <c r="W640" i="1"/>
  <c r="V640" i="1"/>
  <c r="U640" i="1"/>
  <c r="T640" i="1"/>
  <c r="S640" i="1"/>
  <c r="R640" i="1"/>
  <c r="Q640" i="1"/>
  <c r="P640" i="1"/>
  <c r="O640" i="1"/>
  <c r="N640" i="1"/>
  <c r="M640" i="1"/>
  <c r="L640" i="1"/>
  <c r="K640" i="1"/>
  <c r="J640" i="1"/>
  <c r="I640" i="1"/>
  <c r="H640" i="1"/>
  <c r="AZ639" i="1"/>
  <c r="AY639" i="1"/>
  <c r="AX639" i="1"/>
  <c r="AW639" i="1"/>
  <c r="AV639" i="1"/>
  <c r="AU639" i="1"/>
  <c r="AT639" i="1"/>
  <c r="AS639" i="1"/>
  <c r="AR639" i="1"/>
  <c r="AQ639" i="1"/>
  <c r="AP639" i="1"/>
  <c r="AI639" i="1"/>
  <c r="AH639" i="1"/>
  <c r="AG639" i="1"/>
  <c r="W639" i="1"/>
  <c r="V639" i="1"/>
  <c r="U639" i="1"/>
  <c r="T639" i="1"/>
  <c r="S639" i="1"/>
  <c r="R639" i="1"/>
  <c r="Q639" i="1"/>
  <c r="P639" i="1"/>
  <c r="O639" i="1"/>
  <c r="N639" i="1"/>
  <c r="M639" i="1"/>
  <c r="L639" i="1"/>
  <c r="K639" i="1"/>
  <c r="J639" i="1"/>
  <c r="I639" i="1"/>
  <c r="H639" i="1"/>
  <c r="AZ638" i="1"/>
  <c r="AY638" i="1"/>
  <c r="AX638" i="1"/>
  <c r="AW638" i="1"/>
  <c r="AV638" i="1"/>
  <c r="AU638" i="1"/>
  <c r="AT638" i="1"/>
  <c r="AS638" i="1"/>
  <c r="AR638" i="1"/>
  <c r="AQ638" i="1"/>
  <c r="AP638" i="1"/>
  <c r="AI638" i="1"/>
  <c r="AH638" i="1"/>
  <c r="AG638" i="1"/>
  <c r="W638" i="1"/>
  <c r="V638" i="1"/>
  <c r="U638" i="1"/>
  <c r="T638" i="1"/>
  <c r="S638" i="1"/>
  <c r="R638" i="1"/>
  <c r="Q638" i="1"/>
  <c r="P638" i="1"/>
  <c r="O638" i="1"/>
  <c r="N638" i="1"/>
  <c r="M638" i="1"/>
  <c r="L638" i="1"/>
  <c r="K638" i="1"/>
  <c r="J638" i="1"/>
  <c r="I638" i="1"/>
  <c r="H638" i="1"/>
  <c r="AZ637" i="1"/>
  <c r="AY637" i="1"/>
  <c r="AX637" i="1"/>
  <c r="AW637" i="1"/>
  <c r="AV637" i="1"/>
  <c r="AU637" i="1"/>
  <c r="AT637" i="1"/>
  <c r="AS637" i="1"/>
  <c r="AR637" i="1"/>
  <c r="AQ637" i="1"/>
  <c r="AP637" i="1"/>
  <c r="AH637" i="1"/>
  <c r="AG637" i="1"/>
  <c r="W637" i="1"/>
  <c r="V637" i="1"/>
  <c r="U637" i="1"/>
  <c r="T637" i="1"/>
  <c r="S637" i="1"/>
  <c r="R637" i="1"/>
  <c r="Q637" i="1"/>
  <c r="P637" i="1"/>
  <c r="O637" i="1"/>
  <c r="N637" i="1"/>
  <c r="M637" i="1"/>
  <c r="L637" i="1"/>
  <c r="K637" i="1"/>
  <c r="J637" i="1"/>
  <c r="I637" i="1"/>
  <c r="H637" i="1"/>
  <c r="AZ636" i="1"/>
  <c r="AY636" i="1"/>
  <c r="AX636" i="1"/>
  <c r="AW636" i="1"/>
  <c r="AV636" i="1"/>
  <c r="AU636" i="1"/>
  <c r="AT636" i="1"/>
  <c r="AS636" i="1"/>
  <c r="AR636" i="1"/>
  <c r="AQ636" i="1"/>
  <c r="AP636" i="1"/>
  <c r="AI636" i="1"/>
  <c r="AH636" i="1"/>
  <c r="AG636" i="1"/>
  <c r="W636" i="1"/>
  <c r="V636" i="1"/>
  <c r="U636" i="1"/>
  <c r="T636" i="1"/>
  <c r="S636" i="1"/>
  <c r="R636" i="1"/>
  <c r="Q636" i="1"/>
  <c r="P636" i="1"/>
  <c r="O636" i="1"/>
  <c r="N636" i="1"/>
  <c r="M636" i="1"/>
  <c r="L636" i="1"/>
  <c r="K636" i="1"/>
  <c r="J636" i="1"/>
  <c r="I636" i="1"/>
  <c r="H636" i="1"/>
  <c r="AZ635" i="1"/>
  <c r="AY635" i="1"/>
  <c r="AX635" i="1"/>
  <c r="AW635" i="1"/>
  <c r="AV635" i="1"/>
  <c r="AU635" i="1"/>
  <c r="AT635" i="1"/>
  <c r="AS635" i="1"/>
  <c r="AR635" i="1"/>
  <c r="AQ635" i="1"/>
  <c r="AP635" i="1"/>
  <c r="AI635" i="1"/>
  <c r="AH635" i="1"/>
  <c r="AG635" i="1"/>
  <c r="W635" i="1"/>
  <c r="V635" i="1"/>
  <c r="U635" i="1"/>
  <c r="T635" i="1"/>
  <c r="S635" i="1"/>
  <c r="R635" i="1"/>
  <c r="Q635" i="1"/>
  <c r="P635" i="1"/>
  <c r="O635" i="1"/>
  <c r="N635" i="1"/>
  <c r="M635" i="1"/>
  <c r="L635" i="1"/>
  <c r="K635" i="1"/>
  <c r="J635" i="1"/>
  <c r="I635" i="1"/>
  <c r="H635" i="1"/>
  <c r="AZ634" i="1"/>
  <c r="AY634" i="1"/>
  <c r="AX634" i="1"/>
  <c r="AW634" i="1"/>
  <c r="AV634" i="1"/>
  <c r="AU634" i="1"/>
  <c r="AT634" i="1"/>
  <c r="AS634" i="1"/>
  <c r="AR634" i="1"/>
  <c r="AQ634" i="1"/>
  <c r="AP634" i="1"/>
  <c r="AI634" i="1"/>
  <c r="AH634" i="1"/>
  <c r="AG634" i="1"/>
  <c r="W634" i="1"/>
  <c r="V634" i="1"/>
  <c r="U634" i="1"/>
  <c r="T634" i="1"/>
  <c r="S634" i="1"/>
  <c r="R634" i="1"/>
  <c r="Q634" i="1"/>
  <c r="P634" i="1"/>
  <c r="O634" i="1"/>
  <c r="N634" i="1"/>
  <c r="M634" i="1"/>
  <c r="L634" i="1"/>
  <c r="K634" i="1"/>
  <c r="J634" i="1"/>
  <c r="I634" i="1"/>
  <c r="H634" i="1"/>
  <c r="AZ633" i="1"/>
  <c r="AY633" i="1"/>
  <c r="AX633" i="1"/>
  <c r="AW633" i="1"/>
  <c r="AV633" i="1"/>
  <c r="AU633" i="1"/>
  <c r="AT633" i="1"/>
  <c r="AS633" i="1"/>
  <c r="AR633" i="1"/>
  <c r="AQ633" i="1"/>
  <c r="AP633" i="1"/>
  <c r="AI633" i="1"/>
  <c r="AH633" i="1"/>
  <c r="AG633" i="1"/>
  <c r="W633" i="1"/>
  <c r="V633" i="1"/>
  <c r="U633" i="1"/>
  <c r="T633" i="1"/>
  <c r="S633" i="1"/>
  <c r="R633" i="1"/>
  <c r="Q633" i="1"/>
  <c r="P633" i="1"/>
  <c r="O633" i="1"/>
  <c r="N633" i="1"/>
  <c r="M633" i="1"/>
  <c r="L633" i="1"/>
  <c r="K633" i="1"/>
  <c r="J633" i="1"/>
  <c r="I633" i="1"/>
  <c r="H633" i="1"/>
  <c r="AZ632" i="1"/>
  <c r="AY632" i="1"/>
  <c r="AX632" i="1"/>
  <c r="AW632" i="1"/>
  <c r="AV632" i="1"/>
  <c r="AU632" i="1"/>
  <c r="AT632" i="1"/>
  <c r="AS632" i="1"/>
  <c r="AR632" i="1"/>
  <c r="AQ632" i="1"/>
  <c r="AP632" i="1"/>
  <c r="AI632" i="1"/>
  <c r="AH632" i="1"/>
  <c r="AG632" i="1"/>
  <c r="W632" i="1"/>
  <c r="V632" i="1"/>
  <c r="U632" i="1"/>
  <c r="T632" i="1"/>
  <c r="S632" i="1"/>
  <c r="R632" i="1"/>
  <c r="Q632" i="1"/>
  <c r="P632" i="1"/>
  <c r="O632" i="1"/>
  <c r="N632" i="1"/>
  <c r="M632" i="1"/>
  <c r="L632" i="1"/>
  <c r="K632" i="1"/>
  <c r="J632" i="1"/>
  <c r="I632" i="1"/>
  <c r="H632" i="1"/>
  <c r="AZ631" i="1"/>
  <c r="AY631" i="1"/>
  <c r="AX631" i="1"/>
  <c r="AW631" i="1"/>
  <c r="AV631" i="1"/>
  <c r="AU631" i="1"/>
  <c r="AT631" i="1"/>
  <c r="AS631" i="1"/>
  <c r="AR631" i="1"/>
  <c r="AQ631" i="1"/>
  <c r="AP631" i="1"/>
  <c r="AI631" i="1"/>
  <c r="AH631" i="1"/>
  <c r="AG631" i="1"/>
  <c r="W631" i="1"/>
  <c r="V631" i="1"/>
  <c r="U631" i="1"/>
  <c r="T631" i="1"/>
  <c r="S631" i="1"/>
  <c r="R631" i="1"/>
  <c r="Q631" i="1"/>
  <c r="P631" i="1"/>
  <c r="O631" i="1"/>
  <c r="N631" i="1"/>
  <c r="M631" i="1"/>
  <c r="L631" i="1"/>
  <c r="K631" i="1"/>
  <c r="J631" i="1"/>
  <c r="I631" i="1"/>
  <c r="H631" i="1"/>
  <c r="AZ630" i="1"/>
  <c r="AY630" i="1"/>
  <c r="AX630" i="1"/>
  <c r="AW630" i="1"/>
  <c r="AV630" i="1"/>
  <c r="AU630" i="1"/>
  <c r="AT630" i="1"/>
  <c r="AS630" i="1"/>
  <c r="AR630" i="1"/>
  <c r="AQ630" i="1"/>
  <c r="AP630" i="1"/>
  <c r="AI630" i="1"/>
  <c r="AH630" i="1"/>
  <c r="AG630" i="1"/>
  <c r="W630" i="1"/>
  <c r="V630" i="1"/>
  <c r="U630" i="1"/>
  <c r="T630" i="1"/>
  <c r="S630" i="1"/>
  <c r="R630" i="1"/>
  <c r="Q630" i="1"/>
  <c r="P630" i="1"/>
  <c r="O630" i="1"/>
  <c r="N630" i="1"/>
  <c r="M630" i="1"/>
  <c r="L630" i="1"/>
  <c r="K630" i="1"/>
  <c r="J630" i="1"/>
  <c r="I630" i="1"/>
  <c r="H630" i="1"/>
  <c r="AZ629" i="1"/>
  <c r="AY629" i="1"/>
  <c r="AX629" i="1"/>
  <c r="AW629" i="1"/>
  <c r="AV629" i="1"/>
  <c r="AU629" i="1"/>
  <c r="AT629" i="1"/>
  <c r="AS629" i="1"/>
  <c r="AR629" i="1"/>
  <c r="AQ629" i="1"/>
  <c r="AP629" i="1"/>
  <c r="AI629" i="1"/>
  <c r="AH629" i="1"/>
  <c r="AG629" i="1"/>
  <c r="W629" i="1"/>
  <c r="V629" i="1"/>
  <c r="U629" i="1"/>
  <c r="T629" i="1"/>
  <c r="S629" i="1"/>
  <c r="R629" i="1"/>
  <c r="Q629" i="1"/>
  <c r="P629" i="1"/>
  <c r="O629" i="1"/>
  <c r="N629" i="1"/>
  <c r="M629" i="1"/>
  <c r="L629" i="1"/>
  <c r="K629" i="1"/>
  <c r="J629" i="1"/>
  <c r="I629" i="1"/>
  <c r="H629" i="1"/>
  <c r="AZ628" i="1"/>
  <c r="AY628" i="1"/>
  <c r="AX628" i="1"/>
  <c r="AW628" i="1"/>
  <c r="AV628" i="1"/>
  <c r="AU628" i="1"/>
  <c r="AT628" i="1"/>
  <c r="AS628" i="1"/>
  <c r="AR628" i="1"/>
  <c r="AQ628" i="1"/>
  <c r="AP628" i="1"/>
  <c r="AI628" i="1"/>
  <c r="AH628" i="1"/>
  <c r="AG628" i="1"/>
  <c r="W628" i="1"/>
  <c r="V628" i="1"/>
  <c r="U628" i="1"/>
  <c r="T628" i="1"/>
  <c r="S628" i="1"/>
  <c r="R628" i="1"/>
  <c r="Q628" i="1"/>
  <c r="P628" i="1"/>
  <c r="O628" i="1"/>
  <c r="N628" i="1"/>
  <c r="M628" i="1"/>
  <c r="L628" i="1"/>
  <c r="K628" i="1"/>
  <c r="J628" i="1"/>
  <c r="I628" i="1"/>
  <c r="H628" i="1"/>
  <c r="AZ627" i="1"/>
  <c r="AY627" i="1"/>
  <c r="AX627" i="1"/>
  <c r="AW627" i="1"/>
  <c r="AV627" i="1"/>
  <c r="AU627" i="1"/>
  <c r="AT627" i="1"/>
  <c r="AS627" i="1"/>
  <c r="AR627" i="1"/>
  <c r="AQ627" i="1"/>
  <c r="AP627" i="1"/>
  <c r="AI627" i="1"/>
  <c r="AH627" i="1"/>
  <c r="AG627" i="1"/>
  <c r="W627" i="1"/>
  <c r="V627" i="1"/>
  <c r="U627" i="1"/>
  <c r="T627" i="1"/>
  <c r="S627" i="1"/>
  <c r="R627" i="1"/>
  <c r="Q627" i="1"/>
  <c r="P627" i="1"/>
  <c r="O627" i="1"/>
  <c r="N627" i="1"/>
  <c r="M627" i="1"/>
  <c r="L627" i="1"/>
  <c r="K627" i="1"/>
  <c r="J627" i="1"/>
  <c r="I627" i="1"/>
  <c r="H627" i="1"/>
  <c r="AZ626" i="1"/>
  <c r="AY626" i="1"/>
  <c r="AX626" i="1"/>
  <c r="AW626" i="1"/>
  <c r="AV626" i="1"/>
  <c r="AU626" i="1"/>
  <c r="AT626" i="1"/>
  <c r="AS626" i="1"/>
  <c r="AR626" i="1"/>
  <c r="AQ626" i="1"/>
  <c r="AP626" i="1"/>
  <c r="AI626" i="1"/>
  <c r="AH626" i="1"/>
  <c r="AG626" i="1"/>
  <c r="W626" i="1"/>
  <c r="V626" i="1"/>
  <c r="U626" i="1"/>
  <c r="T626" i="1"/>
  <c r="S626" i="1"/>
  <c r="R626" i="1"/>
  <c r="Q626" i="1"/>
  <c r="P626" i="1"/>
  <c r="O626" i="1"/>
  <c r="N626" i="1"/>
  <c r="M626" i="1"/>
  <c r="L626" i="1"/>
  <c r="K626" i="1"/>
  <c r="J626" i="1"/>
  <c r="I626" i="1"/>
  <c r="H626" i="1"/>
  <c r="AZ625" i="1"/>
  <c r="AY625" i="1"/>
  <c r="AX625" i="1"/>
  <c r="AW625" i="1"/>
  <c r="AV625" i="1"/>
  <c r="AU625" i="1"/>
  <c r="AT625" i="1"/>
  <c r="AS625" i="1"/>
  <c r="AR625" i="1"/>
  <c r="AQ625" i="1"/>
  <c r="AP625" i="1"/>
  <c r="AH625" i="1"/>
  <c r="AG625" i="1"/>
  <c r="W625" i="1"/>
  <c r="V625" i="1"/>
  <c r="U625" i="1"/>
  <c r="T625" i="1"/>
  <c r="S625" i="1"/>
  <c r="R625" i="1"/>
  <c r="Q625" i="1"/>
  <c r="P625" i="1"/>
  <c r="O625" i="1"/>
  <c r="N625" i="1"/>
  <c r="M625" i="1"/>
  <c r="L625" i="1"/>
  <c r="K625" i="1"/>
  <c r="J625" i="1"/>
  <c r="I625" i="1"/>
  <c r="H625" i="1"/>
  <c r="AZ624" i="1"/>
  <c r="AY624" i="1"/>
  <c r="AX624" i="1"/>
  <c r="AW624" i="1"/>
  <c r="AV624" i="1"/>
  <c r="AU624" i="1"/>
  <c r="AT624" i="1"/>
  <c r="AS624" i="1"/>
  <c r="AR624" i="1"/>
  <c r="AQ624" i="1"/>
  <c r="AP624" i="1"/>
  <c r="AH624" i="1"/>
  <c r="AG624" i="1"/>
  <c r="W624" i="1"/>
  <c r="V624" i="1"/>
  <c r="U624" i="1"/>
  <c r="T624" i="1"/>
  <c r="S624" i="1"/>
  <c r="R624" i="1"/>
  <c r="Q624" i="1"/>
  <c r="P624" i="1"/>
  <c r="O624" i="1"/>
  <c r="N624" i="1"/>
  <c r="M624" i="1"/>
  <c r="L624" i="1"/>
  <c r="K624" i="1"/>
  <c r="J624" i="1"/>
  <c r="I624" i="1"/>
  <c r="H624" i="1"/>
  <c r="AZ623" i="1"/>
  <c r="AY623" i="1"/>
  <c r="AX623" i="1"/>
  <c r="AW623" i="1"/>
  <c r="AV623" i="1"/>
  <c r="AU623" i="1"/>
  <c r="AT623" i="1"/>
  <c r="AS623" i="1"/>
  <c r="AR623" i="1"/>
  <c r="AQ623" i="1"/>
  <c r="AP623" i="1"/>
  <c r="W623" i="1"/>
  <c r="V623" i="1"/>
  <c r="U623" i="1"/>
  <c r="T623" i="1"/>
  <c r="S623" i="1"/>
  <c r="R623" i="1"/>
  <c r="Q623" i="1"/>
  <c r="P623" i="1"/>
  <c r="O623" i="1"/>
  <c r="N623" i="1"/>
  <c r="M623" i="1"/>
  <c r="L623" i="1"/>
  <c r="K623" i="1"/>
  <c r="J623" i="1"/>
  <c r="I623" i="1"/>
  <c r="H623" i="1"/>
  <c r="AZ622" i="1"/>
  <c r="AY622" i="1"/>
  <c r="AX622" i="1"/>
  <c r="AW622" i="1"/>
  <c r="AV622" i="1"/>
  <c r="AU622" i="1"/>
  <c r="AT622" i="1"/>
  <c r="AS622" i="1"/>
  <c r="AR622" i="1"/>
  <c r="AQ622" i="1"/>
  <c r="AP622" i="1"/>
  <c r="AI622" i="1"/>
  <c r="AH622" i="1"/>
  <c r="AG622" i="1"/>
  <c r="W622" i="1"/>
  <c r="V622" i="1"/>
  <c r="U622" i="1"/>
  <c r="T622" i="1"/>
  <c r="S622" i="1"/>
  <c r="R622" i="1"/>
  <c r="Q622" i="1"/>
  <c r="P622" i="1"/>
  <c r="O622" i="1"/>
  <c r="N622" i="1"/>
  <c r="M622" i="1"/>
  <c r="L622" i="1"/>
  <c r="K622" i="1"/>
  <c r="J622" i="1"/>
  <c r="I622" i="1"/>
  <c r="H622" i="1"/>
  <c r="AZ621" i="1"/>
  <c r="AY621" i="1"/>
  <c r="AX621" i="1"/>
  <c r="AW621" i="1"/>
  <c r="AV621" i="1"/>
  <c r="AU621" i="1"/>
  <c r="AT621" i="1"/>
  <c r="AS621" i="1"/>
  <c r="AR621" i="1"/>
  <c r="AQ621" i="1"/>
  <c r="AP621" i="1"/>
  <c r="AI621" i="1"/>
  <c r="AH621" i="1"/>
  <c r="AG621" i="1"/>
  <c r="W621" i="1"/>
  <c r="V621" i="1"/>
  <c r="U621" i="1"/>
  <c r="T621" i="1"/>
  <c r="S621" i="1"/>
  <c r="R621" i="1"/>
  <c r="Q621" i="1"/>
  <c r="P621" i="1"/>
  <c r="O621" i="1"/>
  <c r="N621" i="1"/>
  <c r="M621" i="1"/>
  <c r="L621" i="1"/>
  <c r="K621" i="1"/>
  <c r="J621" i="1"/>
  <c r="I621" i="1"/>
  <c r="H621" i="1"/>
  <c r="AZ620" i="1"/>
  <c r="AY620" i="1"/>
  <c r="AX620" i="1"/>
  <c r="AW620" i="1"/>
  <c r="AV620" i="1"/>
  <c r="AU620" i="1"/>
  <c r="AT620" i="1"/>
  <c r="AS620" i="1"/>
  <c r="AR620" i="1"/>
  <c r="AQ620" i="1"/>
  <c r="AP620" i="1"/>
  <c r="AI620" i="1"/>
  <c r="AH620" i="1"/>
  <c r="AG620" i="1"/>
  <c r="W620" i="1"/>
  <c r="V620" i="1"/>
  <c r="U620" i="1"/>
  <c r="T620" i="1"/>
  <c r="S620" i="1"/>
  <c r="R620" i="1"/>
  <c r="Q620" i="1"/>
  <c r="P620" i="1"/>
  <c r="O620" i="1"/>
  <c r="N620" i="1"/>
  <c r="M620" i="1"/>
  <c r="L620" i="1"/>
  <c r="K620" i="1"/>
  <c r="J620" i="1"/>
  <c r="I620" i="1"/>
  <c r="H620" i="1"/>
  <c r="AZ619" i="1"/>
  <c r="AY619" i="1"/>
  <c r="AX619" i="1"/>
  <c r="AW619" i="1"/>
  <c r="AV619" i="1"/>
  <c r="AU619" i="1"/>
  <c r="AT619" i="1"/>
  <c r="AS619" i="1"/>
  <c r="AR619" i="1"/>
  <c r="AQ619" i="1"/>
  <c r="AP619" i="1"/>
  <c r="AI619" i="1"/>
  <c r="AH619" i="1"/>
  <c r="AG619" i="1"/>
  <c r="W619" i="1"/>
  <c r="V619" i="1"/>
  <c r="U619" i="1"/>
  <c r="T619" i="1"/>
  <c r="S619" i="1"/>
  <c r="R619" i="1"/>
  <c r="Q619" i="1"/>
  <c r="P619" i="1"/>
  <c r="O619" i="1"/>
  <c r="N619" i="1"/>
  <c r="M619" i="1"/>
  <c r="L619" i="1"/>
  <c r="K619" i="1"/>
  <c r="J619" i="1"/>
  <c r="I619" i="1"/>
  <c r="H619" i="1"/>
  <c r="AZ618" i="1"/>
  <c r="AY618" i="1"/>
  <c r="AX618" i="1"/>
  <c r="AW618" i="1"/>
  <c r="AV618" i="1"/>
  <c r="AU618" i="1"/>
  <c r="AT618" i="1"/>
  <c r="AS618" i="1"/>
  <c r="AR618" i="1"/>
  <c r="AQ618" i="1"/>
  <c r="AP618" i="1"/>
  <c r="AI618" i="1"/>
  <c r="AH618" i="1"/>
  <c r="AG618" i="1"/>
  <c r="W618" i="1"/>
  <c r="V618" i="1"/>
  <c r="U618" i="1"/>
  <c r="T618" i="1"/>
  <c r="S618" i="1"/>
  <c r="R618" i="1"/>
  <c r="Q618" i="1"/>
  <c r="P618" i="1"/>
  <c r="O618" i="1"/>
  <c r="N618" i="1"/>
  <c r="M618" i="1"/>
  <c r="L618" i="1"/>
  <c r="K618" i="1"/>
  <c r="J618" i="1"/>
  <c r="I618" i="1"/>
  <c r="H618" i="1"/>
  <c r="AZ617" i="1"/>
  <c r="AY617" i="1"/>
  <c r="AX617" i="1"/>
  <c r="AW617" i="1"/>
  <c r="AV617" i="1"/>
  <c r="AU617" i="1"/>
  <c r="AT617" i="1"/>
  <c r="AS617" i="1"/>
  <c r="AR617" i="1"/>
  <c r="AQ617" i="1"/>
  <c r="AP617" i="1"/>
  <c r="AI617" i="1"/>
  <c r="AH617" i="1"/>
  <c r="AG617" i="1"/>
  <c r="W617" i="1"/>
  <c r="V617" i="1"/>
  <c r="U617" i="1"/>
  <c r="T617" i="1"/>
  <c r="S617" i="1"/>
  <c r="R617" i="1"/>
  <c r="Q617" i="1"/>
  <c r="P617" i="1"/>
  <c r="O617" i="1"/>
  <c r="N617" i="1"/>
  <c r="M617" i="1"/>
  <c r="L617" i="1"/>
  <c r="K617" i="1"/>
  <c r="J617" i="1"/>
  <c r="I617" i="1"/>
  <c r="H617" i="1"/>
  <c r="AZ616" i="1"/>
  <c r="AY616" i="1"/>
  <c r="AX616" i="1"/>
  <c r="AW616" i="1"/>
  <c r="AV616" i="1"/>
  <c r="AU616" i="1"/>
  <c r="AT616" i="1"/>
  <c r="AS616" i="1"/>
  <c r="AR616" i="1"/>
  <c r="AQ616" i="1"/>
  <c r="AP616" i="1"/>
  <c r="AI616" i="1"/>
  <c r="AH616" i="1"/>
  <c r="AG616" i="1"/>
  <c r="W616" i="1"/>
  <c r="V616" i="1"/>
  <c r="U616" i="1"/>
  <c r="T616" i="1"/>
  <c r="S616" i="1"/>
  <c r="R616" i="1"/>
  <c r="Q616" i="1"/>
  <c r="P616" i="1"/>
  <c r="O616" i="1"/>
  <c r="N616" i="1"/>
  <c r="M616" i="1"/>
  <c r="L616" i="1"/>
  <c r="K616" i="1"/>
  <c r="J616" i="1"/>
  <c r="I616" i="1"/>
  <c r="H616" i="1"/>
  <c r="AZ615" i="1"/>
  <c r="AY615" i="1"/>
  <c r="AX615" i="1"/>
  <c r="AW615" i="1"/>
  <c r="AV615" i="1"/>
  <c r="AU615" i="1"/>
  <c r="AT615" i="1"/>
  <c r="AS615" i="1"/>
  <c r="AR615" i="1"/>
  <c r="AQ615" i="1"/>
  <c r="AP615" i="1"/>
  <c r="AI615" i="1"/>
  <c r="AH615" i="1"/>
  <c r="AG615" i="1"/>
  <c r="W615" i="1"/>
  <c r="V615" i="1"/>
  <c r="U615" i="1"/>
  <c r="T615" i="1"/>
  <c r="S615" i="1"/>
  <c r="R615" i="1"/>
  <c r="Q615" i="1"/>
  <c r="P615" i="1"/>
  <c r="O615" i="1"/>
  <c r="N615" i="1"/>
  <c r="M615" i="1"/>
  <c r="L615" i="1"/>
  <c r="K615" i="1"/>
  <c r="J615" i="1"/>
  <c r="I615" i="1"/>
  <c r="H615" i="1"/>
  <c r="AZ614" i="1"/>
  <c r="AY614" i="1"/>
  <c r="AX614" i="1"/>
  <c r="AW614" i="1"/>
  <c r="AV614" i="1"/>
  <c r="AU614" i="1"/>
  <c r="AT614" i="1"/>
  <c r="AS614" i="1"/>
  <c r="AR614" i="1"/>
  <c r="AQ614" i="1"/>
  <c r="AP614" i="1"/>
  <c r="AI614" i="1"/>
  <c r="AH614" i="1"/>
  <c r="AG614" i="1"/>
  <c r="W614" i="1"/>
  <c r="V614" i="1"/>
  <c r="U614" i="1"/>
  <c r="T614" i="1"/>
  <c r="S614" i="1"/>
  <c r="R614" i="1"/>
  <c r="Q614" i="1"/>
  <c r="P614" i="1"/>
  <c r="O614" i="1"/>
  <c r="N614" i="1"/>
  <c r="M614" i="1"/>
  <c r="L614" i="1"/>
  <c r="K614" i="1"/>
  <c r="J614" i="1"/>
  <c r="I614" i="1"/>
  <c r="H614" i="1"/>
  <c r="AZ613" i="1"/>
  <c r="AY613" i="1"/>
  <c r="AX613" i="1"/>
  <c r="AW613" i="1"/>
  <c r="AV613" i="1"/>
  <c r="AU613" i="1"/>
  <c r="AT613" i="1"/>
  <c r="AS613" i="1"/>
  <c r="AR613" i="1"/>
  <c r="AQ613" i="1"/>
  <c r="AP613" i="1"/>
  <c r="AI613" i="1"/>
  <c r="AH613" i="1"/>
  <c r="AG613" i="1"/>
  <c r="W613" i="1"/>
  <c r="V613" i="1"/>
  <c r="U613" i="1"/>
  <c r="T613" i="1"/>
  <c r="S613" i="1"/>
  <c r="R613" i="1"/>
  <c r="Q613" i="1"/>
  <c r="P613" i="1"/>
  <c r="O613" i="1"/>
  <c r="N613" i="1"/>
  <c r="M613" i="1"/>
  <c r="L613" i="1"/>
  <c r="K613" i="1"/>
  <c r="J613" i="1"/>
  <c r="I613" i="1"/>
  <c r="H613" i="1"/>
  <c r="AZ612" i="1"/>
  <c r="AY612" i="1"/>
  <c r="AX612" i="1"/>
  <c r="AW612" i="1"/>
  <c r="AV612" i="1"/>
  <c r="AU612" i="1"/>
  <c r="AT612" i="1"/>
  <c r="AS612" i="1"/>
  <c r="AR612" i="1"/>
  <c r="AQ612" i="1"/>
  <c r="AP612" i="1"/>
  <c r="AI612" i="1"/>
  <c r="AH612" i="1"/>
  <c r="AG612" i="1"/>
  <c r="W612" i="1"/>
  <c r="V612" i="1"/>
  <c r="U612" i="1"/>
  <c r="T612" i="1"/>
  <c r="S612" i="1"/>
  <c r="R612" i="1"/>
  <c r="Q612" i="1"/>
  <c r="P612" i="1"/>
  <c r="O612" i="1"/>
  <c r="N612" i="1"/>
  <c r="M612" i="1"/>
  <c r="L612" i="1"/>
  <c r="K612" i="1"/>
  <c r="J612" i="1"/>
  <c r="I612" i="1"/>
  <c r="H612" i="1"/>
  <c r="AZ611" i="1"/>
  <c r="AY611" i="1"/>
  <c r="AX611" i="1"/>
  <c r="AW611" i="1"/>
  <c r="AV611" i="1"/>
  <c r="AU611" i="1"/>
  <c r="AT611" i="1"/>
  <c r="AS611" i="1"/>
  <c r="AR611" i="1"/>
  <c r="AQ611" i="1"/>
  <c r="AP611" i="1"/>
  <c r="AH611" i="1"/>
  <c r="AG611" i="1"/>
  <c r="W611" i="1"/>
  <c r="V611" i="1"/>
  <c r="U611" i="1"/>
  <c r="T611" i="1"/>
  <c r="S611" i="1"/>
  <c r="R611" i="1"/>
  <c r="Q611" i="1"/>
  <c r="P611" i="1"/>
  <c r="O611" i="1"/>
  <c r="N611" i="1"/>
  <c r="M611" i="1"/>
  <c r="L611" i="1"/>
  <c r="K611" i="1"/>
  <c r="J611" i="1"/>
  <c r="I611" i="1"/>
  <c r="H611" i="1"/>
  <c r="AZ610" i="1"/>
  <c r="AY610" i="1"/>
  <c r="AX610" i="1"/>
  <c r="AW610" i="1"/>
  <c r="AV610" i="1"/>
  <c r="AU610" i="1"/>
  <c r="AT610" i="1"/>
  <c r="AS610" i="1"/>
  <c r="AR610" i="1"/>
  <c r="AQ610" i="1"/>
  <c r="AP610" i="1"/>
  <c r="AH610" i="1"/>
  <c r="AG610" i="1"/>
  <c r="W610" i="1"/>
  <c r="V610" i="1"/>
  <c r="U610" i="1"/>
  <c r="T610" i="1"/>
  <c r="S610" i="1"/>
  <c r="R610" i="1"/>
  <c r="Q610" i="1"/>
  <c r="P610" i="1"/>
  <c r="O610" i="1"/>
  <c r="N610" i="1"/>
  <c r="M610" i="1"/>
  <c r="L610" i="1"/>
  <c r="K610" i="1"/>
  <c r="J610" i="1"/>
  <c r="I610" i="1"/>
  <c r="H610" i="1"/>
  <c r="AZ609" i="1"/>
  <c r="AY609" i="1"/>
  <c r="AX609" i="1"/>
  <c r="AW609" i="1"/>
  <c r="AV609" i="1"/>
  <c r="AU609" i="1"/>
  <c r="AT609" i="1"/>
  <c r="AS609" i="1"/>
  <c r="AR609" i="1"/>
  <c r="AQ609" i="1"/>
  <c r="AP609" i="1"/>
  <c r="W609" i="1"/>
  <c r="V609" i="1"/>
  <c r="U609" i="1"/>
  <c r="T609" i="1"/>
  <c r="S609" i="1"/>
  <c r="R609" i="1"/>
  <c r="Q609" i="1"/>
  <c r="P609" i="1"/>
  <c r="O609" i="1"/>
  <c r="N609" i="1"/>
  <c r="M609" i="1"/>
  <c r="L609" i="1"/>
  <c r="K609" i="1"/>
  <c r="J609" i="1"/>
  <c r="I609" i="1"/>
  <c r="H609" i="1"/>
  <c r="AZ608" i="1"/>
  <c r="AY608" i="1"/>
  <c r="AX608" i="1"/>
  <c r="AW608" i="1"/>
  <c r="AV608" i="1"/>
  <c r="AU608" i="1"/>
  <c r="AT608" i="1"/>
  <c r="AS608" i="1"/>
  <c r="AR608" i="1"/>
  <c r="AQ608" i="1"/>
  <c r="AP608" i="1"/>
  <c r="AH608" i="1"/>
  <c r="AG608" i="1"/>
  <c r="W608" i="1"/>
  <c r="V608" i="1"/>
  <c r="U608" i="1"/>
  <c r="T608" i="1"/>
  <c r="S608" i="1"/>
  <c r="R608" i="1"/>
  <c r="Q608" i="1"/>
  <c r="P608" i="1"/>
  <c r="O608" i="1"/>
  <c r="N608" i="1"/>
  <c r="M608" i="1"/>
  <c r="L608" i="1"/>
  <c r="K608" i="1"/>
  <c r="J608" i="1"/>
  <c r="I608" i="1"/>
  <c r="H608" i="1"/>
  <c r="AZ607" i="1"/>
  <c r="AY607" i="1"/>
  <c r="AX607" i="1"/>
  <c r="AW607" i="1"/>
  <c r="AV607" i="1"/>
  <c r="AU607" i="1"/>
  <c r="AT607" i="1"/>
  <c r="AS607" i="1"/>
  <c r="AR607" i="1"/>
  <c r="AQ607" i="1"/>
  <c r="AP607" i="1"/>
  <c r="AI607" i="1"/>
  <c r="AH607" i="1"/>
  <c r="AG607" i="1"/>
  <c r="W607" i="1"/>
  <c r="V607" i="1"/>
  <c r="U607" i="1"/>
  <c r="T607" i="1"/>
  <c r="S607" i="1"/>
  <c r="R607" i="1"/>
  <c r="Q607" i="1"/>
  <c r="P607" i="1"/>
  <c r="O607" i="1"/>
  <c r="N607" i="1"/>
  <c r="M607" i="1"/>
  <c r="L607" i="1"/>
  <c r="K607" i="1"/>
  <c r="J607" i="1"/>
  <c r="I607" i="1"/>
  <c r="H607" i="1"/>
  <c r="D607" i="1"/>
  <c r="AZ606" i="1"/>
  <c r="AY606" i="1"/>
  <c r="AX606" i="1"/>
  <c r="AW606" i="1"/>
  <c r="AV606" i="1"/>
  <c r="AU606" i="1"/>
  <c r="AT606" i="1"/>
  <c r="AS606" i="1"/>
  <c r="AR606" i="1"/>
  <c r="AQ606" i="1"/>
  <c r="AP606" i="1"/>
  <c r="AI606" i="1"/>
  <c r="AH606" i="1"/>
  <c r="AG606" i="1"/>
  <c r="W606" i="1"/>
  <c r="V606" i="1"/>
  <c r="U606" i="1"/>
  <c r="T606" i="1"/>
  <c r="S606" i="1"/>
  <c r="R606" i="1"/>
  <c r="Q606" i="1"/>
  <c r="P606" i="1"/>
  <c r="O606" i="1"/>
  <c r="N606" i="1"/>
  <c r="M606" i="1"/>
  <c r="L606" i="1"/>
  <c r="K606" i="1"/>
  <c r="J606" i="1"/>
  <c r="I606" i="1"/>
  <c r="H606" i="1"/>
  <c r="D606" i="1"/>
  <c r="AZ605" i="1"/>
  <c r="AY605" i="1"/>
  <c r="AX605" i="1"/>
  <c r="AW605" i="1"/>
  <c r="AV605" i="1"/>
  <c r="AU605" i="1"/>
  <c r="AT605" i="1"/>
  <c r="AS605" i="1"/>
  <c r="AR605" i="1"/>
  <c r="AQ605" i="1"/>
  <c r="AP605" i="1"/>
  <c r="AI605" i="1"/>
  <c r="AH605" i="1"/>
  <c r="AG605" i="1"/>
  <c r="W605" i="1"/>
  <c r="V605" i="1"/>
  <c r="U605" i="1"/>
  <c r="T605" i="1"/>
  <c r="S605" i="1"/>
  <c r="R605" i="1"/>
  <c r="Q605" i="1"/>
  <c r="P605" i="1"/>
  <c r="O605" i="1"/>
  <c r="N605" i="1"/>
  <c r="M605" i="1"/>
  <c r="L605" i="1"/>
  <c r="K605" i="1"/>
  <c r="J605" i="1"/>
  <c r="I605" i="1"/>
  <c r="H605" i="1"/>
  <c r="D605" i="1"/>
  <c r="AZ604" i="1"/>
  <c r="AY604" i="1"/>
  <c r="AX604" i="1"/>
  <c r="AW604" i="1"/>
  <c r="AV604" i="1"/>
  <c r="AU604" i="1"/>
  <c r="AT604" i="1"/>
  <c r="AS604" i="1"/>
  <c r="AR604" i="1"/>
  <c r="AQ604" i="1"/>
  <c r="AP604" i="1"/>
  <c r="AH604" i="1"/>
  <c r="AG604" i="1"/>
  <c r="W604" i="1"/>
  <c r="V604" i="1"/>
  <c r="U604" i="1"/>
  <c r="T604" i="1"/>
  <c r="S604" i="1"/>
  <c r="R604" i="1"/>
  <c r="Q604" i="1"/>
  <c r="P604" i="1"/>
  <c r="O604" i="1"/>
  <c r="N604" i="1"/>
  <c r="M604" i="1"/>
  <c r="L604" i="1"/>
  <c r="K604" i="1"/>
  <c r="J604" i="1"/>
  <c r="I604" i="1"/>
  <c r="H604" i="1"/>
  <c r="AZ603" i="1"/>
  <c r="AY603" i="1"/>
  <c r="AX603" i="1"/>
  <c r="AW603" i="1"/>
  <c r="AV603" i="1"/>
  <c r="AU603" i="1"/>
  <c r="AT603" i="1"/>
  <c r="AS603" i="1"/>
  <c r="AR603" i="1"/>
  <c r="AQ603" i="1"/>
  <c r="AP603" i="1"/>
  <c r="AI603" i="1"/>
  <c r="AH603" i="1"/>
  <c r="AG603" i="1"/>
  <c r="W603" i="1"/>
  <c r="V603" i="1"/>
  <c r="U603" i="1"/>
  <c r="T603" i="1"/>
  <c r="S603" i="1"/>
  <c r="R603" i="1"/>
  <c r="Q603" i="1"/>
  <c r="P603" i="1"/>
  <c r="O603" i="1"/>
  <c r="N603" i="1"/>
  <c r="M603" i="1"/>
  <c r="L603" i="1"/>
  <c r="K603" i="1"/>
  <c r="J603" i="1"/>
  <c r="I603" i="1"/>
  <c r="H603" i="1"/>
  <c r="AZ602" i="1"/>
  <c r="AY602" i="1"/>
  <c r="AX602" i="1"/>
  <c r="AW602" i="1"/>
  <c r="AV602" i="1"/>
  <c r="AU602" i="1"/>
  <c r="AT602" i="1"/>
  <c r="AS602" i="1"/>
  <c r="AR602" i="1"/>
  <c r="AQ602" i="1"/>
  <c r="AP602" i="1"/>
  <c r="AH602" i="1"/>
  <c r="AG602" i="1"/>
  <c r="W602" i="1"/>
  <c r="V602" i="1"/>
  <c r="U602" i="1"/>
  <c r="T602" i="1"/>
  <c r="S602" i="1"/>
  <c r="R602" i="1"/>
  <c r="Q602" i="1"/>
  <c r="P602" i="1"/>
  <c r="O602" i="1"/>
  <c r="N602" i="1"/>
  <c r="M602" i="1"/>
  <c r="L602" i="1"/>
  <c r="K602" i="1"/>
  <c r="J602" i="1"/>
  <c r="I602" i="1"/>
  <c r="H602" i="1"/>
  <c r="AZ601" i="1"/>
  <c r="AY601" i="1"/>
  <c r="AX601" i="1"/>
  <c r="AW601" i="1"/>
  <c r="AV601" i="1"/>
  <c r="AU601" i="1"/>
  <c r="AT601" i="1"/>
  <c r="AS601" i="1"/>
  <c r="AR601" i="1"/>
  <c r="AQ601" i="1"/>
  <c r="AP601" i="1"/>
  <c r="AH601" i="1"/>
  <c r="AG601" i="1"/>
  <c r="W601" i="1"/>
  <c r="V601" i="1"/>
  <c r="U601" i="1"/>
  <c r="T601" i="1"/>
  <c r="S601" i="1"/>
  <c r="R601" i="1"/>
  <c r="Q601" i="1"/>
  <c r="P601" i="1"/>
  <c r="O601" i="1"/>
  <c r="N601" i="1"/>
  <c r="M601" i="1"/>
  <c r="L601" i="1"/>
  <c r="K601" i="1"/>
  <c r="J601" i="1"/>
  <c r="I601" i="1"/>
  <c r="H601" i="1"/>
  <c r="AZ600" i="1"/>
  <c r="AY600" i="1"/>
  <c r="AX600" i="1"/>
  <c r="AW600" i="1"/>
  <c r="AV600" i="1"/>
  <c r="AU600" i="1"/>
  <c r="AT600" i="1"/>
  <c r="AS600" i="1"/>
  <c r="AR600" i="1"/>
  <c r="AQ600" i="1"/>
  <c r="AP600" i="1"/>
  <c r="AH600" i="1"/>
  <c r="AG600" i="1"/>
  <c r="W600" i="1"/>
  <c r="V600" i="1"/>
  <c r="U600" i="1"/>
  <c r="T600" i="1"/>
  <c r="S600" i="1"/>
  <c r="R600" i="1"/>
  <c r="Q600" i="1"/>
  <c r="P600" i="1"/>
  <c r="O600" i="1"/>
  <c r="N600" i="1"/>
  <c r="M600" i="1"/>
  <c r="L600" i="1"/>
  <c r="K600" i="1"/>
  <c r="J600" i="1"/>
  <c r="I600" i="1"/>
  <c r="H600" i="1"/>
  <c r="AZ599" i="1"/>
  <c r="AY599" i="1"/>
  <c r="AX599" i="1"/>
  <c r="AW599" i="1"/>
  <c r="AV599" i="1"/>
  <c r="AU599" i="1"/>
  <c r="AT599" i="1"/>
  <c r="AS599" i="1"/>
  <c r="AR599" i="1"/>
  <c r="AQ599" i="1"/>
  <c r="AP599" i="1"/>
  <c r="AH599" i="1"/>
  <c r="AG599" i="1"/>
  <c r="W599" i="1"/>
  <c r="V599" i="1"/>
  <c r="U599" i="1"/>
  <c r="T599" i="1"/>
  <c r="S599" i="1"/>
  <c r="R599" i="1"/>
  <c r="Q599" i="1"/>
  <c r="P599" i="1"/>
  <c r="O599" i="1"/>
  <c r="N599" i="1"/>
  <c r="M599" i="1"/>
  <c r="L599" i="1"/>
  <c r="K599" i="1"/>
  <c r="J599" i="1"/>
  <c r="I599" i="1"/>
  <c r="H599" i="1"/>
  <c r="AZ598" i="1"/>
  <c r="AY598" i="1"/>
  <c r="AX598" i="1"/>
  <c r="AW598" i="1"/>
  <c r="AV598" i="1"/>
  <c r="AU598" i="1"/>
  <c r="AT598" i="1"/>
  <c r="AS598" i="1"/>
  <c r="AR598" i="1"/>
  <c r="AQ598" i="1"/>
  <c r="AP598" i="1"/>
  <c r="AH598" i="1"/>
  <c r="AG598" i="1"/>
  <c r="W598" i="1"/>
  <c r="V598" i="1"/>
  <c r="U598" i="1"/>
  <c r="T598" i="1"/>
  <c r="S598" i="1"/>
  <c r="R598" i="1"/>
  <c r="Q598" i="1"/>
  <c r="P598" i="1"/>
  <c r="O598" i="1"/>
  <c r="N598" i="1"/>
  <c r="M598" i="1"/>
  <c r="L598" i="1"/>
  <c r="K598" i="1"/>
  <c r="J598" i="1"/>
  <c r="I598" i="1"/>
  <c r="H598" i="1"/>
  <c r="AZ597" i="1"/>
  <c r="AY597" i="1"/>
  <c r="AX597" i="1"/>
  <c r="AW597" i="1"/>
  <c r="AV597" i="1"/>
  <c r="AU597" i="1"/>
  <c r="AT597" i="1"/>
  <c r="AS597" i="1"/>
  <c r="AR597" i="1"/>
  <c r="AQ597" i="1"/>
  <c r="AP597" i="1"/>
  <c r="AH597" i="1"/>
  <c r="AG597" i="1"/>
  <c r="W597" i="1"/>
  <c r="V597" i="1"/>
  <c r="U597" i="1"/>
  <c r="T597" i="1"/>
  <c r="S597" i="1"/>
  <c r="R597" i="1"/>
  <c r="Q597" i="1"/>
  <c r="P597" i="1"/>
  <c r="O597" i="1"/>
  <c r="N597" i="1"/>
  <c r="M597" i="1"/>
  <c r="L597" i="1"/>
  <c r="K597" i="1"/>
  <c r="J597" i="1"/>
  <c r="I597" i="1"/>
  <c r="H597" i="1"/>
  <c r="AZ596" i="1"/>
  <c r="AY596" i="1"/>
  <c r="AX596" i="1"/>
  <c r="AW596" i="1"/>
  <c r="AV596" i="1"/>
  <c r="AU596" i="1"/>
  <c r="AT596" i="1"/>
  <c r="AS596" i="1"/>
  <c r="AR596" i="1"/>
  <c r="AQ596" i="1"/>
  <c r="AP596" i="1"/>
  <c r="AH596" i="1"/>
  <c r="AG596" i="1"/>
  <c r="W596" i="1"/>
  <c r="V596" i="1"/>
  <c r="U596" i="1"/>
  <c r="T596" i="1"/>
  <c r="S596" i="1"/>
  <c r="R596" i="1"/>
  <c r="Q596" i="1"/>
  <c r="P596" i="1"/>
  <c r="O596" i="1"/>
  <c r="N596" i="1"/>
  <c r="M596" i="1"/>
  <c r="L596" i="1"/>
  <c r="K596" i="1"/>
  <c r="J596" i="1"/>
  <c r="I596" i="1"/>
  <c r="H596" i="1"/>
  <c r="AZ595" i="1"/>
  <c r="AY595" i="1"/>
  <c r="AX595" i="1"/>
  <c r="AW595" i="1"/>
  <c r="AV595" i="1"/>
  <c r="AU595" i="1"/>
  <c r="AT595" i="1"/>
  <c r="AS595" i="1"/>
  <c r="AR595" i="1"/>
  <c r="AQ595" i="1"/>
  <c r="AP595" i="1"/>
  <c r="AI595" i="1"/>
  <c r="AH595" i="1"/>
  <c r="AG595" i="1"/>
  <c r="W595" i="1"/>
  <c r="V595" i="1"/>
  <c r="U595" i="1"/>
  <c r="T595" i="1"/>
  <c r="S595" i="1"/>
  <c r="R595" i="1"/>
  <c r="Q595" i="1"/>
  <c r="P595" i="1"/>
  <c r="O595" i="1"/>
  <c r="N595" i="1"/>
  <c r="M595" i="1"/>
  <c r="L595" i="1"/>
  <c r="K595" i="1"/>
  <c r="J595" i="1"/>
  <c r="I595" i="1"/>
  <c r="H595" i="1"/>
  <c r="AZ594" i="1"/>
  <c r="AY594" i="1"/>
  <c r="AX594" i="1"/>
  <c r="AW594" i="1"/>
  <c r="AV594" i="1"/>
  <c r="AU594" i="1"/>
  <c r="AT594" i="1"/>
  <c r="AS594" i="1"/>
  <c r="AR594" i="1"/>
  <c r="AQ594" i="1"/>
  <c r="AP594" i="1"/>
  <c r="AI594" i="1"/>
  <c r="AH594" i="1"/>
  <c r="AG594" i="1"/>
  <c r="W594" i="1"/>
  <c r="V594" i="1"/>
  <c r="U594" i="1"/>
  <c r="T594" i="1"/>
  <c r="S594" i="1"/>
  <c r="R594" i="1"/>
  <c r="Q594" i="1"/>
  <c r="P594" i="1"/>
  <c r="O594" i="1"/>
  <c r="N594" i="1"/>
  <c r="M594" i="1"/>
  <c r="L594" i="1"/>
  <c r="K594" i="1"/>
  <c r="J594" i="1"/>
  <c r="I594" i="1"/>
  <c r="H594" i="1"/>
  <c r="AZ593" i="1"/>
  <c r="AY593" i="1"/>
  <c r="AX593" i="1"/>
  <c r="AW593" i="1"/>
  <c r="AV593" i="1"/>
  <c r="AU593" i="1"/>
  <c r="AT593" i="1"/>
  <c r="AS593" i="1"/>
  <c r="AR593" i="1"/>
  <c r="AQ593" i="1"/>
  <c r="AP593" i="1"/>
  <c r="AH593" i="1"/>
  <c r="AG593" i="1"/>
  <c r="W593" i="1"/>
  <c r="V593" i="1"/>
  <c r="U593" i="1"/>
  <c r="T593" i="1"/>
  <c r="S593" i="1"/>
  <c r="R593" i="1"/>
  <c r="Q593" i="1"/>
  <c r="P593" i="1"/>
  <c r="O593" i="1"/>
  <c r="N593" i="1"/>
  <c r="M593" i="1"/>
  <c r="L593" i="1"/>
  <c r="K593" i="1"/>
  <c r="J593" i="1"/>
  <c r="I593" i="1"/>
  <c r="H593" i="1"/>
  <c r="AZ592" i="1"/>
  <c r="AY592" i="1"/>
  <c r="AX592" i="1"/>
  <c r="AW592" i="1"/>
  <c r="AV592" i="1"/>
  <c r="AU592" i="1"/>
  <c r="AT592" i="1"/>
  <c r="AS592" i="1"/>
  <c r="AR592" i="1"/>
  <c r="AQ592" i="1"/>
  <c r="AP592" i="1"/>
  <c r="AH592" i="1"/>
  <c r="AG592" i="1"/>
  <c r="W592" i="1"/>
  <c r="V592" i="1"/>
  <c r="U592" i="1"/>
  <c r="T592" i="1"/>
  <c r="S592" i="1"/>
  <c r="R592" i="1"/>
  <c r="Q592" i="1"/>
  <c r="P592" i="1"/>
  <c r="O592" i="1"/>
  <c r="N592" i="1"/>
  <c r="M592" i="1"/>
  <c r="L592" i="1"/>
  <c r="K592" i="1"/>
  <c r="J592" i="1"/>
  <c r="I592" i="1"/>
  <c r="H592" i="1"/>
  <c r="AZ591" i="1"/>
  <c r="AY591" i="1"/>
  <c r="AX591" i="1"/>
  <c r="AW591" i="1"/>
  <c r="AV591" i="1"/>
  <c r="AU591" i="1"/>
  <c r="AT591" i="1"/>
  <c r="AS591" i="1"/>
  <c r="AR591" i="1"/>
  <c r="AQ591" i="1"/>
  <c r="AP591" i="1"/>
  <c r="AI591" i="1"/>
  <c r="AH591" i="1"/>
  <c r="AG591" i="1"/>
  <c r="W591" i="1"/>
  <c r="V591" i="1"/>
  <c r="U591" i="1"/>
  <c r="T591" i="1"/>
  <c r="S591" i="1"/>
  <c r="R591" i="1"/>
  <c r="Q591" i="1"/>
  <c r="P591" i="1"/>
  <c r="O591" i="1"/>
  <c r="N591" i="1"/>
  <c r="M591" i="1"/>
  <c r="L591" i="1"/>
  <c r="K591" i="1"/>
  <c r="J591" i="1"/>
  <c r="I591" i="1"/>
  <c r="H591" i="1"/>
  <c r="AZ590" i="1"/>
  <c r="AY590" i="1"/>
  <c r="AX590" i="1"/>
  <c r="AW590" i="1"/>
  <c r="AV590" i="1"/>
  <c r="AU590" i="1"/>
  <c r="AT590" i="1"/>
  <c r="AS590" i="1"/>
  <c r="AR590" i="1"/>
  <c r="AQ590" i="1"/>
  <c r="AP590" i="1"/>
  <c r="AH590" i="1"/>
  <c r="AG590" i="1"/>
  <c r="W590" i="1"/>
  <c r="V590" i="1"/>
  <c r="U590" i="1"/>
  <c r="T590" i="1"/>
  <c r="S590" i="1"/>
  <c r="R590" i="1"/>
  <c r="Q590" i="1"/>
  <c r="P590" i="1"/>
  <c r="O590" i="1"/>
  <c r="N590" i="1"/>
  <c r="M590" i="1"/>
  <c r="L590" i="1"/>
  <c r="K590" i="1"/>
  <c r="J590" i="1"/>
  <c r="I590" i="1"/>
  <c r="H590" i="1"/>
  <c r="AZ589" i="1"/>
  <c r="AY589" i="1"/>
  <c r="AX589" i="1"/>
  <c r="AW589" i="1"/>
  <c r="AV589" i="1"/>
  <c r="AU589" i="1"/>
  <c r="AT589" i="1"/>
  <c r="AS589" i="1"/>
  <c r="AR589" i="1"/>
  <c r="AQ589" i="1"/>
  <c r="AP589" i="1"/>
  <c r="AI589" i="1"/>
  <c r="AH589" i="1"/>
  <c r="AG589" i="1"/>
  <c r="W589" i="1"/>
  <c r="V589" i="1"/>
  <c r="U589" i="1"/>
  <c r="T589" i="1"/>
  <c r="S589" i="1"/>
  <c r="R589" i="1"/>
  <c r="Q589" i="1"/>
  <c r="P589" i="1"/>
  <c r="O589" i="1"/>
  <c r="N589" i="1"/>
  <c r="M589" i="1"/>
  <c r="L589" i="1"/>
  <c r="K589" i="1"/>
  <c r="J589" i="1"/>
  <c r="I589" i="1"/>
  <c r="H589" i="1"/>
  <c r="AZ588" i="1"/>
  <c r="AY588" i="1"/>
  <c r="AX588" i="1"/>
  <c r="AW588" i="1"/>
  <c r="AV588" i="1"/>
  <c r="AU588" i="1"/>
  <c r="AT588" i="1"/>
  <c r="AS588" i="1"/>
  <c r="AR588" i="1"/>
  <c r="AQ588" i="1"/>
  <c r="AP588" i="1"/>
  <c r="AH588" i="1"/>
  <c r="AG588" i="1"/>
  <c r="W588" i="1"/>
  <c r="V588" i="1"/>
  <c r="U588" i="1"/>
  <c r="T588" i="1"/>
  <c r="S588" i="1"/>
  <c r="R588" i="1"/>
  <c r="Q588" i="1"/>
  <c r="P588" i="1"/>
  <c r="O588" i="1"/>
  <c r="N588" i="1"/>
  <c r="M588" i="1"/>
  <c r="L588" i="1"/>
  <c r="K588" i="1"/>
  <c r="J588" i="1"/>
  <c r="I588" i="1"/>
  <c r="H588" i="1"/>
  <c r="AZ587" i="1"/>
  <c r="AY587" i="1"/>
  <c r="AX587" i="1"/>
  <c r="AW587" i="1"/>
  <c r="AV587" i="1"/>
  <c r="AU587" i="1"/>
  <c r="AT587" i="1"/>
  <c r="AS587" i="1"/>
  <c r="AR587" i="1"/>
  <c r="AQ587" i="1"/>
  <c r="AP587" i="1"/>
  <c r="AI587" i="1"/>
  <c r="AH587" i="1"/>
  <c r="AG587" i="1"/>
  <c r="W587" i="1"/>
  <c r="V587" i="1"/>
  <c r="U587" i="1"/>
  <c r="T587" i="1"/>
  <c r="S587" i="1"/>
  <c r="R587" i="1"/>
  <c r="Q587" i="1"/>
  <c r="P587" i="1"/>
  <c r="O587" i="1"/>
  <c r="N587" i="1"/>
  <c r="M587" i="1"/>
  <c r="L587" i="1"/>
  <c r="K587" i="1"/>
  <c r="J587" i="1"/>
  <c r="I587" i="1"/>
  <c r="H587" i="1"/>
  <c r="AZ586" i="1"/>
  <c r="AY586" i="1"/>
  <c r="AX586" i="1"/>
  <c r="AW586" i="1"/>
  <c r="AV586" i="1"/>
  <c r="AU586" i="1"/>
  <c r="AT586" i="1"/>
  <c r="AS586" i="1"/>
  <c r="AR586" i="1"/>
  <c r="AQ586" i="1"/>
  <c r="AP586" i="1"/>
  <c r="AH586" i="1"/>
  <c r="AG586" i="1"/>
  <c r="W586" i="1"/>
  <c r="V586" i="1"/>
  <c r="U586" i="1"/>
  <c r="T586" i="1"/>
  <c r="S586" i="1"/>
  <c r="R586" i="1"/>
  <c r="Q586" i="1"/>
  <c r="P586" i="1"/>
  <c r="O586" i="1"/>
  <c r="N586" i="1"/>
  <c r="M586" i="1"/>
  <c r="L586" i="1"/>
  <c r="K586" i="1"/>
  <c r="J586" i="1"/>
  <c r="I586" i="1"/>
  <c r="H586" i="1"/>
  <c r="AZ585" i="1"/>
  <c r="AY585" i="1"/>
  <c r="AX585" i="1"/>
  <c r="AW585" i="1"/>
  <c r="AV585" i="1"/>
  <c r="AU585" i="1"/>
  <c r="AT585" i="1"/>
  <c r="AS585" i="1"/>
  <c r="AR585" i="1"/>
  <c r="AQ585" i="1"/>
  <c r="AP585" i="1"/>
  <c r="AH585" i="1"/>
  <c r="AG585" i="1"/>
  <c r="W585" i="1"/>
  <c r="V585" i="1"/>
  <c r="U585" i="1"/>
  <c r="T585" i="1"/>
  <c r="S585" i="1"/>
  <c r="R585" i="1"/>
  <c r="Q585" i="1"/>
  <c r="P585" i="1"/>
  <c r="O585" i="1"/>
  <c r="N585" i="1"/>
  <c r="M585" i="1"/>
  <c r="L585" i="1"/>
  <c r="K585" i="1"/>
  <c r="J585" i="1"/>
  <c r="I585" i="1"/>
  <c r="H585" i="1"/>
  <c r="AZ584" i="1"/>
  <c r="AY584" i="1"/>
  <c r="AX584" i="1"/>
  <c r="AW584" i="1"/>
  <c r="AV584" i="1"/>
  <c r="AU584" i="1"/>
  <c r="AT584" i="1"/>
  <c r="AS584" i="1"/>
  <c r="AR584" i="1"/>
  <c r="AQ584" i="1"/>
  <c r="AP584" i="1"/>
  <c r="AH584" i="1"/>
  <c r="AG584" i="1"/>
  <c r="W584" i="1"/>
  <c r="V584" i="1"/>
  <c r="U584" i="1"/>
  <c r="T584" i="1"/>
  <c r="S584" i="1"/>
  <c r="R584" i="1"/>
  <c r="Q584" i="1"/>
  <c r="P584" i="1"/>
  <c r="O584" i="1"/>
  <c r="N584" i="1"/>
  <c r="M584" i="1"/>
  <c r="L584" i="1"/>
  <c r="K584" i="1"/>
  <c r="J584" i="1"/>
  <c r="I584" i="1"/>
  <c r="H584" i="1"/>
  <c r="AZ583" i="1"/>
  <c r="AY583" i="1"/>
  <c r="AX583" i="1"/>
  <c r="AW583" i="1"/>
  <c r="AV583" i="1"/>
  <c r="AU583" i="1"/>
  <c r="AT583" i="1"/>
  <c r="AS583" i="1"/>
  <c r="AR583" i="1"/>
  <c r="AQ583" i="1"/>
  <c r="AP583" i="1"/>
  <c r="AH583" i="1"/>
  <c r="AG583" i="1"/>
  <c r="W583" i="1"/>
  <c r="V583" i="1"/>
  <c r="U583" i="1"/>
  <c r="T583" i="1"/>
  <c r="S583" i="1"/>
  <c r="R583" i="1"/>
  <c r="Q583" i="1"/>
  <c r="P583" i="1"/>
  <c r="O583" i="1"/>
  <c r="N583" i="1"/>
  <c r="M583" i="1"/>
  <c r="L583" i="1"/>
  <c r="K583" i="1"/>
  <c r="J583" i="1"/>
  <c r="I583" i="1"/>
  <c r="H583" i="1"/>
  <c r="AZ582" i="1"/>
  <c r="AY582" i="1"/>
  <c r="AX582" i="1"/>
  <c r="AW582" i="1"/>
  <c r="AV582" i="1"/>
  <c r="AU582" i="1"/>
  <c r="AT582" i="1"/>
  <c r="AS582" i="1"/>
  <c r="AR582" i="1"/>
  <c r="AQ582" i="1"/>
  <c r="AP582" i="1"/>
  <c r="AH582" i="1"/>
  <c r="AG582" i="1"/>
  <c r="W582" i="1"/>
  <c r="V582" i="1"/>
  <c r="U582" i="1"/>
  <c r="T582" i="1"/>
  <c r="S582" i="1"/>
  <c r="R582" i="1"/>
  <c r="Q582" i="1"/>
  <c r="P582" i="1"/>
  <c r="O582" i="1"/>
  <c r="N582" i="1"/>
  <c r="M582" i="1"/>
  <c r="L582" i="1"/>
  <c r="K582" i="1"/>
  <c r="J582" i="1"/>
  <c r="I582" i="1"/>
  <c r="H582" i="1"/>
  <c r="AZ581" i="1"/>
  <c r="AY581" i="1"/>
  <c r="AX581" i="1"/>
  <c r="AW581" i="1"/>
  <c r="AV581" i="1"/>
  <c r="AU581" i="1"/>
  <c r="AT581" i="1"/>
  <c r="AS581" i="1"/>
  <c r="AR581" i="1"/>
  <c r="AQ581" i="1"/>
  <c r="AP581" i="1"/>
  <c r="AH581" i="1"/>
  <c r="AG581" i="1"/>
  <c r="W581" i="1"/>
  <c r="V581" i="1"/>
  <c r="U581" i="1"/>
  <c r="T581" i="1"/>
  <c r="S581" i="1"/>
  <c r="R581" i="1"/>
  <c r="Q581" i="1"/>
  <c r="P581" i="1"/>
  <c r="O581" i="1"/>
  <c r="N581" i="1"/>
  <c r="M581" i="1"/>
  <c r="L581" i="1"/>
  <c r="K581" i="1"/>
  <c r="J581" i="1"/>
  <c r="I581" i="1"/>
  <c r="H581" i="1"/>
  <c r="AZ580" i="1"/>
  <c r="AY580" i="1"/>
  <c r="AX580" i="1"/>
  <c r="AW580" i="1"/>
  <c r="AV580" i="1"/>
  <c r="AU580" i="1"/>
  <c r="AT580" i="1"/>
  <c r="AS580" i="1"/>
  <c r="AR580" i="1"/>
  <c r="AQ580" i="1"/>
  <c r="AP580" i="1"/>
  <c r="AH580" i="1"/>
  <c r="AG580" i="1"/>
  <c r="W580" i="1"/>
  <c r="V580" i="1"/>
  <c r="U580" i="1"/>
  <c r="T580" i="1"/>
  <c r="S580" i="1"/>
  <c r="R580" i="1"/>
  <c r="Q580" i="1"/>
  <c r="P580" i="1"/>
  <c r="O580" i="1"/>
  <c r="N580" i="1"/>
  <c r="M580" i="1"/>
  <c r="L580" i="1"/>
  <c r="K580" i="1"/>
  <c r="J580" i="1"/>
  <c r="I580" i="1"/>
  <c r="H580" i="1"/>
  <c r="AZ579" i="1"/>
  <c r="AY579" i="1"/>
  <c r="AX579" i="1"/>
  <c r="AW579" i="1"/>
  <c r="AV579" i="1"/>
  <c r="AU579" i="1"/>
  <c r="AT579" i="1"/>
  <c r="AS579" i="1"/>
  <c r="AR579" i="1"/>
  <c r="AQ579" i="1"/>
  <c r="AP579" i="1"/>
  <c r="AH579" i="1"/>
  <c r="AG579" i="1"/>
  <c r="W579" i="1"/>
  <c r="V579" i="1"/>
  <c r="U579" i="1"/>
  <c r="T579" i="1"/>
  <c r="S579" i="1"/>
  <c r="R579" i="1"/>
  <c r="Q579" i="1"/>
  <c r="P579" i="1"/>
  <c r="O579" i="1"/>
  <c r="N579" i="1"/>
  <c r="M579" i="1"/>
  <c r="L579" i="1"/>
  <c r="K579" i="1"/>
  <c r="J579" i="1"/>
  <c r="I579" i="1"/>
  <c r="H579" i="1"/>
  <c r="AZ578" i="1"/>
  <c r="AY578" i="1"/>
  <c r="AX578" i="1"/>
  <c r="AW578" i="1"/>
  <c r="AV578" i="1"/>
  <c r="AU578" i="1"/>
  <c r="AT578" i="1"/>
  <c r="AS578" i="1"/>
  <c r="AR578" i="1"/>
  <c r="AQ578" i="1"/>
  <c r="AP578" i="1"/>
  <c r="AH578" i="1"/>
  <c r="AG578" i="1"/>
  <c r="W578" i="1"/>
  <c r="V578" i="1"/>
  <c r="U578" i="1"/>
  <c r="T578" i="1"/>
  <c r="S578" i="1"/>
  <c r="R578" i="1"/>
  <c r="Q578" i="1"/>
  <c r="P578" i="1"/>
  <c r="O578" i="1"/>
  <c r="N578" i="1"/>
  <c r="M578" i="1"/>
  <c r="L578" i="1"/>
  <c r="K578" i="1"/>
  <c r="J578" i="1"/>
  <c r="I578" i="1"/>
  <c r="H578" i="1"/>
  <c r="AZ577" i="1"/>
  <c r="AY577" i="1"/>
  <c r="AX577" i="1"/>
  <c r="AW577" i="1"/>
  <c r="AV577" i="1"/>
  <c r="AU577" i="1"/>
  <c r="AT577" i="1"/>
  <c r="AS577" i="1"/>
  <c r="AR577" i="1"/>
  <c r="AQ577" i="1"/>
  <c r="AP577" i="1"/>
  <c r="AI577" i="1"/>
  <c r="AH577" i="1"/>
  <c r="AG577" i="1"/>
  <c r="W577" i="1"/>
  <c r="V577" i="1"/>
  <c r="U577" i="1"/>
  <c r="T577" i="1"/>
  <c r="S577" i="1"/>
  <c r="R577" i="1"/>
  <c r="Q577" i="1"/>
  <c r="P577" i="1"/>
  <c r="O577" i="1"/>
  <c r="N577" i="1"/>
  <c r="M577" i="1"/>
  <c r="L577" i="1"/>
  <c r="K577" i="1"/>
  <c r="J577" i="1"/>
  <c r="I577" i="1"/>
  <c r="H577" i="1"/>
  <c r="AZ576" i="1"/>
  <c r="AY576" i="1"/>
  <c r="AX576" i="1"/>
  <c r="AW576" i="1"/>
  <c r="AV576" i="1"/>
  <c r="AU576" i="1"/>
  <c r="AT576" i="1"/>
  <c r="AS576" i="1"/>
  <c r="AR576" i="1"/>
  <c r="AQ576" i="1"/>
  <c r="AP576" i="1"/>
  <c r="AI576" i="1"/>
  <c r="AH576" i="1"/>
  <c r="AG576" i="1"/>
  <c r="W576" i="1"/>
  <c r="V576" i="1"/>
  <c r="U576" i="1"/>
  <c r="T576" i="1"/>
  <c r="S576" i="1"/>
  <c r="R576" i="1"/>
  <c r="Q576" i="1"/>
  <c r="P576" i="1"/>
  <c r="O576" i="1"/>
  <c r="N576" i="1"/>
  <c r="M576" i="1"/>
  <c r="L576" i="1"/>
  <c r="K576" i="1"/>
  <c r="J576" i="1"/>
  <c r="I576" i="1"/>
  <c r="H576" i="1"/>
  <c r="AZ575" i="1"/>
  <c r="AY575" i="1"/>
  <c r="AX575" i="1"/>
  <c r="AW575" i="1"/>
  <c r="AV575" i="1"/>
  <c r="AU575" i="1"/>
  <c r="AT575" i="1"/>
  <c r="AS575" i="1"/>
  <c r="AR575" i="1"/>
  <c r="AQ575" i="1"/>
  <c r="AP575" i="1"/>
  <c r="AH575" i="1"/>
  <c r="AG575" i="1"/>
  <c r="W575" i="1"/>
  <c r="V575" i="1"/>
  <c r="U575" i="1"/>
  <c r="T575" i="1"/>
  <c r="S575" i="1"/>
  <c r="R575" i="1"/>
  <c r="Q575" i="1"/>
  <c r="P575" i="1"/>
  <c r="O575" i="1"/>
  <c r="N575" i="1"/>
  <c r="M575" i="1"/>
  <c r="L575" i="1"/>
  <c r="K575" i="1"/>
  <c r="J575" i="1"/>
  <c r="I575" i="1"/>
  <c r="H575" i="1"/>
  <c r="AZ574" i="1"/>
  <c r="AY574" i="1"/>
  <c r="AX574" i="1"/>
  <c r="AW574" i="1"/>
  <c r="AV574" i="1"/>
  <c r="AU574" i="1"/>
  <c r="AT574" i="1"/>
  <c r="AS574" i="1"/>
  <c r="AR574" i="1"/>
  <c r="AQ574" i="1"/>
  <c r="AP574" i="1"/>
  <c r="AI574" i="1"/>
  <c r="AH574" i="1"/>
  <c r="AG574" i="1"/>
  <c r="W574" i="1"/>
  <c r="V574" i="1"/>
  <c r="U574" i="1"/>
  <c r="T574" i="1"/>
  <c r="S574" i="1"/>
  <c r="R574" i="1"/>
  <c r="Q574" i="1"/>
  <c r="P574" i="1"/>
  <c r="O574" i="1"/>
  <c r="N574" i="1"/>
  <c r="M574" i="1"/>
  <c r="L574" i="1"/>
  <c r="K574" i="1"/>
  <c r="J574" i="1"/>
  <c r="I574" i="1"/>
  <c r="H574" i="1"/>
  <c r="AZ573" i="1"/>
  <c r="AY573" i="1"/>
  <c r="AX573" i="1"/>
  <c r="AW573" i="1"/>
  <c r="AV573" i="1"/>
  <c r="AU573" i="1"/>
  <c r="AT573" i="1"/>
  <c r="AS573" i="1"/>
  <c r="AR573" i="1"/>
  <c r="AQ573" i="1"/>
  <c r="AP573" i="1"/>
  <c r="AI573" i="1"/>
  <c r="AH573" i="1"/>
  <c r="AG573" i="1"/>
  <c r="W573" i="1"/>
  <c r="V573" i="1"/>
  <c r="U573" i="1"/>
  <c r="T573" i="1"/>
  <c r="S573" i="1"/>
  <c r="R573" i="1"/>
  <c r="Q573" i="1"/>
  <c r="P573" i="1"/>
  <c r="O573" i="1"/>
  <c r="N573" i="1"/>
  <c r="M573" i="1"/>
  <c r="L573" i="1"/>
  <c r="K573" i="1"/>
  <c r="J573" i="1"/>
  <c r="I573" i="1"/>
  <c r="H573" i="1"/>
  <c r="AZ572" i="1"/>
  <c r="AY572" i="1"/>
  <c r="AX572" i="1"/>
  <c r="AW572" i="1"/>
  <c r="AV572" i="1"/>
  <c r="AU572" i="1"/>
  <c r="AT572" i="1"/>
  <c r="AS572" i="1"/>
  <c r="AR572" i="1"/>
  <c r="AQ572" i="1"/>
  <c r="AP572" i="1"/>
  <c r="AH572" i="1"/>
  <c r="AG572" i="1"/>
  <c r="W572" i="1"/>
  <c r="V572" i="1"/>
  <c r="U572" i="1"/>
  <c r="T572" i="1"/>
  <c r="S572" i="1"/>
  <c r="R572" i="1"/>
  <c r="Q572" i="1"/>
  <c r="P572" i="1"/>
  <c r="O572" i="1"/>
  <c r="N572" i="1"/>
  <c r="M572" i="1"/>
  <c r="L572" i="1"/>
  <c r="K572" i="1"/>
  <c r="J572" i="1"/>
  <c r="I572" i="1"/>
  <c r="H572" i="1"/>
  <c r="AZ571" i="1"/>
  <c r="AY571" i="1"/>
  <c r="AX571" i="1"/>
  <c r="AW571" i="1"/>
  <c r="AV571" i="1"/>
  <c r="AU571" i="1"/>
  <c r="AT571" i="1"/>
  <c r="AS571" i="1"/>
  <c r="AR571" i="1"/>
  <c r="AQ571" i="1"/>
  <c r="AP571" i="1"/>
  <c r="W571" i="1"/>
  <c r="V571" i="1"/>
  <c r="U571" i="1"/>
  <c r="T571" i="1"/>
  <c r="S571" i="1"/>
  <c r="R571" i="1"/>
  <c r="Q571" i="1"/>
  <c r="P571" i="1"/>
  <c r="O571" i="1"/>
  <c r="N571" i="1"/>
  <c r="M571" i="1"/>
  <c r="L571" i="1"/>
  <c r="K571" i="1"/>
  <c r="J571" i="1"/>
  <c r="I571" i="1"/>
  <c r="H571" i="1"/>
  <c r="AZ570" i="1"/>
  <c r="AY570" i="1"/>
  <c r="AX570" i="1"/>
  <c r="AW570" i="1"/>
  <c r="AV570" i="1"/>
  <c r="AU570" i="1"/>
  <c r="AT570" i="1"/>
  <c r="AS570" i="1"/>
  <c r="AR570" i="1"/>
  <c r="AQ570" i="1"/>
  <c r="AP570" i="1"/>
  <c r="AH570" i="1"/>
  <c r="AG570" i="1"/>
  <c r="W570" i="1"/>
  <c r="V570" i="1"/>
  <c r="U570" i="1"/>
  <c r="T570" i="1"/>
  <c r="S570" i="1"/>
  <c r="R570" i="1"/>
  <c r="Q570" i="1"/>
  <c r="P570" i="1"/>
  <c r="O570" i="1"/>
  <c r="N570" i="1"/>
  <c r="M570" i="1"/>
  <c r="L570" i="1"/>
  <c r="K570" i="1"/>
  <c r="J570" i="1"/>
  <c r="I570" i="1"/>
  <c r="H570" i="1"/>
  <c r="AZ569" i="1"/>
  <c r="AY569" i="1"/>
  <c r="AX569" i="1"/>
  <c r="AW569" i="1"/>
  <c r="AV569" i="1"/>
  <c r="AU569" i="1"/>
  <c r="AT569" i="1"/>
  <c r="AS569" i="1"/>
  <c r="AR569" i="1"/>
  <c r="AQ569" i="1"/>
  <c r="AP569" i="1"/>
  <c r="AI569" i="1"/>
  <c r="AH569" i="1"/>
  <c r="AG569" i="1"/>
  <c r="W569" i="1"/>
  <c r="V569" i="1"/>
  <c r="U569" i="1"/>
  <c r="T569" i="1"/>
  <c r="S569" i="1"/>
  <c r="R569" i="1"/>
  <c r="Q569" i="1"/>
  <c r="P569" i="1"/>
  <c r="O569" i="1"/>
  <c r="N569" i="1"/>
  <c r="M569" i="1"/>
  <c r="L569" i="1"/>
  <c r="K569" i="1"/>
  <c r="J569" i="1"/>
  <c r="I569" i="1"/>
  <c r="H569" i="1"/>
  <c r="AZ568" i="1"/>
  <c r="AY568" i="1"/>
  <c r="AX568" i="1"/>
  <c r="AW568" i="1"/>
  <c r="AV568" i="1"/>
  <c r="AU568" i="1"/>
  <c r="AT568" i="1"/>
  <c r="AS568" i="1"/>
  <c r="AR568" i="1"/>
  <c r="AQ568" i="1"/>
  <c r="AP568" i="1"/>
  <c r="AH568" i="1"/>
  <c r="AG568" i="1"/>
  <c r="W568" i="1"/>
  <c r="V568" i="1"/>
  <c r="U568" i="1"/>
  <c r="T568" i="1"/>
  <c r="S568" i="1"/>
  <c r="R568" i="1"/>
  <c r="Q568" i="1"/>
  <c r="P568" i="1"/>
  <c r="O568" i="1"/>
  <c r="N568" i="1"/>
  <c r="M568" i="1"/>
  <c r="L568" i="1"/>
  <c r="K568" i="1"/>
  <c r="J568" i="1"/>
  <c r="I568" i="1"/>
  <c r="H568" i="1"/>
  <c r="AZ567" i="1"/>
  <c r="AY567" i="1"/>
  <c r="AX567" i="1"/>
  <c r="AW567" i="1"/>
  <c r="AV567" i="1"/>
  <c r="AU567" i="1"/>
  <c r="AT567" i="1"/>
  <c r="AS567" i="1"/>
  <c r="AR567" i="1"/>
  <c r="AQ567" i="1"/>
  <c r="AP567" i="1"/>
  <c r="AI567" i="1"/>
  <c r="AH567" i="1"/>
  <c r="AG567" i="1"/>
  <c r="W567" i="1"/>
  <c r="V567" i="1"/>
  <c r="U567" i="1"/>
  <c r="T567" i="1"/>
  <c r="S567" i="1"/>
  <c r="R567" i="1"/>
  <c r="Q567" i="1"/>
  <c r="P567" i="1"/>
  <c r="O567" i="1"/>
  <c r="N567" i="1"/>
  <c r="M567" i="1"/>
  <c r="L567" i="1"/>
  <c r="K567" i="1"/>
  <c r="J567" i="1"/>
  <c r="I567" i="1"/>
  <c r="H567" i="1"/>
  <c r="AZ566" i="1"/>
  <c r="AY566" i="1"/>
  <c r="AX566" i="1"/>
  <c r="AW566" i="1"/>
  <c r="AV566" i="1"/>
  <c r="AU566" i="1"/>
  <c r="AT566" i="1"/>
  <c r="AS566" i="1"/>
  <c r="AR566" i="1"/>
  <c r="AQ566" i="1"/>
  <c r="AP566" i="1"/>
  <c r="AI566" i="1"/>
  <c r="AH566" i="1"/>
  <c r="AG566" i="1"/>
  <c r="W566" i="1"/>
  <c r="V566" i="1"/>
  <c r="U566" i="1"/>
  <c r="T566" i="1"/>
  <c r="S566" i="1"/>
  <c r="R566" i="1"/>
  <c r="Q566" i="1"/>
  <c r="P566" i="1"/>
  <c r="O566" i="1"/>
  <c r="N566" i="1"/>
  <c r="M566" i="1"/>
  <c r="L566" i="1"/>
  <c r="K566" i="1"/>
  <c r="J566" i="1"/>
  <c r="I566" i="1"/>
  <c r="H566" i="1"/>
  <c r="AZ565" i="1"/>
  <c r="AY565" i="1"/>
  <c r="AX565" i="1"/>
  <c r="AW565" i="1"/>
  <c r="AV565" i="1"/>
  <c r="AU565" i="1"/>
  <c r="AT565" i="1"/>
  <c r="AS565" i="1"/>
  <c r="AR565" i="1"/>
  <c r="AQ565" i="1"/>
  <c r="AP565" i="1"/>
  <c r="AI565" i="1"/>
  <c r="AH565" i="1"/>
  <c r="AG565" i="1"/>
  <c r="W565" i="1"/>
  <c r="V565" i="1"/>
  <c r="U565" i="1"/>
  <c r="T565" i="1"/>
  <c r="S565" i="1"/>
  <c r="R565" i="1"/>
  <c r="Q565" i="1"/>
  <c r="P565" i="1"/>
  <c r="O565" i="1"/>
  <c r="N565" i="1"/>
  <c r="M565" i="1"/>
  <c r="L565" i="1"/>
  <c r="K565" i="1"/>
  <c r="J565" i="1"/>
  <c r="I565" i="1"/>
  <c r="H565" i="1"/>
  <c r="AZ564" i="1"/>
  <c r="AY564" i="1"/>
  <c r="AX564" i="1"/>
  <c r="AW564" i="1"/>
  <c r="AV564" i="1"/>
  <c r="AU564" i="1"/>
  <c r="AT564" i="1"/>
  <c r="AS564" i="1"/>
  <c r="AR564" i="1"/>
  <c r="AQ564" i="1"/>
  <c r="AP564" i="1"/>
  <c r="AI564" i="1"/>
  <c r="AH564" i="1"/>
  <c r="AG564" i="1"/>
  <c r="W564" i="1"/>
  <c r="V564" i="1"/>
  <c r="U564" i="1"/>
  <c r="T564" i="1"/>
  <c r="S564" i="1"/>
  <c r="R564" i="1"/>
  <c r="Q564" i="1"/>
  <c r="P564" i="1"/>
  <c r="O564" i="1"/>
  <c r="N564" i="1"/>
  <c r="M564" i="1"/>
  <c r="L564" i="1"/>
  <c r="K564" i="1"/>
  <c r="J564" i="1"/>
  <c r="I564" i="1"/>
  <c r="H564" i="1"/>
  <c r="AZ563" i="1"/>
  <c r="AY563" i="1"/>
  <c r="AX563" i="1"/>
  <c r="AW563" i="1"/>
  <c r="AV563" i="1"/>
  <c r="AU563" i="1"/>
  <c r="AT563" i="1"/>
  <c r="AS563" i="1"/>
  <c r="AR563" i="1"/>
  <c r="AQ563" i="1"/>
  <c r="AP563" i="1"/>
  <c r="AI563" i="1"/>
  <c r="AH563" i="1"/>
  <c r="AG563" i="1"/>
  <c r="W563" i="1"/>
  <c r="V563" i="1"/>
  <c r="U563" i="1"/>
  <c r="T563" i="1"/>
  <c r="S563" i="1"/>
  <c r="R563" i="1"/>
  <c r="Q563" i="1"/>
  <c r="P563" i="1"/>
  <c r="O563" i="1"/>
  <c r="N563" i="1"/>
  <c r="M563" i="1"/>
  <c r="L563" i="1"/>
  <c r="K563" i="1"/>
  <c r="J563" i="1"/>
  <c r="I563" i="1"/>
  <c r="H563" i="1"/>
  <c r="AZ562" i="1"/>
  <c r="AY562" i="1"/>
  <c r="AX562" i="1"/>
  <c r="AW562" i="1"/>
  <c r="AV562" i="1"/>
  <c r="AU562" i="1"/>
  <c r="AT562" i="1"/>
  <c r="AS562" i="1"/>
  <c r="AR562" i="1"/>
  <c r="AQ562" i="1"/>
  <c r="AP562" i="1"/>
  <c r="AI562" i="1"/>
  <c r="AH562" i="1"/>
  <c r="AG562" i="1"/>
  <c r="W562" i="1"/>
  <c r="V562" i="1"/>
  <c r="U562" i="1"/>
  <c r="T562" i="1"/>
  <c r="S562" i="1"/>
  <c r="R562" i="1"/>
  <c r="Q562" i="1"/>
  <c r="P562" i="1"/>
  <c r="O562" i="1"/>
  <c r="N562" i="1"/>
  <c r="M562" i="1"/>
  <c r="L562" i="1"/>
  <c r="K562" i="1"/>
  <c r="J562" i="1"/>
  <c r="I562" i="1"/>
  <c r="H562" i="1"/>
  <c r="AZ561" i="1"/>
  <c r="AY561" i="1"/>
  <c r="AX561" i="1"/>
  <c r="AW561" i="1"/>
  <c r="AV561" i="1"/>
  <c r="AU561" i="1"/>
  <c r="AT561" i="1"/>
  <c r="AS561" i="1"/>
  <c r="AR561" i="1"/>
  <c r="AQ561" i="1"/>
  <c r="AP561" i="1"/>
  <c r="AI561" i="1"/>
  <c r="AH561" i="1"/>
  <c r="AG561" i="1"/>
  <c r="W561" i="1"/>
  <c r="V561" i="1"/>
  <c r="U561" i="1"/>
  <c r="T561" i="1"/>
  <c r="S561" i="1"/>
  <c r="R561" i="1"/>
  <c r="Q561" i="1"/>
  <c r="P561" i="1"/>
  <c r="O561" i="1"/>
  <c r="N561" i="1"/>
  <c r="M561" i="1"/>
  <c r="L561" i="1"/>
  <c r="K561" i="1"/>
  <c r="J561" i="1"/>
  <c r="I561" i="1"/>
  <c r="H561" i="1"/>
  <c r="AZ560" i="1"/>
  <c r="AY560" i="1"/>
  <c r="AX560" i="1"/>
  <c r="AW560" i="1"/>
  <c r="AV560" i="1"/>
  <c r="AU560" i="1"/>
  <c r="AT560" i="1"/>
  <c r="AS560" i="1"/>
  <c r="AR560" i="1"/>
  <c r="AQ560" i="1"/>
  <c r="AP560" i="1"/>
  <c r="AI560" i="1"/>
  <c r="AH560" i="1"/>
  <c r="AG560" i="1"/>
  <c r="W560" i="1"/>
  <c r="V560" i="1"/>
  <c r="U560" i="1"/>
  <c r="T560" i="1"/>
  <c r="S560" i="1"/>
  <c r="R560" i="1"/>
  <c r="Q560" i="1"/>
  <c r="P560" i="1"/>
  <c r="O560" i="1"/>
  <c r="N560" i="1"/>
  <c r="M560" i="1"/>
  <c r="L560" i="1"/>
  <c r="K560" i="1"/>
  <c r="J560" i="1"/>
  <c r="I560" i="1"/>
  <c r="H560" i="1"/>
  <c r="AZ559" i="1"/>
  <c r="AY559" i="1"/>
  <c r="AX559" i="1"/>
  <c r="AW559" i="1"/>
  <c r="AV559" i="1"/>
  <c r="AU559" i="1"/>
  <c r="AT559" i="1"/>
  <c r="AS559" i="1"/>
  <c r="AR559" i="1"/>
  <c r="AQ559" i="1"/>
  <c r="AP559" i="1"/>
  <c r="W559" i="1"/>
  <c r="V559" i="1"/>
  <c r="U559" i="1"/>
  <c r="T559" i="1"/>
  <c r="S559" i="1"/>
  <c r="R559" i="1"/>
  <c r="Q559" i="1"/>
  <c r="P559" i="1"/>
  <c r="O559" i="1"/>
  <c r="N559" i="1"/>
  <c r="M559" i="1"/>
  <c r="L559" i="1"/>
  <c r="K559" i="1"/>
  <c r="J559" i="1"/>
  <c r="I559" i="1"/>
  <c r="H559" i="1"/>
  <c r="AZ558" i="1"/>
  <c r="AY558" i="1"/>
  <c r="AX558" i="1"/>
  <c r="AW558" i="1"/>
  <c r="AV558" i="1"/>
  <c r="AU558" i="1"/>
  <c r="AT558" i="1"/>
  <c r="AS558" i="1"/>
  <c r="AR558" i="1"/>
  <c r="AQ558" i="1"/>
  <c r="AP558" i="1"/>
  <c r="AH558" i="1"/>
  <c r="AG558" i="1"/>
  <c r="W558" i="1"/>
  <c r="V558" i="1"/>
  <c r="U558" i="1"/>
  <c r="T558" i="1"/>
  <c r="S558" i="1"/>
  <c r="R558" i="1"/>
  <c r="Q558" i="1"/>
  <c r="P558" i="1"/>
  <c r="O558" i="1"/>
  <c r="N558" i="1"/>
  <c r="M558" i="1"/>
  <c r="L558" i="1"/>
  <c r="K558" i="1"/>
  <c r="J558" i="1"/>
  <c r="I558" i="1"/>
  <c r="H558" i="1"/>
  <c r="AZ557" i="1"/>
  <c r="AY557" i="1"/>
  <c r="AX557" i="1"/>
  <c r="AW557" i="1"/>
  <c r="AV557" i="1"/>
  <c r="AU557" i="1"/>
  <c r="AT557" i="1"/>
  <c r="AS557" i="1"/>
  <c r="AR557" i="1"/>
  <c r="AQ557" i="1"/>
  <c r="AP557" i="1"/>
  <c r="AH557" i="1"/>
  <c r="AG557" i="1"/>
  <c r="W557" i="1"/>
  <c r="V557" i="1"/>
  <c r="U557" i="1"/>
  <c r="T557" i="1"/>
  <c r="S557" i="1"/>
  <c r="R557" i="1"/>
  <c r="Q557" i="1"/>
  <c r="P557" i="1"/>
  <c r="O557" i="1"/>
  <c r="N557" i="1"/>
  <c r="M557" i="1"/>
  <c r="L557" i="1"/>
  <c r="K557" i="1"/>
  <c r="J557" i="1"/>
  <c r="I557" i="1"/>
  <c r="H557" i="1"/>
  <c r="AZ556" i="1"/>
  <c r="AY556" i="1"/>
  <c r="AX556" i="1"/>
  <c r="AW556" i="1"/>
  <c r="AV556" i="1"/>
  <c r="AU556" i="1"/>
  <c r="AT556" i="1"/>
  <c r="AS556" i="1"/>
  <c r="AR556" i="1"/>
  <c r="AQ556" i="1"/>
  <c r="AP556" i="1"/>
  <c r="AH556" i="1"/>
  <c r="AG556" i="1"/>
  <c r="W556" i="1"/>
  <c r="V556" i="1"/>
  <c r="U556" i="1"/>
  <c r="T556" i="1"/>
  <c r="S556" i="1"/>
  <c r="R556" i="1"/>
  <c r="Q556" i="1"/>
  <c r="P556" i="1"/>
  <c r="O556" i="1"/>
  <c r="N556" i="1"/>
  <c r="M556" i="1"/>
  <c r="L556" i="1"/>
  <c r="K556" i="1"/>
  <c r="J556" i="1"/>
  <c r="I556" i="1"/>
  <c r="H556" i="1"/>
  <c r="AZ555" i="1"/>
  <c r="AY555" i="1"/>
  <c r="AX555" i="1"/>
  <c r="AW555" i="1"/>
  <c r="AV555" i="1"/>
  <c r="AU555" i="1"/>
  <c r="AT555" i="1"/>
  <c r="AS555" i="1"/>
  <c r="AR555" i="1"/>
  <c r="AQ555" i="1"/>
  <c r="AP555" i="1"/>
  <c r="AI555" i="1"/>
  <c r="AH555" i="1"/>
  <c r="AG555" i="1"/>
  <c r="W555" i="1"/>
  <c r="V555" i="1"/>
  <c r="U555" i="1"/>
  <c r="T555" i="1"/>
  <c r="S555" i="1"/>
  <c r="R555" i="1"/>
  <c r="Q555" i="1"/>
  <c r="P555" i="1"/>
  <c r="O555" i="1"/>
  <c r="N555" i="1"/>
  <c r="M555" i="1"/>
  <c r="L555" i="1"/>
  <c r="K555" i="1"/>
  <c r="J555" i="1"/>
  <c r="I555" i="1"/>
  <c r="H555" i="1"/>
  <c r="AZ554" i="1"/>
  <c r="AY554" i="1"/>
  <c r="AX554" i="1"/>
  <c r="AW554" i="1"/>
  <c r="AV554" i="1"/>
  <c r="AU554" i="1"/>
  <c r="AT554" i="1"/>
  <c r="AS554" i="1"/>
  <c r="AR554" i="1"/>
  <c r="AQ554" i="1"/>
  <c r="AP554" i="1"/>
  <c r="W554" i="1"/>
  <c r="V554" i="1"/>
  <c r="U554" i="1"/>
  <c r="T554" i="1"/>
  <c r="S554" i="1"/>
  <c r="R554" i="1"/>
  <c r="Q554" i="1"/>
  <c r="P554" i="1"/>
  <c r="O554" i="1"/>
  <c r="N554" i="1"/>
  <c r="M554" i="1"/>
  <c r="L554" i="1"/>
  <c r="K554" i="1"/>
  <c r="J554" i="1"/>
  <c r="I554" i="1"/>
  <c r="H554" i="1"/>
  <c r="X554" i="1" s="1"/>
  <c r="AZ553" i="1"/>
  <c r="AY553" i="1"/>
  <c r="AX553" i="1"/>
  <c r="AW553" i="1"/>
  <c r="AV553" i="1"/>
  <c r="AU553" i="1"/>
  <c r="AT553" i="1"/>
  <c r="AS553" i="1"/>
  <c r="AR553" i="1"/>
  <c r="AQ553" i="1"/>
  <c r="AP553" i="1"/>
  <c r="AI553" i="1"/>
  <c r="AH553" i="1"/>
  <c r="AG553" i="1"/>
  <c r="W553" i="1"/>
  <c r="V553" i="1"/>
  <c r="U553" i="1"/>
  <c r="T553" i="1"/>
  <c r="S553" i="1"/>
  <c r="R553" i="1"/>
  <c r="Q553" i="1"/>
  <c r="P553" i="1"/>
  <c r="O553" i="1"/>
  <c r="N553" i="1"/>
  <c r="M553" i="1"/>
  <c r="L553" i="1"/>
  <c r="K553" i="1"/>
  <c r="J553" i="1"/>
  <c r="I553" i="1"/>
  <c r="H553" i="1"/>
  <c r="F553" i="1"/>
  <c r="AZ552" i="1"/>
  <c r="AY552" i="1"/>
  <c r="AX552" i="1"/>
  <c r="AW552" i="1"/>
  <c r="AV552" i="1"/>
  <c r="AU552" i="1"/>
  <c r="AT552" i="1"/>
  <c r="AS552" i="1"/>
  <c r="AR552" i="1"/>
  <c r="AQ552" i="1"/>
  <c r="AP552" i="1"/>
  <c r="AH552" i="1"/>
  <c r="AG552" i="1"/>
  <c r="W552" i="1"/>
  <c r="V552" i="1"/>
  <c r="U552" i="1"/>
  <c r="T552" i="1"/>
  <c r="S552" i="1"/>
  <c r="R552" i="1"/>
  <c r="Q552" i="1"/>
  <c r="P552" i="1"/>
  <c r="O552" i="1"/>
  <c r="N552" i="1"/>
  <c r="M552" i="1"/>
  <c r="L552" i="1"/>
  <c r="K552" i="1"/>
  <c r="J552" i="1"/>
  <c r="I552" i="1"/>
  <c r="H552" i="1"/>
  <c r="AZ551" i="1"/>
  <c r="AY551" i="1"/>
  <c r="AX551" i="1"/>
  <c r="AW551" i="1"/>
  <c r="AV551" i="1"/>
  <c r="AU551" i="1"/>
  <c r="AT551" i="1"/>
  <c r="AS551" i="1"/>
  <c r="AR551" i="1"/>
  <c r="AQ551" i="1"/>
  <c r="AP551" i="1"/>
  <c r="AI551" i="1"/>
  <c r="AH551" i="1"/>
  <c r="AG551" i="1"/>
  <c r="W551" i="1"/>
  <c r="V551" i="1"/>
  <c r="U551" i="1"/>
  <c r="T551" i="1"/>
  <c r="S551" i="1"/>
  <c r="R551" i="1"/>
  <c r="Q551" i="1"/>
  <c r="P551" i="1"/>
  <c r="O551" i="1"/>
  <c r="N551" i="1"/>
  <c r="M551" i="1"/>
  <c r="L551" i="1"/>
  <c r="K551" i="1"/>
  <c r="J551" i="1"/>
  <c r="I551" i="1"/>
  <c r="H551" i="1"/>
  <c r="AZ550" i="1"/>
  <c r="AY550" i="1"/>
  <c r="AX550" i="1"/>
  <c r="AW550" i="1"/>
  <c r="AV550" i="1"/>
  <c r="AU550" i="1"/>
  <c r="AT550" i="1"/>
  <c r="AS550" i="1"/>
  <c r="AR550" i="1"/>
  <c r="AQ550" i="1"/>
  <c r="AP550" i="1"/>
  <c r="AH550" i="1"/>
  <c r="AG550" i="1"/>
  <c r="W550" i="1"/>
  <c r="V550" i="1"/>
  <c r="U550" i="1"/>
  <c r="T550" i="1"/>
  <c r="S550" i="1"/>
  <c r="R550" i="1"/>
  <c r="Q550" i="1"/>
  <c r="P550" i="1"/>
  <c r="O550" i="1"/>
  <c r="N550" i="1"/>
  <c r="M550" i="1"/>
  <c r="L550" i="1"/>
  <c r="K550" i="1"/>
  <c r="J550" i="1"/>
  <c r="I550" i="1"/>
  <c r="H550" i="1"/>
  <c r="AZ549" i="1"/>
  <c r="AY549" i="1"/>
  <c r="AX549" i="1"/>
  <c r="AW549" i="1"/>
  <c r="AV549" i="1"/>
  <c r="AU549" i="1"/>
  <c r="AT549" i="1"/>
  <c r="AS549" i="1"/>
  <c r="AR549" i="1"/>
  <c r="AQ549" i="1"/>
  <c r="AP549" i="1"/>
  <c r="AH549" i="1"/>
  <c r="AG549" i="1"/>
  <c r="W549" i="1"/>
  <c r="V549" i="1"/>
  <c r="U549" i="1"/>
  <c r="T549" i="1"/>
  <c r="S549" i="1"/>
  <c r="R549" i="1"/>
  <c r="Q549" i="1"/>
  <c r="P549" i="1"/>
  <c r="O549" i="1"/>
  <c r="N549" i="1"/>
  <c r="M549" i="1"/>
  <c r="L549" i="1"/>
  <c r="K549" i="1"/>
  <c r="J549" i="1"/>
  <c r="I549" i="1"/>
  <c r="H549" i="1"/>
  <c r="AZ548" i="1"/>
  <c r="AY548" i="1"/>
  <c r="AX548" i="1"/>
  <c r="AW548" i="1"/>
  <c r="AV548" i="1"/>
  <c r="AU548" i="1"/>
  <c r="AT548" i="1"/>
  <c r="AS548" i="1"/>
  <c r="AR548" i="1"/>
  <c r="AQ548" i="1"/>
  <c r="AP548" i="1"/>
  <c r="AI548" i="1"/>
  <c r="AH548" i="1"/>
  <c r="AG548" i="1"/>
  <c r="W548" i="1"/>
  <c r="V548" i="1"/>
  <c r="U548" i="1"/>
  <c r="T548" i="1"/>
  <c r="S548" i="1"/>
  <c r="R548" i="1"/>
  <c r="Q548" i="1"/>
  <c r="P548" i="1"/>
  <c r="O548" i="1"/>
  <c r="N548" i="1"/>
  <c r="M548" i="1"/>
  <c r="L548" i="1"/>
  <c r="K548" i="1"/>
  <c r="J548" i="1"/>
  <c r="I548" i="1"/>
  <c r="H548" i="1"/>
  <c r="AZ547" i="1"/>
  <c r="AY547" i="1"/>
  <c r="AX547" i="1"/>
  <c r="AW547" i="1"/>
  <c r="AV547" i="1"/>
  <c r="AU547" i="1"/>
  <c r="AT547" i="1"/>
  <c r="AS547" i="1"/>
  <c r="AR547" i="1"/>
  <c r="AQ547" i="1"/>
  <c r="AP547" i="1"/>
  <c r="AH547" i="1"/>
  <c r="W547" i="1"/>
  <c r="V547" i="1"/>
  <c r="U547" i="1"/>
  <c r="T547" i="1"/>
  <c r="S547" i="1"/>
  <c r="R547" i="1"/>
  <c r="Q547" i="1"/>
  <c r="P547" i="1"/>
  <c r="O547" i="1"/>
  <c r="N547" i="1"/>
  <c r="M547" i="1"/>
  <c r="L547" i="1"/>
  <c r="K547" i="1"/>
  <c r="J547" i="1"/>
  <c r="I547" i="1"/>
  <c r="H547" i="1"/>
  <c r="AZ546" i="1"/>
  <c r="AY546" i="1"/>
  <c r="AX546" i="1"/>
  <c r="AW546" i="1"/>
  <c r="AV546" i="1"/>
  <c r="AU546" i="1"/>
  <c r="AT546" i="1"/>
  <c r="AS546" i="1"/>
  <c r="AR546" i="1"/>
  <c r="AQ546" i="1"/>
  <c r="AP546" i="1"/>
  <c r="AH546" i="1"/>
  <c r="W546" i="1"/>
  <c r="V546" i="1"/>
  <c r="U546" i="1"/>
  <c r="T546" i="1"/>
  <c r="S546" i="1"/>
  <c r="R546" i="1"/>
  <c r="Q546" i="1"/>
  <c r="P546" i="1"/>
  <c r="O546" i="1"/>
  <c r="N546" i="1"/>
  <c r="M546" i="1"/>
  <c r="L546" i="1"/>
  <c r="K546" i="1"/>
  <c r="J546" i="1"/>
  <c r="I546" i="1"/>
  <c r="H546" i="1"/>
  <c r="AZ545" i="1"/>
  <c r="AY545" i="1"/>
  <c r="AX545" i="1"/>
  <c r="AW545" i="1"/>
  <c r="AV545" i="1"/>
  <c r="AU545" i="1"/>
  <c r="AT545" i="1"/>
  <c r="AS545" i="1"/>
  <c r="AR545" i="1"/>
  <c r="AQ545" i="1"/>
  <c r="AP545" i="1"/>
  <c r="AI545" i="1"/>
  <c r="AH545" i="1"/>
  <c r="AG545" i="1"/>
  <c r="W545" i="1"/>
  <c r="V545" i="1"/>
  <c r="U545" i="1"/>
  <c r="T545" i="1"/>
  <c r="S545" i="1"/>
  <c r="R545" i="1"/>
  <c r="Q545" i="1"/>
  <c r="P545" i="1"/>
  <c r="O545" i="1"/>
  <c r="N545" i="1"/>
  <c r="M545" i="1"/>
  <c r="L545" i="1"/>
  <c r="K545" i="1"/>
  <c r="J545" i="1"/>
  <c r="I545" i="1"/>
  <c r="H545" i="1"/>
  <c r="X545" i="1" s="1"/>
  <c r="AZ544" i="1"/>
  <c r="AY544" i="1"/>
  <c r="AX544" i="1"/>
  <c r="AW544" i="1"/>
  <c r="AV544" i="1"/>
  <c r="AU544" i="1"/>
  <c r="AT544" i="1"/>
  <c r="AS544" i="1"/>
  <c r="AR544" i="1"/>
  <c r="AQ544" i="1"/>
  <c r="AP544" i="1"/>
  <c r="W544" i="1"/>
  <c r="V544" i="1"/>
  <c r="U544" i="1"/>
  <c r="T544" i="1"/>
  <c r="S544" i="1"/>
  <c r="R544" i="1"/>
  <c r="Q544" i="1"/>
  <c r="P544" i="1"/>
  <c r="O544" i="1"/>
  <c r="N544" i="1"/>
  <c r="M544" i="1"/>
  <c r="L544" i="1"/>
  <c r="K544" i="1"/>
  <c r="J544" i="1"/>
  <c r="I544" i="1"/>
  <c r="H544" i="1"/>
  <c r="AZ543" i="1"/>
  <c r="AY543" i="1"/>
  <c r="AX543" i="1"/>
  <c r="AW543" i="1"/>
  <c r="AV543" i="1"/>
  <c r="AU543" i="1"/>
  <c r="AT543" i="1"/>
  <c r="AS543" i="1"/>
  <c r="AR543" i="1"/>
  <c r="AQ543" i="1"/>
  <c r="AP543" i="1"/>
  <c r="AI543" i="1"/>
  <c r="AH543" i="1"/>
  <c r="AG543" i="1"/>
  <c r="W543" i="1"/>
  <c r="V543" i="1"/>
  <c r="U543" i="1"/>
  <c r="T543" i="1"/>
  <c r="S543" i="1"/>
  <c r="R543" i="1"/>
  <c r="Q543" i="1"/>
  <c r="P543" i="1"/>
  <c r="O543" i="1"/>
  <c r="N543" i="1"/>
  <c r="M543" i="1"/>
  <c r="L543" i="1"/>
  <c r="K543" i="1"/>
  <c r="J543" i="1"/>
  <c r="I543" i="1"/>
  <c r="H543" i="1"/>
  <c r="AZ542" i="1"/>
  <c r="AY542" i="1"/>
  <c r="AX542" i="1"/>
  <c r="AW542" i="1"/>
  <c r="AV542" i="1"/>
  <c r="AU542" i="1"/>
  <c r="AT542" i="1"/>
  <c r="AS542" i="1"/>
  <c r="AR542" i="1"/>
  <c r="AQ542" i="1"/>
  <c r="AP542" i="1"/>
  <c r="AI542" i="1"/>
  <c r="AH542" i="1"/>
  <c r="AG542" i="1"/>
  <c r="W542" i="1"/>
  <c r="V542" i="1"/>
  <c r="U542" i="1"/>
  <c r="T542" i="1"/>
  <c r="S542" i="1"/>
  <c r="R542" i="1"/>
  <c r="Q542" i="1"/>
  <c r="P542" i="1"/>
  <c r="O542" i="1"/>
  <c r="N542" i="1"/>
  <c r="M542" i="1"/>
  <c r="L542" i="1"/>
  <c r="K542" i="1"/>
  <c r="J542" i="1"/>
  <c r="I542" i="1"/>
  <c r="H542" i="1"/>
  <c r="AZ541" i="1"/>
  <c r="AY541" i="1"/>
  <c r="AX541" i="1"/>
  <c r="AW541" i="1"/>
  <c r="AV541" i="1"/>
  <c r="AU541" i="1"/>
  <c r="AT541" i="1"/>
  <c r="AS541" i="1"/>
  <c r="AR541" i="1"/>
  <c r="AQ541" i="1"/>
  <c r="AP541" i="1"/>
  <c r="AI541" i="1"/>
  <c r="AH541" i="1"/>
  <c r="AG541" i="1"/>
  <c r="W541" i="1"/>
  <c r="V541" i="1"/>
  <c r="U541" i="1"/>
  <c r="T541" i="1"/>
  <c r="S541" i="1"/>
  <c r="R541" i="1"/>
  <c r="Q541" i="1"/>
  <c r="P541" i="1"/>
  <c r="O541" i="1"/>
  <c r="N541" i="1"/>
  <c r="M541" i="1"/>
  <c r="L541" i="1"/>
  <c r="K541" i="1"/>
  <c r="J541" i="1"/>
  <c r="I541" i="1"/>
  <c r="H541" i="1"/>
  <c r="AZ540" i="1"/>
  <c r="AY540" i="1"/>
  <c r="AX540" i="1"/>
  <c r="AW540" i="1"/>
  <c r="AV540" i="1"/>
  <c r="AU540" i="1"/>
  <c r="AT540" i="1"/>
  <c r="AS540" i="1"/>
  <c r="AR540" i="1"/>
  <c r="AQ540" i="1"/>
  <c r="AP540" i="1"/>
  <c r="AI540" i="1"/>
  <c r="AH540" i="1"/>
  <c r="AG540" i="1"/>
  <c r="W540" i="1"/>
  <c r="V540" i="1"/>
  <c r="U540" i="1"/>
  <c r="T540" i="1"/>
  <c r="S540" i="1"/>
  <c r="R540" i="1"/>
  <c r="Q540" i="1"/>
  <c r="P540" i="1"/>
  <c r="O540" i="1"/>
  <c r="N540" i="1"/>
  <c r="M540" i="1"/>
  <c r="L540" i="1"/>
  <c r="K540" i="1"/>
  <c r="J540" i="1"/>
  <c r="I540" i="1"/>
  <c r="H540" i="1"/>
  <c r="AZ539" i="1"/>
  <c r="AY539" i="1"/>
  <c r="AX539" i="1"/>
  <c r="AW539" i="1"/>
  <c r="AV539" i="1"/>
  <c r="AU539" i="1"/>
  <c r="AT539" i="1"/>
  <c r="AS539" i="1"/>
  <c r="AR539" i="1"/>
  <c r="AQ539" i="1"/>
  <c r="AP539" i="1"/>
  <c r="AH539" i="1"/>
  <c r="AG539" i="1"/>
  <c r="W539" i="1"/>
  <c r="V539" i="1"/>
  <c r="U539" i="1"/>
  <c r="T539" i="1"/>
  <c r="S539" i="1"/>
  <c r="R539" i="1"/>
  <c r="Q539" i="1"/>
  <c r="P539" i="1"/>
  <c r="O539" i="1"/>
  <c r="N539" i="1"/>
  <c r="M539" i="1"/>
  <c r="L539" i="1"/>
  <c r="K539" i="1"/>
  <c r="J539" i="1"/>
  <c r="I539" i="1"/>
  <c r="H539" i="1"/>
  <c r="AZ538" i="1"/>
  <c r="AY538" i="1"/>
  <c r="AX538" i="1"/>
  <c r="AW538" i="1"/>
  <c r="AV538" i="1"/>
  <c r="AU538" i="1"/>
  <c r="AT538" i="1"/>
  <c r="AS538" i="1"/>
  <c r="AR538" i="1"/>
  <c r="AQ538" i="1"/>
  <c r="AP538" i="1"/>
  <c r="AI538" i="1"/>
  <c r="AH538" i="1"/>
  <c r="AG538" i="1"/>
  <c r="W538" i="1"/>
  <c r="V538" i="1"/>
  <c r="U538" i="1"/>
  <c r="T538" i="1"/>
  <c r="S538" i="1"/>
  <c r="R538" i="1"/>
  <c r="Q538" i="1"/>
  <c r="P538" i="1"/>
  <c r="O538" i="1"/>
  <c r="N538" i="1"/>
  <c r="M538" i="1"/>
  <c r="L538" i="1"/>
  <c r="K538" i="1"/>
  <c r="J538" i="1"/>
  <c r="I538" i="1"/>
  <c r="H538" i="1"/>
  <c r="F538" i="1"/>
  <c r="AZ537" i="1"/>
  <c r="AY537" i="1"/>
  <c r="AX537" i="1"/>
  <c r="AW537" i="1"/>
  <c r="AV537" i="1"/>
  <c r="AU537" i="1"/>
  <c r="AT537" i="1"/>
  <c r="AS537" i="1"/>
  <c r="AR537" i="1"/>
  <c r="AQ537" i="1"/>
  <c r="AP537" i="1"/>
  <c r="AH537" i="1"/>
  <c r="AG537" i="1"/>
  <c r="W537" i="1"/>
  <c r="V537" i="1"/>
  <c r="U537" i="1"/>
  <c r="T537" i="1"/>
  <c r="S537" i="1"/>
  <c r="R537" i="1"/>
  <c r="Q537" i="1"/>
  <c r="P537" i="1"/>
  <c r="O537" i="1"/>
  <c r="N537" i="1"/>
  <c r="M537" i="1"/>
  <c r="L537" i="1"/>
  <c r="K537" i="1"/>
  <c r="J537" i="1"/>
  <c r="I537" i="1"/>
  <c r="H537" i="1"/>
  <c r="AZ536" i="1"/>
  <c r="AY536" i="1"/>
  <c r="AX536" i="1"/>
  <c r="AW536" i="1"/>
  <c r="AV536" i="1"/>
  <c r="AU536" i="1"/>
  <c r="AT536" i="1"/>
  <c r="AS536" i="1"/>
  <c r="AR536" i="1"/>
  <c r="AQ536" i="1"/>
  <c r="AP536" i="1"/>
  <c r="W536" i="1"/>
  <c r="V536" i="1"/>
  <c r="U536" i="1"/>
  <c r="T536" i="1"/>
  <c r="S536" i="1"/>
  <c r="R536" i="1"/>
  <c r="Q536" i="1"/>
  <c r="P536" i="1"/>
  <c r="O536" i="1"/>
  <c r="N536" i="1"/>
  <c r="M536" i="1"/>
  <c r="L536" i="1"/>
  <c r="K536" i="1"/>
  <c r="J536" i="1"/>
  <c r="I536" i="1"/>
  <c r="H536" i="1"/>
  <c r="G536" i="1"/>
  <c r="AZ535" i="1"/>
  <c r="AY535" i="1"/>
  <c r="AX535" i="1"/>
  <c r="AW535" i="1"/>
  <c r="AV535" i="1"/>
  <c r="AU535" i="1"/>
  <c r="AT535" i="1"/>
  <c r="AS535" i="1"/>
  <c r="AR535" i="1"/>
  <c r="AQ535" i="1"/>
  <c r="AP535" i="1"/>
  <c r="W535" i="1"/>
  <c r="V535" i="1"/>
  <c r="U535" i="1"/>
  <c r="T535" i="1"/>
  <c r="S535" i="1"/>
  <c r="R535" i="1"/>
  <c r="Q535" i="1"/>
  <c r="P535" i="1"/>
  <c r="O535" i="1"/>
  <c r="N535" i="1"/>
  <c r="M535" i="1"/>
  <c r="L535" i="1"/>
  <c r="K535" i="1"/>
  <c r="J535" i="1"/>
  <c r="I535" i="1"/>
  <c r="H535" i="1"/>
  <c r="AZ534" i="1"/>
  <c r="AY534" i="1"/>
  <c r="AX534" i="1"/>
  <c r="AW534" i="1"/>
  <c r="AV534" i="1"/>
  <c r="AU534" i="1"/>
  <c r="AT534" i="1"/>
  <c r="AS534" i="1"/>
  <c r="AR534" i="1"/>
  <c r="AQ534" i="1"/>
  <c r="AP534" i="1"/>
  <c r="AI534" i="1"/>
  <c r="AH534" i="1"/>
  <c r="AG534" i="1"/>
  <c r="W534" i="1"/>
  <c r="V534" i="1"/>
  <c r="U534" i="1"/>
  <c r="T534" i="1"/>
  <c r="S534" i="1"/>
  <c r="R534" i="1"/>
  <c r="Q534" i="1"/>
  <c r="P534" i="1"/>
  <c r="O534" i="1"/>
  <c r="N534" i="1"/>
  <c r="M534" i="1"/>
  <c r="L534" i="1"/>
  <c r="K534" i="1"/>
  <c r="J534" i="1"/>
  <c r="I534" i="1"/>
  <c r="H534" i="1"/>
  <c r="F534" i="1"/>
  <c r="AZ533" i="1"/>
  <c r="AY533" i="1"/>
  <c r="AX533" i="1"/>
  <c r="AW533" i="1"/>
  <c r="AV533" i="1"/>
  <c r="AU533" i="1"/>
  <c r="AT533" i="1"/>
  <c r="AS533" i="1"/>
  <c r="AR533" i="1"/>
  <c r="AQ533" i="1"/>
  <c r="AP533" i="1"/>
  <c r="AI533" i="1"/>
  <c r="AH533" i="1"/>
  <c r="AG533" i="1"/>
  <c r="W533" i="1"/>
  <c r="V533" i="1"/>
  <c r="U533" i="1"/>
  <c r="T533" i="1"/>
  <c r="S533" i="1"/>
  <c r="R533" i="1"/>
  <c r="Q533" i="1"/>
  <c r="P533" i="1"/>
  <c r="O533" i="1"/>
  <c r="N533" i="1"/>
  <c r="M533" i="1"/>
  <c r="L533" i="1"/>
  <c r="K533" i="1"/>
  <c r="J533" i="1"/>
  <c r="I533" i="1"/>
  <c r="H533" i="1"/>
  <c r="F533" i="1"/>
  <c r="AZ532" i="1"/>
  <c r="AY532" i="1"/>
  <c r="AX532" i="1"/>
  <c r="AW532" i="1"/>
  <c r="AV532" i="1"/>
  <c r="AU532" i="1"/>
  <c r="AT532" i="1"/>
  <c r="AS532" i="1"/>
  <c r="AR532" i="1"/>
  <c r="AQ532" i="1"/>
  <c r="AP532" i="1"/>
  <c r="W532" i="1"/>
  <c r="V532" i="1"/>
  <c r="U532" i="1"/>
  <c r="T532" i="1"/>
  <c r="S532" i="1"/>
  <c r="R532" i="1"/>
  <c r="Q532" i="1"/>
  <c r="P532" i="1"/>
  <c r="O532" i="1"/>
  <c r="N532" i="1"/>
  <c r="M532" i="1"/>
  <c r="L532" i="1"/>
  <c r="K532" i="1"/>
  <c r="J532" i="1"/>
  <c r="I532" i="1"/>
  <c r="H532" i="1"/>
  <c r="G532" i="1"/>
  <c r="AZ531" i="1"/>
  <c r="AY531" i="1"/>
  <c r="AX531" i="1"/>
  <c r="AW531" i="1"/>
  <c r="AV531" i="1"/>
  <c r="AU531" i="1"/>
  <c r="AT531" i="1"/>
  <c r="AS531" i="1"/>
  <c r="AR531" i="1"/>
  <c r="AQ531" i="1"/>
  <c r="AP531" i="1"/>
  <c r="AH531" i="1"/>
  <c r="AG531" i="1"/>
  <c r="W531" i="1"/>
  <c r="V531" i="1"/>
  <c r="U531" i="1"/>
  <c r="T531" i="1"/>
  <c r="S531" i="1"/>
  <c r="R531" i="1"/>
  <c r="Q531" i="1"/>
  <c r="P531" i="1"/>
  <c r="O531" i="1"/>
  <c r="N531" i="1"/>
  <c r="M531" i="1"/>
  <c r="L531" i="1"/>
  <c r="K531" i="1"/>
  <c r="J531" i="1"/>
  <c r="I531" i="1"/>
  <c r="H531" i="1"/>
  <c r="G531" i="1"/>
  <c r="AZ530" i="1"/>
  <c r="AY530" i="1"/>
  <c r="AX530" i="1"/>
  <c r="AW530" i="1"/>
  <c r="AV530" i="1"/>
  <c r="AU530" i="1"/>
  <c r="AT530" i="1"/>
  <c r="AS530" i="1"/>
  <c r="AR530" i="1"/>
  <c r="AQ530" i="1"/>
  <c r="AP530" i="1"/>
  <c r="W530" i="1"/>
  <c r="V530" i="1"/>
  <c r="U530" i="1"/>
  <c r="T530" i="1"/>
  <c r="S530" i="1"/>
  <c r="R530" i="1"/>
  <c r="Q530" i="1"/>
  <c r="P530" i="1"/>
  <c r="O530" i="1"/>
  <c r="N530" i="1"/>
  <c r="M530" i="1"/>
  <c r="L530" i="1"/>
  <c r="K530" i="1"/>
  <c r="J530" i="1"/>
  <c r="I530" i="1"/>
  <c r="H530" i="1"/>
  <c r="AZ529" i="1"/>
  <c r="AY529" i="1"/>
  <c r="AX529" i="1"/>
  <c r="AW529" i="1"/>
  <c r="AV529" i="1"/>
  <c r="AU529" i="1"/>
  <c r="AT529" i="1"/>
  <c r="AS529" i="1"/>
  <c r="AR529" i="1"/>
  <c r="AQ529" i="1"/>
  <c r="AP529" i="1"/>
  <c r="W529" i="1"/>
  <c r="V529" i="1"/>
  <c r="U529" i="1"/>
  <c r="T529" i="1"/>
  <c r="S529" i="1"/>
  <c r="R529" i="1"/>
  <c r="Q529" i="1"/>
  <c r="P529" i="1"/>
  <c r="O529" i="1"/>
  <c r="N529" i="1"/>
  <c r="M529" i="1"/>
  <c r="L529" i="1"/>
  <c r="K529" i="1"/>
  <c r="J529" i="1"/>
  <c r="I529" i="1"/>
  <c r="H529" i="1"/>
  <c r="AZ528" i="1"/>
  <c r="AY528" i="1"/>
  <c r="AX528" i="1"/>
  <c r="AW528" i="1"/>
  <c r="AV528" i="1"/>
  <c r="AU528" i="1"/>
  <c r="AT528" i="1"/>
  <c r="AS528" i="1"/>
  <c r="AR528" i="1"/>
  <c r="AQ528" i="1"/>
  <c r="AP528" i="1"/>
  <c r="AI528" i="1"/>
  <c r="AH528" i="1"/>
  <c r="AG528" i="1"/>
  <c r="W528" i="1"/>
  <c r="V528" i="1"/>
  <c r="U528" i="1"/>
  <c r="T528" i="1"/>
  <c r="S528" i="1"/>
  <c r="R528" i="1"/>
  <c r="Q528" i="1"/>
  <c r="P528" i="1"/>
  <c r="O528" i="1"/>
  <c r="N528" i="1"/>
  <c r="M528" i="1"/>
  <c r="L528" i="1"/>
  <c r="K528" i="1"/>
  <c r="J528" i="1"/>
  <c r="I528" i="1"/>
  <c r="H528" i="1"/>
  <c r="AZ527" i="1"/>
  <c r="AY527" i="1"/>
  <c r="AX527" i="1"/>
  <c r="AW527" i="1"/>
  <c r="AV527" i="1"/>
  <c r="AU527" i="1"/>
  <c r="AT527" i="1"/>
  <c r="AS527" i="1"/>
  <c r="AR527" i="1"/>
  <c r="AQ527" i="1"/>
  <c r="AP527" i="1"/>
  <c r="AI527" i="1"/>
  <c r="AH527" i="1"/>
  <c r="AG527" i="1"/>
  <c r="W527" i="1"/>
  <c r="V527" i="1"/>
  <c r="U527" i="1"/>
  <c r="T527" i="1"/>
  <c r="S527" i="1"/>
  <c r="R527" i="1"/>
  <c r="Q527" i="1"/>
  <c r="P527" i="1"/>
  <c r="O527" i="1"/>
  <c r="N527" i="1"/>
  <c r="M527" i="1"/>
  <c r="L527" i="1"/>
  <c r="K527" i="1"/>
  <c r="J527" i="1"/>
  <c r="I527" i="1"/>
  <c r="H527" i="1"/>
  <c r="AZ526" i="1"/>
  <c r="AY526" i="1"/>
  <c r="AX526" i="1"/>
  <c r="AW526" i="1"/>
  <c r="AV526" i="1"/>
  <c r="AU526" i="1"/>
  <c r="AT526" i="1"/>
  <c r="AS526" i="1"/>
  <c r="AR526" i="1"/>
  <c r="AQ526" i="1"/>
  <c r="AP526" i="1"/>
  <c r="AH526" i="1"/>
  <c r="AG526" i="1"/>
  <c r="W526" i="1"/>
  <c r="V526" i="1"/>
  <c r="U526" i="1"/>
  <c r="T526" i="1"/>
  <c r="S526" i="1"/>
  <c r="R526" i="1"/>
  <c r="Q526" i="1"/>
  <c r="P526" i="1"/>
  <c r="O526" i="1"/>
  <c r="N526" i="1"/>
  <c r="M526" i="1"/>
  <c r="L526" i="1"/>
  <c r="K526" i="1"/>
  <c r="J526" i="1"/>
  <c r="I526" i="1"/>
  <c r="H526" i="1"/>
  <c r="AZ525" i="1"/>
  <c r="AY525" i="1"/>
  <c r="AX525" i="1"/>
  <c r="AW525" i="1"/>
  <c r="AV525" i="1"/>
  <c r="AU525" i="1"/>
  <c r="AT525" i="1"/>
  <c r="AS525" i="1"/>
  <c r="AR525" i="1"/>
  <c r="AQ525" i="1"/>
  <c r="AP525" i="1"/>
  <c r="AH525" i="1"/>
  <c r="AG525" i="1"/>
  <c r="W525" i="1"/>
  <c r="V525" i="1"/>
  <c r="U525" i="1"/>
  <c r="T525" i="1"/>
  <c r="S525" i="1"/>
  <c r="R525" i="1"/>
  <c r="Q525" i="1"/>
  <c r="P525" i="1"/>
  <c r="O525" i="1"/>
  <c r="N525" i="1"/>
  <c r="M525" i="1"/>
  <c r="L525" i="1"/>
  <c r="K525" i="1"/>
  <c r="J525" i="1"/>
  <c r="I525" i="1"/>
  <c r="H525" i="1"/>
  <c r="AZ524" i="1"/>
  <c r="AY524" i="1"/>
  <c r="AX524" i="1"/>
  <c r="AW524" i="1"/>
  <c r="AV524" i="1"/>
  <c r="AU524" i="1"/>
  <c r="AT524" i="1"/>
  <c r="AS524" i="1"/>
  <c r="AR524" i="1"/>
  <c r="AQ524" i="1"/>
  <c r="AP524" i="1"/>
  <c r="AH524" i="1"/>
  <c r="AG524" i="1"/>
  <c r="W524" i="1"/>
  <c r="V524" i="1"/>
  <c r="U524" i="1"/>
  <c r="T524" i="1"/>
  <c r="S524" i="1"/>
  <c r="R524" i="1"/>
  <c r="Q524" i="1"/>
  <c r="P524" i="1"/>
  <c r="O524" i="1"/>
  <c r="N524" i="1"/>
  <c r="M524" i="1"/>
  <c r="L524" i="1"/>
  <c r="K524" i="1"/>
  <c r="J524" i="1"/>
  <c r="I524" i="1"/>
  <c r="H524" i="1"/>
  <c r="AZ523" i="1"/>
  <c r="AY523" i="1"/>
  <c r="AX523" i="1"/>
  <c r="AW523" i="1"/>
  <c r="AV523" i="1"/>
  <c r="AU523" i="1"/>
  <c r="AT523" i="1"/>
  <c r="AS523" i="1"/>
  <c r="AR523" i="1"/>
  <c r="AQ523" i="1"/>
  <c r="AP523" i="1"/>
  <c r="AI523" i="1"/>
  <c r="AH523" i="1"/>
  <c r="AG523" i="1"/>
  <c r="W523" i="1"/>
  <c r="V523" i="1"/>
  <c r="U523" i="1"/>
  <c r="T523" i="1"/>
  <c r="S523" i="1"/>
  <c r="R523" i="1"/>
  <c r="Q523" i="1"/>
  <c r="P523" i="1"/>
  <c r="O523" i="1"/>
  <c r="N523" i="1"/>
  <c r="M523" i="1"/>
  <c r="L523" i="1"/>
  <c r="K523" i="1"/>
  <c r="J523" i="1"/>
  <c r="I523" i="1"/>
  <c r="H523" i="1"/>
  <c r="F523" i="1"/>
  <c r="AZ522" i="1"/>
  <c r="AY522" i="1"/>
  <c r="AX522" i="1"/>
  <c r="AW522" i="1"/>
  <c r="AV522" i="1"/>
  <c r="AU522" i="1"/>
  <c r="AT522" i="1"/>
  <c r="AS522" i="1"/>
  <c r="AR522" i="1"/>
  <c r="AQ522" i="1"/>
  <c r="AP522" i="1"/>
  <c r="AI522" i="1"/>
  <c r="AH522" i="1"/>
  <c r="AG522" i="1"/>
  <c r="W522" i="1"/>
  <c r="V522" i="1"/>
  <c r="U522" i="1"/>
  <c r="T522" i="1"/>
  <c r="S522" i="1"/>
  <c r="R522" i="1"/>
  <c r="Q522" i="1"/>
  <c r="P522" i="1"/>
  <c r="O522" i="1"/>
  <c r="N522" i="1"/>
  <c r="M522" i="1"/>
  <c r="L522" i="1"/>
  <c r="K522" i="1"/>
  <c r="J522" i="1"/>
  <c r="I522" i="1"/>
  <c r="H522" i="1"/>
  <c r="AZ521" i="1"/>
  <c r="AY521" i="1"/>
  <c r="AX521" i="1"/>
  <c r="AW521" i="1"/>
  <c r="AV521" i="1"/>
  <c r="AU521" i="1"/>
  <c r="AT521" i="1"/>
  <c r="AS521" i="1"/>
  <c r="AR521" i="1"/>
  <c r="AQ521" i="1"/>
  <c r="AP521" i="1"/>
  <c r="AI521" i="1"/>
  <c r="AH521" i="1"/>
  <c r="W521" i="1"/>
  <c r="V521" i="1"/>
  <c r="U521" i="1"/>
  <c r="T521" i="1"/>
  <c r="S521" i="1"/>
  <c r="R521" i="1"/>
  <c r="Q521" i="1"/>
  <c r="P521" i="1"/>
  <c r="O521" i="1"/>
  <c r="N521" i="1"/>
  <c r="M521" i="1"/>
  <c r="L521" i="1"/>
  <c r="K521" i="1"/>
  <c r="J521" i="1"/>
  <c r="I521" i="1"/>
  <c r="H521" i="1"/>
  <c r="AZ520" i="1"/>
  <c r="AY520" i="1"/>
  <c r="AX520" i="1"/>
  <c r="AW520" i="1"/>
  <c r="AV520" i="1"/>
  <c r="AU520" i="1"/>
  <c r="AT520" i="1"/>
  <c r="AS520" i="1"/>
  <c r="AR520" i="1"/>
  <c r="AQ520" i="1"/>
  <c r="AP520" i="1"/>
  <c r="AH520" i="1"/>
  <c r="AG520" i="1"/>
  <c r="W520" i="1"/>
  <c r="V520" i="1"/>
  <c r="U520" i="1"/>
  <c r="T520" i="1"/>
  <c r="S520" i="1"/>
  <c r="R520" i="1"/>
  <c r="Q520" i="1"/>
  <c r="P520" i="1"/>
  <c r="O520" i="1"/>
  <c r="N520" i="1"/>
  <c r="M520" i="1"/>
  <c r="L520" i="1"/>
  <c r="K520" i="1"/>
  <c r="J520" i="1"/>
  <c r="I520" i="1"/>
  <c r="H520" i="1"/>
  <c r="AZ519" i="1"/>
  <c r="AY519" i="1"/>
  <c r="AX519" i="1"/>
  <c r="AW519" i="1"/>
  <c r="AV519" i="1"/>
  <c r="AU519" i="1"/>
  <c r="AT519" i="1"/>
  <c r="AS519" i="1"/>
  <c r="AR519" i="1"/>
  <c r="AQ519" i="1"/>
  <c r="AP519" i="1"/>
  <c r="AI519" i="1"/>
  <c r="AH519" i="1"/>
  <c r="AG519" i="1"/>
  <c r="W519" i="1"/>
  <c r="V519" i="1"/>
  <c r="U519" i="1"/>
  <c r="T519" i="1"/>
  <c r="S519" i="1"/>
  <c r="R519" i="1"/>
  <c r="Q519" i="1"/>
  <c r="P519" i="1"/>
  <c r="O519" i="1"/>
  <c r="N519" i="1"/>
  <c r="M519" i="1"/>
  <c r="L519" i="1"/>
  <c r="K519" i="1"/>
  <c r="J519" i="1"/>
  <c r="I519" i="1"/>
  <c r="H519" i="1"/>
  <c r="AZ518" i="1"/>
  <c r="AY518" i="1"/>
  <c r="AX518" i="1"/>
  <c r="AW518" i="1"/>
  <c r="AV518" i="1"/>
  <c r="AU518" i="1"/>
  <c r="AT518" i="1"/>
  <c r="AS518" i="1"/>
  <c r="AR518" i="1"/>
  <c r="AQ518" i="1"/>
  <c r="AP518" i="1"/>
  <c r="AI518" i="1"/>
  <c r="AH518" i="1"/>
  <c r="AG518" i="1"/>
  <c r="W518" i="1"/>
  <c r="V518" i="1"/>
  <c r="U518" i="1"/>
  <c r="T518" i="1"/>
  <c r="S518" i="1"/>
  <c r="R518" i="1"/>
  <c r="Q518" i="1"/>
  <c r="P518" i="1"/>
  <c r="O518" i="1"/>
  <c r="N518" i="1"/>
  <c r="M518" i="1"/>
  <c r="L518" i="1"/>
  <c r="K518" i="1"/>
  <c r="J518" i="1"/>
  <c r="I518" i="1"/>
  <c r="H518" i="1"/>
  <c r="AZ517" i="1"/>
  <c r="AY517" i="1"/>
  <c r="AX517" i="1"/>
  <c r="AW517" i="1"/>
  <c r="AV517" i="1"/>
  <c r="AU517" i="1"/>
  <c r="AT517" i="1"/>
  <c r="AS517" i="1"/>
  <c r="AR517" i="1"/>
  <c r="AQ517" i="1"/>
  <c r="AP517" i="1"/>
  <c r="W517" i="1"/>
  <c r="V517" i="1"/>
  <c r="U517" i="1"/>
  <c r="T517" i="1"/>
  <c r="S517" i="1"/>
  <c r="R517" i="1"/>
  <c r="Q517" i="1"/>
  <c r="P517" i="1"/>
  <c r="O517" i="1"/>
  <c r="N517" i="1"/>
  <c r="M517" i="1"/>
  <c r="L517" i="1"/>
  <c r="K517" i="1"/>
  <c r="J517" i="1"/>
  <c r="I517" i="1"/>
  <c r="H517" i="1"/>
  <c r="AZ516" i="1"/>
  <c r="AY516" i="1"/>
  <c r="AX516" i="1"/>
  <c r="AW516" i="1"/>
  <c r="AV516" i="1"/>
  <c r="AU516" i="1"/>
  <c r="AT516" i="1"/>
  <c r="AS516" i="1"/>
  <c r="AR516" i="1"/>
  <c r="AQ516" i="1"/>
  <c r="AP516" i="1"/>
  <c r="W516" i="1"/>
  <c r="V516" i="1"/>
  <c r="U516" i="1"/>
  <c r="T516" i="1"/>
  <c r="S516" i="1"/>
  <c r="R516" i="1"/>
  <c r="Q516" i="1"/>
  <c r="P516" i="1"/>
  <c r="O516" i="1"/>
  <c r="N516" i="1"/>
  <c r="M516" i="1"/>
  <c r="L516" i="1"/>
  <c r="K516" i="1"/>
  <c r="J516" i="1"/>
  <c r="I516" i="1"/>
  <c r="H516" i="1"/>
  <c r="AZ515" i="1"/>
  <c r="AY515" i="1"/>
  <c r="AX515" i="1"/>
  <c r="AW515" i="1"/>
  <c r="AV515" i="1"/>
  <c r="AU515" i="1"/>
  <c r="AT515" i="1"/>
  <c r="AS515" i="1"/>
  <c r="AR515" i="1"/>
  <c r="AQ515" i="1"/>
  <c r="AP515" i="1"/>
  <c r="AI515" i="1"/>
  <c r="AH515" i="1"/>
  <c r="AG515" i="1"/>
  <c r="W515" i="1"/>
  <c r="V515" i="1"/>
  <c r="U515" i="1"/>
  <c r="T515" i="1"/>
  <c r="S515" i="1"/>
  <c r="R515" i="1"/>
  <c r="Q515" i="1"/>
  <c r="P515" i="1"/>
  <c r="O515" i="1"/>
  <c r="N515" i="1"/>
  <c r="M515" i="1"/>
  <c r="L515" i="1"/>
  <c r="K515" i="1"/>
  <c r="J515" i="1"/>
  <c r="I515" i="1"/>
  <c r="H515" i="1"/>
  <c r="AZ514" i="1"/>
  <c r="AY514" i="1"/>
  <c r="AX514" i="1"/>
  <c r="AW514" i="1"/>
  <c r="AV514" i="1"/>
  <c r="AU514" i="1"/>
  <c r="AT514" i="1"/>
  <c r="AS514" i="1"/>
  <c r="AR514" i="1"/>
  <c r="AQ514" i="1"/>
  <c r="AP514" i="1"/>
  <c r="AI514" i="1"/>
  <c r="AH514" i="1"/>
  <c r="AG514" i="1"/>
  <c r="W514" i="1"/>
  <c r="V514" i="1"/>
  <c r="U514" i="1"/>
  <c r="T514" i="1"/>
  <c r="S514" i="1"/>
  <c r="R514" i="1"/>
  <c r="Q514" i="1"/>
  <c r="P514" i="1"/>
  <c r="O514" i="1"/>
  <c r="N514" i="1"/>
  <c r="M514" i="1"/>
  <c r="L514" i="1"/>
  <c r="K514" i="1"/>
  <c r="J514" i="1"/>
  <c r="I514" i="1"/>
  <c r="H514" i="1"/>
  <c r="AZ513" i="1"/>
  <c r="AY513" i="1"/>
  <c r="AX513" i="1"/>
  <c r="AW513" i="1"/>
  <c r="AV513" i="1"/>
  <c r="AU513" i="1"/>
  <c r="AT513" i="1"/>
  <c r="AS513" i="1"/>
  <c r="AR513" i="1"/>
  <c r="AQ513" i="1"/>
  <c r="AP513" i="1"/>
  <c r="AI513" i="1"/>
  <c r="AH513" i="1"/>
  <c r="AG513" i="1"/>
  <c r="W513" i="1"/>
  <c r="V513" i="1"/>
  <c r="U513" i="1"/>
  <c r="T513" i="1"/>
  <c r="S513" i="1"/>
  <c r="R513" i="1"/>
  <c r="Q513" i="1"/>
  <c r="P513" i="1"/>
  <c r="O513" i="1"/>
  <c r="N513" i="1"/>
  <c r="M513" i="1"/>
  <c r="L513" i="1"/>
  <c r="K513" i="1"/>
  <c r="J513" i="1"/>
  <c r="I513" i="1"/>
  <c r="H513" i="1"/>
  <c r="AZ512" i="1"/>
  <c r="AY512" i="1"/>
  <c r="AX512" i="1"/>
  <c r="AW512" i="1"/>
  <c r="AV512" i="1"/>
  <c r="AU512" i="1"/>
  <c r="AT512" i="1"/>
  <c r="AS512" i="1"/>
  <c r="AR512" i="1"/>
  <c r="AQ512" i="1"/>
  <c r="AP512" i="1"/>
  <c r="AI512" i="1"/>
  <c r="AH512" i="1"/>
  <c r="AG512" i="1"/>
  <c r="W512" i="1"/>
  <c r="V512" i="1"/>
  <c r="U512" i="1"/>
  <c r="T512" i="1"/>
  <c r="S512" i="1"/>
  <c r="R512" i="1"/>
  <c r="Q512" i="1"/>
  <c r="P512" i="1"/>
  <c r="O512" i="1"/>
  <c r="N512" i="1"/>
  <c r="M512" i="1"/>
  <c r="L512" i="1"/>
  <c r="K512" i="1"/>
  <c r="J512" i="1"/>
  <c r="I512" i="1"/>
  <c r="H512" i="1"/>
  <c r="AZ511" i="1"/>
  <c r="AY511" i="1"/>
  <c r="AX511" i="1"/>
  <c r="AW511" i="1"/>
  <c r="AV511" i="1"/>
  <c r="AU511" i="1"/>
  <c r="AT511" i="1"/>
  <c r="AS511" i="1"/>
  <c r="AR511" i="1"/>
  <c r="AQ511" i="1"/>
  <c r="AP511" i="1"/>
  <c r="AI511" i="1"/>
  <c r="AH511" i="1"/>
  <c r="AG511" i="1"/>
  <c r="W511" i="1"/>
  <c r="V511" i="1"/>
  <c r="U511" i="1"/>
  <c r="T511" i="1"/>
  <c r="S511" i="1"/>
  <c r="R511" i="1"/>
  <c r="Q511" i="1"/>
  <c r="P511" i="1"/>
  <c r="O511" i="1"/>
  <c r="N511" i="1"/>
  <c r="M511" i="1"/>
  <c r="L511" i="1"/>
  <c r="K511" i="1"/>
  <c r="J511" i="1"/>
  <c r="I511" i="1"/>
  <c r="H511" i="1"/>
  <c r="AZ510" i="1"/>
  <c r="AY510" i="1"/>
  <c r="AX510" i="1"/>
  <c r="AW510" i="1"/>
  <c r="AV510" i="1"/>
  <c r="AU510" i="1"/>
  <c r="AT510" i="1"/>
  <c r="AS510" i="1"/>
  <c r="AR510" i="1"/>
  <c r="AQ510" i="1"/>
  <c r="AP510" i="1"/>
  <c r="AI510" i="1"/>
  <c r="AH510" i="1"/>
  <c r="AG510" i="1"/>
  <c r="W510" i="1"/>
  <c r="V510" i="1"/>
  <c r="U510" i="1"/>
  <c r="T510" i="1"/>
  <c r="S510" i="1"/>
  <c r="R510" i="1"/>
  <c r="Q510" i="1"/>
  <c r="P510" i="1"/>
  <c r="O510" i="1"/>
  <c r="N510" i="1"/>
  <c r="M510" i="1"/>
  <c r="L510" i="1"/>
  <c r="K510" i="1"/>
  <c r="J510" i="1"/>
  <c r="I510" i="1"/>
  <c r="H510" i="1"/>
  <c r="AZ509" i="1"/>
  <c r="AY509" i="1"/>
  <c r="AX509" i="1"/>
  <c r="AW509" i="1"/>
  <c r="AV509" i="1"/>
  <c r="AU509" i="1"/>
  <c r="AT509" i="1"/>
  <c r="AS509" i="1"/>
  <c r="AR509" i="1"/>
  <c r="AQ509" i="1"/>
  <c r="AP509" i="1"/>
  <c r="W509" i="1"/>
  <c r="V509" i="1"/>
  <c r="U509" i="1"/>
  <c r="T509" i="1"/>
  <c r="S509" i="1"/>
  <c r="R509" i="1"/>
  <c r="Q509" i="1"/>
  <c r="P509" i="1"/>
  <c r="O509" i="1"/>
  <c r="N509" i="1"/>
  <c r="M509" i="1"/>
  <c r="L509" i="1"/>
  <c r="K509" i="1"/>
  <c r="J509" i="1"/>
  <c r="I509" i="1"/>
  <c r="H509" i="1"/>
  <c r="AZ508" i="1"/>
  <c r="AY508" i="1"/>
  <c r="AX508" i="1"/>
  <c r="AW508" i="1"/>
  <c r="AV508" i="1"/>
  <c r="AU508" i="1"/>
  <c r="AT508" i="1"/>
  <c r="AS508" i="1"/>
  <c r="AR508" i="1"/>
  <c r="AQ508" i="1"/>
  <c r="AP508" i="1"/>
  <c r="W508" i="1"/>
  <c r="V508" i="1"/>
  <c r="U508" i="1"/>
  <c r="T508" i="1"/>
  <c r="S508" i="1"/>
  <c r="R508" i="1"/>
  <c r="Q508" i="1"/>
  <c r="P508" i="1"/>
  <c r="O508" i="1"/>
  <c r="N508" i="1"/>
  <c r="M508" i="1"/>
  <c r="L508" i="1"/>
  <c r="K508" i="1"/>
  <c r="J508" i="1"/>
  <c r="I508" i="1"/>
  <c r="H508" i="1"/>
  <c r="AZ507" i="1"/>
  <c r="AY507" i="1"/>
  <c r="AX507" i="1"/>
  <c r="AW507" i="1"/>
  <c r="AV507" i="1"/>
  <c r="AU507" i="1"/>
  <c r="AT507" i="1"/>
  <c r="AS507" i="1"/>
  <c r="AR507" i="1"/>
  <c r="AQ507" i="1"/>
  <c r="AP507" i="1"/>
  <c r="W507" i="1"/>
  <c r="V507" i="1"/>
  <c r="U507" i="1"/>
  <c r="T507" i="1"/>
  <c r="S507" i="1"/>
  <c r="R507" i="1"/>
  <c r="Q507" i="1"/>
  <c r="P507" i="1"/>
  <c r="O507" i="1"/>
  <c r="N507" i="1"/>
  <c r="M507" i="1"/>
  <c r="L507" i="1"/>
  <c r="K507" i="1"/>
  <c r="J507" i="1"/>
  <c r="I507" i="1"/>
  <c r="H507" i="1"/>
  <c r="AZ506" i="1"/>
  <c r="AY506" i="1"/>
  <c r="AX506" i="1"/>
  <c r="AW506" i="1"/>
  <c r="AV506" i="1"/>
  <c r="AU506" i="1"/>
  <c r="AT506" i="1"/>
  <c r="AS506" i="1"/>
  <c r="AR506" i="1"/>
  <c r="AQ506" i="1"/>
  <c r="AP506" i="1"/>
  <c r="W506" i="1"/>
  <c r="V506" i="1"/>
  <c r="U506" i="1"/>
  <c r="T506" i="1"/>
  <c r="S506" i="1"/>
  <c r="R506" i="1"/>
  <c r="Q506" i="1"/>
  <c r="P506" i="1"/>
  <c r="O506" i="1"/>
  <c r="N506" i="1"/>
  <c r="M506" i="1"/>
  <c r="L506" i="1"/>
  <c r="K506" i="1"/>
  <c r="J506" i="1"/>
  <c r="I506" i="1"/>
  <c r="H506" i="1"/>
  <c r="AZ505" i="1"/>
  <c r="AY505" i="1"/>
  <c r="AX505" i="1"/>
  <c r="AW505" i="1"/>
  <c r="AV505" i="1"/>
  <c r="AU505" i="1"/>
  <c r="AT505" i="1"/>
  <c r="AS505" i="1"/>
  <c r="AR505" i="1"/>
  <c r="AQ505" i="1"/>
  <c r="AP505" i="1"/>
  <c r="W505" i="1"/>
  <c r="V505" i="1"/>
  <c r="U505" i="1"/>
  <c r="T505" i="1"/>
  <c r="S505" i="1"/>
  <c r="R505" i="1"/>
  <c r="Q505" i="1"/>
  <c r="P505" i="1"/>
  <c r="O505" i="1"/>
  <c r="N505" i="1"/>
  <c r="M505" i="1"/>
  <c r="L505" i="1"/>
  <c r="K505" i="1"/>
  <c r="J505" i="1"/>
  <c r="I505" i="1"/>
  <c r="H505" i="1"/>
  <c r="X505" i="1" s="1"/>
  <c r="AZ504" i="1"/>
  <c r="AY504" i="1"/>
  <c r="AX504" i="1"/>
  <c r="AW504" i="1"/>
  <c r="AV504" i="1"/>
  <c r="AU504" i="1"/>
  <c r="AT504" i="1"/>
  <c r="AS504" i="1"/>
  <c r="AR504" i="1"/>
  <c r="AQ504" i="1"/>
  <c r="AP504" i="1"/>
  <c r="AI504" i="1"/>
  <c r="AH504" i="1"/>
  <c r="AG504" i="1"/>
  <c r="W504" i="1"/>
  <c r="V504" i="1"/>
  <c r="U504" i="1"/>
  <c r="T504" i="1"/>
  <c r="S504" i="1"/>
  <c r="R504" i="1"/>
  <c r="Q504" i="1"/>
  <c r="P504" i="1"/>
  <c r="O504" i="1"/>
  <c r="N504" i="1"/>
  <c r="M504" i="1"/>
  <c r="L504" i="1"/>
  <c r="K504" i="1"/>
  <c r="J504" i="1"/>
  <c r="I504" i="1"/>
  <c r="H504" i="1"/>
  <c r="AZ503" i="1"/>
  <c r="AY503" i="1"/>
  <c r="AX503" i="1"/>
  <c r="AW503" i="1"/>
  <c r="AV503" i="1"/>
  <c r="AU503" i="1"/>
  <c r="AT503" i="1"/>
  <c r="AS503" i="1"/>
  <c r="AR503" i="1"/>
  <c r="AQ503" i="1"/>
  <c r="AP503" i="1"/>
  <c r="AI503" i="1"/>
  <c r="AH503" i="1"/>
  <c r="AG503" i="1"/>
  <c r="W503" i="1"/>
  <c r="V503" i="1"/>
  <c r="U503" i="1"/>
  <c r="T503" i="1"/>
  <c r="S503" i="1"/>
  <c r="R503" i="1"/>
  <c r="Q503" i="1"/>
  <c r="P503" i="1"/>
  <c r="O503" i="1"/>
  <c r="N503" i="1"/>
  <c r="M503" i="1"/>
  <c r="L503" i="1"/>
  <c r="K503" i="1"/>
  <c r="J503" i="1"/>
  <c r="I503" i="1"/>
  <c r="H503" i="1"/>
  <c r="AZ502" i="1"/>
  <c r="AY502" i="1"/>
  <c r="AX502" i="1"/>
  <c r="AW502" i="1"/>
  <c r="AV502" i="1"/>
  <c r="AU502" i="1"/>
  <c r="AT502" i="1"/>
  <c r="AS502" i="1"/>
  <c r="AR502" i="1"/>
  <c r="AQ502" i="1"/>
  <c r="AP502" i="1"/>
  <c r="W502" i="1"/>
  <c r="V502" i="1"/>
  <c r="U502" i="1"/>
  <c r="T502" i="1"/>
  <c r="S502" i="1"/>
  <c r="R502" i="1"/>
  <c r="Q502" i="1"/>
  <c r="P502" i="1"/>
  <c r="O502" i="1"/>
  <c r="N502" i="1"/>
  <c r="M502" i="1"/>
  <c r="L502" i="1"/>
  <c r="K502" i="1"/>
  <c r="J502" i="1"/>
  <c r="I502" i="1"/>
  <c r="H502" i="1"/>
  <c r="AZ501" i="1"/>
  <c r="AY501" i="1"/>
  <c r="AX501" i="1"/>
  <c r="AW501" i="1"/>
  <c r="AV501" i="1"/>
  <c r="AU501" i="1"/>
  <c r="AT501" i="1"/>
  <c r="AS501" i="1"/>
  <c r="AR501" i="1"/>
  <c r="AQ501" i="1"/>
  <c r="AP501" i="1"/>
  <c r="W501" i="1"/>
  <c r="V501" i="1"/>
  <c r="U501" i="1"/>
  <c r="T501" i="1"/>
  <c r="S501" i="1"/>
  <c r="R501" i="1"/>
  <c r="Q501" i="1"/>
  <c r="P501" i="1"/>
  <c r="O501" i="1"/>
  <c r="N501" i="1"/>
  <c r="M501" i="1"/>
  <c r="L501" i="1"/>
  <c r="K501" i="1"/>
  <c r="J501" i="1"/>
  <c r="I501" i="1"/>
  <c r="H501" i="1"/>
  <c r="AZ500" i="1"/>
  <c r="AY500" i="1"/>
  <c r="AX500" i="1"/>
  <c r="AW500" i="1"/>
  <c r="AV500" i="1"/>
  <c r="AU500" i="1"/>
  <c r="AT500" i="1"/>
  <c r="AS500" i="1"/>
  <c r="AR500" i="1"/>
  <c r="AQ500" i="1"/>
  <c r="AP500" i="1"/>
  <c r="AI500" i="1"/>
  <c r="AH500" i="1"/>
  <c r="AG500" i="1"/>
  <c r="W500" i="1"/>
  <c r="V500" i="1"/>
  <c r="U500" i="1"/>
  <c r="T500" i="1"/>
  <c r="S500" i="1"/>
  <c r="R500" i="1"/>
  <c r="Q500" i="1"/>
  <c r="P500" i="1"/>
  <c r="O500" i="1"/>
  <c r="N500" i="1"/>
  <c r="M500" i="1"/>
  <c r="L500" i="1"/>
  <c r="K500" i="1"/>
  <c r="J500" i="1"/>
  <c r="I500" i="1"/>
  <c r="H500" i="1"/>
  <c r="C500" i="1" s="1"/>
  <c r="AZ499" i="1"/>
  <c r="AY499" i="1"/>
  <c r="AX499" i="1"/>
  <c r="AW499" i="1"/>
  <c r="AV499" i="1"/>
  <c r="AU499" i="1"/>
  <c r="AT499" i="1"/>
  <c r="AS499" i="1"/>
  <c r="AR499" i="1"/>
  <c r="AQ499" i="1"/>
  <c r="AP499" i="1"/>
  <c r="AI499" i="1"/>
  <c r="AH499" i="1"/>
  <c r="AG499" i="1"/>
  <c r="W499" i="1"/>
  <c r="V499" i="1"/>
  <c r="U499" i="1"/>
  <c r="T499" i="1"/>
  <c r="S499" i="1"/>
  <c r="R499" i="1"/>
  <c r="Q499" i="1"/>
  <c r="P499" i="1"/>
  <c r="O499" i="1"/>
  <c r="N499" i="1"/>
  <c r="M499" i="1"/>
  <c r="L499" i="1"/>
  <c r="K499" i="1"/>
  <c r="J499" i="1"/>
  <c r="I499" i="1"/>
  <c r="H499" i="1"/>
  <c r="AZ498" i="1"/>
  <c r="AY498" i="1"/>
  <c r="AX498" i="1"/>
  <c r="AW498" i="1"/>
  <c r="AV498" i="1"/>
  <c r="AU498" i="1"/>
  <c r="AT498" i="1"/>
  <c r="AS498" i="1"/>
  <c r="AR498" i="1"/>
  <c r="AQ498" i="1"/>
  <c r="AP498" i="1"/>
  <c r="AI498" i="1"/>
  <c r="AH498" i="1"/>
  <c r="AG498" i="1"/>
  <c r="W498" i="1"/>
  <c r="V498" i="1"/>
  <c r="U498" i="1"/>
  <c r="T498" i="1"/>
  <c r="S498" i="1"/>
  <c r="R498" i="1"/>
  <c r="Q498" i="1"/>
  <c r="P498" i="1"/>
  <c r="O498" i="1"/>
  <c r="N498" i="1"/>
  <c r="M498" i="1"/>
  <c r="L498" i="1"/>
  <c r="K498" i="1"/>
  <c r="J498" i="1"/>
  <c r="I498" i="1"/>
  <c r="H498" i="1"/>
  <c r="AZ497" i="1"/>
  <c r="AY497" i="1"/>
  <c r="AX497" i="1"/>
  <c r="AW497" i="1"/>
  <c r="AV497" i="1"/>
  <c r="AU497" i="1"/>
  <c r="AT497" i="1"/>
  <c r="AS497" i="1"/>
  <c r="AR497" i="1"/>
  <c r="AQ497" i="1"/>
  <c r="AP497" i="1"/>
  <c r="AI497" i="1"/>
  <c r="AH497" i="1"/>
  <c r="AG497" i="1"/>
  <c r="W497" i="1"/>
  <c r="V497" i="1"/>
  <c r="U497" i="1"/>
  <c r="T497" i="1"/>
  <c r="S497" i="1"/>
  <c r="R497" i="1"/>
  <c r="Q497" i="1"/>
  <c r="P497" i="1"/>
  <c r="O497" i="1"/>
  <c r="N497" i="1"/>
  <c r="M497" i="1"/>
  <c r="L497" i="1"/>
  <c r="K497" i="1"/>
  <c r="J497" i="1"/>
  <c r="I497" i="1"/>
  <c r="H497" i="1"/>
  <c r="AZ496" i="1"/>
  <c r="AY496" i="1"/>
  <c r="AX496" i="1"/>
  <c r="AW496" i="1"/>
  <c r="AV496" i="1"/>
  <c r="AU496" i="1"/>
  <c r="AT496" i="1"/>
  <c r="AS496" i="1"/>
  <c r="AR496" i="1"/>
  <c r="AQ496" i="1"/>
  <c r="AP496" i="1"/>
  <c r="W496" i="1"/>
  <c r="V496" i="1"/>
  <c r="U496" i="1"/>
  <c r="T496" i="1"/>
  <c r="S496" i="1"/>
  <c r="R496" i="1"/>
  <c r="Q496" i="1"/>
  <c r="P496" i="1"/>
  <c r="O496" i="1"/>
  <c r="N496" i="1"/>
  <c r="M496" i="1"/>
  <c r="L496" i="1"/>
  <c r="K496" i="1"/>
  <c r="J496" i="1"/>
  <c r="I496" i="1"/>
  <c r="H496" i="1"/>
  <c r="AZ495" i="1"/>
  <c r="AY495" i="1"/>
  <c r="AX495" i="1"/>
  <c r="AW495" i="1"/>
  <c r="AV495" i="1"/>
  <c r="AU495" i="1"/>
  <c r="AT495" i="1"/>
  <c r="AS495" i="1"/>
  <c r="AR495" i="1"/>
  <c r="AQ495" i="1"/>
  <c r="AP495" i="1"/>
  <c r="W495" i="1"/>
  <c r="V495" i="1"/>
  <c r="U495" i="1"/>
  <c r="T495" i="1"/>
  <c r="S495" i="1"/>
  <c r="R495" i="1"/>
  <c r="Q495" i="1"/>
  <c r="P495" i="1"/>
  <c r="O495" i="1"/>
  <c r="N495" i="1"/>
  <c r="M495" i="1"/>
  <c r="L495" i="1"/>
  <c r="K495" i="1"/>
  <c r="J495" i="1"/>
  <c r="I495" i="1"/>
  <c r="H495" i="1"/>
  <c r="X495" i="1" s="1"/>
  <c r="AZ494" i="1"/>
  <c r="AY494" i="1"/>
  <c r="AX494" i="1"/>
  <c r="AW494" i="1"/>
  <c r="AV494" i="1"/>
  <c r="AU494" i="1"/>
  <c r="AT494" i="1"/>
  <c r="AS494" i="1"/>
  <c r="AR494" i="1"/>
  <c r="AQ494" i="1"/>
  <c r="AP494" i="1"/>
  <c r="AI494" i="1"/>
  <c r="AH494" i="1"/>
  <c r="AG494" i="1"/>
  <c r="W494" i="1"/>
  <c r="V494" i="1"/>
  <c r="U494" i="1"/>
  <c r="T494" i="1"/>
  <c r="S494" i="1"/>
  <c r="R494" i="1"/>
  <c r="Q494" i="1"/>
  <c r="P494" i="1"/>
  <c r="O494" i="1"/>
  <c r="N494" i="1"/>
  <c r="M494" i="1"/>
  <c r="L494" i="1"/>
  <c r="K494" i="1"/>
  <c r="J494" i="1"/>
  <c r="I494" i="1"/>
  <c r="H494" i="1"/>
  <c r="AZ493" i="1"/>
  <c r="AY493" i="1"/>
  <c r="AX493" i="1"/>
  <c r="AW493" i="1"/>
  <c r="AV493" i="1"/>
  <c r="AU493" i="1"/>
  <c r="AT493" i="1"/>
  <c r="AS493" i="1"/>
  <c r="AR493" i="1"/>
  <c r="AQ493" i="1"/>
  <c r="AP493" i="1"/>
  <c r="AI493" i="1"/>
  <c r="AH493" i="1"/>
  <c r="AG493" i="1"/>
  <c r="W493" i="1"/>
  <c r="V493" i="1"/>
  <c r="U493" i="1"/>
  <c r="T493" i="1"/>
  <c r="S493" i="1"/>
  <c r="R493" i="1"/>
  <c r="Q493" i="1"/>
  <c r="P493" i="1"/>
  <c r="O493" i="1"/>
  <c r="N493" i="1"/>
  <c r="M493" i="1"/>
  <c r="L493" i="1"/>
  <c r="K493" i="1"/>
  <c r="J493" i="1"/>
  <c r="I493" i="1"/>
  <c r="H493" i="1"/>
  <c r="AZ492" i="1"/>
  <c r="AY492" i="1"/>
  <c r="AX492" i="1"/>
  <c r="AW492" i="1"/>
  <c r="AV492" i="1"/>
  <c r="AU492" i="1"/>
  <c r="AT492" i="1"/>
  <c r="AS492" i="1"/>
  <c r="AR492" i="1"/>
  <c r="AQ492" i="1"/>
  <c r="AP492" i="1"/>
  <c r="AH492" i="1"/>
  <c r="AG492" i="1"/>
  <c r="W492" i="1"/>
  <c r="V492" i="1"/>
  <c r="U492" i="1"/>
  <c r="T492" i="1"/>
  <c r="S492" i="1"/>
  <c r="R492" i="1"/>
  <c r="Q492" i="1"/>
  <c r="P492" i="1"/>
  <c r="O492" i="1"/>
  <c r="N492" i="1"/>
  <c r="M492" i="1"/>
  <c r="L492" i="1"/>
  <c r="K492" i="1"/>
  <c r="J492" i="1"/>
  <c r="I492" i="1"/>
  <c r="H492" i="1"/>
  <c r="AZ491" i="1"/>
  <c r="AY491" i="1"/>
  <c r="AX491" i="1"/>
  <c r="AW491" i="1"/>
  <c r="AV491" i="1"/>
  <c r="AU491" i="1"/>
  <c r="AT491" i="1"/>
  <c r="AS491" i="1"/>
  <c r="AR491" i="1"/>
  <c r="AQ491" i="1"/>
  <c r="AP491" i="1"/>
  <c r="AI491" i="1"/>
  <c r="AH491" i="1"/>
  <c r="AG491" i="1"/>
  <c r="W491" i="1"/>
  <c r="V491" i="1"/>
  <c r="U491" i="1"/>
  <c r="T491" i="1"/>
  <c r="S491" i="1"/>
  <c r="R491" i="1"/>
  <c r="Q491" i="1"/>
  <c r="P491" i="1"/>
  <c r="O491" i="1"/>
  <c r="N491" i="1"/>
  <c r="M491" i="1"/>
  <c r="L491" i="1"/>
  <c r="K491" i="1"/>
  <c r="J491" i="1"/>
  <c r="I491" i="1"/>
  <c r="H491" i="1"/>
  <c r="AZ490" i="1"/>
  <c r="AY490" i="1"/>
  <c r="AX490" i="1"/>
  <c r="AW490" i="1"/>
  <c r="AV490" i="1"/>
  <c r="AU490" i="1"/>
  <c r="AT490" i="1"/>
  <c r="AS490" i="1"/>
  <c r="AR490" i="1"/>
  <c r="AQ490" i="1"/>
  <c r="AP490" i="1"/>
  <c r="AI490" i="1"/>
  <c r="AH490" i="1"/>
  <c r="AG490" i="1"/>
  <c r="W490" i="1"/>
  <c r="V490" i="1"/>
  <c r="U490" i="1"/>
  <c r="T490" i="1"/>
  <c r="S490" i="1"/>
  <c r="R490" i="1"/>
  <c r="Q490" i="1"/>
  <c r="P490" i="1"/>
  <c r="O490" i="1"/>
  <c r="N490" i="1"/>
  <c r="M490" i="1"/>
  <c r="L490" i="1"/>
  <c r="K490" i="1"/>
  <c r="J490" i="1"/>
  <c r="I490" i="1"/>
  <c r="H490" i="1"/>
  <c r="AZ489" i="1"/>
  <c r="AY489" i="1"/>
  <c r="AX489" i="1"/>
  <c r="AW489" i="1"/>
  <c r="AV489" i="1"/>
  <c r="AU489" i="1"/>
  <c r="AT489" i="1"/>
  <c r="AS489" i="1"/>
  <c r="AR489" i="1"/>
  <c r="AQ489" i="1"/>
  <c r="AP489" i="1"/>
  <c r="AI489" i="1"/>
  <c r="AH489" i="1"/>
  <c r="AG489" i="1"/>
  <c r="W489" i="1"/>
  <c r="V489" i="1"/>
  <c r="U489" i="1"/>
  <c r="T489" i="1"/>
  <c r="S489" i="1"/>
  <c r="R489" i="1"/>
  <c r="Q489" i="1"/>
  <c r="P489" i="1"/>
  <c r="O489" i="1"/>
  <c r="N489" i="1"/>
  <c r="M489" i="1"/>
  <c r="L489" i="1"/>
  <c r="K489" i="1"/>
  <c r="J489" i="1"/>
  <c r="I489" i="1"/>
  <c r="H489" i="1"/>
  <c r="AZ488" i="1"/>
  <c r="AY488" i="1"/>
  <c r="AX488" i="1"/>
  <c r="AW488" i="1"/>
  <c r="AV488" i="1"/>
  <c r="AU488" i="1"/>
  <c r="AT488" i="1"/>
  <c r="AS488" i="1"/>
  <c r="AR488" i="1"/>
  <c r="AQ488" i="1"/>
  <c r="AP488" i="1"/>
  <c r="AI488" i="1"/>
  <c r="AH488" i="1"/>
  <c r="AG488" i="1"/>
  <c r="W488" i="1"/>
  <c r="V488" i="1"/>
  <c r="U488" i="1"/>
  <c r="T488" i="1"/>
  <c r="S488" i="1"/>
  <c r="R488" i="1"/>
  <c r="Q488" i="1"/>
  <c r="P488" i="1"/>
  <c r="O488" i="1"/>
  <c r="N488" i="1"/>
  <c r="M488" i="1"/>
  <c r="L488" i="1"/>
  <c r="K488" i="1"/>
  <c r="J488" i="1"/>
  <c r="I488" i="1"/>
  <c r="H488" i="1"/>
  <c r="AZ487" i="1"/>
  <c r="AY487" i="1"/>
  <c r="AX487" i="1"/>
  <c r="AW487" i="1"/>
  <c r="AV487" i="1"/>
  <c r="AU487" i="1"/>
  <c r="AT487" i="1"/>
  <c r="AS487" i="1"/>
  <c r="AR487" i="1"/>
  <c r="AQ487" i="1"/>
  <c r="AP487" i="1"/>
  <c r="AH487" i="1"/>
  <c r="AG487" i="1"/>
  <c r="W487" i="1"/>
  <c r="V487" i="1"/>
  <c r="U487" i="1"/>
  <c r="T487" i="1"/>
  <c r="S487" i="1"/>
  <c r="R487" i="1"/>
  <c r="Q487" i="1"/>
  <c r="P487" i="1"/>
  <c r="O487" i="1"/>
  <c r="N487" i="1"/>
  <c r="M487" i="1"/>
  <c r="L487" i="1"/>
  <c r="K487" i="1"/>
  <c r="J487" i="1"/>
  <c r="I487" i="1"/>
  <c r="H487" i="1"/>
  <c r="AZ486" i="1"/>
  <c r="AY486" i="1"/>
  <c r="AX486" i="1"/>
  <c r="AW486" i="1"/>
  <c r="AV486" i="1"/>
  <c r="AU486" i="1"/>
  <c r="AT486" i="1"/>
  <c r="AS486" i="1"/>
  <c r="AR486" i="1"/>
  <c r="AQ486" i="1"/>
  <c r="AP486" i="1"/>
  <c r="AH486" i="1"/>
  <c r="AG486" i="1"/>
  <c r="W486" i="1"/>
  <c r="V486" i="1"/>
  <c r="U486" i="1"/>
  <c r="T486" i="1"/>
  <c r="S486" i="1"/>
  <c r="R486" i="1"/>
  <c r="Q486" i="1"/>
  <c r="P486" i="1"/>
  <c r="O486" i="1"/>
  <c r="N486" i="1"/>
  <c r="M486" i="1"/>
  <c r="L486" i="1"/>
  <c r="K486" i="1"/>
  <c r="J486" i="1"/>
  <c r="I486" i="1"/>
  <c r="H486" i="1"/>
  <c r="AZ485" i="1"/>
  <c r="AY485" i="1"/>
  <c r="AX485" i="1"/>
  <c r="AW485" i="1"/>
  <c r="AV485" i="1"/>
  <c r="AU485" i="1"/>
  <c r="AT485" i="1"/>
  <c r="AS485" i="1"/>
  <c r="AR485" i="1"/>
  <c r="AQ485" i="1"/>
  <c r="AP485" i="1"/>
  <c r="AH485" i="1"/>
  <c r="AG485" i="1"/>
  <c r="W485" i="1"/>
  <c r="V485" i="1"/>
  <c r="U485" i="1"/>
  <c r="T485" i="1"/>
  <c r="S485" i="1"/>
  <c r="R485" i="1"/>
  <c r="Q485" i="1"/>
  <c r="P485" i="1"/>
  <c r="O485" i="1"/>
  <c r="N485" i="1"/>
  <c r="M485" i="1"/>
  <c r="L485" i="1"/>
  <c r="K485" i="1"/>
  <c r="J485" i="1"/>
  <c r="I485" i="1"/>
  <c r="H485" i="1"/>
  <c r="AZ484" i="1"/>
  <c r="AY484" i="1"/>
  <c r="AX484" i="1"/>
  <c r="AW484" i="1"/>
  <c r="AV484" i="1"/>
  <c r="AU484" i="1"/>
  <c r="AT484" i="1"/>
  <c r="AS484" i="1"/>
  <c r="AR484" i="1"/>
  <c r="AQ484" i="1"/>
  <c r="AP484" i="1"/>
  <c r="AH484" i="1"/>
  <c r="AG484" i="1"/>
  <c r="W484" i="1"/>
  <c r="V484" i="1"/>
  <c r="U484" i="1"/>
  <c r="T484" i="1"/>
  <c r="S484" i="1"/>
  <c r="R484" i="1"/>
  <c r="Q484" i="1"/>
  <c r="P484" i="1"/>
  <c r="O484" i="1"/>
  <c r="N484" i="1"/>
  <c r="M484" i="1"/>
  <c r="L484" i="1"/>
  <c r="K484" i="1"/>
  <c r="J484" i="1"/>
  <c r="I484" i="1"/>
  <c r="H484" i="1"/>
  <c r="AZ483" i="1"/>
  <c r="AY483" i="1"/>
  <c r="AX483" i="1"/>
  <c r="AW483" i="1"/>
  <c r="AV483" i="1"/>
  <c r="AU483" i="1"/>
  <c r="AT483" i="1"/>
  <c r="AS483" i="1"/>
  <c r="AR483" i="1"/>
  <c r="AQ483" i="1"/>
  <c r="AP483" i="1"/>
  <c r="AH483" i="1"/>
  <c r="AG483" i="1"/>
  <c r="W483" i="1"/>
  <c r="V483" i="1"/>
  <c r="U483" i="1"/>
  <c r="T483" i="1"/>
  <c r="S483" i="1"/>
  <c r="R483" i="1"/>
  <c r="Q483" i="1"/>
  <c r="P483" i="1"/>
  <c r="O483" i="1"/>
  <c r="N483" i="1"/>
  <c r="M483" i="1"/>
  <c r="L483" i="1"/>
  <c r="K483" i="1"/>
  <c r="J483" i="1"/>
  <c r="I483" i="1"/>
  <c r="H483" i="1"/>
  <c r="AZ482" i="1"/>
  <c r="AY482" i="1"/>
  <c r="AX482" i="1"/>
  <c r="AW482" i="1"/>
  <c r="AV482" i="1"/>
  <c r="AU482" i="1"/>
  <c r="AT482" i="1"/>
  <c r="AS482" i="1"/>
  <c r="AR482" i="1"/>
  <c r="AQ482" i="1"/>
  <c r="AP482" i="1"/>
  <c r="AH482" i="1"/>
  <c r="AG482" i="1"/>
  <c r="W482" i="1"/>
  <c r="V482" i="1"/>
  <c r="U482" i="1"/>
  <c r="T482" i="1"/>
  <c r="S482" i="1"/>
  <c r="R482" i="1"/>
  <c r="Q482" i="1"/>
  <c r="P482" i="1"/>
  <c r="O482" i="1"/>
  <c r="N482" i="1"/>
  <c r="M482" i="1"/>
  <c r="L482" i="1"/>
  <c r="K482" i="1"/>
  <c r="J482" i="1"/>
  <c r="I482" i="1"/>
  <c r="H482" i="1"/>
  <c r="AZ481" i="1"/>
  <c r="AY481" i="1"/>
  <c r="AX481" i="1"/>
  <c r="AW481" i="1"/>
  <c r="AV481" i="1"/>
  <c r="AU481" i="1"/>
  <c r="AT481" i="1"/>
  <c r="AS481" i="1"/>
  <c r="AR481" i="1"/>
  <c r="AQ481" i="1"/>
  <c r="AP481" i="1"/>
  <c r="AH481" i="1"/>
  <c r="AG481" i="1"/>
  <c r="W481" i="1"/>
  <c r="V481" i="1"/>
  <c r="U481" i="1"/>
  <c r="T481" i="1"/>
  <c r="S481" i="1"/>
  <c r="R481" i="1"/>
  <c r="Q481" i="1"/>
  <c r="P481" i="1"/>
  <c r="O481" i="1"/>
  <c r="N481" i="1"/>
  <c r="M481" i="1"/>
  <c r="L481" i="1"/>
  <c r="K481" i="1"/>
  <c r="J481" i="1"/>
  <c r="I481" i="1"/>
  <c r="H481" i="1"/>
  <c r="AZ480" i="1"/>
  <c r="AY480" i="1"/>
  <c r="AX480" i="1"/>
  <c r="AW480" i="1"/>
  <c r="AV480" i="1"/>
  <c r="AU480" i="1"/>
  <c r="AT480" i="1"/>
  <c r="AS480" i="1"/>
  <c r="AR480" i="1"/>
  <c r="AQ480" i="1"/>
  <c r="AP480" i="1"/>
  <c r="W480" i="1"/>
  <c r="V480" i="1"/>
  <c r="U480" i="1"/>
  <c r="T480" i="1"/>
  <c r="S480" i="1"/>
  <c r="R480" i="1"/>
  <c r="Q480" i="1"/>
  <c r="P480" i="1"/>
  <c r="O480" i="1"/>
  <c r="N480" i="1"/>
  <c r="M480" i="1"/>
  <c r="L480" i="1"/>
  <c r="K480" i="1"/>
  <c r="J480" i="1"/>
  <c r="I480" i="1"/>
  <c r="H480" i="1"/>
  <c r="AZ479" i="1"/>
  <c r="AY479" i="1"/>
  <c r="AX479" i="1"/>
  <c r="AW479" i="1"/>
  <c r="AV479" i="1"/>
  <c r="AU479" i="1"/>
  <c r="AT479" i="1"/>
  <c r="AS479" i="1"/>
  <c r="AR479" i="1"/>
  <c r="AQ479" i="1"/>
  <c r="AP479" i="1"/>
  <c r="AH479" i="1"/>
  <c r="W479" i="1"/>
  <c r="V479" i="1"/>
  <c r="U479" i="1"/>
  <c r="T479" i="1"/>
  <c r="S479" i="1"/>
  <c r="R479" i="1"/>
  <c r="Q479" i="1"/>
  <c r="P479" i="1"/>
  <c r="O479" i="1"/>
  <c r="N479" i="1"/>
  <c r="M479" i="1"/>
  <c r="L479" i="1"/>
  <c r="K479" i="1"/>
  <c r="J479" i="1"/>
  <c r="I479" i="1"/>
  <c r="H479" i="1"/>
  <c r="AZ478" i="1"/>
  <c r="AY478" i="1"/>
  <c r="AX478" i="1"/>
  <c r="AW478" i="1"/>
  <c r="AV478" i="1"/>
  <c r="AU478" i="1"/>
  <c r="AT478" i="1"/>
  <c r="AS478" i="1"/>
  <c r="AR478" i="1"/>
  <c r="AQ478" i="1"/>
  <c r="AP478" i="1"/>
  <c r="W478" i="1"/>
  <c r="V478" i="1"/>
  <c r="U478" i="1"/>
  <c r="T478" i="1"/>
  <c r="S478" i="1"/>
  <c r="R478" i="1"/>
  <c r="Q478" i="1"/>
  <c r="P478" i="1"/>
  <c r="O478" i="1"/>
  <c r="N478" i="1"/>
  <c r="M478" i="1"/>
  <c r="L478" i="1"/>
  <c r="K478" i="1"/>
  <c r="J478" i="1"/>
  <c r="I478" i="1"/>
  <c r="H478" i="1"/>
  <c r="AZ477" i="1"/>
  <c r="AY477" i="1"/>
  <c r="AX477" i="1"/>
  <c r="AW477" i="1"/>
  <c r="AV477" i="1"/>
  <c r="AU477" i="1"/>
  <c r="AT477" i="1"/>
  <c r="AS477" i="1"/>
  <c r="AR477" i="1"/>
  <c r="AQ477" i="1"/>
  <c r="AP477" i="1"/>
  <c r="AH477" i="1"/>
  <c r="W477" i="1"/>
  <c r="V477" i="1"/>
  <c r="U477" i="1"/>
  <c r="T477" i="1"/>
  <c r="S477" i="1"/>
  <c r="R477" i="1"/>
  <c r="Q477" i="1"/>
  <c r="P477" i="1"/>
  <c r="O477" i="1"/>
  <c r="N477" i="1"/>
  <c r="M477" i="1"/>
  <c r="L477" i="1"/>
  <c r="K477" i="1"/>
  <c r="J477" i="1"/>
  <c r="I477" i="1"/>
  <c r="H477" i="1"/>
  <c r="AZ476" i="1"/>
  <c r="AY476" i="1"/>
  <c r="AX476" i="1"/>
  <c r="AW476" i="1"/>
  <c r="AV476" i="1"/>
  <c r="AU476" i="1"/>
  <c r="AT476" i="1"/>
  <c r="AS476" i="1"/>
  <c r="AR476" i="1"/>
  <c r="AQ476" i="1"/>
  <c r="AP476" i="1"/>
  <c r="W476" i="1"/>
  <c r="V476" i="1"/>
  <c r="U476" i="1"/>
  <c r="T476" i="1"/>
  <c r="S476" i="1"/>
  <c r="R476" i="1"/>
  <c r="Q476" i="1"/>
  <c r="P476" i="1"/>
  <c r="O476" i="1"/>
  <c r="N476" i="1"/>
  <c r="M476" i="1"/>
  <c r="L476" i="1"/>
  <c r="K476" i="1"/>
  <c r="J476" i="1"/>
  <c r="I476" i="1"/>
  <c r="H476" i="1"/>
  <c r="AZ475" i="1"/>
  <c r="AY475" i="1"/>
  <c r="AX475" i="1"/>
  <c r="AW475" i="1"/>
  <c r="AV475" i="1"/>
  <c r="AU475" i="1"/>
  <c r="AT475" i="1"/>
  <c r="AS475" i="1"/>
  <c r="AR475" i="1"/>
  <c r="AQ475" i="1"/>
  <c r="AP475" i="1"/>
  <c r="AH475" i="1"/>
  <c r="AG475" i="1"/>
  <c r="W475" i="1"/>
  <c r="V475" i="1"/>
  <c r="U475" i="1"/>
  <c r="T475" i="1"/>
  <c r="S475" i="1"/>
  <c r="R475" i="1"/>
  <c r="Q475" i="1"/>
  <c r="P475" i="1"/>
  <c r="O475" i="1"/>
  <c r="N475" i="1"/>
  <c r="M475" i="1"/>
  <c r="L475" i="1"/>
  <c r="K475" i="1"/>
  <c r="J475" i="1"/>
  <c r="I475" i="1"/>
  <c r="H475" i="1"/>
  <c r="AZ474" i="1"/>
  <c r="AY474" i="1"/>
  <c r="AX474" i="1"/>
  <c r="AW474" i="1"/>
  <c r="AV474" i="1"/>
  <c r="AU474" i="1"/>
  <c r="AT474" i="1"/>
  <c r="AS474" i="1"/>
  <c r="AR474" i="1"/>
  <c r="AQ474" i="1"/>
  <c r="AP474" i="1"/>
  <c r="AH474" i="1"/>
  <c r="AG474" i="1"/>
  <c r="W474" i="1"/>
  <c r="V474" i="1"/>
  <c r="U474" i="1"/>
  <c r="T474" i="1"/>
  <c r="S474" i="1"/>
  <c r="R474" i="1"/>
  <c r="Q474" i="1"/>
  <c r="P474" i="1"/>
  <c r="O474" i="1"/>
  <c r="N474" i="1"/>
  <c r="M474" i="1"/>
  <c r="L474" i="1"/>
  <c r="K474" i="1"/>
  <c r="J474" i="1"/>
  <c r="I474" i="1"/>
  <c r="H474" i="1"/>
  <c r="AZ473" i="1"/>
  <c r="AY473" i="1"/>
  <c r="AX473" i="1"/>
  <c r="AW473" i="1"/>
  <c r="AV473" i="1"/>
  <c r="AU473" i="1"/>
  <c r="AT473" i="1"/>
  <c r="AS473" i="1"/>
  <c r="AR473" i="1"/>
  <c r="AQ473" i="1"/>
  <c r="AP473" i="1"/>
  <c r="AH473" i="1"/>
  <c r="W473" i="1"/>
  <c r="V473" i="1"/>
  <c r="U473" i="1"/>
  <c r="T473" i="1"/>
  <c r="S473" i="1"/>
  <c r="R473" i="1"/>
  <c r="Q473" i="1"/>
  <c r="P473" i="1"/>
  <c r="O473" i="1"/>
  <c r="N473" i="1"/>
  <c r="M473" i="1"/>
  <c r="L473" i="1"/>
  <c r="K473" i="1"/>
  <c r="J473" i="1"/>
  <c r="I473" i="1"/>
  <c r="H473" i="1"/>
  <c r="AZ472" i="1"/>
  <c r="AY472" i="1"/>
  <c r="AX472" i="1"/>
  <c r="AW472" i="1"/>
  <c r="AV472" i="1"/>
  <c r="AU472" i="1"/>
  <c r="AT472" i="1"/>
  <c r="AR472" i="1"/>
  <c r="AP472" i="1"/>
  <c r="AH472" i="1"/>
  <c r="AG472" i="1"/>
  <c r="W472" i="1"/>
  <c r="V472" i="1"/>
  <c r="U472" i="1"/>
  <c r="T472" i="1"/>
  <c r="S472" i="1"/>
  <c r="R472" i="1"/>
  <c r="Q472" i="1"/>
  <c r="P472" i="1"/>
  <c r="O472" i="1"/>
  <c r="N472" i="1"/>
  <c r="M472" i="1"/>
  <c r="L472" i="1"/>
  <c r="K472" i="1"/>
  <c r="J472" i="1"/>
  <c r="I472" i="1"/>
  <c r="H472" i="1"/>
  <c r="AZ471" i="1"/>
  <c r="AY471" i="1"/>
  <c r="AX471" i="1"/>
  <c r="AW471" i="1"/>
  <c r="AV471" i="1"/>
  <c r="AU471" i="1"/>
  <c r="AT471" i="1"/>
  <c r="AS471" i="1"/>
  <c r="AR471" i="1"/>
  <c r="AQ471" i="1"/>
  <c r="AP471" i="1"/>
  <c r="W471" i="1"/>
  <c r="V471" i="1"/>
  <c r="U471" i="1"/>
  <c r="T471" i="1"/>
  <c r="S471" i="1"/>
  <c r="R471" i="1"/>
  <c r="Q471" i="1"/>
  <c r="P471" i="1"/>
  <c r="O471" i="1"/>
  <c r="N471" i="1"/>
  <c r="M471" i="1"/>
  <c r="L471" i="1"/>
  <c r="K471" i="1"/>
  <c r="J471" i="1"/>
  <c r="I471" i="1"/>
  <c r="H471" i="1"/>
  <c r="AZ470" i="1"/>
  <c r="AY470" i="1"/>
  <c r="AX470" i="1"/>
  <c r="AW470" i="1"/>
  <c r="AV470" i="1"/>
  <c r="AU470" i="1"/>
  <c r="AT470" i="1"/>
  <c r="AS470" i="1"/>
  <c r="AR470" i="1"/>
  <c r="AQ470" i="1"/>
  <c r="AP470" i="1"/>
  <c r="W470" i="1"/>
  <c r="V470" i="1"/>
  <c r="U470" i="1"/>
  <c r="T470" i="1"/>
  <c r="S470" i="1"/>
  <c r="R470" i="1"/>
  <c r="Q470" i="1"/>
  <c r="P470" i="1"/>
  <c r="O470" i="1"/>
  <c r="N470" i="1"/>
  <c r="M470" i="1"/>
  <c r="L470" i="1"/>
  <c r="K470" i="1"/>
  <c r="J470" i="1"/>
  <c r="I470" i="1"/>
  <c r="H470" i="1"/>
  <c r="AZ469" i="1"/>
  <c r="AY469" i="1"/>
  <c r="AX469" i="1"/>
  <c r="AW469" i="1"/>
  <c r="AV469" i="1"/>
  <c r="AU469" i="1"/>
  <c r="AT469" i="1"/>
  <c r="AS469" i="1"/>
  <c r="AR469" i="1"/>
  <c r="AQ469" i="1"/>
  <c r="AP469" i="1"/>
  <c r="W469" i="1"/>
  <c r="V469" i="1"/>
  <c r="U469" i="1"/>
  <c r="T469" i="1"/>
  <c r="S469" i="1"/>
  <c r="R469" i="1"/>
  <c r="Q469" i="1"/>
  <c r="P469" i="1"/>
  <c r="O469" i="1"/>
  <c r="N469" i="1"/>
  <c r="M469" i="1"/>
  <c r="L469" i="1"/>
  <c r="K469" i="1"/>
  <c r="J469" i="1"/>
  <c r="I469" i="1"/>
  <c r="H469" i="1"/>
  <c r="AZ468" i="1"/>
  <c r="AY468" i="1"/>
  <c r="AX468" i="1"/>
  <c r="AW468" i="1"/>
  <c r="AV468" i="1"/>
  <c r="AU468" i="1"/>
  <c r="AT468" i="1"/>
  <c r="AS468" i="1"/>
  <c r="AR468" i="1"/>
  <c r="AQ468" i="1"/>
  <c r="AP468" i="1"/>
  <c r="W468" i="1"/>
  <c r="V468" i="1"/>
  <c r="U468" i="1"/>
  <c r="T468" i="1"/>
  <c r="S468" i="1"/>
  <c r="R468" i="1"/>
  <c r="Q468" i="1"/>
  <c r="P468" i="1"/>
  <c r="O468" i="1"/>
  <c r="N468" i="1"/>
  <c r="M468" i="1"/>
  <c r="L468" i="1"/>
  <c r="K468" i="1"/>
  <c r="J468" i="1"/>
  <c r="I468" i="1"/>
  <c r="H468" i="1"/>
  <c r="AZ467" i="1"/>
  <c r="AY467" i="1"/>
  <c r="AX467" i="1"/>
  <c r="AW467" i="1"/>
  <c r="AV467" i="1"/>
  <c r="AU467" i="1"/>
  <c r="AT467" i="1"/>
  <c r="AS467" i="1"/>
  <c r="AR467" i="1"/>
  <c r="AQ467" i="1"/>
  <c r="AP467" i="1"/>
  <c r="AH467" i="1"/>
  <c r="W467" i="1"/>
  <c r="V467" i="1"/>
  <c r="U467" i="1"/>
  <c r="T467" i="1"/>
  <c r="S467" i="1"/>
  <c r="R467" i="1"/>
  <c r="Q467" i="1"/>
  <c r="P467" i="1"/>
  <c r="O467" i="1"/>
  <c r="N467" i="1"/>
  <c r="M467" i="1"/>
  <c r="L467" i="1"/>
  <c r="K467" i="1"/>
  <c r="J467" i="1"/>
  <c r="I467" i="1"/>
  <c r="H467" i="1"/>
  <c r="AZ466" i="1"/>
  <c r="AY466" i="1"/>
  <c r="AX466" i="1"/>
  <c r="AW466" i="1"/>
  <c r="AV466" i="1"/>
  <c r="AU466" i="1"/>
  <c r="AT466" i="1"/>
  <c r="AS466" i="1"/>
  <c r="AR466" i="1"/>
  <c r="AQ466" i="1"/>
  <c r="AP466" i="1"/>
  <c r="AH466" i="1"/>
  <c r="W466" i="1"/>
  <c r="V466" i="1"/>
  <c r="U466" i="1"/>
  <c r="T466" i="1"/>
  <c r="S466" i="1"/>
  <c r="R466" i="1"/>
  <c r="Q466" i="1"/>
  <c r="P466" i="1"/>
  <c r="O466" i="1"/>
  <c r="N466" i="1"/>
  <c r="M466" i="1"/>
  <c r="L466" i="1"/>
  <c r="K466" i="1"/>
  <c r="J466" i="1"/>
  <c r="I466" i="1"/>
  <c r="H466" i="1"/>
  <c r="AZ465" i="1"/>
  <c r="AY465" i="1"/>
  <c r="AX465" i="1"/>
  <c r="AW465" i="1"/>
  <c r="AV465" i="1"/>
  <c r="AU465" i="1"/>
  <c r="AT465" i="1"/>
  <c r="AS465" i="1"/>
  <c r="AR465" i="1"/>
  <c r="AQ465" i="1"/>
  <c r="AP465" i="1"/>
  <c r="AH465" i="1"/>
  <c r="W465" i="1"/>
  <c r="V465" i="1"/>
  <c r="U465" i="1"/>
  <c r="T465" i="1"/>
  <c r="S465" i="1"/>
  <c r="R465" i="1"/>
  <c r="Q465" i="1"/>
  <c r="P465" i="1"/>
  <c r="O465" i="1"/>
  <c r="N465" i="1"/>
  <c r="M465" i="1"/>
  <c r="L465" i="1"/>
  <c r="K465" i="1"/>
  <c r="J465" i="1"/>
  <c r="I465" i="1"/>
  <c r="H465" i="1"/>
  <c r="AZ464" i="1"/>
  <c r="AY464" i="1"/>
  <c r="AX464" i="1"/>
  <c r="AW464" i="1"/>
  <c r="AV464" i="1"/>
  <c r="AU464" i="1"/>
  <c r="AT464" i="1"/>
  <c r="AS464" i="1"/>
  <c r="AR464" i="1"/>
  <c r="AQ464" i="1"/>
  <c r="AP464" i="1"/>
  <c r="W464" i="1"/>
  <c r="V464" i="1"/>
  <c r="U464" i="1"/>
  <c r="T464" i="1"/>
  <c r="S464" i="1"/>
  <c r="R464" i="1"/>
  <c r="Q464" i="1"/>
  <c r="P464" i="1"/>
  <c r="O464" i="1"/>
  <c r="N464" i="1"/>
  <c r="M464" i="1"/>
  <c r="L464" i="1"/>
  <c r="K464" i="1"/>
  <c r="J464" i="1"/>
  <c r="I464" i="1"/>
  <c r="H464" i="1"/>
  <c r="AZ463" i="1"/>
  <c r="AY463" i="1"/>
  <c r="AX463" i="1"/>
  <c r="AW463" i="1"/>
  <c r="AV463" i="1"/>
  <c r="AU463" i="1"/>
  <c r="AT463" i="1"/>
  <c r="AS463" i="1"/>
  <c r="AR463" i="1"/>
  <c r="AQ463" i="1"/>
  <c r="AP463" i="1"/>
  <c r="AH463" i="1"/>
  <c r="W463" i="1"/>
  <c r="V463" i="1"/>
  <c r="U463" i="1"/>
  <c r="T463" i="1"/>
  <c r="S463" i="1"/>
  <c r="R463" i="1"/>
  <c r="Q463" i="1"/>
  <c r="P463" i="1"/>
  <c r="O463" i="1"/>
  <c r="N463" i="1"/>
  <c r="M463" i="1"/>
  <c r="L463" i="1"/>
  <c r="K463" i="1"/>
  <c r="J463" i="1"/>
  <c r="I463" i="1"/>
  <c r="H463" i="1"/>
  <c r="AZ462" i="1"/>
  <c r="AY462" i="1"/>
  <c r="AX462" i="1"/>
  <c r="AW462" i="1"/>
  <c r="AV462" i="1"/>
  <c r="AU462" i="1"/>
  <c r="AT462" i="1"/>
  <c r="AS462" i="1"/>
  <c r="AR462" i="1"/>
  <c r="AQ462" i="1"/>
  <c r="AP462" i="1"/>
  <c r="AH462" i="1"/>
  <c r="W462" i="1"/>
  <c r="V462" i="1"/>
  <c r="U462" i="1"/>
  <c r="T462" i="1"/>
  <c r="S462" i="1"/>
  <c r="R462" i="1"/>
  <c r="Q462" i="1"/>
  <c r="P462" i="1"/>
  <c r="O462" i="1"/>
  <c r="N462" i="1"/>
  <c r="M462" i="1"/>
  <c r="L462" i="1"/>
  <c r="K462" i="1"/>
  <c r="J462" i="1"/>
  <c r="I462" i="1"/>
  <c r="H462" i="1"/>
  <c r="AZ461" i="1"/>
  <c r="AY461" i="1"/>
  <c r="AX461" i="1"/>
  <c r="AW461" i="1"/>
  <c r="AV461" i="1"/>
  <c r="AU461" i="1"/>
  <c r="AT461" i="1"/>
  <c r="AS461" i="1"/>
  <c r="AR461" i="1"/>
  <c r="AQ461" i="1"/>
  <c r="AP461" i="1"/>
  <c r="W461" i="1"/>
  <c r="V461" i="1"/>
  <c r="U461" i="1"/>
  <c r="T461" i="1"/>
  <c r="S461" i="1"/>
  <c r="R461" i="1"/>
  <c r="Q461" i="1"/>
  <c r="P461" i="1"/>
  <c r="O461" i="1"/>
  <c r="N461" i="1"/>
  <c r="M461" i="1"/>
  <c r="L461" i="1"/>
  <c r="K461" i="1"/>
  <c r="J461" i="1"/>
  <c r="I461" i="1"/>
  <c r="H461" i="1"/>
  <c r="AZ460" i="1"/>
  <c r="AY460" i="1"/>
  <c r="AX460" i="1"/>
  <c r="AW460" i="1"/>
  <c r="AV460" i="1"/>
  <c r="AU460" i="1"/>
  <c r="AT460" i="1"/>
  <c r="AS460" i="1"/>
  <c r="AR460" i="1"/>
  <c r="AQ460" i="1"/>
  <c r="AP460" i="1"/>
  <c r="W460" i="1"/>
  <c r="V460" i="1"/>
  <c r="U460" i="1"/>
  <c r="T460" i="1"/>
  <c r="S460" i="1"/>
  <c r="R460" i="1"/>
  <c r="Q460" i="1"/>
  <c r="P460" i="1"/>
  <c r="O460" i="1"/>
  <c r="N460" i="1"/>
  <c r="M460" i="1"/>
  <c r="L460" i="1"/>
  <c r="K460" i="1"/>
  <c r="J460" i="1"/>
  <c r="I460" i="1"/>
  <c r="H460" i="1"/>
  <c r="AZ459" i="1"/>
  <c r="AY459" i="1"/>
  <c r="AX459" i="1"/>
  <c r="AW459" i="1"/>
  <c r="AV459" i="1"/>
  <c r="AU459" i="1"/>
  <c r="AT459" i="1"/>
  <c r="AS459" i="1"/>
  <c r="AR459" i="1"/>
  <c r="AQ459" i="1"/>
  <c r="AP459" i="1"/>
  <c r="W459" i="1"/>
  <c r="V459" i="1"/>
  <c r="U459" i="1"/>
  <c r="T459" i="1"/>
  <c r="S459" i="1"/>
  <c r="R459" i="1"/>
  <c r="Q459" i="1"/>
  <c r="P459" i="1"/>
  <c r="O459" i="1"/>
  <c r="N459" i="1"/>
  <c r="M459" i="1"/>
  <c r="L459" i="1"/>
  <c r="K459" i="1"/>
  <c r="J459" i="1"/>
  <c r="I459" i="1"/>
  <c r="H459" i="1"/>
  <c r="AZ458" i="1"/>
  <c r="AY458" i="1"/>
  <c r="AX458" i="1"/>
  <c r="AW458" i="1"/>
  <c r="AV458" i="1"/>
  <c r="AU458" i="1"/>
  <c r="AT458" i="1"/>
  <c r="AS458" i="1"/>
  <c r="AR458" i="1"/>
  <c r="AQ458" i="1"/>
  <c r="AP458" i="1"/>
  <c r="AI458" i="1"/>
  <c r="AH458" i="1"/>
  <c r="AG458" i="1"/>
  <c r="W458" i="1"/>
  <c r="V458" i="1"/>
  <c r="U458" i="1"/>
  <c r="T458" i="1"/>
  <c r="S458" i="1"/>
  <c r="R458" i="1"/>
  <c r="Q458" i="1"/>
  <c r="P458" i="1"/>
  <c r="O458" i="1"/>
  <c r="N458" i="1"/>
  <c r="M458" i="1"/>
  <c r="L458" i="1"/>
  <c r="K458" i="1"/>
  <c r="J458" i="1"/>
  <c r="I458" i="1"/>
  <c r="H458" i="1"/>
  <c r="X458" i="1" s="1"/>
  <c r="AZ457" i="1"/>
  <c r="AY457" i="1"/>
  <c r="AX457" i="1"/>
  <c r="AW457" i="1"/>
  <c r="AV457" i="1"/>
  <c r="AU457" i="1"/>
  <c r="AT457" i="1"/>
  <c r="AS457" i="1"/>
  <c r="AR457" i="1"/>
  <c r="AQ457" i="1"/>
  <c r="AP457" i="1"/>
  <c r="AI457" i="1"/>
  <c r="AH457" i="1"/>
  <c r="AG457" i="1"/>
  <c r="W457" i="1"/>
  <c r="V457" i="1"/>
  <c r="U457" i="1"/>
  <c r="T457" i="1"/>
  <c r="S457" i="1"/>
  <c r="R457" i="1"/>
  <c r="Q457" i="1"/>
  <c r="P457" i="1"/>
  <c r="O457" i="1"/>
  <c r="N457" i="1"/>
  <c r="M457" i="1"/>
  <c r="L457" i="1"/>
  <c r="K457" i="1"/>
  <c r="J457" i="1"/>
  <c r="I457" i="1"/>
  <c r="H457" i="1"/>
  <c r="AZ456" i="1"/>
  <c r="AY456" i="1"/>
  <c r="AX456" i="1"/>
  <c r="AW456" i="1"/>
  <c r="AV456" i="1"/>
  <c r="AU456" i="1"/>
  <c r="AT456" i="1"/>
  <c r="AS456" i="1"/>
  <c r="AR456" i="1"/>
  <c r="AQ456" i="1"/>
  <c r="AP456" i="1"/>
  <c r="AI456" i="1"/>
  <c r="AH456" i="1"/>
  <c r="AG456" i="1"/>
  <c r="W456" i="1"/>
  <c r="V456" i="1"/>
  <c r="U456" i="1"/>
  <c r="T456" i="1"/>
  <c r="S456" i="1"/>
  <c r="R456" i="1"/>
  <c r="Q456" i="1"/>
  <c r="P456" i="1"/>
  <c r="O456" i="1"/>
  <c r="N456" i="1"/>
  <c r="M456" i="1"/>
  <c r="L456" i="1"/>
  <c r="K456" i="1"/>
  <c r="J456" i="1"/>
  <c r="I456" i="1"/>
  <c r="H456" i="1"/>
  <c r="AZ455" i="1"/>
  <c r="AY455" i="1"/>
  <c r="AX455" i="1"/>
  <c r="AW455" i="1"/>
  <c r="AV455" i="1"/>
  <c r="AU455" i="1"/>
  <c r="AT455" i="1"/>
  <c r="AS455" i="1"/>
  <c r="AR455" i="1"/>
  <c r="AQ455" i="1"/>
  <c r="AP455" i="1"/>
  <c r="AH455" i="1"/>
  <c r="AG455" i="1"/>
  <c r="W455" i="1"/>
  <c r="V455" i="1"/>
  <c r="U455" i="1"/>
  <c r="T455" i="1"/>
  <c r="S455" i="1"/>
  <c r="R455" i="1"/>
  <c r="Q455" i="1"/>
  <c r="P455" i="1"/>
  <c r="O455" i="1"/>
  <c r="N455" i="1"/>
  <c r="M455" i="1"/>
  <c r="L455" i="1"/>
  <c r="K455" i="1"/>
  <c r="J455" i="1"/>
  <c r="I455" i="1"/>
  <c r="H455" i="1"/>
  <c r="AZ454" i="1"/>
  <c r="AY454" i="1"/>
  <c r="AX454" i="1"/>
  <c r="AW454" i="1"/>
  <c r="AV454" i="1"/>
  <c r="AU454" i="1"/>
  <c r="AT454" i="1"/>
  <c r="AS454" i="1"/>
  <c r="AR454" i="1"/>
  <c r="AQ454" i="1"/>
  <c r="AP454" i="1"/>
  <c r="AI454" i="1"/>
  <c r="AH454" i="1"/>
  <c r="AG454" i="1"/>
  <c r="W454" i="1"/>
  <c r="V454" i="1"/>
  <c r="U454" i="1"/>
  <c r="T454" i="1"/>
  <c r="S454" i="1"/>
  <c r="R454" i="1"/>
  <c r="Q454" i="1"/>
  <c r="P454" i="1"/>
  <c r="O454" i="1"/>
  <c r="N454" i="1"/>
  <c r="M454" i="1"/>
  <c r="L454" i="1"/>
  <c r="K454" i="1"/>
  <c r="J454" i="1"/>
  <c r="I454" i="1"/>
  <c r="H454" i="1"/>
  <c r="AZ453" i="1"/>
  <c r="AY453" i="1"/>
  <c r="AX453" i="1"/>
  <c r="AW453" i="1"/>
  <c r="AV453" i="1"/>
  <c r="AU453" i="1"/>
  <c r="AT453" i="1"/>
  <c r="AS453" i="1"/>
  <c r="AR453" i="1"/>
  <c r="AQ453" i="1"/>
  <c r="AP453" i="1"/>
  <c r="AI453" i="1"/>
  <c r="AH453" i="1"/>
  <c r="AG453" i="1"/>
  <c r="W453" i="1"/>
  <c r="V453" i="1"/>
  <c r="U453" i="1"/>
  <c r="T453" i="1"/>
  <c r="S453" i="1"/>
  <c r="R453" i="1"/>
  <c r="Q453" i="1"/>
  <c r="P453" i="1"/>
  <c r="O453" i="1"/>
  <c r="N453" i="1"/>
  <c r="M453" i="1"/>
  <c r="L453" i="1"/>
  <c r="K453" i="1"/>
  <c r="J453" i="1"/>
  <c r="I453" i="1"/>
  <c r="H453" i="1"/>
  <c r="AZ452" i="1"/>
  <c r="AY452" i="1"/>
  <c r="AX452" i="1"/>
  <c r="AW452" i="1"/>
  <c r="AV452" i="1"/>
  <c r="AU452" i="1"/>
  <c r="AT452" i="1"/>
  <c r="AS452" i="1"/>
  <c r="AR452" i="1"/>
  <c r="AQ452" i="1"/>
  <c r="AP452" i="1"/>
  <c r="AI452" i="1"/>
  <c r="AH452" i="1"/>
  <c r="AG452" i="1"/>
  <c r="W452" i="1"/>
  <c r="V452" i="1"/>
  <c r="U452" i="1"/>
  <c r="T452" i="1"/>
  <c r="S452" i="1"/>
  <c r="R452" i="1"/>
  <c r="Q452" i="1"/>
  <c r="P452" i="1"/>
  <c r="O452" i="1"/>
  <c r="N452" i="1"/>
  <c r="M452" i="1"/>
  <c r="L452" i="1"/>
  <c r="K452" i="1"/>
  <c r="J452" i="1"/>
  <c r="I452" i="1"/>
  <c r="H452" i="1"/>
  <c r="AZ451" i="1"/>
  <c r="AY451" i="1"/>
  <c r="AX451" i="1"/>
  <c r="AW451" i="1"/>
  <c r="AV451" i="1"/>
  <c r="AU451" i="1"/>
  <c r="AT451" i="1"/>
  <c r="AS451" i="1"/>
  <c r="AR451" i="1"/>
  <c r="AQ451" i="1"/>
  <c r="AP451" i="1"/>
  <c r="W451" i="1"/>
  <c r="V451" i="1"/>
  <c r="U451" i="1"/>
  <c r="T451" i="1"/>
  <c r="S451" i="1"/>
  <c r="R451" i="1"/>
  <c r="Q451" i="1"/>
  <c r="P451" i="1"/>
  <c r="O451" i="1"/>
  <c r="N451" i="1"/>
  <c r="M451" i="1"/>
  <c r="L451" i="1"/>
  <c r="K451" i="1"/>
  <c r="J451" i="1"/>
  <c r="I451" i="1"/>
  <c r="H451" i="1"/>
  <c r="AZ450" i="1"/>
  <c r="AY450" i="1"/>
  <c r="AX450" i="1"/>
  <c r="AW450" i="1"/>
  <c r="AV450" i="1"/>
  <c r="AU450" i="1"/>
  <c r="AT450" i="1"/>
  <c r="AS450" i="1"/>
  <c r="AR450" i="1"/>
  <c r="AQ450" i="1"/>
  <c r="AP450" i="1"/>
  <c r="W450" i="1"/>
  <c r="V450" i="1"/>
  <c r="U450" i="1"/>
  <c r="T450" i="1"/>
  <c r="S450" i="1"/>
  <c r="R450" i="1"/>
  <c r="Q450" i="1"/>
  <c r="P450" i="1"/>
  <c r="O450" i="1"/>
  <c r="N450" i="1"/>
  <c r="M450" i="1"/>
  <c r="L450" i="1"/>
  <c r="K450" i="1"/>
  <c r="J450" i="1"/>
  <c r="I450" i="1"/>
  <c r="H450" i="1"/>
  <c r="AZ449" i="1"/>
  <c r="AY449" i="1"/>
  <c r="AX449" i="1"/>
  <c r="AW449" i="1"/>
  <c r="AV449" i="1"/>
  <c r="AU449" i="1"/>
  <c r="AT449" i="1"/>
  <c r="AS449" i="1"/>
  <c r="AR449" i="1"/>
  <c r="AQ449" i="1"/>
  <c r="AP449" i="1"/>
  <c r="W449" i="1"/>
  <c r="V449" i="1"/>
  <c r="U449" i="1"/>
  <c r="T449" i="1"/>
  <c r="S449" i="1"/>
  <c r="R449" i="1"/>
  <c r="Q449" i="1"/>
  <c r="P449" i="1"/>
  <c r="O449" i="1"/>
  <c r="N449" i="1"/>
  <c r="M449" i="1"/>
  <c r="L449" i="1"/>
  <c r="K449" i="1"/>
  <c r="J449" i="1"/>
  <c r="I449" i="1"/>
  <c r="H449" i="1"/>
  <c r="AZ448" i="1"/>
  <c r="AY448" i="1"/>
  <c r="AX448" i="1"/>
  <c r="AW448" i="1"/>
  <c r="AV448" i="1"/>
  <c r="AU448" i="1"/>
  <c r="AT448" i="1"/>
  <c r="AS448" i="1"/>
  <c r="AR448" i="1"/>
  <c r="AQ448" i="1"/>
  <c r="AP448" i="1"/>
  <c r="W448" i="1"/>
  <c r="V448" i="1"/>
  <c r="U448" i="1"/>
  <c r="T448" i="1"/>
  <c r="S448" i="1"/>
  <c r="R448" i="1"/>
  <c r="Q448" i="1"/>
  <c r="P448" i="1"/>
  <c r="O448" i="1"/>
  <c r="N448" i="1"/>
  <c r="M448" i="1"/>
  <c r="L448" i="1"/>
  <c r="K448" i="1"/>
  <c r="J448" i="1"/>
  <c r="I448" i="1"/>
  <c r="H448" i="1"/>
  <c r="AZ447" i="1"/>
  <c r="AY447" i="1"/>
  <c r="AX447" i="1"/>
  <c r="AW447" i="1"/>
  <c r="AV447" i="1"/>
  <c r="AU447" i="1"/>
  <c r="AT447" i="1"/>
  <c r="AS447" i="1"/>
  <c r="AR447" i="1"/>
  <c r="AQ447" i="1"/>
  <c r="AP447" i="1"/>
  <c r="W447" i="1"/>
  <c r="V447" i="1"/>
  <c r="U447" i="1"/>
  <c r="T447" i="1"/>
  <c r="S447" i="1"/>
  <c r="R447" i="1"/>
  <c r="Q447" i="1"/>
  <c r="P447" i="1"/>
  <c r="O447" i="1"/>
  <c r="N447" i="1"/>
  <c r="M447" i="1"/>
  <c r="L447" i="1"/>
  <c r="K447" i="1"/>
  <c r="J447" i="1"/>
  <c r="I447" i="1"/>
  <c r="H447" i="1"/>
  <c r="AZ446" i="1"/>
  <c r="AY446" i="1"/>
  <c r="AX446" i="1"/>
  <c r="AW446" i="1"/>
  <c r="AV446" i="1"/>
  <c r="AU446" i="1"/>
  <c r="AT446" i="1"/>
  <c r="AS446" i="1"/>
  <c r="AR446" i="1"/>
  <c r="AQ446" i="1"/>
  <c r="AP446" i="1"/>
  <c r="AI446" i="1"/>
  <c r="AH446" i="1"/>
  <c r="AG446" i="1"/>
  <c r="W446" i="1"/>
  <c r="V446" i="1"/>
  <c r="U446" i="1"/>
  <c r="T446" i="1"/>
  <c r="S446" i="1"/>
  <c r="R446" i="1"/>
  <c r="Q446" i="1"/>
  <c r="P446" i="1"/>
  <c r="O446" i="1"/>
  <c r="N446" i="1"/>
  <c r="M446" i="1"/>
  <c r="L446" i="1"/>
  <c r="K446" i="1"/>
  <c r="J446" i="1"/>
  <c r="I446" i="1"/>
  <c r="H446" i="1"/>
  <c r="AZ445" i="1"/>
  <c r="AY445" i="1"/>
  <c r="AX445" i="1"/>
  <c r="AW445" i="1"/>
  <c r="AV445" i="1"/>
  <c r="AU445" i="1"/>
  <c r="AT445" i="1"/>
  <c r="AS445" i="1"/>
  <c r="AR445" i="1"/>
  <c r="AQ445" i="1"/>
  <c r="AP445" i="1"/>
  <c r="AI445" i="1"/>
  <c r="AH445" i="1"/>
  <c r="AG445" i="1"/>
  <c r="W445" i="1"/>
  <c r="V445" i="1"/>
  <c r="U445" i="1"/>
  <c r="T445" i="1"/>
  <c r="S445" i="1"/>
  <c r="R445" i="1"/>
  <c r="Q445" i="1"/>
  <c r="P445" i="1"/>
  <c r="O445" i="1"/>
  <c r="N445" i="1"/>
  <c r="M445" i="1"/>
  <c r="L445" i="1"/>
  <c r="K445" i="1"/>
  <c r="J445" i="1"/>
  <c r="I445" i="1"/>
  <c r="H445" i="1"/>
  <c r="AZ444" i="1"/>
  <c r="AY444" i="1"/>
  <c r="AX444" i="1"/>
  <c r="AW444" i="1"/>
  <c r="AV444" i="1"/>
  <c r="AU444" i="1"/>
  <c r="AT444" i="1"/>
  <c r="AS444" i="1"/>
  <c r="AR444" i="1"/>
  <c r="AQ444" i="1"/>
  <c r="AP444" i="1"/>
  <c r="AI444" i="1"/>
  <c r="AH444" i="1"/>
  <c r="AG444" i="1"/>
  <c r="W444" i="1"/>
  <c r="V444" i="1"/>
  <c r="U444" i="1"/>
  <c r="T444" i="1"/>
  <c r="S444" i="1"/>
  <c r="R444" i="1"/>
  <c r="Q444" i="1"/>
  <c r="P444" i="1"/>
  <c r="O444" i="1"/>
  <c r="N444" i="1"/>
  <c r="M444" i="1"/>
  <c r="L444" i="1"/>
  <c r="K444" i="1"/>
  <c r="J444" i="1"/>
  <c r="I444" i="1"/>
  <c r="H444" i="1"/>
  <c r="AZ443" i="1"/>
  <c r="AY443" i="1"/>
  <c r="AX443" i="1"/>
  <c r="AW443" i="1"/>
  <c r="AV443" i="1"/>
  <c r="AU443" i="1"/>
  <c r="AT443" i="1"/>
  <c r="AS443" i="1"/>
  <c r="AR443" i="1"/>
  <c r="AQ443" i="1"/>
  <c r="AP443" i="1"/>
  <c r="AH443" i="1"/>
  <c r="AG443" i="1"/>
  <c r="W443" i="1"/>
  <c r="V443" i="1"/>
  <c r="U443" i="1"/>
  <c r="T443" i="1"/>
  <c r="S443" i="1"/>
  <c r="R443" i="1"/>
  <c r="Q443" i="1"/>
  <c r="P443" i="1"/>
  <c r="O443" i="1"/>
  <c r="N443" i="1"/>
  <c r="M443" i="1"/>
  <c r="L443" i="1"/>
  <c r="K443" i="1"/>
  <c r="J443" i="1"/>
  <c r="I443" i="1"/>
  <c r="H443" i="1"/>
  <c r="AZ442" i="1"/>
  <c r="AY442" i="1"/>
  <c r="AX442" i="1"/>
  <c r="AW442" i="1"/>
  <c r="AV442" i="1"/>
  <c r="AU442" i="1"/>
  <c r="AT442" i="1"/>
  <c r="AS442" i="1"/>
  <c r="AR442" i="1"/>
  <c r="AQ442" i="1"/>
  <c r="AP442" i="1"/>
  <c r="AI442" i="1"/>
  <c r="AH442" i="1"/>
  <c r="AG442" i="1"/>
  <c r="W442" i="1"/>
  <c r="V442" i="1"/>
  <c r="U442" i="1"/>
  <c r="T442" i="1"/>
  <c r="S442" i="1"/>
  <c r="R442" i="1"/>
  <c r="Q442" i="1"/>
  <c r="P442" i="1"/>
  <c r="O442" i="1"/>
  <c r="N442" i="1"/>
  <c r="M442" i="1"/>
  <c r="L442" i="1"/>
  <c r="K442" i="1"/>
  <c r="J442" i="1"/>
  <c r="I442" i="1"/>
  <c r="H442" i="1"/>
  <c r="AZ441" i="1"/>
  <c r="AY441" i="1"/>
  <c r="AX441" i="1"/>
  <c r="AW441" i="1"/>
  <c r="AV441" i="1"/>
  <c r="AU441" i="1"/>
  <c r="AT441" i="1"/>
  <c r="AS441" i="1"/>
  <c r="AR441" i="1"/>
  <c r="AQ441" i="1"/>
  <c r="AP441" i="1"/>
  <c r="AH441" i="1"/>
  <c r="AG441" i="1"/>
  <c r="W441" i="1"/>
  <c r="V441" i="1"/>
  <c r="U441" i="1"/>
  <c r="T441" i="1"/>
  <c r="S441" i="1"/>
  <c r="R441" i="1"/>
  <c r="Q441" i="1"/>
  <c r="P441" i="1"/>
  <c r="O441" i="1"/>
  <c r="N441" i="1"/>
  <c r="M441" i="1"/>
  <c r="L441" i="1"/>
  <c r="K441" i="1"/>
  <c r="J441" i="1"/>
  <c r="I441" i="1"/>
  <c r="H441" i="1"/>
  <c r="AZ440" i="1"/>
  <c r="AY440" i="1"/>
  <c r="AX440" i="1"/>
  <c r="AW440" i="1"/>
  <c r="AV440" i="1"/>
  <c r="AU440" i="1"/>
  <c r="AT440" i="1"/>
  <c r="AS440" i="1"/>
  <c r="AR440" i="1"/>
  <c r="AQ440" i="1"/>
  <c r="AP440" i="1"/>
  <c r="AH440" i="1"/>
  <c r="AG440" i="1"/>
  <c r="W440" i="1"/>
  <c r="V440" i="1"/>
  <c r="U440" i="1"/>
  <c r="T440" i="1"/>
  <c r="S440" i="1"/>
  <c r="R440" i="1"/>
  <c r="Q440" i="1"/>
  <c r="P440" i="1"/>
  <c r="O440" i="1"/>
  <c r="N440" i="1"/>
  <c r="M440" i="1"/>
  <c r="L440" i="1"/>
  <c r="K440" i="1"/>
  <c r="J440" i="1"/>
  <c r="I440" i="1"/>
  <c r="H440" i="1"/>
  <c r="AZ439" i="1"/>
  <c r="AY439" i="1"/>
  <c r="AX439" i="1"/>
  <c r="AW439" i="1"/>
  <c r="AV439" i="1"/>
  <c r="AU439" i="1"/>
  <c r="AT439" i="1"/>
  <c r="AS439" i="1"/>
  <c r="AR439" i="1"/>
  <c r="AQ439" i="1"/>
  <c r="AP439" i="1"/>
  <c r="AH439" i="1"/>
  <c r="AG439" i="1"/>
  <c r="W439" i="1"/>
  <c r="V439" i="1"/>
  <c r="U439" i="1"/>
  <c r="T439" i="1"/>
  <c r="S439" i="1"/>
  <c r="R439" i="1"/>
  <c r="Q439" i="1"/>
  <c r="P439" i="1"/>
  <c r="O439" i="1"/>
  <c r="N439" i="1"/>
  <c r="M439" i="1"/>
  <c r="L439" i="1"/>
  <c r="K439" i="1"/>
  <c r="J439" i="1"/>
  <c r="I439" i="1"/>
  <c r="H439" i="1"/>
  <c r="AZ438" i="1"/>
  <c r="AY438" i="1"/>
  <c r="AX438" i="1"/>
  <c r="AW438" i="1"/>
  <c r="AV438" i="1"/>
  <c r="AU438" i="1"/>
  <c r="AT438" i="1"/>
  <c r="AS438" i="1"/>
  <c r="AR438" i="1"/>
  <c r="AQ438" i="1"/>
  <c r="AP438" i="1"/>
  <c r="AH438" i="1"/>
  <c r="AG438" i="1"/>
  <c r="W438" i="1"/>
  <c r="V438" i="1"/>
  <c r="U438" i="1"/>
  <c r="T438" i="1"/>
  <c r="S438" i="1"/>
  <c r="R438" i="1"/>
  <c r="Q438" i="1"/>
  <c r="P438" i="1"/>
  <c r="O438" i="1"/>
  <c r="N438" i="1"/>
  <c r="M438" i="1"/>
  <c r="L438" i="1"/>
  <c r="K438" i="1"/>
  <c r="J438" i="1"/>
  <c r="I438" i="1"/>
  <c r="H438" i="1"/>
  <c r="AZ437" i="1"/>
  <c r="AY437" i="1"/>
  <c r="AX437" i="1"/>
  <c r="AW437" i="1"/>
  <c r="AV437" i="1"/>
  <c r="AU437" i="1"/>
  <c r="AT437" i="1"/>
  <c r="AS437" i="1"/>
  <c r="AR437" i="1"/>
  <c r="AQ437" i="1"/>
  <c r="AP437" i="1"/>
  <c r="AH437" i="1"/>
  <c r="AG437" i="1"/>
  <c r="W437" i="1"/>
  <c r="V437" i="1"/>
  <c r="U437" i="1"/>
  <c r="T437" i="1"/>
  <c r="S437" i="1"/>
  <c r="R437" i="1"/>
  <c r="Q437" i="1"/>
  <c r="P437" i="1"/>
  <c r="O437" i="1"/>
  <c r="N437" i="1"/>
  <c r="M437" i="1"/>
  <c r="L437" i="1"/>
  <c r="K437" i="1"/>
  <c r="J437" i="1"/>
  <c r="I437" i="1"/>
  <c r="H437" i="1"/>
  <c r="X437" i="1" s="1"/>
  <c r="AZ436" i="1"/>
  <c r="AY436" i="1"/>
  <c r="AX436" i="1"/>
  <c r="AW436" i="1"/>
  <c r="AV436" i="1"/>
  <c r="AU436" i="1"/>
  <c r="AT436" i="1"/>
  <c r="AS436" i="1"/>
  <c r="AR436" i="1"/>
  <c r="AQ436" i="1"/>
  <c r="AP436" i="1"/>
  <c r="AH436" i="1"/>
  <c r="AG436" i="1"/>
  <c r="W436" i="1"/>
  <c r="V436" i="1"/>
  <c r="U436" i="1"/>
  <c r="T436" i="1"/>
  <c r="S436" i="1"/>
  <c r="R436" i="1"/>
  <c r="Q436" i="1"/>
  <c r="P436" i="1"/>
  <c r="O436" i="1"/>
  <c r="N436" i="1"/>
  <c r="M436" i="1"/>
  <c r="L436" i="1"/>
  <c r="K436" i="1"/>
  <c r="J436" i="1"/>
  <c r="I436" i="1"/>
  <c r="H436" i="1"/>
  <c r="AZ435" i="1"/>
  <c r="AY435" i="1"/>
  <c r="AX435" i="1"/>
  <c r="AW435" i="1"/>
  <c r="AV435" i="1"/>
  <c r="AU435" i="1"/>
  <c r="AT435" i="1"/>
  <c r="AS435" i="1"/>
  <c r="AR435" i="1"/>
  <c r="AQ435" i="1"/>
  <c r="AP435" i="1"/>
  <c r="AH435" i="1"/>
  <c r="AG435" i="1"/>
  <c r="W435" i="1"/>
  <c r="V435" i="1"/>
  <c r="U435" i="1"/>
  <c r="T435" i="1"/>
  <c r="S435" i="1"/>
  <c r="R435" i="1"/>
  <c r="Q435" i="1"/>
  <c r="P435" i="1"/>
  <c r="O435" i="1"/>
  <c r="N435" i="1"/>
  <c r="M435" i="1"/>
  <c r="L435" i="1"/>
  <c r="K435" i="1"/>
  <c r="J435" i="1"/>
  <c r="I435" i="1"/>
  <c r="H435" i="1"/>
  <c r="AZ434" i="1"/>
  <c r="AY434" i="1"/>
  <c r="AX434" i="1"/>
  <c r="AW434" i="1"/>
  <c r="AV434" i="1"/>
  <c r="AU434" i="1"/>
  <c r="AT434" i="1"/>
  <c r="AS434" i="1"/>
  <c r="AR434" i="1"/>
  <c r="AQ434" i="1"/>
  <c r="AP434" i="1"/>
  <c r="AH434" i="1"/>
  <c r="AG434" i="1"/>
  <c r="W434" i="1"/>
  <c r="V434" i="1"/>
  <c r="U434" i="1"/>
  <c r="T434" i="1"/>
  <c r="S434" i="1"/>
  <c r="R434" i="1"/>
  <c r="Q434" i="1"/>
  <c r="P434" i="1"/>
  <c r="O434" i="1"/>
  <c r="N434" i="1"/>
  <c r="M434" i="1"/>
  <c r="L434" i="1"/>
  <c r="K434" i="1"/>
  <c r="J434" i="1"/>
  <c r="I434" i="1"/>
  <c r="H434" i="1"/>
  <c r="AZ433" i="1"/>
  <c r="AY433" i="1"/>
  <c r="AX433" i="1"/>
  <c r="AW433" i="1"/>
  <c r="AV433" i="1"/>
  <c r="AU433" i="1"/>
  <c r="AT433" i="1"/>
  <c r="AS433" i="1"/>
  <c r="AR433" i="1"/>
  <c r="AQ433" i="1"/>
  <c r="AP433" i="1"/>
  <c r="AH433" i="1"/>
  <c r="AG433" i="1"/>
  <c r="W433" i="1"/>
  <c r="V433" i="1"/>
  <c r="U433" i="1"/>
  <c r="T433" i="1"/>
  <c r="S433" i="1"/>
  <c r="R433" i="1"/>
  <c r="Q433" i="1"/>
  <c r="P433" i="1"/>
  <c r="O433" i="1"/>
  <c r="N433" i="1"/>
  <c r="M433" i="1"/>
  <c r="L433" i="1"/>
  <c r="K433" i="1"/>
  <c r="J433" i="1"/>
  <c r="I433" i="1"/>
  <c r="H433" i="1"/>
  <c r="G433" i="1"/>
  <c r="AZ432" i="1"/>
  <c r="AY432" i="1"/>
  <c r="AX432" i="1"/>
  <c r="AW432" i="1"/>
  <c r="AV432" i="1"/>
  <c r="AU432" i="1"/>
  <c r="AT432" i="1"/>
  <c r="AS432" i="1"/>
  <c r="AR432" i="1"/>
  <c r="AQ432" i="1"/>
  <c r="AP432" i="1"/>
  <c r="W432" i="1"/>
  <c r="V432" i="1"/>
  <c r="U432" i="1"/>
  <c r="T432" i="1"/>
  <c r="S432" i="1"/>
  <c r="R432" i="1"/>
  <c r="Q432" i="1"/>
  <c r="P432" i="1"/>
  <c r="O432" i="1"/>
  <c r="N432" i="1"/>
  <c r="M432" i="1"/>
  <c r="L432" i="1"/>
  <c r="K432" i="1"/>
  <c r="J432" i="1"/>
  <c r="I432" i="1"/>
  <c r="H432" i="1"/>
  <c r="X432" i="1" s="1"/>
  <c r="G432" i="1"/>
  <c r="AZ431" i="1"/>
  <c r="AY431" i="1"/>
  <c r="AX431" i="1"/>
  <c r="AW431" i="1"/>
  <c r="AV431" i="1"/>
  <c r="AU431" i="1"/>
  <c r="AT431" i="1"/>
  <c r="AS431" i="1"/>
  <c r="AR431" i="1"/>
  <c r="AQ431" i="1"/>
  <c r="AP431" i="1"/>
  <c r="W431" i="1"/>
  <c r="V431" i="1"/>
  <c r="U431" i="1"/>
  <c r="T431" i="1"/>
  <c r="S431" i="1"/>
  <c r="R431" i="1"/>
  <c r="Q431" i="1"/>
  <c r="P431" i="1"/>
  <c r="O431" i="1"/>
  <c r="N431" i="1"/>
  <c r="M431" i="1"/>
  <c r="L431" i="1"/>
  <c r="K431" i="1"/>
  <c r="J431" i="1"/>
  <c r="I431" i="1"/>
  <c r="H431" i="1"/>
  <c r="G431" i="1"/>
  <c r="AZ430" i="1"/>
  <c r="AY430" i="1"/>
  <c r="AX430" i="1"/>
  <c r="AW430" i="1"/>
  <c r="AV430" i="1"/>
  <c r="AU430" i="1"/>
  <c r="AT430" i="1"/>
  <c r="AS430" i="1"/>
  <c r="AR430" i="1"/>
  <c r="AQ430" i="1"/>
  <c r="AP430" i="1"/>
  <c r="W430" i="1"/>
  <c r="V430" i="1"/>
  <c r="U430" i="1"/>
  <c r="T430" i="1"/>
  <c r="S430" i="1"/>
  <c r="R430" i="1"/>
  <c r="Q430" i="1"/>
  <c r="P430" i="1"/>
  <c r="O430" i="1"/>
  <c r="N430" i="1"/>
  <c r="M430" i="1"/>
  <c r="L430" i="1"/>
  <c r="K430" i="1"/>
  <c r="J430" i="1"/>
  <c r="I430" i="1"/>
  <c r="H430" i="1"/>
  <c r="G430" i="1"/>
  <c r="AZ429" i="1"/>
  <c r="AY429" i="1"/>
  <c r="AX429" i="1"/>
  <c r="AW429" i="1"/>
  <c r="AV429" i="1"/>
  <c r="AU429" i="1"/>
  <c r="AT429" i="1"/>
  <c r="AS429" i="1"/>
  <c r="AR429" i="1"/>
  <c r="AQ429" i="1"/>
  <c r="AP429" i="1"/>
  <c r="AI429" i="1"/>
  <c r="AH429" i="1"/>
  <c r="AG429" i="1"/>
  <c r="W429" i="1"/>
  <c r="V429" i="1"/>
  <c r="U429" i="1"/>
  <c r="T429" i="1"/>
  <c r="S429" i="1"/>
  <c r="R429" i="1"/>
  <c r="Q429" i="1"/>
  <c r="P429" i="1"/>
  <c r="O429" i="1"/>
  <c r="N429" i="1"/>
  <c r="M429" i="1"/>
  <c r="L429" i="1"/>
  <c r="K429" i="1"/>
  <c r="J429" i="1"/>
  <c r="I429" i="1"/>
  <c r="H429" i="1"/>
  <c r="G429" i="1"/>
  <c r="AZ428" i="1"/>
  <c r="AY428" i="1"/>
  <c r="AX428" i="1"/>
  <c r="AW428" i="1"/>
  <c r="AV428" i="1"/>
  <c r="AU428" i="1"/>
  <c r="AT428" i="1"/>
  <c r="AS428" i="1"/>
  <c r="AR428" i="1"/>
  <c r="AQ428" i="1"/>
  <c r="AP428" i="1"/>
  <c r="AH428" i="1"/>
  <c r="AG428" i="1"/>
  <c r="W428" i="1"/>
  <c r="V428" i="1"/>
  <c r="U428" i="1"/>
  <c r="T428" i="1"/>
  <c r="S428" i="1"/>
  <c r="R428" i="1"/>
  <c r="Q428" i="1"/>
  <c r="P428" i="1"/>
  <c r="O428" i="1"/>
  <c r="N428" i="1"/>
  <c r="M428" i="1"/>
  <c r="L428" i="1"/>
  <c r="K428" i="1"/>
  <c r="J428" i="1"/>
  <c r="I428" i="1"/>
  <c r="H428" i="1"/>
  <c r="G428" i="1"/>
  <c r="AZ427" i="1"/>
  <c r="AY427" i="1"/>
  <c r="AX427" i="1"/>
  <c r="AW427" i="1"/>
  <c r="AV427" i="1"/>
  <c r="AU427" i="1"/>
  <c r="AT427" i="1"/>
  <c r="AS427" i="1"/>
  <c r="AR427" i="1"/>
  <c r="AQ427" i="1"/>
  <c r="AP427" i="1"/>
  <c r="AI427" i="1"/>
  <c r="AH427" i="1"/>
  <c r="AG427" i="1"/>
  <c r="W427" i="1"/>
  <c r="V427" i="1"/>
  <c r="U427" i="1"/>
  <c r="T427" i="1"/>
  <c r="S427" i="1"/>
  <c r="R427" i="1"/>
  <c r="Q427" i="1"/>
  <c r="P427" i="1"/>
  <c r="O427" i="1"/>
  <c r="N427" i="1"/>
  <c r="M427" i="1"/>
  <c r="L427" i="1"/>
  <c r="K427" i="1"/>
  <c r="J427" i="1"/>
  <c r="I427" i="1"/>
  <c r="H427" i="1"/>
  <c r="G427" i="1"/>
  <c r="AZ426" i="1"/>
  <c r="AY426" i="1"/>
  <c r="AX426" i="1"/>
  <c r="AW426" i="1"/>
  <c r="AV426" i="1"/>
  <c r="AU426" i="1"/>
  <c r="AT426" i="1"/>
  <c r="AS426" i="1"/>
  <c r="AR426" i="1"/>
  <c r="AQ426" i="1"/>
  <c r="AP426" i="1"/>
  <c r="W426" i="1"/>
  <c r="V426" i="1"/>
  <c r="U426" i="1"/>
  <c r="T426" i="1"/>
  <c r="S426" i="1"/>
  <c r="R426" i="1"/>
  <c r="Q426" i="1"/>
  <c r="P426" i="1"/>
  <c r="O426" i="1"/>
  <c r="N426" i="1"/>
  <c r="M426" i="1"/>
  <c r="L426" i="1"/>
  <c r="K426" i="1"/>
  <c r="J426" i="1"/>
  <c r="I426" i="1"/>
  <c r="H426" i="1"/>
  <c r="C426" i="1" s="1"/>
  <c r="G426" i="1"/>
  <c r="AZ425" i="1"/>
  <c r="AY425" i="1"/>
  <c r="AX425" i="1"/>
  <c r="AW425" i="1"/>
  <c r="AV425" i="1"/>
  <c r="AU425" i="1"/>
  <c r="AT425" i="1"/>
  <c r="AS425" i="1"/>
  <c r="AR425" i="1"/>
  <c r="AQ425" i="1"/>
  <c r="AP425" i="1"/>
  <c r="AH425" i="1"/>
  <c r="AG425" i="1"/>
  <c r="W425" i="1"/>
  <c r="V425" i="1"/>
  <c r="U425" i="1"/>
  <c r="T425" i="1"/>
  <c r="S425" i="1"/>
  <c r="R425" i="1"/>
  <c r="Q425" i="1"/>
  <c r="P425" i="1"/>
  <c r="O425" i="1"/>
  <c r="N425" i="1"/>
  <c r="M425" i="1"/>
  <c r="L425" i="1"/>
  <c r="K425" i="1"/>
  <c r="J425" i="1"/>
  <c r="I425" i="1"/>
  <c r="H425" i="1"/>
  <c r="G425" i="1"/>
  <c r="AZ424" i="1"/>
  <c r="AY424" i="1"/>
  <c r="AX424" i="1"/>
  <c r="AW424" i="1"/>
  <c r="AV424" i="1"/>
  <c r="AU424" i="1"/>
  <c r="AT424" i="1"/>
  <c r="AS424" i="1"/>
  <c r="AR424" i="1"/>
  <c r="AQ424" i="1"/>
  <c r="AP424" i="1"/>
  <c r="AH424" i="1"/>
  <c r="AG424" i="1"/>
  <c r="W424" i="1"/>
  <c r="V424" i="1"/>
  <c r="U424" i="1"/>
  <c r="T424" i="1"/>
  <c r="S424" i="1"/>
  <c r="R424" i="1"/>
  <c r="Q424" i="1"/>
  <c r="P424" i="1"/>
  <c r="O424" i="1"/>
  <c r="N424" i="1"/>
  <c r="M424" i="1"/>
  <c r="L424" i="1"/>
  <c r="K424" i="1"/>
  <c r="J424" i="1"/>
  <c r="I424" i="1"/>
  <c r="H424" i="1"/>
  <c r="G424" i="1"/>
  <c r="AZ423" i="1"/>
  <c r="AY423" i="1"/>
  <c r="AX423" i="1"/>
  <c r="AW423" i="1"/>
  <c r="AV423" i="1"/>
  <c r="AU423" i="1"/>
  <c r="AT423" i="1"/>
  <c r="AS423" i="1"/>
  <c r="AR423" i="1"/>
  <c r="AQ423" i="1"/>
  <c r="AP423" i="1"/>
  <c r="W423" i="1"/>
  <c r="V423" i="1"/>
  <c r="U423" i="1"/>
  <c r="T423" i="1"/>
  <c r="S423" i="1"/>
  <c r="R423" i="1"/>
  <c r="Q423" i="1"/>
  <c r="P423" i="1"/>
  <c r="O423" i="1"/>
  <c r="N423" i="1"/>
  <c r="M423" i="1"/>
  <c r="L423" i="1"/>
  <c r="K423" i="1"/>
  <c r="J423" i="1"/>
  <c r="I423" i="1"/>
  <c r="H423" i="1"/>
  <c r="X423" i="1" s="1"/>
  <c r="G423" i="1"/>
  <c r="AZ422" i="1"/>
  <c r="AY422" i="1"/>
  <c r="AX422" i="1"/>
  <c r="AW422" i="1"/>
  <c r="AV422" i="1"/>
  <c r="AU422" i="1"/>
  <c r="AT422" i="1"/>
  <c r="AS422" i="1"/>
  <c r="AR422" i="1"/>
  <c r="AQ422" i="1"/>
  <c r="AP422" i="1"/>
  <c r="W422" i="1"/>
  <c r="V422" i="1"/>
  <c r="U422" i="1"/>
  <c r="T422" i="1"/>
  <c r="S422" i="1"/>
  <c r="R422" i="1"/>
  <c r="Q422" i="1"/>
  <c r="P422" i="1"/>
  <c r="O422" i="1"/>
  <c r="N422" i="1"/>
  <c r="M422" i="1"/>
  <c r="L422" i="1"/>
  <c r="K422" i="1"/>
  <c r="J422" i="1"/>
  <c r="I422" i="1"/>
  <c r="H422" i="1"/>
  <c r="G422" i="1"/>
  <c r="AZ421" i="1"/>
  <c r="AY421" i="1"/>
  <c r="AX421" i="1"/>
  <c r="AW421" i="1"/>
  <c r="AV421" i="1"/>
  <c r="AU421" i="1"/>
  <c r="AT421" i="1"/>
  <c r="AS421" i="1"/>
  <c r="AR421" i="1"/>
  <c r="AQ421" i="1"/>
  <c r="AP421" i="1"/>
  <c r="AI421" i="1"/>
  <c r="AH421" i="1"/>
  <c r="AG421" i="1"/>
  <c r="W421" i="1"/>
  <c r="V421" i="1"/>
  <c r="U421" i="1"/>
  <c r="T421" i="1"/>
  <c r="S421" i="1"/>
  <c r="R421" i="1"/>
  <c r="Q421" i="1"/>
  <c r="P421" i="1"/>
  <c r="O421" i="1"/>
  <c r="N421" i="1"/>
  <c r="M421" i="1"/>
  <c r="L421" i="1"/>
  <c r="K421" i="1"/>
  <c r="J421" i="1"/>
  <c r="I421" i="1"/>
  <c r="H421" i="1"/>
  <c r="AZ420" i="1"/>
  <c r="AY420" i="1"/>
  <c r="AX420" i="1"/>
  <c r="AW420" i="1"/>
  <c r="AV420" i="1"/>
  <c r="AU420" i="1"/>
  <c r="AT420" i="1"/>
  <c r="AS420" i="1"/>
  <c r="AR420" i="1"/>
  <c r="AQ420" i="1"/>
  <c r="AP420" i="1"/>
  <c r="AI420" i="1"/>
  <c r="AH420" i="1"/>
  <c r="AG420" i="1"/>
  <c r="W420" i="1"/>
  <c r="V420" i="1"/>
  <c r="U420" i="1"/>
  <c r="T420" i="1"/>
  <c r="S420" i="1"/>
  <c r="R420" i="1"/>
  <c r="Q420" i="1"/>
  <c r="P420" i="1"/>
  <c r="O420" i="1"/>
  <c r="N420" i="1"/>
  <c r="M420" i="1"/>
  <c r="L420" i="1"/>
  <c r="K420" i="1"/>
  <c r="J420" i="1"/>
  <c r="I420" i="1"/>
  <c r="H420" i="1"/>
  <c r="AZ419" i="1"/>
  <c r="AY419" i="1"/>
  <c r="AX419" i="1"/>
  <c r="AW419" i="1"/>
  <c r="AV419" i="1"/>
  <c r="AU419" i="1"/>
  <c r="AT419" i="1"/>
  <c r="AS419" i="1"/>
  <c r="AR419" i="1"/>
  <c r="AQ419" i="1"/>
  <c r="AP419" i="1"/>
  <c r="AH419" i="1"/>
  <c r="AG419" i="1"/>
  <c r="W419" i="1"/>
  <c r="V419" i="1"/>
  <c r="U419" i="1"/>
  <c r="T419" i="1"/>
  <c r="S419" i="1"/>
  <c r="R419" i="1"/>
  <c r="Q419" i="1"/>
  <c r="P419" i="1"/>
  <c r="O419" i="1"/>
  <c r="N419" i="1"/>
  <c r="M419" i="1"/>
  <c r="L419" i="1"/>
  <c r="K419" i="1"/>
  <c r="J419" i="1"/>
  <c r="I419" i="1"/>
  <c r="H419" i="1"/>
  <c r="AZ418" i="1"/>
  <c r="AY418" i="1"/>
  <c r="AX418" i="1"/>
  <c r="AW418" i="1"/>
  <c r="AV418" i="1"/>
  <c r="AU418" i="1"/>
  <c r="AT418" i="1"/>
  <c r="AS418" i="1"/>
  <c r="AR418" i="1"/>
  <c r="AQ418" i="1"/>
  <c r="AP418" i="1"/>
  <c r="AH418" i="1"/>
  <c r="AG418" i="1"/>
  <c r="W418" i="1"/>
  <c r="V418" i="1"/>
  <c r="U418" i="1"/>
  <c r="T418" i="1"/>
  <c r="S418" i="1"/>
  <c r="R418" i="1"/>
  <c r="Q418" i="1"/>
  <c r="P418" i="1"/>
  <c r="O418" i="1"/>
  <c r="N418" i="1"/>
  <c r="M418" i="1"/>
  <c r="L418" i="1"/>
  <c r="K418" i="1"/>
  <c r="J418" i="1"/>
  <c r="I418" i="1"/>
  <c r="H418" i="1"/>
  <c r="AZ417" i="1"/>
  <c r="AY417" i="1"/>
  <c r="AX417" i="1"/>
  <c r="AW417" i="1"/>
  <c r="AV417" i="1"/>
  <c r="AU417" i="1"/>
  <c r="AT417" i="1"/>
  <c r="AS417" i="1"/>
  <c r="AR417" i="1"/>
  <c r="AQ417" i="1"/>
  <c r="AP417" i="1"/>
  <c r="AH417" i="1"/>
  <c r="AG417" i="1"/>
  <c r="W417" i="1"/>
  <c r="V417" i="1"/>
  <c r="U417" i="1"/>
  <c r="T417" i="1"/>
  <c r="S417" i="1"/>
  <c r="R417" i="1"/>
  <c r="Q417" i="1"/>
  <c r="P417" i="1"/>
  <c r="O417" i="1"/>
  <c r="N417" i="1"/>
  <c r="M417" i="1"/>
  <c r="L417" i="1"/>
  <c r="K417" i="1"/>
  <c r="J417" i="1"/>
  <c r="I417" i="1"/>
  <c r="H417" i="1"/>
  <c r="G417" i="1"/>
  <c r="AZ416" i="1"/>
  <c r="AY416" i="1"/>
  <c r="AX416" i="1"/>
  <c r="AW416" i="1"/>
  <c r="AV416" i="1"/>
  <c r="AU416" i="1"/>
  <c r="AT416" i="1"/>
  <c r="AS416" i="1"/>
  <c r="AR416" i="1"/>
  <c r="AQ416" i="1"/>
  <c r="AP416" i="1"/>
  <c r="AI416" i="1"/>
  <c r="AH416" i="1"/>
  <c r="AG416" i="1"/>
  <c r="W416" i="1"/>
  <c r="V416" i="1"/>
  <c r="U416" i="1"/>
  <c r="T416" i="1"/>
  <c r="S416" i="1"/>
  <c r="R416" i="1"/>
  <c r="Q416" i="1"/>
  <c r="P416" i="1"/>
  <c r="O416" i="1"/>
  <c r="N416" i="1"/>
  <c r="M416" i="1"/>
  <c r="L416" i="1"/>
  <c r="K416" i="1"/>
  <c r="J416" i="1"/>
  <c r="I416" i="1"/>
  <c r="H416" i="1"/>
  <c r="G416" i="1"/>
  <c r="AZ415" i="1"/>
  <c r="AY415" i="1"/>
  <c r="AX415" i="1"/>
  <c r="AW415" i="1"/>
  <c r="AV415" i="1"/>
  <c r="AU415" i="1"/>
  <c r="AT415" i="1"/>
  <c r="AS415" i="1"/>
  <c r="AR415" i="1"/>
  <c r="AQ415" i="1"/>
  <c r="AP415" i="1"/>
  <c r="W415" i="1"/>
  <c r="V415" i="1"/>
  <c r="U415" i="1"/>
  <c r="T415" i="1"/>
  <c r="S415" i="1"/>
  <c r="R415" i="1"/>
  <c r="Q415" i="1"/>
  <c r="P415" i="1"/>
  <c r="O415" i="1"/>
  <c r="N415" i="1"/>
  <c r="M415" i="1"/>
  <c r="L415" i="1"/>
  <c r="K415" i="1"/>
  <c r="J415" i="1"/>
  <c r="I415" i="1"/>
  <c r="H415" i="1"/>
  <c r="AZ414" i="1"/>
  <c r="AY414" i="1"/>
  <c r="AX414" i="1"/>
  <c r="AW414" i="1"/>
  <c r="AV414" i="1"/>
  <c r="AU414" i="1"/>
  <c r="AT414" i="1"/>
  <c r="AS414" i="1"/>
  <c r="AR414" i="1"/>
  <c r="AQ414" i="1"/>
  <c r="AP414" i="1"/>
  <c r="W414" i="1"/>
  <c r="V414" i="1"/>
  <c r="U414" i="1"/>
  <c r="T414" i="1"/>
  <c r="S414" i="1"/>
  <c r="R414" i="1"/>
  <c r="Q414" i="1"/>
  <c r="P414" i="1"/>
  <c r="O414" i="1"/>
  <c r="N414" i="1"/>
  <c r="M414" i="1"/>
  <c r="L414" i="1"/>
  <c r="K414" i="1"/>
  <c r="J414" i="1"/>
  <c r="I414" i="1"/>
  <c r="H414" i="1"/>
  <c r="AZ413" i="1"/>
  <c r="AY413" i="1"/>
  <c r="AX413" i="1"/>
  <c r="AW413" i="1"/>
  <c r="AV413" i="1"/>
  <c r="AU413" i="1"/>
  <c r="AT413" i="1"/>
  <c r="AS413" i="1"/>
  <c r="AR413" i="1"/>
  <c r="AQ413" i="1"/>
  <c r="AP413" i="1"/>
  <c r="AH413" i="1"/>
  <c r="AG413" i="1"/>
  <c r="W413" i="1"/>
  <c r="V413" i="1"/>
  <c r="U413" i="1"/>
  <c r="T413" i="1"/>
  <c r="S413" i="1"/>
  <c r="R413" i="1"/>
  <c r="Q413" i="1"/>
  <c r="P413" i="1"/>
  <c r="O413" i="1"/>
  <c r="N413" i="1"/>
  <c r="M413" i="1"/>
  <c r="L413" i="1"/>
  <c r="K413" i="1"/>
  <c r="J413" i="1"/>
  <c r="I413" i="1"/>
  <c r="H413" i="1"/>
  <c r="AZ412" i="1"/>
  <c r="AY412" i="1"/>
  <c r="AX412" i="1"/>
  <c r="AW412" i="1"/>
  <c r="AV412" i="1"/>
  <c r="AU412" i="1"/>
  <c r="AT412" i="1"/>
  <c r="AS412" i="1"/>
  <c r="AR412" i="1"/>
  <c r="AQ412" i="1"/>
  <c r="AP412" i="1"/>
  <c r="AI412" i="1"/>
  <c r="AH412" i="1"/>
  <c r="AG412" i="1"/>
  <c r="W412" i="1"/>
  <c r="V412" i="1"/>
  <c r="U412" i="1"/>
  <c r="T412" i="1"/>
  <c r="S412" i="1"/>
  <c r="R412" i="1"/>
  <c r="Q412" i="1"/>
  <c r="P412" i="1"/>
  <c r="O412" i="1"/>
  <c r="N412" i="1"/>
  <c r="M412" i="1"/>
  <c r="L412" i="1"/>
  <c r="K412" i="1"/>
  <c r="J412" i="1"/>
  <c r="I412" i="1"/>
  <c r="H412" i="1"/>
  <c r="AZ411" i="1"/>
  <c r="AY411" i="1"/>
  <c r="AX411" i="1"/>
  <c r="AW411" i="1"/>
  <c r="AV411" i="1"/>
  <c r="AU411" i="1"/>
  <c r="AT411" i="1"/>
  <c r="AS411" i="1"/>
  <c r="AR411" i="1"/>
  <c r="AQ411" i="1"/>
  <c r="AP411" i="1"/>
  <c r="AI411" i="1"/>
  <c r="AH411" i="1"/>
  <c r="AG411" i="1"/>
  <c r="W411" i="1"/>
  <c r="V411" i="1"/>
  <c r="U411" i="1"/>
  <c r="T411" i="1"/>
  <c r="S411" i="1"/>
  <c r="R411" i="1"/>
  <c r="Q411" i="1"/>
  <c r="P411" i="1"/>
  <c r="O411" i="1"/>
  <c r="N411" i="1"/>
  <c r="M411" i="1"/>
  <c r="L411" i="1"/>
  <c r="K411" i="1"/>
  <c r="J411" i="1"/>
  <c r="I411" i="1"/>
  <c r="H411" i="1"/>
  <c r="AZ410" i="1"/>
  <c r="AY410" i="1"/>
  <c r="AX410" i="1"/>
  <c r="AW410" i="1"/>
  <c r="AV410" i="1"/>
  <c r="AU410" i="1"/>
  <c r="AT410" i="1"/>
  <c r="AS410" i="1"/>
  <c r="AR410" i="1"/>
  <c r="AQ410" i="1"/>
  <c r="AP410" i="1"/>
  <c r="AI410" i="1"/>
  <c r="AH410" i="1"/>
  <c r="AG410" i="1"/>
  <c r="W410" i="1"/>
  <c r="V410" i="1"/>
  <c r="U410" i="1"/>
  <c r="T410" i="1"/>
  <c r="S410" i="1"/>
  <c r="R410" i="1"/>
  <c r="Q410" i="1"/>
  <c r="P410" i="1"/>
  <c r="O410" i="1"/>
  <c r="N410" i="1"/>
  <c r="M410" i="1"/>
  <c r="L410" i="1"/>
  <c r="K410" i="1"/>
  <c r="J410" i="1"/>
  <c r="I410" i="1"/>
  <c r="H410" i="1"/>
  <c r="AZ409" i="1"/>
  <c r="AY409" i="1"/>
  <c r="AX409" i="1"/>
  <c r="AW409" i="1"/>
  <c r="AV409" i="1"/>
  <c r="AU409" i="1"/>
  <c r="AT409" i="1"/>
  <c r="AS409" i="1"/>
  <c r="AR409" i="1"/>
  <c r="AQ409" i="1"/>
  <c r="AP409" i="1"/>
  <c r="AI409" i="1"/>
  <c r="AH409" i="1"/>
  <c r="AG409" i="1"/>
  <c r="W409" i="1"/>
  <c r="V409" i="1"/>
  <c r="U409" i="1"/>
  <c r="T409" i="1"/>
  <c r="S409" i="1"/>
  <c r="R409" i="1"/>
  <c r="Q409" i="1"/>
  <c r="P409" i="1"/>
  <c r="O409" i="1"/>
  <c r="N409" i="1"/>
  <c r="M409" i="1"/>
  <c r="L409" i="1"/>
  <c r="K409" i="1"/>
  <c r="J409" i="1"/>
  <c r="I409" i="1"/>
  <c r="H409" i="1"/>
  <c r="AZ408" i="1"/>
  <c r="AY408" i="1"/>
  <c r="AX408" i="1"/>
  <c r="AW408" i="1"/>
  <c r="AV408" i="1"/>
  <c r="AU408" i="1"/>
  <c r="AT408" i="1"/>
  <c r="AS408" i="1"/>
  <c r="AR408" i="1"/>
  <c r="AQ408" i="1"/>
  <c r="AP408" i="1"/>
  <c r="AI408" i="1"/>
  <c r="AH408" i="1"/>
  <c r="AG408" i="1"/>
  <c r="W408" i="1"/>
  <c r="V408" i="1"/>
  <c r="U408" i="1"/>
  <c r="T408" i="1"/>
  <c r="S408" i="1"/>
  <c r="R408" i="1"/>
  <c r="Q408" i="1"/>
  <c r="P408" i="1"/>
  <c r="O408" i="1"/>
  <c r="N408" i="1"/>
  <c r="M408" i="1"/>
  <c r="L408" i="1"/>
  <c r="K408" i="1"/>
  <c r="J408" i="1"/>
  <c r="I408" i="1"/>
  <c r="H408" i="1"/>
  <c r="AZ407" i="1"/>
  <c r="AY407" i="1"/>
  <c r="AX407" i="1"/>
  <c r="AW407" i="1"/>
  <c r="AV407" i="1"/>
  <c r="AU407" i="1"/>
  <c r="AT407" i="1"/>
  <c r="AS407" i="1"/>
  <c r="AR407" i="1"/>
  <c r="AQ407" i="1"/>
  <c r="AP407" i="1"/>
  <c r="AI407" i="1"/>
  <c r="AH407" i="1"/>
  <c r="AG407" i="1"/>
  <c r="W407" i="1"/>
  <c r="V407" i="1"/>
  <c r="U407" i="1"/>
  <c r="T407" i="1"/>
  <c r="S407" i="1"/>
  <c r="R407" i="1"/>
  <c r="Q407" i="1"/>
  <c r="P407" i="1"/>
  <c r="O407" i="1"/>
  <c r="N407" i="1"/>
  <c r="M407" i="1"/>
  <c r="L407" i="1"/>
  <c r="K407" i="1"/>
  <c r="J407" i="1"/>
  <c r="I407" i="1"/>
  <c r="H407" i="1"/>
  <c r="AZ406" i="1"/>
  <c r="AY406" i="1"/>
  <c r="AX406" i="1"/>
  <c r="AW406" i="1"/>
  <c r="AV406" i="1"/>
  <c r="AU406" i="1"/>
  <c r="AT406" i="1"/>
  <c r="AS406" i="1"/>
  <c r="AR406" i="1"/>
  <c r="AQ406" i="1"/>
  <c r="AP406" i="1"/>
  <c r="AG406" i="1"/>
  <c r="W406" i="1"/>
  <c r="V406" i="1"/>
  <c r="U406" i="1"/>
  <c r="T406" i="1"/>
  <c r="S406" i="1"/>
  <c r="R406" i="1"/>
  <c r="Q406" i="1"/>
  <c r="P406" i="1"/>
  <c r="O406" i="1"/>
  <c r="N406" i="1"/>
  <c r="M406" i="1"/>
  <c r="L406" i="1"/>
  <c r="C406" i="1" s="1"/>
  <c r="K406" i="1"/>
  <c r="J406" i="1"/>
  <c r="I406" i="1"/>
  <c r="H406" i="1"/>
  <c r="AZ405" i="1"/>
  <c r="AY405" i="1"/>
  <c r="AX405" i="1"/>
  <c r="AW405" i="1"/>
  <c r="AV405" i="1"/>
  <c r="AU405" i="1"/>
  <c r="AT405" i="1"/>
  <c r="AS405" i="1"/>
  <c r="AR405" i="1"/>
  <c r="AQ405" i="1"/>
  <c r="AP405" i="1"/>
  <c r="AH405" i="1"/>
  <c r="AG405" i="1"/>
  <c r="W405" i="1"/>
  <c r="V405" i="1"/>
  <c r="U405" i="1"/>
  <c r="T405" i="1"/>
  <c r="S405" i="1"/>
  <c r="R405" i="1"/>
  <c r="Q405" i="1"/>
  <c r="P405" i="1"/>
  <c r="O405" i="1"/>
  <c r="N405" i="1"/>
  <c r="M405" i="1"/>
  <c r="L405" i="1"/>
  <c r="K405" i="1"/>
  <c r="J405" i="1"/>
  <c r="I405" i="1"/>
  <c r="H405" i="1"/>
  <c r="AZ404" i="1"/>
  <c r="AY404" i="1"/>
  <c r="AX404" i="1"/>
  <c r="AW404" i="1"/>
  <c r="AV404" i="1"/>
  <c r="AU404" i="1"/>
  <c r="AT404" i="1"/>
  <c r="AS404" i="1"/>
  <c r="AR404" i="1"/>
  <c r="AQ404" i="1"/>
  <c r="AP404" i="1"/>
  <c r="AH404" i="1"/>
  <c r="AG404" i="1"/>
  <c r="W404" i="1"/>
  <c r="V404" i="1"/>
  <c r="U404" i="1"/>
  <c r="T404" i="1"/>
  <c r="S404" i="1"/>
  <c r="R404" i="1"/>
  <c r="Q404" i="1"/>
  <c r="P404" i="1"/>
  <c r="O404" i="1"/>
  <c r="N404" i="1"/>
  <c r="M404" i="1"/>
  <c r="L404" i="1"/>
  <c r="K404" i="1"/>
  <c r="J404" i="1"/>
  <c r="I404" i="1"/>
  <c r="H404" i="1"/>
  <c r="AZ403" i="1"/>
  <c r="AY403" i="1"/>
  <c r="AX403" i="1"/>
  <c r="AW403" i="1"/>
  <c r="AV403" i="1"/>
  <c r="AU403" i="1"/>
  <c r="AT403" i="1"/>
  <c r="AS403" i="1"/>
  <c r="AR403" i="1"/>
  <c r="AQ403" i="1"/>
  <c r="AP403" i="1"/>
  <c r="AH403" i="1"/>
  <c r="AG403" i="1"/>
  <c r="W403" i="1"/>
  <c r="V403" i="1"/>
  <c r="U403" i="1"/>
  <c r="T403" i="1"/>
  <c r="S403" i="1"/>
  <c r="R403" i="1"/>
  <c r="Q403" i="1"/>
  <c r="P403" i="1"/>
  <c r="O403" i="1"/>
  <c r="N403" i="1"/>
  <c r="M403" i="1"/>
  <c r="L403" i="1"/>
  <c r="C403" i="1" s="1"/>
  <c r="K403" i="1"/>
  <c r="J403" i="1"/>
  <c r="I403" i="1"/>
  <c r="H403" i="1"/>
  <c r="AZ402" i="1"/>
  <c r="AY402" i="1"/>
  <c r="AX402" i="1"/>
  <c r="AW402" i="1"/>
  <c r="AV402" i="1"/>
  <c r="AU402" i="1"/>
  <c r="AT402" i="1"/>
  <c r="AS402" i="1"/>
  <c r="AR402" i="1"/>
  <c r="AQ402" i="1"/>
  <c r="AP402" i="1"/>
  <c r="AI402" i="1"/>
  <c r="AH402" i="1"/>
  <c r="AG402" i="1"/>
  <c r="W402" i="1"/>
  <c r="V402" i="1"/>
  <c r="U402" i="1"/>
  <c r="T402" i="1"/>
  <c r="S402" i="1"/>
  <c r="R402" i="1"/>
  <c r="Q402" i="1"/>
  <c r="P402" i="1"/>
  <c r="O402" i="1"/>
  <c r="N402" i="1"/>
  <c r="M402" i="1"/>
  <c r="L402" i="1"/>
  <c r="K402" i="1"/>
  <c r="J402" i="1"/>
  <c r="I402" i="1"/>
  <c r="H402" i="1"/>
  <c r="AZ401" i="1"/>
  <c r="AY401" i="1"/>
  <c r="AX401" i="1"/>
  <c r="AW401" i="1"/>
  <c r="AV401" i="1"/>
  <c r="AU401" i="1"/>
  <c r="AT401" i="1"/>
  <c r="AS401" i="1"/>
  <c r="AR401" i="1"/>
  <c r="AQ401" i="1"/>
  <c r="AP401" i="1"/>
  <c r="AI401" i="1"/>
  <c r="AH401" i="1"/>
  <c r="AG401" i="1"/>
  <c r="W401" i="1"/>
  <c r="V401" i="1"/>
  <c r="U401" i="1"/>
  <c r="T401" i="1"/>
  <c r="S401" i="1"/>
  <c r="R401" i="1"/>
  <c r="Q401" i="1"/>
  <c r="P401" i="1"/>
  <c r="O401" i="1"/>
  <c r="N401" i="1"/>
  <c r="M401" i="1"/>
  <c r="L401" i="1"/>
  <c r="K401" i="1"/>
  <c r="J401" i="1"/>
  <c r="I401" i="1"/>
  <c r="H401" i="1"/>
  <c r="AZ400" i="1"/>
  <c r="AY400" i="1"/>
  <c r="AX400" i="1"/>
  <c r="AW400" i="1"/>
  <c r="AV400" i="1"/>
  <c r="AU400" i="1"/>
  <c r="AT400" i="1"/>
  <c r="AS400" i="1"/>
  <c r="AR400" i="1"/>
  <c r="AQ400" i="1"/>
  <c r="AP400" i="1"/>
  <c r="AI400" i="1"/>
  <c r="AH400" i="1"/>
  <c r="AG400" i="1"/>
  <c r="W400" i="1"/>
  <c r="V400" i="1"/>
  <c r="U400" i="1"/>
  <c r="T400" i="1"/>
  <c r="S400" i="1"/>
  <c r="R400" i="1"/>
  <c r="Q400" i="1"/>
  <c r="P400" i="1"/>
  <c r="O400" i="1"/>
  <c r="N400" i="1"/>
  <c r="M400" i="1"/>
  <c r="L400" i="1"/>
  <c r="K400" i="1"/>
  <c r="J400" i="1"/>
  <c r="I400" i="1"/>
  <c r="H400" i="1"/>
  <c r="AZ399" i="1"/>
  <c r="AY399" i="1"/>
  <c r="AX399" i="1"/>
  <c r="AW399" i="1"/>
  <c r="AV399" i="1"/>
  <c r="AU399" i="1"/>
  <c r="AT399" i="1"/>
  <c r="AS399" i="1"/>
  <c r="AR399" i="1"/>
  <c r="AQ399" i="1"/>
  <c r="AP399" i="1"/>
  <c r="AH399" i="1"/>
  <c r="AG399" i="1"/>
  <c r="W399" i="1"/>
  <c r="V399" i="1"/>
  <c r="U399" i="1"/>
  <c r="T399" i="1"/>
  <c r="S399" i="1"/>
  <c r="R399" i="1"/>
  <c r="Q399" i="1"/>
  <c r="P399" i="1"/>
  <c r="O399" i="1"/>
  <c r="N399" i="1"/>
  <c r="M399" i="1"/>
  <c r="L399" i="1"/>
  <c r="K399" i="1"/>
  <c r="J399" i="1"/>
  <c r="I399" i="1"/>
  <c r="H399" i="1"/>
  <c r="AZ398" i="1"/>
  <c r="AY398" i="1"/>
  <c r="AX398" i="1"/>
  <c r="AW398" i="1"/>
  <c r="AV398" i="1"/>
  <c r="AU398" i="1"/>
  <c r="AT398" i="1"/>
  <c r="AS398" i="1"/>
  <c r="AR398" i="1"/>
  <c r="AQ398" i="1"/>
  <c r="AP398" i="1"/>
  <c r="AI398" i="1"/>
  <c r="AH398" i="1"/>
  <c r="AG398" i="1"/>
  <c r="W398" i="1"/>
  <c r="V398" i="1"/>
  <c r="U398" i="1"/>
  <c r="T398" i="1"/>
  <c r="S398" i="1"/>
  <c r="R398" i="1"/>
  <c r="Q398" i="1"/>
  <c r="P398" i="1"/>
  <c r="O398" i="1"/>
  <c r="N398" i="1"/>
  <c r="M398" i="1"/>
  <c r="L398" i="1"/>
  <c r="K398" i="1"/>
  <c r="J398" i="1"/>
  <c r="I398" i="1"/>
  <c r="H398" i="1"/>
  <c r="AZ397" i="1"/>
  <c r="AY397" i="1"/>
  <c r="AX397" i="1"/>
  <c r="AW397" i="1"/>
  <c r="AV397" i="1"/>
  <c r="AU397" i="1"/>
  <c r="AT397" i="1"/>
  <c r="AS397" i="1"/>
  <c r="AR397" i="1"/>
  <c r="AQ397" i="1"/>
  <c r="AP397" i="1"/>
  <c r="AI397" i="1"/>
  <c r="AH397" i="1"/>
  <c r="AG397" i="1"/>
  <c r="W397" i="1"/>
  <c r="V397" i="1"/>
  <c r="U397" i="1"/>
  <c r="T397" i="1"/>
  <c r="S397" i="1"/>
  <c r="R397" i="1"/>
  <c r="Q397" i="1"/>
  <c r="P397" i="1"/>
  <c r="O397" i="1"/>
  <c r="N397" i="1"/>
  <c r="M397" i="1"/>
  <c r="L397" i="1"/>
  <c r="K397" i="1"/>
  <c r="J397" i="1"/>
  <c r="I397" i="1"/>
  <c r="H397" i="1"/>
  <c r="AZ396" i="1"/>
  <c r="AY396" i="1"/>
  <c r="AX396" i="1"/>
  <c r="AW396" i="1"/>
  <c r="AV396" i="1"/>
  <c r="AU396" i="1"/>
  <c r="AT396" i="1"/>
  <c r="AS396" i="1"/>
  <c r="AR396" i="1"/>
  <c r="AQ396" i="1"/>
  <c r="AP396" i="1"/>
  <c r="AI396" i="1"/>
  <c r="AH396" i="1"/>
  <c r="AG396" i="1"/>
  <c r="W396" i="1"/>
  <c r="V396" i="1"/>
  <c r="U396" i="1"/>
  <c r="T396" i="1"/>
  <c r="S396" i="1"/>
  <c r="R396" i="1"/>
  <c r="Q396" i="1"/>
  <c r="P396" i="1"/>
  <c r="O396" i="1"/>
  <c r="N396" i="1"/>
  <c r="M396" i="1"/>
  <c r="L396" i="1"/>
  <c r="K396" i="1"/>
  <c r="J396" i="1"/>
  <c r="I396" i="1"/>
  <c r="H396" i="1"/>
  <c r="AZ395" i="1"/>
  <c r="AY395" i="1"/>
  <c r="AX395" i="1"/>
  <c r="AW395" i="1"/>
  <c r="AV395" i="1"/>
  <c r="AU395" i="1"/>
  <c r="AT395" i="1"/>
  <c r="AS395" i="1"/>
  <c r="AR395" i="1"/>
  <c r="AQ395" i="1"/>
  <c r="AP395" i="1"/>
  <c r="AI395" i="1"/>
  <c r="AH395" i="1"/>
  <c r="AG395" i="1"/>
  <c r="W395" i="1"/>
  <c r="V395" i="1"/>
  <c r="U395" i="1"/>
  <c r="T395" i="1"/>
  <c r="S395" i="1"/>
  <c r="R395" i="1"/>
  <c r="Q395" i="1"/>
  <c r="P395" i="1"/>
  <c r="O395" i="1"/>
  <c r="N395" i="1"/>
  <c r="M395" i="1"/>
  <c r="L395" i="1"/>
  <c r="K395" i="1"/>
  <c r="J395" i="1"/>
  <c r="I395" i="1"/>
  <c r="H395" i="1"/>
  <c r="AZ394" i="1"/>
  <c r="AY394" i="1"/>
  <c r="AX394" i="1"/>
  <c r="AW394" i="1"/>
  <c r="AV394" i="1"/>
  <c r="AU394" i="1"/>
  <c r="AT394" i="1"/>
  <c r="AS394" i="1"/>
  <c r="AR394" i="1"/>
  <c r="AQ394" i="1"/>
  <c r="AP394" i="1"/>
  <c r="AI394" i="1"/>
  <c r="AH394" i="1"/>
  <c r="AG394" i="1"/>
  <c r="W394" i="1"/>
  <c r="V394" i="1"/>
  <c r="U394" i="1"/>
  <c r="T394" i="1"/>
  <c r="S394" i="1"/>
  <c r="R394" i="1"/>
  <c r="Q394" i="1"/>
  <c r="P394" i="1"/>
  <c r="O394" i="1"/>
  <c r="N394" i="1"/>
  <c r="M394" i="1"/>
  <c r="L394" i="1"/>
  <c r="K394" i="1"/>
  <c r="J394" i="1"/>
  <c r="I394" i="1"/>
  <c r="H394" i="1"/>
  <c r="AZ393" i="1"/>
  <c r="AY393" i="1"/>
  <c r="AX393" i="1"/>
  <c r="AW393" i="1"/>
  <c r="AV393" i="1"/>
  <c r="AU393" i="1"/>
  <c r="AT393" i="1"/>
  <c r="AS393" i="1"/>
  <c r="AR393" i="1"/>
  <c r="AQ393" i="1"/>
  <c r="AP393" i="1"/>
  <c r="AI393" i="1"/>
  <c r="AH393" i="1"/>
  <c r="AG393" i="1"/>
  <c r="W393" i="1"/>
  <c r="V393" i="1"/>
  <c r="U393" i="1"/>
  <c r="T393" i="1"/>
  <c r="S393" i="1"/>
  <c r="R393" i="1"/>
  <c r="Q393" i="1"/>
  <c r="P393" i="1"/>
  <c r="O393" i="1"/>
  <c r="N393" i="1"/>
  <c r="M393" i="1"/>
  <c r="L393" i="1"/>
  <c r="K393" i="1"/>
  <c r="J393" i="1"/>
  <c r="I393" i="1"/>
  <c r="H393" i="1"/>
  <c r="AZ392" i="1"/>
  <c r="AY392" i="1"/>
  <c r="AX392" i="1"/>
  <c r="AW392" i="1"/>
  <c r="AV392" i="1"/>
  <c r="AU392" i="1"/>
  <c r="AT392" i="1"/>
  <c r="AS392" i="1"/>
  <c r="AR392" i="1"/>
  <c r="AQ392" i="1"/>
  <c r="AP392" i="1"/>
  <c r="AI392" i="1"/>
  <c r="AH392" i="1"/>
  <c r="AG392" i="1"/>
  <c r="W392" i="1"/>
  <c r="V392" i="1"/>
  <c r="U392" i="1"/>
  <c r="T392" i="1"/>
  <c r="S392" i="1"/>
  <c r="R392" i="1"/>
  <c r="Q392" i="1"/>
  <c r="P392" i="1"/>
  <c r="O392" i="1"/>
  <c r="N392" i="1"/>
  <c r="M392" i="1"/>
  <c r="L392" i="1"/>
  <c r="K392" i="1"/>
  <c r="J392" i="1"/>
  <c r="I392" i="1"/>
  <c r="H392" i="1"/>
  <c r="AZ391" i="1"/>
  <c r="AY391" i="1"/>
  <c r="AX391" i="1"/>
  <c r="AW391" i="1"/>
  <c r="AV391" i="1"/>
  <c r="AU391" i="1"/>
  <c r="AT391" i="1"/>
  <c r="AS391" i="1"/>
  <c r="AR391" i="1"/>
  <c r="AQ391" i="1"/>
  <c r="AP391" i="1"/>
  <c r="AI391" i="1"/>
  <c r="AH391" i="1"/>
  <c r="AG391" i="1"/>
  <c r="W391" i="1"/>
  <c r="V391" i="1"/>
  <c r="U391" i="1"/>
  <c r="T391" i="1"/>
  <c r="S391" i="1"/>
  <c r="R391" i="1"/>
  <c r="Q391" i="1"/>
  <c r="P391" i="1"/>
  <c r="O391" i="1"/>
  <c r="N391" i="1"/>
  <c r="M391" i="1"/>
  <c r="L391" i="1"/>
  <c r="K391" i="1"/>
  <c r="J391" i="1"/>
  <c r="I391" i="1"/>
  <c r="H391" i="1"/>
  <c r="AZ390" i="1"/>
  <c r="AY390" i="1"/>
  <c r="AX390" i="1"/>
  <c r="AW390" i="1"/>
  <c r="AV390" i="1"/>
  <c r="AU390" i="1"/>
  <c r="AT390" i="1"/>
  <c r="AS390" i="1"/>
  <c r="AR390" i="1"/>
  <c r="AQ390" i="1"/>
  <c r="AP390" i="1"/>
  <c r="AH390" i="1"/>
  <c r="AG390" i="1"/>
  <c r="W390" i="1"/>
  <c r="V390" i="1"/>
  <c r="U390" i="1"/>
  <c r="T390" i="1"/>
  <c r="S390" i="1"/>
  <c r="R390" i="1"/>
  <c r="Q390" i="1"/>
  <c r="P390" i="1"/>
  <c r="O390" i="1"/>
  <c r="N390" i="1"/>
  <c r="M390" i="1"/>
  <c r="L390" i="1"/>
  <c r="K390" i="1"/>
  <c r="J390" i="1"/>
  <c r="I390" i="1"/>
  <c r="H390" i="1"/>
  <c r="X390" i="1" s="1"/>
  <c r="AZ389" i="1"/>
  <c r="AY389" i="1"/>
  <c r="AX389" i="1"/>
  <c r="AW389" i="1"/>
  <c r="AV389" i="1"/>
  <c r="AU389" i="1"/>
  <c r="AT389" i="1"/>
  <c r="AS389" i="1"/>
  <c r="AR389" i="1"/>
  <c r="AQ389" i="1"/>
  <c r="AP389" i="1"/>
  <c r="AI389" i="1"/>
  <c r="AH389" i="1"/>
  <c r="AG389" i="1"/>
  <c r="W389" i="1"/>
  <c r="V389" i="1"/>
  <c r="U389" i="1"/>
  <c r="T389" i="1"/>
  <c r="S389" i="1"/>
  <c r="R389" i="1"/>
  <c r="Q389" i="1"/>
  <c r="P389" i="1"/>
  <c r="O389" i="1"/>
  <c r="N389" i="1"/>
  <c r="M389" i="1"/>
  <c r="L389" i="1"/>
  <c r="K389" i="1"/>
  <c r="J389" i="1"/>
  <c r="I389" i="1"/>
  <c r="H389" i="1"/>
  <c r="AZ388" i="1"/>
  <c r="AY388" i="1"/>
  <c r="AX388" i="1"/>
  <c r="AW388" i="1"/>
  <c r="AV388" i="1"/>
  <c r="AU388" i="1"/>
  <c r="AT388" i="1"/>
  <c r="AS388" i="1"/>
  <c r="AR388" i="1"/>
  <c r="AQ388" i="1"/>
  <c r="AP388" i="1"/>
  <c r="AI388" i="1"/>
  <c r="AH388" i="1"/>
  <c r="AG388" i="1"/>
  <c r="W388" i="1"/>
  <c r="V388" i="1"/>
  <c r="U388" i="1"/>
  <c r="T388" i="1"/>
  <c r="S388" i="1"/>
  <c r="R388" i="1"/>
  <c r="Q388" i="1"/>
  <c r="P388" i="1"/>
  <c r="O388" i="1"/>
  <c r="N388" i="1"/>
  <c r="M388" i="1"/>
  <c r="L388" i="1"/>
  <c r="K388" i="1"/>
  <c r="J388" i="1"/>
  <c r="I388" i="1"/>
  <c r="H388" i="1"/>
  <c r="AZ387" i="1"/>
  <c r="AY387" i="1"/>
  <c r="AX387" i="1"/>
  <c r="AW387" i="1"/>
  <c r="AV387" i="1"/>
  <c r="AU387" i="1"/>
  <c r="AT387" i="1"/>
  <c r="AS387" i="1"/>
  <c r="AR387" i="1"/>
  <c r="AQ387" i="1"/>
  <c r="AP387" i="1"/>
  <c r="AI387" i="1"/>
  <c r="AH387" i="1"/>
  <c r="AG387" i="1"/>
  <c r="W387" i="1"/>
  <c r="V387" i="1"/>
  <c r="U387" i="1"/>
  <c r="T387" i="1"/>
  <c r="S387" i="1"/>
  <c r="R387" i="1"/>
  <c r="Q387" i="1"/>
  <c r="P387" i="1"/>
  <c r="O387" i="1"/>
  <c r="N387" i="1"/>
  <c r="M387" i="1"/>
  <c r="L387" i="1"/>
  <c r="K387" i="1"/>
  <c r="J387" i="1"/>
  <c r="I387" i="1"/>
  <c r="H387" i="1"/>
  <c r="AZ386" i="1"/>
  <c r="AY386" i="1"/>
  <c r="AX386" i="1"/>
  <c r="AW386" i="1"/>
  <c r="AV386" i="1"/>
  <c r="AU386" i="1"/>
  <c r="AT386" i="1"/>
  <c r="AS386" i="1"/>
  <c r="AR386" i="1"/>
  <c r="AQ386" i="1"/>
  <c r="AP386" i="1"/>
  <c r="AI386" i="1"/>
  <c r="AH386" i="1"/>
  <c r="AG386" i="1"/>
  <c r="W386" i="1"/>
  <c r="V386" i="1"/>
  <c r="U386" i="1"/>
  <c r="T386" i="1"/>
  <c r="S386" i="1"/>
  <c r="R386" i="1"/>
  <c r="Q386" i="1"/>
  <c r="P386" i="1"/>
  <c r="O386" i="1"/>
  <c r="N386" i="1"/>
  <c r="M386" i="1"/>
  <c r="L386" i="1"/>
  <c r="K386" i="1"/>
  <c r="J386" i="1"/>
  <c r="I386" i="1"/>
  <c r="H386" i="1"/>
  <c r="X386" i="1" s="1"/>
  <c r="AZ385" i="1"/>
  <c r="AY385" i="1"/>
  <c r="AX385" i="1"/>
  <c r="AW385" i="1"/>
  <c r="AV385" i="1"/>
  <c r="AU385" i="1"/>
  <c r="AT385" i="1"/>
  <c r="AS385" i="1"/>
  <c r="AR385" i="1"/>
  <c r="AQ385" i="1"/>
  <c r="AP385" i="1"/>
  <c r="AI385" i="1"/>
  <c r="AH385" i="1"/>
  <c r="AG385" i="1"/>
  <c r="W385" i="1"/>
  <c r="V385" i="1"/>
  <c r="U385" i="1"/>
  <c r="T385" i="1"/>
  <c r="S385" i="1"/>
  <c r="R385" i="1"/>
  <c r="Q385" i="1"/>
  <c r="P385" i="1"/>
  <c r="O385" i="1"/>
  <c r="N385" i="1"/>
  <c r="M385" i="1"/>
  <c r="L385" i="1"/>
  <c r="K385" i="1"/>
  <c r="J385" i="1"/>
  <c r="I385" i="1"/>
  <c r="H385" i="1"/>
  <c r="AZ384" i="1"/>
  <c r="AY384" i="1"/>
  <c r="AX384" i="1"/>
  <c r="AW384" i="1"/>
  <c r="AV384" i="1"/>
  <c r="AU384" i="1"/>
  <c r="AT384" i="1"/>
  <c r="AS384" i="1"/>
  <c r="AR384" i="1"/>
  <c r="AQ384" i="1"/>
  <c r="AP384" i="1"/>
  <c r="AI384" i="1"/>
  <c r="AH384" i="1"/>
  <c r="AG384" i="1"/>
  <c r="W384" i="1"/>
  <c r="V384" i="1"/>
  <c r="U384" i="1"/>
  <c r="T384" i="1"/>
  <c r="S384" i="1"/>
  <c r="R384" i="1"/>
  <c r="Q384" i="1"/>
  <c r="P384" i="1"/>
  <c r="O384" i="1"/>
  <c r="N384" i="1"/>
  <c r="M384" i="1"/>
  <c r="L384" i="1"/>
  <c r="K384" i="1"/>
  <c r="J384" i="1"/>
  <c r="I384" i="1"/>
  <c r="H384" i="1"/>
  <c r="AZ383" i="1"/>
  <c r="AY383" i="1"/>
  <c r="AX383" i="1"/>
  <c r="AW383" i="1"/>
  <c r="AV383" i="1"/>
  <c r="AU383" i="1"/>
  <c r="AT383" i="1"/>
  <c r="AS383" i="1"/>
  <c r="AR383" i="1"/>
  <c r="AQ383" i="1"/>
  <c r="AP383" i="1"/>
  <c r="AI383" i="1"/>
  <c r="AH383" i="1"/>
  <c r="AG383" i="1"/>
  <c r="W383" i="1"/>
  <c r="V383" i="1"/>
  <c r="U383" i="1"/>
  <c r="T383" i="1"/>
  <c r="S383" i="1"/>
  <c r="R383" i="1"/>
  <c r="Q383" i="1"/>
  <c r="P383" i="1"/>
  <c r="O383" i="1"/>
  <c r="N383" i="1"/>
  <c r="M383" i="1"/>
  <c r="L383" i="1"/>
  <c r="K383" i="1"/>
  <c r="J383" i="1"/>
  <c r="I383" i="1"/>
  <c r="H383" i="1"/>
  <c r="AZ382" i="1"/>
  <c r="AY382" i="1"/>
  <c r="AX382" i="1"/>
  <c r="AW382" i="1"/>
  <c r="AV382" i="1"/>
  <c r="AU382" i="1"/>
  <c r="AT382" i="1"/>
  <c r="AS382" i="1"/>
  <c r="AR382" i="1"/>
  <c r="AQ382" i="1"/>
  <c r="AP382" i="1"/>
  <c r="AH382" i="1"/>
  <c r="AG382" i="1"/>
  <c r="W382" i="1"/>
  <c r="V382" i="1"/>
  <c r="U382" i="1"/>
  <c r="T382" i="1"/>
  <c r="S382" i="1"/>
  <c r="R382" i="1"/>
  <c r="Q382" i="1"/>
  <c r="P382" i="1"/>
  <c r="O382" i="1"/>
  <c r="N382" i="1"/>
  <c r="M382" i="1"/>
  <c r="L382" i="1"/>
  <c r="K382" i="1"/>
  <c r="J382" i="1"/>
  <c r="I382" i="1"/>
  <c r="H382" i="1"/>
  <c r="AZ381" i="1"/>
  <c r="AY381" i="1"/>
  <c r="AX381" i="1"/>
  <c r="AW381" i="1"/>
  <c r="AV381" i="1"/>
  <c r="AU381" i="1"/>
  <c r="AT381" i="1"/>
  <c r="AS381" i="1"/>
  <c r="AR381" i="1"/>
  <c r="AQ381" i="1"/>
  <c r="AP381" i="1"/>
  <c r="AI381" i="1"/>
  <c r="AH381" i="1"/>
  <c r="AG381" i="1"/>
  <c r="W381" i="1"/>
  <c r="V381" i="1"/>
  <c r="U381" i="1"/>
  <c r="T381" i="1"/>
  <c r="S381" i="1"/>
  <c r="R381" i="1"/>
  <c r="Q381" i="1"/>
  <c r="P381" i="1"/>
  <c r="O381" i="1"/>
  <c r="N381" i="1"/>
  <c r="M381" i="1"/>
  <c r="L381" i="1"/>
  <c r="K381" i="1"/>
  <c r="J381" i="1"/>
  <c r="I381" i="1"/>
  <c r="H381" i="1"/>
  <c r="AZ380" i="1"/>
  <c r="AY380" i="1"/>
  <c r="AX380" i="1"/>
  <c r="AW380" i="1"/>
  <c r="AV380" i="1"/>
  <c r="AU380" i="1"/>
  <c r="AT380" i="1"/>
  <c r="AS380" i="1"/>
  <c r="AR380" i="1"/>
  <c r="AQ380" i="1"/>
  <c r="AP380" i="1"/>
  <c r="AI380" i="1"/>
  <c r="AH380" i="1"/>
  <c r="AG380" i="1"/>
  <c r="W380" i="1"/>
  <c r="V380" i="1"/>
  <c r="U380" i="1"/>
  <c r="T380" i="1"/>
  <c r="S380" i="1"/>
  <c r="R380" i="1"/>
  <c r="Q380" i="1"/>
  <c r="P380" i="1"/>
  <c r="O380" i="1"/>
  <c r="N380" i="1"/>
  <c r="M380" i="1"/>
  <c r="L380" i="1"/>
  <c r="K380" i="1"/>
  <c r="J380" i="1"/>
  <c r="I380" i="1"/>
  <c r="H380" i="1"/>
  <c r="AZ379" i="1"/>
  <c r="AY379" i="1"/>
  <c r="AX379" i="1"/>
  <c r="AW379" i="1"/>
  <c r="AV379" i="1"/>
  <c r="AU379" i="1"/>
  <c r="AT379" i="1"/>
  <c r="AS379" i="1"/>
  <c r="AR379" i="1"/>
  <c r="AQ379" i="1"/>
  <c r="AP379" i="1"/>
  <c r="AH379" i="1"/>
  <c r="AG379" i="1"/>
  <c r="W379" i="1"/>
  <c r="V379" i="1"/>
  <c r="U379" i="1"/>
  <c r="T379" i="1"/>
  <c r="S379" i="1"/>
  <c r="R379" i="1"/>
  <c r="Q379" i="1"/>
  <c r="P379" i="1"/>
  <c r="O379" i="1"/>
  <c r="N379" i="1"/>
  <c r="M379" i="1"/>
  <c r="L379" i="1"/>
  <c r="K379" i="1"/>
  <c r="J379" i="1"/>
  <c r="I379" i="1"/>
  <c r="H379" i="1"/>
  <c r="AZ378" i="1"/>
  <c r="AY378" i="1"/>
  <c r="AX378" i="1"/>
  <c r="AW378" i="1"/>
  <c r="AV378" i="1"/>
  <c r="AU378" i="1"/>
  <c r="AT378" i="1"/>
  <c r="AS378" i="1"/>
  <c r="AR378" i="1"/>
  <c r="AQ378" i="1"/>
  <c r="AP378" i="1"/>
  <c r="W378" i="1"/>
  <c r="V378" i="1"/>
  <c r="U378" i="1"/>
  <c r="T378" i="1"/>
  <c r="S378" i="1"/>
  <c r="R378" i="1"/>
  <c r="Q378" i="1"/>
  <c r="P378" i="1"/>
  <c r="O378" i="1"/>
  <c r="N378" i="1"/>
  <c r="M378" i="1"/>
  <c r="L378" i="1"/>
  <c r="K378" i="1"/>
  <c r="J378" i="1"/>
  <c r="I378" i="1"/>
  <c r="H378" i="1"/>
  <c r="AZ377" i="1"/>
  <c r="AY377" i="1"/>
  <c r="AX377" i="1"/>
  <c r="AW377" i="1"/>
  <c r="AV377" i="1"/>
  <c r="AU377" i="1"/>
  <c r="AT377" i="1"/>
  <c r="AS377" i="1"/>
  <c r="AR377" i="1"/>
  <c r="AQ377" i="1"/>
  <c r="AP377" i="1"/>
  <c r="AH377" i="1"/>
  <c r="AG377" i="1"/>
  <c r="W377" i="1"/>
  <c r="V377" i="1"/>
  <c r="U377" i="1"/>
  <c r="T377" i="1"/>
  <c r="S377" i="1"/>
  <c r="R377" i="1"/>
  <c r="Q377" i="1"/>
  <c r="P377" i="1"/>
  <c r="O377" i="1"/>
  <c r="N377" i="1"/>
  <c r="M377" i="1"/>
  <c r="L377" i="1"/>
  <c r="K377" i="1"/>
  <c r="J377" i="1"/>
  <c r="I377" i="1"/>
  <c r="H377" i="1"/>
  <c r="AZ376" i="1"/>
  <c r="AY376" i="1"/>
  <c r="AX376" i="1"/>
  <c r="AW376" i="1"/>
  <c r="AV376" i="1"/>
  <c r="AU376" i="1"/>
  <c r="AT376" i="1"/>
  <c r="AS376" i="1"/>
  <c r="AR376" i="1"/>
  <c r="AQ376" i="1"/>
  <c r="AP376" i="1"/>
  <c r="AH376" i="1"/>
  <c r="AG376" i="1"/>
  <c r="W376" i="1"/>
  <c r="V376" i="1"/>
  <c r="U376" i="1"/>
  <c r="T376" i="1"/>
  <c r="S376" i="1"/>
  <c r="R376" i="1"/>
  <c r="Q376" i="1"/>
  <c r="P376" i="1"/>
  <c r="O376" i="1"/>
  <c r="N376" i="1"/>
  <c r="M376" i="1"/>
  <c r="L376" i="1"/>
  <c r="K376" i="1"/>
  <c r="J376" i="1"/>
  <c r="I376" i="1"/>
  <c r="H376" i="1"/>
  <c r="AZ375" i="1"/>
  <c r="AY375" i="1"/>
  <c r="AX375" i="1"/>
  <c r="AW375" i="1"/>
  <c r="AV375" i="1"/>
  <c r="AU375" i="1"/>
  <c r="AT375" i="1"/>
  <c r="AS375" i="1"/>
  <c r="AR375" i="1"/>
  <c r="AQ375" i="1"/>
  <c r="AP375" i="1"/>
  <c r="AI375" i="1"/>
  <c r="AH375" i="1"/>
  <c r="AG375" i="1"/>
  <c r="W375" i="1"/>
  <c r="V375" i="1"/>
  <c r="U375" i="1"/>
  <c r="T375" i="1"/>
  <c r="S375" i="1"/>
  <c r="R375" i="1"/>
  <c r="Q375" i="1"/>
  <c r="P375" i="1"/>
  <c r="O375" i="1"/>
  <c r="N375" i="1"/>
  <c r="M375" i="1"/>
  <c r="L375" i="1"/>
  <c r="K375" i="1"/>
  <c r="J375" i="1"/>
  <c r="I375" i="1"/>
  <c r="H375" i="1"/>
  <c r="AZ374" i="1"/>
  <c r="AY374" i="1"/>
  <c r="AX374" i="1"/>
  <c r="AW374" i="1"/>
  <c r="AV374" i="1"/>
  <c r="AU374" i="1"/>
  <c r="AT374" i="1"/>
  <c r="AS374" i="1"/>
  <c r="AR374" i="1"/>
  <c r="AQ374" i="1"/>
  <c r="AP374" i="1"/>
  <c r="AI374" i="1"/>
  <c r="AH374" i="1"/>
  <c r="AG374" i="1"/>
  <c r="W374" i="1"/>
  <c r="V374" i="1"/>
  <c r="U374" i="1"/>
  <c r="T374" i="1"/>
  <c r="S374" i="1"/>
  <c r="R374" i="1"/>
  <c r="Q374" i="1"/>
  <c r="P374" i="1"/>
  <c r="O374" i="1"/>
  <c r="N374" i="1"/>
  <c r="M374" i="1"/>
  <c r="L374" i="1"/>
  <c r="K374" i="1"/>
  <c r="J374" i="1"/>
  <c r="I374" i="1"/>
  <c r="H374" i="1"/>
  <c r="AZ373" i="1"/>
  <c r="AY373" i="1"/>
  <c r="AX373" i="1"/>
  <c r="AW373" i="1"/>
  <c r="AV373" i="1"/>
  <c r="AU373" i="1"/>
  <c r="AT373" i="1"/>
  <c r="AS373" i="1"/>
  <c r="AR373" i="1"/>
  <c r="AQ373" i="1"/>
  <c r="AP373" i="1"/>
  <c r="AI373" i="1"/>
  <c r="AH373" i="1"/>
  <c r="AG373" i="1"/>
  <c r="W373" i="1"/>
  <c r="V373" i="1"/>
  <c r="U373" i="1"/>
  <c r="T373" i="1"/>
  <c r="S373" i="1"/>
  <c r="R373" i="1"/>
  <c r="Q373" i="1"/>
  <c r="P373" i="1"/>
  <c r="O373" i="1"/>
  <c r="N373" i="1"/>
  <c r="M373" i="1"/>
  <c r="L373" i="1"/>
  <c r="K373" i="1"/>
  <c r="J373" i="1"/>
  <c r="I373" i="1"/>
  <c r="H373" i="1"/>
  <c r="AZ372" i="1"/>
  <c r="AY372" i="1"/>
  <c r="AX372" i="1"/>
  <c r="AW372" i="1"/>
  <c r="AV372" i="1"/>
  <c r="AU372" i="1"/>
  <c r="AT372" i="1"/>
  <c r="AS372" i="1"/>
  <c r="AR372" i="1"/>
  <c r="AQ372" i="1"/>
  <c r="AP372" i="1"/>
  <c r="AH372" i="1"/>
  <c r="AG372" i="1"/>
  <c r="W372" i="1"/>
  <c r="V372" i="1"/>
  <c r="U372" i="1"/>
  <c r="T372" i="1"/>
  <c r="S372" i="1"/>
  <c r="R372" i="1"/>
  <c r="Q372" i="1"/>
  <c r="P372" i="1"/>
  <c r="O372" i="1"/>
  <c r="N372" i="1"/>
  <c r="M372" i="1"/>
  <c r="L372" i="1"/>
  <c r="K372" i="1"/>
  <c r="J372" i="1"/>
  <c r="I372" i="1"/>
  <c r="H372" i="1"/>
  <c r="AZ371" i="1"/>
  <c r="AY371" i="1"/>
  <c r="AX371" i="1"/>
  <c r="AW371" i="1"/>
  <c r="AV371" i="1"/>
  <c r="AU371" i="1"/>
  <c r="AT371" i="1"/>
  <c r="AS371" i="1"/>
  <c r="AR371" i="1"/>
  <c r="AQ371" i="1"/>
  <c r="AP371" i="1"/>
  <c r="AI371" i="1"/>
  <c r="AH371" i="1"/>
  <c r="AG371" i="1"/>
  <c r="W371" i="1"/>
  <c r="V371" i="1"/>
  <c r="U371" i="1"/>
  <c r="T371" i="1"/>
  <c r="S371" i="1"/>
  <c r="R371" i="1"/>
  <c r="Q371" i="1"/>
  <c r="P371" i="1"/>
  <c r="O371" i="1"/>
  <c r="N371" i="1"/>
  <c r="M371" i="1"/>
  <c r="L371" i="1"/>
  <c r="K371" i="1"/>
  <c r="J371" i="1"/>
  <c r="I371" i="1"/>
  <c r="H371" i="1"/>
  <c r="AZ370" i="1"/>
  <c r="AY370" i="1"/>
  <c r="AX370" i="1"/>
  <c r="AW370" i="1"/>
  <c r="AV370" i="1"/>
  <c r="AU370" i="1"/>
  <c r="AT370" i="1"/>
  <c r="AS370" i="1"/>
  <c r="AR370" i="1"/>
  <c r="AQ370" i="1"/>
  <c r="AP370" i="1"/>
  <c r="AI370" i="1"/>
  <c r="AH370" i="1"/>
  <c r="AG370" i="1"/>
  <c r="W370" i="1"/>
  <c r="V370" i="1"/>
  <c r="U370" i="1"/>
  <c r="T370" i="1"/>
  <c r="S370" i="1"/>
  <c r="R370" i="1"/>
  <c r="Q370" i="1"/>
  <c r="P370" i="1"/>
  <c r="O370" i="1"/>
  <c r="N370" i="1"/>
  <c r="M370" i="1"/>
  <c r="L370" i="1"/>
  <c r="K370" i="1"/>
  <c r="J370" i="1"/>
  <c r="I370" i="1"/>
  <c r="H370" i="1"/>
  <c r="AZ369" i="1"/>
  <c r="AY369" i="1"/>
  <c r="AX369" i="1"/>
  <c r="AW369" i="1"/>
  <c r="AV369" i="1"/>
  <c r="AU369" i="1"/>
  <c r="AT369" i="1"/>
  <c r="AS369" i="1"/>
  <c r="AR369" i="1"/>
  <c r="AQ369" i="1"/>
  <c r="AP369" i="1"/>
  <c r="AI369" i="1"/>
  <c r="AH369" i="1"/>
  <c r="AG369" i="1"/>
  <c r="W369" i="1"/>
  <c r="V369" i="1"/>
  <c r="U369" i="1"/>
  <c r="T369" i="1"/>
  <c r="S369" i="1"/>
  <c r="R369" i="1"/>
  <c r="Q369" i="1"/>
  <c r="P369" i="1"/>
  <c r="O369" i="1"/>
  <c r="N369" i="1"/>
  <c r="M369" i="1"/>
  <c r="L369" i="1"/>
  <c r="K369" i="1"/>
  <c r="J369" i="1"/>
  <c r="I369" i="1"/>
  <c r="H369" i="1"/>
  <c r="AZ368" i="1"/>
  <c r="AY368" i="1"/>
  <c r="AX368" i="1"/>
  <c r="AW368" i="1"/>
  <c r="AV368" i="1"/>
  <c r="AU368" i="1"/>
  <c r="AT368" i="1"/>
  <c r="AS368" i="1"/>
  <c r="AR368" i="1"/>
  <c r="AQ368" i="1"/>
  <c r="AP368" i="1"/>
  <c r="AI368" i="1"/>
  <c r="AH368" i="1"/>
  <c r="AG368" i="1"/>
  <c r="W368" i="1"/>
  <c r="V368" i="1"/>
  <c r="U368" i="1"/>
  <c r="T368" i="1"/>
  <c r="S368" i="1"/>
  <c r="R368" i="1"/>
  <c r="Q368" i="1"/>
  <c r="P368" i="1"/>
  <c r="O368" i="1"/>
  <c r="N368" i="1"/>
  <c r="M368" i="1"/>
  <c r="L368" i="1"/>
  <c r="K368" i="1"/>
  <c r="J368" i="1"/>
  <c r="I368" i="1"/>
  <c r="H368" i="1"/>
  <c r="AZ367" i="1"/>
  <c r="AY367" i="1"/>
  <c r="AX367" i="1"/>
  <c r="AW367" i="1"/>
  <c r="AV367" i="1"/>
  <c r="AU367" i="1"/>
  <c r="AT367" i="1"/>
  <c r="AS367" i="1"/>
  <c r="AR367" i="1"/>
  <c r="AQ367" i="1"/>
  <c r="AP367" i="1"/>
  <c r="AI367" i="1"/>
  <c r="AH367" i="1"/>
  <c r="AG367" i="1"/>
  <c r="W367" i="1"/>
  <c r="V367" i="1"/>
  <c r="U367" i="1"/>
  <c r="T367" i="1"/>
  <c r="S367" i="1"/>
  <c r="R367" i="1"/>
  <c r="Q367" i="1"/>
  <c r="P367" i="1"/>
  <c r="O367" i="1"/>
  <c r="N367" i="1"/>
  <c r="M367" i="1"/>
  <c r="L367" i="1"/>
  <c r="K367" i="1"/>
  <c r="J367" i="1"/>
  <c r="I367" i="1"/>
  <c r="H367" i="1"/>
  <c r="AZ366" i="1"/>
  <c r="AY366" i="1"/>
  <c r="AX366" i="1"/>
  <c r="AW366" i="1"/>
  <c r="AV366" i="1"/>
  <c r="AU366" i="1"/>
  <c r="AT366" i="1"/>
  <c r="AS366" i="1"/>
  <c r="AR366" i="1"/>
  <c r="AQ366" i="1"/>
  <c r="AP366" i="1"/>
  <c r="AI366" i="1"/>
  <c r="AH366" i="1"/>
  <c r="AG366" i="1"/>
  <c r="W366" i="1"/>
  <c r="V366" i="1"/>
  <c r="U366" i="1"/>
  <c r="T366" i="1"/>
  <c r="S366" i="1"/>
  <c r="R366" i="1"/>
  <c r="Q366" i="1"/>
  <c r="P366" i="1"/>
  <c r="O366" i="1"/>
  <c r="N366" i="1"/>
  <c r="M366" i="1"/>
  <c r="L366" i="1"/>
  <c r="K366" i="1"/>
  <c r="J366" i="1"/>
  <c r="I366" i="1"/>
  <c r="H366" i="1"/>
  <c r="AZ365" i="1"/>
  <c r="AY365" i="1"/>
  <c r="AX365" i="1"/>
  <c r="AW365" i="1"/>
  <c r="AV365" i="1"/>
  <c r="AU365" i="1"/>
  <c r="AT365" i="1"/>
  <c r="AS365" i="1"/>
  <c r="AR365" i="1"/>
  <c r="AQ365" i="1"/>
  <c r="AP365" i="1"/>
  <c r="AH365" i="1"/>
  <c r="AG365" i="1"/>
  <c r="W365" i="1"/>
  <c r="V365" i="1"/>
  <c r="U365" i="1"/>
  <c r="T365" i="1"/>
  <c r="S365" i="1"/>
  <c r="R365" i="1"/>
  <c r="Q365" i="1"/>
  <c r="P365" i="1"/>
  <c r="O365" i="1"/>
  <c r="N365" i="1"/>
  <c r="M365" i="1"/>
  <c r="L365" i="1"/>
  <c r="K365" i="1"/>
  <c r="J365" i="1"/>
  <c r="I365" i="1"/>
  <c r="H365" i="1"/>
  <c r="X365" i="1" s="1"/>
  <c r="AZ364" i="1"/>
  <c r="AY364" i="1"/>
  <c r="AX364" i="1"/>
  <c r="AW364" i="1"/>
  <c r="AV364" i="1"/>
  <c r="AU364" i="1"/>
  <c r="AT364" i="1"/>
  <c r="AS364" i="1"/>
  <c r="AR364" i="1"/>
  <c r="AQ364" i="1"/>
  <c r="AP364" i="1"/>
  <c r="AH364" i="1"/>
  <c r="AG364" i="1"/>
  <c r="W364" i="1"/>
  <c r="V364" i="1"/>
  <c r="U364" i="1"/>
  <c r="T364" i="1"/>
  <c r="S364" i="1"/>
  <c r="R364" i="1"/>
  <c r="Q364" i="1"/>
  <c r="P364" i="1"/>
  <c r="O364" i="1"/>
  <c r="N364" i="1"/>
  <c r="M364" i="1"/>
  <c r="L364" i="1"/>
  <c r="K364" i="1"/>
  <c r="J364" i="1"/>
  <c r="I364" i="1"/>
  <c r="H364" i="1"/>
  <c r="AZ363" i="1"/>
  <c r="AY363" i="1"/>
  <c r="AX363" i="1"/>
  <c r="AW363" i="1"/>
  <c r="AV363" i="1"/>
  <c r="AU363" i="1"/>
  <c r="AT363" i="1"/>
  <c r="AS363" i="1"/>
  <c r="AR363" i="1"/>
  <c r="AQ363" i="1"/>
  <c r="AP363" i="1"/>
  <c r="AI363" i="1"/>
  <c r="AH363" i="1"/>
  <c r="AG363" i="1"/>
  <c r="W363" i="1"/>
  <c r="V363" i="1"/>
  <c r="U363" i="1"/>
  <c r="T363" i="1"/>
  <c r="S363" i="1"/>
  <c r="R363" i="1"/>
  <c r="Q363" i="1"/>
  <c r="P363" i="1"/>
  <c r="O363" i="1"/>
  <c r="N363" i="1"/>
  <c r="M363" i="1"/>
  <c r="L363" i="1"/>
  <c r="K363" i="1"/>
  <c r="J363" i="1"/>
  <c r="I363" i="1"/>
  <c r="H363" i="1"/>
  <c r="AZ362" i="1"/>
  <c r="AY362" i="1"/>
  <c r="AX362" i="1"/>
  <c r="AW362" i="1"/>
  <c r="AV362" i="1"/>
  <c r="AU362" i="1"/>
  <c r="AT362" i="1"/>
  <c r="AS362" i="1"/>
  <c r="AR362" i="1"/>
  <c r="AQ362" i="1"/>
  <c r="AP362" i="1"/>
  <c r="AH362" i="1"/>
  <c r="AG362" i="1"/>
  <c r="W362" i="1"/>
  <c r="V362" i="1"/>
  <c r="U362" i="1"/>
  <c r="T362" i="1"/>
  <c r="S362" i="1"/>
  <c r="R362" i="1"/>
  <c r="Q362" i="1"/>
  <c r="P362" i="1"/>
  <c r="O362" i="1"/>
  <c r="N362" i="1"/>
  <c r="M362" i="1"/>
  <c r="L362" i="1"/>
  <c r="K362" i="1"/>
  <c r="J362" i="1"/>
  <c r="I362" i="1"/>
  <c r="H362" i="1"/>
  <c r="AZ361" i="1"/>
  <c r="AY361" i="1"/>
  <c r="AX361" i="1"/>
  <c r="AW361" i="1"/>
  <c r="AV361" i="1"/>
  <c r="AU361" i="1"/>
  <c r="AT361" i="1"/>
  <c r="AS361" i="1"/>
  <c r="AR361" i="1"/>
  <c r="AQ361" i="1"/>
  <c r="AP361" i="1"/>
  <c r="AI361" i="1"/>
  <c r="AH361" i="1"/>
  <c r="AG361" i="1"/>
  <c r="W361" i="1"/>
  <c r="V361" i="1"/>
  <c r="U361" i="1"/>
  <c r="T361" i="1"/>
  <c r="S361" i="1"/>
  <c r="R361" i="1"/>
  <c r="Q361" i="1"/>
  <c r="P361" i="1"/>
  <c r="O361" i="1"/>
  <c r="N361" i="1"/>
  <c r="M361" i="1"/>
  <c r="L361" i="1"/>
  <c r="K361" i="1"/>
  <c r="J361" i="1"/>
  <c r="I361" i="1"/>
  <c r="H361" i="1"/>
  <c r="AZ360" i="1"/>
  <c r="AY360" i="1"/>
  <c r="AX360" i="1"/>
  <c r="AW360" i="1"/>
  <c r="AV360" i="1"/>
  <c r="AU360" i="1"/>
  <c r="AT360" i="1"/>
  <c r="AS360" i="1"/>
  <c r="AR360" i="1"/>
  <c r="AQ360" i="1"/>
  <c r="AP360" i="1"/>
  <c r="AI360" i="1"/>
  <c r="AH360" i="1"/>
  <c r="AG360" i="1"/>
  <c r="W360" i="1"/>
  <c r="V360" i="1"/>
  <c r="U360" i="1"/>
  <c r="T360" i="1"/>
  <c r="S360" i="1"/>
  <c r="R360" i="1"/>
  <c r="Q360" i="1"/>
  <c r="P360" i="1"/>
  <c r="O360" i="1"/>
  <c r="N360" i="1"/>
  <c r="M360" i="1"/>
  <c r="L360" i="1"/>
  <c r="K360" i="1"/>
  <c r="J360" i="1"/>
  <c r="I360" i="1"/>
  <c r="H360" i="1"/>
  <c r="AZ359" i="1"/>
  <c r="AY359" i="1"/>
  <c r="AX359" i="1"/>
  <c r="AW359" i="1"/>
  <c r="AV359" i="1"/>
  <c r="AU359" i="1"/>
  <c r="AT359" i="1"/>
  <c r="AS359" i="1"/>
  <c r="AR359" i="1"/>
  <c r="AQ359" i="1"/>
  <c r="AP359" i="1"/>
  <c r="AI359" i="1"/>
  <c r="AH359" i="1"/>
  <c r="AG359" i="1"/>
  <c r="W359" i="1"/>
  <c r="V359" i="1"/>
  <c r="U359" i="1"/>
  <c r="T359" i="1"/>
  <c r="S359" i="1"/>
  <c r="R359" i="1"/>
  <c r="Q359" i="1"/>
  <c r="P359" i="1"/>
  <c r="O359" i="1"/>
  <c r="N359" i="1"/>
  <c r="M359" i="1"/>
  <c r="L359" i="1"/>
  <c r="K359" i="1"/>
  <c r="J359" i="1"/>
  <c r="I359" i="1"/>
  <c r="H359" i="1"/>
  <c r="AZ358" i="1"/>
  <c r="AY358" i="1"/>
  <c r="AX358" i="1"/>
  <c r="AW358" i="1"/>
  <c r="AV358" i="1"/>
  <c r="AU358" i="1"/>
  <c r="AT358" i="1"/>
  <c r="AS358" i="1"/>
  <c r="AR358" i="1"/>
  <c r="AQ358" i="1"/>
  <c r="AP358" i="1"/>
  <c r="AH358" i="1"/>
  <c r="AG358" i="1"/>
  <c r="W358" i="1"/>
  <c r="V358" i="1"/>
  <c r="U358" i="1"/>
  <c r="T358" i="1"/>
  <c r="S358" i="1"/>
  <c r="R358" i="1"/>
  <c r="Q358" i="1"/>
  <c r="P358" i="1"/>
  <c r="O358" i="1"/>
  <c r="N358" i="1"/>
  <c r="M358" i="1"/>
  <c r="L358" i="1"/>
  <c r="K358" i="1"/>
  <c r="J358" i="1"/>
  <c r="I358" i="1"/>
  <c r="H358" i="1"/>
  <c r="AZ357" i="1"/>
  <c r="AY357" i="1"/>
  <c r="AX357" i="1"/>
  <c r="AW357" i="1"/>
  <c r="AV357" i="1"/>
  <c r="AU357" i="1"/>
  <c r="AT357" i="1"/>
  <c r="AS357" i="1"/>
  <c r="AR357" i="1"/>
  <c r="AQ357" i="1"/>
  <c r="AP357" i="1"/>
  <c r="AH357" i="1"/>
  <c r="AG357" i="1"/>
  <c r="W357" i="1"/>
  <c r="V357" i="1"/>
  <c r="U357" i="1"/>
  <c r="T357" i="1"/>
  <c r="S357" i="1"/>
  <c r="R357" i="1"/>
  <c r="Q357" i="1"/>
  <c r="P357" i="1"/>
  <c r="O357" i="1"/>
  <c r="N357" i="1"/>
  <c r="M357" i="1"/>
  <c r="L357" i="1"/>
  <c r="K357" i="1"/>
  <c r="J357" i="1"/>
  <c r="I357" i="1"/>
  <c r="H357" i="1"/>
  <c r="AZ356" i="1"/>
  <c r="AY356" i="1"/>
  <c r="AX356" i="1"/>
  <c r="AW356" i="1"/>
  <c r="AV356" i="1"/>
  <c r="AU356" i="1"/>
  <c r="AT356" i="1"/>
  <c r="AS356" i="1"/>
  <c r="AR356" i="1"/>
  <c r="AQ356" i="1"/>
  <c r="AP356" i="1"/>
  <c r="AH356" i="1"/>
  <c r="AG356" i="1"/>
  <c r="W356" i="1"/>
  <c r="V356" i="1"/>
  <c r="U356" i="1"/>
  <c r="T356" i="1"/>
  <c r="S356" i="1"/>
  <c r="R356" i="1"/>
  <c r="Q356" i="1"/>
  <c r="P356" i="1"/>
  <c r="O356" i="1"/>
  <c r="N356" i="1"/>
  <c r="M356" i="1"/>
  <c r="L356" i="1"/>
  <c r="K356" i="1"/>
  <c r="J356" i="1"/>
  <c r="I356" i="1"/>
  <c r="H356" i="1"/>
  <c r="AZ355" i="1"/>
  <c r="AY355" i="1"/>
  <c r="AX355" i="1"/>
  <c r="AW355" i="1"/>
  <c r="AV355" i="1"/>
  <c r="AU355" i="1"/>
  <c r="AT355" i="1"/>
  <c r="AS355" i="1"/>
  <c r="AR355" i="1"/>
  <c r="AQ355" i="1"/>
  <c r="AP355" i="1"/>
  <c r="AH355" i="1"/>
  <c r="AG355" i="1"/>
  <c r="W355" i="1"/>
  <c r="V355" i="1"/>
  <c r="U355" i="1"/>
  <c r="T355" i="1"/>
  <c r="S355" i="1"/>
  <c r="R355" i="1"/>
  <c r="Q355" i="1"/>
  <c r="P355" i="1"/>
  <c r="O355" i="1"/>
  <c r="N355" i="1"/>
  <c r="M355" i="1"/>
  <c r="L355" i="1"/>
  <c r="K355" i="1"/>
  <c r="J355" i="1"/>
  <c r="I355" i="1"/>
  <c r="H355" i="1"/>
  <c r="AZ354" i="1"/>
  <c r="AY354" i="1"/>
  <c r="AX354" i="1"/>
  <c r="AW354" i="1"/>
  <c r="AV354" i="1"/>
  <c r="AU354" i="1"/>
  <c r="AT354" i="1"/>
  <c r="AS354" i="1"/>
  <c r="AR354" i="1"/>
  <c r="AQ354" i="1"/>
  <c r="AP354" i="1"/>
  <c r="AH354" i="1"/>
  <c r="AG354" i="1"/>
  <c r="W354" i="1"/>
  <c r="V354" i="1"/>
  <c r="U354" i="1"/>
  <c r="T354" i="1"/>
  <c r="S354" i="1"/>
  <c r="R354" i="1"/>
  <c r="Q354" i="1"/>
  <c r="P354" i="1"/>
  <c r="O354" i="1"/>
  <c r="N354" i="1"/>
  <c r="M354" i="1"/>
  <c r="L354" i="1"/>
  <c r="K354" i="1"/>
  <c r="J354" i="1"/>
  <c r="I354" i="1"/>
  <c r="H354" i="1"/>
  <c r="AZ353" i="1"/>
  <c r="AY353" i="1"/>
  <c r="AX353" i="1"/>
  <c r="AW353" i="1"/>
  <c r="AV353" i="1"/>
  <c r="AU353" i="1"/>
  <c r="AT353" i="1"/>
  <c r="AS353" i="1"/>
  <c r="AR353" i="1"/>
  <c r="AQ353" i="1"/>
  <c r="AP353" i="1"/>
  <c r="AI353" i="1"/>
  <c r="AH353" i="1"/>
  <c r="AG353" i="1"/>
  <c r="W353" i="1"/>
  <c r="V353" i="1"/>
  <c r="U353" i="1"/>
  <c r="T353" i="1"/>
  <c r="S353" i="1"/>
  <c r="R353" i="1"/>
  <c r="Q353" i="1"/>
  <c r="P353" i="1"/>
  <c r="O353" i="1"/>
  <c r="N353" i="1"/>
  <c r="M353" i="1"/>
  <c r="L353" i="1"/>
  <c r="K353" i="1"/>
  <c r="J353" i="1"/>
  <c r="I353" i="1"/>
  <c r="H353" i="1"/>
  <c r="AZ352" i="1"/>
  <c r="AY352" i="1"/>
  <c r="AX352" i="1"/>
  <c r="AW352" i="1"/>
  <c r="AV352" i="1"/>
  <c r="AU352" i="1"/>
  <c r="AT352" i="1"/>
  <c r="AS352" i="1"/>
  <c r="AR352" i="1"/>
  <c r="AQ352" i="1"/>
  <c r="AP352" i="1"/>
  <c r="AH352" i="1"/>
  <c r="AG352" i="1"/>
  <c r="W352" i="1"/>
  <c r="V352" i="1"/>
  <c r="U352" i="1"/>
  <c r="T352" i="1"/>
  <c r="S352" i="1"/>
  <c r="R352" i="1"/>
  <c r="Q352" i="1"/>
  <c r="P352" i="1"/>
  <c r="O352" i="1"/>
  <c r="C352" i="1" s="1"/>
  <c r="N352" i="1"/>
  <c r="M352" i="1"/>
  <c r="L352" i="1"/>
  <c r="K352" i="1"/>
  <c r="J352" i="1"/>
  <c r="I352" i="1"/>
  <c r="H352" i="1"/>
  <c r="AZ351" i="1"/>
  <c r="AY351" i="1"/>
  <c r="AX351" i="1"/>
  <c r="AW351" i="1"/>
  <c r="AV351" i="1"/>
  <c r="AU351" i="1"/>
  <c r="AT351" i="1"/>
  <c r="AS351" i="1"/>
  <c r="AR351" i="1"/>
  <c r="AQ351" i="1"/>
  <c r="AP351" i="1"/>
  <c r="AH351" i="1"/>
  <c r="AG351" i="1"/>
  <c r="W351" i="1"/>
  <c r="V351" i="1"/>
  <c r="U351" i="1"/>
  <c r="T351" i="1"/>
  <c r="S351" i="1"/>
  <c r="R351" i="1"/>
  <c r="Q351" i="1"/>
  <c r="P351" i="1"/>
  <c r="O351" i="1"/>
  <c r="N351" i="1"/>
  <c r="M351" i="1"/>
  <c r="L351" i="1"/>
  <c r="K351" i="1"/>
  <c r="J351" i="1"/>
  <c r="I351" i="1"/>
  <c r="H351" i="1"/>
  <c r="AZ350" i="1"/>
  <c r="AY350" i="1"/>
  <c r="AX350" i="1"/>
  <c r="AW350" i="1"/>
  <c r="AV350" i="1"/>
  <c r="AU350" i="1"/>
  <c r="AT350" i="1"/>
  <c r="AS350" i="1"/>
  <c r="AR350" i="1"/>
  <c r="AQ350" i="1"/>
  <c r="AP350" i="1"/>
  <c r="AH350" i="1"/>
  <c r="AG350" i="1"/>
  <c r="W350" i="1"/>
  <c r="V350" i="1"/>
  <c r="U350" i="1"/>
  <c r="T350" i="1"/>
  <c r="S350" i="1"/>
  <c r="R350" i="1"/>
  <c r="Q350" i="1"/>
  <c r="P350" i="1"/>
  <c r="O350" i="1"/>
  <c r="N350" i="1"/>
  <c r="M350" i="1"/>
  <c r="L350" i="1"/>
  <c r="K350" i="1"/>
  <c r="J350" i="1"/>
  <c r="I350" i="1"/>
  <c r="H350" i="1"/>
  <c r="AZ349" i="1"/>
  <c r="AY349" i="1"/>
  <c r="AX349" i="1"/>
  <c r="AW349" i="1"/>
  <c r="AV349" i="1"/>
  <c r="AU349" i="1"/>
  <c r="AT349" i="1"/>
  <c r="AS349" i="1"/>
  <c r="AR349" i="1"/>
  <c r="AQ349" i="1"/>
  <c r="AP349" i="1"/>
  <c r="AH349" i="1"/>
  <c r="AG349" i="1"/>
  <c r="W349" i="1"/>
  <c r="V349" i="1"/>
  <c r="U349" i="1"/>
  <c r="T349" i="1"/>
  <c r="S349" i="1"/>
  <c r="R349" i="1"/>
  <c r="Q349" i="1"/>
  <c r="P349" i="1"/>
  <c r="O349" i="1"/>
  <c r="N349" i="1"/>
  <c r="M349" i="1"/>
  <c r="L349" i="1"/>
  <c r="K349" i="1"/>
  <c r="J349" i="1"/>
  <c r="I349" i="1"/>
  <c r="H349" i="1"/>
  <c r="AZ348" i="1"/>
  <c r="AY348" i="1"/>
  <c r="AX348" i="1"/>
  <c r="AW348" i="1"/>
  <c r="AV348" i="1"/>
  <c r="AU348" i="1"/>
  <c r="AT348" i="1"/>
  <c r="AS348" i="1"/>
  <c r="AR348" i="1"/>
  <c r="AQ348" i="1"/>
  <c r="AP348" i="1"/>
  <c r="AH348" i="1"/>
  <c r="AG348" i="1"/>
  <c r="W348" i="1"/>
  <c r="V348" i="1"/>
  <c r="U348" i="1"/>
  <c r="T348" i="1"/>
  <c r="S348" i="1"/>
  <c r="R348" i="1"/>
  <c r="Q348" i="1"/>
  <c r="P348" i="1"/>
  <c r="O348" i="1"/>
  <c r="N348" i="1"/>
  <c r="M348" i="1"/>
  <c r="L348" i="1"/>
  <c r="K348" i="1"/>
  <c r="J348" i="1"/>
  <c r="I348" i="1"/>
  <c r="H348" i="1"/>
  <c r="AZ347" i="1"/>
  <c r="AY347" i="1"/>
  <c r="AX347" i="1"/>
  <c r="AW347" i="1"/>
  <c r="AV347" i="1"/>
  <c r="AU347" i="1"/>
  <c r="AT347" i="1"/>
  <c r="AS347" i="1"/>
  <c r="AR347" i="1"/>
  <c r="AQ347" i="1"/>
  <c r="AP347" i="1"/>
  <c r="AI347" i="1"/>
  <c r="AH347" i="1"/>
  <c r="AG347" i="1"/>
  <c r="W347" i="1"/>
  <c r="V347" i="1"/>
  <c r="U347" i="1"/>
  <c r="T347" i="1"/>
  <c r="S347" i="1"/>
  <c r="R347" i="1"/>
  <c r="Q347" i="1"/>
  <c r="P347" i="1"/>
  <c r="O347" i="1"/>
  <c r="N347" i="1"/>
  <c r="M347" i="1"/>
  <c r="L347" i="1"/>
  <c r="K347" i="1"/>
  <c r="J347" i="1"/>
  <c r="I347" i="1"/>
  <c r="H347" i="1"/>
  <c r="AZ346" i="1"/>
  <c r="AY346" i="1"/>
  <c r="AX346" i="1"/>
  <c r="AW346" i="1"/>
  <c r="AV346" i="1"/>
  <c r="AU346" i="1"/>
  <c r="AT346" i="1"/>
  <c r="AS346" i="1"/>
  <c r="AR346" i="1"/>
  <c r="AQ346" i="1"/>
  <c r="AP346" i="1"/>
  <c r="AH346" i="1"/>
  <c r="AG346" i="1"/>
  <c r="W346" i="1"/>
  <c r="V346" i="1"/>
  <c r="U346" i="1"/>
  <c r="T346" i="1"/>
  <c r="S346" i="1"/>
  <c r="R346" i="1"/>
  <c r="Q346" i="1"/>
  <c r="P346" i="1"/>
  <c r="O346" i="1"/>
  <c r="N346" i="1"/>
  <c r="M346" i="1"/>
  <c r="L346" i="1"/>
  <c r="K346" i="1"/>
  <c r="J346" i="1"/>
  <c r="I346" i="1"/>
  <c r="H346" i="1"/>
  <c r="AZ345" i="1"/>
  <c r="AY345" i="1"/>
  <c r="AX345" i="1"/>
  <c r="AW345" i="1"/>
  <c r="AV345" i="1"/>
  <c r="AU345" i="1"/>
  <c r="AT345" i="1"/>
  <c r="AS345" i="1"/>
  <c r="AR345" i="1"/>
  <c r="AQ345" i="1"/>
  <c r="AP345" i="1"/>
  <c r="AI345" i="1"/>
  <c r="AH345" i="1"/>
  <c r="AG345" i="1"/>
  <c r="W345" i="1"/>
  <c r="V345" i="1"/>
  <c r="U345" i="1"/>
  <c r="T345" i="1"/>
  <c r="S345" i="1"/>
  <c r="R345" i="1"/>
  <c r="Q345" i="1"/>
  <c r="P345" i="1"/>
  <c r="O345" i="1"/>
  <c r="N345" i="1"/>
  <c r="M345" i="1"/>
  <c r="L345" i="1"/>
  <c r="K345" i="1"/>
  <c r="J345" i="1"/>
  <c r="I345" i="1"/>
  <c r="H345" i="1"/>
  <c r="AZ344" i="1"/>
  <c r="AY344" i="1"/>
  <c r="AX344" i="1"/>
  <c r="AW344" i="1"/>
  <c r="AV344" i="1"/>
  <c r="AU344" i="1"/>
  <c r="AT344" i="1"/>
  <c r="AS344" i="1"/>
  <c r="AR344" i="1"/>
  <c r="AQ344" i="1"/>
  <c r="AP344" i="1"/>
  <c r="AI344" i="1"/>
  <c r="AH344" i="1"/>
  <c r="AG344" i="1"/>
  <c r="W344" i="1"/>
  <c r="V344" i="1"/>
  <c r="U344" i="1"/>
  <c r="T344" i="1"/>
  <c r="S344" i="1"/>
  <c r="R344" i="1"/>
  <c r="Q344" i="1"/>
  <c r="P344" i="1"/>
  <c r="O344" i="1"/>
  <c r="N344" i="1"/>
  <c r="M344" i="1"/>
  <c r="L344" i="1"/>
  <c r="K344" i="1"/>
  <c r="J344" i="1"/>
  <c r="I344" i="1"/>
  <c r="H344" i="1"/>
  <c r="AZ343" i="1"/>
  <c r="AY343" i="1"/>
  <c r="AX343" i="1"/>
  <c r="AW343" i="1"/>
  <c r="AV343" i="1"/>
  <c r="AU343" i="1"/>
  <c r="AT343" i="1"/>
  <c r="AS343" i="1"/>
  <c r="AR343" i="1"/>
  <c r="AQ343" i="1"/>
  <c r="AP343" i="1"/>
  <c r="AI343" i="1"/>
  <c r="AH343" i="1"/>
  <c r="AG343" i="1"/>
  <c r="W343" i="1"/>
  <c r="V343" i="1"/>
  <c r="U343" i="1"/>
  <c r="T343" i="1"/>
  <c r="S343" i="1"/>
  <c r="R343" i="1"/>
  <c r="Q343" i="1"/>
  <c r="P343" i="1"/>
  <c r="O343" i="1"/>
  <c r="N343" i="1"/>
  <c r="M343" i="1"/>
  <c r="L343" i="1"/>
  <c r="K343" i="1"/>
  <c r="J343" i="1"/>
  <c r="I343" i="1"/>
  <c r="H343" i="1"/>
  <c r="AZ342" i="1"/>
  <c r="AY342" i="1"/>
  <c r="AX342" i="1"/>
  <c r="AW342" i="1"/>
  <c r="AV342" i="1"/>
  <c r="AU342" i="1"/>
  <c r="AT342" i="1"/>
  <c r="AS342" i="1"/>
  <c r="AR342" i="1"/>
  <c r="AQ342" i="1"/>
  <c r="AP342" i="1"/>
  <c r="AI342" i="1"/>
  <c r="AH342" i="1"/>
  <c r="AG342" i="1"/>
  <c r="W342" i="1"/>
  <c r="V342" i="1"/>
  <c r="U342" i="1"/>
  <c r="T342" i="1"/>
  <c r="S342" i="1"/>
  <c r="R342" i="1"/>
  <c r="Q342" i="1"/>
  <c r="P342" i="1"/>
  <c r="O342" i="1"/>
  <c r="N342" i="1"/>
  <c r="M342" i="1"/>
  <c r="L342" i="1"/>
  <c r="K342" i="1"/>
  <c r="J342" i="1"/>
  <c r="I342" i="1"/>
  <c r="H342" i="1"/>
  <c r="AZ341" i="1"/>
  <c r="AY341" i="1"/>
  <c r="AX341" i="1"/>
  <c r="AW341" i="1"/>
  <c r="AV341" i="1"/>
  <c r="AU341" i="1"/>
  <c r="AT341" i="1"/>
  <c r="AS341" i="1"/>
  <c r="AR341" i="1"/>
  <c r="AQ341" i="1"/>
  <c r="AP341" i="1"/>
  <c r="AH341" i="1"/>
  <c r="AG341" i="1"/>
  <c r="W341" i="1"/>
  <c r="V341" i="1"/>
  <c r="U341" i="1"/>
  <c r="T341" i="1"/>
  <c r="S341" i="1"/>
  <c r="R341" i="1"/>
  <c r="Q341" i="1"/>
  <c r="P341" i="1"/>
  <c r="O341" i="1"/>
  <c r="N341" i="1"/>
  <c r="M341" i="1"/>
  <c r="L341" i="1"/>
  <c r="K341" i="1"/>
  <c r="J341" i="1"/>
  <c r="I341" i="1"/>
  <c r="H341" i="1"/>
  <c r="AZ340" i="1"/>
  <c r="AY340" i="1"/>
  <c r="AX340" i="1"/>
  <c r="AW340" i="1"/>
  <c r="AV340" i="1"/>
  <c r="AU340" i="1"/>
  <c r="AT340" i="1"/>
  <c r="AS340" i="1"/>
  <c r="AR340" i="1"/>
  <c r="AQ340" i="1"/>
  <c r="AP340" i="1"/>
  <c r="AH340" i="1"/>
  <c r="AG340" i="1"/>
  <c r="W340" i="1"/>
  <c r="V340" i="1"/>
  <c r="U340" i="1"/>
  <c r="T340" i="1"/>
  <c r="S340" i="1"/>
  <c r="R340" i="1"/>
  <c r="Q340" i="1"/>
  <c r="P340" i="1"/>
  <c r="O340" i="1"/>
  <c r="N340" i="1"/>
  <c r="M340" i="1"/>
  <c r="L340" i="1"/>
  <c r="K340" i="1"/>
  <c r="J340" i="1"/>
  <c r="I340" i="1"/>
  <c r="H340" i="1"/>
  <c r="AZ339" i="1"/>
  <c r="AY339" i="1"/>
  <c r="AX339" i="1"/>
  <c r="AW339" i="1"/>
  <c r="AV339" i="1"/>
  <c r="AU339" i="1"/>
  <c r="AT339" i="1"/>
  <c r="AS339" i="1"/>
  <c r="AR339" i="1"/>
  <c r="AQ339" i="1"/>
  <c r="AP339" i="1"/>
  <c r="AH339" i="1"/>
  <c r="AG339" i="1"/>
  <c r="W339" i="1"/>
  <c r="V339" i="1"/>
  <c r="U339" i="1"/>
  <c r="T339" i="1"/>
  <c r="S339" i="1"/>
  <c r="R339" i="1"/>
  <c r="Q339" i="1"/>
  <c r="P339" i="1"/>
  <c r="O339" i="1"/>
  <c r="N339" i="1"/>
  <c r="M339" i="1"/>
  <c r="L339" i="1"/>
  <c r="K339" i="1"/>
  <c r="C339" i="1" s="1"/>
  <c r="J339" i="1"/>
  <c r="I339" i="1"/>
  <c r="H339" i="1"/>
  <c r="AZ338" i="1"/>
  <c r="AY338" i="1"/>
  <c r="AX338" i="1"/>
  <c r="AW338" i="1"/>
  <c r="AV338" i="1"/>
  <c r="AU338" i="1"/>
  <c r="AT338" i="1"/>
  <c r="AS338" i="1"/>
  <c r="AR338" i="1"/>
  <c r="AQ338" i="1"/>
  <c r="AP338" i="1"/>
  <c r="AH338" i="1"/>
  <c r="AG338" i="1"/>
  <c r="W338" i="1"/>
  <c r="V338" i="1"/>
  <c r="U338" i="1"/>
  <c r="T338" i="1"/>
  <c r="S338" i="1"/>
  <c r="R338" i="1"/>
  <c r="Q338" i="1"/>
  <c r="P338" i="1"/>
  <c r="O338" i="1"/>
  <c r="N338" i="1"/>
  <c r="M338" i="1"/>
  <c r="L338" i="1"/>
  <c r="K338" i="1"/>
  <c r="J338" i="1"/>
  <c r="I338" i="1"/>
  <c r="H338" i="1"/>
  <c r="AZ337" i="1"/>
  <c r="AY337" i="1"/>
  <c r="AX337" i="1"/>
  <c r="AW337" i="1"/>
  <c r="AV337" i="1"/>
  <c r="AU337" i="1"/>
  <c r="AT337" i="1"/>
  <c r="AS337" i="1"/>
  <c r="AR337" i="1"/>
  <c r="AQ337" i="1"/>
  <c r="AP337" i="1"/>
  <c r="AI337" i="1"/>
  <c r="AH337" i="1"/>
  <c r="AG337" i="1"/>
  <c r="W337" i="1"/>
  <c r="V337" i="1"/>
  <c r="U337" i="1"/>
  <c r="T337" i="1"/>
  <c r="S337" i="1"/>
  <c r="R337" i="1"/>
  <c r="Q337" i="1"/>
  <c r="P337" i="1"/>
  <c r="O337" i="1"/>
  <c r="N337" i="1"/>
  <c r="M337" i="1"/>
  <c r="L337" i="1"/>
  <c r="K337" i="1"/>
  <c r="J337" i="1"/>
  <c r="I337" i="1"/>
  <c r="H337" i="1"/>
  <c r="AZ336" i="1"/>
  <c r="AY336" i="1"/>
  <c r="AX336" i="1"/>
  <c r="AW336" i="1"/>
  <c r="AV336" i="1"/>
  <c r="AU336" i="1"/>
  <c r="AT336" i="1"/>
  <c r="AS336" i="1"/>
  <c r="AR336" i="1"/>
  <c r="AQ336" i="1"/>
  <c r="AP336" i="1"/>
  <c r="AI336" i="1"/>
  <c r="AH336" i="1"/>
  <c r="AG336" i="1"/>
  <c r="W336" i="1"/>
  <c r="V336" i="1"/>
  <c r="U336" i="1"/>
  <c r="T336" i="1"/>
  <c r="S336" i="1"/>
  <c r="R336" i="1"/>
  <c r="Q336" i="1"/>
  <c r="P336" i="1"/>
  <c r="O336" i="1"/>
  <c r="N336" i="1"/>
  <c r="M336" i="1"/>
  <c r="L336" i="1"/>
  <c r="K336" i="1"/>
  <c r="J336" i="1"/>
  <c r="I336" i="1"/>
  <c r="H336" i="1"/>
  <c r="X336" i="1" s="1"/>
  <c r="AZ335" i="1"/>
  <c r="AY335" i="1"/>
  <c r="AX335" i="1"/>
  <c r="AW335" i="1"/>
  <c r="AV335" i="1"/>
  <c r="AU335" i="1"/>
  <c r="AT335" i="1"/>
  <c r="AS335" i="1"/>
  <c r="AR335" i="1"/>
  <c r="AQ335" i="1"/>
  <c r="AP335" i="1"/>
  <c r="AI335" i="1"/>
  <c r="AH335" i="1"/>
  <c r="AG335" i="1"/>
  <c r="W335" i="1"/>
  <c r="V335" i="1"/>
  <c r="U335" i="1"/>
  <c r="T335" i="1"/>
  <c r="S335" i="1"/>
  <c r="R335" i="1"/>
  <c r="Q335" i="1"/>
  <c r="P335" i="1"/>
  <c r="O335" i="1"/>
  <c r="N335" i="1"/>
  <c r="C335" i="1" s="1"/>
  <c r="M335" i="1"/>
  <c r="L335" i="1"/>
  <c r="K335" i="1"/>
  <c r="J335" i="1"/>
  <c r="I335" i="1"/>
  <c r="H335" i="1"/>
  <c r="AZ334" i="1"/>
  <c r="AY334" i="1"/>
  <c r="AX334" i="1"/>
  <c r="AW334" i="1"/>
  <c r="AV334" i="1"/>
  <c r="AU334" i="1"/>
  <c r="AT334" i="1"/>
  <c r="AS334" i="1"/>
  <c r="AR334" i="1"/>
  <c r="AQ334" i="1"/>
  <c r="AP334" i="1"/>
  <c r="AI334" i="1"/>
  <c r="AH334" i="1"/>
  <c r="AG334" i="1"/>
  <c r="W334" i="1"/>
  <c r="V334" i="1"/>
  <c r="U334" i="1"/>
  <c r="T334" i="1"/>
  <c r="S334" i="1"/>
  <c r="R334" i="1"/>
  <c r="Q334" i="1"/>
  <c r="P334" i="1"/>
  <c r="O334" i="1"/>
  <c r="N334" i="1"/>
  <c r="M334" i="1"/>
  <c r="L334" i="1"/>
  <c r="K334" i="1"/>
  <c r="J334" i="1"/>
  <c r="I334" i="1"/>
  <c r="H334" i="1"/>
  <c r="AZ333" i="1"/>
  <c r="AY333" i="1"/>
  <c r="AX333" i="1"/>
  <c r="AW333" i="1"/>
  <c r="AV333" i="1"/>
  <c r="AU333" i="1"/>
  <c r="AT333" i="1"/>
  <c r="AS333" i="1"/>
  <c r="AR333" i="1"/>
  <c r="AQ333" i="1"/>
  <c r="AP333" i="1"/>
  <c r="AI333" i="1"/>
  <c r="AH333" i="1"/>
  <c r="AG333" i="1"/>
  <c r="W333" i="1"/>
  <c r="V333" i="1"/>
  <c r="U333" i="1"/>
  <c r="T333" i="1"/>
  <c r="S333" i="1"/>
  <c r="R333" i="1"/>
  <c r="Q333" i="1"/>
  <c r="P333" i="1"/>
  <c r="O333" i="1"/>
  <c r="N333" i="1"/>
  <c r="M333" i="1"/>
  <c r="L333" i="1"/>
  <c r="K333" i="1"/>
  <c r="J333" i="1"/>
  <c r="I333" i="1"/>
  <c r="H333" i="1"/>
  <c r="AZ332" i="1"/>
  <c r="AY332" i="1"/>
  <c r="AX332" i="1"/>
  <c r="AW332" i="1"/>
  <c r="AV332" i="1"/>
  <c r="AU332" i="1"/>
  <c r="AT332" i="1"/>
  <c r="AS332" i="1"/>
  <c r="AR332" i="1"/>
  <c r="AQ332" i="1"/>
  <c r="AP332" i="1"/>
  <c r="AH332" i="1"/>
  <c r="AG332" i="1"/>
  <c r="W332" i="1"/>
  <c r="V332" i="1"/>
  <c r="U332" i="1"/>
  <c r="T332" i="1"/>
  <c r="S332" i="1"/>
  <c r="R332" i="1"/>
  <c r="Q332" i="1"/>
  <c r="P332" i="1"/>
  <c r="O332" i="1"/>
  <c r="N332" i="1"/>
  <c r="M332" i="1"/>
  <c r="L332" i="1"/>
  <c r="K332" i="1"/>
  <c r="J332" i="1"/>
  <c r="I332" i="1"/>
  <c r="H332" i="1"/>
  <c r="AZ331" i="1"/>
  <c r="AY331" i="1"/>
  <c r="AX331" i="1"/>
  <c r="AW331" i="1"/>
  <c r="AV331" i="1"/>
  <c r="AU331" i="1"/>
  <c r="AT331" i="1"/>
  <c r="AS331" i="1"/>
  <c r="AR331" i="1"/>
  <c r="AQ331" i="1"/>
  <c r="AP331" i="1"/>
  <c r="AI331" i="1"/>
  <c r="AH331" i="1"/>
  <c r="AG331" i="1"/>
  <c r="W331" i="1"/>
  <c r="V331" i="1"/>
  <c r="U331" i="1"/>
  <c r="T331" i="1"/>
  <c r="S331" i="1"/>
  <c r="R331" i="1"/>
  <c r="Q331" i="1"/>
  <c r="P331" i="1"/>
  <c r="O331" i="1"/>
  <c r="N331" i="1"/>
  <c r="M331" i="1"/>
  <c r="C331" i="1" s="1"/>
  <c r="L331" i="1"/>
  <c r="K331" i="1"/>
  <c r="J331" i="1"/>
  <c r="I331" i="1"/>
  <c r="H331" i="1"/>
  <c r="AZ330" i="1"/>
  <c r="AY330" i="1"/>
  <c r="AX330" i="1"/>
  <c r="AW330" i="1"/>
  <c r="AV330" i="1"/>
  <c r="AU330" i="1"/>
  <c r="AT330" i="1"/>
  <c r="AS330" i="1"/>
  <c r="AR330" i="1"/>
  <c r="AQ330" i="1"/>
  <c r="AP330" i="1"/>
  <c r="AI330" i="1"/>
  <c r="AH330" i="1"/>
  <c r="AG330" i="1"/>
  <c r="W330" i="1"/>
  <c r="V330" i="1"/>
  <c r="U330" i="1"/>
  <c r="T330" i="1"/>
  <c r="S330" i="1"/>
  <c r="R330" i="1"/>
  <c r="Q330" i="1"/>
  <c r="P330" i="1"/>
  <c r="O330" i="1"/>
  <c r="N330" i="1"/>
  <c r="M330" i="1"/>
  <c r="L330" i="1"/>
  <c r="K330" i="1"/>
  <c r="J330" i="1"/>
  <c r="I330" i="1"/>
  <c r="H330" i="1"/>
  <c r="AZ329" i="1"/>
  <c r="AY329" i="1"/>
  <c r="AX329" i="1"/>
  <c r="AW329" i="1"/>
  <c r="AV329" i="1"/>
  <c r="AU329" i="1"/>
  <c r="AT329" i="1"/>
  <c r="AS329" i="1"/>
  <c r="AR329" i="1"/>
  <c r="AQ329" i="1"/>
  <c r="AP329" i="1"/>
  <c r="AI329" i="1"/>
  <c r="AH329" i="1"/>
  <c r="AG329" i="1"/>
  <c r="W329" i="1"/>
  <c r="V329" i="1"/>
  <c r="U329" i="1"/>
  <c r="T329" i="1"/>
  <c r="S329" i="1"/>
  <c r="R329" i="1"/>
  <c r="Q329" i="1"/>
  <c r="P329" i="1"/>
  <c r="O329" i="1"/>
  <c r="N329" i="1"/>
  <c r="M329" i="1"/>
  <c r="L329" i="1"/>
  <c r="K329" i="1"/>
  <c r="J329" i="1"/>
  <c r="I329" i="1"/>
  <c r="H329" i="1"/>
  <c r="AZ328" i="1"/>
  <c r="AY328" i="1"/>
  <c r="AX328" i="1"/>
  <c r="AW328" i="1"/>
  <c r="AV328" i="1"/>
  <c r="AU328" i="1"/>
  <c r="AT328" i="1"/>
  <c r="AS328" i="1"/>
  <c r="AR328" i="1"/>
  <c r="AQ328" i="1"/>
  <c r="AP328" i="1"/>
  <c r="AI328" i="1"/>
  <c r="AH328" i="1"/>
  <c r="AG328" i="1"/>
  <c r="W328" i="1"/>
  <c r="V328" i="1"/>
  <c r="U328" i="1"/>
  <c r="T328" i="1"/>
  <c r="S328" i="1"/>
  <c r="R328" i="1"/>
  <c r="Q328" i="1"/>
  <c r="P328" i="1"/>
  <c r="O328" i="1"/>
  <c r="N328" i="1"/>
  <c r="M328" i="1"/>
  <c r="L328" i="1"/>
  <c r="K328" i="1"/>
  <c r="J328" i="1"/>
  <c r="I328" i="1"/>
  <c r="H328" i="1"/>
  <c r="AZ327" i="1"/>
  <c r="AY327" i="1"/>
  <c r="AX327" i="1"/>
  <c r="AW327" i="1"/>
  <c r="AV327" i="1"/>
  <c r="AU327" i="1"/>
  <c r="AT327" i="1"/>
  <c r="AS327" i="1"/>
  <c r="AR327" i="1"/>
  <c r="AQ327" i="1"/>
  <c r="AP327" i="1"/>
  <c r="AI327" i="1"/>
  <c r="AH327" i="1"/>
  <c r="AG327" i="1"/>
  <c r="W327" i="1"/>
  <c r="V327" i="1"/>
  <c r="U327" i="1"/>
  <c r="T327" i="1"/>
  <c r="S327" i="1"/>
  <c r="R327" i="1"/>
  <c r="Q327" i="1"/>
  <c r="P327" i="1"/>
  <c r="O327" i="1"/>
  <c r="N327" i="1"/>
  <c r="M327" i="1"/>
  <c r="L327" i="1"/>
  <c r="K327" i="1"/>
  <c r="J327" i="1"/>
  <c r="I327" i="1"/>
  <c r="H327" i="1"/>
  <c r="AZ326" i="1"/>
  <c r="AY326" i="1"/>
  <c r="AX326" i="1"/>
  <c r="AW326" i="1"/>
  <c r="AV326" i="1"/>
  <c r="AU326" i="1"/>
  <c r="AT326" i="1"/>
  <c r="AS326" i="1"/>
  <c r="AR326" i="1"/>
  <c r="AQ326" i="1"/>
  <c r="AP326" i="1"/>
  <c r="AI326" i="1"/>
  <c r="AH326" i="1"/>
  <c r="AG326" i="1"/>
  <c r="W326" i="1"/>
  <c r="V326" i="1"/>
  <c r="U326" i="1"/>
  <c r="T326" i="1"/>
  <c r="S326" i="1"/>
  <c r="R326" i="1"/>
  <c r="Q326" i="1"/>
  <c r="P326" i="1"/>
  <c r="O326" i="1"/>
  <c r="N326" i="1"/>
  <c r="M326" i="1"/>
  <c r="L326" i="1"/>
  <c r="K326" i="1"/>
  <c r="C326" i="1" s="1"/>
  <c r="J326" i="1"/>
  <c r="I326" i="1"/>
  <c r="H326" i="1"/>
  <c r="AZ325" i="1"/>
  <c r="AY325" i="1"/>
  <c r="AX325" i="1"/>
  <c r="AW325" i="1"/>
  <c r="AV325" i="1"/>
  <c r="AU325" i="1"/>
  <c r="AT325" i="1"/>
  <c r="AS325" i="1"/>
  <c r="AR325" i="1"/>
  <c r="AQ325" i="1"/>
  <c r="AP325" i="1"/>
  <c r="AI325" i="1"/>
  <c r="AH325" i="1"/>
  <c r="AG325" i="1"/>
  <c r="W325" i="1"/>
  <c r="V325" i="1"/>
  <c r="U325" i="1"/>
  <c r="T325" i="1"/>
  <c r="S325" i="1"/>
  <c r="R325" i="1"/>
  <c r="Q325" i="1"/>
  <c r="P325" i="1"/>
  <c r="O325" i="1"/>
  <c r="N325" i="1"/>
  <c r="M325" i="1"/>
  <c r="L325" i="1"/>
  <c r="K325" i="1"/>
  <c r="J325" i="1"/>
  <c r="I325" i="1"/>
  <c r="H325" i="1"/>
  <c r="AZ324" i="1"/>
  <c r="AY324" i="1"/>
  <c r="AX324" i="1"/>
  <c r="AW324" i="1"/>
  <c r="AV324" i="1"/>
  <c r="AU324" i="1"/>
  <c r="AT324" i="1"/>
  <c r="AS324" i="1"/>
  <c r="AR324" i="1"/>
  <c r="AQ324" i="1"/>
  <c r="AP324" i="1"/>
  <c r="AI324" i="1"/>
  <c r="AH324" i="1"/>
  <c r="AG324" i="1"/>
  <c r="W324" i="1"/>
  <c r="V324" i="1"/>
  <c r="U324" i="1"/>
  <c r="T324" i="1"/>
  <c r="S324" i="1"/>
  <c r="R324" i="1"/>
  <c r="Q324" i="1"/>
  <c r="P324" i="1"/>
  <c r="O324" i="1"/>
  <c r="N324" i="1"/>
  <c r="M324" i="1"/>
  <c r="L324" i="1"/>
  <c r="K324" i="1"/>
  <c r="J324" i="1"/>
  <c r="I324" i="1"/>
  <c r="H324" i="1"/>
  <c r="AZ323" i="1"/>
  <c r="AY323" i="1"/>
  <c r="AX323" i="1"/>
  <c r="AW323" i="1"/>
  <c r="AV323" i="1"/>
  <c r="AU323" i="1"/>
  <c r="AT323" i="1"/>
  <c r="AS323" i="1"/>
  <c r="AR323" i="1"/>
  <c r="AQ323" i="1"/>
  <c r="AP323" i="1"/>
  <c r="AH323" i="1"/>
  <c r="AG323" i="1"/>
  <c r="W323" i="1"/>
  <c r="V323" i="1"/>
  <c r="U323" i="1"/>
  <c r="T323" i="1"/>
  <c r="S323" i="1"/>
  <c r="R323" i="1"/>
  <c r="Q323" i="1"/>
  <c r="P323" i="1"/>
  <c r="O323" i="1"/>
  <c r="N323" i="1"/>
  <c r="M323" i="1"/>
  <c r="L323" i="1"/>
  <c r="K323" i="1"/>
  <c r="J323" i="1"/>
  <c r="I323" i="1"/>
  <c r="H323" i="1"/>
  <c r="AZ322" i="1"/>
  <c r="AY322" i="1"/>
  <c r="AX322" i="1"/>
  <c r="AW322" i="1"/>
  <c r="AV322" i="1"/>
  <c r="AU322" i="1"/>
  <c r="AT322" i="1"/>
  <c r="AS322" i="1"/>
  <c r="AR322" i="1"/>
  <c r="AQ322" i="1"/>
  <c r="AP322" i="1"/>
  <c r="AH322" i="1"/>
  <c r="AG322" i="1"/>
  <c r="W322" i="1"/>
  <c r="V322" i="1"/>
  <c r="U322" i="1"/>
  <c r="T322" i="1"/>
  <c r="S322" i="1"/>
  <c r="R322" i="1"/>
  <c r="Q322" i="1"/>
  <c r="P322" i="1"/>
  <c r="O322" i="1"/>
  <c r="N322" i="1"/>
  <c r="M322" i="1"/>
  <c r="L322" i="1"/>
  <c r="K322" i="1"/>
  <c r="J322" i="1"/>
  <c r="I322" i="1"/>
  <c r="H322" i="1"/>
  <c r="AZ321" i="1"/>
  <c r="AY321" i="1"/>
  <c r="AX321" i="1"/>
  <c r="AW321" i="1"/>
  <c r="AV321" i="1"/>
  <c r="AU321" i="1"/>
  <c r="AT321" i="1"/>
  <c r="AS321" i="1"/>
  <c r="AR321" i="1"/>
  <c r="AQ321" i="1"/>
  <c r="AP321" i="1"/>
  <c r="AH321" i="1"/>
  <c r="AG321" i="1"/>
  <c r="W321" i="1"/>
  <c r="V321" i="1"/>
  <c r="U321" i="1"/>
  <c r="T321" i="1"/>
  <c r="S321" i="1"/>
  <c r="R321" i="1"/>
  <c r="Q321" i="1"/>
  <c r="P321" i="1"/>
  <c r="O321" i="1"/>
  <c r="N321" i="1"/>
  <c r="M321" i="1"/>
  <c r="L321" i="1"/>
  <c r="K321" i="1"/>
  <c r="J321" i="1"/>
  <c r="I321" i="1"/>
  <c r="H321" i="1"/>
  <c r="AZ320" i="1"/>
  <c r="AY320" i="1"/>
  <c r="AX320" i="1"/>
  <c r="AW320" i="1"/>
  <c r="AV320" i="1"/>
  <c r="AU320" i="1"/>
  <c r="AT320" i="1"/>
  <c r="AS320" i="1"/>
  <c r="AR320" i="1"/>
  <c r="AQ320" i="1"/>
  <c r="AP320" i="1"/>
  <c r="AH320" i="1"/>
  <c r="AG320" i="1"/>
  <c r="W320" i="1"/>
  <c r="V320" i="1"/>
  <c r="U320" i="1"/>
  <c r="T320" i="1"/>
  <c r="S320" i="1"/>
  <c r="R320" i="1"/>
  <c r="Q320" i="1"/>
  <c r="P320" i="1"/>
  <c r="O320" i="1"/>
  <c r="N320" i="1"/>
  <c r="M320" i="1"/>
  <c r="L320" i="1"/>
  <c r="K320" i="1"/>
  <c r="J320" i="1"/>
  <c r="I320" i="1"/>
  <c r="H320" i="1"/>
  <c r="AZ319" i="1"/>
  <c r="AY319" i="1"/>
  <c r="AX319" i="1"/>
  <c r="AW319" i="1"/>
  <c r="AV319" i="1"/>
  <c r="AU319" i="1"/>
  <c r="AT319" i="1"/>
  <c r="AS319" i="1"/>
  <c r="AR319" i="1"/>
  <c r="AQ319" i="1"/>
  <c r="AP319" i="1"/>
  <c r="AH319" i="1"/>
  <c r="AG319" i="1"/>
  <c r="W319" i="1"/>
  <c r="V319" i="1"/>
  <c r="U319" i="1"/>
  <c r="T319" i="1"/>
  <c r="S319" i="1"/>
  <c r="R319" i="1"/>
  <c r="Q319" i="1"/>
  <c r="P319" i="1"/>
  <c r="O319" i="1"/>
  <c r="N319" i="1"/>
  <c r="M319" i="1"/>
  <c r="L319" i="1"/>
  <c r="K319" i="1"/>
  <c r="J319" i="1"/>
  <c r="I319" i="1"/>
  <c r="H319" i="1"/>
  <c r="C319" i="1" s="1"/>
  <c r="AZ318" i="1"/>
  <c r="AY318" i="1"/>
  <c r="AX318" i="1"/>
  <c r="AW318" i="1"/>
  <c r="AV318" i="1"/>
  <c r="AU318" i="1"/>
  <c r="AT318" i="1"/>
  <c r="AS318" i="1"/>
  <c r="AR318" i="1"/>
  <c r="AQ318" i="1"/>
  <c r="AP318" i="1"/>
  <c r="AH318" i="1"/>
  <c r="AG318" i="1"/>
  <c r="W318" i="1"/>
  <c r="V318" i="1"/>
  <c r="U318" i="1"/>
  <c r="T318" i="1"/>
  <c r="S318" i="1"/>
  <c r="R318" i="1"/>
  <c r="Q318" i="1"/>
  <c r="P318" i="1"/>
  <c r="O318" i="1"/>
  <c r="N318" i="1"/>
  <c r="M318" i="1"/>
  <c r="L318" i="1"/>
  <c r="K318" i="1"/>
  <c r="J318" i="1"/>
  <c r="C318" i="1" s="1"/>
  <c r="I318" i="1"/>
  <c r="H318" i="1"/>
  <c r="AZ317" i="1"/>
  <c r="AY317" i="1"/>
  <c r="AX317" i="1"/>
  <c r="AW317" i="1"/>
  <c r="AV317" i="1"/>
  <c r="AU317" i="1"/>
  <c r="AT317" i="1"/>
  <c r="AS317" i="1"/>
  <c r="AR317" i="1"/>
  <c r="AQ317" i="1"/>
  <c r="AP317" i="1"/>
  <c r="AI317" i="1"/>
  <c r="AH317" i="1"/>
  <c r="AG317" i="1"/>
  <c r="W317" i="1"/>
  <c r="V317" i="1"/>
  <c r="U317" i="1"/>
  <c r="T317" i="1"/>
  <c r="S317" i="1"/>
  <c r="R317" i="1"/>
  <c r="Q317" i="1"/>
  <c r="P317" i="1"/>
  <c r="O317" i="1"/>
  <c r="N317" i="1"/>
  <c r="M317" i="1"/>
  <c r="L317" i="1"/>
  <c r="K317" i="1"/>
  <c r="J317" i="1"/>
  <c r="I317" i="1"/>
  <c r="C317" i="1" s="1"/>
  <c r="H317" i="1"/>
  <c r="AZ316" i="1"/>
  <c r="AY316" i="1"/>
  <c r="AX316" i="1"/>
  <c r="AW316" i="1"/>
  <c r="AV316" i="1"/>
  <c r="AU316" i="1"/>
  <c r="AT316" i="1"/>
  <c r="AS316" i="1"/>
  <c r="AR316" i="1"/>
  <c r="AQ316" i="1"/>
  <c r="AP316" i="1"/>
  <c r="W316" i="1"/>
  <c r="V316" i="1"/>
  <c r="U316" i="1"/>
  <c r="T316" i="1"/>
  <c r="S316" i="1"/>
  <c r="R316" i="1"/>
  <c r="Q316" i="1"/>
  <c r="P316" i="1"/>
  <c r="O316" i="1"/>
  <c r="N316" i="1"/>
  <c r="M316" i="1"/>
  <c r="L316" i="1"/>
  <c r="K316" i="1"/>
  <c r="J316" i="1"/>
  <c r="I316" i="1"/>
  <c r="H316" i="1"/>
  <c r="AZ315" i="1"/>
  <c r="AY315" i="1"/>
  <c r="AX315" i="1"/>
  <c r="AW315" i="1"/>
  <c r="AV315" i="1"/>
  <c r="AU315" i="1"/>
  <c r="AT315" i="1"/>
  <c r="AS315" i="1"/>
  <c r="AR315" i="1"/>
  <c r="AQ315" i="1"/>
  <c r="AP315" i="1"/>
  <c r="AH315" i="1"/>
  <c r="AG315" i="1"/>
  <c r="W315" i="1"/>
  <c r="V315" i="1"/>
  <c r="U315" i="1"/>
  <c r="T315" i="1"/>
  <c r="S315" i="1"/>
  <c r="R315" i="1"/>
  <c r="Q315" i="1"/>
  <c r="P315" i="1"/>
  <c r="O315" i="1"/>
  <c r="N315" i="1"/>
  <c r="M315" i="1"/>
  <c r="L315" i="1"/>
  <c r="K315" i="1"/>
  <c r="J315" i="1"/>
  <c r="I315" i="1"/>
  <c r="H315" i="1"/>
  <c r="AZ314" i="1"/>
  <c r="AY314" i="1"/>
  <c r="AX314" i="1"/>
  <c r="AW314" i="1"/>
  <c r="AV314" i="1"/>
  <c r="AU314" i="1"/>
  <c r="AT314" i="1"/>
  <c r="AS314" i="1"/>
  <c r="AR314" i="1"/>
  <c r="AQ314" i="1"/>
  <c r="AP314" i="1"/>
  <c r="AH314" i="1"/>
  <c r="AG314" i="1"/>
  <c r="W314" i="1"/>
  <c r="V314" i="1"/>
  <c r="U314" i="1"/>
  <c r="T314" i="1"/>
  <c r="S314" i="1"/>
  <c r="R314" i="1"/>
  <c r="Q314" i="1"/>
  <c r="P314" i="1"/>
  <c r="O314" i="1"/>
  <c r="N314" i="1"/>
  <c r="M314" i="1"/>
  <c r="L314" i="1"/>
  <c r="K314" i="1"/>
  <c r="J314" i="1"/>
  <c r="I314" i="1"/>
  <c r="H314" i="1"/>
  <c r="AZ313" i="1"/>
  <c r="AY313" i="1"/>
  <c r="AX313" i="1"/>
  <c r="AW313" i="1"/>
  <c r="AV313" i="1"/>
  <c r="AU313" i="1"/>
  <c r="AT313" i="1"/>
  <c r="AS313" i="1"/>
  <c r="AR313" i="1"/>
  <c r="AQ313" i="1"/>
  <c r="AP313" i="1"/>
  <c r="AI313" i="1"/>
  <c r="AH313" i="1"/>
  <c r="AG313" i="1"/>
  <c r="W313" i="1"/>
  <c r="V313" i="1"/>
  <c r="U313" i="1"/>
  <c r="T313" i="1"/>
  <c r="S313" i="1"/>
  <c r="R313" i="1"/>
  <c r="Q313" i="1"/>
  <c r="P313" i="1"/>
  <c r="O313" i="1"/>
  <c r="N313" i="1"/>
  <c r="M313" i="1"/>
  <c r="L313" i="1"/>
  <c r="K313" i="1"/>
  <c r="J313" i="1"/>
  <c r="I313" i="1"/>
  <c r="H313" i="1"/>
  <c r="AZ312" i="1"/>
  <c r="AY312" i="1"/>
  <c r="AX312" i="1"/>
  <c r="AW312" i="1"/>
  <c r="AV312" i="1"/>
  <c r="AU312" i="1"/>
  <c r="AT312" i="1"/>
  <c r="AS312" i="1"/>
  <c r="AR312" i="1"/>
  <c r="AQ312" i="1"/>
  <c r="AP312" i="1"/>
  <c r="AH312" i="1"/>
  <c r="AG312" i="1"/>
  <c r="W312" i="1"/>
  <c r="V312" i="1"/>
  <c r="U312" i="1"/>
  <c r="T312" i="1"/>
  <c r="S312" i="1"/>
  <c r="R312" i="1"/>
  <c r="Q312" i="1"/>
  <c r="P312" i="1"/>
  <c r="O312" i="1"/>
  <c r="N312" i="1"/>
  <c r="M312" i="1"/>
  <c r="L312" i="1"/>
  <c r="K312" i="1"/>
  <c r="J312" i="1"/>
  <c r="C312" i="1" s="1"/>
  <c r="I312" i="1"/>
  <c r="H312" i="1"/>
  <c r="AZ311" i="1"/>
  <c r="AY311" i="1"/>
  <c r="AX311" i="1"/>
  <c r="AW311" i="1"/>
  <c r="AV311" i="1"/>
  <c r="AU311" i="1"/>
  <c r="AT311" i="1"/>
  <c r="AS311" i="1"/>
  <c r="AR311" i="1"/>
  <c r="AQ311" i="1"/>
  <c r="AP311" i="1"/>
  <c r="AH311" i="1"/>
  <c r="AG311" i="1"/>
  <c r="W311" i="1"/>
  <c r="V311" i="1"/>
  <c r="U311" i="1"/>
  <c r="T311" i="1"/>
  <c r="S311" i="1"/>
  <c r="R311" i="1"/>
  <c r="Q311" i="1"/>
  <c r="P311" i="1"/>
  <c r="O311" i="1"/>
  <c r="N311" i="1"/>
  <c r="M311" i="1"/>
  <c r="L311" i="1"/>
  <c r="K311" i="1"/>
  <c r="J311" i="1"/>
  <c r="I311" i="1"/>
  <c r="H311" i="1"/>
  <c r="AZ310" i="1"/>
  <c r="AY310" i="1"/>
  <c r="AX310" i="1"/>
  <c r="AW310" i="1"/>
  <c r="AV310" i="1"/>
  <c r="AU310" i="1"/>
  <c r="AT310" i="1"/>
  <c r="AS310" i="1"/>
  <c r="AR310" i="1"/>
  <c r="AQ310" i="1"/>
  <c r="AP310" i="1"/>
  <c r="AH310" i="1"/>
  <c r="AG310" i="1"/>
  <c r="W310" i="1"/>
  <c r="V310" i="1"/>
  <c r="U310" i="1"/>
  <c r="T310" i="1"/>
  <c r="S310" i="1"/>
  <c r="R310" i="1"/>
  <c r="Q310" i="1"/>
  <c r="P310" i="1"/>
  <c r="O310" i="1"/>
  <c r="N310" i="1"/>
  <c r="M310" i="1"/>
  <c r="L310" i="1"/>
  <c r="K310" i="1"/>
  <c r="J310" i="1"/>
  <c r="I310" i="1"/>
  <c r="H310" i="1"/>
  <c r="AZ309" i="1"/>
  <c r="AY309" i="1"/>
  <c r="AX309" i="1"/>
  <c r="AW309" i="1"/>
  <c r="AV309" i="1"/>
  <c r="AU309" i="1"/>
  <c r="AT309" i="1"/>
  <c r="AS309" i="1"/>
  <c r="AR309" i="1"/>
  <c r="AQ309" i="1"/>
  <c r="AP309" i="1"/>
  <c r="AH309" i="1"/>
  <c r="AG309" i="1"/>
  <c r="W309" i="1"/>
  <c r="V309" i="1"/>
  <c r="U309" i="1"/>
  <c r="T309" i="1"/>
  <c r="S309" i="1"/>
  <c r="R309" i="1"/>
  <c r="Q309" i="1"/>
  <c r="P309" i="1"/>
  <c r="O309" i="1"/>
  <c r="N309" i="1"/>
  <c r="M309" i="1"/>
  <c r="L309" i="1"/>
  <c r="K309" i="1"/>
  <c r="J309" i="1"/>
  <c r="C309" i="1" s="1"/>
  <c r="I309" i="1"/>
  <c r="H309" i="1"/>
  <c r="AZ308" i="1"/>
  <c r="AY308" i="1"/>
  <c r="AX308" i="1"/>
  <c r="AW308" i="1"/>
  <c r="AV308" i="1"/>
  <c r="AU308" i="1"/>
  <c r="AT308" i="1"/>
  <c r="AS308" i="1"/>
  <c r="AR308" i="1"/>
  <c r="AQ308" i="1"/>
  <c r="AP308" i="1"/>
  <c r="AH308" i="1"/>
  <c r="AG308" i="1"/>
  <c r="W308" i="1"/>
  <c r="V308" i="1"/>
  <c r="U308" i="1"/>
  <c r="T308" i="1"/>
  <c r="S308" i="1"/>
  <c r="R308" i="1"/>
  <c r="Q308" i="1"/>
  <c r="P308" i="1"/>
  <c r="O308" i="1"/>
  <c r="N308" i="1"/>
  <c r="M308" i="1"/>
  <c r="L308" i="1"/>
  <c r="K308" i="1"/>
  <c r="J308" i="1"/>
  <c r="I308" i="1"/>
  <c r="H308" i="1"/>
  <c r="AZ307" i="1"/>
  <c r="AY307" i="1"/>
  <c r="AX307" i="1"/>
  <c r="AW307" i="1"/>
  <c r="AV307" i="1"/>
  <c r="AU307" i="1"/>
  <c r="AT307" i="1"/>
  <c r="AS307" i="1"/>
  <c r="AR307" i="1"/>
  <c r="AQ307" i="1"/>
  <c r="AP307" i="1"/>
  <c r="AH307" i="1"/>
  <c r="AG307" i="1"/>
  <c r="W307" i="1"/>
  <c r="V307" i="1"/>
  <c r="U307" i="1"/>
  <c r="T307" i="1"/>
  <c r="S307" i="1"/>
  <c r="R307" i="1"/>
  <c r="Q307" i="1"/>
  <c r="P307" i="1"/>
  <c r="O307" i="1"/>
  <c r="N307" i="1"/>
  <c r="M307" i="1"/>
  <c r="L307" i="1"/>
  <c r="K307" i="1"/>
  <c r="J307" i="1"/>
  <c r="I307" i="1"/>
  <c r="H307" i="1"/>
  <c r="AZ306" i="1"/>
  <c r="AY306" i="1"/>
  <c r="AX306" i="1"/>
  <c r="AW306" i="1"/>
  <c r="AV306" i="1"/>
  <c r="AU306" i="1"/>
  <c r="AT306" i="1"/>
  <c r="AS306" i="1"/>
  <c r="AR306" i="1"/>
  <c r="AQ306" i="1"/>
  <c r="AP306" i="1"/>
  <c r="AH306" i="1"/>
  <c r="AG306" i="1"/>
  <c r="W306" i="1"/>
  <c r="V306" i="1"/>
  <c r="U306" i="1"/>
  <c r="T306" i="1"/>
  <c r="S306" i="1"/>
  <c r="R306" i="1"/>
  <c r="Q306" i="1"/>
  <c r="P306" i="1"/>
  <c r="O306" i="1"/>
  <c r="N306" i="1"/>
  <c r="M306" i="1"/>
  <c r="L306" i="1"/>
  <c r="K306" i="1"/>
  <c r="J306" i="1"/>
  <c r="I306" i="1"/>
  <c r="H306" i="1"/>
  <c r="AZ305" i="1"/>
  <c r="AY305" i="1"/>
  <c r="AX305" i="1"/>
  <c r="AW305" i="1"/>
  <c r="AV305" i="1"/>
  <c r="AU305" i="1"/>
  <c r="AT305" i="1"/>
  <c r="AS305" i="1"/>
  <c r="AR305" i="1"/>
  <c r="AQ305" i="1"/>
  <c r="AP305" i="1"/>
  <c r="AH305" i="1"/>
  <c r="AG305" i="1"/>
  <c r="W305" i="1"/>
  <c r="V305" i="1"/>
  <c r="U305" i="1"/>
  <c r="T305" i="1"/>
  <c r="S305" i="1"/>
  <c r="R305" i="1"/>
  <c r="Q305" i="1"/>
  <c r="P305" i="1"/>
  <c r="O305" i="1"/>
  <c r="N305" i="1"/>
  <c r="M305" i="1"/>
  <c r="L305" i="1"/>
  <c r="K305" i="1"/>
  <c r="J305" i="1"/>
  <c r="I305" i="1"/>
  <c r="H305" i="1"/>
  <c r="AZ304" i="1"/>
  <c r="AY304" i="1"/>
  <c r="AX304" i="1"/>
  <c r="AW304" i="1"/>
  <c r="AV304" i="1"/>
  <c r="AU304" i="1"/>
  <c r="AT304" i="1"/>
  <c r="AS304" i="1"/>
  <c r="AR304" i="1"/>
  <c r="AQ304" i="1"/>
  <c r="AP304" i="1"/>
  <c r="AH304" i="1"/>
  <c r="AG304" i="1"/>
  <c r="W304" i="1"/>
  <c r="V304" i="1"/>
  <c r="U304" i="1"/>
  <c r="T304" i="1"/>
  <c r="S304" i="1"/>
  <c r="R304" i="1"/>
  <c r="Q304" i="1"/>
  <c r="P304" i="1"/>
  <c r="O304" i="1"/>
  <c r="N304" i="1"/>
  <c r="M304" i="1"/>
  <c r="L304" i="1"/>
  <c r="K304" i="1"/>
  <c r="J304" i="1"/>
  <c r="I304" i="1"/>
  <c r="H304" i="1"/>
  <c r="AZ303" i="1"/>
  <c r="AY303" i="1"/>
  <c r="AX303" i="1"/>
  <c r="AW303" i="1"/>
  <c r="AV303" i="1"/>
  <c r="AU303" i="1"/>
  <c r="AT303" i="1"/>
  <c r="AS303" i="1"/>
  <c r="AR303" i="1"/>
  <c r="AQ303" i="1"/>
  <c r="AP303" i="1"/>
  <c r="AH303" i="1"/>
  <c r="AG303" i="1"/>
  <c r="W303" i="1"/>
  <c r="V303" i="1"/>
  <c r="U303" i="1"/>
  <c r="T303" i="1"/>
  <c r="S303" i="1"/>
  <c r="R303" i="1"/>
  <c r="Q303" i="1"/>
  <c r="P303" i="1"/>
  <c r="O303" i="1"/>
  <c r="N303" i="1"/>
  <c r="M303" i="1"/>
  <c r="L303" i="1"/>
  <c r="C303" i="1" s="1"/>
  <c r="K303" i="1"/>
  <c r="J303" i="1"/>
  <c r="I303" i="1"/>
  <c r="H303" i="1"/>
  <c r="AZ302" i="1"/>
  <c r="AY302" i="1"/>
  <c r="AX302" i="1"/>
  <c r="AW302" i="1"/>
  <c r="AV302" i="1"/>
  <c r="AU302" i="1"/>
  <c r="AT302" i="1"/>
  <c r="AS302" i="1"/>
  <c r="AR302" i="1"/>
  <c r="AQ302" i="1"/>
  <c r="AP302" i="1"/>
  <c r="AH302" i="1"/>
  <c r="AG302" i="1"/>
  <c r="W302" i="1"/>
  <c r="V302" i="1"/>
  <c r="U302" i="1"/>
  <c r="T302" i="1"/>
  <c r="S302" i="1"/>
  <c r="R302" i="1"/>
  <c r="Q302" i="1"/>
  <c r="P302" i="1"/>
  <c r="O302" i="1"/>
  <c r="N302" i="1"/>
  <c r="M302" i="1"/>
  <c r="L302" i="1"/>
  <c r="K302" i="1"/>
  <c r="J302" i="1"/>
  <c r="I302" i="1"/>
  <c r="H302" i="1"/>
  <c r="AZ301" i="1"/>
  <c r="AY301" i="1"/>
  <c r="AX301" i="1"/>
  <c r="AW301" i="1"/>
  <c r="AV301" i="1"/>
  <c r="AU301" i="1"/>
  <c r="AT301" i="1"/>
  <c r="AS301" i="1"/>
  <c r="AR301" i="1"/>
  <c r="AQ301" i="1"/>
  <c r="AP301" i="1"/>
  <c r="AH301" i="1"/>
  <c r="AG301" i="1"/>
  <c r="W301" i="1"/>
  <c r="V301" i="1"/>
  <c r="U301" i="1"/>
  <c r="T301" i="1"/>
  <c r="S301" i="1"/>
  <c r="R301" i="1"/>
  <c r="Q301" i="1"/>
  <c r="P301" i="1"/>
  <c r="O301" i="1"/>
  <c r="N301" i="1"/>
  <c r="M301" i="1"/>
  <c r="L301" i="1"/>
  <c r="K301" i="1"/>
  <c r="J301" i="1"/>
  <c r="I301" i="1"/>
  <c r="H301" i="1"/>
  <c r="AZ300" i="1"/>
  <c r="AY300" i="1"/>
  <c r="AX300" i="1"/>
  <c r="AW300" i="1"/>
  <c r="AV300" i="1"/>
  <c r="AU300" i="1"/>
  <c r="AT300" i="1"/>
  <c r="AS300" i="1"/>
  <c r="AR300" i="1"/>
  <c r="AQ300" i="1"/>
  <c r="AP300" i="1"/>
  <c r="AH300" i="1"/>
  <c r="AG300" i="1"/>
  <c r="W300" i="1"/>
  <c r="V300" i="1"/>
  <c r="U300" i="1"/>
  <c r="T300" i="1"/>
  <c r="S300" i="1"/>
  <c r="R300" i="1"/>
  <c r="Q300" i="1"/>
  <c r="P300" i="1"/>
  <c r="O300" i="1"/>
  <c r="N300" i="1"/>
  <c r="M300" i="1"/>
  <c r="L300" i="1"/>
  <c r="K300" i="1"/>
  <c r="J300" i="1"/>
  <c r="I300" i="1"/>
  <c r="H300" i="1"/>
  <c r="AZ299" i="1"/>
  <c r="AY299" i="1"/>
  <c r="AX299" i="1"/>
  <c r="AW299" i="1"/>
  <c r="AV299" i="1"/>
  <c r="AU299" i="1"/>
  <c r="AT299" i="1"/>
  <c r="AS299" i="1"/>
  <c r="AR299" i="1"/>
  <c r="AQ299" i="1"/>
  <c r="AP299" i="1"/>
  <c r="AH299" i="1"/>
  <c r="AG299" i="1"/>
  <c r="W299" i="1"/>
  <c r="V299" i="1"/>
  <c r="U299" i="1"/>
  <c r="T299" i="1"/>
  <c r="S299" i="1"/>
  <c r="R299" i="1"/>
  <c r="Q299" i="1"/>
  <c r="P299" i="1"/>
  <c r="O299" i="1"/>
  <c r="N299" i="1"/>
  <c r="M299" i="1"/>
  <c r="L299" i="1"/>
  <c r="K299" i="1"/>
  <c r="J299" i="1"/>
  <c r="I299" i="1"/>
  <c r="H299" i="1"/>
  <c r="AZ298" i="1"/>
  <c r="AY298" i="1"/>
  <c r="AX298" i="1"/>
  <c r="AW298" i="1"/>
  <c r="AV298" i="1"/>
  <c r="AU298" i="1"/>
  <c r="AT298" i="1"/>
  <c r="AS298" i="1"/>
  <c r="AR298" i="1"/>
  <c r="AQ298" i="1"/>
  <c r="AP298" i="1"/>
  <c r="AH298" i="1"/>
  <c r="AG298" i="1"/>
  <c r="W298" i="1"/>
  <c r="V298" i="1"/>
  <c r="U298" i="1"/>
  <c r="T298" i="1"/>
  <c r="S298" i="1"/>
  <c r="R298" i="1"/>
  <c r="Q298" i="1"/>
  <c r="P298" i="1"/>
  <c r="O298" i="1"/>
  <c r="N298" i="1"/>
  <c r="M298" i="1"/>
  <c r="L298" i="1"/>
  <c r="K298" i="1"/>
  <c r="J298" i="1"/>
  <c r="I298" i="1"/>
  <c r="H298" i="1"/>
  <c r="AZ297" i="1"/>
  <c r="AY297" i="1"/>
  <c r="AX297" i="1"/>
  <c r="AW297" i="1"/>
  <c r="AV297" i="1"/>
  <c r="AU297" i="1"/>
  <c r="AT297" i="1"/>
  <c r="AS297" i="1"/>
  <c r="AR297" i="1"/>
  <c r="AQ297" i="1"/>
  <c r="AP297" i="1"/>
  <c r="AI297" i="1"/>
  <c r="AH297" i="1"/>
  <c r="AG297" i="1"/>
  <c r="W297" i="1"/>
  <c r="V297" i="1"/>
  <c r="U297" i="1"/>
  <c r="T297" i="1"/>
  <c r="S297" i="1"/>
  <c r="R297" i="1"/>
  <c r="Q297" i="1"/>
  <c r="P297" i="1"/>
  <c r="O297" i="1"/>
  <c r="N297" i="1"/>
  <c r="M297" i="1"/>
  <c r="L297" i="1"/>
  <c r="K297" i="1"/>
  <c r="J297" i="1"/>
  <c r="I297" i="1"/>
  <c r="H297" i="1"/>
  <c r="AZ296" i="1"/>
  <c r="AY296" i="1"/>
  <c r="AX296" i="1"/>
  <c r="AW296" i="1"/>
  <c r="AV296" i="1"/>
  <c r="AU296" i="1"/>
  <c r="AT296" i="1"/>
  <c r="AS296" i="1"/>
  <c r="AR296" i="1"/>
  <c r="AQ296" i="1"/>
  <c r="AP296" i="1"/>
  <c r="AH296" i="1"/>
  <c r="AG296" i="1"/>
  <c r="W296" i="1"/>
  <c r="V296" i="1"/>
  <c r="U296" i="1"/>
  <c r="T296" i="1"/>
  <c r="S296" i="1"/>
  <c r="R296" i="1"/>
  <c r="Q296" i="1"/>
  <c r="P296" i="1"/>
  <c r="O296" i="1"/>
  <c r="N296" i="1"/>
  <c r="M296" i="1"/>
  <c r="L296" i="1"/>
  <c r="K296" i="1"/>
  <c r="J296" i="1"/>
  <c r="I296" i="1"/>
  <c r="H296" i="1"/>
  <c r="C296" i="1" s="1"/>
  <c r="AZ295" i="1"/>
  <c r="AY295" i="1"/>
  <c r="AX295" i="1"/>
  <c r="AW295" i="1"/>
  <c r="AV295" i="1"/>
  <c r="AU295" i="1"/>
  <c r="AT295" i="1"/>
  <c r="AS295" i="1"/>
  <c r="AR295" i="1"/>
  <c r="AQ295" i="1"/>
  <c r="AP295" i="1"/>
  <c r="AH295" i="1"/>
  <c r="AG295" i="1"/>
  <c r="W295" i="1"/>
  <c r="V295" i="1"/>
  <c r="U295" i="1"/>
  <c r="T295" i="1"/>
  <c r="S295" i="1"/>
  <c r="R295" i="1"/>
  <c r="Q295" i="1"/>
  <c r="P295" i="1"/>
  <c r="O295" i="1"/>
  <c r="N295" i="1"/>
  <c r="M295" i="1"/>
  <c r="L295" i="1"/>
  <c r="K295" i="1"/>
  <c r="J295" i="1"/>
  <c r="C295" i="1" s="1"/>
  <c r="I295" i="1"/>
  <c r="H295" i="1"/>
  <c r="AZ294" i="1"/>
  <c r="AY294" i="1"/>
  <c r="AX294" i="1"/>
  <c r="AW294" i="1"/>
  <c r="AV294" i="1"/>
  <c r="AU294" i="1"/>
  <c r="AT294" i="1"/>
  <c r="AS294" i="1"/>
  <c r="AR294" i="1"/>
  <c r="AQ294" i="1"/>
  <c r="AP294" i="1"/>
  <c r="AI294" i="1"/>
  <c r="AH294" i="1"/>
  <c r="AG294" i="1"/>
  <c r="W294" i="1"/>
  <c r="V294" i="1"/>
  <c r="U294" i="1"/>
  <c r="T294" i="1"/>
  <c r="S294" i="1"/>
  <c r="R294" i="1"/>
  <c r="Q294" i="1"/>
  <c r="P294" i="1"/>
  <c r="O294" i="1"/>
  <c r="N294" i="1"/>
  <c r="M294" i="1"/>
  <c r="L294" i="1"/>
  <c r="K294" i="1"/>
  <c r="J294" i="1"/>
  <c r="I294" i="1"/>
  <c r="C294" i="1" s="1"/>
  <c r="H294" i="1"/>
  <c r="AZ293" i="1"/>
  <c r="AY293" i="1"/>
  <c r="AX293" i="1"/>
  <c r="AW293" i="1"/>
  <c r="AV293" i="1"/>
  <c r="AU293" i="1"/>
  <c r="AT293" i="1"/>
  <c r="AS293" i="1"/>
  <c r="AR293" i="1"/>
  <c r="AQ293" i="1"/>
  <c r="AP293" i="1"/>
  <c r="AI293" i="1"/>
  <c r="AH293" i="1"/>
  <c r="AG293" i="1"/>
  <c r="W293" i="1"/>
  <c r="V293" i="1"/>
  <c r="U293" i="1"/>
  <c r="T293" i="1"/>
  <c r="S293" i="1"/>
  <c r="R293" i="1"/>
  <c r="Q293" i="1"/>
  <c r="P293" i="1"/>
  <c r="O293" i="1"/>
  <c r="N293" i="1"/>
  <c r="M293" i="1"/>
  <c r="L293" i="1"/>
  <c r="K293" i="1"/>
  <c r="J293" i="1"/>
  <c r="I293" i="1"/>
  <c r="H293" i="1"/>
  <c r="C293" i="1" s="1"/>
  <c r="AZ292" i="1"/>
  <c r="AY292" i="1"/>
  <c r="AX292" i="1"/>
  <c r="AW292" i="1"/>
  <c r="AV292" i="1"/>
  <c r="AU292" i="1"/>
  <c r="AT292" i="1"/>
  <c r="AS292" i="1"/>
  <c r="AR292" i="1"/>
  <c r="AQ292" i="1"/>
  <c r="AP292" i="1"/>
  <c r="AH292" i="1"/>
  <c r="AG292" i="1"/>
  <c r="W292" i="1"/>
  <c r="V292" i="1"/>
  <c r="U292" i="1"/>
  <c r="T292" i="1"/>
  <c r="S292" i="1"/>
  <c r="R292" i="1"/>
  <c r="Q292" i="1"/>
  <c r="P292" i="1"/>
  <c r="O292" i="1"/>
  <c r="N292" i="1"/>
  <c r="M292" i="1"/>
  <c r="L292" i="1"/>
  <c r="K292" i="1"/>
  <c r="J292" i="1"/>
  <c r="I292" i="1"/>
  <c r="H292" i="1"/>
  <c r="AZ291" i="1"/>
  <c r="AY291" i="1"/>
  <c r="AX291" i="1"/>
  <c r="AW291" i="1"/>
  <c r="AV291" i="1"/>
  <c r="AU291" i="1"/>
  <c r="AT291" i="1"/>
  <c r="AS291" i="1"/>
  <c r="AR291" i="1"/>
  <c r="AQ291" i="1"/>
  <c r="AP291" i="1"/>
  <c r="AH291" i="1"/>
  <c r="AG291" i="1"/>
  <c r="W291" i="1"/>
  <c r="V291" i="1"/>
  <c r="U291" i="1"/>
  <c r="T291" i="1"/>
  <c r="S291" i="1"/>
  <c r="R291" i="1"/>
  <c r="Q291" i="1"/>
  <c r="P291" i="1"/>
  <c r="O291" i="1"/>
  <c r="N291" i="1"/>
  <c r="M291" i="1"/>
  <c r="L291" i="1"/>
  <c r="K291" i="1"/>
  <c r="J291" i="1"/>
  <c r="I291" i="1"/>
  <c r="H291" i="1"/>
  <c r="AZ290" i="1"/>
  <c r="AY290" i="1"/>
  <c r="AX290" i="1"/>
  <c r="AW290" i="1"/>
  <c r="AV290" i="1"/>
  <c r="AU290" i="1"/>
  <c r="AT290" i="1"/>
  <c r="AS290" i="1"/>
  <c r="AR290" i="1"/>
  <c r="AQ290" i="1"/>
  <c r="AP290" i="1"/>
  <c r="AI290" i="1"/>
  <c r="AH290" i="1"/>
  <c r="AG290" i="1"/>
  <c r="W290" i="1"/>
  <c r="V290" i="1"/>
  <c r="U290" i="1"/>
  <c r="T290" i="1"/>
  <c r="S290" i="1"/>
  <c r="R290" i="1"/>
  <c r="Q290" i="1"/>
  <c r="P290" i="1"/>
  <c r="O290" i="1"/>
  <c r="N290" i="1"/>
  <c r="M290" i="1"/>
  <c r="L290" i="1"/>
  <c r="K290" i="1"/>
  <c r="J290" i="1"/>
  <c r="I290" i="1"/>
  <c r="H290" i="1"/>
  <c r="AZ289" i="1"/>
  <c r="AY289" i="1"/>
  <c r="AX289" i="1"/>
  <c r="AW289" i="1"/>
  <c r="AV289" i="1"/>
  <c r="AU289" i="1"/>
  <c r="AT289" i="1"/>
  <c r="AS289" i="1"/>
  <c r="AR289" i="1"/>
  <c r="AQ289" i="1"/>
  <c r="AP289" i="1"/>
  <c r="AH289" i="1"/>
  <c r="AG289" i="1"/>
  <c r="W289" i="1"/>
  <c r="V289" i="1"/>
  <c r="U289" i="1"/>
  <c r="T289" i="1"/>
  <c r="S289" i="1"/>
  <c r="R289" i="1"/>
  <c r="Q289" i="1"/>
  <c r="P289" i="1"/>
  <c r="O289" i="1"/>
  <c r="N289" i="1"/>
  <c r="M289" i="1"/>
  <c r="L289" i="1"/>
  <c r="K289" i="1"/>
  <c r="J289" i="1"/>
  <c r="I289" i="1"/>
  <c r="H289" i="1"/>
  <c r="AZ288" i="1"/>
  <c r="AY288" i="1"/>
  <c r="AX288" i="1"/>
  <c r="AW288" i="1"/>
  <c r="AV288" i="1"/>
  <c r="AU288" i="1"/>
  <c r="AT288" i="1"/>
  <c r="AS288" i="1"/>
  <c r="AR288" i="1"/>
  <c r="AQ288" i="1"/>
  <c r="AP288" i="1"/>
  <c r="AH288" i="1"/>
  <c r="AG288" i="1"/>
  <c r="W288" i="1"/>
  <c r="V288" i="1"/>
  <c r="U288" i="1"/>
  <c r="T288" i="1"/>
  <c r="S288" i="1"/>
  <c r="R288" i="1"/>
  <c r="Q288" i="1"/>
  <c r="P288" i="1"/>
  <c r="O288" i="1"/>
  <c r="N288" i="1"/>
  <c r="M288" i="1"/>
  <c r="L288" i="1"/>
  <c r="K288" i="1"/>
  <c r="J288" i="1"/>
  <c r="I288" i="1"/>
  <c r="H288" i="1"/>
  <c r="AZ287" i="1"/>
  <c r="AY287" i="1"/>
  <c r="AX287" i="1"/>
  <c r="AW287" i="1"/>
  <c r="AV287" i="1"/>
  <c r="AU287" i="1"/>
  <c r="AT287" i="1"/>
  <c r="AS287" i="1"/>
  <c r="AR287" i="1"/>
  <c r="AQ287" i="1"/>
  <c r="AP287" i="1"/>
  <c r="AI287" i="1"/>
  <c r="AH287" i="1"/>
  <c r="AG287" i="1"/>
  <c r="W287" i="1"/>
  <c r="V287" i="1"/>
  <c r="U287" i="1"/>
  <c r="T287" i="1"/>
  <c r="S287" i="1"/>
  <c r="R287" i="1"/>
  <c r="Q287" i="1"/>
  <c r="P287" i="1"/>
  <c r="O287" i="1"/>
  <c r="N287" i="1"/>
  <c r="M287" i="1"/>
  <c r="L287" i="1"/>
  <c r="K287" i="1"/>
  <c r="J287" i="1"/>
  <c r="I287" i="1"/>
  <c r="H287" i="1"/>
  <c r="AZ286" i="1"/>
  <c r="AY286" i="1"/>
  <c r="AX286" i="1"/>
  <c r="AW286" i="1"/>
  <c r="AV286" i="1"/>
  <c r="AU286" i="1"/>
  <c r="AT286" i="1"/>
  <c r="AS286" i="1"/>
  <c r="AR286" i="1"/>
  <c r="AQ286" i="1"/>
  <c r="AP286" i="1"/>
  <c r="AH286" i="1"/>
  <c r="AG286" i="1"/>
  <c r="W286" i="1"/>
  <c r="V286" i="1"/>
  <c r="U286" i="1"/>
  <c r="T286" i="1"/>
  <c r="S286" i="1"/>
  <c r="R286" i="1"/>
  <c r="Q286" i="1"/>
  <c r="P286" i="1"/>
  <c r="O286" i="1"/>
  <c r="N286" i="1"/>
  <c r="M286" i="1"/>
  <c r="L286" i="1"/>
  <c r="K286" i="1"/>
  <c r="J286" i="1"/>
  <c r="I286" i="1"/>
  <c r="H286" i="1"/>
  <c r="G286" i="1"/>
  <c r="AZ285" i="1"/>
  <c r="AY285" i="1"/>
  <c r="AX285" i="1"/>
  <c r="AW285" i="1"/>
  <c r="AV285" i="1"/>
  <c r="AU285" i="1"/>
  <c r="AT285" i="1"/>
  <c r="AS285" i="1"/>
  <c r="AR285" i="1"/>
  <c r="AQ285" i="1"/>
  <c r="AP285" i="1"/>
  <c r="AI285" i="1"/>
  <c r="AH285" i="1"/>
  <c r="AG285" i="1"/>
  <c r="W285" i="1"/>
  <c r="V285" i="1"/>
  <c r="U285" i="1"/>
  <c r="T285" i="1"/>
  <c r="S285" i="1"/>
  <c r="R285" i="1"/>
  <c r="Q285" i="1"/>
  <c r="P285" i="1"/>
  <c r="O285" i="1"/>
  <c r="N285" i="1"/>
  <c r="M285" i="1"/>
  <c r="L285" i="1"/>
  <c r="K285" i="1"/>
  <c r="J285" i="1"/>
  <c r="I285" i="1"/>
  <c r="H285" i="1"/>
  <c r="G285" i="1"/>
  <c r="AZ284" i="1"/>
  <c r="AY284" i="1"/>
  <c r="AX284" i="1"/>
  <c r="AW284" i="1"/>
  <c r="AV284" i="1"/>
  <c r="AU284" i="1"/>
  <c r="AT284" i="1"/>
  <c r="AS284" i="1"/>
  <c r="AR284" i="1"/>
  <c r="AQ284" i="1"/>
  <c r="AP284" i="1"/>
  <c r="AH284" i="1"/>
  <c r="AG284" i="1"/>
  <c r="W284" i="1"/>
  <c r="V284" i="1"/>
  <c r="U284" i="1"/>
  <c r="T284" i="1"/>
  <c r="S284" i="1"/>
  <c r="R284" i="1"/>
  <c r="Q284" i="1"/>
  <c r="P284" i="1"/>
  <c r="O284" i="1"/>
  <c r="N284" i="1"/>
  <c r="M284" i="1"/>
  <c r="L284" i="1"/>
  <c r="K284" i="1"/>
  <c r="J284" i="1"/>
  <c r="I284" i="1"/>
  <c r="H284" i="1"/>
  <c r="AZ283" i="1"/>
  <c r="AY283" i="1"/>
  <c r="AX283" i="1"/>
  <c r="AW283" i="1"/>
  <c r="AV283" i="1"/>
  <c r="AU283" i="1"/>
  <c r="AT283" i="1"/>
  <c r="AS283" i="1"/>
  <c r="AR283" i="1"/>
  <c r="AQ283" i="1"/>
  <c r="AP283" i="1"/>
  <c r="AH283" i="1"/>
  <c r="AG283" i="1"/>
  <c r="W283" i="1"/>
  <c r="V283" i="1"/>
  <c r="U283" i="1"/>
  <c r="T283" i="1"/>
  <c r="S283" i="1"/>
  <c r="R283" i="1"/>
  <c r="Q283" i="1"/>
  <c r="P283" i="1"/>
  <c r="O283" i="1"/>
  <c r="N283" i="1"/>
  <c r="M283" i="1"/>
  <c r="L283" i="1"/>
  <c r="K283" i="1"/>
  <c r="J283" i="1"/>
  <c r="I283" i="1"/>
  <c r="H283" i="1"/>
  <c r="AZ282" i="1"/>
  <c r="AY282" i="1"/>
  <c r="AX282" i="1"/>
  <c r="AW282" i="1"/>
  <c r="AV282" i="1"/>
  <c r="AU282" i="1"/>
  <c r="AT282" i="1"/>
  <c r="AS282" i="1"/>
  <c r="AR282" i="1"/>
  <c r="AQ282" i="1"/>
  <c r="AP282" i="1"/>
  <c r="AH282" i="1"/>
  <c r="AG282" i="1"/>
  <c r="W282" i="1"/>
  <c r="V282" i="1"/>
  <c r="U282" i="1"/>
  <c r="T282" i="1"/>
  <c r="S282" i="1"/>
  <c r="R282" i="1"/>
  <c r="Q282" i="1"/>
  <c r="P282" i="1"/>
  <c r="O282" i="1"/>
  <c r="N282" i="1"/>
  <c r="M282" i="1"/>
  <c r="L282" i="1"/>
  <c r="K282" i="1"/>
  <c r="J282" i="1"/>
  <c r="I282" i="1"/>
  <c r="H282" i="1"/>
  <c r="X282" i="1" s="1"/>
  <c r="AZ281" i="1"/>
  <c r="AY281" i="1"/>
  <c r="AX281" i="1"/>
  <c r="AW281" i="1"/>
  <c r="AV281" i="1"/>
  <c r="AU281" i="1"/>
  <c r="AT281" i="1"/>
  <c r="AS281" i="1"/>
  <c r="AR281" i="1"/>
  <c r="AQ281" i="1"/>
  <c r="AP281" i="1"/>
  <c r="AH281" i="1"/>
  <c r="AG281" i="1"/>
  <c r="W281" i="1"/>
  <c r="V281" i="1"/>
  <c r="U281" i="1"/>
  <c r="T281" i="1"/>
  <c r="S281" i="1"/>
  <c r="R281" i="1"/>
  <c r="Q281" i="1"/>
  <c r="P281" i="1"/>
  <c r="O281" i="1"/>
  <c r="N281" i="1"/>
  <c r="M281" i="1"/>
  <c r="L281" i="1"/>
  <c r="K281" i="1"/>
  <c r="J281" i="1"/>
  <c r="I281" i="1"/>
  <c r="H281" i="1"/>
  <c r="AZ280" i="1"/>
  <c r="AY280" i="1"/>
  <c r="AX280" i="1"/>
  <c r="AW280" i="1"/>
  <c r="AV280" i="1"/>
  <c r="AU280" i="1"/>
  <c r="AT280" i="1"/>
  <c r="AS280" i="1"/>
  <c r="AR280" i="1"/>
  <c r="AQ280" i="1"/>
  <c r="AP280" i="1"/>
  <c r="AI280" i="1"/>
  <c r="AH280" i="1"/>
  <c r="AG280" i="1"/>
  <c r="W280" i="1"/>
  <c r="V280" i="1"/>
  <c r="U280" i="1"/>
  <c r="T280" i="1"/>
  <c r="S280" i="1"/>
  <c r="R280" i="1"/>
  <c r="Q280" i="1"/>
  <c r="P280" i="1"/>
  <c r="O280" i="1"/>
  <c r="N280" i="1"/>
  <c r="M280" i="1"/>
  <c r="L280" i="1"/>
  <c r="K280" i="1"/>
  <c r="J280" i="1"/>
  <c r="I280" i="1"/>
  <c r="H280" i="1"/>
  <c r="AZ279" i="1"/>
  <c r="AY279" i="1"/>
  <c r="AX279" i="1"/>
  <c r="AW279" i="1"/>
  <c r="AV279" i="1"/>
  <c r="AU279" i="1"/>
  <c r="AT279" i="1"/>
  <c r="AS279" i="1"/>
  <c r="AR279" i="1"/>
  <c r="AQ279" i="1"/>
  <c r="AP279" i="1"/>
  <c r="AI279" i="1"/>
  <c r="AH279" i="1"/>
  <c r="AG279" i="1"/>
  <c r="W279" i="1"/>
  <c r="V279" i="1"/>
  <c r="U279" i="1"/>
  <c r="T279" i="1"/>
  <c r="S279" i="1"/>
  <c r="R279" i="1"/>
  <c r="Q279" i="1"/>
  <c r="P279" i="1"/>
  <c r="O279" i="1"/>
  <c r="N279" i="1"/>
  <c r="M279" i="1"/>
  <c r="L279" i="1"/>
  <c r="K279" i="1"/>
  <c r="J279" i="1"/>
  <c r="I279" i="1"/>
  <c r="H279" i="1"/>
  <c r="AZ278" i="1"/>
  <c r="AY278" i="1"/>
  <c r="AX278" i="1"/>
  <c r="AW278" i="1"/>
  <c r="AV278" i="1"/>
  <c r="AU278" i="1"/>
  <c r="AT278" i="1"/>
  <c r="AS278" i="1"/>
  <c r="AR278" i="1"/>
  <c r="AQ278" i="1"/>
  <c r="AP278" i="1"/>
  <c r="AH278" i="1"/>
  <c r="AG278" i="1"/>
  <c r="W278" i="1"/>
  <c r="V278" i="1"/>
  <c r="U278" i="1"/>
  <c r="T278" i="1"/>
  <c r="S278" i="1"/>
  <c r="R278" i="1"/>
  <c r="Q278" i="1"/>
  <c r="P278" i="1"/>
  <c r="O278" i="1"/>
  <c r="N278" i="1"/>
  <c r="M278" i="1"/>
  <c r="L278" i="1"/>
  <c r="K278" i="1"/>
  <c r="J278" i="1"/>
  <c r="I278" i="1"/>
  <c r="H278" i="1"/>
  <c r="AZ277" i="1"/>
  <c r="AY277" i="1"/>
  <c r="AX277" i="1"/>
  <c r="AW277" i="1"/>
  <c r="AV277" i="1"/>
  <c r="AU277" i="1"/>
  <c r="AT277" i="1"/>
  <c r="AS277" i="1"/>
  <c r="AR277" i="1"/>
  <c r="AQ277" i="1"/>
  <c r="AP277" i="1"/>
  <c r="AI277" i="1"/>
  <c r="AH277" i="1"/>
  <c r="AG277" i="1"/>
  <c r="W277" i="1"/>
  <c r="V277" i="1"/>
  <c r="U277" i="1"/>
  <c r="T277" i="1"/>
  <c r="S277" i="1"/>
  <c r="R277" i="1"/>
  <c r="Q277" i="1"/>
  <c r="P277" i="1"/>
  <c r="O277" i="1"/>
  <c r="N277" i="1"/>
  <c r="M277" i="1"/>
  <c r="L277" i="1"/>
  <c r="K277" i="1"/>
  <c r="J277" i="1"/>
  <c r="I277" i="1"/>
  <c r="H277" i="1"/>
  <c r="AZ276" i="1"/>
  <c r="AY276" i="1"/>
  <c r="AX276" i="1"/>
  <c r="AW276" i="1"/>
  <c r="AV276" i="1"/>
  <c r="AU276" i="1"/>
  <c r="AT276" i="1"/>
  <c r="AS276" i="1"/>
  <c r="AR276" i="1"/>
  <c r="AQ276" i="1"/>
  <c r="AP276" i="1"/>
  <c r="AI276" i="1"/>
  <c r="AH276" i="1"/>
  <c r="AG276" i="1"/>
  <c r="W276" i="1"/>
  <c r="V276" i="1"/>
  <c r="U276" i="1"/>
  <c r="T276" i="1"/>
  <c r="S276" i="1"/>
  <c r="R276" i="1"/>
  <c r="Q276" i="1"/>
  <c r="P276" i="1"/>
  <c r="O276" i="1"/>
  <c r="N276" i="1"/>
  <c r="M276" i="1"/>
  <c r="L276" i="1"/>
  <c r="K276" i="1"/>
  <c r="J276" i="1"/>
  <c r="I276" i="1"/>
  <c r="H276" i="1"/>
  <c r="AZ275" i="1"/>
  <c r="AY275" i="1"/>
  <c r="AX275" i="1"/>
  <c r="AW275" i="1"/>
  <c r="AV275" i="1"/>
  <c r="AU275" i="1"/>
  <c r="AT275" i="1"/>
  <c r="AS275" i="1"/>
  <c r="AR275" i="1"/>
  <c r="AQ275" i="1"/>
  <c r="AP275" i="1"/>
  <c r="AH275" i="1"/>
  <c r="AG275" i="1"/>
  <c r="W275" i="1"/>
  <c r="V275" i="1"/>
  <c r="U275" i="1"/>
  <c r="T275" i="1"/>
  <c r="S275" i="1"/>
  <c r="R275" i="1"/>
  <c r="Q275" i="1"/>
  <c r="P275" i="1"/>
  <c r="O275" i="1"/>
  <c r="C275" i="1" s="1"/>
  <c r="N275" i="1"/>
  <c r="M275" i="1"/>
  <c r="L275" i="1"/>
  <c r="K275" i="1"/>
  <c r="J275" i="1"/>
  <c r="I275" i="1"/>
  <c r="H275" i="1"/>
  <c r="AZ274" i="1"/>
  <c r="AY274" i="1"/>
  <c r="AX274" i="1"/>
  <c r="AW274" i="1"/>
  <c r="AV274" i="1"/>
  <c r="AU274" i="1"/>
  <c r="AT274" i="1"/>
  <c r="AS274" i="1"/>
  <c r="AR274" i="1"/>
  <c r="AQ274" i="1"/>
  <c r="AP274" i="1"/>
  <c r="AH274" i="1"/>
  <c r="AG274" i="1"/>
  <c r="W274" i="1"/>
  <c r="V274" i="1"/>
  <c r="U274" i="1"/>
  <c r="T274" i="1"/>
  <c r="S274" i="1"/>
  <c r="R274" i="1"/>
  <c r="Q274" i="1"/>
  <c r="P274" i="1"/>
  <c r="O274" i="1"/>
  <c r="N274" i="1"/>
  <c r="M274" i="1"/>
  <c r="L274" i="1"/>
  <c r="K274" i="1"/>
  <c r="J274" i="1"/>
  <c r="I274" i="1"/>
  <c r="H274" i="1"/>
  <c r="AZ273" i="1"/>
  <c r="AY273" i="1"/>
  <c r="AX273" i="1"/>
  <c r="AW273" i="1"/>
  <c r="AV273" i="1"/>
  <c r="AU273" i="1"/>
  <c r="AT273" i="1"/>
  <c r="AS273" i="1"/>
  <c r="AR273" i="1"/>
  <c r="AQ273" i="1"/>
  <c r="AP273" i="1"/>
  <c r="AH273" i="1"/>
  <c r="AG273" i="1"/>
  <c r="W273" i="1"/>
  <c r="V273" i="1"/>
  <c r="U273" i="1"/>
  <c r="T273" i="1"/>
  <c r="S273" i="1"/>
  <c r="R273" i="1"/>
  <c r="Q273" i="1"/>
  <c r="P273" i="1"/>
  <c r="O273" i="1"/>
  <c r="N273" i="1"/>
  <c r="M273" i="1"/>
  <c r="L273" i="1"/>
  <c r="K273" i="1"/>
  <c r="J273" i="1"/>
  <c r="I273" i="1"/>
  <c r="H273" i="1"/>
  <c r="AZ272" i="1"/>
  <c r="AY272" i="1"/>
  <c r="AX272" i="1"/>
  <c r="AW272" i="1"/>
  <c r="AV272" i="1"/>
  <c r="AU272" i="1"/>
  <c r="AT272" i="1"/>
  <c r="AS272" i="1"/>
  <c r="AR272" i="1"/>
  <c r="AQ272" i="1"/>
  <c r="AP272" i="1"/>
  <c r="AI272" i="1"/>
  <c r="AH272" i="1"/>
  <c r="AG272" i="1"/>
  <c r="W272" i="1"/>
  <c r="V272" i="1"/>
  <c r="U272" i="1"/>
  <c r="T272" i="1"/>
  <c r="S272" i="1"/>
  <c r="R272" i="1"/>
  <c r="Q272" i="1"/>
  <c r="P272" i="1"/>
  <c r="O272" i="1"/>
  <c r="N272" i="1"/>
  <c r="M272" i="1"/>
  <c r="L272" i="1"/>
  <c r="K272" i="1"/>
  <c r="J272" i="1"/>
  <c r="I272" i="1"/>
  <c r="H272" i="1"/>
  <c r="AZ271" i="1"/>
  <c r="AY271" i="1"/>
  <c r="AX271" i="1"/>
  <c r="AW271" i="1"/>
  <c r="AV271" i="1"/>
  <c r="AU271" i="1"/>
  <c r="AT271" i="1"/>
  <c r="AS271" i="1"/>
  <c r="AR271" i="1"/>
  <c r="AQ271" i="1"/>
  <c r="AP271" i="1"/>
  <c r="AH271" i="1"/>
  <c r="AG271" i="1"/>
  <c r="W271" i="1"/>
  <c r="V271" i="1"/>
  <c r="U271" i="1"/>
  <c r="T271" i="1"/>
  <c r="S271" i="1"/>
  <c r="R271" i="1"/>
  <c r="Q271" i="1"/>
  <c r="P271" i="1"/>
  <c r="O271" i="1"/>
  <c r="N271" i="1"/>
  <c r="M271" i="1"/>
  <c r="L271" i="1"/>
  <c r="K271" i="1"/>
  <c r="J271" i="1"/>
  <c r="I271" i="1"/>
  <c r="H271" i="1"/>
  <c r="AZ270" i="1"/>
  <c r="AY270" i="1"/>
  <c r="AX270" i="1"/>
  <c r="AW270" i="1"/>
  <c r="AV270" i="1"/>
  <c r="AU270" i="1"/>
  <c r="AT270" i="1"/>
  <c r="AS270" i="1"/>
  <c r="AR270" i="1"/>
  <c r="AQ270" i="1"/>
  <c r="AP270" i="1"/>
  <c r="AI270" i="1"/>
  <c r="AH270" i="1"/>
  <c r="AG270" i="1"/>
  <c r="W270" i="1"/>
  <c r="V270" i="1"/>
  <c r="U270" i="1"/>
  <c r="T270" i="1"/>
  <c r="S270" i="1"/>
  <c r="R270" i="1"/>
  <c r="Q270" i="1"/>
  <c r="P270" i="1"/>
  <c r="O270" i="1"/>
  <c r="N270" i="1"/>
  <c r="M270" i="1"/>
  <c r="L270" i="1"/>
  <c r="K270" i="1"/>
  <c r="J270" i="1"/>
  <c r="C270" i="1" s="1"/>
  <c r="I270" i="1"/>
  <c r="H270" i="1"/>
  <c r="AZ269" i="1"/>
  <c r="AY269" i="1"/>
  <c r="AX269" i="1"/>
  <c r="AW269" i="1"/>
  <c r="AV269" i="1"/>
  <c r="AU269" i="1"/>
  <c r="AT269" i="1"/>
  <c r="AS269" i="1"/>
  <c r="AR269" i="1"/>
  <c r="AQ269" i="1"/>
  <c r="AP269" i="1"/>
  <c r="AI269" i="1"/>
  <c r="AH269" i="1"/>
  <c r="AG269" i="1"/>
  <c r="W269" i="1"/>
  <c r="V269" i="1"/>
  <c r="U269" i="1"/>
  <c r="T269" i="1"/>
  <c r="S269" i="1"/>
  <c r="R269" i="1"/>
  <c r="Q269" i="1"/>
  <c r="P269" i="1"/>
  <c r="O269" i="1"/>
  <c r="N269" i="1"/>
  <c r="M269" i="1"/>
  <c r="L269" i="1"/>
  <c r="K269" i="1"/>
  <c r="J269" i="1"/>
  <c r="I269" i="1"/>
  <c r="C269" i="1" s="1"/>
  <c r="H269" i="1"/>
  <c r="AZ268" i="1"/>
  <c r="AY268" i="1"/>
  <c r="AX268" i="1"/>
  <c r="AW268" i="1"/>
  <c r="AV268" i="1"/>
  <c r="AU268" i="1"/>
  <c r="AT268" i="1"/>
  <c r="AS268" i="1"/>
  <c r="AR268" i="1"/>
  <c r="AQ268" i="1"/>
  <c r="AP268" i="1"/>
  <c r="AI268" i="1"/>
  <c r="AH268" i="1"/>
  <c r="AG268" i="1"/>
  <c r="W268" i="1"/>
  <c r="V268" i="1"/>
  <c r="U268" i="1"/>
  <c r="T268" i="1"/>
  <c r="S268" i="1"/>
  <c r="R268" i="1"/>
  <c r="Q268" i="1"/>
  <c r="P268" i="1"/>
  <c r="O268" i="1"/>
  <c r="N268" i="1"/>
  <c r="M268" i="1"/>
  <c r="L268" i="1"/>
  <c r="K268" i="1"/>
  <c r="J268" i="1"/>
  <c r="I268" i="1"/>
  <c r="H268" i="1"/>
  <c r="X268" i="1" s="1"/>
  <c r="AZ267" i="1"/>
  <c r="AY267" i="1"/>
  <c r="AX267" i="1"/>
  <c r="AW267" i="1"/>
  <c r="AV267" i="1"/>
  <c r="AU267" i="1"/>
  <c r="AT267" i="1"/>
  <c r="AS267" i="1"/>
  <c r="AR267" i="1"/>
  <c r="AQ267" i="1"/>
  <c r="AP267" i="1"/>
  <c r="AI267" i="1"/>
  <c r="AH267" i="1"/>
  <c r="AG267" i="1"/>
  <c r="W267" i="1"/>
  <c r="V267" i="1"/>
  <c r="U267" i="1"/>
  <c r="T267" i="1"/>
  <c r="S267" i="1"/>
  <c r="R267" i="1"/>
  <c r="Q267" i="1"/>
  <c r="P267" i="1"/>
  <c r="O267" i="1"/>
  <c r="N267" i="1"/>
  <c r="M267" i="1"/>
  <c r="L267" i="1"/>
  <c r="K267" i="1"/>
  <c r="J267" i="1"/>
  <c r="I267" i="1"/>
  <c r="H267" i="1"/>
  <c r="AZ266" i="1"/>
  <c r="AY266" i="1"/>
  <c r="AX266" i="1"/>
  <c r="AW266" i="1"/>
  <c r="AV266" i="1"/>
  <c r="AU266" i="1"/>
  <c r="AT266" i="1"/>
  <c r="AS266" i="1"/>
  <c r="AR266" i="1"/>
  <c r="AQ266" i="1"/>
  <c r="AP266" i="1"/>
  <c r="AI266" i="1"/>
  <c r="AH266" i="1"/>
  <c r="AG266" i="1"/>
  <c r="W266" i="1"/>
  <c r="V266" i="1"/>
  <c r="U266" i="1"/>
  <c r="T266" i="1"/>
  <c r="S266" i="1"/>
  <c r="R266" i="1"/>
  <c r="Q266" i="1"/>
  <c r="P266" i="1"/>
  <c r="O266" i="1"/>
  <c r="N266" i="1"/>
  <c r="M266" i="1"/>
  <c r="L266" i="1"/>
  <c r="K266" i="1"/>
  <c r="J266" i="1"/>
  <c r="I266" i="1"/>
  <c r="H266" i="1"/>
  <c r="AZ265" i="1"/>
  <c r="AY265" i="1"/>
  <c r="AX265" i="1"/>
  <c r="AW265" i="1"/>
  <c r="AV265" i="1"/>
  <c r="AU265" i="1"/>
  <c r="AT265" i="1"/>
  <c r="AS265" i="1"/>
  <c r="AR265" i="1"/>
  <c r="AQ265" i="1"/>
  <c r="AP265" i="1"/>
  <c r="AI265" i="1"/>
  <c r="AH265" i="1"/>
  <c r="AG265" i="1"/>
  <c r="W265" i="1"/>
  <c r="V265" i="1"/>
  <c r="U265" i="1"/>
  <c r="T265" i="1"/>
  <c r="S265" i="1"/>
  <c r="R265" i="1"/>
  <c r="Q265" i="1"/>
  <c r="P265" i="1"/>
  <c r="O265" i="1"/>
  <c r="N265" i="1"/>
  <c r="M265" i="1"/>
  <c r="L265" i="1"/>
  <c r="K265" i="1"/>
  <c r="J265" i="1"/>
  <c r="I265" i="1"/>
  <c r="H265" i="1"/>
  <c r="AZ264" i="1"/>
  <c r="AY264" i="1"/>
  <c r="AX264" i="1"/>
  <c r="AW264" i="1"/>
  <c r="AV264" i="1"/>
  <c r="AU264" i="1"/>
  <c r="AT264" i="1"/>
  <c r="AS264" i="1"/>
  <c r="AR264" i="1"/>
  <c r="AQ264" i="1"/>
  <c r="AP264" i="1"/>
  <c r="AI264" i="1"/>
  <c r="AH264" i="1"/>
  <c r="AG264" i="1"/>
  <c r="W264" i="1"/>
  <c r="V264" i="1"/>
  <c r="U264" i="1"/>
  <c r="T264" i="1"/>
  <c r="S264" i="1"/>
  <c r="R264" i="1"/>
  <c r="Q264" i="1"/>
  <c r="P264" i="1"/>
  <c r="O264" i="1"/>
  <c r="N264" i="1"/>
  <c r="M264" i="1"/>
  <c r="L264" i="1"/>
  <c r="K264" i="1"/>
  <c r="J264" i="1"/>
  <c r="I264" i="1"/>
  <c r="C264" i="1" s="1"/>
  <c r="H264" i="1"/>
  <c r="AZ263" i="1"/>
  <c r="AY263" i="1"/>
  <c r="AX263" i="1"/>
  <c r="AW263" i="1"/>
  <c r="AV263" i="1"/>
  <c r="AU263" i="1"/>
  <c r="AT263" i="1"/>
  <c r="AS263" i="1"/>
  <c r="AR263" i="1"/>
  <c r="AQ263" i="1"/>
  <c r="AP263" i="1"/>
  <c r="AI263" i="1"/>
  <c r="AH263" i="1"/>
  <c r="AG263" i="1"/>
  <c r="W263" i="1"/>
  <c r="V263" i="1"/>
  <c r="U263" i="1"/>
  <c r="T263" i="1"/>
  <c r="S263" i="1"/>
  <c r="R263" i="1"/>
  <c r="Q263" i="1"/>
  <c r="P263" i="1"/>
  <c r="O263" i="1"/>
  <c r="N263" i="1"/>
  <c r="M263" i="1"/>
  <c r="L263" i="1"/>
  <c r="K263" i="1"/>
  <c r="J263" i="1"/>
  <c r="I263" i="1"/>
  <c r="H263" i="1"/>
  <c r="AZ262" i="1"/>
  <c r="AY262" i="1"/>
  <c r="AX262" i="1"/>
  <c r="AW262" i="1"/>
  <c r="AV262" i="1"/>
  <c r="AU262" i="1"/>
  <c r="AT262" i="1"/>
  <c r="AS262" i="1"/>
  <c r="AR262" i="1"/>
  <c r="AQ262" i="1"/>
  <c r="AP262" i="1"/>
  <c r="AI262" i="1"/>
  <c r="AH262" i="1"/>
  <c r="AG262" i="1"/>
  <c r="W262" i="1"/>
  <c r="V262" i="1"/>
  <c r="U262" i="1"/>
  <c r="T262" i="1"/>
  <c r="S262" i="1"/>
  <c r="R262" i="1"/>
  <c r="Q262" i="1"/>
  <c r="P262" i="1"/>
  <c r="O262" i="1"/>
  <c r="N262" i="1"/>
  <c r="M262" i="1"/>
  <c r="L262" i="1"/>
  <c r="K262" i="1"/>
  <c r="J262" i="1"/>
  <c r="I262" i="1"/>
  <c r="H262" i="1"/>
  <c r="AZ261" i="1"/>
  <c r="AY261" i="1"/>
  <c r="AX261" i="1"/>
  <c r="AW261" i="1"/>
  <c r="AV261" i="1"/>
  <c r="AU261" i="1"/>
  <c r="AT261" i="1"/>
  <c r="AS261" i="1"/>
  <c r="AR261" i="1"/>
  <c r="AQ261" i="1"/>
  <c r="AP261" i="1"/>
  <c r="AI261" i="1"/>
  <c r="AH261" i="1"/>
  <c r="AG261" i="1"/>
  <c r="W261" i="1"/>
  <c r="V261" i="1"/>
  <c r="U261" i="1"/>
  <c r="T261" i="1"/>
  <c r="S261" i="1"/>
  <c r="R261" i="1"/>
  <c r="Q261" i="1"/>
  <c r="P261" i="1"/>
  <c r="O261" i="1"/>
  <c r="N261" i="1"/>
  <c r="M261" i="1"/>
  <c r="L261" i="1"/>
  <c r="K261" i="1"/>
  <c r="J261" i="1"/>
  <c r="I261" i="1"/>
  <c r="H261" i="1"/>
  <c r="AZ260" i="1"/>
  <c r="AY260" i="1"/>
  <c r="AX260" i="1"/>
  <c r="AW260" i="1"/>
  <c r="AV260" i="1"/>
  <c r="AU260" i="1"/>
  <c r="AT260" i="1"/>
  <c r="AS260" i="1"/>
  <c r="AR260" i="1"/>
  <c r="AQ260" i="1"/>
  <c r="AP260" i="1"/>
  <c r="W260" i="1"/>
  <c r="V260" i="1"/>
  <c r="U260" i="1"/>
  <c r="T260" i="1"/>
  <c r="S260" i="1"/>
  <c r="R260" i="1"/>
  <c r="Q260" i="1"/>
  <c r="P260" i="1"/>
  <c r="O260" i="1"/>
  <c r="N260" i="1"/>
  <c r="C260" i="1" s="1"/>
  <c r="M260" i="1"/>
  <c r="L260" i="1"/>
  <c r="K260" i="1"/>
  <c r="J260" i="1"/>
  <c r="I260" i="1"/>
  <c r="H260" i="1"/>
  <c r="AZ259" i="1"/>
  <c r="AY259" i="1"/>
  <c r="AX259" i="1"/>
  <c r="AW259" i="1"/>
  <c r="AV259" i="1"/>
  <c r="AU259" i="1"/>
  <c r="AT259" i="1"/>
  <c r="AS259" i="1"/>
  <c r="AR259" i="1"/>
  <c r="AQ259" i="1"/>
  <c r="AP259" i="1"/>
  <c r="AI259" i="1"/>
  <c r="AH259" i="1"/>
  <c r="AG259" i="1"/>
  <c r="W259" i="1"/>
  <c r="V259" i="1"/>
  <c r="U259" i="1"/>
  <c r="T259" i="1"/>
  <c r="S259" i="1"/>
  <c r="R259" i="1"/>
  <c r="Q259" i="1"/>
  <c r="P259" i="1"/>
  <c r="O259" i="1"/>
  <c r="N259" i="1"/>
  <c r="M259" i="1"/>
  <c r="L259" i="1"/>
  <c r="K259" i="1"/>
  <c r="J259" i="1"/>
  <c r="I259" i="1"/>
  <c r="H259" i="1"/>
  <c r="AZ258" i="1"/>
  <c r="AY258" i="1"/>
  <c r="AX258" i="1"/>
  <c r="AW258" i="1"/>
  <c r="AV258" i="1"/>
  <c r="AU258" i="1"/>
  <c r="AT258" i="1"/>
  <c r="AS258" i="1"/>
  <c r="AR258" i="1"/>
  <c r="AQ258" i="1"/>
  <c r="AP258" i="1"/>
  <c r="AH258" i="1"/>
  <c r="AG258" i="1"/>
  <c r="W258" i="1"/>
  <c r="V258" i="1"/>
  <c r="U258" i="1"/>
  <c r="T258" i="1"/>
  <c r="S258" i="1"/>
  <c r="R258" i="1"/>
  <c r="Q258" i="1"/>
  <c r="P258" i="1"/>
  <c r="O258" i="1"/>
  <c r="N258" i="1"/>
  <c r="M258" i="1"/>
  <c r="L258" i="1"/>
  <c r="K258" i="1"/>
  <c r="J258" i="1"/>
  <c r="I258" i="1"/>
  <c r="H258" i="1"/>
  <c r="AZ257" i="1"/>
  <c r="AY257" i="1"/>
  <c r="AX257" i="1"/>
  <c r="AW257" i="1"/>
  <c r="AV257" i="1"/>
  <c r="AU257" i="1"/>
  <c r="AT257" i="1"/>
  <c r="AS257" i="1"/>
  <c r="AR257" i="1"/>
  <c r="AQ257" i="1"/>
  <c r="AP257" i="1"/>
  <c r="AI257" i="1"/>
  <c r="AH257" i="1"/>
  <c r="AG257" i="1"/>
  <c r="W257" i="1"/>
  <c r="V257" i="1"/>
  <c r="U257" i="1"/>
  <c r="T257" i="1"/>
  <c r="S257" i="1"/>
  <c r="R257" i="1"/>
  <c r="Q257" i="1"/>
  <c r="P257" i="1"/>
  <c r="O257" i="1"/>
  <c r="N257" i="1"/>
  <c r="M257" i="1"/>
  <c r="L257" i="1"/>
  <c r="K257" i="1"/>
  <c r="J257" i="1"/>
  <c r="I257" i="1"/>
  <c r="H257" i="1"/>
  <c r="AZ256" i="1"/>
  <c r="AY256" i="1"/>
  <c r="AX256" i="1"/>
  <c r="AW256" i="1"/>
  <c r="AV256" i="1"/>
  <c r="AU256" i="1"/>
  <c r="AT256" i="1"/>
  <c r="AS256" i="1"/>
  <c r="AR256" i="1"/>
  <c r="AQ256" i="1"/>
  <c r="AP256" i="1"/>
  <c r="AI256" i="1"/>
  <c r="AH256" i="1"/>
  <c r="AG256" i="1"/>
  <c r="W256" i="1"/>
  <c r="V256" i="1"/>
  <c r="U256" i="1"/>
  <c r="T256" i="1"/>
  <c r="S256" i="1"/>
  <c r="R256" i="1"/>
  <c r="Q256" i="1"/>
  <c r="P256" i="1"/>
  <c r="O256" i="1"/>
  <c r="N256" i="1"/>
  <c r="M256" i="1"/>
  <c r="L256" i="1"/>
  <c r="K256" i="1"/>
  <c r="J256" i="1"/>
  <c r="I256" i="1"/>
  <c r="H256" i="1"/>
  <c r="AZ255" i="1"/>
  <c r="AY255" i="1"/>
  <c r="AX255" i="1"/>
  <c r="AW255" i="1"/>
  <c r="AV255" i="1"/>
  <c r="AU255" i="1"/>
  <c r="AT255" i="1"/>
  <c r="AS255" i="1"/>
  <c r="AR255" i="1"/>
  <c r="AQ255" i="1"/>
  <c r="AP255" i="1"/>
  <c r="AI255" i="1"/>
  <c r="AH255" i="1"/>
  <c r="AG255" i="1"/>
  <c r="W255" i="1"/>
  <c r="V255" i="1"/>
  <c r="U255" i="1"/>
  <c r="T255" i="1"/>
  <c r="S255" i="1"/>
  <c r="R255" i="1"/>
  <c r="Q255" i="1"/>
  <c r="P255" i="1"/>
  <c r="O255" i="1"/>
  <c r="N255" i="1"/>
  <c r="M255" i="1"/>
  <c r="L255" i="1"/>
  <c r="K255" i="1"/>
  <c r="J255" i="1"/>
  <c r="I255" i="1"/>
  <c r="H255" i="1"/>
  <c r="AZ254" i="1"/>
  <c r="AY254" i="1"/>
  <c r="AX254" i="1"/>
  <c r="AW254" i="1"/>
  <c r="AV254" i="1"/>
  <c r="AU254" i="1"/>
  <c r="AT254" i="1"/>
  <c r="AS254" i="1"/>
  <c r="AR254" i="1"/>
  <c r="AQ254" i="1"/>
  <c r="AP254" i="1"/>
  <c r="AI254" i="1"/>
  <c r="AH254" i="1"/>
  <c r="AG254" i="1"/>
  <c r="W254" i="1"/>
  <c r="V254" i="1"/>
  <c r="U254" i="1"/>
  <c r="T254" i="1"/>
  <c r="S254" i="1"/>
  <c r="R254" i="1"/>
  <c r="Q254" i="1"/>
  <c r="P254" i="1"/>
  <c r="O254" i="1"/>
  <c r="N254" i="1"/>
  <c r="M254" i="1"/>
  <c r="L254" i="1"/>
  <c r="K254" i="1"/>
  <c r="J254" i="1"/>
  <c r="I254" i="1"/>
  <c r="H254" i="1"/>
  <c r="AZ253" i="1"/>
  <c r="AY253" i="1"/>
  <c r="AX253" i="1"/>
  <c r="AW253" i="1"/>
  <c r="AV253" i="1"/>
  <c r="AU253" i="1"/>
  <c r="AT253" i="1"/>
  <c r="AS253" i="1"/>
  <c r="AR253" i="1"/>
  <c r="AQ253" i="1"/>
  <c r="AP253" i="1"/>
  <c r="AI253" i="1"/>
  <c r="AH253" i="1"/>
  <c r="AG253" i="1"/>
  <c r="W253" i="1"/>
  <c r="V253" i="1"/>
  <c r="U253" i="1"/>
  <c r="T253" i="1"/>
  <c r="S253" i="1"/>
  <c r="R253" i="1"/>
  <c r="Q253" i="1"/>
  <c r="P253" i="1"/>
  <c r="O253" i="1"/>
  <c r="N253" i="1"/>
  <c r="M253" i="1"/>
  <c r="L253" i="1"/>
  <c r="K253" i="1"/>
  <c r="J253" i="1"/>
  <c r="I253" i="1"/>
  <c r="H253" i="1"/>
  <c r="AZ252" i="1"/>
  <c r="AY252" i="1"/>
  <c r="AX252" i="1"/>
  <c r="AW252" i="1"/>
  <c r="AV252" i="1"/>
  <c r="AU252" i="1"/>
  <c r="AT252" i="1"/>
  <c r="AS252" i="1"/>
  <c r="AR252" i="1"/>
  <c r="AQ252" i="1"/>
  <c r="AP252" i="1"/>
  <c r="AI252" i="1"/>
  <c r="AH252" i="1"/>
  <c r="AG252" i="1"/>
  <c r="W252" i="1"/>
  <c r="V252" i="1"/>
  <c r="U252" i="1"/>
  <c r="T252" i="1"/>
  <c r="S252" i="1"/>
  <c r="R252" i="1"/>
  <c r="Q252" i="1"/>
  <c r="P252" i="1"/>
  <c r="O252" i="1"/>
  <c r="N252" i="1"/>
  <c r="M252" i="1"/>
  <c r="L252" i="1"/>
  <c r="K252" i="1"/>
  <c r="J252" i="1"/>
  <c r="I252" i="1"/>
  <c r="H252" i="1"/>
  <c r="AZ251" i="1"/>
  <c r="AY251" i="1"/>
  <c r="AX251" i="1"/>
  <c r="AW251" i="1"/>
  <c r="AV251" i="1"/>
  <c r="AU251" i="1"/>
  <c r="AT251" i="1"/>
  <c r="AS251" i="1"/>
  <c r="AR251" i="1"/>
  <c r="AQ251" i="1"/>
  <c r="AP251" i="1"/>
  <c r="AI251" i="1"/>
  <c r="AH251" i="1"/>
  <c r="AG251" i="1"/>
  <c r="W251" i="1"/>
  <c r="V251" i="1"/>
  <c r="U251" i="1"/>
  <c r="T251" i="1"/>
  <c r="S251" i="1"/>
  <c r="R251" i="1"/>
  <c r="Q251" i="1"/>
  <c r="P251" i="1"/>
  <c r="O251" i="1"/>
  <c r="N251" i="1"/>
  <c r="M251" i="1"/>
  <c r="L251" i="1"/>
  <c r="K251" i="1"/>
  <c r="J251" i="1"/>
  <c r="I251" i="1"/>
  <c r="H251" i="1"/>
  <c r="AZ250" i="1"/>
  <c r="AY250" i="1"/>
  <c r="AX250" i="1"/>
  <c r="AW250" i="1"/>
  <c r="AV250" i="1"/>
  <c r="AU250" i="1"/>
  <c r="AT250" i="1"/>
  <c r="AS250" i="1"/>
  <c r="AR250" i="1"/>
  <c r="AQ250" i="1"/>
  <c r="AP250" i="1"/>
  <c r="AI250" i="1"/>
  <c r="AH250" i="1"/>
  <c r="AG250" i="1"/>
  <c r="W250" i="1"/>
  <c r="V250" i="1"/>
  <c r="U250" i="1"/>
  <c r="T250" i="1"/>
  <c r="S250" i="1"/>
  <c r="R250" i="1"/>
  <c r="Q250" i="1"/>
  <c r="P250" i="1"/>
  <c r="O250" i="1"/>
  <c r="N250" i="1"/>
  <c r="M250" i="1"/>
  <c r="L250" i="1"/>
  <c r="K250" i="1"/>
  <c r="J250" i="1"/>
  <c r="I250" i="1"/>
  <c r="H250" i="1"/>
  <c r="AZ249" i="1"/>
  <c r="AY249" i="1"/>
  <c r="AX249" i="1"/>
  <c r="AW249" i="1"/>
  <c r="AV249" i="1"/>
  <c r="AU249" i="1"/>
  <c r="AT249" i="1"/>
  <c r="AS249" i="1"/>
  <c r="AR249" i="1"/>
  <c r="AQ249" i="1"/>
  <c r="AP249" i="1"/>
  <c r="AI249" i="1"/>
  <c r="AH249" i="1"/>
  <c r="AG249" i="1"/>
  <c r="W249" i="1"/>
  <c r="V249" i="1"/>
  <c r="U249" i="1"/>
  <c r="T249" i="1"/>
  <c r="S249" i="1"/>
  <c r="R249" i="1"/>
  <c r="Q249" i="1"/>
  <c r="P249" i="1"/>
  <c r="O249" i="1"/>
  <c r="N249" i="1"/>
  <c r="M249" i="1"/>
  <c r="L249" i="1"/>
  <c r="K249" i="1"/>
  <c r="J249" i="1"/>
  <c r="I249" i="1"/>
  <c r="H249" i="1"/>
  <c r="AZ248" i="1"/>
  <c r="AY248" i="1"/>
  <c r="AX248" i="1"/>
  <c r="AW248" i="1"/>
  <c r="AV248" i="1"/>
  <c r="AU248" i="1"/>
  <c r="AT248" i="1"/>
  <c r="AS248" i="1"/>
  <c r="AR248" i="1"/>
  <c r="AQ248" i="1"/>
  <c r="AP248" i="1"/>
  <c r="AI248" i="1"/>
  <c r="AH248" i="1"/>
  <c r="AG248" i="1"/>
  <c r="W248" i="1"/>
  <c r="V248" i="1"/>
  <c r="U248" i="1"/>
  <c r="T248" i="1"/>
  <c r="S248" i="1"/>
  <c r="R248" i="1"/>
  <c r="Q248" i="1"/>
  <c r="P248" i="1"/>
  <c r="O248" i="1"/>
  <c r="N248" i="1"/>
  <c r="M248" i="1"/>
  <c r="L248" i="1"/>
  <c r="K248" i="1"/>
  <c r="J248" i="1"/>
  <c r="I248" i="1"/>
  <c r="H248" i="1"/>
  <c r="AZ247" i="1"/>
  <c r="AY247" i="1"/>
  <c r="AX247" i="1"/>
  <c r="AW247" i="1"/>
  <c r="AV247" i="1"/>
  <c r="AU247" i="1"/>
  <c r="AT247" i="1"/>
  <c r="AS247" i="1"/>
  <c r="AR247" i="1"/>
  <c r="AQ247" i="1"/>
  <c r="AP247" i="1"/>
  <c r="AI247" i="1"/>
  <c r="AH247" i="1"/>
  <c r="AG247" i="1"/>
  <c r="W247" i="1"/>
  <c r="V247" i="1"/>
  <c r="U247" i="1"/>
  <c r="T247" i="1"/>
  <c r="S247" i="1"/>
  <c r="R247" i="1"/>
  <c r="Q247" i="1"/>
  <c r="P247" i="1"/>
  <c r="O247" i="1"/>
  <c r="N247" i="1"/>
  <c r="M247" i="1"/>
  <c r="L247" i="1"/>
  <c r="K247" i="1"/>
  <c r="J247" i="1"/>
  <c r="I247" i="1"/>
  <c r="H247" i="1"/>
  <c r="AZ246" i="1"/>
  <c r="AY246" i="1"/>
  <c r="AX246" i="1"/>
  <c r="AW246" i="1"/>
  <c r="AV246" i="1"/>
  <c r="AU246" i="1"/>
  <c r="AT246" i="1"/>
  <c r="AS246" i="1"/>
  <c r="AR246" i="1"/>
  <c r="AQ246" i="1"/>
  <c r="AP246" i="1"/>
  <c r="AH246" i="1"/>
  <c r="AG246" i="1"/>
  <c r="W246" i="1"/>
  <c r="V246" i="1"/>
  <c r="U246" i="1"/>
  <c r="T246" i="1"/>
  <c r="S246" i="1"/>
  <c r="R246" i="1"/>
  <c r="Q246" i="1"/>
  <c r="P246" i="1"/>
  <c r="O246" i="1"/>
  <c r="N246" i="1"/>
  <c r="M246" i="1"/>
  <c r="L246" i="1"/>
  <c r="K246" i="1"/>
  <c r="J246" i="1"/>
  <c r="I246" i="1"/>
  <c r="H246" i="1"/>
  <c r="AZ245" i="1"/>
  <c r="AY245" i="1"/>
  <c r="AX245" i="1"/>
  <c r="AW245" i="1"/>
  <c r="AV245" i="1"/>
  <c r="AU245" i="1"/>
  <c r="AT245" i="1"/>
  <c r="AS245" i="1"/>
  <c r="AR245" i="1"/>
  <c r="AQ245" i="1"/>
  <c r="AP245" i="1"/>
  <c r="AH245" i="1"/>
  <c r="AG245" i="1"/>
  <c r="W245" i="1"/>
  <c r="V245" i="1"/>
  <c r="U245" i="1"/>
  <c r="T245" i="1"/>
  <c r="S245" i="1"/>
  <c r="R245" i="1"/>
  <c r="Q245" i="1"/>
  <c r="P245" i="1"/>
  <c r="O245" i="1"/>
  <c r="N245" i="1"/>
  <c r="M245" i="1"/>
  <c r="L245" i="1"/>
  <c r="K245" i="1"/>
  <c r="J245" i="1"/>
  <c r="I245" i="1"/>
  <c r="H245" i="1"/>
  <c r="AZ244" i="1"/>
  <c r="AY244" i="1"/>
  <c r="AX244" i="1"/>
  <c r="AW244" i="1"/>
  <c r="AV244" i="1"/>
  <c r="AU244" i="1"/>
  <c r="AT244" i="1"/>
  <c r="AS244" i="1"/>
  <c r="AR244" i="1"/>
  <c r="AQ244" i="1"/>
  <c r="AP244" i="1"/>
  <c r="AI244" i="1"/>
  <c r="AH244" i="1"/>
  <c r="AG244" i="1"/>
  <c r="W244" i="1"/>
  <c r="V244" i="1"/>
  <c r="U244" i="1"/>
  <c r="T244" i="1"/>
  <c r="S244" i="1"/>
  <c r="R244" i="1"/>
  <c r="Q244" i="1"/>
  <c r="P244" i="1"/>
  <c r="O244" i="1"/>
  <c r="N244" i="1"/>
  <c r="M244" i="1"/>
  <c r="L244" i="1"/>
  <c r="K244" i="1"/>
  <c r="J244" i="1"/>
  <c r="I244" i="1"/>
  <c r="H244" i="1"/>
  <c r="AZ243" i="1"/>
  <c r="AY243" i="1"/>
  <c r="AX243" i="1"/>
  <c r="AW243" i="1"/>
  <c r="AV243" i="1"/>
  <c r="AU243" i="1"/>
  <c r="AT243" i="1"/>
  <c r="AS243" i="1"/>
  <c r="AR243" i="1"/>
  <c r="AQ243" i="1"/>
  <c r="AP243" i="1"/>
  <c r="AI243" i="1"/>
  <c r="AH243" i="1"/>
  <c r="AG243" i="1"/>
  <c r="W243" i="1"/>
  <c r="V243" i="1"/>
  <c r="U243" i="1"/>
  <c r="T243" i="1"/>
  <c r="S243" i="1"/>
  <c r="R243" i="1"/>
  <c r="Q243" i="1"/>
  <c r="P243" i="1"/>
  <c r="O243" i="1"/>
  <c r="N243" i="1"/>
  <c r="M243" i="1"/>
  <c r="L243" i="1"/>
  <c r="K243" i="1"/>
  <c r="J243" i="1"/>
  <c r="I243" i="1"/>
  <c r="H243" i="1"/>
  <c r="AZ242" i="1"/>
  <c r="AY242" i="1"/>
  <c r="AX242" i="1"/>
  <c r="AW242" i="1"/>
  <c r="AV242" i="1"/>
  <c r="AU242" i="1"/>
  <c r="AT242" i="1"/>
  <c r="AS242" i="1"/>
  <c r="AR242" i="1"/>
  <c r="AQ242" i="1"/>
  <c r="AP242" i="1"/>
  <c r="AH242" i="1"/>
  <c r="AG242" i="1"/>
  <c r="W242" i="1"/>
  <c r="V242" i="1"/>
  <c r="U242" i="1"/>
  <c r="T242" i="1"/>
  <c r="S242" i="1"/>
  <c r="R242" i="1"/>
  <c r="Q242" i="1"/>
  <c r="P242" i="1"/>
  <c r="O242" i="1"/>
  <c r="N242" i="1"/>
  <c r="M242" i="1"/>
  <c r="L242" i="1"/>
  <c r="K242" i="1"/>
  <c r="J242" i="1"/>
  <c r="I242" i="1"/>
  <c r="H242" i="1"/>
  <c r="AZ241" i="1"/>
  <c r="AY241" i="1"/>
  <c r="AX241" i="1"/>
  <c r="AW241" i="1"/>
  <c r="AV241" i="1"/>
  <c r="AU241" i="1"/>
  <c r="AT241" i="1"/>
  <c r="AS241" i="1"/>
  <c r="AR241" i="1"/>
  <c r="AQ241" i="1"/>
  <c r="AP241" i="1"/>
  <c r="AI241" i="1"/>
  <c r="AH241" i="1"/>
  <c r="AG241" i="1"/>
  <c r="W241" i="1"/>
  <c r="V241" i="1"/>
  <c r="U241" i="1"/>
  <c r="T241" i="1"/>
  <c r="S241" i="1"/>
  <c r="R241" i="1"/>
  <c r="Q241" i="1"/>
  <c r="P241" i="1"/>
  <c r="O241" i="1"/>
  <c r="N241" i="1"/>
  <c r="M241" i="1"/>
  <c r="L241" i="1"/>
  <c r="K241" i="1"/>
  <c r="J241" i="1"/>
  <c r="I241" i="1"/>
  <c r="H241" i="1"/>
  <c r="AZ240" i="1"/>
  <c r="AY240" i="1"/>
  <c r="AX240" i="1"/>
  <c r="AW240" i="1"/>
  <c r="AV240" i="1"/>
  <c r="AU240" i="1"/>
  <c r="AT240" i="1"/>
  <c r="AS240" i="1"/>
  <c r="AR240" i="1"/>
  <c r="AQ240" i="1"/>
  <c r="AP240" i="1"/>
  <c r="AH240" i="1"/>
  <c r="AG240" i="1"/>
  <c r="W240" i="1"/>
  <c r="V240" i="1"/>
  <c r="U240" i="1"/>
  <c r="T240" i="1"/>
  <c r="S240" i="1"/>
  <c r="R240" i="1"/>
  <c r="Q240" i="1"/>
  <c r="P240" i="1"/>
  <c r="O240" i="1"/>
  <c r="N240" i="1"/>
  <c r="M240" i="1"/>
  <c r="L240" i="1"/>
  <c r="K240" i="1"/>
  <c r="J240" i="1"/>
  <c r="I240" i="1"/>
  <c r="H240" i="1"/>
  <c r="AZ239" i="1"/>
  <c r="AY239" i="1"/>
  <c r="AX239" i="1"/>
  <c r="AW239" i="1"/>
  <c r="AV239" i="1"/>
  <c r="AU239" i="1"/>
  <c r="AT239" i="1"/>
  <c r="AS239" i="1"/>
  <c r="AR239" i="1"/>
  <c r="AQ239" i="1"/>
  <c r="AP239" i="1"/>
  <c r="AH239" i="1"/>
  <c r="AG239" i="1"/>
  <c r="W239" i="1"/>
  <c r="V239" i="1"/>
  <c r="U239" i="1"/>
  <c r="T239" i="1"/>
  <c r="S239" i="1"/>
  <c r="R239" i="1"/>
  <c r="Q239" i="1"/>
  <c r="P239" i="1"/>
  <c r="O239" i="1"/>
  <c r="N239" i="1"/>
  <c r="M239" i="1"/>
  <c r="L239" i="1"/>
  <c r="K239" i="1"/>
  <c r="C239" i="1" s="1"/>
  <c r="J239" i="1"/>
  <c r="I239" i="1"/>
  <c r="H239" i="1"/>
  <c r="AZ238" i="1"/>
  <c r="AY238" i="1"/>
  <c r="AX238" i="1"/>
  <c r="AW238" i="1"/>
  <c r="AV238" i="1"/>
  <c r="AU238" i="1"/>
  <c r="AT238" i="1"/>
  <c r="AS238" i="1"/>
  <c r="AR238" i="1"/>
  <c r="AQ238" i="1"/>
  <c r="AP238" i="1"/>
  <c r="W238" i="1"/>
  <c r="V238" i="1"/>
  <c r="U238" i="1"/>
  <c r="T238" i="1"/>
  <c r="S238" i="1"/>
  <c r="R238" i="1"/>
  <c r="Q238" i="1"/>
  <c r="P238" i="1"/>
  <c r="O238" i="1"/>
  <c r="N238" i="1"/>
  <c r="M238" i="1"/>
  <c r="L238" i="1"/>
  <c r="K238" i="1"/>
  <c r="J238" i="1"/>
  <c r="I238" i="1"/>
  <c r="H238" i="1"/>
  <c r="AZ237" i="1"/>
  <c r="AY237" i="1"/>
  <c r="AX237" i="1"/>
  <c r="AW237" i="1"/>
  <c r="AV237" i="1"/>
  <c r="AU237" i="1"/>
  <c r="AT237" i="1"/>
  <c r="AS237" i="1"/>
  <c r="AR237" i="1"/>
  <c r="AQ237" i="1"/>
  <c r="AP237" i="1"/>
  <c r="W237" i="1"/>
  <c r="V237" i="1"/>
  <c r="U237" i="1"/>
  <c r="T237" i="1"/>
  <c r="S237" i="1"/>
  <c r="R237" i="1"/>
  <c r="Q237" i="1"/>
  <c r="P237" i="1"/>
  <c r="O237" i="1"/>
  <c r="N237" i="1"/>
  <c r="M237" i="1"/>
  <c r="L237" i="1"/>
  <c r="K237" i="1"/>
  <c r="J237" i="1"/>
  <c r="I237" i="1"/>
  <c r="H237" i="1"/>
  <c r="AZ236" i="1"/>
  <c r="AY236" i="1"/>
  <c r="AX236" i="1"/>
  <c r="AW236" i="1"/>
  <c r="AV236" i="1"/>
  <c r="AU236" i="1"/>
  <c r="AT236" i="1"/>
  <c r="AS236" i="1"/>
  <c r="AR236" i="1"/>
  <c r="AQ236" i="1"/>
  <c r="AP236" i="1"/>
  <c r="W236" i="1"/>
  <c r="V236" i="1"/>
  <c r="U236" i="1"/>
  <c r="T236" i="1"/>
  <c r="S236" i="1"/>
  <c r="R236" i="1"/>
  <c r="Q236" i="1"/>
  <c r="P236" i="1"/>
  <c r="O236" i="1"/>
  <c r="N236" i="1"/>
  <c r="M236" i="1"/>
  <c r="L236" i="1"/>
  <c r="K236" i="1"/>
  <c r="J236" i="1"/>
  <c r="I236" i="1"/>
  <c r="H236" i="1"/>
  <c r="AZ235" i="1"/>
  <c r="AY235" i="1"/>
  <c r="AX235" i="1"/>
  <c r="AW235" i="1"/>
  <c r="AV235" i="1"/>
  <c r="AU235" i="1"/>
  <c r="AT235" i="1"/>
  <c r="AS235" i="1"/>
  <c r="AR235" i="1"/>
  <c r="AQ235" i="1"/>
  <c r="AP235" i="1"/>
  <c r="AH235" i="1"/>
  <c r="AG235" i="1"/>
  <c r="W235" i="1"/>
  <c r="V235" i="1"/>
  <c r="U235" i="1"/>
  <c r="T235" i="1"/>
  <c r="S235" i="1"/>
  <c r="R235" i="1"/>
  <c r="Q235" i="1"/>
  <c r="P235" i="1"/>
  <c r="O235" i="1"/>
  <c r="N235" i="1"/>
  <c r="M235" i="1"/>
  <c r="L235" i="1"/>
  <c r="K235" i="1"/>
  <c r="J235" i="1"/>
  <c r="I235" i="1"/>
  <c r="H235" i="1"/>
  <c r="AZ234" i="1"/>
  <c r="AY234" i="1"/>
  <c r="AX234" i="1"/>
  <c r="AW234" i="1"/>
  <c r="AV234" i="1"/>
  <c r="AU234" i="1"/>
  <c r="AT234" i="1"/>
  <c r="AS234" i="1"/>
  <c r="AR234" i="1"/>
  <c r="AQ234" i="1"/>
  <c r="AP234" i="1"/>
  <c r="W234" i="1"/>
  <c r="V234" i="1"/>
  <c r="U234" i="1"/>
  <c r="T234" i="1"/>
  <c r="S234" i="1"/>
  <c r="R234" i="1"/>
  <c r="Q234" i="1"/>
  <c r="P234" i="1"/>
  <c r="O234" i="1"/>
  <c r="N234" i="1"/>
  <c r="M234" i="1"/>
  <c r="L234" i="1"/>
  <c r="K234" i="1"/>
  <c r="J234" i="1"/>
  <c r="I234" i="1"/>
  <c r="H234" i="1"/>
  <c r="X234" i="1" s="1"/>
  <c r="AZ233" i="1"/>
  <c r="AY233" i="1"/>
  <c r="AX233" i="1"/>
  <c r="AW233" i="1"/>
  <c r="AV233" i="1"/>
  <c r="AU233" i="1"/>
  <c r="AT233" i="1"/>
  <c r="AS233" i="1"/>
  <c r="AR233" i="1"/>
  <c r="AQ233" i="1"/>
  <c r="AP233" i="1"/>
  <c r="AH233" i="1"/>
  <c r="AG233" i="1"/>
  <c r="W233" i="1"/>
  <c r="V233" i="1"/>
  <c r="U233" i="1"/>
  <c r="T233" i="1"/>
  <c r="S233" i="1"/>
  <c r="R233" i="1"/>
  <c r="Q233" i="1"/>
  <c r="P233" i="1"/>
  <c r="O233" i="1"/>
  <c r="N233" i="1"/>
  <c r="M233" i="1"/>
  <c r="L233" i="1"/>
  <c r="K233" i="1"/>
  <c r="J233" i="1"/>
  <c r="I233" i="1"/>
  <c r="H233" i="1"/>
  <c r="AZ232" i="1"/>
  <c r="AY232" i="1"/>
  <c r="AX232" i="1"/>
  <c r="AW232" i="1"/>
  <c r="AV232" i="1"/>
  <c r="AU232" i="1"/>
  <c r="AT232" i="1"/>
  <c r="AS232" i="1"/>
  <c r="AR232" i="1"/>
  <c r="AQ232" i="1"/>
  <c r="AP232" i="1"/>
  <c r="AI232" i="1"/>
  <c r="AH232" i="1"/>
  <c r="AG232" i="1"/>
  <c r="W232" i="1"/>
  <c r="V232" i="1"/>
  <c r="U232" i="1"/>
  <c r="T232" i="1"/>
  <c r="S232" i="1"/>
  <c r="R232" i="1"/>
  <c r="Q232" i="1"/>
  <c r="P232" i="1"/>
  <c r="O232" i="1"/>
  <c r="N232" i="1"/>
  <c r="M232" i="1"/>
  <c r="L232" i="1"/>
  <c r="K232" i="1"/>
  <c r="J232" i="1"/>
  <c r="I232" i="1"/>
  <c r="H232" i="1"/>
  <c r="AZ231" i="1"/>
  <c r="AY231" i="1"/>
  <c r="AX231" i="1"/>
  <c r="AW231" i="1"/>
  <c r="AV231" i="1"/>
  <c r="AU231" i="1"/>
  <c r="AT231" i="1"/>
  <c r="AS231" i="1"/>
  <c r="AR231" i="1"/>
  <c r="AQ231" i="1"/>
  <c r="AP231" i="1"/>
  <c r="AI231" i="1"/>
  <c r="AH231" i="1"/>
  <c r="AG231" i="1"/>
  <c r="W231" i="1"/>
  <c r="V231" i="1"/>
  <c r="U231" i="1"/>
  <c r="T231" i="1"/>
  <c r="S231" i="1"/>
  <c r="R231" i="1"/>
  <c r="Q231" i="1"/>
  <c r="P231" i="1"/>
  <c r="O231" i="1"/>
  <c r="N231" i="1"/>
  <c r="M231" i="1"/>
  <c r="L231" i="1"/>
  <c r="K231" i="1"/>
  <c r="J231" i="1"/>
  <c r="I231" i="1"/>
  <c r="H231" i="1"/>
  <c r="AZ230" i="1"/>
  <c r="AY230" i="1"/>
  <c r="AX230" i="1"/>
  <c r="AW230" i="1"/>
  <c r="AV230" i="1"/>
  <c r="AU230" i="1"/>
  <c r="AT230" i="1"/>
  <c r="AS230" i="1"/>
  <c r="AR230" i="1"/>
  <c r="AQ230" i="1"/>
  <c r="AP230" i="1"/>
  <c r="AI230" i="1"/>
  <c r="AH230" i="1"/>
  <c r="AG230" i="1"/>
  <c r="W230" i="1"/>
  <c r="V230" i="1"/>
  <c r="U230" i="1"/>
  <c r="T230" i="1"/>
  <c r="S230" i="1"/>
  <c r="R230" i="1"/>
  <c r="Q230" i="1"/>
  <c r="P230" i="1"/>
  <c r="O230" i="1"/>
  <c r="N230" i="1"/>
  <c r="M230" i="1"/>
  <c r="L230" i="1"/>
  <c r="K230" i="1"/>
  <c r="J230" i="1"/>
  <c r="I230" i="1"/>
  <c r="H230" i="1"/>
  <c r="AZ229" i="1"/>
  <c r="AY229" i="1"/>
  <c r="AX229" i="1"/>
  <c r="AW229" i="1"/>
  <c r="AV229" i="1"/>
  <c r="AU229" i="1"/>
  <c r="AT229" i="1"/>
  <c r="AS229" i="1"/>
  <c r="AR229" i="1"/>
  <c r="AQ229" i="1"/>
  <c r="AP229" i="1"/>
  <c r="AI229" i="1"/>
  <c r="AH229" i="1"/>
  <c r="AG229" i="1"/>
  <c r="W229" i="1"/>
  <c r="V229" i="1"/>
  <c r="U229" i="1"/>
  <c r="T229" i="1"/>
  <c r="S229" i="1"/>
  <c r="R229" i="1"/>
  <c r="Q229" i="1"/>
  <c r="P229" i="1"/>
  <c r="O229" i="1"/>
  <c r="N229" i="1"/>
  <c r="M229" i="1"/>
  <c r="L229" i="1"/>
  <c r="K229" i="1"/>
  <c r="J229" i="1"/>
  <c r="I229" i="1"/>
  <c r="H229" i="1"/>
  <c r="AZ228" i="1"/>
  <c r="AY228" i="1"/>
  <c r="AX228" i="1"/>
  <c r="AW228" i="1"/>
  <c r="AV228" i="1"/>
  <c r="AU228" i="1"/>
  <c r="AT228" i="1"/>
  <c r="AS228" i="1"/>
  <c r="AR228" i="1"/>
  <c r="AQ228" i="1"/>
  <c r="AP228" i="1"/>
  <c r="AI228" i="1"/>
  <c r="AH228" i="1"/>
  <c r="AG228" i="1"/>
  <c r="W228" i="1"/>
  <c r="V228" i="1"/>
  <c r="U228" i="1"/>
  <c r="T228" i="1"/>
  <c r="S228" i="1"/>
  <c r="R228" i="1"/>
  <c r="Q228" i="1"/>
  <c r="P228" i="1"/>
  <c r="O228" i="1"/>
  <c r="N228" i="1"/>
  <c r="M228" i="1"/>
  <c r="L228" i="1"/>
  <c r="K228" i="1"/>
  <c r="J228" i="1"/>
  <c r="I228" i="1"/>
  <c r="H228" i="1"/>
  <c r="AZ227" i="1"/>
  <c r="AY227" i="1"/>
  <c r="AX227" i="1"/>
  <c r="AW227" i="1"/>
  <c r="AV227" i="1"/>
  <c r="AU227" i="1"/>
  <c r="AT227" i="1"/>
  <c r="AS227" i="1"/>
  <c r="AR227" i="1"/>
  <c r="AQ227" i="1"/>
  <c r="AP227" i="1"/>
  <c r="AI227" i="1"/>
  <c r="AH227" i="1"/>
  <c r="AG227" i="1"/>
  <c r="W227" i="1"/>
  <c r="V227" i="1"/>
  <c r="U227" i="1"/>
  <c r="T227" i="1"/>
  <c r="S227" i="1"/>
  <c r="R227" i="1"/>
  <c r="Q227" i="1"/>
  <c r="P227" i="1"/>
  <c r="O227" i="1"/>
  <c r="N227" i="1"/>
  <c r="M227" i="1"/>
  <c r="L227" i="1"/>
  <c r="K227" i="1"/>
  <c r="J227" i="1"/>
  <c r="I227" i="1"/>
  <c r="H227" i="1"/>
  <c r="AZ226" i="1"/>
  <c r="AY226" i="1"/>
  <c r="AX226" i="1"/>
  <c r="AW226" i="1"/>
  <c r="AV226" i="1"/>
  <c r="AU226" i="1"/>
  <c r="AT226" i="1"/>
  <c r="AS226" i="1"/>
  <c r="AR226" i="1"/>
  <c r="AQ226" i="1"/>
  <c r="AP226" i="1"/>
  <c r="AH226" i="1"/>
  <c r="AG226" i="1"/>
  <c r="W226" i="1"/>
  <c r="V226" i="1"/>
  <c r="U226" i="1"/>
  <c r="T226" i="1"/>
  <c r="S226" i="1"/>
  <c r="R226" i="1"/>
  <c r="Q226" i="1"/>
  <c r="P226" i="1"/>
  <c r="O226" i="1"/>
  <c r="N226" i="1"/>
  <c r="M226" i="1"/>
  <c r="L226" i="1"/>
  <c r="K226" i="1"/>
  <c r="C226" i="1" s="1"/>
  <c r="J226" i="1"/>
  <c r="I226" i="1"/>
  <c r="H226" i="1"/>
  <c r="AZ225" i="1"/>
  <c r="AY225" i="1"/>
  <c r="AX225" i="1"/>
  <c r="AW225" i="1"/>
  <c r="AV225" i="1"/>
  <c r="AU225" i="1"/>
  <c r="AT225" i="1"/>
  <c r="AS225" i="1"/>
  <c r="AR225" i="1"/>
  <c r="AQ225" i="1"/>
  <c r="AP225" i="1"/>
  <c r="AH225" i="1"/>
  <c r="AG225" i="1"/>
  <c r="W225" i="1"/>
  <c r="V225" i="1"/>
  <c r="U225" i="1"/>
  <c r="T225" i="1"/>
  <c r="S225" i="1"/>
  <c r="R225" i="1"/>
  <c r="Q225" i="1"/>
  <c r="P225" i="1"/>
  <c r="O225" i="1"/>
  <c r="N225" i="1"/>
  <c r="M225" i="1"/>
  <c r="L225" i="1"/>
  <c r="K225" i="1"/>
  <c r="J225" i="1"/>
  <c r="I225" i="1"/>
  <c r="H225" i="1"/>
  <c r="AZ224" i="1"/>
  <c r="AY224" i="1"/>
  <c r="AX224" i="1"/>
  <c r="AW224" i="1"/>
  <c r="AV224" i="1"/>
  <c r="AU224" i="1"/>
  <c r="AT224" i="1"/>
  <c r="AS224" i="1"/>
  <c r="AR224" i="1"/>
  <c r="AQ224" i="1"/>
  <c r="AP224" i="1"/>
  <c r="AI224" i="1"/>
  <c r="AH224" i="1"/>
  <c r="AG224" i="1"/>
  <c r="W224" i="1"/>
  <c r="V224" i="1"/>
  <c r="U224" i="1"/>
  <c r="T224" i="1"/>
  <c r="S224" i="1"/>
  <c r="R224" i="1"/>
  <c r="Q224" i="1"/>
  <c r="P224" i="1"/>
  <c r="O224" i="1"/>
  <c r="N224" i="1"/>
  <c r="M224" i="1"/>
  <c r="L224" i="1"/>
  <c r="K224" i="1"/>
  <c r="J224" i="1"/>
  <c r="I224" i="1"/>
  <c r="H224" i="1"/>
  <c r="AZ223" i="1"/>
  <c r="AY223" i="1"/>
  <c r="AX223" i="1"/>
  <c r="AW223" i="1"/>
  <c r="AV223" i="1"/>
  <c r="AU223" i="1"/>
  <c r="AT223" i="1"/>
  <c r="AS223" i="1"/>
  <c r="AR223" i="1"/>
  <c r="AQ223" i="1"/>
  <c r="AP223" i="1"/>
  <c r="AI223" i="1"/>
  <c r="AH223" i="1"/>
  <c r="AG223" i="1"/>
  <c r="W223" i="1"/>
  <c r="V223" i="1"/>
  <c r="U223" i="1"/>
  <c r="T223" i="1"/>
  <c r="S223" i="1"/>
  <c r="R223" i="1"/>
  <c r="Q223" i="1"/>
  <c r="P223" i="1"/>
  <c r="O223" i="1"/>
  <c r="N223" i="1"/>
  <c r="M223" i="1"/>
  <c r="L223" i="1"/>
  <c r="K223" i="1"/>
  <c r="J223" i="1"/>
  <c r="I223" i="1"/>
  <c r="H223" i="1"/>
  <c r="AZ222" i="1"/>
  <c r="AY222" i="1"/>
  <c r="AX222" i="1"/>
  <c r="AW222" i="1"/>
  <c r="AV222" i="1"/>
  <c r="AU222" i="1"/>
  <c r="AT222" i="1"/>
  <c r="AS222" i="1"/>
  <c r="AR222" i="1"/>
  <c r="AQ222" i="1"/>
  <c r="AP222" i="1"/>
  <c r="W222" i="1"/>
  <c r="V222" i="1"/>
  <c r="U222" i="1"/>
  <c r="T222" i="1"/>
  <c r="S222" i="1"/>
  <c r="R222" i="1"/>
  <c r="Q222" i="1"/>
  <c r="P222" i="1"/>
  <c r="O222" i="1"/>
  <c r="N222" i="1"/>
  <c r="M222" i="1"/>
  <c r="L222" i="1"/>
  <c r="K222" i="1"/>
  <c r="C222" i="1" s="1"/>
  <c r="J222" i="1"/>
  <c r="I222" i="1"/>
  <c r="H222" i="1"/>
  <c r="AZ221" i="1"/>
  <c r="AY221" i="1"/>
  <c r="AX221" i="1"/>
  <c r="AW221" i="1"/>
  <c r="AV221" i="1"/>
  <c r="AU221" i="1"/>
  <c r="AT221" i="1"/>
  <c r="AS221" i="1"/>
  <c r="AR221" i="1"/>
  <c r="AQ221" i="1"/>
  <c r="AP221" i="1"/>
  <c r="AI221" i="1"/>
  <c r="AH221" i="1"/>
  <c r="AG221" i="1"/>
  <c r="W221" i="1"/>
  <c r="V221" i="1"/>
  <c r="U221" i="1"/>
  <c r="T221" i="1"/>
  <c r="S221" i="1"/>
  <c r="R221" i="1"/>
  <c r="Q221" i="1"/>
  <c r="P221" i="1"/>
  <c r="O221" i="1"/>
  <c r="N221" i="1"/>
  <c r="M221" i="1"/>
  <c r="L221" i="1"/>
  <c r="K221" i="1"/>
  <c r="J221" i="1"/>
  <c r="I221" i="1"/>
  <c r="H221" i="1"/>
  <c r="AZ220" i="1"/>
  <c r="AY220" i="1"/>
  <c r="AX220" i="1"/>
  <c r="AW220" i="1"/>
  <c r="AV220" i="1"/>
  <c r="AU220" i="1"/>
  <c r="AT220" i="1"/>
  <c r="AS220" i="1"/>
  <c r="AR220" i="1"/>
  <c r="AQ220" i="1"/>
  <c r="AP220" i="1"/>
  <c r="AI220" i="1"/>
  <c r="AH220" i="1"/>
  <c r="AG220" i="1"/>
  <c r="W220" i="1"/>
  <c r="V220" i="1"/>
  <c r="U220" i="1"/>
  <c r="T220" i="1"/>
  <c r="S220" i="1"/>
  <c r="R220" i="1"/>
  <c r="Q220" i="1"/>
  <c r="P220" i="1"/>
  <c r="O220" i="1"/>
  <c r="N220" i="1"/>
  <c r="M220" i="1"/>
  <c r="L220" i="1"/>
  <c r="K220" i="1"/>
  <c r="J220" i="1"/>
  <c r="I220" i="1"/>
  <c r="H220" i="1"/>
  <c r="AZ219" i="1"/>
  <c r="AY219" i="1"/>
  <c r="AX219" i="1"/>
  <c r="AW219" i="1"/>
  <c r="AV219" i="1"/>
  <c r="AU219" i="1"/>
  <c r="AT219" i="1"/>
  <c r="AS219" i="1"/>
  <c r="AR219" i="1"/>
  <c r="AQ219" i="1"/>
  <c r="AP219" i="1"/>
  <c r="W219" i="1"/>
  <c r="V219" i="1"/>
  <c r="U219" i="1"/>
  <c r="T219" i="1"/>
  <c r="S219" i="1"/>
  <c r="R219" i="1"/>
  <c r="Q219" i="1"/>
  <c r="P219" i="1"/>
  <c r="O219" i="1"/>
  <c r="N219" i="1"/>
  <c r="M219" i="1"/>
  <c r="L219" i="1"/>
  <c r="K219" i="1"/>
  <c r="J219" i="1"/>
  <c r="I219" i="1"/>
  <c r="H219" i="1"/>
  <c r="AZ218" i="1"/>
  <c r="AY218" i="1"/>
  <c r="AX218" i="1"/>
  <c r="AW218" i="1"/>
  <c r="AV218" i="1"/>
  <c r="AU218" i="1"/>
  <c r="AT218" i="1"/>
  <c r="AS218" i="1"/>
  <c r="AR218" i="1"/>
  <c r="AQ218" i="1"/>
  <c r="AP218" i="1"/>
  <c r="AH218" i="1"/>
  <c r="AG218" i="1"/>
  <c r="W218" i="1"/>
  <c r="V218" i="1"/>
  <c r="U218" i="1"/>
  <c r="T218" i="1"/>
  <c r="S218" i="1"/>
  <c r="R218" i="1"/>
  <c r="Q218" i="1"/>
  <c r="P218" i="1"/>
  <c r="O218" i="1"/>
  <c r="C218" i="1" s="1"/>
  <c r="N218" i="1"/>
  <c r="M218" i="1"/>
  <c r="L218" i="1"/>
  <c r="K218" i="1"/>
  <c r="J218" i="1"/>
  <c r="I218" i="1"/>
  <c r="H218" i="1"/>
  <c r="AZ217" i="1"/>
  <c r="AY217" i="1"/>
  <c r="AX217" i="1"/>
  <c r="AW217" i="1"/>
  <c r="AV217" i="1"/>
  <c r="AU217" i="1"/>
  <c r="AT217" i="1"/>
  <c r="AS217" i="1"/>
  <c r="AR217" i="1"/>
  <c r="AQ217" i="1"/>
  <c r="AP217" i="1"/>
  <c r="AH217" i="1"/>
  <c r="AG217" i="1"/>
  <c r="W217" i="1"/>
  <c r="V217" i="1"/>
  <c r="U217" i="1"/>
  <c r="T217" i="1"/>
  <c r="S217" i="1"/>
  <c r="R217" i="1"/>
  <c r="Q217" i="1"/>
  <c r="P217" i="1"/>
  <c r="O217" i="1"/>
  <c r="N217" i="1"/>
  <c r="M217" i="1"/>
  <c r="L217" i="1"/>
  <c r="K217" i="1"/>
  <c r="J217" i="1"/>
  <c r="I217" i="1"/>
  <c r="H217" i="1"/>
  <c r="AZ216" i="1"/>
  <c r="AY216" i="1"/>
  <c r="AX216" i="1"/>
  <c r="AW216" i="1"/>
  <c r="AV216" i="1"/>
  <c r="AU216" i="1"/>
  <c r="AT216" i="1"/>
  <c r="AS216" i="1"/>
  <c r="AR216" i="1"/>
  <c r="AQ216" i="1"/>
  <c r="AP216" i="1"/>
  <c r="AH216" i="1"/>
  <c r="AG216" i="1"/>
  <c r="W216" i="1"/>
  <c r="V216" i="1"/>
  <c r="U216" i="1"/>
  <c r="T216" i="1"/>
  <c r="S216" i="1"/>
  <c r="R216" i="1"/>
  <c r="Q216" i="1"/>
  <c r="P216" i="1"/>
  <c r="O216" i="1"/>
  <c r="N216" i="1"/>
  <c r="M216" i="1"/>
  <c r="L216" i="1"/>
  <c r="K216" i="1"/>
  <c r="J216" i="1"/>
  <c r="I216" i="1"/>
  <c r="H216" i="1"/>
  <c r="AZ215" i="1"/>
  <c r="AY215" i="1"/>
  <c r="AX215" i="1"/>
  <c r="AW215" i="1"/>
  <c r="AV215" i="1"/>
  <c r="AU215" i="1"/>
  <c r="AT215" i="1"/>
  <c r="AS215" i="1"/>
  <c r="AR215" i="1"/>
  <c r="AQ215" i="1"/>
  <c r="AP215" i="1"/>
  <c r="AH215" i="1"/>
  <c r="AG215" i="1"/>
  <c r="W215" i="1"/>
  <c r="V215" i="1"/>
  <c r="U215" i="1"/>
  <c r="T215" i="1"/>
  <c r="S215" i="1"/>
  <c r="R215" i="1"/>
  <c r="Q215" i="1"/>
  <c r="P215" i="1"/>
  <c r="O215" i="1"/>
  <c r="N215" i="1"/>
  <c r="M215" i="1"/>
  <c r="L215" i="1"/>
  <c r="K215" i="1"/>
  <c r="J215" i="1"/>
  <c r="I215" i="1"/>
  <c r="H215" i="1"/>
  <c r="AZ214" i="1"/>
  <c r="AY214" i="1"/>
  <c r="AX214" i="1"/>
  <c r="AW214" i="1"/>
  <c r="AV214" i="1"/>
  <c r="AU214" i="1"/>
  <c r="AT214" i="1"/>
  <c r="AS214" i="1"/>
  <c r="AR214" i="1"/>
  <c r="AQ214" i="1"/>
  <c r="AP214" i="1"/>
  <c r="AH214" i="1"/>
  <c r="AG214" i="1"/>
  <c r="W214" i="1"/>
  <c r="V214" i="1"/>
  <c r="U214" i="1"/>
  <c r="T214" i="1"/>
  <c r="S214" i="1"/>
  <c r="R214" i="1"/>
  <c r="Q214" i="1"/>
  <c r="P214" i="1"/>
  <c r="O214" i="1"/>
  <c r="N214" i="1"/>
  <c r="M214" i="1"/>
  <c r="L214" i="1"/>
  <c r="K214" i="1"/>
  <c r="J214" i="1"/>
  <c r="I214" i="1"/>
  <c r="H214" i="1"/>
  <c r="AZ213" i="1"/>
  <c r="AY213" i="1"/>
  <c r="AX213" i="1"/>
  <c r="AW213" i="1"/>
  <c r="AV213" i="1"/>
  <c r="AU213" i="1"/>
  <c r="AT213" i="1"/>
  <c r="AS213" i="1"/>
  <c r="AR213" i="1"/>
  <c r="AQ213" i="1"/>
  <c r="AP213" i="1"/>
  <c r="AH213" i="1"/>
  <c r="AG213" i="1"/>
  <c r="W213" i="1"/>
  <c r="V213" i="1"/>
  <c r="U213" i="1"/>
  <c r="T213" i="1"/>
  <c r="S213" i="1"/>
  <c r="R213" i="1"/>
  <c r="Q213" i="1"/>
  <c r="P213" i="1"/>
  <c r="O213" i="1"/>
  <c r="N213" i="1"/>
  <c r="M213" i="1"/>
  <c r="L213" i="1"/>
  <c r="K213" i="1"/>
  <c r="J213" i="1"/>
  <c r="I213" i="1"/>
  <c r="H213" i="1"/>
  <c r="AZ212" i="1"/>
  <c r="AY212" i="1"/>
  <c r="AX212" i="1"/>
  <c r="AW212" i="1"/>
  <c r="AV212" i="1"/>
  <c r="AU212" i="1"/>
  <c r="AT212" i="1"/>
  <c r="AS212" i="1"/>
  <c r="AR212" i="1"/>
  <c r="AQ212" i="1"/>
  <c r="AP212" i="1"/>
  <c r="W212" i="1"/>
  <c r="V212" i="1"/>
  <c r="U212" i="1"/>
  <c r="T212" i="1"/>
  <c r="S212" i="1"/>
  <c r="R212" i="1"/>
  <c r="Q212" i="1"/>
  <c r="P212" i="1"/>
  <c r="O212" i="1"/>
  <c r="N212" i="1"/>
  <c r="M212" i="1"/>
  <c r="L212" i="1"/>
  <c r="K212" i="1"/>
  <c r="J212" i="1"/>
  <c r="I212" i="1"/>
  <c r="H212" i="1"/>
  <c r="C212" i="1" s="1"/>
  <c r="AZ211" i="1"/>
  <c r="AY211" i="1"/>
  <c r="AX211" i="1"/>
  <c r="AW211" i="1"/>
  <c r="AV211" i="1"/>
  <c r="AU211" i="1"/>
  <c r="AT211" i="1"/>
  <c r="AS211" i="1"/>
  <c r="AR211" i="1"/>
  <c r="AQ211" i="1"/>
  <c r="AP211" i="1"/>
  <c r="W211" i="1"/>
  <c r="V211" i="1"/>
  <c r="U211" i="1"/>
  <c r="T211" i="1"/>
  <c r="S211" i="1"/>
  <c r="R211" i="1"/>
  <c r="Q211" i="1"/>
  <c r="P211" i="1"/>
  <c r="O211" i="1"/>
  <c r="N211" i="1"/>
  <c r="M211" i="1"/>
  <c r="L211" i="1"/>
  <c r="K211" i="1"/>
  <c r="J211" i="1"/>
  <c r="I211" i="1"/>
  <c r="H211" i="1"/>
  <c r="X211" i="1" s="1"/>
  <c r="AZ210" i="1"/>
  <c r="AY210" i="1"/>
  <c r="AX210" i="1"/>
  <c r="AW210" i="1"/>
  <c r="AV210" i="1"/>
  <c r="AU210" i="1"/>
  <c r="AT210" i="1"/>
  <c r="AS210" i="1"/>
  <c r="AR210" i="1"/>
  <c r="AQ210" i="1"/>
  <c r="AP210" i="1"/>
  <c r="W210" i="1"/>
  <c r="V210" i="1"/>
  <c r="U210" i="1"/>
  <c r="T210" i="1"/>
  <c r="S210" i="1"/>
  <c r="R210" i="1"/>
  <c r="Q210" i="1"/>
  <c r="P210" i="1"/>
  <c r="O210" i="1"/>
  <c r="N210" i="1"/>
  <c r="M210" i="1"/>
  <c r="L210" i="1"/>
  <c r="K210" i="1"/>
  <c r="J210" i="1"/>
  <c r="I210" i="1"/>
  <c r="H210" i="1"/>
  <c r="C210" i="1" s="1"/>
  <c r="AZ209" i="1"/>
  <c r="AY209" i="1"/>
  <c r="AX209" i="1"/>
  <c r="AW209" i="1"/>
  <c r="AV209" i="1"/>
  <c r="AU209" i="1"/>
  <c r="AT209" i="1"/>
  <c r="AS209" i="1"/>
  <c r="AR209" i="1"/>
  <c r="AQ209" i="1"/>
  <c r="AP209" i="1"/>
  <c r="W209" i="1"/>
  <c r="V209" i="1"/>
  <c r="U209" i="1"/>
  <c r="T209" i="1"/>
  <c r="S209" i="1"/>
  <c r="R209" i="1"/>
  <c r="Q209" i="1"/>
  <c r="P209" i="1"/>
  <c r="O209" i="1"/>
  <c r="N209" i="1"/>
  <c r="M209" i="1"/>
  <c r="L209" i="1"/>
  <c r="K209" i="1"/>
  <c r="J209" i="1"/>
  <c r="I209" i="1"/>
  <c r="H209" i="1"/>
  <c r="AZ208" i="1"/>
  <c r="AY208" i="1"/>
  <c r="AX208" i="1"/>
  <c r="AW208" i="1"/>
  <c r="AV208" i="1"/>
  <c r="AU208" i="1"/>
  <c r="AT208" i="1"/>
  <c r="AS208" i="1"/>
  <c r="AR208" i="1"/>
  <c r="AQ208" i="1"/>
  <c r="AP208" i="1"/>
  <c r="W208" i="1"/>
  <c r="V208" i="1"/>
  <c r="U208" i="1"/>
  <c r="T208" i="1"/>
  <c r="S208" i="1"/>
  <c r="R208" i="1"/>
  <c r="Q208" i="1"/>
  <c r="P208" i="1"/>
  <c r="O208" i="1"/>
  <c r="N208" i="1"/>
  <c r="M208" i="1"/>
  <c r="L208" i="1"/>
  <c r="K208" i="1"/>
  <c r="J208" i="1"/>
  <c r="I208" i="1"/>
  <c r="H208" i="1"/>
  <c r="AZ207" i="1"/>
  <c r="AY207" i="1"/>
  <c r="AX207" i="1"/>
  <c r="AW207" i="1"/>
  <c r="AV207" i="1"/>
  <c r="AU207" i="1"/>
  <c r="AT207" i="1"/>
  <c r="AS207" i="1"/>
  <c r="AR207" i="1"/>
  <c r="AQ207" i="1"/>
  <c r="AP207" i="1"/>
  <c r="W207" i="1"/>
  <c r="V207" i="1"/>
  <c r="U207" i="1"/>
  <c r="T207" i="1"/>
  <c r="S207" i="1"/>
  <c r="R207" i="1"/>
  <c r="Q207" i="1"/>
  <c r="P207" i="1"/>
  <c r="O207" i="1"/>
  <c r="N207" i="1"/>
  <c r="M207" i="1"/>
  <c r="L207" i="1"/>
  <c r="K207" i="1"/>
  <c r="J207" i="1"/>
  <c r="I207" i="1"/>
  <c r="H207" i="1"/>
  <c r="AZ206" i="1"/>
  <c r="AY206" i="1"/>
  <c r="AX206" i="1"/>
  <c r="AW206" i="1"/>
  <c r="AV206" i="1"/>
  <c r="AU206" i="1"/>
  <c r="AS206" i="1"/>
  <c r="AR206" i="1"/>
  <c r="AQ206" i="1"/>
  <c r="AP206" i="1"/>
  <c r="AH206" i="1"/>
  <c r="AG206" i="1"/>
  <c r="W206" i="1"/>
  <c r="V206" i="1"/>
  <c r="U206" i="1"/>
  <c r="T206" i="1"/>
  <c r="S206" i="1"/>
  <c r="R206" i="1"/>
  <c r="Q206" i="1"/>
  <c r="P206" i="1"/>
  <c r="O206" i="1"/>
  <c r="N206" i="1"/>
  <c r="M206" i="1"/>
  <c r="L206" i="1"/>
  <c r="K206" i="1"/>
  <c r="J206" i="1"/>
  <c r="I206" i="1"/>
  <c r="H206" i="1"/>
  <c r="AZ205" i="1"/>
  <c r="AY205" i="1"/>
  <c r="AX205" i="1"/>
  <c r="AW205" i="1"/>
  <c r="AV205" i="1"/>
  <c r="AU205" i="1"/>
  <c r="AT205" i="1"/>
  <c r="AS205" i="1"/>
  <c r="AR205" i="1"/>
  <c r="AQ205" i="1"/>
  <c r="AP205" i="1"/>
  <c r="AH205" i="1"/>
  <c r="AG205" i="1"/>
  <c r="W205" i="1"/>
  <c r="V205" i="1"/>
  <c r="U205" i="1"/>
  <c r="T205" i="1"/>
  <c r="S205" i="1"/>
  <c r="R205" i="1"/>
  <c r="Q205" i="1"/>
  <c r="P205" i="1"/>
  <c r="O205" i="1"/>
  <c r="N205" i="1"/>
  <c r="M205" i="1"/>
  <c r="L205" i="1"/>
  <c r="K205" i="1"/>
  <c r="J205" i="1"/>
  <c r="I205" i="1"/>
  <c r="H205" i="1"/>
  <c r="AZ204" i="1"/>
  <c r="AY204" i="1"/>
  <c r="AX204" i="1"/>
  <c r="AW204" i="1"/>
  <c r="AV204" i="1"/>
  <c r="AU204" i="1"/>
  <c r="AT204" i="1"/>
  <c r="AS204" i="1"/>
  <c r="AR204" i="1"/>
  <c r="AQ204" i="1"/>
  <c r="AP204" i="1"/>
  <c r="AH204" i="1"/>
  <c r="AG204" i="1"/>
  <c r="W204" i="1"/>
  <c r="V204" i="1"/>
  <c r="U204" i="1"/>
  <c r="T204" i="1"/>
  <c r="S204" i="1"/>
  <c r="R204" i="1"/>
  <c r="Q204" i="1"/>
  <c r="P204" i="1"/>
  <c r="O204" i="1"/>
  <c r="N204" i="1"/>
  <c r="M204" i="1"/>
  <c r="L204" i="1"/>
  <c r="K204" i="1"/>
  <c r="J204" i="1"/>
  <c r="I204" i="1"/>
  <c r="H204" i="1"/>
  <c r="AZ203" i="1"/>
  <c r="AY203" i="1"/>
  <c r="AX203" i="1"/>
  <c r="AW203" i="1"/>
  <c r="AV203" i="1"/>
  <c r="AU203" i="1"/>
  <c r="AT203" i="1"/>
  <c r="AS203" i="1"/>
  <c r="AR203" i="1"/>
  <c r="AQ203" i="1"/>
  <c r="AP203" i="1"/>
  <c r="AH203" i="1"/>
  <c r="AG203" i="1"/>
  <c r="W203" i="1"/>
  <c r="V203" i="1"/>
  <c r="U203" i="1"/>
  <c r="T203" i="1"/>
  <c r="S203" i="1"/>
  <c r="R203" i="1"/>
  <c r="Q203" i="1"/>
  <c r="P203" i="1"/>
  <c r="O203" i="1"/>
  <c r="N203" i="1"/>
  <c r="M203" i="1"/>
  <c r="L203" i="1"/>
  <c r="K203" i="1"/>
  <c r="J203" i="1"/>
  <c r="I203" i="1"/>
  <c r="H203" i="1"/>
  <c r="C203" i="1" s="1"/>
  <c r="AZ202" i="1"/>
  <c r="AY202" i="1"/>
  <c r="AX202" i="1"/>
  <c r="AW202" i="1"/>
  <c r="AV202" i="1"/>
  <c r="AU202" i="1"/>
  <c r="AT202" i="1"/>
  <c r="AS202" i="1"/>
  <c r="AR202" i="1"/>
  <c r="AQ202" i="1"/>
  <c r="AP202" i="1"/>
  <c r="AI202" i="1"/>
  <c r="AH202" i="1"/>
  <c r="AG202" i="1"/>
  <c r="W202" i="1"/>
  <c r="V202" i="1"/>
  <c r="U202" i="1"/>
  <c r="T202" i="1"/>
  <c r="S202" i="1"/>
  <c r="R202" i="1"/>
  <c r="Q202" i="1"/>
  <c r="P202" i="1"/>
  <c r="O202" i="1"/>
  <c r="N202" i="1"/>
  <c r="M202" i="1"/>
  <c r="L202" i="1"/>
  <c r="K202" i="1"/>
  <c r="J202" i="1"/>
  <c r="I202" i="1"/>
  <c r="H202" i="1"/>
  <c r="AZ201" i="1"/>
  <c r="AY201" i="1"/>
  <c r="AX201" i="1"/>
  <c r="AW201" i="1"/>
  <c r="AV201" i="1"/>
  <c r="AU201" i="1"/>
  <c r="AT201" i="1"/>
  <c r="AS201" i="1"/>
  <c r="AR201" i="1"/>
  <c r="AQ201" i="1"/>
  <c r="AP201" i="1"/>
  <c r="AI201" i="1"/>
  <c r="AH201" i="1"/>
  <c r="AG201" i="1"/>
  <c r="W201" i="1"/>
  <c r="V201" i="1"/>
  <c r="U201" i="1"/>
  <c r="T201" i="1"/>
  <c r="S201" i="1"/>
  <c r="R201" i="1"/>
  <c r="Q201" i="1"/>
  <c r="P201" i="1"/>
  <c r="O201" i="1"/>
  <c r="N201" i="1"/>
  <c r="M201" i="1"/>
  <c r="L201" i="1"/>
  <c r="K201" i="1"/>
  <c r="J201" i="1"/>
  <c r="I201" i="1"/>
  <c r="H201" i="1"/>
  <c r="AZ200" i="1"/>
  <c r="AY200" i="1"/>
  <c r="AX200" i="1"/>
  <c r="AW200" i="1"/>
  <c r="AV200" i="1"/>
  <c r="AU200" i="1"/>
  <c r="AT200" i="1"/>
  <c r="AS200" i="1"/>
  <c r="AR200" i="1"/>
  <c r="AP200" i="1"/>
  <c r="W200" i="1"/>
  <c r="V200" i="1"/>
  <c r="U200" i="1"/>
  <c r="T200" i="1"/>
  <c r="S200" i="1"/>
  <c r="R200" i="1"/>
  <c r="Q200" i="1"/>
  <c r="P200" i="1"/>
  <c r="O200" i="1"/>
  <c r="N200" i="1"/>
  <c r="M200" i="1"/>
  <c r="L200" i="1"/>
  <c r="K200" i="1"/>
  <c r="J200" i="1"/>
  <c r="I200" i="1"/>
  <c r="H200" i="1"/>
  <c r="AZ199" i="1"/>
  <c r="AY199" i="1"/>
  <c r="AX199" i="1"/>
  <c r="AW199" i="1"/>
  <c r="AV199" i="1"/>
  <c r="AU199" i="1"/>
  <c r="AT199" i="1"/>
  <c r="AS199" i="1"/>
  <c r="AR199" i="1"/>
  <c r="AQ199" i="1"/>
  <c r="AP199" i="1"/>
  <c r="W199" i="1"/>
  <c r="V199" i="1"/>
  <c r="U199" i="1"/>
  <c r="T199" i="1"/>
  <c r="S199" i="1"/>
  <c r="R199" i="1"/>
  <c r="Q199" i="1"/>
  <c r="P199" i="1"/>
  <c r="O199" i="1"/>
  <c r="N199" i="1"/>
  <c r="M199" i="1"/>
  <c r="L199" i="1"/>
  <c r="K199" i="1"/>
  <c r="J199" i="1"/>
  <c r="I199" i="1"/>
  <c r="H199" i="1"/>
  <c r="AZ198" i="1"/>
  <c r="AY198" i="1"/>
  <c r="AX198" i="1"/>
  <c r="AW198" i="1"/>
  <c r="AV198" i="1"/>
  <c r="AU198" i="1"/>
  <c r="AT198" i="1"/>
  <c r="AS198" i="1"/>
  <c r="AR198" i="1"/>
  <c r="AQ198" i="1"/>
  <c r="AP198" i="1"/>
  <c r="AH198" i="1"/>
  <c r="AG198" i="1"/>
  <c r="W198" i="1"/>
  <c r="V198" i="1"/>
  <c r="U198" i="1"/>
  <c r="T198" i="1"/>
  <c r="S198" i="1"/>
  <c r="R198" i="1"/>
  <c r="Q198" i="1"/>
  <c r="P198" i="1"/>
  <c r="O198" i="1"/>
  <c r="N198" i="1"/>
  <c r="M198" i="1"/>
  <c r="L198" i="1"/>
  <c r="K198" i="1"/>
  <c r="J198" i="1"/>
  <c r="I198" i="1"/>
  <c r="H198" i="1"/>
  <c r="AZ197" i="1"/>
  <c r="AY197" i="1"/>
  <c r="AX197" i="1"/>
  <c r="AW197" i="1"/>
  <c r="AV197" i="1"/>
  <c r="AU197" i="1"/>
  <c r="AT197" i="1"/>
  <c r="AS197" i="1"/>
  <c r="AR197" i="1"/>
  <c r="AQ197" i="1"/>
  <c r="AP197" i="1"/>
  <c r="AH197" i="1"/>
  <c r="AG197" i="1"/>
  <c r="W197" i="1"/>
  <c r="V197" i="1"/>
  <c r="U197" i="1"/>
  <c r="T197" i="1"/>
  <c r="S197" i="1"/>
  <c r="R197" i="1"/>
  <c r="Q197" i="1"/>
  <c r="P197" i="1"/>
  <c r="O197" i="1"/>
  <c r="N197" i="1"/>
  <c r="M197" i="1"/>
  <c r="L197" i="1"/>
  <c r="K197" i="1"/>
  <c r="J197" i="1"/>
  <c r="I197" i="1"/>
  <c r="H197" i="1"/>
  <c r="C197" i="1" s="1"/>
  <c r="AZ196" i="1"/>
  <c r="AY196" i="1"/>
  <c r="AX196" i="1"/>
  <c r="AW196" i="1"/>
  <c r="AV196" i="1"/>
  <c r="AU196" i="1"/>
  <c r="AT196" i="1"/>
  <c r="AS196" i="1"/>
  <c r="AR196" i="1"/>
  <c r="AQ196" i="1"/>
  <c r="AP196" i="1"/>
  <c r="AJ196" i="1"/>
  <c r="AI196" i="1"/>
  <c r="AH196" i="1"/>
  <c r="AG196" i="1"/>
  <c r="W196" i="1"/>
  <c r="V196" i="1"/>
  <c r="U196" i="1"/>
  <c r="T196" i="1"/>
  <c r="S196" i="1"/>
  <c r="R196" i="1"/>
  <c r="Q196" i="1"/>
  <c r="P196" i="1"/>
  <c r="O196" i="1"/>
  <c r="N196" i="1"/>
  <c r="M196" i="1"/>
  <c r="L196" i="1"/>
  <c r="K196" i="1"/>
  <c r="J196" i="1"/>
  <c r="I196" i="1"/>
  <c r="H196" i="1"/>
  <c r="AZ195" i="1"/>
  <c r="AY195" i="1"/>
  <c r="AX195" i="1"/>
  <c r="AW195" i="1"/>
  <c r="AV195" i="1"/>
  <c r="AU195" i="1"/>
  <c r="AT195" i="1"/>
  <c r="AS195" i="1"/>
  <c r="AR195" i="1"/>
  <c r="AQ195" i="1"/>
  <c r="AP195" i="1"/>
  <c r="AJ195" i="1"/>
  <c r="AI195" i="1"/>
  <c r="AH195" i="1"/>
  <c r="AG195" i="1"/>
  <c r="W195" i="1"/>
  <c r="V195" i="1"/>
  <c r="U195" i="1"/>
  <c r="T195" i="1"/>
  <c r="S195" i="1"/>
  <c r="R195" i="1"/>
  <c r="Q195" i="1"/>
  <c r="P195" i="1"/>
  <c r="O195" i="1"/>
  <c r="N195" i="1"/>
  <c r="M195" i="1"/>
  <c r="L195" i="1"/>
  <c r="K195" i="1"/>
  <c r="J195" i="1"/>
  <c r="I195" i="1"/>
  <c r="H195" i="1"/>
  <c r="AZ194" i="1"/>
  <c r="AY194" i="1"/>
  <c r="AX194" i="1"/>
  <c r="AW194" i="1"/>
  <c r="AV194" i="1"/>
  <c r="AU194" i="1"/>
  <c r="AT194" i="1"/>
  <c r="AS194" i="1"/>
  <c r="AR194" i="1"/>
  <c r="AQ194" i="1"/>
  <c r="AP194" i="1"/>
  <c r="AI194" i="1"/>
  <c r="AH194" i="1"/>
  <c r="AG194" i="1"/>
  <c r="W194" i="1"/>
  <c r="V194" i="1"/>
  <c r="U194" i="1"/>
  <c r="T194" i="1"/>
  <c r="S194" i="1"/>
  <c r="R194" i="1"/>
  <c r="Q194" i="1"/>
  <c r="P194" i="1"/>
  <c r="O194" i="1"/>
  <c r="N194" i="1"/>
  <c r="M194" i="1"/>
  <c r="L194" i="1"/>
  <c r="K194" i="1"/>
  <c r="J194" i="1"/>
  <c r="I194" i="1"/>
  <c r="H194" i="1"/>
  <c r="X194" i="1" s="1"/>
  <c r="AZ193" i="1"/>
  <c r="AY193" i="1"/>
  <c r="AX193" i="1"/>
  <c r="AW193" i="1"/>
  <c r="AV193" i="1"/>
  <c r="AU193" i="1"/>
  <c r="AT193" i="1"/>
  <c r="AS193" i="1"/>
  <c r="AR193" i="1"/>
  <c r="AQ193" i="1"/>
  <c r="AP193" i="1"/>
  <c r="AI193" i="1"/>
  <c r="AH193" i="1"/>
  <c r="AG193" i="1"/>
  <c r="W193" i="1"/>
  <c r="V193" i="1"/>
  <c r="U193" i="1"/>
  <c r="T193" i="1"/>
  <c r="S193" i="1"/>
  <c r="R193" i="1"/>
  <c r="Q193" i="1"/>
  <c r="P193" i="1"/>
  <c r="O193" i="1"/>
  <c r="N193" i="1"/>
  <c r="M193" i="1"/>
  <c r="L193" i="1"/>
  <c r="K193" i="1"/>
  <c r="J193" i="1"/>
  <c r="I193" i="1"/>
  <c r="H193" i="1"/>
  <c r="AZ192" i="1"/>
  <c r="AY192" i="1"/>
  <c r="AX192" i="1"/>
  <c r="AW192" i="1"/>
  <c r="AV192" i="1"/>
  <c r="AU192" i="1"/>
  <c r="AT192" i="1"/>
  <c r="AS192" i="1"/>
  <c r="AR192" i="1"/>
  <c r="AQ192" i="1"/>
  <c r="AP192" i="1"/>
  <c r="AI192" i="1"/>
  <c r="AH192" i="1"/>
  <c r="AG192" i="1"/>
  <c r="W192" i="1"/>
  <c r="V192" i="1"/>
  <c r="U192" i="1"/>
  <c r="T192" i="1"/>
  <c r="S192" i="1"/>
  <c r="R192" i="1"/>
  <c r="Q192" i="1"/>
  <c r="P192" i="1"/>
  <c r="O192" i="1"/>
  <c r="N192" i="1"/>
  <c r="M192" i="1"/>
  <c r="L192" i="1"/>
  <c r="K192" i="1"/>
  <c r="J192" i="1"/>
  <c r="I192" i="1"/>
  <c r="H192" i="1"/>
  <c r="AZ191" i="1"/>
  <c r="AY191" i="1"/>
  <c r="AX191" i="1"/>
  <c r="AW191" i="1"/>
  <c r="AV191" i="1"/>
  <c r="AU191" i="1"/>
  <c r="AT191" i="1"/>
  <c r="AS191" i="1"/>
  <c r="AR191" i="1"/>
  <c r="AQ191" i="1"/>
  <c r="AP191" i="1"/>
  <c r="AI191" i="1"/>
  <c r="AH191" i="1"/>
  <c r="AG191" i="1"/>
  <c r="W191" i="1"/>
  <c r="V191" i="1"/>
  <c r="U191" i="1"/>
  <c r="T191" i="1"/>
  <c r="S191" i="1"/>
  <c r="R191" i="1"/>
  <c r="Q191" i="1"/>
  <c r="P191" i="1"/>
  <c r="O191" i="1"/>
  <c r="N191" i="1"/>
  <c r="M191" i="1"/>
  <c r="L191" i="1"/>
  <c r="K191" i="1"/>
  <c r="J191" i="1"/>
  <c r="I191" i="1"/>
  <c r="H191" i="1"/>
  <c r="AZ190" i="1"/>
  <c r="AY190" i="1"/>
  <c r="AX190" i="1"/>
  <c r="AW190" i="1"/>
  <c r="AV190" i="1"/>
  <c r="AU190" i="1"/>
  <c r="AT190" i="1"/>
  <c r="AS190" i="1"/>
  <c r="AR190" i="1"/>
  <c r="AQ190" i="1"/>
  <c r="AP190" i="1"/>
  <c r="AH190" i="1"/>
  <c r="AG190" i="1"/>
  <c r="W190" i="1"/>
  <c r="V190" i="1"/>
  <c r="U190" i="1"/>
  <c r="T190" i="1"/>
  <c r="S190" i="1"/>
  <c r="R190" i="1"/>
  <c r="Q190" i="1"/>
  <c r="P190" i="1"/>
  <c r="O190" i="1"/>
  <c r="N190" i="1"/>
  <c r="M190" i="1"/>
  <c r="L190" i="1"/>
  <c r="K190" i="1"/>
  <c r="J190" i="1"/>
  <c r="I190" i="1"/>
  <c r="H190" i="1"/>
  <c r="AZ189" i="1"/>
  <c r="AY189" i="1"/>
  <c r="AX189" i="1"/>
  <c r="AW189" i="1"/>
  <c r="AV189" i="1"/>
  <c r="AU189" i="1"/>
  <c r="AT189" i="1"/>
  <c r="AS189" i="1"/>
  <c r="AR189" i="1"/>
  <c r="AQ189" i="1"/>
  <c r="AP189" i="1"/>
  <c r="AI189" i="1"/>
  <c r="AH189" i="1"/>
  <c r="AG189" i="1"/>
  <c r="W189" i="1"/>
  <c r="V189" i="1"/>
  <c r="U189" i="1"/>
  <c r="T189" i="1"/>
  <c r="S189" i="1"/>
  <c r="R189" i="1"/>
  <c r="Q189" i="1"/>
  <c r="P189" i="1"/>
  <c r="O189" i="1"/>
  <c r="N189" i="1"/>
  <c r="M189" i="1"/>
  <c r="L189" i="1"/>
  <c r="K189" i="1"/>
  <c r="J189" i="1"/>
  <c r="I189" i="1"/>
  <c r="H189" i="1"/>
  <c r="AZ188" i="1"/>
  <c r="AY188" i="1"/>
  <c r="AX188" i="1"/>
  <c r="AW188" i="1"/>
  <c r="AV188" i="1"/>
  <c r="AU188" i="1"/>
  <c r="AT188" i="1"/>
  <c r="AS188" i="1"/>
  <c r="AR188" i="1"/>
  <c r="AQ188" i="1"/>
  <c r="AP188" i="1"/>
  <c r="AI188" i="1"/>
  <c r="AH188" i="1"/>
  <c r="AG188" i="1"/>
  <c r="W188" i="1"/>
  <c r="V188" i="1"/>
  <c r="U188" i="1"/>
  <c r="T188" i="1"/>
  <c r="S188" i="1"/>
  <c r="R188" i="1"/>
  <c r="Q188" i="1"/>
  <c r="P188" i="1"/>
  <c r="O188" i="1"/>
  <c r="N188" i="1"/>
  <c r="M188" i="1"/>
  <c r="L188" i="1"/>
  <c r="K188" i="1"/>
  <c r="J188" i="1"/>
  <c r="I188" i="1"/>
  <c r="H188" i="1"/>
  <c r="AZ187" i="1"/>
  <c r="AY187" i="1"/>
  <c r="AX187" i="1"/>
  <c r="AW187" i="1"/>
  <c r="AV187" i="1"/>
  <c r="AU187" i="1"/>
  <c r="AT187" i="1"/>
  <c r="AS187" i="1"/>
  <c r="AR187" i="1"/>
  <c r="AQ187" i="1"/>
  <c r="AP187" i="1"/>
  <c r="AI187" i="1"/>
  <c r="AH187" i="1"/>
  <c r="AG187" i="1"/>
  <c r="W187" i="1"/>
  <c r="V187" i="1"/>
  <c r="U187" i="1"/>
  <c r="T187" i="1"/>
  <c r="S187" i="1"/>
  <c r="R187" i="1"/>
  <c r="Q187" i="1"/>
  <c r="P187" i="1"/>
  <c r="O187" i="1"/>
  <c r="N187" i="1"/>
  <c r="M187" i="1"/>
  <c r="L187" i="1"/>
  <c r="K187" i="1"/>
  <c r="J187" i="1"/>
  <c r="I187" i="1"/>
  <c r="H187" i="1"/>
  <c r="AZ186" i="1"/>
  <c r="AY186" i="1"/>
  <c r="AX186" i="1"/>
  <c r="AW186" i="1"/>
  <c r="AV186" i="1"/>
  <c r="AU186" i="1"/>
  <c r="AT186" i="1"/>
  <c r="AS186" i="1"/>
  <c r="AR186" i="1"/>
  <c r="AQ186" i="1"/>
  <c r="AP186" i="1"/>
  <c r="AI186" i="1"/>
  <c r="AH186" i="1"/>
  <c r="AG186" i="1"/>
  <c r="W186" i="1"/>
  <c r="V186" i="1"/>
  <c r="U186" i="1"/>
  <c r="T186" i="1"/>
  <c r="S186" i="1"/>
  <c r="R186" i="1"/>
  <c r="Q186" i="1"/>
  <c r="P186" i="1"/>
  <c r="O186" i="1"/>
  <c r="N186" i="1"/>
  <c r="M186" i="1"/>
  <c r="L186" i="1"/>
  <c r="K186" i="1"/>
  <c r="J186" i="1"/>
  <c r="I186" i="1"/>
  <c r="H186" i="1"/>
  <c r="AZ185" i="1"/>
  <c r="AY185" i="1"/>
  <c r="AX185" i="1"/>
  <c r="AW185" i="1"/>
  <c r="AV185" i="1"/>
  <c r="AU185" i="1"/>
  <c r="AT185" i="1"/>
  <c r="AS185" i="1"/>
  <c r="AR185" i="1"/>
  <c r="AQ185" i="1"/>
  <c r="AP185" i="1"/>
  <c r="AH185" i="1"/>
  <c r="AG185" i="1"/>
  <c r="W185" i="1"/>
  <c r="V185" i="1"/>
  <c r="U185" i="1"/>
  <c r="T185" i="1"/>
  <c r="S185" i="1"/>
  <c r="R185" i="1"/>
  <c r="Q185" i="1"/>
  <c r="P185" i="1"/>
  <c r="O185" i="1"/>
  <c r="N185" i="1"/>
  <c r="M185" i="1"/>
  <c r="L185" i="1"/>
  <c r="K185" i="1"/>
  <c r="J185" i="1"/>
  <c r="I185" i="1"/>
  <c r="H185" i="1"/>
  <c r="AZ184" i="1"/>
  <c r="AY184" i="1"/>
  <c r="AX184" i="1"/>
  <c r="AW184" i="1"/>
  <c r="AV184" i="1"/>
  <c r="AU184" i="1"/>
  <c r="AT184" i="1"/>
  <c r="AS184" i="1"/>
  <c r="AR184" i="1"/>
  <c r="AQ184" i="1"/>
  <c r="AP184" i="1"/>
  <c r="AI184" i="1"/>
  <c r="AH184" i="1"/>
  <c r="AG184" i="1"/>
  <c r="W184" i="1"/>
  <c r="V184" i="1"/>
  <c r="U184" i="1"/>
  <c r="T184" i="1"/>
  <c r="S184" i="1"/>
  <c r="R184" i="1"/>
  <c r="Q184" i="1"/>
  <c r="P184" i="1"/>
  <c r="O184" i="1"/>
  <c r="N184" i="1"/>
  <c r="M184" i="1"/>
  <c r="L184" i="1"/>
  <c r="K184" i="1"/>
  <c r="J184" i="1"/>
  <c r="C184" i="1" s="1"/>
  <c r="I184" i="1"/>
  <c r="H184" i="1"/>
  <c r="AZ183" i="1"/>
  <c r="AY183" i="1"/>
  <c r="AX183" i="1"/>
  <c r="AW183" i="1"/>
  <c r="AV183" i="1"/>
  <c r="AU183" i="1"/>
  <c r="AT183" i="1"/>
  <c r="AS183" i="1"/>
  <c r="AR183" i="1"/>
  <c r="AQ183" i="1"/>
  <c r="AP183" i="1"/>
  <c r="AI183" i="1"/>
  <c r="AH183" i="1"/>
  <c r="AG183" i="1"/>
  <c r="W183" i="1"/>
  <c r="V183" i="1"/>
  <c r="U183" i="1"/>
  <c r="T183" i="1"/>
  <c r="S183" i="1"/>
  <c r="R183" i="1"/>
  <c r="Q183" i="1"/>
  <c r="P183" i="1"/>
  <c r="O183" i="1"/>
  <c r="N183" i="1"/>
  <c r="M183" i="1"/>
  <c r="L183" i="1"/>
  <c r="K183" i="1"/>
  <c r="J183" i="1"/>
  <c r="I183" i="1"/>
  <c r="H183" i="1"/>
  <c r="X183" i="1" s="1"/>
  <c r="AZ182" i="1"/>
  <c r="AY182" i="1"/>
  <c r="AX182" i="1"/>
  <c r="AW182" i="1"/>
  <c r="AV182" i="1"/>
  <c r="AU182" i="1"/>
  <c r="AT182" i="1"/>
  <c r="AS182" i="1"/>
  <c r="AR182" i="1"/>
  <c r="AQ182" i="1"/>
  <c r="AP182" i="1"/>
  <c r="AI182" i="1"/>
  <c r="AH182" i="1"/>
  <c r="AG182" i="1"/>
  <c r="W182" i="1"/>
  <c r="V182" i="1"/>
  <c r="U182" i="1"/>
  <c r="T182" i="1"/>
  <c r="S182" i="1"/>
  <c r="R182" i="1"/>
  <c r="Q182" i="1"/>
  <c r="P182" i="1"/>
  <c r="O182" i="1"/>
  <c r="N182" i="1"/>
  <c r="M182" i="1"/>
  <c r="L182" i="1"/>
  <c r="K182" i="1"/>
  <c r="J182" i="1"/>
  <c r="I182" i="1"/>
  <c r="H182" i="1"/>
  <c r="AZ181" i="1"/>
  <c r="AY181" i="1"/>
  <c r="AX181" i="1"/>
  <c r="AW181" i="1"/>
  <c r="AV181" i="1"/>
  <c r="AU181" i="1"/>
  <c r="AT181" i="1"/>
  <c r="AS181" i="1"/>
  <c r="AR181" i="1"/>
  <c r="AQ181" i="1"/>
  <c r="AP181" i="1"/>
  <c r="AI181" i="1"/>
  <c r="AH181" i="1"/>
  <c r="AG181" i="1"/>
  <c r="W181" i="1"/>
  <c r="V181" i="1"/>
  <c r="U181" i="1"/>
  <c r="T181" i="1"/>
  <c r="S181" i="1"/>
  <c r="R181" i="1"/>
  <c r="Q181" i="1"/>
  <c r="P181" i="1"/>
  <c r="O181" i="1"/>
  <c r="N181" i="1"/>
  <c r="M181" i="1"/>
  <c r="L181" i="1"/>
  <c r="K181" i="1"/>
  <c r="J181" i="1"/>
  <c r="I181" i="1"/>
  <c r="H181" i="1"/>
  <c r="AZ180" i="1"/>
  <c r="AY180" i="1"/>
  <c r="AX180" i="1"/>
  <c r="AW180" i="1"/>
  <c r="AV180" i="1"/>
  <c r="AU180" i="1"/>
  <c r="AT180" i="1"/>
  <c r="AS180" i="1"/>
  <c r="AR180" i="1"/>
  <c r="AQ180" i="1"/>
  <c r="AP180" i="1"/>
  <c r="AI180" i="1"/>
  <c r="AH180" i="1"/>
  <c r="AG180" i="1"/>
  <c r="W180" i="1"/>
  <c r="V180" i="1"/>
  <c r="U180" i="1"/>
  <c r="T180" i="1"/>
  <c r="S180" i="1"/>
  <c r="R180" i="1"/>
  <c r="Q180" i="1"/>
  <c r="P180" i="1"/>
  <c r="O180" i="1"/>
  <c r="N180" i="1"/>
  <c r="M180" i="1"/>
  <c r="L180" i="1"/>
  <c r="K180" i="1"/>
  <c r="J180" i="1"/>
  <c r="I180" i="1"/>
  <c r="H180" i="1"/>
  <c r="AZ179" i="1"/>
  <c r="AY179" i="1"/>
  <c r="AX179" i="1"/>
  <c r="AW179" i="1"/>
  <c r="AV179" i="1"/>
  <c r="AU179" i="1"/>
  <c r="AT179" i="1"/>
  <c r="AS179" i="1"/>
  <c r="AR179" i="1"/>
  <c r="AQ179" i="1"/>
  <c r="AP179" i="1"/>
  <c r="AI179" i="1"/>
  <c r="AH179" i="1"/>
  <c r="AG179" i="1"/>
  <c r="W179" i="1"/>
  <c r="V179" i="1"/>
  <c r="U179" i="1"/>
  <c r="T179" i="1"/>
  <c r="S179" i="1"/>
  <c r="R179" i="1"/>
  <c r="Q179" i="1"/>
  <c r="P179" i="1"/>
  <c r="O179" i="1"/>
  <c r="N179" i="1"/>
  <c r="M179" i="1"/>
  <c r="L179" i="1"/>
  <c r="K179" i="1"/>
  <c r="J179" i="1"/>
  <c r="I179" i="1"/>
  <c r="H179" i="1"/>
  <c r="X179" i="1" s="1"/>
  <c r="AZ178" i="1"/>
  <c r="AY178" i="1"/>
  <c r="AX178" i="1"/>
  <c r="AW178" i="1"/>
  <c r="AV178" i="1"/>
  <c r="AU178" i="1"/>
  <c r="AT178" i="1"/>
  <c r="AS178" i="1"/>
  <c r="AR178" i="1"/>
  <c r="AQ178" i="1"/>
  <c r="AP178" i="1"/>
  <c r="AI178" i="1"/>
  <c r="AH178" i="1"/>
  <c r="AG178" i="1"/>
  <c r="W178" i="1"/>
  <c r="V178" i="1"/>
  <c r="U178" i="1"/>
  <c r="T178" i="1"/>
  <c r="S178" i="1"/>
  <c r="R178" i="1"/>
  <c r="Q178" i="1"/>
  <c r="P178" i="1"/>
  <c r="O178" i="1"/>
  <c r="N178" i="1"/>
  <c r="M178" i="1"/>
  <c r="L178" i="1"/>
  <c r="K178" i="1"/>
  <c r="J178" i="1"/>
  <c r="I178" i="1"/>
  <c r="H178" i="1"/>
  <c r="AZ177" i="1"/>
  <c r="AY177" i="1"/>
  <c r="AX177" i="1"/>
  <c r="AW177" i="1"/>
  <c r="AV177" i="1"/>
  <c r="AU177" i="1"/>
  <c r="AT177" i="1"/>
  <c r="AS177" i="1"/>
  <c r="AR177" i="1"/>
  <c r="AQ177" i="1"/>
  <c r="AP177" i="1"/>
  <c r="AI177" i="1"/>
  <c r="AH177" i="1"/>
  <c r="AG177" i="1"/>
  <c r="W177" i="1"/>
  <c r="V177" i="1"/>
  <c r="U177" i="1"/>
  <c r="T177" i="1"/>
  <c r="S177" i="1"/>
  <c r="R177" i="1"/>
  <c r="Q177" i="1"/>
  <c r="P177" i="1"/>
  <c r="O177" i="1"/>
  <c r="N177" i="1"/>
  <c r="M177" i="1"/>
  <c r="L177" i="1"/>
  <c r="K177" i="1"/>
  <c r="J177" i="1"/>
  <c r="I177" i="1"/>
  <c r="H177" i="1"/>
  <c r="AZ176" i="1"/>
  <c r="AY176" i="1"/>
  <c r="AX176" i="1"/>
  <c r="AW176" i="1"/>
  <c r="AV176" i="1"/>
  <c r="AU176" i="1"/>
  <c r="AT176" i="1"/>
  <c r="AS176" i="1"/>
  <c r="AR176" i="1"/>
  <c r="AQ176" i="1"/>
  <c r="AP176" i="1"/>
  <c r="AI176" i="1"/>
  <c r="AH176" i="1"/>
  <c r="AG176" i="1"/>
  <c r="W176" i="1"/>
  <c r="V176" i="1"/>
  <c r="U176" i="1"/>
  <c r="T176" i="1"/>
  <c r="S176" i="1"/>
  <c r="R176" i="1"/>
  <c r="Q176" i="1"/>
  <c r="P176" i="1"/>
  <c r="O176" i="1"/>
  <c r="N176" i="1"/>
  <c r="M176" i="1"/>
  <c r="L176" i="1"/>
  <c r="K176" i="1"/>
  <c r="J176" i="1"/>
  <c r="I176" i="1"/>
  <c r="H176" i="1"/>
  <c r="AZ175" i="1"/>
  <c r="AY175" i="1"/>
  <c r="AX175" i="1"/>
  <c r="AW175" i="1"/>
  <c r="AV175" i="1"/>
  <c r="AU175" i="1"/>
  <c r="AT175" i="1"/>
  <c r="AS175" i="1"/>
  <c r="AR175" i="1"/>
  <c r="AQ175" i="1"/>
  <c r="AP175" i="1"/>
  <c r="AI175" i="1"/>
  <c r="AH175" i="1"/>
  <c r="AG175" i="1"/>
  <c r="W175" i="1"/>
  <c r="V175" i="1"/>
  <c r="U175" i="1"/>
  <c r="T175" i="1"/>
  <c r="S175" i="1"/>
  <c r="R175" i="1"/>
  <c r="Q175" i="1"/>
  <c r="P175" i="1"/>
  <c r="O175" i="1"/>
  <c r="N175" i="1"/>
  <c r="M175" i="1"/>
  <c r="L175" i="1"/>
  <c r="K175" i="1"/>
  <c r="J175" i="1"/>
  <c r="I175" i="1"/>
  <c r="H175" i="1"/>
  <c r="X175" i="1" s="1"/>
  <c r="AZ174" i="1"/>
  <c r="AY174" i="1"/>
  <c r="AX174" i="1"/>
  <c r="AW174" i="1"/>
  <c r="AV174" i="1"/>
  <c r="AU174" i="1"/>
  <c r="AT174" i="1"/>
  <c r="AS174" i="1"/>
  <c r="AR174" i="1"/>
  <c r="AQ174" i="1"/>
  <c r="AP174" i="1"/>
  <c r="AI174" i="1"/>
  <c r="AH174" i="1"/>
  <c r="AG174" i="1"/>
  <c r="W174" i="1"/>
  <c r="V174" i="1"/>
  <c r="U174" i="1"/>
  <c r="T174" i="1"/>
  <c r="S174" i="1"/>
  <c r="R174" i="1"/>
  <c r="Q174" i="1"/>
  <c r="P174" i="1"/>
  <c r="O174" i="1"/>
  <c r="N174" i="1"/>
  <c r="M174" i="1"/>
  <c r="L174" i="1"/>
  <c r="K174" i="1"/>
  <c r="J174" i="1"/>
  <c r="I174" i="1"/>
  <c r="H174" i="1"/>
  <c r="AZ173" i="1"/>
  <c r="AY173" i="1"/>
  <c r="AX173" i="1"/>
  <c r="AW173" i="1"/>
  <c r="AV173" i="1"/>
  <c r="AU173" i="1"/>
  <c r="AT173" i="1"/>
  <c r="AS173" i="1"/>
  <c r="AR173" i="1"/>
  <c r="AQ173" i="1"/>
  <c r="AP173" i="1"/>
  <c r="AI173" i="1"/>
  <c r="AH173" i="1"/>
  <c r="AG173" i="1"/>
  <c r="W173" i="1"/>
  <c r="V173" i="1"/>
  <c r="U173" i="1"/>
  <c r="T173" i="1"/>
  <c r="S173" i="1"/>
  <c r="R173" i="1"/>
  <c r="Q173" i="1"/>
  <c r="P173" i="1"/>
  <c r="O173" i="1"/>
  <c r="N173" i="1"/>
  <c r="M173" i="1"/>
  <c r="L173" i="1"/>
  <c r="K173" i="1"/>
  <c r="J173" i="1"/>
  <c r="I173" i="1"/>
  <c r="H173" i="1"/>
  <c r="AZ172" i="1"/>
  <c r="AY172" i="1"/>
  <c r="AX172" i="1"/>
  <c r="AW172" i="1"/>
  <c r="AV172" i="1"/>
  <c r="AU172" i="1"/>
  <c r="AT172" i="1"/>
  <c r="AS172" i="1"/>
  <c r="AR172" i="1"/>
  <c r="AQ172" i="1"/>
  <c r="AP172" i="1"/>
  <c r="AI172" i="1"/>
  <c r="AH172" i="1"/>
  <c r="AG172" i="1"/>
  <c r="W172" i="1"/>
  <c r="V172" i="1"/>
  <c r="U172" i="1"/>
  <c r="T172" i="1"/>
  <c r="S172" i="1"/>
  <c r="R172" i="1"/>
  <c r="Q172" i="1"/>
  <c r="P172" i="1"/>
  <c r="O172" i="1"/>
  <c r="N172" i="1"/>
  <c r="M172" i="1"/>
  <c r="L172" i="1"/>
  <c r="K172" i="1"/>
  <c r="J172" i="1"/>
  <c r="I172" i="1"/>
  <c r="H172" i="1"/>
  <c r="AZ171" i="1"/>
  <c r="AY171" i="1"/>
  <c r="AX171" i="1"/>
  <c r="AW171" i="1"/>
  <c r="AV171" i="1"/>
  <c r="AU171" i="1"/>
  <c r="AT171" i="1"/>
  <c r="AS171" i="1"/>
  <c r="AR171" i="1"/>
  <c r="AQ171" i="1"/>
  <c r="AP171" i="1"/>
  <c r="AI171" i="1"/>
  <c r="AH171" i="1"/>
  <c r="AG171" i="1"/>
  <c r="W171" i="1"/>
  <c r="V171" i="1"/>
  <c r="U171" i="1"/>
  <c r="T171" i="1"/>
  <c r="S171" i="1"/>
  <c r="R171" i="1"/>
  <c r="Q171" i="1"/>
  <c r="P171" i="1"/>
  <c r="O171" i="1"/>
  <c r="N171" i="1"/>
  <c r="M171" i="1"/>
  <c r="L171" i="1"/>
  <c r="K171" i="1"/>
  <c r="J171" i="1"/>
  <c r="I171" i="1"/>
  <c r="H171" i="1"/>
  <c r="X171" i="1" s="1"/>
  <c r="AZ170" i="1"/>
  <c r="AY170" i="1"/>
  <c r="AX170" i="1"/>
  <c r="AW170" i="1"/>
  <c r="AV170" i="1"/>
  <c r="AU170" i="1"/>
  <c r="AT170" i="1"/>
  <c r="AS170" i="1"/>
  <c r="AR170" i="1"/>
  <c r="AQ170" i="1"/>
  <c r="AP170" i="1"/>
  <c r="AI170" i="1"/>
  <c r="AH170" i="1"/>
  <c r="AG170" i="1"/>
  <c r="W170" i="1"/>
  <c r="V170" i="1"/>
  <c r="U170" i="1"/>
  <c r="T170" i="1"/>
  <c r="S170" i="1"/>
  <c r="R170" i="1"/>
  <c r="Q170" i="1"/>
  <c r="P170" i="1"/>
  <c r="O170" i="1"/>
  <c r="N170" i="1"/>
  <c r="M170" i="1"/>
  <c r="L170" i="1"/>
  <c r="K170" i="1"/>
  <c r="J170" i="1"/>
  <c r="I170" i="1"/>
  <c r="H170" i="1"/>
  <c r="AZ169" i="1"/>
  <c r="AY169" i="1"/>
  <c r="AX169" i="1"/>
  <c r="AW169" i="1"/>
  <c r="AV169" i="1"/>
  <c r="AU169" i="1"/>
  <c r="AT169" i="1"/>
  <c r="AS169" i="1"/>
  <c r="AR169" i="1"/>
  <c r="AQ169" i="1"/>
  <c r="AP169" i="1"/>
  <c r="AI169" i="1"/>
  <c r="AH169" i="1"/>
  <c r="AG169" i="1"/>
  <c r="W169" i="1"/>
  <c r="V169" i="1"/>
  <c r="U169" i="1"/>
  <c r="T169" i="1"/>
  <c r="S169" i="1"/>
  <c r="R169" i="1"/>
  <c r="Q169" i="1"/>
  <c r="P169" i="1"/>
  <c r="O169" i="1"/>
  <c r="N169" i="1"/>
  <c r="M169" i="1"/>
  <c r="L169" i="1"/>
  <c r="K169" i="1"/>
  <c r="J169" i="1"/>
  <c r="I169" i="1"/>
  <c r="H169" i="1"/>
  <c r="AZ168" i="1"/>
  <c r="AY168" i="1"/>
  <c r="AX168" i="1"/>
  <c r="AW168" i="1"/>
  <c r="AV168" i="1"/>
  <c r="AU168" i="1"/>
  <c r="AT168" i="1"/>
  <c r="AS168" i="1"/>
  <c r="AR168" i="1"/>
  <c r="AQ168" i="1"/>
  <c r="AP168" i="1"/>
  <c r="AI168" i="1"/>
  <c r="AH168" i="1"/>
  <c r="AG168" i="1"/>
  <c r="W168" i="1"/>
  <c r="V168" i="1"/>
  <c r="U168" i="1"/>
  <c r="T168" i="1"/>
  <c r="S168" i="1"/>
  <c r="R168" i="1"/>
  <c r="Q168" i="1"/>
  <c r="P168" i="1"/>
  <c r="O168" i="1"/>
  <c r="N168" i="1"/>
  <c r="M168" i="1"/>
  <c r="L168" i="1"/>
  <c r="K168" i="1"/>
  <c r="J168" i="1"/>
  <c r="I168" i="1"/>
  <c r="H168" i="1"/>
  <c r="AZ167" i="1"/>
  <c r="AY167" i="1"/>
  <c r="AX167" i="1"/>
  <c r="AW167" i="1"/>
  <c r="AV167" i="1"/>
  <c r="AU167" i="1"/>
  <c r="AT167" i="1"/>
  <c r="AS167" i="1"/>
  <c r="AR167" i="1"/>
  <c r="AQ167" i="1"/>
  <c r="AP167" i="1"/>
  <c r="AI167" i="1"/>
  <c r="AH167" i="1"/>
  <c r="AG167" i="1"/>
  <c r="W167" i="1"/>
  <c r="V167" i="1"/>
  <c r="U167" i="1"/>
  <c r="T167" i="1"/>
  <c r="S167" i="1"/>
  <c r="R167" i="1"/>
  <c r="Q167" i="1"/>
  <c r="P167" i="1"/>
  <c r="O167" i="1"/>
  <c r="N167" i="1"/>
  <c r="M167" i="1"/>
  <c r="L167" i="1"/>
  <c r="K167" i="1"/>
  <c r="J167" i="1"/>
  <c r="I167" i="1"/>
  <c r="H167" i="1"/>
  <c r="X167" i="1" s="1"/>
  <c r="AZ166" i="1"/>
  <c r="AY166" i="1"/>
  <c r="AX166" i="1"/>
  <c r="AW166" i="1"/>
  <c r="AV166" i="1"/>
  <c r="AU166" i="1"/>
  <c r="AT166" i="1"/>
  <c r="AS166" i="1"/>
  <c r="AR166" i="1"/>
  <c r="AQ166" i="1"/>
  <c r="AP166" i="1"/>
  <c r="AI166" i="1"/>
  <c r="AH166" i="1"/>
  <c r="AG166" i="1"/>
  <c r="W166" i="1"/>
  <c r="V166" i="1"/>
  <c r="U166" i="1"/>
  <c r="T166" i="1"/>
  <c r="S166" i="1"/>
  <c r="R166" i="1"/>
  <c r="Q166" i="1"/>
  <c r="P166" i="1"/>
  <c r="O166" i="1"/>
  <c r="N166" i="1"/>
  <c r="M166" i="1"/>
  <c r="L166" i="1"/>
  <c r="K166" i="1"/>
  <c r="J166" i="1"/>
  <c r="I166" i="1"/>
  <c r="H166" i="1"/>
  <c r="AZ165" i="1"/>
  <c r="AY165" i="1"/>
  <c r="AX165" i="1"/>
  <c r="AW165" i="1"/>
  <c r="AV165" i="1"/>
  <c r="AU165" i="1"/>
  <c r="AT165" i="1"/>
  <c r="AS165" i="1"/>
  <c r="AR165" i="1"/>
  <c r="AQ165" i="1"/>
  <c r="AP165" i="1"/>
  <c r="AI165" i="1"/>
  <c r="AH165" i="1"/>
  <c r="AG165" i="1"/>
  <c r="W165" i="1"/>
  <c r="V165" i="1"/>
  <c r="U165" i="1"/>
  <c r="T165" i="1"/>
  <c r="S165" i="1"/>
  <c r="R165" i="1"/>
  <c r="Q165" i="1"/>
  <c r="P165" i="1"/>
  <c r="O165" i="1"/>
  <c r="N165" i="1"/>
  <c r="M165" i="1"/>
  <c r="L165" i="1"/>
  <c r="K165" i="1"/>
  <c r="J165" i="1"/>
  <c r="I165" i="1"/>
  <c r="H165" i="1"/>
  <c r="AZ164" i="1"/>
  <c r="AY164" i="1"/>
  <c r="AX164" i="1"/>
  <c r="AW164" i="1"/>
  <c r="AV164" i="1"/>
  <c r="AU164" i="1"/>
  <c r="AT164" i="1"/>
  <c r="AS164" i="1"/>
  <c r="AR164" i="1"/>
  <c r="AQ164" i="1"/>
  <c r="AP164" i="1"/>
  <c r="AI164" i="1"/>
  <c r="AH164" i="1"/>
  <c r="AG164" i="1"/>
  <c r="W164" i="1"/>
  <c r="V164" i="1"/>
  <c r="U164" i="1"/>
  <c r="T164" i="1"/>
  <c r="S164" i="1"/>
  <c r="R164" i="1"/>
  <c r="Q164" i="1"/>
  <c r="P164" i="1"/>
  <c r="O164" i="1"/>
  <c r="N164" i="1"/>
  <c r="M164" i="1"/>
  <c r="L164" i="1"/>
  <c r="K164" i="1"/>
  <c r="J164" i="1"/>
  <c r="I164" i="1"/>
  <c r="H164" i="1"/>
  <c r="AZ163" i="1"/>
  <c r="AY163" i="1"/>
  <c r="AX163" i="1"/>
  <c r="AW163" i="1"/>
  <c r="AV163" i="1"/>
  <c r="AU163" i="1"/>
  <c r="AT163" i="1"/>
  <c r="AS163" i="1"/>
  <c r="AR163" i="1"/>
  <c r="AQ163" i="1"/>
  <c r="AP163" i="1"/>
  <c r="AI163" i="1"/>
  <c r="AH163" i="1"/>
  <c r="AG163" i="1"/>
  <c r="W163" i="1"/>
  <c r="V163" i="1"/>
  <c r="U163" i="1"/>
  <c r="T163" i="1"/>
  <c r="S163" i="1"/>
  <c r="R163" i="1"/>
  <c r="Q163" i="1"/>
  <c r="P163" i="1"/>
  <c r="O163" i="1"/>
  <c r="N163" i="1"/>
  <c r="M163" i="1"/>
  <c r="L163" i="1"/>
  <c r="K163" i="1"/>
  <c r="J163" i="1"/>
  <c r="I163" i="1"/>
  <c r="H163" i="1"/>
  <c r="X163" i="1" s="1"/>
  <c r="AZ162" i="1"/>
  <c r="AY162" i="1"/>
  <c r="AX162" i="1"/>
  <c r="AW162" i="1"/>
  <c r="AV162" i="1"/>
  <c r="AU162" i="1"/>
  <c r="AT162" i="1"/>
  <c r="AS162" i="1"/>
  <c r="AR162" i="1"/>
  <c r="AQ162" i="1"/>
  <c r="AP162" i="1"/>
  <c r="AI162" i="1"/>
  <c r="AH162" i="1"/>
  <c r="AG162" i="1"/>
  <c r="W162" i="1"/>
  <c r="V162" i="1"/>
  <c r="U162" i="1"/>
  <c r="T162" i="1"/>
  <c r="S162" i="1"/>
  <c r="R162" i="1"/>
  <c r="Q162" i="1"/>
  <c r="P162" i="1"/>
  <c r="O162" i="1"/>
  <c r="N162" i="1"/>
  <c r="M162" i="1"/>
  <c r="L162" i="1"/>
  <c r="K162" i="1"/>
  <c r="J162" i="1"/>
  <c r="I162" i="1"/>
  <c r="H162" i="1"/>
  <c r="AZ161" i="1"/>
  <c r="AY161" i="1"/>
  <c r="AX161" i="1"/>
  <c r="AW161" i="1"/>
  <c r="AV161" i="1"/>
  <c r="AU161" i="1"/>
  <c r="AT161" i="1"/>
  <c r="AS161" i="1"/>
  <c r="AR161" i="1"/>
  <c r="AQ161" i="1"/>
  <c r="AP161" i="1"/>
  <c r="AI161" i="1"/>
  <c r="AH161" i="1"/>
  <c r="AG161" i="1"/>
  <c r="W161" i="1"/>
  <c r="V161" i="1"/>
  <c r="U161" i="1"/>
  <c r="T161" i="1"/>
  <c r="S161" i="1"/>
  <c r="R161" i="1"/>
  <c r="Q161" i="1"/>
  <c r="P161" i="1"/>
  <c r="O161" i="1"/>
  <c r="N161" i="1"/>
  <c r="M161" i="1"/>
  <c r="L161" i="1"/>
  <c r="K161" i="1"/>
  <c r="J161" i="1"/>
  <c r="I161" i="1"/>
  <c r="H161" i="1"/>
  <c r="AZ160" i="1"/>
  <c r="AY160" i="1"/>
  <c r="AX160" i="1"/>
  <c r="AW160" i="1"/>
  <c r="AV160" i="1"/>
  <c r="AU160" i="1"/>
  <c r="AT160" i="1"/>
  <c r="AS160" i="1"/>
  <c r="AR160" i="1"/>
  <c r="AQ160" i="1"/>
  <c r="AP160" i="1"/>
  <c r="AH160" i="1"/>
  <c r="AG160" i="1"/>
  <c r="W160" i="1"/>
  <c r="V160" i="1"/>
  <c r="U160" i="1"/>
  <c r="T160" i="1"/>
  <c r="S160" i="1"/>
  <c r="R160" i="1"/>
  <c r="Q160" i="1"/>
  <c r="P160" i="1"/>
  <c r="O160" i="1"/>
  <c r="N160" i="1"/>
  <c r="M160" i="1"/>
  <c r="L160" i="1"/>
  <c r="K160" i="1"/>
  <c r="J160" i="1"/>
  <c r="I160" i="1"/>
  <c r="C160" i="1" s="1"/>
  <c r="H160" i="1"/>
  <c r="AZ159" i="1"/>
  <c r="AY159" i="1"/>
  <c r="AX159" i="1"/>
  <c r="AW159" i="1"/>
  <c r="AV159" i="1"/>
  <c r="AU159" i="1"/>
  <c r="AT159" i="1"/>
  <c r="AS159" i="1"/>
  <c r="AR159" i="1"/>
  <c r="AQ159" i="1"/>
  <c r="AP159" i="1"/>
  <c r="AI159" i="1"/>
  <c r="AH159" i="1"/>
  <c r="AG159" i="1"/>
  <c r="W159" i="1"/>
  <c r="V159" i="1"/>
  <c r="U159" i="1"/>
  <c r="T159" i="1"/>
  <c r="S159" i="1"/>
  <c r="R159" i="1"/>
  <c r="Q159" i="1"/>
  <c r="P159" i="1"/>
  <c r="O159" i="1"/>
  <c r="N159" i="1"/>
  <c r="M159" i="1"/>
  <c r="L159" i="1"/>
  <c r="K159" i="1"/>
  <c r="J159" i="1"/>
  <c r="I159" i="1"/>
  <c r="H159" i="1"/>
  <c r="C159" i="1"/>
  <c r="AZ158" i="1"/>
  <c r="AY158" i="1"/>
  <c r="AX158" i="1"/>
  <c r="AW158" i="1"/>
  <c r="AV158" i="1"/>
  <c r="AU158" i="1"/>
  <c r="AT158" i="1"/>
  <c r="AS158" i="1"/>
  <c r="AR158" i="1"/>
  <c r="AQ158" i="1"/>
  <c r="AP158" i="1"/>
  <c r="AI158" i="1"/>
  <c r="AH158" i="1"/>
  <c r="AG158" i="1"/>
  <c r="W158" i="1"/>
  <c r="V158" i="1"/>
  <c r="U158" i="1"/>
  <c r="T158" i="1"/>
  <c r="S158" i="1"/>
  <c r="R158" i="1"/>
  <c r="Q158" i="1"/>
  <c r="P158" i="1"/>
  <c r="O158" i="1"/>
  <c r="N158" i="1"/>
  <c r="M158" i="1"/>
  <c r="L158" i="1"/>
  <c r="K158" i="1"/>
  <c r="J158" i="1"/>
  <c r="I158" i="1"/>
  <c r="H158" i="1"/>
  <c r="AZ157" i="1"/>
  <c r="AY157" i="1"/>
  <c r="AX157" i="1"/>
  <c r="AW157" i="1"/>
  <c r="AV157" i="1"/>
  <c r="AU157" i="1"/>
  <c r="AT157" i="1"/>
  <c r="AS157" i="1"/>
  <c r="AR157" i="1"/>
  <c r="AQ157" i="1"/>
  <c r="AP157" i="1"/>
  <c r="AI157" i="1"/>
  <c r="AH157" i="1"/>
  <c r="AG157" i="1"/>
  <c r="W157" i="1"/>
  <c r="V157" i="1"/>
  <c r="U157" i="1"/>
  <c r="T157" i="1"/>
  <c r="S157" i="1"/>
  <c r="R157" i="1"/>
  <c r="Q157" i="1"/>
  <c r="P157" i="1"/>
  <c r="O157" i="1"/>
  <c r="N157" i="1"/>
  <c r="M157" i="1"/>
  <c r="L157" i="1"/>
  <c r="K157" i="1"/>
  <c r="J157" i="1"/>
  <c r="I157" i="1"/>
  <c r="H157" i="1"/>
  <c r="AZ156" i="1"/>
  <c r="AY156" i="1"/>
  <c r="AX156" i="1"/>
  <c r="AW156" i="1"/>
  <c r="AV156" i="1"/>
  <c r="AU156" i="1"/>
  <c r="AT156" i="1"/>
  <c r="AS156" i="1"/>
  <c r="AR156" i="1"/>
  <c r="AQ156" i="1"/>
  <c r="AP156" i="1"/>
  <c r="AI156" i="1"/>
  <c r="AH156" i="1"/>
  <c r="AG156" i="1"/>
  <c r="W156" i="1"/>
  <c r="V156" i="1"/>
  <c r="U156" i="1"/>
  <c r="T156" i="1"/>
  <c r="S156" i="1"/>
  <c r="R156" i="1"/>
  <c r="Q156" i="1"/>
  <c r="P156" i="1"/>
  <c r="O156" i="1"/>
  <c r="N156" i="1"/>
  <c r="M156" i="1"/>
  <c r="L156" i="1"/>
  <c r="K156" i="1"/>
  <c r="J156" i="1"/>
  <c r="I156" i="1"/>
  <c r="H156" i="1"/>
  <c r="AZ155" i="1"/>
  <c r="AY155" i="1"/>
  <c r="AX155" i="1"/>
  <c r="AW155" i="1"/>
  <c r="AV155" i="1"/>
  <c r="AU155" i="1"/>
  <c r="AT155" i="1"/>
  <c r="AS155" i="1"/>
  <c r="AR155" i="1"/>
  <c r="AQ155" i="1"/>
  <c r="AP155" i="1"/>
  <c r="AI155" i="1"/>
  <c r="AH155" i="1"/>
  <c r="AG155" i="1"/>
  <c r="W155" i="1"/>
  <c r="V155" i="1"/>
  <c r="U155" i="1"/>
  <c r="T155" i="1"/>
  <c r="S155" i="1"/>
  <c r="R155" i="1"/>
  <c r="Q155" i="1"/>
  <c r="P155" i="1"/>
  <c r="O155" i="1"/>
  <c r="N155" i="1"/>
  <c r="M155" i="1"/>
  <c r="L155" i="1"/>
  <c r="K155" i="1"/>
  <c r="J155" i="1"/>
  <c r="I155" i="1"/>
  <c r="H155" i="1"/>
  <c r="X155" i="1" s="1"/>
  <c r="AZ154" i="1"/>
  <c r="AY154" i="1"/>
  <c r="AX154" i="1"/>
  <c r="AW154" i="1"/>
  <c r="AV154" i="1"/>
  <c r="AU154" i="1"/>
  <c r="AT154" i="1"/>
  <c r="AS154" i="1"/>
  <c r="AR154" i="1"/>
  <c r="AQ154" i="1"/>
  <c r="AP154" i="1"/>
  <c r="AI154" i="1"/>
  <c r="AH154" i="1"/>
  <c r="AG154" i="1"/>
  <c r="W154" i="1"/>
  <c r="V154" i="1"/>
  <c r="U154" i="1"/>
  <c r="T154" i="1"/>
  <c r="S154" i="1"/>
  <c r="R154" i="1"/>
  <c r="Q154" i="1"/>
  <c r="P154" i="1"/>
  <c r="O154" i="1"/>
  <c r="N154" i="1"/>
  <c r="M154" i="1"/>
  <c r="L154" i="1"/>
  <c r="K154" i="1"/>
  <c r="J154" i="1"/>
  <c r="I154" i="1"/>
  <c r="H154" i="1"/>
  <c r="AZ153" i="1"/>
  <c r="AY153" i="1"/>
  <c r="AX153" i="1"/>
  <c r="AW153" i="1"/>
  <c r="AV153" i="1"/>
  <c r="AU153" i="1"/>
  <c r="AT153" i="1"/>
  <c r="AS153" i="1"/>
  <c r="AR153" i="1"/>
  <c r="AQ153" i="1"/>
  <c r="AP153" i="1"/>
  <c r="AI153" i="1"/>
  <c r="AH153" i="1"/>
  <c r="AG153" i="1"/>
  <c r="W153" i="1"/>
  <c r="V153" i="1"/>
  <c r="U153" i="1"/>
  <c r="T153" i="1"/>
  <c r="S153" i="1"/>
  <c r="R153" i="1"/>
  <c r="Q153" i="1"/>
  <c r="P153" i="1"/>
  <c r="O153" i="1"/>
  <c r="N153" i="1"/>
  <c r="M153" i="1"/>
  <c r="L153" i="1"/>
  <c r="K153" i="1"/>
  <c r="J153" i="1"/>
  <c r="I153" i="1"/>
  <c r="H153" i="1"/>
  <c r="AZ152" i="1"/>
  <c r="AY152" i="1"/>
  <c r="AX152" i="1"/>
  <c r="AW152" i="1"/>
  <c r="AV152" i="1"/>
  <c r="AU152" i="1"/>
  <c r="AT152" i="1"/>
  <c r="AS152" i="1"/>
  <c r="AR152" i="1"/>
  <c r="AQ152" i="1"/>
  <c r="AP152" i="1"/>
  <c r="AI152" i="1"/>
  <c r="AH152" i="1"/>
  <c r="AG152" i="1"/>
  <c r="W152" i="1"/>
  <c r="V152" i="1"/>
  <c r="U152" i="1"/>
  <c r="T152" i="1"/>
  <c r="S152" i="1"/>
  <c r="R152" i="1"/>
  <c r="Q152" i="1"/>
  <c r="P152" i="1"/>
  <c r="O152" i="1"/>
  <c r="N152" i="1"/>
  <c r="M152" i="1"/>
  <c r="L152" i="1"/>
  <c r="K152" i="1"/>
  <c r="J152" i="1"/>
  <c r="I152" i="1"/>
  <c r="H152" i="1"/>
  <c r="AZ151" i="1"/>
  <c r="AY151" i="1"/>
  <c r="AX151" i="1"/>
  <c r="AW151" i="1"/>
  <c r="AV151" i="1"/>
  <c r="AU151" i="1"/>
  <c r="AT151" i="1"/>
  <c r="AS151" i="1"/>
  <c r="AR151" i="1"/>
  <c r="AQ151" i="1"/>
  <c r="AP151" i="1"/>
  <c r="AI151" i="1"/>
  <c r="AH151" i="1"/>
  <c r="AG151" i="1"/>
  <c r="W151" i="1"/>
  <c r="V151" i="1"/>
  <c r="U151" i="1"/>
  <c r="T151" i="1"/>
  <c r="S151" i="1"/>
  <c r="R151" i="1"/>
  <c r="Q151" i="1"/>
  <c r="P151" i="1"/>
  <c r="O151" i="1"/>
  <c r="N151" i="1"/>
  <c r="M151" i="1"/>
  <c r="L151" i="1"/>
  <c r="K151" i="1"/>
  <c r="J151" i="1"/>
  <c r="I151" i="1"/>
  <c r="H151" i="1"/>
  <c r="AZ150" i="1"/>
  <c r="AY150" i="1"/>
  <c r="AX150" i="1"/>
  <c r="AW150" i="1"/>
  <c r="AV150" i="1"/>
  <c r="AU150" i="1"/>
  <c r="AT150" i="1"/>
  <c r="AS150" i="1"/>
  <c r="AR150" i="1"/>
  <c r="AQ150" i="1"/>
  <c r="AP150" i="1"/>
  <c r="AI150" i="1"/>
  <c r="AH150" i="1"/>
  <c r="AG150" i="1"/>
  <c r="W150" i="1"/>
  <c r="V150" i="1"/>
  <c r="U150" i="1"/>
  <c r="T150" i="1"/>
  <c r="S150" i="1"/>
  <c r="R150" i="1"/>
  <c r="Q150" i="1"/>
  <c r="P150" i="1"/>
  <c r="O150" i="1"/>
  <c r="N150" i="1"/>
  <c r="M150" i="1"/>
  <c r="L150" i="1"/>
  <c r="K150" i="1"/>
  <c r="J150" i="1"/>
  <c r="I150" i="1"/>
  <c r="H150" i="1"/>
  <c r="AZ149" i="1"/>
  <c r="AY149" i="1"/>
  <c r="AX149" i="1"/>
  <c r="AW149" i="1"/>
  <c r="AV149" i="1"/>
  <c r="AU149" i="1"/>
  <c r="AT149" i="1"/>
  <c r="AS149" i="1"/>
  <c r="AR149" i="1"/>
  <c r="AQ149" i="1"/>
  <c r="AP149" i="1"/>
  <c r="AI149" i="1"/>
  <c r="AH149" i="1"/>
  <c r="AG149" i="1"/>
  <c r="W149" i="1"/>
  <c r="V149" i="1"/>
  <c r="U149" i="1"/>
  <c r="T149" i="1"/>
  <c r="S149" i="1"/>
  <c r="R149" i="1"/>
  <c r="Q149" i="1"/>
  <c r="P149" i="1"/>
  <c r="O149" i="1"/>
  <c r="N149" i="1"/>
  <c r="M149" i="1"/>
  <c r="L149" i="1"/>
  <c r="K149" i="1"/>
  <c r="J149" i="1"/>
  <c r="I149" i="1"/>
  <c r="H149" i="1"/>
  <c r="AZ148" i="1"/>
  <c r="AY148" i="1"/>
  <c r="AX148" i="1"/>
  <c r="AW148" i="1"/>
  <c r="AV148" i="1"/>
  <c r="AU148" i="1"/>
  <c r="AT148" i="1"/>
  <c r="AS148" i="1"/>
  <c r="AR148" i="1"/>
  <c r="AQ148" i="1"/>
  <c r="AP148" i="1"/>
  <c r="AI148" i="1"/>
  <c r="AH148" i="1"/>
  <c r="AG148" i="1"/>
  <c r="W148" i="1"/>
  <c r="V148" i="1"/>
  <c r="U148" i="1"/>
  <c r="T148" i="1"/>
  <c r="S148" i="1"/>
  <c r="R148" i="1"/>
  <c r="Q148" i="1"/>
  <c r="P148" i="1"/>
  <c r="O148" i="1"/>
  <c r="N148" i="1"/>
  <c r="M148" i="1"/>
  <c r="L148" i="1"/>
  <c r="K148" i="1"/>
  <c r="J148" i="1"/>
  <c r="I148" i="1"/>
  <c r="H148" i="1"/>
  <c r="AZ147" i="1"/>
  <c r="AY147" i="1"/>
  <c r="AX147" i="1"/>
  <c r="AW147" i="1"/>
  <c r="AV147" i="1"/>
  <c r="AU147" i="1"/>
  <c r="AT147" i="1"/>
  <c r="AS147" i="1"/>
  <c r="AR147" i="1"/>
  <c r="AQ147" i="1"/>
  <c r="AP147" i="1"/>
  <c r="AI147" i="1"/>
  <c r="AH147" i="1"/>
  <c r="AG147" i="1"/>
  <c r="W147" i="1"/>
  <c r="V147" i="1"/>
  <c r="U147" i="1"/>
  <c r="T147" i="1"/>
  <c r="S147" i="1"/>
  <c r="R147" i="1"/>
  <c r="Q147" i="1"/>
  <c r="P147" i="1"/>
  <c r="O147" i="1"/>
  <c r="N147" i="1"/>
  <c r="M147" i="1"/>
  <c r="L147" i="1"/>
  <c r="K147" i="1"/>
  <c r="J147" i="1"/>
  <c r="I147" i="1"/>
  <c r="H147" i="1"/>
  <c r="AZ146" i="1"/>
  <c r="AY146" i="1"/>
  <c r="AX146" i="1"/>
  <c r="AW146" i="1"/>
  <c r="AV146" i="1"/>
  <c r="AU146" i="1"/>
  <c r="AT146" i="1"/>
  <c r="AS146" i="1"/>
  <c r="AR146" i="1"/>
  <c r="AQ146" i="1"/>
  <c r="AP146" i="1"/>
  <c r="AI146" i="1"/>
  <c r="AH146" i="1"/>
  <c r="AG146" i="1"/>
  <c r="W146" i="1"/>
  <c r="V146" i="1"/>
  <c r="U146" i="1"/>
  <c r="T146" i="1"/>
  <c r="S146" i="1"/>
  <c r="R146" i="1"/>
  <c r="Q146" i="1"/>
  <c r="P146" i="1"/>
  <c r="O146" i="1"/>
  <c r="N146" i="1"/>
  <c r="M146" i="1"/>
  <c r="L146" i="1"/>
  <c r="K146" i="1"/>
  <c r="J146" i="1"/>
  <c r="I146" i="1"/>
  <c r="H146" i="1"/>
  <c r="AZ145" i="1"/>
  <c r="AY145" i="1"/>
  <c r="AX145" i="1"/>
  <c r="AW145" i="1"/>
  <c r="AV145" i="1"/>
  <c r="AU145" i="1"/>
  <c r="AT145" i="1"/>
  <c r="AS145" i="1"/>
  <c r="AR145" i="1"/>
  <c r="AQ145" i="1"/>
  <c r="AP145" i="1"/>
  <c r="AH145" i="1"/>
  <c r="AG145" i="1"/>
  <c r="W145" i="1"/>
  <c r="V145" i="1"/>
  <c r="U145" i="1"/>
  <c r="T145" i="1"/>
  <c r="S145" i="1"/>
  <c r="R145" i="1"/>
  <c r="Q145" i="1"/>
  <c r="P145" i="1"/>
  <c r="O145" i="1"/>
  <c r="N145" i="1"/>
  <c r="M145" i="1"/>
  <c r="L145" i="1"/>
  <c r="K145" i="1"/>
  <c r="J145" i="1"/>
  <c r="I145" i="1"/>
  <c r="H145" i="1"/>
  <c r="AZ144" i="1"/>
  <c r="AY144" i="1"/>
  <c r="AX144" i="1"/>
  <c r="AW144" i="1"/>
  <c r="AV144" i="1"/>
  <c r="AU144" i="1"/>
  <c r="AT144" i="1"/>
  <c r="AS144" i="1"/>
  <c r="AR144" i="1"/>
  <c r="AQ144" i="1"/>
  <c r="AP144" i="1"/>
  <c r="AH144" i="1"/>
  <c r="AG144" i="1"/>
  <c r="W144" i="1"/>
  <c r="V144" i="1"/>
  <c r="U144" i="1"/>
  <c r="T144" i="1"/>
  <c r="S144" i="1"/>
  <c r="R144" i="1"/>
  <c r="Q144" i="1"/>
  <c r="P144" i="1"/>
  <c r="O144" i="1"/>
  <c r="N144" i="1"/>
  <c r="M144" i="1"/>
  <c r="L144" i="1"/>
  <c r="K144" i="1"/>
  <c r="J144" i="1"/>
  <c r="I144" i="1"/>
  <c r="H144" i="1"/>
  <c r="AZ143" i="1"/>
  <c r="AY143" i="1"/>
  <c r="AX143" i="1"/>
  <c r="AW143" i="1"/>
  <c r="AV143" i="1"/>
  <c r="AU143" i="1"/>
  <c r="AT143" i="1"/>
  <c r="AS143" i="1"/>
  <c r="AR143" i="1"/>
  <c r="AQ143" i="1"/>
  <c r="AP143" i="1"/>
  <c r="AI143" i="1"/>
  <c r="AH143" i="1"/>
  <c r="AG143" i="1"/>
  <c r="W143" i="1"/>
  <c r="V143" i="1"/>
  <c r="U143" i="1"/>
  <c r="T143" i="1"/>
  <c r="S143" i="1"/>
  <c r="R143" i="1"/>
  <c r="Q143" i="1"/>
  <c r="P143" i="1"/>
  <c r="O143" i="1"/>
  <c r="N143" i="1"/>
  <c r="M143" i="1"/>
  <c r="L143" i="1"/>
  <c r="K143" i="1"/>
  <c r="J143" i="1"/>
  <c r="I143" i="1"/>
  <c r="H143" i="1"/>
  <c r="X143" i="1" s="1"/>
  <c r="AZ142" i="1"/>
  <c r="AY142" i="1"/>
  <c r="AX142" i="1"/>
  <c r="AW142" i="1"/>
  <c r="AV142" i="1"/>
  <c r="AU142" i="1"/>
  <c r="AT142" i="1"/>
  <c r="AS142" i="1"/>
  <c r="AR142" i="1"/>
  <c r="AQ142" i="1"/>
  <c r="AP142" i="1"/>
  <c r="AI142" i="1"/>
  <c r="AH142" i="1"/>
  <c r="AG142" i="1"/>
  <c r="W142" i="1"/>
  <c r="V142" i="1"/>
  <c r="U142" i="1"/>
  <c r="T142" i="1"/>
  <c r="S142" i="1"/>
  <c r="R142" i="1"/>
  <c r="Q142" i="1"/>
  <c r="P142" i="1"/>
  <c r="O142" i="1"/>
  <c r="N142" i="1"/>
  <c r="M142" i="1"/>
  <c r="L142" i="1"/>
  <c r="K142" i="1"/>
  <c r="J142" i="1"/>
  <c r="I142" i="1"/>
  <c r="H142" i="1"/>
  <c r="AZ141" i="1"/>
  <c r="AY141" i="1"/>
  <c r="AX141" i="1"/>
  <c r="AW141" i="1"/>
  <c r="AV141" i="1"/>
  <c r="AU141" i="1"/>
  <c r="AT141" i="1"/>
  <c r="AS141" i="1"/>
  <c r="AR141" i="1"/>
  <c r="AQ141" i="1"/>
  <c r="AP141" i="1"/>
  <c r="AH141" i="1"/>
  <c r="AG141" i="1"/>
  <c r="W141" i="1"/>
  <c r="V141" i="1"/>
  <c r="U141" i="1"/>
  <c r="T141" i="1"/>
  <c r="S141" i="1"/>
  <c r="R141" i="1"/>
  <c r="Q141" i="1"/>
  <c r="P141" i="1"/>
  <c r="O141" i="1"/>
  <c r="N141" i="1"/>
  <c r="M141" i="1"/>
  <c r="L141" i="1"/>
  <c r="K141" i="1"/>
  <c r="J141" i="1"/>
  <c r="I141" i="1"/>
  <c r="H141" i="1"/>
  <c r="AZ140" i="1"/>
  <c r="AY140" i="1"/>
  <c r="AX140" i="1"/>
  <c r="AW140" i="1"/>
  <c r="AV140" i="1"/>
  <c r="AU140" i="1"/>
  <c r="AT140" i="1"/>
  <c r="AS140" i="1"/>
  <c r="AR140" i="1"/>
  <c r="AQ140" i="1"/>
  <c r="AP140" i="1"/>
  <c r="AI140" i="1"/>
  <c r="AH140" i="1"/>
  <c r="AG140" i="1"/>
  <c r="W140" i="1"/>
  <c r="V140" i="1"/>
  <c r="U140" i="1"/>
  <c r="T140" i="1"/>
  <c r="S140" i="1"/>
  <c r="R140" i="1"/>
  <c r="Q140" i="1"/>
  <c r="P140" i="1"/>
  <c r="O140" i="1"/>
  <c r="N140" i="1"/>
  <c r="M140" i="1"/>
  <c r="L140" i="1"/>
  <c r="K140" i="1"/>
  <c r="J140" i="1"/>
  <c r="I140" i="1"/>
  <c r="H140" i="1"/>
  <c r="AZ139" i="1"/>
  <c r="AY139" i="1"/>
  <c r="AX139" i="1"/>
  <c r="AW139" i="1"/>
  <c r="AV139" i="1"/>
  <c r="AU139" i="1"/>
  <c r="AT139" i="1"/>
  <c r="AS139" i="1"/>
  <c r="AR139" i="1"/>
  <c r="AQ139" i="1"/>
  <c r="AP139" i="1"/>
  <c r="AI139" i="1"/>
  <c r="AH139" i="1"/>
  <c r="AG139" i="1"/>
  <c r="W139" i="1"/>
  <c r="V139" i="1"/>
  <c r="U139" i="1"/>
  <c r="T139" i="1"/>
  <c r="S139" i="1"/>
  <c r="R139" i="1"/>
  <c r="Q139" i="1"/>
  <c r="P139" i="1"/>
  <c r="O139" i="1"/>
  <c r="N139" i="1"/>
  <c r="M139" i="1"/>
  <c r="L139" i="1"/>
  <c r="K139" i="1"/>
  <c r="J139" i="1"/>
  <c r="I139" i="1"/>
  <c r="H139" i="1"/>
  <c r="AZ138" i="1"/>
  <c r="AY138" i="1"/>
  <c r="AX138" i="1"/>
  <c r="AW138" i="1"/>
  <c r="AV138" i="1"/>
  <c r="AU138" i="1"/>
  <c r="AT138" i="1"/>
  <c r="AS138" i="1"/>
  <c r="AR138" i="1"/>
  <c r="AQ138" i="1"/>
  <c r="AP138" i="1"/>
  <c r="AI138" i="1"/>
  <c r="AH138" i="1"/>
  <c r="AG138" i="1"/>
  <c r="W138" i="1"/>
  <c r="V138" i="1"/>
  <c r="U138" i="1"/>
  <c r="T138" i="1"/>
  <c r="S138" i="1"/>
  <c r="R138" i="1"/>
  <c r="Q138" i="1"/>
  <c r="P138" i="1"/>
  <c r="O138" i="1"/>
  <c r="N138" i="1"/>
  <c r="M138" i="1"/>
  <c r="L138" i="1"/>
  <c r="K138" i="1"/>
  <c r="J138" i="1"/>
  <c r="I138" i="1"/>
  <c r="H138" i="1"/>
  <c r="AZ137" i="1"/>
  <c r="AY137" i="1"/>
  <c r="AX137" i="1"/>
  <c r="AW137" i="1"/>
  <c r="AV137" i="1"/>
  <c r="AU137" i="1"/>
  <c r="AT137" i="1"/>
  <c r="AS137" i="1"/>
  <c r="AR137" i="1"/>
  <c r="AQ137" i="1"/>
  <c r="AP137" i="1"/>
  <c r="AI137" i="1"/>
  <c r="AH137" i="1"/>
  <c r="AG137" i="1"/>
  <c r="W137" i="1"/>
  <c r="V137" i="1"/>
  <c r="U137" i="1"/>
  <c r="T137" i="1"/>
  <c r="S137" i="1"/>
  <c r="R137" i="1"/>
  <c r="Q137" i="1"/>
  <c r="P137" i="1"/>
  <c r="O137" i="1"/>
  <c r="N137" i="1"/>
  <c r="M137" i="1"/>
  <c r="L137" i="1"/>
  <c r="K137" i="1"/>
  <c r="C137" i="1" s="1"/>
  <c r="J137" i="1"/>
  <c r="I137" i="1"/>
  <c r="H137" i="1"/>
  <c r="AZ136" i="1"/>
  <c r="AY136" i="1"/>
  <c r="AX136" i="1"/>
  <c r="AW136" i="1"/>
  <c r="AV136" i="1"/>
  <c r="AU136" i="1"/>
  <c r="AT136" i="1"/>
  <c r="AS136" i="1"/>
  <c r="AR136" i="1"/>
  <c r="AQ136" i="1"/>
  <c r="AP136" i="1"/>
  <c r="AH136" i="1"/>
  <c r="AG136" i="1"/>
  <c r="W136" i="1"/>
  <c r="V136" i="1"/>
  <c r="U136" i="1"/>
  <c r="T136" i="1"/>
  <c r="S136" i="1"/>
  <c r="R136" i="1"/>
  <c r="Q136" i="1"/>
  <c r="P136" i="1"/>
  <c r="O136" i="1"/>
  <c r="N136" i="1"/>
  <c r="M136" i="1"/>
  <c r="L136" i="1"/>
  <c r="K136" i="1"/>
  <c r="J136" i="1"/>
  <c r="I136" i="1"/>
  <c r="H136" i="1"/>
  <c r="AZ135" i="1"/>
  <c r="AY135" i="1"/>
  <c r="AX135" i="1"/>
  <c r="AW135" i="1"/>
  <c r="AV135" i="1"/>
  <c r="AU135" i="1"/>
  <c r="AT135" i="1"/>
  <c r="AS135" i="1"/>
  <c r="AR135" i="1"/>
  <c r="AQ135" i="1"/>
  <c r="AP135" i="1"/>
  <c r="AI135" i="1"/>
  <c r="AH135" i="1"/>
  <c r="AG135" i="1"/>
  <c r="W135" i="1"/>
  <c r="V135" i="1"/>
  <c r="U135" i="1"/>
  <c r="T135" i="1"/>
  <c r="S135" i="1"/>
  <c r="R135" i="1"/>
  <c r="Q135" i="1"/>
  <c r="P135" i="1"/>
  <c r="O135" i="1"/>
  <c r="N135" i="1"/>
  <c r="M135" i="1"/>
  <c r="L135" i="1"/>
  <c r="K135" i="1"/>
  <c r="J135" i="1"/>
  <c r="I135" i="1"/>
  <c r="H135" i="1"/>
  <c r="AZ134" i="1"/>
  <c r="AY134" i="1"/>
  <c r="AX134" i="1"/>
  <c r="AW134" i="1"/>
  <c r="AV134" i="1"/>
  <c r="AU134" i="1"/>
  <c r="AT134" i="1"/>
  <c r="AS134" i="1"/>
  <c r="AR134" i="1"/>
  <c r="AQ134" i="1"/>
  <c r="AP134" i="1"/>
  <c r="AH134" i="1"/>
  <c r="AG134" i="1"/>
  <c r="W134" i="1"/>
  <c r="V134" i="1"/>
  <c r="U134" i="1"/>
  <c r="T134" i="1"/>
  <c r="S134" i="1"/>
  <c r="R134" i="1"/>
  <c r="Q134" i="1"/>
  <c r="P134" i="1"/>
  <c r="O134" i="1"/>
  <c r="N134" i="1"/>
  <c r="M134" i="1"/>
  <c r="L134" i="1"/>
  <c r="K134" i="1"/>
  <c r="J134" i="1"/>
  <c r="I134" i="1"/>
  <c r="H134" i="1"/>
  <c r="AZ133" i="1"/>
  <c r="AY133" i="1"/>
  <c r="AX133" i="1"/>
  <c r="AW133" i="1"/>
  <c r="AV133" i="1"/>
  <c r="AU133" i="1"/>
  <c r="AT133" i="1"/>
  <c r="AS133" i="1"/>
  <c r="AR133" i="1"/>
  <c r="AQ133" i="1"/>
  <c r="AP133" i="1"/>
  <c r="AI133" i="1"/>
  <c r="AH133" i="1"/>
  <c r="AG133" i="1"/>
  <c r="W133" i="1"/>
  <c r="V133" i="1"/>
  <c r="U133" i="1"/>
  <c r="T133" i="1"/>
  <c r="S133" i="1"/>
  <c r="R133" i="1"/>
  <c r="Q133" i="1"/>
  <c r="P133" i="1"/>
  <c r="O133" i="1"/>
  <c r="N133" i="1"/>
  <c r="M133" i="1"/>
  <c r="L133" i="1"/>
  <c r="K133" i="1"/>
  <c r="J133" i="1"/>
  <c r="I133" i="1"/>
  <c r="H133" i="1"/>
  <c r="AZ132" i="1"/>
  <c r="AY132" i="1"/>
  <c r="AX132" i="1"/>
  <c r="AW132" i="1"/>
  <c r="AV132" i="1"/>
  <c r="AU132" i="1"/>
  <c r="AT132" i="1"/>
  <c r="AS132" i="1"/>
  <c r="AR132" i="1"/>
  <c r="AQ132" i="1"/>
  <c r="AP132" i="1"/>
  <c r="AI132" i="1"/>
  <c r="AH132" i="1"/>
  <c r="AG132" i="1"/>
  <c r="W132" i="1"/>
  <c r="V132" i="1"/>
  <c r="U132" i="1"/>
  <c r="T132" i="1"/>
  <c r="S132" i="1"/>
  <c r="R132" i="1"/>
  <c r="Q132" i="1"/>
  <c r="P132" i="1"/>
  <c r="O132" i="1"/>
  <c r="N132" i="1"/>
  <c r="M132" i="1"/>
  <c r="L132" i="1"/>
  <c r="K132" i="1"/>
  <c r="J132" i="1"/>
  <c r="I132" i="1"/>
  <c r="H132" i="1"/>
  <c r="AZ131" i="1"/>
  <c r="AY131" i="1"/>
  <c r="AX131" i="1"/>
  <c r="AW131" i="1"/>
  <c r="AV131" i="1"/>
  <c r="AU131" i="1"/>
  <c r="AT131" i="1"/>
  <c r="AS131" i="1"/>
  <c r="AR131" i="1"/>
  <c r="AQ131" i="1"/>
  <c r="AP131" i="1"/>
  <c r="AI131" i="1"/>
  <c r="AH131" i="1"/>
  <c r="AG131" i="1"/>
  <c r="W131" i="1"/>
  <c r="V131" i="1"/>
  <c r="U131" i="1"/>
  <c r="T131" i="1"/>
  <c r="S131" i="1"/>
  <c r="R131" i="1"/>
  <c r="Q131" i="1"/>
  <c r="P131" i="1"/>
  <c r="O131" i="1"/>
  <c r="N131" i="1"/>
  <c r="M131" i="1"/>
  <c r="L131" i="1"/>
  <c r="K131" i="1"/>
  <c r="J131" i="1"/>
  <c r="I131" i="1"/>
  <c r="H131" i="1"/>
  <c r="AZ130" i="1"/>
  <c r="AY130" i="1"/>
  <c r="AX130" i="1"/>
  <c r="AW130" i="1"/>
  <c r="AV130" i="1"/>
  <c r="AU130" i="1"/>
  <c r="AT130" i="1"/>
  <c r="AS130" i="1"/>
  <c r="AR130" i="1"/>
  <c r="AQ130" i="1"/>
  <c r="AP130" i="1"/>
  <c r="AI130" i="1"/>
  <c r="AH130" i="1"/>
  <c r="AG130" i="1"/>
  <c r="W130" i="1"/>
  <c r="V130" i="1"/>
  <c r="U130" i="1"/>
  <c r="T130" i="1"/>
  <c r="S130" i="1"/>
  <c r="R130" i="1"/>
  <c r="Q130" i="1"/>
  <c r="P130" i="1"/>
  <c r="O130" i="1"/>
  <c r="N130" i="1"/>
  <c r="M130" i="1"/>
  <c r="L130" i="1"/>
  <c r="K130" i="1"/>
  <c r="J130" i="1"/>
  <c r="I130" i="1"/>
  <c r="H130" i="1"/>
  <c r="AZ129" i="1"/>
  <c r="AY129" i="1"/>
  <c r="AX129" i="1"/>
  <c r="AW129" i="1"/>
  <c r="AV129" i="1"/>
  <c r="AU129" i="1"/>
  <c r="AT129" i="1"/>
  <c r="AS129" i="1"/>
  <c r="AR129" i="1"/>
  <c r="AQ129" i="1"/>
  <c r="AP129" i="1"/>
  <c r="AI129" i="1"/>
  <c r="AH129" i="1"/>
  <c r="AG129" i="1"/>
  <c r="W129" i="1"/>
  <c r="V129" i="1"/>
  <c r="U129" i="1"/>
  <c r="T129" i="1"/>
  <c r="S129" i="1"/>
  <c r="R129" i="1"/>
  <c r="Q129" i="1"/>
  <c r="P129" i="1"/>
  <c r="O129" i="1"/>
  <c r="N129" i="1"/>
  <c r="M129" i="1"/>
  <c r="L129" i="1"/>
  <c r="K129" i="1"/>
  <c r="J129" i="1"/>
  <c r="I129" i="1"/>
  <c r="H129" i="1"/>
  <c r="AZ128" i="1"/>
  <c r="AY128" i="1"/>
  <c r="AX128" i="1"/>
  <c r="AW128" i="1"/>
  <c r="AV128" i="1"/>
  <c r="AU128" i="1"/>
  <c r="AT128" i="1"/>
  <c r="AS128" i="1"/>
  <c r="AR128" i="1"/>
  <c r="AQ128" i="1"/>
  <c r="AP128" i="1"/>
  <c r="AI128" i="1"/>
  <c r="AH128" i="1"/>
  <c r="AG128" i="1"/>
  <c r="W128" i="1"/>
  <c r="V128" i="1"/>
  <c r="U128" i="1"/>
  <c r="T128" i="1"/>
  <c r="S128" i="1"/>
  <c r="R128" i="1"/>
  <c r="Q128" i="1"/>
  <c r="P128" i="1"/>
  <c r="O128" i="1"/>
  <c r="N128" i="1"/>
  <c r="M128" i="1"/>
  <c r="L128" i="1"/>
  <c r="K128" i="1"/>
  <c r="J128" i="1"/>
  <c r="I128" i="1"/>
  <c r="H128" i="1"/>
  <c r="AZ127" i="1"/>
  <c r="AY127" i="1"/>
  <c r="AX127" i="1"/>
  <c r="AW127" i="1"/>
  <c r="AV127" i="1"/>
  <c r="AU127" i="1"/>
  <c r="AT127" i="1"/>
  <c r="AS127" i="1"/>
  <c r="AR127" i="1"/>
  <c r="AQ127" i="1"/>
  <c r="AP127" i="1"/>
  <c r="W127" i="1"/>
  <c r="V127" i="1"/>
  <c r="U127" i="1"/>
  <c r="T127" i="1"/>
  <c r="S127" i="1"/>
  <c r="R127" i="1"/>
  <c r="Q127" i="1"/>
  <c r="P127" i="1"/>
  <c r="O127" i="1"/>
  <c r="N127" i="1"/>
  <c r="M127" i="1"/>
  <c r="L127" i="1"/>
  <c r="K127" i="1"/>
  <c r="J127" i="1"/>
  <c r="I127" i="1"/>
  <c r="H127" i="1"/>
  <c r="AZ126" i="1"/>
  <c r="AY126" i="1"/>
  <c r="AX126" i="1"/>
  <c r="AW126" i="1"/>
  <c r="AV126" i="1"/>
  <c r="AU126" i="1"/>
  <c r="AT126" i="1"/>
  <c r="AS126" i="1"/>
  <c r="AR126" i="1"/>
  <c r="AQ126" i="1"/>
  <c r="AP126" i="1"/>
  <c r="AI126" i="1"/>
  <c r="AH126" i="1"/>
  <c r="AG126" i="1"/>
  <c r="W126" i="1"/>
  <c r="V126" i="1"/>
  <c r="U126" i="1"/>
  <c r="T126" i="1"/>
  <c r="S126" i="1"/>
  <c r="R126" i="1"/>
  <c r="Q126" i="1"/>
  <c r="P126" i="1"/>
  <c r="O126" i="1"/>
  <c r="N126" i="1"/>
  <c r="M126" i="1"/>
  <c r="L126" i="1"/>
  <c r="K126" i="1"/>
  <c r="J126" i="1"/>
  <c r="I126" i="1"/>
  <c r="H126" i="1"/>
  <c r="X126" i="1" s="1"/>
  <c r="AZ125" i="1"/>
  <c r="AY125" i="1"/>
  <c r="AX125" i="1"/>
  <c r="AW125" i="1"/>
  <c r="AV125" i="1"/>
  <c r="AU125" i="1"/>
  <c r="AT125" i="1"/>
  <c r="AS125" i="1"/>
  <c r="AR125" i="1"/>
  <c r="AQ125" i="1"/>
  <c r="AP125" i="1"/>
  <c r="AI125" i="1"/>
  <c r="AH125" i="1"/>
  <c r="AG125" i="1"/>
  <c r="W125" i="1"/>
  <c r="V125" i="1"/>
  <c r="U125" i="1"/>
  <c r="T125" i="1"/>
  <c r="S125" i="1"/>
  <c r="R125" i="1"/>
  <c r="Q125" i="1"/>
  <c r="P125" i="1"/>
  <c r="O125" i="1"/>
  <c r="N125" i="1"/>
  <c r="M125" i="1"/>
  <c r="L125" i="1"/>
  <c r="K125" i="1"/>
  <c r="J125" i="1"/>
  <c r="I125" i="1"/>
  <c r="H125" i="1"/>
  <c r="AZ124" i="1"/>
  <c r="AY124" i="1"/>
  <c r="AX124" i="1"/>
  <c r="AW124" i="1"/>
  <c r="AV124" i="1"/>
  <c r="AU124" i="1"/>
  <c r="AT124" i="1"/>
  <c r="AS124" i="1"/>
  <c r="AR124" i="1"/>
  <c r="AQ124" i="1"/>
  <c r="AP124" i="1"/>
  <c r="AH124" i="1"/>
  <c r="AG124" i="1"/>
  <c r="W124" i="1"/>
  <c r="V124" i="1"/>
  <c r="U124" i="1"/>
  <c r="T124" i="1"/>
  <c r="S124" i="1"/>
  <c r="R124" i="1"/>
  <c r="Q124" i="1"/>
  <c r="P124" i="1"/>
  <c r="O124" i="1"/>
  <c r="N124" i="1"/>
  <c r="M124" i="1"/>
  <c r="L124" i="1"/>
  <c r="K124" i="1"/>
  <c r="J124" i="1"/>
  <c r="I124" i="1"/>
  <c r="H124" i="1"/>
  <c r="AZ123" i="1"/>
  <c r="AY123" i="1"/>
  <c r="AX123" i="1"/>
  <c r="AW123" i="1"/>
  <c r="AV123" i="1"/>
  <c r="AU123" i="1"/>
  <c r="AT123" i="1"/>
  <c r="AS123" i="1"/>
  <c r="AR123" i="1"/>
  <c r="AQ123" i="1"/>
  <c r="AP123" i="1"/>
  <c r="AI123" i="1"/>
  <c r="AH123" i="1"/>
  <c r="AG123" i="1"/>
  <c r="W123" i="1"/>
  <c r="V123" i="1"/>
  <c r="U123" i="1"/>
  <c r="T123" i="1"/>
  <c r="S123" i="1"/>
  <c r="R123" i="1"/>
  <c r="Q123" i="1"/>
  <c r="P123" i="1"/>
  <c r="O123" i="1"/>
  <c r="N123" i="1"/>
  <c r="M123" i="1"/>
  <c r="L123" i="1"/>
  <c r="K123" i="1"/>
  <c r="J123" i="1"/>
  <c r="I123" i="1"/>
  <c r="H123" i="1"/>
  <c r="AZ122" i="1"/>
  <c r="AY122" i="1"/>
  <c r="AX122" i="1"/>
  <c r="AW122" i="1"/>
  <c r="AV122" i="1"/>
  <c r="AU122" i="1"/>
  <c r="AT122" i="1"/>
  <c r="AS122" i="1"/>
  <c r="AR122" i="1"/>
  <c r="AQ122" i="1"/>
  <c r="AP122" i="1"/>
  <c r="AI122" i="1"/>
  <c r="AH122" i="1"/>
  <c r="AG122" i="1"/>
  <c r="W122" i="1"/>
  <c r="V122" i="1"/>
  <c r="U122" i="1"/>
  <c r="T122" i="1"/>
  <c r="S122" i="1"/>
  <c r="R122" i="1"/>
  <c r="Q122" i="1"/>
  <c r="P122" i="1"/>
  <c r="O122" i="1"/>
  <c r="N122" i="1"/>
  <c r="M122" i="1"/>
  <c r="L122" i="1"/>
  <c r="K122" i="1"/>
  <c r="J122" i="1"/>
  <c r="I122" i="1"/>
  <c r="H122" i="1"/>
  <c r="AZ121" i="1"/>
  <c r="AY121" i="1"/>
  <c r="AX121" i="1"/>
  <c r="AW121" i="1"/>
  <c r="AV121" i="1"/>
  <c r="AU121" i="1"/>
  <c r="AT121" i="1"/>
  <c r="AS121" i="1"/>
  <c r="AR121" i="1"/>
  <c r="AQ121" i="1"/>
  <c r="AP121" i="1"/>
  <c r="AI121" i="1"/>
  <c r="AH121" i="1"/>
  <c r="AG121" i="1"/>
  <c r="W121" i="1"/>
  <c r="V121" i="1"/>
  <c r="U121" i="1"/>
  <c r="T121" i="1"/>
  <c r="S121" i="1"/>
  <c r="R121" i="1"/>
  <c r="Q121" i="1"/>
  <c r="P121" i="1"/>
  <c r="O121" i="1"/>
  <c r="N121" i="1"/>
  <c r="M121" i="1"/>
  <c r="L121" i="1"/>
  <c r="K121" i="1"/>
  <c r="J121" i="1"/>
  <c r="I121" i="1"/>
  <c r="H121" i="1"/>
  <c r="AZ120" i="1"/>
  <c r="AY120" i="1"/>
  <c r="AX120" i="1"/>
  <c r="AW120" i="1"/>
  <c r="AV120" i="1"/>
  <c r="AU120" i="1"/>
  <c r="AT120" i="1"/>
  <c r="AS120" i="1"/>
  <c r="AR120" i="1"/>
  <c r="AQ120" i="1"/>
  <c r="AP120" i="1"/>
  <c r="AI120" i="1"/>
  <c r="AH120" i="1"/>
  <c r="AG120" i="1"/>
  <c r="W120" i="1"/>
  <c r="V120" i="1"/>
  <c r="U120" i="1"/>
  <c r="T120" i="1"/>
  <c r="S120" i="1"/>
  <c r="R120" i="1"/>
  <c r="Q120" i="1"/>
  <c r="P120" i="1"/>
  <c r="O120" i="1"/>
  <c r="N120" i="1"/>
  <c r="M120" i="1"/>
  <c r="L120" i="1"/>
  <c r="K120" i="1"/>
  <c r="J120" i="1"/>
  <c r="I120" i="1"/>
  <c r="H120" i="1"/>
  <c r="AZ119" i="1"/>
  <c r="AY119" i="1"/>
  <c r="AX119" i="1"/>
  <c r="AW119" i="1"/>
  <c r="AV119" i="1"/>
  <c r="AU119" i="1"/>
  <c r="AT119" i="1"/>
  <c r="AS119" i="1"/>
  <c r="AR119" i="1"/>
  <c r="AQ119" i="1"/>
  <c r="AP119" i="1"/>
  <c r="AH119" i="1"/>
  <c r="AG119" i="1"/>
  <c r="W119" i="1"/>
  <c r="V119" i="1"/>
  <c r="U119" i="1"/>
  <c r="T119" i="1"/>
  <c r="S119" i="1"/>
  <c r="R119" i="1"/>
  <c r="Q119" i="1"/>
  <c r="P119" i="1"/>
  <c r="O119" i="1"/>
  <c r="N119" i="1"/>
  <c r="M119" i="1"/>
  <c r="L119" i="1"/>
  <c r="K119" i="1"/>
  <c r="J119" i="1"/>
  <c r="I119" i="1"/>
  <c r="H119" i="1"/>
  <c r="AZ118" i="1"/>
  <c r="AY118" i="1"/>
  <c r="AX118" i="1"/>
  <c r="AW118" i="1"/>
  <c r="AV118" i="1"/>
  <c r="AU118" i="1"/>
  <c r="AT118" i="1"/>
  <c r="AS118" i="1"/>
  <c r="AR118" i="1"/>
  <c r="AQ118" i="1"/>
  <c r="AP118" i="1"/>
  <c r="AH118" i="1"/>
  <c r="AG118" i="1"/>
  <c r="W118" i="1"/>
  <c r="V118" i="1"/>
  <c r="U118" i="1"/>
  <c r="T118" i="1"/>
  <c r="S118" i="1"/>
  <c r="R118" i="1"/>
  <c r="Q118" i="1"/>
  <c r="P118" i="1"/>
  <c r="O118" i="1"/>
  <c r="N118" i="1"/>
  <c r="M118" i="1"/>
  <c r="L118" i="1"/>
  <c r="K118" i="1"/>
  <c r="J118" i="1"/>
  <c r="I118" i="1"/>
  <c r="H118" i="1"/>
  <c r="AZ117" i="1"/>
  <c r="AY117" i="1"/>
  <c r="AX117" i="1"/>
  <c r="AW117" i="1"/>
  <c r="AV117" i="1"/>
  <c r="AU117" i="1"/>
  <c r="AT117" i="1"/>
  <c r="AS117" i="1"/>
  <c r="AR117" i="1"/>
  <c r="AQ117" i="1"/>
  <c r="AP117" i="1"/>
  <c r="AI117" i="1"/>
  <c r="AH117" i="1"/>
  <c r="AG117" i="1"/>
  <c r="W117" i="1"/>
  <c r="V117" i="1"/>
  <c r="U117" i="1"/>
  <c r="T117" i="1"/>
  <c r="S117" i="1"/>
  <c r="R117" i="1"/>
  <c r="Q117" i="1"/>
  <c r="P117" i="1"/>
  <c r="O117" i="1"/>
  <c r="N117" i="1"/>
  <c r="M117" i="1"/>
  <c r="L117" i="1"/>
  <c r="K117" i="1"/>
  <c r="J117" i="1"/>
  <c r="I117" i="1"/>
  <c r="H117" i="1"/>
  <c r="AZ116" i="1"/>
  <c r="AY116" i="1"/>
  <c r="AX116" i="1"/>
  <c r="AW116" i="1"/>
  <c r="AV116" i="1"/>
  <c r="AU116" i="1"/>
  <c r="AT116" i="1"/>
  <c r="AS116" i="1"/>
  <c r="AR116" i="1"/>
  <c r="AQ116" i="1"/>
  <c r="AP116" i="1"/>
  <c r="AI116" i="1"/>
  <c r="AH116" i="1"/>
  <c r="AG116" i="1"/>
  <c r="W116" i="1"/>
  <c r="V116" i="1"/>
  <c r="U116" i="1"/>
  <c r="T116" i="1"/>
  <c r="S116" i="1"/>
  <c r="R116" i="1"/>
  <c r="Q116" i="1"/>
  <c r="P116" i="1"/>
  <c r="O116" i="1"/>
  <c r="N116" i="1"/>
  <c r="M116" i="1"/>
  <c r="L116" i="1"/>
  <c r="K116" i="1"/>
  <c r="J116" i="1"/>
  <c r="I116" i="1"/>
  <c r="H116" i="1"/>
  <c r="AZ115" i="1"/>
  <c r="AY115" i="1"/>
  <c r="AX115" i="1"/>
  <c r="AW115" i="1"/>
  <c r="AV115" i="1"/>
  <c r="AU115" i="1"/>
  <c r="AT115" i="1"/>
  <c r="AS115" i="1"/>
  <c r="AR115" i="1"/>
  <c r="AQ115" i="1"/>
  <c r="AP115" i="1"/>
  <c r="AI115" i="1"/>
  <c r="AH115" i="1"/>
  <c r="AG115" i="1"/>
  <c r="W115" i="1"/>
  <c r="V115" i="1"/>
  <c r="U115" i="1"/>
  <c r="T115" i="1"/>
  <c r="S115" i="1"/>
  <c r="R115" i="1"/>
  <c r="Q115" i="1"/>
  <c r="P115" i="1"/>
  <c r="O115" i="1"/>
  <c r="N115" i="1"/>
  <c r="M115" i="1"/>
  <c r="L115" i="1"/>
  <c r="K115" i="1"/>
  <c r="J115" i="1"/>
  <c r="I115" i="1"/>
  <c r="H115" i="1"/>
  <c r="AZ114" i="1"/>
  <c r="AY114" i="1"/>
  <c r="AX114" i="1"/>
  <c r="AW114" i="1"/>
  <c r="AV114" i="1"/>
  <c r="AU114" i="1"/>
  <c r="AT114" i="1"/>
  <c r="AS114" i="1"/>
  <c r="AR114" i="1"/>
  <c r="AQ114" i="1"/>
  <c r="AP114" i="1"/>
  <c r="AI114" i="1"/>
  <c r="AH114" i="1"/>
  <c r="AG114" i="1"/>
  <c r="W114" i="1"/>
  <c r="V114" i="1"/>
  <c r="U114" i="1"/>
  <c r="T114" i="1"/>
  <c r="S114" i="1"/>
  <c r="R114" i="1"/>
  <c r="Q114" i="1"/>
  <c r="P114" i="1"/>
  <c r="O114" i="1"/>
  <c r="N114" i="1"/>
  <c r="M114" i="1"/>
  <c r="L114" i="1"/>
  <c r="K114" i="1"/>
  <c r="J114" i="1"/>
  <c r="I114" i="1"/>
  <c r="H114" i="1"/>
  <c r="AZ113" i="1"/>
  <c r="AY113" i="1"/>
  <c r="AX113" i="1"/>
  <c r="AW113" i="1"/>
  <c r="AV113" i="1"/>
  <c r="AU113" i="1"/>
  <c r="AT113" i="1"/>
  <c r="AS113" i="1"/>
  <c r="AR113" i="1"/>
  <c r="AQ113" i="1"/>
  <c r="AP113" i="1"/>
  <c r="AI113" i="1"/>
  <c r="AH113" i="1"/>
  <c r="AG113" i="1"/>
  <c r="W113" i="1"/>
  <c r="V113" i="1"/>
  <c r="U113" i="1"/>
  <c r="T113" i="1"/>
  <c r="S113" i="1"/>
  <c r="R113" i="1"/>
  <c r="Q113" i="1"/>
  <c r="P113" i="1"/>
  <c r="O113" i="1"/>
  <c r="N113" i="1"/>
  <c r="M113" i="1"/>
  <c r="L113" i="1"/>
  <c r="K113" i="1"/>
  <c r="J113" i="1"/>
  <c r="I113" i="1"/>
  <c r="H113" i="1"/>
  <c r="AZ112" i="1"/>
  <c r="AY112" i="1"/>
  <c r="AX112" i="1"/>
  <c r="AW112" i="1"/>
  <c r="AV112" i="1"/>
  <c r="AU112" i="1"/>
  <c r="AT112" i="1"/>
  <c r="AS112" i="1"/>
  <c r="AR112" i="1"/>
  <c r="AQ112" i="1"/>
  <c r="AP112" i="1"/>
  <c r="AI112" i="1"/>
  <c r="AH112" i="1"/>
  <c r="AG112" i="1"/>
  <c r="W112" i="1"/>
  <c r="V112" i="1"/>
  <c r="U112" i="1"/>
  <c r="T112" i="1"/>
  <c r="S112" i="1"/>
  <c r="R112" i="1"/>
  <c r="Q112" i="1"/>
  <c r="P112" i="1"/>
  <c r="O112" i="1"/>
  <c r="N112" i="1"/>
  <c r="M112" i="1"/>
  <c r="L112" i="1"/>
  <c r="K112" i="1"/>
  <c r="J112" i="1"/>
  <c r="I112" i="1"/>
  <c r="H112" i="1"/>
  <c r="AZ111" i="1"/>
  <c r="AY111" i="1"/>
  <c r="AX111" i="1"/>
  <c r="AW111" i="1"/>
  <c r="AV111" i="1"/>
  <c r="AU111" i="1"/>
  <c r="AT111" i="1"/>
  <c r="AS111" i="1"/>
  <c r="AR111" i="1"/>
  <c r="AQ111" i="1"/>
  <c r="AP111" i="1"/>
  <c r="AI111" i="1"/>
  <c r="AH111" i="1"/>
  <c r="AG111" i="1"/>
  <c r="W111" i="1"/>
  <c r="V111" i="1"/>
  <c r="U111" i="1"/>
  <c r="T111" i="1"/>
  <c r="S111" i="1"/>
  <c r="R111" i="1"/>
  <c r="Q111" i="1"/>
  <c r="P111" i="1"/>
  <c r="O111" i="1"/>
  <c r="N111" i="1"/>
  <c r="M111" i="1"/>
  <c r="L111" i="1"/>
  <c r="K111" i="1"/>
  <c r="J111" i="1"/>
  <c r="I111" i="1"/>
  <c r="H111" i="1"/>
  <c r="AZ110" i="1"/>
  <c r="AY110" i="1"/>
  <c r="AX110" i="1"/>
  <c r="AW110" i="1"/>
  <c r="AV110" i="1"/>
  <c r="AU110" i="1"/>
  <c r="AT110" i="1"/>
  <c r="AS110" i="1"/>
  <c r="AR110" i="1"/>
  <c r="AQ110" i="1"/>
  <c r="AP110" i="1"/>
  <c r="AH110" i="1"/>
  <c r="AG110" i="1"/>
  <c r="W110" i="1"/>
  <c r="V110" i="1"/>
  <c r="U110" i="1"/>
  <c r="T110" i="1"/>
  <c r="S110" i="1"/>
  <c r="R110" i="1"/>
  <c r="Q110" i="1"/>
  <c r="P110" i="1"/>
  <c r="O110" i="1"/>
  <c r="N110" i="1"/>
  <c r="M110" i="1"/>
  <c r="L110" i="1"/>
  <c r="K110" i="1"/>
  <c r="J110" i="1"/>
  <c r="I110" i="1"/>
  <c r="H110" i="1"/>
  <c r="AZ109" i="1"/>
  <c r="AY109" i="1"/>
  <c r="AX109" i="1"/>
  <c r="AW109" i="1"/>
  <c r="AV109" i="1"/>
  <c r="AU109" i="1"/>
  <c r="AT109" i="1"/>
  <c r="AS109" i="1"/>
  <c r="AR109" i="1"/>
  <c r="AQ109" i="1"/>
  <c r="AP109" i="1"/>
  <c r="AI109" i="1"/>
  <c r="AH109" i="1"/>
  <c r="AG109" i="1"/>
  <c r="W109" i="1"/>
  <c r="V109" i="1"/>
  <c r="U109" i="1"/>
  <c r="T109" i="1"/>
  <c r="S109" i="1"/>
  <c r="R109" i="1"/>
  <c r="Q109" i="1"/>
  <c r="P109" i="1"/>
  <c r="O109" i="1"/>
  <c r="N109" i="1"/>
  <c r="M109" i="1"/>
  <c r="L109" i="1"/>
  <c r="K109" i="1"/>
  <c r="J109" i="1"/>
  <c r="I109" i="1"/>
  <c r="H109" i="1"/>
  <c r="AZ108" i="1"/>
  <c r="AY108" i="1"/>
  <c r="AX108" i="1"/>
  <c r="AW108" i="1"/>
  <c r="AV108" i="1"/>
  <c r="AU108" i="1"/>
  <c r="AT108" i="1"/>
  <c r="AS108" i="1"/>
  <c r="AR108" i="1"/>
  <c r="AQ108" i="1"/>
  <c r="AP108" i="1"/>
  <c r="AI108" i="1"/>
  <c r="AH108" i="1"/>
  <c r="AG108" i="1"/>
  <c r="W108" i="1"/>
  <c r="V108" i="1"/>
  <c r="U108" i="1"/>
  <c r="T108" i="1"/>
  <c r="S108" i="1"/>
  <c r="R108" i="1"/>
  <c r="Q108" i="1"/>
  <c r="P108" i="1"/>
  <c r="O108" i="1"/>
  <c r="N108" i="1"/>
  <c r="M108" i="1"/>
  <c r="L108" i="1"/>
  <c r="K108" i="1"/>
  <c r="J108" i="1"/>
  <c r="I108" i="1"/>
  <c r="H108" i="1"/>
  <c r="X108" i="1" s="1"/>
  <c r="AZ107" i="1"/>
  <c r="AY107" i="1"/>
  <c r="AX107" i="1"/>
  <c r="AW107" i="1"/>
  <c r="AV107" i="1"/>
  <c r="AU107" i="1"/>
  <c r="AT107" i="1"/>
  <c r="AS107" i="1"/>
  <c r="AR107" i="1"/>
  <c r="AQ107" i="1"/>
  <c r="AP107" i="1"/>
  <c r="AI107" i="1"/>
  <c r="AH107" i="1"/>
  <c r="AG107" i="1"/>
  <c r="W107" i="1"/>
  <c r="V107" i="1"/>
  <c r="U107" i="1"/>
  <c r="T107" i="1"/>
  <c r="S107" i="1"/>
  <c r="R107" i="1"/>
  <c r="Q107" i="1"/>
  <c r="P107" i="1"/>
  <c r="O107" i="1"/>
  <c r="N107" i="1"/>
  <c r="M107" i="1"/>
  <c r="L107" i="1"/>
  <c r="K107" i="1"/>
  <c r="J107" i="1"/>
  <c r="I107" i="1"/>
  <c r="H107" i="1"/>
  <c r="AZ106" i="1"/>
  <c r="AY106" i="1"/>
  <c r="AX106" i="1"/>
  <c r="AW106" i="1"/>
  <c r="AV106" i="1"/>
  <c r="AU106" i="1"/>
  <c r="AT106" i="1"/>
  <c r="AS106" i="1"/>
  <c r="AR106" i="1"/>
  <c r="AQ106" i="1"/>
  <c r="AP106" i="1"/>
  <c r="AI106" i="1"/>
  <c r="AH106" i="1"/>
  <c r="AG106" i="1"/>
  <c r="W106" i="1"/>
  <c r="V106" i="1"/>
  <c r="U106" i="1"/>
  <c r="T106" i="1"/>
  <c r="S106" i="1"/>
  <c r="R106" i="1"/>
  <c r="Q106" i="1"/>
  <c r="P106" i="1"/>
  <c r="O106" i="1"/>
  <c r="N106" i="1"/>
  <c r="M106" i="1"/>
  <c r="L106" i="1"/>
  <c r="K106" i="1"/>
  <c r="J106" i="1"/>
  <c r="I106" i="1"/>
  <c r="H106" i="1"/>
  <c r="AZ105" i="1"/>
  <c r="AY105" i="1"/>
  <c r="AX105" i="1"/>
  <c r="AW105" i="1"/>
  <c r="AV105" i="1"/>
  <c r="AU105" i="1"/>
  <c r="AT105" i="1"/>
  <c r="AS105" i="1"/>
  <c r="AR105" i="1"/>
  <c r="AQ105" i="1"/>
  <c r="AP105" i="1"/>
  <c r="AI105" i="1"/>
  <c r="AH105" i="1"/>
  <c r="AG105" i="1"/>
  <c r="W105" i="1"/>
  <c r="V105" i="1"/>
  <c r="U105" i="1"/>
  <c r="T105" i="1"/>
  <c r="S105" i="1"/>
  <c r="R105" i="1"/>
  <c r="Q105" i="1"/>
  <c r="P105" i="1"/>
  <c r="O105" i="1"/>
  <c r="N105" i="1"/>
  <c r="M105" i="1"/>
  <c r="L105" i="1"/>
  <c r="K105" i="1"/>
  <c r="J105" i="1"/>
  <c r="I105" i="1"/>
  <c r="H105" i="1"/>
  <c r="AZ104" i="1"/>
  <c r="AY104" i="1"/>
  <c r="AX104" i="1"/>
  <c r="AW104" i="1"/>
  <c r="AV104" i="1"/>
  <c r="AU104" i="1"/>
  <c r="AT104" i="1"/>
  <c r="AS104" i="1"/>
  <c r="AR104" i="1"/>
  <c r="AQ104" i="1"/>
  <c r="AP104" i="1"/>
  <c r="AH104" i="1"/>
  <c r="AG104" i="1"/>
  <c r="W104" i="1"/>
  <c r="V104" i="1"/>
  <c r="U104" i="1"/>
  <c r="T104" i="1"/>
  <c r="S104" i="1"/>
  <c r="R104" i="1"/>
  <c r="Q104" i="1"/>
  <c r="P104" i="1"/>
  <c r="O104" i="1"/>
  <c r="N104" i="1"/>
  <c r="M104" i="1"/>
  <c r="L104" i="1"/>
  <c r="K104" i="1"/>
  <c r="J104" i="1"/>
  <c r="I104" i="1"/>
  <c r="H104" i="1"/>
  <c r="AZ103" i="1"/>
  <c r="AY103" i="1"/>
  <c r="AX103" i="1"/>
  <c r="AW103" i="1"/>
  <c r="AV103" i="1"/>
  <c r="AU103" i="1"/>
  <c r="AT103" i="1"/>
  <c r="AS103" i="1"/>
  <c r="AR103" i="1"/>
  <c r="AQ103" i="1"/>
  <c r="AP103" i="1"/>
  <c r="AH103" i="1"/>
  <c r="AG103" i="1"/>
  <c r="W103" i="1"/>
  <c r="V103" i="1"/>
  <c r="U103" i="1"/>
  <c r="T103" i="1"/>
  <c r="S103" i="1"/>
  <c r="R103" i="1"/>
  <c r="Q103" i="1"/>
  <c r="P103" i="1"/>
  <c r="O103" i="1"/>
  <c r="N103" i="1"/>
  <c r="M103" i="1"/>
  <c r="L103" i="1"/>
  <c r="K103" i="1"/>
  <c r="J103" i="1"/>
  <c r="I103" i="1"/>
  <c r="H103" i="1"/>
  <c r="AZ102" i="1"/>
  <c r="AY102" i="1"/>
  <c r="AX102" i="1"/>
  <c r="AW102" i="1"/>
  <c r="AV102" i="1"/>
  <c r="AU102" i="1"/>
  <c r="AT102" i="1"/>
  <c r="AS102" i="1"/>
  <c r="AR102" i="1"/>
  <c r="AQ102" i="1"/>
  <c r="AP102" i="1"/>
  <c r="AH102" i="1"/>
  <c r="AG102" i="1"/>
  <c r="W102" i="1"/>
  <c r="V102" i="1"/>
  <c r="U102" i="1"/>
  <c r="T102" i="1"/>
  <c r="S102" i="1"/>
  <c r="R102" i="1"/>
  <c r="Q102" i="1"/>
  <c r="P102" i="1"/>
  <c r="O102" i="1"/>
  <c r="N102" i="1"/>
  <c r="M102" i="1"/>
  <c r="L102" i="1"/>
  <c r="K102" i="1"/>
  <c r="J102" i="1"/>
  <c r="I102" i="1"/>
  <c r="H102" i="1"/>
  <c r="AZ101" i="1"/>
  <c r="AY101" i="1"/>
  <c r="AX101" i="1"/>
  <c r="AW101" i="1"/>
  <c r="AV101" i="1"/>
  <c r="AU101" i="1"/>
  <c r="AT101" i="1"/>
  <c r="AS101" i="1"/>
  <c r="AR101" i="1"/>
  <c r="AQ101" i="1"/>
  <c r="AP101" i="1"/>
  <c r="AH101" i="1"/>
  <c r="AG101" i="1"/>
  <c r="W101" i="1"/>
  <c r="V101" i="1"/>
  <c r="U101" i="1"/>
  <c r="T101" i="1"/>
  <c r="S101" i="1"/>
  <c r="R101" i="1"/>
  <c r="Q101" i="1"/>
  <c r="P101" i="1"/>
  <c r="O101" i="1"/>
  <c r="N101" i="1"/>
  <c r="M101" i="1"/>
  <c r="L101" i="1"/>
  <c r="K101" i="1"/>
  <c r="J101" i="1"/>
  <c r="I101" i="1"/>
  <c r="H101" i="1"/>
  <c r="AZ100" i="1"/>
  <c r="AY100" i="1"/>
  <c r="AX100" i="1"/>
  <c r="AW100" i="1"/>
  <c r="AV100" i="1"/>
  <c r="AU100" i="1"/>
  <c r="AT100" i="1"/>
  <c r="AS100" i="1"/>
  <c r="AR100" i="1"/>
  <c r="AQ100" i="1"/>
  <c r="AP100" i="1"/>
  <c r="AI100" i="1"/>
  <c r="AH100" i="1"/>
  <c r="AG100" i="1"/>
  <c r="W100" i="1"/>
  <c r="V100" i="1"/>
  <c r="U100" i="1"/>
  <c r="T100" i="1"/>
  <c r="S100" i="1"/>
  <c r="R100" i="1"/>
  <c r="Q100" i="1"/>
  <c r="P100" i="1"/>
  <c r="O100" i="1"/>
  <c r="N100" i="1"/>
  <c r="M100" i="1"/>
  <c r="L100" i="1"/>
  <c r="K100" i="1"/>
  <c r="J100" i="1"/>
  <c r="I100" i="1"/>
  <c r="H100" i="1"/>
  <c r="AZ99" i="1"/>
  <c r="AY99" i="1"/>
  <c r="AX99" i="1"/>
  <c r="AW99" i="1"/>
  <c r="AV99" i="1"/>
  <c r="AU99" i="1"/>
  <c r="AT99" i="1"/>
  <c r="AS99" i="1"/>
  <c r="AR99" i="1"/>
  <c r="AQ99" i="1"/>
  <c r="AP99" i="1"/>
  <c r="AH99" i="1"/>
  <c r="AG99" i="1"/>
  <c r="W99" i="1"/>
  <c r="V99" i="1"/>
  <c r="U99" i="1"/>
  <c r="T99" i="1"/>
  <c r="S99" i="1"/>
  <c r="R99" i="1"/>
  <c r="Q99" i="1"/>
  <c r="P99" i="1"/>
  <c r="O99" i="1"/>
  <c r="N99" i="1"/>
  <c r="M99" i="1"/>
  <c r="L99" i="1"/>
  <c r="K99" i="1"/>
  <c r="J99" i="1"/>
  <c r="I99" i="1"/>
  <c r="H99" i="1"/>
  <c r="AZ98" i="1"/>
  <c r="AY98" i="1"/>
  <c r="AX98" i="1"/>
  <c r="AW98" i="1"/>
  <c r="AV98" i="1"/>
  <c r="AU98" i="1"/>
  <c r="AT98" i="1"/>
  <c r="AS98" i="1"/>
  <c r="AR98" i="1"/>
  <c r="AQ98" i="1"/>
  <c r="AP98" i="1"/>
  <c r="AI98" i="1"/>
  <c r="AH98" i="1"/>
  <c r="AG98" i="1"/>
  <c r="W98" i="1"/>
  <c r="V98" i="1"/>
  <c r="U98" i="1"/>
  <c r="T98" i="1"/>
  <c r="S98" i="1"/>
  <c r="R98" i="1"/>
  <c r="Q98" i="1"/>
  <c r="P98" i="1"/>
  <c r="O98" i="1"/>
  <c r="N98" i="1"/>
  <c r="M98" i="1"/>
  <c r="L98" i="1"/>
  <c r="K98" i="1"/>
  <c r="J98" i="1"/>
  <c r="I98" i="1"/>
  <c r="H98" i="1"/>
  <c r="AZ97" i="1"/>
  <c r="AY97" i="1"/>
  <c r="AX97" i="1"/>
  <c r="AW97" i="1"/>
  <c r="AV97" i="1"/>
  <c r="AU97" i="1"/>
  <c r="AT97" i="1"/>
  <c r="AS97" i="1"/>
  <c r="AR97" i="1"/>
  <c r="AQ97" i="1"/>
  <c r="AP97" i="1"/>
  <c r="AI97" i="1"/>
  <c r="AH97" i="1"/>
  <c r="AG97" i="1"/>
  <c r="W97" i="1"/>
  <c r="V97" i="1"/>
  <c r="U97" i="1"/>
  <c r="T97" i="1"/>
  <c r="S97" i="1"/>
  <c r="R97" i="1"/>
  <c r="Q97" i="1"/>
  <c r="P97" i="1"/>
  <c r="O97" i="1"/>
  <c r="N97" i="1"/>
  <c r="M97" i="1"/>
  <c r="L97" i="1"/>
  <c r="K97" i="1"/>
  <c r="J97" i="1"/>
  <c r="I97" i="1"/>
  <c r="H97" i="1"/>
  <c r="AZ96" i="1"/>
  <c r="AY96" i="1"/>
  <c r="AX96" i="1"/>
  <c r="AW96" i="1"/>
  <c r="AV96" i="1"/>
  <c r="AU96" i="1"/>
  <c r="AT96" i="1"/>
  <c r="AS96" i="1"/>
  <c r="AR96" i="1"/>
  <c r="AQ96" i="1"/>
  <c r="AP96" i="1"/>
  <c r="AI96" i="1"/>
  <c r="AH96" i="1"/>
  <c r="AG96" i="1"/>
  <c r="W96" i="1"/>
  <c r="V96" i="1"/>
  <c r="U96" i="1"/>
  <c r="T96" i="1"/>
  <c r="S96" i="1"/>
  <c r="R96" i="1"/>
  <c r="Q96" i="1"/>
  <c r="P96" i="1"/>
  <c r="O96" i="1"/>
  <c r="N96" i="1"/>
  <c r="M96" i="1"/>
  <c r="L96" i="1"/>
  <c r="K96" i="1"/>
  <c r="C96" i="1" s="1"/>
  <c r="J96" i="1"/>
  <c r="I96" i="1"/>
  <c r="H96" i="1"/>
  <c r="AZ95" i="1"/>
  <c r="AY95" i="1"/>
  <c r="AX95" i="1"/>
  <c r="AW95" i="1"/>
  <c r="AV95" i="1"/>
  <c r="AU95" i="1"/>
  <c r="AT95" i="1"/>
  <c r="AS95" i="1"/>
  <c r="AR95" i="1"/>
  <c r="AQ95" i="1"/>
  <c r="AP95" i="1"/>
  <c r="AI95" i="1"/>
  <c r="AH95" i="1"/>
  <c r="AG95" i="1"/>
  <c r="W95" i="1"/>
  <c r="V95" i="1"/>
  <c r="U95" i="1"/>
  <c r="T95" i="1"/>
  <c r="S95" i="1"/>
  <c r="R95" i="1"/>
  <c r="Q95" i="1"/>
  <c r="P95" i="1"/>
  <c r="O95" i="1"/>
  <c r="N95" i="1"/>
  <c r="M95" i="1"/>
  <c r="L95" i="1"/>
  <c r="K95" i="1"/>
  <c r="J95" i="1"/>
  <c r="I95" i="1"/>
  <c r="H95" i="1"/>
  <c r="AZ94" i="1"/>
  <c r="AY94" i="1"/>
  <c r="AX94" i="1"/>
  <c r="AW94" i="1"/>
  <c r="AV94" i="1"/>
  <c r="AU94" i="1"/>
  <c r="AT94" i="1"/>
  <c r="AS94" i="1"/>
  <c r="AR94" i="1"/>
  <c r="AQ94" i="1"/>
  <c r="AP94" i="1"/>
  <c r="AI94" i="1"/>
  <c r="AH94" i="1"/>
  <c r="AG94" i="1"/>
  <c r="W94" i="1"/>
  <c r="V94" i="1"/>
  <c r="U94" i="1"/>
  <c r="T94" i="1"/>
  <c r="S94" i="1"/>
  <c r="R94" i="1"/>
  <c r="Q94" i="1"/>
  <c r="P94" i="1"/>
  <c r="O94" i="1"/>
  <c r="N94" i="1"/>
  <c r="M94" i="1"/>
  <c r="L94" i="1"/>
  <c r="K94" i="1"/>
  <c r="J94" i="1"/>
  <c r="I94" i="1"/>
  <c r="H94" i="1"/>
  <c r="AZ93" i="1"/>
  <c r="AY93" i="1"/>
  <c r="AX93" i="1"/>
  <c r="AW93" i="1"/>
  <c r="AV93" i="1"/>
  <c r="AU93" i="1"/>
  <c r="AT93" i="1"/>
  <c r="AS93" i="1"/>
  <c r="AR93" i="1"/>
  <c r="AQ93" i="1"/>
  <c r="AP93" i="1"/>
  <c r="AH93" i="1"/>
  <c r="AG93" i="1"/>
  <c r="W93" i="1"/>
  <c r="V93" i="1"/>
  <c r="U93" i="1"/>
  <c r="T93" i="1"/>
  <c r="S93" i="1"/>
  <c r="R93" i="1"/>
  <c r="Q93" i="1"/>
  <c r="P93" i="1"/>
  <c r="O93" i="1"/>
  <c r="N93" i="1"/>
  <c r="M93" i="1"/>
  <c r="L93" i="1"/>
  <c r="K93" i="1"/>
  <c r="J93" i="1"/>
  <c r="I93" i="1"/>
  <c r="H93" i="1"/>
  <c r="AZ92" i="1"/>
  <c r="AY92" i="1"/>
  <c r="AX92" i="1"/>
  <c r="AW92" i="1"/>
  <c r="AV92" i="1"/>
  <c r="AU92" i="1"/>
  <c r="AT92" i="1"/>
  <c r="AS92" i="1"/>
  <c r="AR92" i="1"/>
  <c r="AQ92" i="1"/>
  <c r="AP92" i="1"/>
  <c r="AH92" i="1"/>
  <c r="AG92" i="1"/>
  <c r="W92" i="1"/>
  <c r="V92" i="1"/>
  <c r="U92" i="1"/>
  <c r="T92" i="1"/>
  <c r="S92" i="1"/>
  <c r="R92" i="1"/>
  <c r="Q92" i="1"/>
  <c r="P92" i="1"/>
  <c r="O92" i="1"/>
  <c r="N92" i="1"/>
  <c r="M92" i="1"/>
  <c r="L92" i="1"/>
  <c r="K92" i="1"/>
  <c r="J92" i="1"/>
  <c r="I92" i="1"/>
  <c r="C92" i="1" s="1"/>
  <c r="H92" i="1"/>
  <c r="AZ91" i="1"/>
  <c r="AY91" i="1"/>
  <c r="AX91" i="1"/>
  <c r="AW91" i="1"/>
  <c r="AV91" i="1"/>
  <c r="AU91" i="1"/>
  <c r="AT91" i="1"/>
  <c r="AS91" i="1"/>
  <c r="AR91" i="1"/>
  <c r="AQ91" i="1"/>
  <c r="AP91" i="1"/>
  <c r="AH91" i="1"/>
  <c r="AG91" i="1"/>
  <c r="W91" i="1"/>
  <c r="V91" i="1"/>
  <c r="U91" i="1"/>
  <c r="T91" i="1"/>
  <c r="S91" i="1"/>
  <c r="R91" i="1"/>
  <c r="Q91" i="1"/>
  <c r="P91" i="1"/>
  <c r="O91" i="1"/>
  <c r="N91" i="1"/>
  <c r="M91" i="1"/>
  <c r="L91" i="1"/>
  <c r="K91" i="1"/>
  <c r="J91" i="1"/>
  <c r="I91" i="1"/>
  <c r="H91" i="1"/>
  <c r="AZ90" i="1"/>
  <c r="AY90" i="1"/>
  <c r="AX90" i="1"/>
  <c r="AW90" i="1"/>
  <c r="AV90" i="1"/>
  <c r="AU90" i="1"/>
  <c r="AT90" i="1"/>
  <c r="AS90" i="1"/>
  <c r="AR90" i="1"/>
  <c r="AQ90" i="1"/>
  <c r="AP90" i="1"/>
  <c r="AH90" i="1"/>
  <c r="AG90" i="1"/>
  <c r="W90" i="1"/>
  <c r="V90" i="1"/>
  <c r="U90" i="1"/>
  <c r="T90" i="1"/>
  <c r="S90" i="1"/>
  <c r="R90" i="1"/>
  <c r="Q90" i="1"/>
  <c r="P90" i="1"/>
  <c r="O90" i="1"/>
  <c r="N90" i="1"/>
  <c r="M90" i="1"/>
  <c r="L90" i="1"/>
  <c r="K90" i="1"/>
  <c r="J90" i="1"/>
  <c r="I90" i="1"/>
  <c r="H90" i="1"/>
  <c r="AZ89" i="1"/>
  <c r="AY89" i="1"/>
  <c r="AX89" i="1"/>
  <c r="AW89" i="1"/>
  <c r="AV89" i="1"/>
  <c r="AU89" i="1"/>
  <c r="AT89" i="1"/>
  <c r="AS89" i="1"/>
  <c r="AR89" i="1"/>
  <c r="AQ89" i="1"/>
  <c r="AP89" i="1"/>
  <c r="AH89" i="1"/>
  <c r="AG89" i="1"/>
  <c r="W89" i="1"/>
  <c r="V89" i="1"/>
  <c r="U89" i="1"/>
  <c r="T89" i="1"/>
  <c r="S89" i="1"/>
  <c r="R89" i="1"/>
  <c r="Q89" i="1"/>
  <c r="P89" i="1"/>
  <c r="O89" i="1"/>
  <c r="N89" i="1"/>
  <c r="M89" i="1"/>
  <c r="L89" i="1"/>
  <c r="K89" i="1"/>
  <c r="J89" i="1"/>
  <c r="I89" i="1"/>
  <c r="H89" i="1"/>
  <c r="X89" i="1" s="1"/>
  <c r="AZ88" i="1"/>
  <c r="AY88" i="1"/>
  <c r="AX88" i="1"/>
  <c r="AW88" i="1"/>
  <c r="AV88" i="1"/>
  <c r="AU88" i="1"/>
  <c r="AT88" i="1"/>
  <c r="AS88" i="1"/>
  <c r="AR88" i="1"/>
  <c r="AQ88" i="1"/>
  <c r="AP88" i="1"/>
  <c r="AI88" i="1"/>
  <c r="AH88" i="1"/>
  <c r="AG88" i="1"/>
  <c r="W88" i="1"/>
  <c r="V88" i="1"/>
  <c r="U88" i="1"/>
  <c r="T88" i="1"/>
  <c r="S88" i="1"/>
  <c r="R88" i="1"/>
  <c r="Q88" i="1"/>
  <c r="P88" i="1"/>
  <c r="O88" i="1"/>
  <c r="N88" i="1"/>
  <c r="M88" i="1"/>
  <c r="L88" i="1"/>
  <c r="K88" i="1"/>
  <c r="J88" i="1"/>
  <c r="I88" i="1"/>
  <c r="H88" i="1"/>
  <c r="AZ87" i="1"/>
  <c r="AY87" i="1"/>
  <c r="AX87" i="1"/>
  <c r="AW87" i="1"/>
  <c r="AV87" i="1"/>
  <c r="AU87" i="1"/>
  <c r="AT87" i="1"/>
  <c r="AS87" i="1"/>
  <c r="AR87" i="1"/>
  <c r="AQ87" i="1"/>
  <c r="AP87" i="1"/>
  <c r="AH87" i="1"/>
  <c r="AG87" i="1"/>
  <c r="W87" i="1"/>
  <c r="V87" i="1"/>
  <c r="U87" i="1"/>
  <c r="T87" i="1"/>
  <c r="S87" i="1"/>
  <c r="R87" i="1"/>
  <c r="Q87" i="1"/>
  <c r="P87" i="1"/>
  <c r="O87" i="1"/>
  <c r="N87" i="1"/>
  <c r="M87" i="1"/>
  <c r="L87" i="1"/>
  <c r="K87" i="1"/>
  <c r="J87" i="1"/>
  <c r="I87" i="1"/>
  <c r="H87" i="1"/>
  <c r="AZ86" i="1"/>
  <c r="AY86" i="1"/>
  <c r="AX86" i="1"/>
  <c r="AW86" i="1"/>
  <c r="AV86" i="1"/>
  <c r="AU86" i="1"/>
  <c r="AT86" i="1"/>
  <c r="AS86" i="1"/>
  <c r="AR86" i="1"/>
  <c r="AQ86" i="1"/>
  <c r="AP86" i="1"/>
  <c r="AH86" i="1"/>
  <c r="AG86" i="1"/>
  <c r="W86" i="1"/>
  <c r="V86" i="1"/>
  <c r="U86" i="1"/>
  <c r="T86" i="1"/>
  <c r="S86" i="1"/>
  <c r="R86" i="1"/>
  <c r="Q86" i="1"/>
  <c r="P86" i="1"/>
  <c r="O86" i="1"/>
  <c r="N86" i="1"/>
  <c r="M86" i="1"/>
  <c r="L86" i="1"/>
  <c r="K86" i="1"/>
  <c r="J86" i="1"/>
  <c r="I86" i="1"/>
  <c r="H86" i="1"/>
  <c r="X86" i="1" s="1"/>
  <c r="AZ85" i="1"/>
  <c r="AY85" i="1"/>
  <c r="AX85" i="1"/>
  <c r="AW85" i="1"/>
  <c r="AV85" i="1"/>
  <c r="AU85" i="1"/>
  <c r="AT85" i="1"/>
  <c r="AS85" i="1"/>
  <c r="AR85" i="1"/>
  <c r="AQ85" i="1"/>
  <c r="AP85" i="1"/>
  <c r="W85" i="1"/>
  <c r="V85" i="1"/>
  <c r="U85" i="1"/>
  <c r="T85" i="1"/>
  <c r="S85" i="1"/>
  <c r="R85" i="1"/>
  <c r="Q85" i="1"/>
  <c r="P85" i="1"/>
  <c r="O85" i="1"/>
  <c r="N85" i="1"/>
  <c r="M85" i="1"/>
  <c r="L85" i="1"/>
  <c r="K85" i="1"/>
  <c r="J85" i="1"/>
  <c r="I85" i="1"/>
  <c r="H85" i="1"/>
  <c r="AZ84" i="1"/>
  <c r="AY84" i="1"/>
  <c r="AX84" i="1"/>
  <c r="AW84" i="1"/>
  <c r="AV84" i="1"/>
  <c r="AU84" i="1"/>
  <c r="AT84" i="1"/>
  <c r="AS84" i="1"/>
  <c r="AR84" i="1"/>
  <c r="AQ84" i="1"/>
  <c r="AP84" i="1"/>
  <c r="AI84" i="1"/>
  <c r="AH84" i="1"/>
  <c r="AG84" i="1"/>
  <c r="W84" i="1"/>
  <c r="V84" i="1"/>
  <c r="U84" i="1"/>
  <c r="T84" i="1"/>
  <c r="S84" i="1"/>
  <c r="R84" i="1"/>
  <c r="Q84" i="1"/>
  <c r="P84" i="1"/>
  <c r="O84" i="1"/>
  <c r="N84" i="1"/>
  <c r="M84" i="1"/>
  <c r="L84" i="1"/>
  <c r="K84" i="1"/>
  <c r="J84" i="1"/>
  <c r="I84" i="1"/>
  <c r="C84" i="1" s="1"/>
  <c r="H84" i="1"/>
  <c r="AZ83" i="1"/>
  <c r="AY83" i="1"/>
  <c r="AX83" i="1"/>
  <c r="AW83" i="1"/>
  <c r="AV83" i="1"/>
  <c r="AU83" i="1"/>
  <c r="AT83" i="1"/>
  <c r="AS83" i="1"/>
  <c r="AR83" i="1"/>
  <c r="AQ83" i="1"/>
  <c r="AP83" i="1"/>
  <c r="AI83" i="1"/>
  <c r="AH83" i="1"/>
  <c r="AG83" i="1"/>
  <c r="W83" i="1"/>
  <c r="V83" i="1"/>
  <c r="U83" i="1"/>
  <c r="T83" i="1"/>
  <c r="S83" i="1"/>
  <c r="R83" i="1"/>
  <c r="Q83" i="1"/>
  <c r="P83" i="1"/>
  <c r="O83" i="1"/>
  <c r="N83" i="1"/>
  <c r="M83" i="1"/>
  <c r="L83" i="1"/>
  <c r="K83" i="1"/>
  <c r="J83" i="1"/>
  <c r="I83" i="1"/>
  <c r="H83" i="1"/>
  <c r="AZ82" i="1"/>
  <c r="AY82" i="1"/>
  <c r="AX82" i="1"/>
  <c r="AW82" i="1"/>
  <c r="AV82" i="1"/>
  <c r="AU82" i="1"/>
  <c r="AT82" i="1"/>
  <c r="AS82" i="1"/>
  <c r="AR82" i="1"/>
  <c r="AQ82" i="1"/>
  <c r="AP82" i="1"/>
  <c r="AI82" i="1"/>
  <c r="AH82" i="1"/>
  <c r="AG82" i="1"/>
  <c r="W82" i="1"/>
  <c r="V82" i="1"/>
  <c r="U82" i="1"/>
  <c r="T82" i="1"/>
  <c r="S82" i="1"/>
  <c r="R82" i="1"/>
  <c r="Q82" i="1"/>
  <c r="P82" i="1"/>
  <c r="O82" i="1"/>
  <c r="N82" i="1"/>
  <c r="M82" i="1"/>
  <c r="L82" i="1"/>
  <c r="K82" i="1"/>
  <c r="J82" i="1"/>
  <c r="I82" i="1"/>
  <c r="H82" i="1"/>
  <c r="AZ81" i="1"/>
  <c r="AY81" i="1"/>
  <c r="AX81" i="1"/>
  <c r="AW81" i="1"/>
  <c r="AV81" i="1"/>
  <c r="AU81" i="1"/>
  <c r="AT81" i="1"/>
  <c r="AS81" i="1"/>
  <c r="AR81" i="1"/>
  <c r="AQ81" i="1"/>
  <c r="AP81" i="1"/>
  <c r="AI81" i="1"/>
  <c r="AH81" i="1"/>
  <c r="AG81" i="1"/>
  <c r="W81" i="1"/>
  <c r="V81" i="1"/>
  <c r="U81" i="1"/>
  <c r="T81" i="1"/>
  <c r="S81" i="1"/>
  <c r="R81" i="1"/>
  <c r="Q81" i="1"/>
  <c r="P81" i="1"/>
  <c r="O81" i="1"/>
  <c r="N81" i="1"/>
  <c r="M81" i="1"/>
  <c r="L81" i="1"/>
  <c r="K81" i="1"/>
  <c r="J81" i="1"/>
  <c r="I81" i="1"/>
  <c r="H81" i="1"/>
  <c r="AZ80" i="1"/>
  <c r="AY80" i="1"/>
  <c r="AX80" i="1"/>
  <c r="AW80" i="1"/>
  <c r="AV80" i="1"/>
  <c r="AU80" i="1"/>
  <c r="AT80" i="1"/>
  <c r="AS80" i="1"/>
  <c r="AR80" i="1"/>
  <c r="AQ80" i="1"/>
  <c r="AP80" i="1"/>
  <c r="AI80" i="1"/>
  <c r="AH80" i="1"/>
  <c r="AG80" i="1"/>
  <c r="W80" i="1"/>
  <c r="V80" i="1"/>
  <c r="U80" i="1"/>
  <c r="T80" i="1"/>
  <c r="S80" i="1"/>
  <c r="R80" i="1"/>
  <c r="Q80" i="1"/>
  <c r="P80" i="1"/>
  <c r="O80" i="1"/>
  <c r="N80" i="1"/>
  <c r="M80" i="1"/>
  <c r="L80" i="1"/>
  <c r="K80" i="1"/>
  <c r="J80" i="1"/>
  <c r="I80" i="1"/>
  <c r="H80" i="1"/>
  <c r="AZ79" i="1"/>
  <c r="AY79" i="1"/>
  <c r="AX79" i="1"/>
  <c r="AW79" i="1"/>
  <c r="AV79" i="1"/>
  <c r="AU79" i="1"/>
  <c r="AT79" i="1"/>
  <c r="AS79" i="1"/>
  <c r="AR79" i="1"/>
  <c r="AQ79" i="1"/>
  <c r="AP79" i="1"/>
  <c r="AI79" i="1"/>
  <c r="AH79" i="1"/>
  <c r="AG79" i="1"/>
  <c r="W79" i="1"/>
  <c r="V79" i="1"/>
  <c r="U79" i="1"/>
  <c r="T79" i="1"/>
  <c r="S79" i="1"/>
  <c r="R79" i="1"/>
  <c r="Q79" i="1"/>
  <c r="P79" i="1"/>
  <c r="O79" i="1"/>
  <c r="N79" i="1"/>
  <c r="M79" i="1"/>
  <c r="L79" i="1"/>
  <c r="K79" i="1"/>
  <c r="J79" i="1"/>
  <c r="I79" i="1"/>
  <c r="H79" i="1"/>
  <c r="AZ78" i="1"/>
  <c r="AY78" i="1"/>
  <c r="AX78" i="1"/>
  <c r="AW78" i="1"/>
  <c r="AV78" i="1"/>
  <c r="AU78" i="1"/>
  <c r="AT78" i="1"/>
  <c r="AS78" i="1"/>
  <c r="AR78" i="1"/>
  <c r="AQ78" i="1"/>
  <c r="AP78" i="1"/>
  <c r="AH78" i="1"/>
  <c r="AG78" i="1"/>
  <c r="W78" i="1"/>
  <c r="V78" i="1"/>
  <c r="U78" i="1"/>
  <c r="T78" i="1"/>
  <c r="S78" i="1"/>
  <c r="R78" i="1"/>
  <c r="Q78" i="1"/>
  <c r="P78" i="1"/>
  <c r="O78" i="1"/>
  <c r="N78" i="1"/>
  <c r="M78" i="1"/>
  <c r="L78" i="1"/>
  <c r="K78" i="1"/>
  <c r="J78" i="1"/>
  <c r="I78" i="1"/>
  <c r="H78" i="1"/>
  <c r="AZ77" i="1"/>
  <c r="AY77" i="1"/>
  <c r="AX77" i="1"/>
  <c r="AW77" i="1"/>
  <c r="AV77" i="1"/>
  <c r="AU77" i="1"/>
  <c r="AT77" i="1"/>
  <c r="AS77" i="1"/>
  <c r="AR77" i="1"/>
  <c r="AQ77" i="1"/>
  <c r="AP77" i="1"/>
  <c r="AH77" i="1"/>
  <c r="AG77" i="1"/>
  <c r="W77" i="1"/>
  <c r="V77" i="1"/>
  <c r="U77" i="1"/>
  <c r="T77" i="1"/>
  <c r="S77" i="1"/>
  <c r="R77" i="1"/>
  <c r="Q77" i="1"/>
  <c r="P77" i="1"/>
  <c r="O77" i="1"/>
  <c r="N77" i="1"/>
  <c r="M77" i="1"/>
  <c r="L77" i="1"/>
  <c r="K77" i="1"/>
  <c r="J77" i="1"/>
  <c r="I77" i="1"/>
  <c r="H77" i="1"/>
  <c r="AZ76" i="1"/>
  <c r="AY76" i="1"/>
  <c r="AX76" i="1"/>
  <c r="AW76" i="1"/>
  <c r="AV76" i="1"/>
  <c r="AU76" i="1"/>
  <c r="AT76" i="1"/>
  <c r="AS76" i="1"/>
  <c r="AR76" i="1"/>
  <c r="AQ76" i="1"/>
  <c r="AP76" i="1"/>
  <c r="AI76" i="1"/>
  <c r="AH76" i="1"/>
  <c r="AG76" i="1"/>
  <c r="W76" i="1"/>
  <c r="V76" i="1"/>
  <c r="U76" i="1"/>
  <c r="T76" i="1"/>
  <c r="S76" i="1"/>
  <c r="R76" i="1"/>
  <c r="Q76" i="1"/>
  <c r="P76" i="1"/>
  <c r="O76" i="1"/>
  <c r="N76" i="1"/>
  <c r="M76" i="1"/>
  <c r="L76" i="1"/>
  <c r="K76" i="1"/>
  <c r="J76" i="1"/>
  <c r="I76" i="1"/>
  <c r="H76" i="1"/>
  <c r="AZ75" i="1"/>
  <c r="AY75" i="1"/>
  <c r="AX75" i="1"/>
  <c r="AW75" i="1"/>
  <c r="AV75" i="1"/>
  <c r="AU75" i="1"/>
  <c r="AT75" i="1"/>
  <c r="AS75" i="1"/>
  <c r="AR75" i="1"/>
  <c r="AQ75" i="1"/>
  <c r="AP75" i="1"/>
  <c r="AI75" i="1"/>
  <c r="AH75" i="1"/>
  <c r="AG75" i="1"/>
  <c r="W75" i="1"/>
  <c r="V75" i="1"/>
  <c r="U75" i="1"/>
  <c r="T75" i="1"/>
  <c r="S75" i="1"/>
  <c r="R75" i="1"/>
  <c r="Q75" i="1"/>
  <c r="P75" i="1"/>
  <c r="O75" i="1"/>
  <c r="N75" i="1"/>
  <c r="M75" i="1"/>
  <c r="L75" i="1"/>
  <c r="K75" i="1"/>
  <c r="J75" i="1"/>
  <c r="I75" i="1"/>
  <c r="H75" i="1"/>
  <c r="AZ74" i="1"/>
  <c r="AY74" i="1"/>
  <c r="AX74" i="1"/>
  <c r="AW74" i="1"/>
  <c r="AV74" i="1"/>
  <c r="AU74" i="1"/>
  <c r="AT74" i="1"/>
  <c r="AS74" i="1"/>
  <c r="AR74" i="1"/>
  <c r="AQ74" i="1"/>
  <c r="AP74" i="1"/>
  <c r="AI74" i="1"/>
  <c r="AH74" i="1"/>
  <c r="AG74" i="1"/>
  <c r="W74" i="1"/>
  <c r="V74" i="1"/>
  <c r="U74" i="1"/>
  <c r="T74" i="1"/>
  <c r="S74" i="1"/>
  <c r="R74" i="1"/>
  <c r="Q74" i="1"/>
  <c r="P74" i="1"/>
  <c r="O74" i="1"/>
  <c r="N74" i="1"/>
  <c r="M74" i="1"/>
  <c r="L74" i="1"/>
  <c r="K74" i="1"/>
  <c r="J74" i="1"/>
  <c r="I74" i="1"/>
  <c r="H74" i="1"/>
  <c r="AZ73" i="1"/>
  <c r="AY73" i="1"/>
  <c r="AX73" i="1"/>
  <c r="AW73" i="1"/>
  <c r="AV73" i="1"/>
  <c r="AU73" i="1"/>
  <c r="AT73" i="1"/>
  <c r="AS73" i="1"/>
  <c r="AR73" i="1"/>
  <c r="AQ73" i="1"/>
  <c r="AP73" i="1"/>
  <c r="AI73" i="1"/>
  <c r="AH73" i="1"/>
  <c r="AG73" i="1"/>
  <c r="W73" i="1"/>
  <c r="V73" i="1"/>
  <c r="U73" i="1"/>
  <c r="T73" i="1"/>
  <c r="S73" i="1"/>
  <c r="R73" i="1"/>
  <c r="Q73" i="1"/>
  <c r="P73" i="1"/>
  <c r="O73" i="1"/>
  <c r="N73" i="1"/>
  <c r="M73" i="1"/>
  <c r="L73" i="1"/>
  <c r="K73" i="1"/>
  <c r="J73" i="1"/>
  <c r="I73" i="1"/>
  <c r="H73" i="1"/>
  <c r="AZ72" i="1"/>
  <c r="AY72" i="1"/>
  <c r="AX72" i="1"/>
  <c r="AW72" i="1"/>
  <c r="AV72" i="1"/>
  <c r="AU72" i="1"/>
  <c r="AT72" i="1"/>
  <c r="AS72" i="1"/>
  <c r="AR72" i="1"/>
  <c r="AQ72" i="1"/>
  <c r="AP72" i="1"/>
  <c r="AH72" i="1"/>
  <c r="AG72" i="1"/>
  <c r="W72" i="1"/>
  <c r="V72" i="1"/>
  <c r="U72" i="1"/>
  <c r="T72" i="1"/>
  <c r="S72" i="1"/>
  <c r="R72" i="1"/>
  <c r="Q72" i="1"/>
  <c r="P72" i="1"/>
  <c r="O72" i="1"/>
  <c r="N72" i="1"/>
  <c r="M72" i="1"/>
  <c r="L72" i="1"/>
  <c r="K72" i="1"/>
  <c r="J72" i="1"/>
  <c r="I72" i="1"/>
  <c r="H72" i="1"/>
  <c r="AZ71" i="1"/>
  <c r="AY71" i="1"/>
  <c r="AX71" i="1"/>
  <c r="AW71" i="1"/>
  <c r="AV71" i="1"/>
  <c r="AU71" i="1"/>
  <c r="AT71" i="1"/>
  <c r="AS71" i="1"/>
  <c r="AR71" i="1"/>
  <c r="AQ71" i="1"/>
  <c r="AP71" i="1"/>
  <c r="AH71" i="1"/>
  <c r="AG71" i="1"/>
  <c r="W71" i="1"/>
  <c r="V71" i="1"/>
  <c r="U71" i="1"/>
  <c r="T71" i="1"/>
  <c r="S71" i="1"/>
  <c r="R71" i="1"/>
  <c r="Q71" i="1"/>
  <c r="P71" i="1"/>
  <c r="O71" i="1"/>
  <c r="N71" i="1"/>
  <c r="M71" i="1"/>
  <c r="L71" i="1"/>
  <c r="K71" i="1"/>
  <c r="J71" i="1"/>
  <c r="I71" i="1"/>
  <c r="H71" i="1"/>
  <c r="AZ70" i="1"/>
  <c r="AY70" i="1"/>
  <c r="AX70" i="1"/>
  <c r="AW70" i="1"/>
  <c r="AV70" i="1"/>
  <c r="AU70" i="1"/>
  <c r="AT70" i="1"/>
  <c r="AS70" i="1"/>
  <c r="AR70" i="1"/>
  <c r="AQ70" i="1"/>
  <c r="AP70" i="1"/>
  <c r="AI70" i="1"/>
  <c r="AH70" i="1"/>
  <c r="AG70" i="1"/>
  <c r="W70" i="1"/>
  <c r="V70" i="1"/>
  <c r="U70" i="1"/>
  <c r="T70" i="1"/>
  <c r="S70" i="1"/>
  <c r="R70" i="1"/>
  <c r="Q70" i="1"/>
  <c r="P70" i="1"/>
  <c r="O70" i="1"/>
  <c r="N70" i="1"/>
  <c r="M70" i="1"/>
  <c r="L70" i="1"/>
  <c r="K70" i="1"/>
  <c r="J70" i="1"/>
  <c r="I70" i="1"/>
  <c r="H70" i="1"/>
  <c r="AZ69" i="1"/>
  <c r="AY69" i="1"/>
  <c r="AX69" i="1"/>
  <c r="AW69" i="1"/>
  <c r="AV69" i="1"/>
  <c r="AU69" i="1"/>
  <c r="AT69" i="1"/>
  <c r="AS69" i="1"/>
  <c r="AR69" i="1"/>
  <c r="AQ69" i="1"/>
  <c r="AP69" i="1"/>
  <c r="AH69" i="1"/>
  <c r="AG69" i="1"/>
  <c r="W69" i="1"/>
  <c r="V69" i="1"/>
  <c r="U69" i="1"/>
  <c r="T69" i="1"/>
  <c r="S69" i="1"/>
  <c r="R69" i="1"/>
  <c r="Q69" i="1"/>
  <c r="P69" i="1"/>
  <c r="O69" i="1"/>
  <c r="N69" i="1"/>
  <c r="M69" i="1"/>
  <c r="L69" i="1"/>
  <c r="K69" i="1"/>
  <c r="J69" i="1"/>
  <c r="I69" i="1"/>
  <c r="H69" i="1"/>
  <c r="AZ68" i="1"/>
  <c r="AY68" i="1"/>
  <c r="AX68" i="1"/>
  <c r="AW68" i="1"/>
  <c r="AV68" i="1"/>
  <c r="AU68" i="1"/>
  <c r="AT68" i="1"/>
  <c r="AS68" i="1"/>
  <c r="AR68" i="1"/>
  <c r="AQ68" i="1"/>
  <c r="AP68" i="1"/>
  <c r="AI68" i="1"/>
  <c r="AH68" i="1"/>
  <c r="AG68" i="1"/>
  <c r="W68" i="1"/>
  <c r="V68" i="1"/>
  <c r="U68" i="1"/>
  <c r="T68" i="1"/>
  <c r="S68" i="1"/>
  <c r="R68" i="1"/>
  <c r="Q68" i="1"/>
  <c r="P68" i="1"/>
  <c r="O68" i="1"/>
  <c r="N68" i="1"/>
  <c r="M68" i="1"/>
  <c r="L68" i="1"/>
  <c r="K68" i="1"/>
  <c r="J68" i="1"/>
  <c r="I68" i="1"/>
  <c r="H68" i="1"/>
  <c r="AZ67" i="1"/>
  <c r="AY67" i="1"/>
  <c r="AX67" i="1"/>
  <c r="AW67" i="1"/>
  <c r="AV67" i="1"/>
  <c r="AU67" i="1"/>
  <c r="AT67" i="1"/>
  <c r="AS67" i="1"/>
  <c r="AR67" i="1"/>
  <c r="AQ67" i="1"/>
  <c r="AP67" i="1"/>
  <c r="AI67" i="1"/>
  <c r="AH67" i="1"/>
  <c r="AG67" i="1"/>
  <c r="W67" i="1"/>
  <c r="V67" i="1"/>
  <c r="U67" i="1"/>
  <c r="T67" i="1"/>
  <c r="S67" i="1"/>
  <c r="R67" i="1"/>
  <c r="Q67" i="1"/>
  <c r="P67" i="1"/>
  <c r="O67" i="1"/>
  <c r="N67" i="1"/>
  <c r="M67" i="1"/>
  <c r="L67" i="1"/>
  <c r="K67" i="1"/>
  <c r="J67" i="1"/>
  <c r="I67" i="1"/>
  <c r="H67" i="1"/>
  <c r="AZ66" i="1"/>
  <c r="AY66" i="1"/>
  <c r="AX66" i="1"/>
  <c r="AW66" i="1"/>
  <c r="AV66" i="1"/>
  <c r="AU66" i="1"/>
  <c r="AT66" i="1"/>
  <c r="AS66" i="1"/>
  <c r="AR66" i="1"/>
  <c r="AQ66" i="1"/>
  <c r="AP66" i="1"/>
  <c r="AI66" i="1"/>
  <c r="AH66" i="1"/>
  <c r="AG66" i="1"/>
  <c r="W66" i="1"/>
  <c r="V66" i="1"/>
  <c r="U66" i="1"/>
  <c r="T66" i="1"/>
  <c r="S66" i="1"/>
  <c r="R66" i="1"/>
  <c r="Q66" i="1"/>
  <c r="P66" i="1"/>
  <c r="O66" i="1"/>
  <c r="N66" i="1"/>
  <c r="M66" i="1"/>
  <c r="L66" i="1"/>
  <c r="K66" i="1"/>
  <c r="J66" i="1"/>
  <c r="I66" i="1"/>
  <c r="H66" i="1"/>
  <c r="X66" i="1" s="1"/>
  <c r="AZ65" i="1"/>
  <c r="AY65" i="1"/>
  <c r="AX65" i="1"/>
  <c r="AW65" i="1"/>
  <c r="AV65" i="1"/>
  <c r="AU65" i="1"/>
  <c r="AT65" i="1"/>
  <c r="AS65" i="1"/>
  <c r="AR65" i="1"/>
  <c r="AQ65" i="1"/>
  <c r="AP65" i="1"/>
  <c r="AI65" i="1"/>
  <c r="AH65" i="1"/>
  <c r="AG65" i="1"/>
  <c r="W65" i="1"/>
  <c r="V65" i="1"/>
  <c r="U65" i="1"/>
  <c r="T65" i="1"/>
  <c r="S65" i="1"/>
  <c r="R65" i="1"/>
  <c r="Q65" i="1"/>
  <c r="P65" i="1"/>
  <c r="O65" i="1"/>
  <c r="N65" i="1"/>
  <c r="M65" i="1"/>
  <c r="L65" i="1"/>
  <c r="K65" i="1"/>
  <c r="J65" i="1"/>
  <c r="I65" i="1"/>
  <c r="H65" i="1"/>
  <c r="AZ64" i="1"/>
  <c r="AY64" i="1"/>
  <c r="AX64" i="1"/>
  <c r="AW64" i="1"/>
  <c r="AV64" i="1"/>
  <c r="AU64" i="1"/>
  <c r="AT64" i="1"/>
  <c r="AS64" i="1"/>
  <c r="AR64" i="1"/>
  <c r="AQ64" i="1"/>
  <c r="AP64" i="1"/>
  <c r="AH64" i="1"/>
  <c r="AG64" i="1"/>
  <c r="W64" i="1"/>
  <c r="V64" i="1"/>
  <c r="U64" i="1"/>
  <c r="T64" i="1"/>
  <c r="S64" i="1"/>
  <c r="R64" i="1"/>
  <c r="Q64" i="1"/>
  <c r="P64" i="1"/>
  <c r="O64" i="1"/>
  <c r="N64" i="1"/>
  <c r="M64" i="1"/>
  <c r="L64" i="1"/>
  <c r="K64" i="1"/>
  <c r="C64" i="1" s="1"/>
  <c r="J64" i="1"/>
  <c r="I64" i="1"/>
  <c r="H64" i="1"/>
  <c r="AZ63" i="1"/>
  <c r="AY63" i="1"/>
  <c r="AX63" i="1"/>
  <c r="AW63" i="1"/>
  <c r="AV63" i="1"/>
  <c r="AU63" i="1"/>
  <c r="AT63" i="1"/>
  <c r="AS63" i="1"/>
  <c r="AR63" i="1"/>
  <c r="AQ63" i="1"/>
  <c r="AP63" i="1"/>
  <c r="AH63" i="1"/>
  <c r="AG63" i="1"/>
  <c r="W63" i="1"/>
  <c r="V63" i="1"/>
  <c r="U63" i="1"/>
  <c r="T63" i="1"/>
  <c r="S63" i="1"/>
  <c r="R63" i="1"/>
  <c r="Q63" i="1"/>
  <c r="P63" i="1"/>
  <c r="O63" i="1"/>
  <c r="N63" i="1"/>
  <c r="M63" i="1"/>
  <c r="L63" i="1"/>
  <c r="K63" i="1"/>
  <c r="J63" i="1"/>
  <c r="I63" i="1"/>
  <c r="H63" i="1"/>
  <c r="AZ62" i="1"/>
  <c r="AY62" i="1"/>
  <c r="AX62" i="1"/>
  <c r="AW62" i="1"/>
  <c r="AV62" i="1"/>
  <c r="AU62" i="1"/>
  <c r="AT62" i="1"/>
  <c r="AS62" i="1"/>
  <c r="AR62" i="1"/>
  <c r="AQ62" i="1"/>
  <c r="AP62" i="1"/>
  <c r="AH62" i="1"/>
  <c r="AG62" i="1"/>
  <c r="W62" i="1"/>
  <c r="V62" i="1"/>
  <c r="U62" i="1"/>
  <c r="T62" i="1"/>
  <c r="S62" i="1"/>
  <c r="R62" i="1"/>
  <c r="Q62" i="1"/>
  <c r="P62" i="1"/>
  <c r="O62" i="1"/>
  <c r="N62" i="1"/>
  <c r="M62" i="1"/>
  <c r="L62" i="1"/>
  <c r="K62" i="1"/>
  <c r="J62" i="1"/>
  <c r="I62" i="1"/>
  <c r="H62" i="1"/>
  <c r="AZ61" i="1"/>
  <c r="AY61" i="1"/>
  <c r="AX61" i="1"/>
  <c r="AW61" i="1"/>
  <c r="AV61" i="1"/>
  <c r="AU61" i="1"/>
  <c r="AT61" i="1"/>
  <c r="AS61" i="1"/>
  <c r="AR61" i="1"/>
  <c r="AQ61" i="1"/>
  <c r="AP61" i="1"/>
  <c r="AH61" i="1"/>
  <c r="AG61" i="1"/>
  <c r="W61" i="1"/>
  <c r="V61" i="1"/>
  <c r="U61" i="1"/>
  <c r="T61" i="1"/>
  <c r="S61" i="1"/>
  <c r="R61" i="1"/>
  <c r="Q61" i="1"/>
  <c r="P61" i="1"/>
  <c r="O61" i="1"/>
  <c r="N61" i="1"/>
  <c r="M61" i="1"/>
  <c r="L61" i="1"/>
  <c r="K61" i="1"/>
  <c r="J61" i="1"/>
  <c r="I61" i="1"/>
  <c r="H61" i="1"/>
  <c r="AZ60" i="1"/>
  <c r="AY60" i="1"/>
  <c r="AX60" i="1"/>
  <c r="AW60" i="1"/>
  <c r="AV60" i="1"/>
  <c r="AU60" i="1"/>
  <c r="AT60" i="1"/>
  <c r="AS60" i="1"/>
  <c r="AR60" i="1"/>
  <c r="AQ60" i="1"/>
  <c r="AP60" i="1"/>
  <c r="W60" i="1"/>
  <c r="V60" i="1"/>
  <c r="U60" i="1"/>
  <c r="T60" i="1"/>
  <c r="S60" i="1"/>
  <c r="R60" i="1"/>
  <c r="Q60" i="1"/>
  <c r="P60" i="1"/>
  <c r="O60" i="1"/>
  <c r="N60" i="1"/>
  <c r="M60" i="1"/>
  <c r="L60" i="1"/>
  <c r="K60" i="1"/>
  <c r="J60" i="1"/>
  <c r="I60" i="1"/>
  <c r="H60" i="1"/>
  <c r="AZ59" i="1"/>
  <c r="AY59" i="1"/>
  <c r="AX59" i="1"/>
  <c r="AW59" i="1"/>
  <c r="AV59" i="1"/>
  <c r="AU59" i="1"/>
  <c r="AT59" i="1"/>
  <c r="AS59" i="1"/>
  <c r="AR59" i="1"/>
  <c r="AQ59" i="1"/>
  <c r="AP59" i="1"/>
  <c r="W59" i="1"/>
  <c r="V59" i="1"/>
  <c r="U59" i="1"/>
  <c r="T59" i="1"/>
  <c r="S59" i="1"/>
  <c r="R59" i="1"/>
  <c r="Q59" i="1"/>
  <c r="P59" i="1"/>
  <c r="O59" i="1"/>
  <c r="N59" i="1"/>
  <c r="M59" i="1"/>
  <c r="L59" i="1"/>
  <c r="K59" i="1"/>
  <c r="J59" i="1"/>
  <c r="I59" i="1"/>
  <c r="H59" i="1"/>
  <c r="AZ58" i="1"/>
  <c r="AY58" i="1"/>
  <c r="AX58" i="1"/>
  <c r="AW58" i="1"/>
  <c r="AV58" i="1"/>
  <c r="AU58" i="1"/>
  <c r="AT58" i="1"/>
  <c r="AS58" i="1"/>
  <c r="AR58" i="1"/>
  <c r="AQ58" i="1"/>
  <c r="AP58" i="1"/>
  <c r="W58" i="1"/>
  <c r="V58" i="1"/>
  <c r="U58" i="1"/>
  <c r="T58" i="1"/>
  <c r="S58" i="1"/>
  <c r="R58" i="1"/>
  <c r="Q58" i="1"/>
  <c r="P58" i="1"/>
  <c r="O58" i="1"/>
  <c r="N58" i="1"/>
  <c r="M58" i="1"/>
  <c r="L58" i="1"/>
  <c r="K58" i="1"/>
  <c r="J58" i="1"/>
  <c r="I58" i="1"/>
  <c r="H58" i="1"/>
  <c r="AZ57" i="1"/>
  <c r="AY57" i="1"/>
  <c r="AX57" i="1"/>
  <c r="AW57" i="1"/>
  <c r="AV57" i="1"/>
  <c r="AU57" i="1"/>
  <c r="AT57" i="1"/>
  <c r="AS57" i="1"/>
  <c r="AR57" i="1"/>
  <c r="AQ57" i="1"/>
  <c r="AP57" i="1"/>
  <c r="AH57" i="1"/>
  <c r="AG57" i="1"/>
  <c r="W57" i="1"/>
  <c r="V57" i="1"/>
  <c r="U57" i="1"/>
  <c r="T57" i="1"/>
  <c r="S57" i="1"/>
  <c r="R57" i="1"/>
  <c r="Q57" i="1"/>
  <c r="P57" i="1"/>
  <c r="O57" i="1"/>
  <c r="N57" i="1"/>
  <c r="M57" i="1"/>
  <c r="L57" i="1"/>
  <c r="K57" i="1"/>
  <c r="J57" i="1"/>
  <c r="I57" i="1"/>
  <c r="C57" i="1" s="1"/>
  <c r="H57" i="1"/>
  <c r="AZ56" i="1"/>
  <c r="AY56" i="1"/>
  <c r="AX56" i="1"/>
  <c r="AW56" i="1"/>
  <c r="AV56" i="1"/>
  <c r="AU56" i="1"/>
  <c r="AT56" i="1"/>
  <c r="AS56" i="1"/>
  <c r="AR56" i="1"/>
  <c r="AQ56" i="1"/>
  <c r="AP56" i="1"/>
  <c r="AH56" i="1"/>
  <c r="AG56" i="1"/>
  <c r="W56" i="1"/>
  <c r="V56" i="1"/>
  <c r="U56" i="1"/>
  <c r="T56" i="1"/>
  <c r="S56" i="1"/>
  <c r="R56" i="1"/>
  <c r="Q56" i="1"/>
  <c r="P56" i="1"/>
  <c r="O56" i="1"/>
  <c r="N56" i="1"/>
  <c r="M56" i="1"/>
  <c r="L56" i="1"/>
  <c r="K56" i="1"/>
  <c r="J56" i="1"/>
  <c r="I56" i="1"/>
  <c r="H56" i="1"/>
  <c r="AZ55" i="1"/>
  <c r="AY55" i="1"/>
  <c r="AX55" i="1"/>
  <c r="AW55" i="1"/>
  <c r="AV55" i="1"/>
  <c r="AU55" i="1"/>
  <c r="AT55" i="1"/>
  <c r="AS55" i="1"/>
  <c r="AR55" i="1"/>
  <c r="AQ55" i="1"/>
  <c r="AP55" i="1"/>
  <c r="AH55" i="1"/>
  <c r="AG55" i="1"/>
  <c r="W55" i="1"/>
  <c r="V55" i="1"/>
  <c r="U55" i="1"/>
  <c r="T55" i="1"/>
  <c r="S55" i="1"/>
  <c r="R55" i="1"/>
  <c r="Q55" i="1"/>
  <c r="P55" i="1"/>
  <c r="O55" i="1"/>
  <c r="N55" i="1"/>
  <c r="M55" i="1"/>
  <c r="L55" i="1"/>
  <c r="K55" i="1"/>
  <c r="J55" i="1"/>
  <c r="I55" i="1"/>
  <c r="H55" i="1"/>
  <c r="AZ54" i="1"/>
  <c r="AY54" i="1"/>
  <c r="AX54" i="1"/>
  <c r="AW54" i="1"/>
  <c r="AV54" i="1"/>
  <c r="AU54" i="1"/>
  <c r="AT54" i="1"/>
  <c r="AS54" i="1"/>
  <c r="AR54" i="1"/>
  <c r="AQ54" i="1"/>
  <c r="AP54" i="1"/>
  <c r="AI54" i="1"/>
  <c r="AH54" i="1"/>
  <c r="AG54" i="1"/>
  <c r="W54" i="1"/>
  <c r="V54" i="1"/>
  <c r="U54" i="1"/>
  <c r="T54" i="1"/>
  <c r="S54" i="1"/>
  <c r="R54" i="1"/>
  <c r="Q54" i="1"/>
  <c r="P54" i="1"/>
  <c r="O54" i="1"/>
  <c r="N54" i="1"/>
  <c r="M54" i="1"/>
  <c r="L54" i="1"/>
  <c r="K54" i="1"/>
  <c r="J54" i="1"/>
  <c r="I54" i="1"/>
  <c r="H54" i="1"/>
  <c r="AZ53" i="1"/>
  <c r="AY53" i="1"/>
  <c r="AX53" i="1"/>
  <c r="AW53" i="1"/>
  <c r="AV53" i="1"/>
  <c r="AU53" i="1"/>
  <c r="AT53" i="1"/>
  <c r="AS53" i="1"/>
  <c r="AR53" i="1"/>
  <c r="AQ53" i="1"/>
  <c r="AP53" i="1"/>
  <c r="AH53" i="1"/>
  <c r="AG53" i="1"/>
  <c r="W53" i="1"/>
  <c r="V53" i="1"/>
  <c r="U53" i="1"/>
  <c r="T53" i="1"/>
  <c r="S53" i="1"/>
  <c r="R53" i="1"/>
  <c r="Q53" i="1"/>
  <c r="P53" i="1"/>
  <c r="O53" i="1"/>
  <c r="N53" i="1"/>
  <c r="M53" i="1"/>
  <c r="L53" i="1"/>
  <c r="K53" i="1"/>
  <c r="J53" i="1"/>
  <c r="I53" i="1"/>
  <c r="H53" i="1"/>
  <c r="AZ52" i="1"/>
  <c r="AY52" i="1"/>
  <c r="AX52" i="1"/>
  <c r="AW52" i="1"/>
  <c r="AV52" i="1"/>
  <c r="AU52" i="1"/>
  <c r="AT52" i="1"/>
  <c r="AS52" i="1"/>
  <c r="AR52" i="1"/>
  <c r="AQ52" i="1"/>
  <c r="AP52" i="1"/>
  <c r="AH52" i="1"/>
  <c r="AG52" i="1"/>
  <c r="W52" i="1"/>
  <c r="V52" i="1"/>
  <c r="U52" i="1"/>
  <c r="T52" i="1"/>
  <c r="S52" i="1"/>
  <c r="R52" i="1"/>
  <c r="Q52" i="1"/>
  <c r="P52" i="1"/>
  <c r="O52" i="1"/>
  <c r="N52" i="1"/>
  <c r="M52" i="1"/>
  <c r="L52" i="1"/>
  <c r="K52" i="1"/>
  <c r="J52" i="1"/>
  <c r="I52" i="1"/>
  <c r="H52" i="1"/>
  <c r="AZ51" i="1"/>
  <c r="AY51" i="1"/>
  <c r="AX51" i="1"/>
  <c r="AW51" i="1"/>
  <c r="AV51" i="1"/>
  <c r="AU51" i="1"/>
  <c r="AT51" i="1"/>
  <c r="AS51" i="1"/>
  <c r="AR51" i="1"/>
  <c r="AQ51" i="1"/>
  <c r="AP51" i="1"/>
  <c r="AH51" i="1"/>
  <c r="AG51" i="1"/>
  <c r="W51" i="1"/>
  <c r="V51" i="1"/>
  <c r="U51" i="1"/>
  <c r="T51" i="1"/>
  <c r="S51" i="1"/>
  <c r="R51" i="1"/>
  <c r="Q51" i="1"/>
  <c r="P51" i="1"/>
  <c r="O51" i="1"/>
  <c r="N51" i="1"/>
  <c r="M51" i="1"/>
  <c r="L51" i="1"/>
  <c r="K51" i="1"/>
  <c r="J51" i="1"/>
  <c r="I51" i="1"/>
  <c r="H51" i="1"/>
  <c r="X51" i="1" s="1"/>
  <c r="AZ50" i="1"/>
  <c r="AY50" i="1"/>
  <c r="AX50" i="1"/>
  <c r="AW50" i="1"/>
  <c r="AV50" i="1"/>
  <c r="AU50" i="1"/>
  <c r="AT50" i="1"/>
  <c r="AS50" i="1"/>
  <c r="AR50" i="1"/>
  <c r="AQ50" i="1"/>
  <c r="AP50" i="1"/>
  <c r="AH50" i="1"/>
  <c r="AG50" i="1"/>
  <c r="W50" i="1"/>
  <c r="V50" i="1"/>
  <c r="U50" i="1"/>
  <c r="T50" i="1"/>
  <c r="S50" i="1"/>
  <c r="R50" i="1"/>
  <c r="Q50" i="1"/>
  <c r="P50" i="1"/>
  <c r="O50" i="1"/>
  <c r="N50" i="1"/>
  <c r="M50" i="1"/>
  <c r="L50" i="1"/>
  <c r="K50" i="1"/>
  <c r="J50" i="1"/>
  <c r="I50" i="1"/>
  <c r="H50" i="1"/>
  <c r="AZ49" i="1"/>
  <c r="AY49" i="1"/>
  <c r="AX49" i="1"/>
  <c r="AW49" i="1"/>
  <c r="AV49" i="1"/>
  <c r="AU49" i="1"/>
  <c r="AT49" i="1"/>
  <c r="AS49" i="1"/>
  <c r="AR49" i="1"/>
  <c r="AQ49" i="1"/>
  <c r="AP49" i="1"/>
  <c r="AI49" i="1"/>
  <c r="AH49" i="1"/>
  <c r="AG49" i="1"/>
  <c r="W49" i="1"/>
  <c r="V49" i="1"/>
  <c r="U49" i="1"/>
  <c r="T49" i="1"/>
  <c r="S49" i="1"/>
  <c r="R49" i="1"/>
  <c r="Q49" i="1"/>
  <c r="P49" i="1"/>
  <c r="O49" i="1"/>
  <c r="N49" i="1"/>
  <c r="M49" i="1"/>
  <c r="L49" i="1"/>
  <c r="K49" i="1"/>
  <c r="J49" i="1"/>
  <c r="I49" i="1"/>
  <c r="H49" i="1"/>
  <c r="AZ48" i="1"/>
  <c r="AY48" i="1"/>
  <c r="AX48" i="1"/>
  <c r="AW48" i="1"/>
  <c r="AV48" i="1"/>
  <c r="AU48" i="1"/>
  <c r="AT48" i="1"/>
  <c r="AS48" i="1"/>
  <c r="AR48" i="1"/>
  <c r="AQ48" i="1"/>
  <c r="AP48" i="1"/>
  <c r="AH48" i="1"/>
  <c r="AG48" i="1"/>
  <c r="W48" i="1"/>
  <c r="V48" i="1"/>
  <c r="U48" i="1"/>
  <c r="T48" i="1"/>
  <c r="S48" i="1"/>
  <c r="R48" i="1"/>
  <c r="Q48" i="1"/>
  <c r="P48" i="1"/>
  <c r="O48" i="1"/>
  <c r="N48" i="1"/>
  <c r="M48" i="1"/>
  <c r="L48" i="1"/>
  <c r="K48" i="1"/>
  <c r="J48" i="1"/>
  <c r="I48" i="1"/>
  <c r="H48" i="1"/>
  <c r="X48" i="1" s="1"/>
  <c r="AZ47" i="1"/>
  <c r="AY47" i="1"/>
  <c r="AX47" i="1"/>
  <c r="AW47" i="1"/>
  <c r="AV47" i="1"/>
  <c r="AU47" i="1"/>
  <c r="AT47" i="1"/>
  <c r="AS47" i="1"/>
  <c r="AR47" i="1"/>
  <c r="AQ47" i="1"/>
  <c r="AP47" i="1"/>
  <c r="AH47" i="1"/>
  <c r="AG47" i="1"/>
  <c r="W47" i="1"/>
  <c r="V47" i="1"/>
  <c r="U47" i="1"/>
  <c r="T47" i="1"/>
  <c r="S47" i="1"/>
  <c r="R47" i="1"/>
  <c r="Q47" i="1"/>
  <c r="P47" i="1"/>
  <c r="O47" i="1"/>
  <c r="N47" i="1"/>
  <c r="M47" i="1"/>
  <c r="L47" i="1"/>
  <c r="K47" i="1"/>
  <c r="J47" i="1"/>
  <c r="I47" i="1"/>
  <c r="H47" i="1"/>
  <c r="AZ46" i="1"/>
  <c r="AY46" i="1"/>
  <c r="AX46" i="1"/>
  <c r="AW46" i="1"/>
  <c r="AV46" i="1"/>
  <c r="AU46" i="1"/>
  <c r="AT46" i="1"/>
  <c r="AS46" i="1"/>
  <c r="AR46" i="1"/>
  <c r="AQ46" i="1"/>
  <c r="AP46" i="1"/>
  <c r="AI46" i="1"/>
  <c r="AH46" i="1"/>
  <c r="AG46" i="1"/>
  <c r="W46" i="1"/>
  <c r="V46" i="1"/>
  <c r="U46" i="1"/>
  <c r="T46" i="1"/>
  <c r="S46" i="1"/>
  <c r="R46" i="1"/>
  <c r="Q46" i="1"/>
  <c r="P46" i="1"/>
  <c r="O46" i="1"/>
  <c r="N46" i="1"/>
  <c r="M46" i="1"/>
  <c r="L46" i="1"/>
  <c r="K46" i="1"/>
  <c r="J46" i="1"/>
  <c r="I46" i="1"/>
  <c r="H46" i="1"/>
  <c r="AZ45" i="1"/>
  <c r="AY45" i="1"/>
  <c r="AX45" i="1"/>
  <c r="AW45" i="1"/>
  <c r="AV45" i="1"/>
  <c r="AU45" i="1"/>
  <c r="AT45" i="1"/>
  <c r="AS45" i="1"/>
  <c r="AR45" i="1"/>
  <c r="AQ45" i="1"/>
  <c r="AP45" i="1"/>
  <c r="AH45" i="1"/>
  <c r="AG45" i="1"/>
  <c r="W45" i="1"/>
  <c r="V45" i="1"/>
  <c r="U45" i="1"/>
  <c r="T45" i="1"/>
  <c r="S45" i="1"/>
  <c r="R45" i="1"/>
  <c r="Q45" i="1"/>
  <c r="P45" i="1"/>
  <c r="O45" i="1"/>
  <c r="N45" i="1"/>
  <c r="M45" i="1"/>
  <c r="L45" i="1"/>
  <c r="K45" i="1"/>
  <c r="J45" i="1"/>
  <c r="I45" i="1"/>
  <c r="H45" i="1"/>
  <c r="C45" i="1" s="1"/>
  <c r="AZ44" i="1"/>
  <c r="AY44" i="1"/>
  <c r="AX44" i="1"/>
  <c r="AW44" i="1"/>
  <c r="AV44" i="1"/>
  <c r="AU44" i="1"/>
  <c r="AT44" i="1"/>
  <c r="AS44" i="1"/>
  <c r="AR44" i="1"/>
  <c r="AQ44" i="1"/>
  <c r="AP44" i="1"/>
  <c r="AH44" i="1"/>
  <c r="AG44" i="1"/>
  <c r="W44" i="1"/>
  <c r="V44" i="1"/>
  <c r="U44" i="1"/>
  <c r="T44" i="1"/>
  <c r="S44" i="1"/>
  <c r="R44" i="1"/>
  <c r="Q44" i="1"/>
  <c r="P44" i="1"/>
  <c r="O44" i="1"/>
  <c r="N44" i="1"/>
  <c r="M44" i="1"/>
  <c r="L44" i="1"/>
  <c r="K44" i="1"/>
  <c r="J44" i="1"/>
  <c r="I44" i="1"/>
  <c r="H44" i="1"/>
  <c r="AZ43" i="1"/>
  <c r="AY43" i="1"/>
  <c r="AX43" i="1"/>
  <c r="AW43" i="1"/>
  <c r="AV43" i="1"/>
  <c r="AU43" i="1"/>
  <c r="AT43" i="1"/>
  <c r="AS43" i="1"/>
  <c r="AR43" i="1"/>
  <c r="AQ43" i="1"/>
  <c r="AP43" i="1"/>
  <c r="AH43" i="1"/>
  <c r="AG43" i="1"/>
  <c r="W43" i="1"/>
  <c r="V43" i="1"/>
  <c r="U43" i="1"/>
  <c r="T43" i="1"/>
  <c r="S43" i="1"/>
  <c r="R43" i="1"/>
  <c r="Q43" i="1"/>
  <c r="P43" i="1"/>
  <c r="O43" i="1"/>
  <c r="N43" i="1"/>
  <c r="M43" i="1"/>
  <c r="L43" i="1"/>
  <c r="K43" i="1"/>
  <c r="J43" i="1"/>
  <c r="I43" i="1"/>
  <c r="H43" i="1"/>
  <c r="AZ42" i="1"/>
  <c r="AY42" i="1"/>
  <c r="AX42" i="1"/>
  <c r="AW42" i="1"/>
  <c r="AV42" i="1"/>
  <c r="AU42" i="1"/>
  <c r="AT42" i="1"/>
  <c r="AS42" i="1"/>
  <c r="AR42" i="1"/>
  <c r="AQ42" i="1"/>
  <c r="AP42" i="1"/>
  <c r="AH42" i="1"/>
  <c r="AG42" i="1"/>
  <c r="W42" i="1"/>
  <c r="V42" i="1"/>
  <c r="U42" i="1"/>
  <c r="T42" i="1"/>
  <c r="S42" i="1"/>
  <c r="R42" i="1"/>
  <c r="Q42" i="1"/>
  <c r="P42" i="1"/>
  <c r="O42" i="1"/>
  <c r="N42" i="1"/>
  <c r="M42" i="1"/>
  <c r="L42" i="1"/>
  <c r="K42" i="1"/>
  <c r="J42" i="1"/>
  <c r="I42" i="1"/>
  <c r="H42" i="1"/>
  <c r="AZ41" i="1"/>
  <c r="AY41" i="1"/>
  <c r="AX41" i="1"/>
  <c r="AW41" i="1"/>
  <c r="AV41" i="1"/>
  <c r="AU41" i="1"/>
  <c r="AT41" i="1"/>
  <c r="AS41" i="1"/>
  <c r="AR41" i="1"/>
  <c r="AQ41" i="1"/>
  <c r="AP41" i="1"/>
  <c r="AH41" i="1"/>
  <c r="AG41" i="1"/>
  <c r="W41" i="1"/>
  <c r="V41" i="1"/>
  <c r="U41" i="1"/>
  <c r="T41" i="1"/>
  <c r="S41" i="1"/>
  <c r="R41" i="1"/>
  <c r="Q41" i="1"/>
  <c r="P41" i="1"/>
  <c r="O41" i="1"/>
  <c r="N41" i="1"/>
  <c r="M41" i="1"/>
  <c r="L41" i="1"/>
  <c r="K41" i="1"/>
  <c r="J41" i="1"/>
  <c r="I41" i="1"/>
  <c r="H41" i="1"/>
  <c r="AZ40" i="1"/>
  <c r="AY40" i="1"/>
  <c r="AX40" i="1"/>
  <c r="AW40" i="1"/>
  <c r="AV40" i="1"/>
  <c r="AU40" i="1"/>
  <c r="AT40" i="1"/>
  <c r="AS40" i="1"/>
  <c r="AR40" i="1"/>
  <c r="AQ40" i="1"/>
  <c r="AP40" i="1"/>
  <c r="AH40" i="1"/>
  <c r="AG40" i="1"/>
  <c r="W40" i="1"/>
  <c r="V40" i="1"/>
  <c r="U40" i="1"/>
  <c r="T40" i="1"/>
  <c r="S40" i="1"/>
  <c r="R40" i="1"/>
  <c r="Q40" i="1"/>
  <c r="P40" i="1"/>
  <c r="O40" i="1"/>
  <c r="N40" i="1"/>
  <c r="M40" i="1"/>
  <c r="L40" i="1"/>
  <c r="K40" i="1"/>
  <c r="J40" i="1"/>
  <c r="C40" i="1" s="1"/>
  <c r="I40" i="1"/>
  <c r="H40" i="1"/>
  <c r="AZ39" i="1"/>
  <c r="AY39" i="1"/>
  <c r="AX39" i="1"/>
  <c r="AW39" i="1"/>
  <c r="AV39" i="1"/>
  <c r="AU39" i="1"/>
  <c r="AT39" i="1"/>
  <c r="AS39" i="1"/>
  <c r="AR39" i="1"/>
  <c r="AQ39" i="1"/>
  <c r="AP39" i="1"/>
  <c r="AI39" i="1"/>
  <c r="AH39" i="1"/>
  <c r="AG39" i="1"/>
  <c r="W39" i="1"/>
  <c r="V39" i="1"/>
  <c r="U39" i="1"/>
  <c r="T39" i="1"/>
  <c r="S39" i="1"/>
  <c r="R39" i="1"/>
  <c r="Q39" i="1"/>
  <c r="P39" i="1"/>
  <c r="O39" i="1"/>
  <c r="N39" i="1"/>
  <c r="M39" i="1"/>
  <c r="L39" i="1"/>
  <c r="K39" i="1"/>
  <c r="J39" i="1"/>
  <c r="I39" i="1"/>
  <c r="H39" i="1"/>
  <c r="AZ38" i="1"/>
  <c r="AY38" i="1"/>
  <c r="AX38" i="1"/>
  <c r="AW38" i="1"/>
  <c r="AV38" i="1"/>
  <c r="AU38" i="1"/>
  <c r="AT38" i="1"/>
  <c r="AS38" i="1"/>
  <c r="AR38" i="1"/>
  <c r="AQ38" i="1"/>
  <c r="AP38" i="1"/>
  <c r="AH38" i="1"/>
  <c r="AG38" i="1"/>
  <c r="W38" i="1"/>
  <c r="V38" i="1"/>
  <c r="U38" i="1"/>
  <c r="T38" i="1"/>
  <c r="S38" i="1"/>
  <c r="R38" i="1"/>
  <c r="Q38" i="1"/>
  <c r="P38" i="1"/>
  <c r="O38" i="1"/>
  <c r="N38" i="1"/>
  <c r="M38" i="1"/>
  <c r="L38" i="1"/>
  <c r="K38" i="1"/>
  <c r="J38" i="1"/>
  <c r="I38" i="1"/>
  <c r="H38" i="1"/>
  <c r="AZ37" i="1"/>
  <c r="AY37" i="1"/>
  <c r="AX37" i="1"/>
  <c r="AW37" i="1"/>
  <c r="AV37" i="1"/>
  <c r="AU37" i="1"/>
  <c r="AT37" i="1"/>
  <c r="AS37" i="1"/>
  <c r="AR37" i="1"/>
  <c r="AQ37" i="1"/>
  <c r="AP37" i="1"/>
  <c r="AH37" i="1"/>
  <c r="AG37" i="1"/>
  <c r="W37" i="1"/>
  <c r="V37" i="1"/>
  <c r="U37" i="1"/>
  <c r="T37" i="1"/>
  <c r="S37" i="1"/>
  <c r="R37" i="1"/>
  <c r="Q37" i="1"/>
  <c r="P37" i="1"/>
  <c r="O37" i="1"/>
  <c r="N37" i="1"/>
  <c r="M37" i="1"/>
  <c r="L37" i="1"/>
  <c r="K37" i="1"/>
  <c r="J37" i="1"/>
  <c r="I37" i="1"/>
  <c r="H37" i="1"/>
  <c r="AZ36" i="1"/>
  <c r="AY36" i="1"/>
  <c r="AX36" i="1"/>
  <c r="AW36" i="1"/>
  <c r="AV36" i="1"/>
  <c r="AU36" i="1"/>
  <c r="AT36" i="1"/>
  <c r="AS36" i="1"/>
  <c r="AR36" i="1"/>
  <c r="AQ36" i="1"/>
  <c r="AP36" i="1"/>
  <c r="AH36" i="1"/>
  <c r="AG36" i="1"/>
  <c r="W36" i="1"/>
  <c r="V36" i="1"/>
  <c r="U36" i="1"/>
  <c r="T36" i="1"/>
  <c r="S36" i="1"/>
  <c r="R36" i="1"/>
  <c r="Q36" i="1"/>
  <c r="P36" i="1"/>
  <c r="O36" i="1"/>
  <c r="C36" i="1" s="1"/>
  <c r="N36" i="1"/>
  <c r="M36" i="1"/>
  <c r="L36" i="1"/>
  <c r="K36" i="1"/>
  <c r="J36" i="1"/>
  <c r="I36" i="1"/>
  <c r="H36" i="1"/>
  <c r="AZ35" i="1"/>
  <c r="AY35" i="1"/>
  <c r="AX35" i="1"/>
  <c r="AW35" i="1"/>
  <c r="AV35" i="1"/>
  <c r="AU35" i="1"/>
  <c r="AT35" i="1"/>
  <c r="AS35" i="1"/>
  <c r="AR35" i="1"/>
  <c r="AQ35" i="1"/>
  <c r="AP35" i="1"/>
  <c r="AH35" i="1"/>
  <c r="AG35" i="1"/>
  <c r="W35" i="1"/>
  <c r="V35" i="1"/>
  <c r="U35" i="1"/>
  <c r="T35" i="1"/>
  <c r="S35" i="1"/>
  <c r="R35" i="1"/>
  <c r="Q35" i="1"/>
  <c r="P35" i="1"/>
  <c r="O35" i="1"/>
  <c r="N35" i="1"/>
  <c r="M35" i="1"/>
  <c r="L35" i="1"/>
  <c r="K35" i="1"/>
  <c r="J35" i="1"/>
  <c r="I35" i="1"/>
  <c r="H35" i="1"/>
  <c r="AZ34" i="1"/>
  <c r="AY34" i="1"/>
  <c r="AX34" i="1"/>
  <c r="AW34" i="1"/>
  <c r="AV34" i="1"/>
  <c r="AU34" i="1"/>
  <c r="AT34" i="1"/>
  <c r="AS34" i="1"/>
  <c r="AR34" i="1"/>
  <c r="AQ34" i="1"/>
  <c r="AP34" i="1"/>
  <c r="AH34" i="1"/>
  <c r="AG34" i="1"/>
  <c r="W34" i="1"/>
  <c r="V34" i="1"/>
  <c r="U34" i="1"/>
  <c r="T34" i="1"/>
  <c r="S34" i="1"/>
  <c r="R34" i="1"/>
  <c r="Q34" i="1"/>
  <c r="P34" i="1"/>
  <c r="O34" i="1"/>
  <c r="N34" i="1"/>
  <c r="M34" i="1"/>
  <c r="L34" i="1"/>
  <c r="K34" i="1"/>
  <c r="J34" i="1"/>
  <c r="I34" i="1"/>
  <c r="H34" i="1"/>
  <c r="AZ33" i="1"/>
  <c r="AY33" i="1"/>
  <c r="AX33" i="1"/>
  <c r="AW33" i="1"/>
  <c r="AV33" i="1"/>
  <c r="AU33" i="1"/>
  <c r="AT33" i="1"/>
  <c r="AS33" i="1"/>
  <c r="AR33" i="1"/>
  <c r="AQ33" i="1"/>
  <c r="AP33" i="1"/>
  <c r="AH33" i="1"/>
  <c r="AG33" i="1"/>
  <c r="W33" i="1"/>
  <c r="V33" i="1"/>
  <c r="U33" i="1"/>
  <c r="T33" i="1"/>
  <c r="S33" i="1"/>
  <c r="R33" i="1"/>
  <c r="Q33" i="1"/>
  <c r="P33" i="1"/>
  <c r="O33" i="1"/>
  <c r="N33" i="1"/>
  <c r="M33" i="1"/>
  <c r="L33" i="1"/>
  <c r="K33" i="1"/>
  <c r="J33" i="1"/>
  <c r="I33" i="1"/>
  <c r="H33" i="1"/>
  <c r="AZ32" i="1"/>
  <c r="AY32" i="1"/>
  <c r="AX32" i="1"/>
  <c r="AW32" i="1"/>
  <c r="AV32" i="1"/>
  <c r="AU32" i="1"/>
  <c r="AT32" i="1"/>
  <c r="AS32" i="1"/>
  <c r="AR32" i="1"/>
  <c r="AQ32" i="1"/>
  <c r="AP32" i="1"/>
  <c r="AH32" i="1"/>
  <c r="AG32" i="1"/>
  <c r="W32" i="1"/>
  <c r="V32" i="1"/>
  <c r="U32" i="1"/>
  <c r="T32" i="1"/>
  <c r="S32" i="1"/>
  <c r="R32" i="1"/>
  <c r="Q32" i="1"/>
  <c r="P32" i="1"/>
  <c r="O32" i="1"/>
  <c r="N32" i="1"/>
  <c r="M32" i="1"/>
  <c r="L32" i="1"/>
  <c r="K32" i="1"/>
  <c r="J32" i="1"/>
  <c r="I32" i="1"/>
  <c r="H32" i="1"/>
  <c r="AZ31" i="1"/>
  <c r="AY31" i="1"/>
  <c r="AX31" i="1"/>
  <c r="AW31" i="1"/>
  <c r="AV31" i="1"/>
  <c r="AU31" i="1"/>
  <c r="AT31" i="1"/>
  <c r="AS31" i="1"/>
  <c r="AR31" i="1"/>
  <c r="AQ31" i="1"/>
  <c r="AP31" i="1"/>
  <c r="AI31" i="1"/>
  <c r="AH31" i="1"/>
  <c r="AG31" i="1"/>
  <c r="W31" i="1"/>
  <c r="V31" i="1"/>
  <c r="U31" i="1"/>
  <c r="T31" i="1"/>
  <c r="S31" i="1"/>
  <c r="R31" i="1"/>
  <c r="Q31" i="1"/>
  <c r="P31" i="1"/>
  <c r="O31" i="1"/>
  <c r="N31" i="1"/>
  <c r="M31" i="1"/>
  <c r="L31" i="1"/>
  <c r="K31" i="1"/>
  <c r="J31" i="1"/>
  <c r="I31" i="1"/>
  <c r="H31" i="1"/>
  <c r="AZ30" i="1"/>
  <c r="AY30" i="1"/>
  <c r="AX30" i="1"/>
  <c r="AW30" i="1"/>
  <c r="AV30" i="1"/>
  <c r="AU30" i="1"/>
  <c r="AT30" i="1"/>
  <c r="AS30" i="1"/>
  <c r="AR30" i="1"/>
  <c r="AQ30" i="1"/>
  <c r="AP30" i="1"/>
  <c r="AH30" i="1"/>
  <c r="AG30" i="1"/>
  <c r="W30" i="1"/>
  <c r="V30" i="1"/>
  <c r="U30" i="1"/>
  <c r="T30" i="1"/>
  <c r="S30" i="1"/>
  <c r="R30" i="1"/>
  <c r="Q30" i="1"/>
  <c r="P30" i="1"/>
  <c r="O30" i="1"/>
  <c r="N30" i="1"/>
  <c r="M30" i="1"/>
  <c r="L30" i="1"/>
  <c r="K30" i="1"/>
  <c r="J30" i="1"/>
  <c r="I30" i="1"/>
  <c r="H30" i="1"/>
  <c r="AZ29" i="1"/>
  <c r="AY29" i="1"/>
  <c r="AX29" i="1"/>
  <c r="AW29" i="1"/>
  <c r="AV29" i="1"/>
  <c r="AU29" i="1"/>
  <c r="AT29" i="1"/>
  <c r="AS29" i="1"/>
  <c r="AR29" i="1"/>
  <c r="AQ29" i="1"/>
  <c r="AP29" i="1"/>
  <c r="AH29" i="1"/>
  <c r="AG29" i="1"/>
  <c r="W29" i="1"/>
  <c r="V29" i="1"/>
  <c r="U29" i="1"/>
  <c r="T29" i="1"/>
  <c r="S29" i="1"/>
  <c r="R29" i="1"/>
  <c r="Q29" i="1"/>
  <c r="P29" i="1"/>
  <c r="O29" i="1"/>
  <c r="N29" i="1"/>
  <c r="M29" i="1"/>
  <c r="L29" i="1"/>
  <c r="K29" i="1"/>
  <c r="J29" i="1"/>
  <c r="I29" i="1"/>
  <c r="H29" i="1"/>
  <c r="AZ28" i="1"/>
  <c r="AY28" i="1"/>
  <c r="AX28" i="1"/>
  <c r="AW28" i="1"/>
  <c r="AV28" i="1"/>
  <c r="AU28" i="1"/>
  <c r="AT28" i="1"/>
  <c r="AS28" i="1"/>
  <c r="AR28" i="1"/>
  <c r="AQ28" i="1"/>
  <c r="AP28" i="1"/>
  <c r="AH28" i="1"/>
  <c r="AG28" i="1"/>
  <c r="W28" i="1"/>
  <c r="V28" i="1"/>
  <c r="U28" i="1"/>
  <c r="T28" i="1"/>
  <c r="S28" i="1"/>
  <c r="R28" i="1"/>
  <c r="Q28" i="1"/>
  <c r="P28" i="1"/>
  <c r="O28" i="1"/>
  <c r="N28" i="1"/>
  <c r="M28" i="1"/>
  <c r="L28" i="1"/>
  <c r="K28" i="1"/>
  <c r="J28" i="1"/>
  <c r="I28" i="1"/>
  <c r="H28" i="1"/>
  <c r="AZ27" i="1"/>
  <c r="AY27" i="1"/>
  <c r="AX27" i="1"/>
  <c r="AW27" i="1"/>
  <c r="AV27" i="1"/>
  <c r="AU27" i="1"/>
  <c r="AT27" i="1"/>
  <c r="AS27" i="1"/>
  <c r="AR27" i="1"/>
  <c r="AQ27" i="1"/>
  <c r="AP27" i="1"/>
  <c r="AH27" i="1"/>
  <c r="AG27" i="1"/>
  <c r="W27" i="1"/>
  <c r="V27" i="1"/>
  <c r="U27" i="1"/>
  <c r="T27" i="1"/>
  <c r="S27" i="1"/>
  <c r="R27" i="1"/>
  <c r="Q27" i="1"/>
  <c r="P27" i="1"/>
  <c r="O27" i="1"/>
  <c r="N27" i="1"/>
  <c r="M27" i="1"/>
  <c r="L27" i="1"/>
  <c r="K27" i="1"/>
  <c r="J27" i="1"/>
  <c r="I27" i="1"/>
  <c r="H27" i="1"/>
  <c r="AZ26" i="1"/>
  <c r="AY26" i="1"/>
  <c r="AX26" i="1"/>
  <c r="AW26" i="1"/>
  <c r="AV26" i="1"/>
  <c r="AU26" i="1"/>
  <c r="AT26" i="1"/>
  <c r="AS26" i="1"/>
  <c r="AR26" i="1"/>
  <c r="AQ26" i="1"/>
  <c r="AP26" i="1"/>
  <c r="AH26" i="1"/>
  <c r="AG26" i="1"/>
  <c r="W26" i="1"/>
  <c r="V26" i="1"/>
  <c r="U26" i="1"/>
  <c r="T26" i="1"/>
  <c r="S26" i="1"/>
  <c r="R26" i="1"/>
  <c r="Q26" i="1"/>
  <c r="P26" i="1"/>
  <c r="O26" i="1"/>
  <c r="N26" i="1"/>
  <c r="M26" i="1"/>
  <c r="L26" i="1"/>
  <c r="K26" i="1"/>
  <c r="J26" i="1"/>
  <c r="I26" i="1"/>
  <c r="H26" i="1"/>
  <c r="AZ25" i="1"/>
  <c r="AY25" i="1"/>
  <c r="AX25" i="1"/>
  <c r="AW25" i="1"/>
  <c r="AV25" i="1"/>
  <c r="AU25" i="1"/>
  <c r="AT25" i="1"/>
  <c r="AS25" i="1"/>
  <c r="AR25" i="1"/>
  <c r="AQ25" i="1"/>
  <c r="AP25" i="1"/>
  <c r="AH25" i="1"/>
  <c r="AG25" i="1"/>
  <c r="W25" i="1"/>
  <c r="V25" i="1"/>
  <c r="U25" i="1"/>
  <c r="T25" i="1"/>
  <c r="S25" i="1"/>
  <c r="R25" i="1"/>
  <c r="Q25" i="1"/>
  <c r="P25" i="1"/>
  <c r="O25" i="1"/>
  <c r="N25" i="1"/>
  <c r="M25" i="1"/>
  <c r="L25" i="1"/>
  <c r="K25" i="1"/>
  <c r="J25" i="1"/>
  <c r="I25" i="1"/>
  <c r="H25" i="1"/>
  <c r="AZ24" i="1"/>
  <c r="AY24" i="1"/>
  <c r="AX24" i="1"/>
  <c r="AW24" i="1"/>
  <c r="AV24" i="1"/>
  <c r="AU24" i="1"/>
  <c r="AT24" i="1"/>
  <c r="AS24" i="1"/>
  <c r="AR24" i="1"/>
  <c r="AQ24" i="1"/>
  <c r="AP24" i="1"/>
  <c r="AH24" i="1"/>
  <c r="AG24" i="1"/>
  <c r="W24" i="1"/>
  <c r="V24" i="1"/>
  <c r="U24" i="1"/>
  <c r="T24" i="1"/>
  <c r="S24" i="1"/>
  <c r="R24" i="1"/>
  <c r="Q24" i="1"/>
  <c r="P24" i="1"/>
  <c r="O24" i="1"/>
  <c r="N24" i="1"/>
  <c r="M24" i="1"/>
  <c r="L24" i="1"/>
  <c r="K24" i="1"/>
  <c r="J24" i="1"/>
  <c r="I24" i="1"/>
  <c r="H24" i="1"/>
  <c r="AZ23" i="1"/>
  <c r="AY23" i="1"/>
  <c r="AX23" i="1"/>
  <c r="AW23" i="1"/>
  <c r="AV23" i="1"/>
  <c r="AU23" i="1"/>
  <c r="AT23" i="1"/>
  <c r="AS23" i="1"/>
  <c r="AR23" i="1"/>
  <c r="AQ23" i="1"/>
  <c r="AP23" i="1"/>
  <c r="AH23" i="1"/>
  <c r="AG23" i="1"/>
  <c r="W23" i="1"/>
  <c r="V23" i="1"/>
  <c r="U23" i="1"/>
  <c r="T23" i="1"/>
  <c r="S23" i="1"/>
  <c r="R23" i="1"/>
  <c r="Q23" i="1"/>
  <c r="P23" i="1"/>
  <c r="O23" i="1"/>
  <c r="N23" i="1"/>
  <c r="M23" i="1"/>
  <c r="L23" i="1"/>
  <c r="K23" i="1"/>
  <c r="J23" i="1"/>
  <c r="I23" i="1"/>
  <c r="H23" i="1"/>
  <c r="AZ22" i="1"/>
  <c r="AY22" i="1"/>
  <c r="AX22" i="1"/>
  <c r="AW22" i="1"/>
  <c r="AV22" i="1"/>
  <c r="AU22" i="1"/>
  <c r="AT22" i="1"/>
  <c r="AS22" i="1"/>
  <c r="AR22" i="1"/>
  <c r="AQ22" i="1"/>
  <c r="AP22" i="1"/>
  <c r="AH22" i="1"/>
  <c r="AG22" i="1"/>
  <c r="W22" i="1"/>
  <c r="V22" i="1"/>
  <c r="U22" i="1"/>
  <c r="T22" i="1"/>
  <c r="S22" i="1"/>
  <c r="R22" i="1"/>
  <c r="Q22" i="1"/>
  <c r="P22" i="1"/>
  <c r="O22" i="1"/>
  <c r="N22" i="1"/>
  <c r="M22" i="1"/>
  <c r="L22" i="1"/>
  <c r="K22" i="1"/>
  <c r="J22" i="1"/>
  <c r="I22" i="1"/>
  <c r="H22" i="1"/>
  <c r="AZ21" i="1"/>
  <c r="AY21" i="1"/>
  <c r="AX21" i="1"/>
  <c r="AW21" i="1"/>
  <c r="AV21" i="1"/>
  <c r="AU21" i="1"/>
  <c r="AT21" i="1"/>
  <c r="AS21" i="1"/>
  <c r="AR21" i="1"/>
  <c r="AQ21" i="1"/>
  <c r="AP21" i="1"/>
  <c r="AH21" i="1"/>
  <c r="AG21" i="1"/>
  <c r="W21" i="1"/>
  <c r="V21" i="1"/>
  <c r="U21" i="1"/>
  <c r="T21" i="1"/>
  <c r="S21" i="1"/>
  <c r="R21" i="1"/>
  <c r="Q21" i="1"/>
  <c r="P21" i="1"/>
  <c r="O21" i="1"/>
  <c r="N21" i="1"/>
  <c r="M21" i="1"/>
  <c r="L21" i="1"/>
  <c r="K21" i="1"/>
  <c r="J21" i="1"/>
  <c r="I21" i="1"/>
  <c r="H21" i="1"/>
  <c r="AZ20" i="1"/>
  <c r="AY20" i="1"/>
  <c r="AX20" i="1"/>
  <c r="AW20" i="1"/>
  <c r="AV20" i="1"/>
  <c r="AU20" i="1"/>
  <c r="AT20" i="1"/>
  <c r="AS20" i="1"/>
  <c r="AR20" i="1"/>
  <c r="AQ20" i="1"/>
  <c r="AP20" i="1"/>
  <c r="AH20" i="1"/>
  <c r="AG20" i="1"/>
  <c r="W20" i="1"/>
  <c r="V20" i="1"/>
  <c r="U20" i="1"/>
  <c r="T20" i="1"/>
  <c r="S20" i="1"/>
  <c r="R20" i="1"/>
  <c r="Q20" i="1"/>
  <c r="P20" i="1"/>
  <c r="O20" i="1"/>
  <c r="N20" i="1"/>
  <c r="M20" i="1"/>
  <c r="L20" i="1"/>
  <c r="K20" i="1"/>
  <c r="J20" i="1"/>
  <c r="I20" i="1"/>
  <c r="H20" i="1"/>
  <c r="AZ19" i="1"/>
  <c r="AY19" i="1"/>
  <c r="AX19" i="1"/>
  <c r="AW19" i="1"/>
  <c r="AV19" i="1"/>
  <c r="AU19" i="1"/>
  <c r="AT19" i="1"/>
  <c r="AS19" i="1"/>
  <c r="AR19" i="1"/>
  <c r="AQ19" i="1"/>
  <c r="AP19" i="1"/>
  <c r="AI19" i="1"/>
  <c r="AH19" i="1"/>
  <c r="AG19" i="1"/>
  <c r="W19" i="1"/>
  <c r="V19" i="1"/>
  <c r="U19" i="1"/>
  <c r="T19" i="1"/>
  <c r="S19" i="1"/>
  <c r="R19" i="1"/>
  <c r="Q19" i="1"/>
  <c r="P19" i="1"/>
  <c r="O19" i="1"/>
  <c r="N19" i="1"/>
  <c r="M19" i="1"/>
  <c r="L19" i="1"/>
  <c r="K19" i="1"/>
  <c r="J19" i="1"/>
  <c r="I19" i="1"/>
  <c r="H19" i="1"/>
  <c r="AZ18" i="1"/>
  <c r="AY18" i="1"/>
  <c r="AX18" i="1"/>
  <c r="AW18" i="1"/>
  <c r="AV18" i="1"/>
  <c r="AU18" i="1"/>
  <c r="AT18" i="1"/>
  <c r="AS18" i="1"/>
  <c r="AR18" i="1"/>
  <c r="AQ18" i="1"/>
  <c r="AP18" i="1"/>
  <c r="AI18" i="1"/>
  <c r="AH18" i="1"/>
  <c r="AG18" i="1"/>
  <c r="W18" i="1"/>
  <c r="V18" i="1"/>
  <c r="U18" i="1"/>
  <c r="T18" i="1"/>
  <c r="S18" i="1"/>
  <c r="R18" i="1"/>
  <c r="Q18" i="1"/>
  <c r="P18" i="1"/>
  <c r="O18" i="1"/>
  <c r="N18" i="1"/>
  <c r="M18" i="1"/>
  <c r="L18" i="1"/>
  <c r="K18" i="1"/>
  <c r="J18" i="1"/>
  <c r="I18" i="1"/>
  <c r="H18" i="1"/>
  <c r="AZ17" i="1"/>
  <c r="AY17" i="1"/>
  <c r="AX17" i="1"/>
  <c r="AW17" i="1"/>
  <c r="AV17" i="1"/>
  <c r="AU17" i="1"/>
  <c r="AT17" i="1"/>
  <c r="AS17" i="1"/>
  <c r="AR17" i="1"/>
  <c r="AQ17" i="1"/>
  <c r="AP17" i="1"/>
  <c r="AI17" i="1"/>
  <c r="AH17" i="1"/>
  <c r="AG17" i="1"/>
  <c r="W17" i="1"/>
  <c r="V17" i="1"/>
  <c r="U17" i="1"/>
  <c r="T17" i="1"/>
  <c r="S17" i="1"/>
  <c r="R17" i="1"/>
  <c r="Q17" i="1"/>
  <c r="P17" i="1"/>
  <c r="O17" i="1"/>
  <c r="N17" i="1"/>
  <c r="M17" i="1"/>
  <c r="L17" i="1"/>
  <c r="K17" i="1"/>
  <c r="J17" i="1"/>
  <c r="I17" i="1"/>
  <c r="H17" i="1"/>
  <c r="AZ16" i="1"/>
  <c r="AY16" i="1"/>
  <c r="AX16" i="1"/>
  <c r="AW16" i="1"/>
  <c r="AV16" i="1"/>
  <c r="AU16" i="1"/>
  <c r="AT16" i="1"/>
  <c r="AS16" i="1"/>
  <c r="AR16" i="1"/>
  <c r="AQ16" i="1"/>
  <c r="AP16" i="1"/>
  <c r="AI16" i="1"/>
  <c r="AH16" i="1"/>
  <c r="AG16" i="1"/>
  <c r="W16" i="1"/>
  <c r="V16" i="1"/>
  <c r="U16" i="1"/>
  <c r="T16" i="1"/>
  <c r="S16" i="1"/>
  <c r="R16" i="1"/>
  <c r="Q16" i="1"/>
  <c r="P16" i="1"/>
  <c r="O16" i="1"/>
  <c r="N16" i="1"/>
  <c r="M16" i="1"/>
  <c r="L16" i="1"/>
  <c r="K16" i="1"/>
  <c r="J16" i="1"/>
  <c r="I16" i="1"/>
  <c r="H16" i="1"/>
  <c r="AZ15" i="1"/>
  <c r="AY15" i="1"/>
  <c r="AX15" i="1"/>
  <c r="AW15" i="1"/>
  <c r="AV15" i="1"/>
  <c r="AU15" i="1"/>
  <c r="AT15" i="1"/>
  <c r="AS15" i="1"/>
  <c r="AR15" i="1"/>
  <c r="AQ15" i="1"/>
  <c r="AP15" i="1"/>
  <c r="W15" i="1"/>
  <c r="V15" i="1"/>
  <c r="U15" i="1"/>
  <c r="T15" i="1"/>
  <c r="S15" i="1"/>
  <c r="R15" i="1"/>
  <c r="Q15" i="1"/>
  <c r="P15" i="1"/>
  <c r="O15" i="1"/>
  <c r="N15" i="1"/>
  <c r="M15" i="1"/>
  <c r="L15" i="1"/>
  <c r="K15" i="1"/>
  <c r="J15" i="1"/>
  <c r="I15" i="1"/>
  <c r="H15" i="1"/>
  <c r="AZ14" i="1"/>
  <c r="AY14" i="1"/>
  <c r="AX14" i="1"/>
  <c r="AW14" i="1"/>
  <c r="AV14" i="1"/>
  <c r="AU14" i="1"/>
  <c r="AT14" i="1"/>
  <c r="AS14" i="1"/>
  <c r="AR14" i="1"/>
  <c r="AQ14" i="1"/>
  <c r="AP14" i="1"/>
  <c r="AH14" i="1"/>
  <c r="AG14" i="1"/>
  <c r="W14" i="1"/>
  <c r="V14" i="1"/>
  <c r="U14" i="1"/>
  <c r="T14" i="1"/>
  <c r="S14" i="1"/>
  <c r="R14" i="1"/>
  <c r="Q14" i="1"/>
  <c r="P14" i="1"/>
  <c r="O14" i="1"/>
  <c r="N14" i="1"/>
  <c r="M14" i="1"/>
  <c r="L14" i="1"/>
  <c r="K14" i="1"/>
  <c r="J14" i="1"/>
  <c r="I14" i="1"/>
  <c r="H14" i="1"/>
  <c r="AZ13" i="1"/>
  <c r="AY13" i="1"/>
  <c r="AX13" i="1"/>
  <c r="AW13" i="1"/>
  <c r="AV13" i="1"/>
  <c r="AU13" i="1"/>
  <c r="AT13" i="1"/>
  <c r="AS13" i="1"/>
  <c r="AR13" i="1"/>
  <c r="AQ13" i="1"/>
  <c r="AP13" i="1"/>
  <c r="AH13" i="1"/>
  <c r="AG13" i="1"/>
  <c r="W13" i="1"/>
  <c r="V13" i="1"/>
  <c r="U13" i="1"/>
  <c r="T13" i="1"/>
  <c r="S13" i="1"/>
  <c r="R13" i="1"/>
  <c r="Q13" i="1"/>
  <c r="P13" i="1"/>
  <c r="O13" i="1"/>
  <c r="N13" i="1"/>
  <c r="M13" i="1"/>
  <c r="L13" i="1"/>
  <c r="K13" i="1"/>
  <c r="J13" i="1"/>
  <c r="I13" i="1"/>
  <c r="H13" i="1"/>
  <c r="AZ12" i="1"/>
  <c r="AY12" i="1"/>
  <c r="AX12" i="1"/>
  <c r="AW12" i="1"/>
  <c r="AV12" i="1"/>
  <c r="AU12" i="1"/>
  <c r="AT12" i="1"/>
  <c r="AS12" i="1"/>
  <c r="AR12" i="1"/>
  <c r="AQ12" i="1"/>
  <c r="AP12" i="1"/>
  <c r="AH12" i="1"/>
  <c r="AG12" i="1"/>
  <c r="W12" i="1"/>
  <c r="V12" i="1"/>
  <c r="U12" i="1"/>
  <c r="T12" i="1"/>
  <c r="S12" i="1"/>
  <c r="R12" i="1"/>
  <c r="Q12" i="1"/>
  <c r="P12" i="1"/>
  <c r="O12" i="1"/>
  <c r="N12" i="1"/>
  <c r="M12" i="1"/>
  <c r="L12" i="1"/>
  <c r="K12" i="1"/>
  <c r="J12" i="1"/>
  <c r="I12" i="1"/>
  <c r="H12" i="1"/>
  <c r="AZ11" i="1"/>
  <c r="AY11" i="1"/>
  <c r="AX11" i="1"/>
  <c r="AW11" i="1"/>
  <c r="AV11" i="1"/>
  <c r="AU11" i="1"/>
  <c r="AT11" i="1"/>
  <c r="AS11" i="1"/>
  <c r="AR11" i="1"/>
  <c r="AQ11" i="1"/>
  <c r="AP11" i="1"/>
  <c r="AH11" i="1"/>
  <c r="AG11" i="1"/>
  <c r="W11" i="1"/>
  <c r="V11" i="1"/>
  <c r="U11" i="1"/>
  <c r="T11" i="1"/>
  <c r="S11" i="1"/>
  <c r="R11" i="1"/>
  <c r="Q11" i="1"/>
  <c r="P11" i="1"/>
  <c r="O11" i="1"/>
  <c r="N11" i="1"/>
  <c r="M11" i="1"/>
  <c r="L11" i="1"/>
  <c r="K11" i="1"/>
  <c r="J11" i="1"/>
  <c r="I11" i="1"/>
  <c r="H11" i="1"/>
  <c r="AZ10" i="1"/>
  <c r="AY10" i="1"/>
  <c r="AX10" i="1"/>
  <c r="AW10" i="1"/>
  <c r="AV10" i="1"/>
  <c r="AU10" i="1"/>
  <c r="AT10" i="1"/>
  <c r="AS10" i="1"/>
  <c r="AR10" i="1"/>
  <c r="AQ10" i="1"/>
  <c r="AP10" i="1"/>
  <c r="AH10" i="1"/>
  <c r="AG10" i="1"/>
  <c r="W10" i="1"/>
  <c r="V10" i="1"/>
  <c r="U10" i="1"/>
  <c r="T10" i="1"/>
  <c r="S10" i="1"/>
  <c r="R10" i="1"/>
  <c r="Q10" i="1"/>
  <c r="P10" i="1"/>
  <c r="O10" i="1"/>
  <c r="N10" i="1"/>
  <c r="M10" i="1"/>
  <c r="L10" i="1"/>
  <c r="K10" i="1"/>
  <c r="J10" i="1"/>
  <c r="I10" i="1"/>
  <c r="H10" i="1"/>
  <c r="AZ9" i="1"/>
  <c r="AY9" i="1"/>
  <c r="AX9" i="1"/>
  <c r="AW9" i="1"/>
  <c r="AV9" i="1"/>
  <c r="AU9" i="1"/>
  <c r="AT9" i="1"/>
  <c r="AS9" i="1"/>
  <c r="AR9" i="1"/>
  <c r="AQ9" i="1"/>
  <c r="AP9" i="1"/>
  <c r="AH9" i="1"/>
  <c r="AG9" i="1"/>
  <c r="W9" i="1"/>
  <c r="V9" i="1"/>
  <c r="U9" i="1"/>
  <c r="T9" i="1"/>
  <c r="S9" i="1"/>
  <c r="R9" i="1"/>
  <c r="Q9" i="1"/>
  <c r="P9" i="1"/>
  <c r="O9" i="1"/>
  <c r="N9" i="1"/>
  <c r="M9" i="1"/>
  <c r="L9" i="1"/>
  <c r="K9" i="1"/>
  <c r="J9" i="1"/>
  <c r="I9" i="1"/>
  <c r="H9" i="1"/>
  <c r="AZ8" i="1"/>
  <c r="AY8" i="1"/>
  <c r="AX8" i="1"/>
  <c r="AW8" i="1"/>
  <c r="AV8" i="1"/>
  <c r="AU8" i="1"/>
  <c r="AT8" i="1"/>
  <c r="AS8" i="1"/>
  <c r="AR8" i="1"/>
  <c r="AQ8" i="1"/>
  <c r="AP8" i="1"/>
  <c r="AI8" i="1"/>
  <c r="AH8" i="1"/>
  <c r="AG8" i="1"/>
  <c r="W8" i="1"/>
  <c r="V8" i="1"/>
  <c r="U8" i="1"/>
  <c r="T8" i="1"/>
  <c r="S8" i="1"/>
  <c r="R8" i="1"/>
  <c r="Q8" i="1"/>
  <c r="P8" i="1"/>
  <c r="O8" i="1"/>
  <c r="N8" i="1"/>
  <c r="M8" i="1"/>
  <c r="L8" i="1"/>
  <c r="K8" i="1"/>
  <c r="J8" i="1"/>
  <c r="I8" i="1"/>
  <c r="H8" i="1"/>
  <c r="AZ7" i="1"/>
  <c r="AY7" i="1"/>
  <c r="AX7" i="1"/>
  <c r="AW7" i="1"/>
  <c r="AV7" i="1"/>
  <c r="AU7" i="1"/>
  <c r="AT7" i="1"/>
  <c r="AS7" i="1"/>
  <c r="AR7" i="1"/>
  <c r="AQ7" i="1"/>
  <c r="AP7" i="1"/>
  <c r="W7" i="1"/>
  <c r="V7" i="1"/>
  <c r="U7" i="1"/>
  <c r="T7" i="1"/>
  <c r="S7" i="1"/>
  <c r="R7" i="1"/>
  <c r="Q7" i="1"/>
  <c r="P7" i="1"/>
  <c r="O7" i="1"/>
  <c r="N7" i="1"/>
  <c r="M7" i="1"/>
  <c r="L7" i="1"/>
  <c r="K7" i="1"/>
  <c r="J7" i="1"/>
  <c r="I7" i="1"/>
  <c r="H7" i="1"/>
  <c r="AZ6" i="1"/>
  <c r="AY6" i="1"/>
  <c r="AX6" i="1"/>
  <c r="AW6" i="1"/>
  <c r="AV6" i="1"/>
  <c r="AU6" i="1"/>
  <c r="AT6" i="1"/>
  <c r="AS6" i="1"/>
  <c r="AR6" i="1"/>
  <c r="AQ6" i="1"/>
  <c r="AP6" i="1"/>
  <c r="AI6" i="1"/>
  <c r="AH6" i="1"/>
  <c r="AG6" i="1"/>
  <c r="W6" i="1"/>
  <c r="V6" i="1"/>
  <c r="U6" i="1"/>
  <c r="T6" i="1"/>
  <c r="S6" i="1"/>
  <c r="R6" i="1"/>
  <c r="Q6" i="1"/>
  <c r="P6" i="1"/>
  <c r="O6" i="1"/>
  <c r="N6" i="1"/>
  <c r="M6" i="1"/>
  <c r="L6" i="1"/>
  <c r="K6" i="1"/>
  <c r="J6" i="1"/>
  <c r="I6" i="1"/>
  <c r="H6" i="1"/>
  <c r="AZ5" i="1"/>
  <c r="AY5" i="1"/>
  <c r="AX5" i="1"/>
  <c r="AW5" i="1"/>
  <c r="AV5" i="1"/>
  <c r="AU5" i="1"/>
  <c r="AT5" i="1"/>
  <c r="AS5" i="1"/>
  <c r="AR5" i="1"/>
  <c r="AQ5" i="1"/>
  <c r="AP5" i="1"/>
  <c r="AI5" i="1"/>
  <c r="AH5" i="1"/>
  <c r="AG5" i="1"/>
  <c r="W5" i="1"/>
  <c r="V5" i="1"/>
  <c r="U5" i="1"/>
  <c r="T5" i="1"/>
  <c r="S5" i="1"/>
  <c r="R5" i="1"/>
  <c r="Q5" i="1"/>
  <c r="P5" i="1"/>
  <c r="O5" i="1"/>
  <c r="N5" i="1"/>
  <c r="M5" i="1"/>
  <c r="L5" i="1"/>
  <c r="K5" i="1"/>
  <c r="J5" i="1"/>
  <c r="I5" i="1"/>
  <c r="H5" i="1"/>
  <c r="C12" i="1" l="1"/>
  <c r="C14" i="1"/>
  <c r="X19" i="1"/>
  <c r="X63" i="1"/>
  <c r="X22" i="1"/>
  <c r="C144" i="1"/>
  <c r="C6" i="1"/>
  <c r="C10" i="1"/>
  <c r="C27" i="1"/>
  <c r="X151" i="1"/>
  <c r="C151" i="1"/>
  <c r="C46" i="1"/>
  <c r="X64" i="1"/>
  <c r="X74" i="1"/>
  <c r="X81" i="1"/>
  <c r="C87" i="1"/>
  <c r="X113" i="1"/>
  <c r="X120" i="1"/>
  <c r="C209" i="1"/>
  <c r="C214" i="1"/>
  <c r="C215" i="1"/>
  <c r="X222" i="1"/>
  <c r="X6" i="1"/>
  <c r="C7" i="1"/>
  <c r="C35" i="1"/>
  <c r="C54" i="1"/>
  <c r="X61" i="1"/>
  <c r="C85" i="1"/>
  <c r="C97" i="1"/>
  <c r="X109" i="1"/>
  <c r="X172" i="1"/>
  <c r="X180" i="1"/>
  <c r="C185" i="1"/>
  <c r="C223" i="1"/>
  <c r="C266" i="1"/>
  <c r="C305" i="1"/>
  <c r="C320" i="1"/>
  <c r="C323" i="1"/>
  <c r="C327" i="1"/>
  <c r="C328" i="1"/>
  <c r="C332" i="1"/>
  <c r="X333" i="1"/>
  <c r="C336" i="1"/>
  <c r="X337" i="1"/>
  <c r="X350" i="1"/>
  <c r="C353" i="1"/>
  <c r="X356" i="1"/>
  <c r="C382" i="1"/>
  <c r="X414" i="1"/>
  <c r="X419" i="1"/>
  <c r="C421" i="1"/>
  <c r="X448" i="1"/>
  <c r="X460" i="1"/>
  <c r="X469" i="1"/>
  <c r="X474" i="1"/>
  <c r="X502" i="1"/>
  <c r="X508" i="1"/>
  <c r="C29" i="1"/>
  <c r="C44" i="1"/>
  <c r="C67" i="1"/>
  <c r="C75" i="1"/>
  <c r="X85" i="1"/>
  <c r="X124" i="1"/>
  <c r="C147" i="1"/>
  <c r="C153" i="1"/>
  <c r="C188" i="1"/>
  <c r="C11" i="1"/>
  <c r="X31" i="1"/>
  <c r="C37" i="1"/>
  <c r="X40" i="1"/>
  <c r="C58" i="1"/>
  <c r="X67" i="1"/>
  <c r="X105" i="1"/>
  <c r="X164" i="1"/>
  <c r="X168" i="1"/>
  <c r="X176" i="1"/>
  <c r="X184" i="1"/>
  <c r="X191" i="1"/>
  <c r="C200" i="1"/>
  <c r="X208" i="1"/>
  <c r="X216" i="1"/>
  <c r="C219" i="1"/>
  <c r="C276" i="1"/>
  <c r="C297" i="1"/>
  <c r="X8" i="1"/>
  <c r="C26" i="1"/>
  <c r="C28" i="1"/>
  <c r="C49" i="1"/>
  <c r="X57" i="1"/>
  <c r="X59" i="1"/>
  <c r="C66" i="1"/>
  <c r="C70" i="1"/>
  <c r="X73" i="1"/>
  <c r="C74" i="1"/>
  <c r="X77" i="1"/>
  <c r="X80" i="1"/>
  <c r="X84" i="1"/>
  <c r="C86" i="1"/>
  <c r="C90" i="1"/>
  <c r="X92" i="1"/>
  <c r="X95" i="1"/>
  <c r="X99" i="1"/>
  <c r="C102" i="1"/>
  <c r="X112" i="1"/>
  <c r="X123" i="1"/>
  <c r="C146" i="1"/>
  <c r="C152" i="1"/>
  <c r="C156" i="1"/>
  <c r="X160" i="1"/>
  <c r="C187" i="1"/>
  <c r="X199" i="1"/>
  <c r="X213" i="1"/>
  <c r="C235" i="1"/>
  <c r="C240" i="1"/>
  <c r="C265" i="1"/>
  <c r="C268" i="1"/>
  <c r="C286" i="1"/>
  <c r="C291" i="1"/>
  <c r="X292" i="1"/>
  <c r="X325" i="1"/>
  <c r="X329" i="1"/>
  <c r="X362" i="1"/>
  <c r="C365" i="1"/>
  <c r="C369" i="1"/>
  <c r="C373" i="1"/>
  <c r="C402" i="1"/>
  <c r="X410" i="1"/>
  <c r="C438" i="1"/>
  <c r="X439" i="1"/>
  <c r="X451" i="1"/>
  <c r="X467" i="1"/>
  <c r="X487" i="1"/>
  <c r="C499" i="1"/>
  <c r="C502" i="1"/>
  <c r="X530" i="1"/>
  <c r="X538" i="1"/>
  <c r="X553" i="1"/>
  <c r="X577" i="1"/>
  <c r="X610" i="1"/>
  <c r="X1037" i="1"/>
  <c r="X376" i="1"/>
  <c r="C420" i="1"/>
  <c r="X428" i="1"/>
  <c r="X453" i="1"/>
  <c r="X476" i="1"/>
  <c r="X484" i="1"/>
  <c r="X490" i="1"/>
  <c r="X496" i="1"/>
  <c r="C516" i="1"/>
  <c r="C519" i="1"/>
  <c r="X527" i="1"/>
  <c r="X555" i="1"/>
  <c r="X558" i="1"/>
  <c r="X564" i="1"/>
  <c r="X573" i="1"/>
  <c r="X594" i="1"/>
  <c r="X739" i="1"/>
  <c r="C22" i="1"/>
  <c r="C42" i="1"/>
  <c r="C48" i="1"/>
  <c r="C69" i="1"/>
  <c r="C77" i="1"/>
  <c r="X94" i="1"/>
  <c r="C101" i="1"/>
  <c r="X104" i="1"/>
  <c r="X111" i="1"/>
  <c r="C119" i="1"/>
  <c r="X122" i="1"/>
  <c r="X132" i="1"/>
  <c r="C142" i="1"/>
  <c r="C155" i="1"/>
  <c r="C186" i="1"/>
  <c r="C190" i="1"/>
  <c r="X215" i="1"/>
  <c r="X218" i="1"/>
  <c r="X220" i="1"/>
  <c r="C234" i="1"/>
  <c r="X249" i="1"/>
  <c r="X253" i="1"/>
  <c r="X257" i="1"/>
  <c r="X263" i="1"/>
  <c r="C282" i="1"/>
  <c r="C289" i="1"/>
  <c r="C290" i="1"/>
  <c r="C311" i="1"/>
  <c r="X324" i="1"/>
  <c r="X328" i="1"/>
  <c r="X332" i="1"/>
  <c r="X352" i="1"/>
  <c r="X361" i="1"/>
  <c r="C372" i="1"/>
  <c r="X406" i="1"/>
  <c r="X409" i="1"/>
  <c r="X415" i="1"/>
  <c r="X427" i="1"/>
  <c r="X431" i="1"/>
  <c r="C432" i="1"/>
  <c r="X433" i="1"/>
  <c r="C437" i="1"/>
  <c r="X444" i="1"/>
  <c r="X449" i="1"/>
  <c r="X470" i="1"/>
  <c r="X493" i="1"/>
  <c r="C498" i="1"/>
  <c r="X532" i="1"/>
  <c r="X537" i="1"/>
  <c r="X549" i="1"/>
  <c r="X552" i="1"/>
  <c r="X576" i="1"/>
  <c r="X310" i="1"/>
  <c r="X13" i="1"/>
  <c r="C16" i="1"/>
  <c r="C65" i="1"/>
  <c r="X98" i="1"/>
  <c r="C5" i="1"/>
  <c r="X10" i="1"/>
  <c r="C33" i="1"/>
  <c r="C39" i="1"/>
  <c r="X44" i="1"/>
  <c r="C56" i="1"/>
  <c r="C60" i="1"/>
  <c r="X60" i="1"/>
  <c r="X65" i="1"/>
  <c r="X69" i="1"/>
  <c r="X72" i="1"/>
  <c r="C83" i="1"/>
  <c r="X88" i="1"/>
  <c r="X91" i="1"/>
  <c r="C95" i="1"/>
  <c r="C99" i="1"/>
  <c r="X101" i="1"/>
  <c r="X107" i="1"/>
  <c r="X125" i="1"/>
  <c r="C138" i="1"/>
  <c r="C140" i="1"/>
  <c r="C150" i="1"/>
  <c r="X162" i="1"/>
  <c r="X166" i="1"/>
  <c r="X170" i="1"/>
  <c r="X174" i="1"/>
  <c r="X178" i="1"/>
  <c r="X182" i="1"/>
  <c r="X193" i="1"/>
  <c r="C198" i="1"/>
  <c r="C202" i="1"/>
  <c r="C206" i="1"/>
  <c r="C221" i="1"/>
  <c r="C225" i="1"/>
  <c r="X226" i="1"/>
  <c r="C238" i="1"/>
  <c r="X239" i="1"/>
  <c r="C259" i="1"/>
  <c r="X260" i="1"/>
  <c r="C274" i="1"/>
  <c r="C278" i="1"/>
  <c r="X288" i="1"/>
  <c r="X291" i="1"/>
  <c r="C302" i="1"/>
  <c r="C315" i="1"/>
  <c r="C325" i="1"/>
  <c r="C330" i="1"/>
  <c r="C334" i="1"/>
  <c r="X335" i="1"/>
  <c r="C338" i="1"/>
  <c r="X339" i="1"/>
  <c r="C363" i="1"/>
  <c r="X375" i="1"/>
  <c r="C384" i="1"/>
  <c r="C388" i="1"/>
  <c r="X391" i="1"/>
  <c r="X395" i="1"/>
  <c r="X399" i="1"/>
  <c r="X452" i="1"/>
  <c r="X479" i="1"/>
  <c r="X486" i="1"/>
  <c r="X511" i="1"/>
  <c r="C515" i="1"/>
  <c r="C518" i="1"/>
  <c r="X520" i="1"/>
  <c r="X535" i="1"/>
  <c r="X540" i="1"/>
  <c r="X544" i="1"/>
  <c r="X738" i="1"/>
  <c r="C20" i="1"/>
  <c r="C73" i="1"/>
  <c r="X76" i="1"/>
  <c r="X79" i="1"/>
  <c r="X83" i="1"/>
  <c r="C89" i="1"/>
  <c r="C13" i="1"/>
  <c r="X15" i="1"/>
  <c r="C19" i="1"/>
  <c r="X21" i="1"/>
  <c r="C24" i="1"/>
  <c r="C30" i="1"/>
  <c r="X35" i="1"/>
  <c r="C47" i="1"/>
  <c r="X50" i="1"/>
  <c r="X62" i="1"/>
  <c r="C68" i="1"/>
  <c r="C72" i="1"/>
  <c r="X75" i="1"/>
  <c r="C76" i="1"/>
  <c r="X82" i="1"/>
  <c r="C88" i="1"/>
  <c r="X97" i="1"/>
  <c r="C100" i="1"/>
  <c r="C104" i="1"/>
  <c r="X114" i="1"/>
  <c r="C118" i="1"/>
  <c r="X121" i="1"/>
  <c r="X149" i="1"/>
  <c r="C189" i="1"/>
  <c r="C205" i="1"/>
  <c r="C216" i="1"/>
  <c r="X217" i="1"/>
  <c r="C233" i="1"/>
  <c r="X235" i="1"/>
  <c r="C246" i="1"/>
  <c r="C281" i="1"/>
  <c r="C285" i="1"/>
  <c r="C288" i="1"/>
  <c r="X295" i="1"/>
  <c r="X306" i="1"/>
  <c r="C310" i="1"/>
  <c r="X312" i="1"/>
  <c r="X318" i="1"/>
  <c r="X327" i="1"/>
  <c r="X331" i="1"/>
  <c r="C350" i="1"/>
  <c r="X351" i="1"/>
  <c r="X383" i="1"/>
  <c r="X387" i="1"/>
  <c r="C399" i="1"/>
  <c r="C400" i="1"/>
  <c r="X402" i="1"/>
  <c r="C404" i="1"/>
  <c r="X405" i="1"/>
  <c r="C423" i="1"/>
  <c r="X466" i="1"/>
  <c r="X468" i="1"/>
  <c r="X475" i="1"/>
  <c r="X477" i="1"/>
  <c r="X483" i="1"/>
  <c r="X497" i="1"/>
  <c r="C501" i="1"/>
  <c r="X517" i="1"/>
  <c r="X523" i="1"/>
  <c r="X526" i="1"/>
  <c r="X546" i="1"/>
  <c r="X548" i="1"/>
  <c r="X17" i="1"/>
  <c r="X26" i="1"/>
  <c r="C38" i="1"/>
  <c r="C55" i="1"/>
  <c r="X58" i="1"/>
  <c r="C62" i="1"/>
  <c r="X68" i="1"/>
  <c r="X78" i="1"/>
  <c r="C82" i="1"/>
  <c r="X93" i="1"/>
  <c r="C94" i="1"/>
  <c r="C98" i="1"/>
  <c r="X100" i="1"/>
  <c r="X103" i="1"/>
  <c r="X106" i="1"/>
  <c r="X110" i="1"/>
  <c r="C135" i="1"/>
  <c r="C148" i="1"/>
  <c r="C149" i="1"/>
  <c r="C154" i="1"/>
  <c r="X161" i="1"/>
  <c r="X165" i="1"/>
  <c r="X169" i="1"/>
  <c r="X173" i="1"/>
  <c r="X177" i="1"/>
  <c r="X181" i="1"/>
  <c r="X185" i="1"/>
  <c r="C201" i="1"/>
  <c r="C211" i="1"/>
  <c r="X212" i="1"/>
  <c r="X214" i="1"/>
  <c r="C220" i="1"/>
  <c r="C224" i="1"/>
  <c r="C245" i="1"/>
  <c r="X271" i="1"/>
  <c r="C277" i="1"/>
  <c r="X290" i="1"/>
  <c r="X294" i="1"/>
  <c r="C301" i="1"/>
  <c r="X303" i="1"/>
  <c r="C306" i="1"/>
  <c r="X317" i="1"/>
  <c r="X323" i="1"/>
  <c r="C324" i="1"/>
  <c r="C329" i="1"/>
  <c r="C333" i="1"/>
  <c r="X334" i="1"/>
  <c r="C337" i="1"/>
  <c r="X338" i="1"/>
  <c r="X341" i="1"/>
  <c r="X348" i="1"/>
  <c r="C357" i="1"/>
  <c r="C358" i="1"/>
  <c r="X394" i="1"/>
  <c r="C422" i="1"/>
  <c r="X443" i="1"/>
  <c r="X450" i="1"/>
  <c r="X455" i="1"/>
  <c r="X462" i="1"/>
  <c r="X464" i="1"/>
  <c r="X471" i="1"/>
  <c r="C472" i="1"/>
  <c r="X488" i="1"/>
  <c r="X510" i="1"/>
  <c r="C517" i="1"/>
  <c r="X519" i="1"/>
  <c r="X529" i="1"/>
  <c r="X543" i="1"/>
  <c r="C50" i="1"/>
  <c r="X55" i="1"/>
  <c r="C71" i="1"/>
  <c r="X90" i="1"/>
  <c r="X96" i="1"/>
  <c r="C103" i="1"/>
  <c r="C143" i="1"/>
  <c r="C196" i="1"/>
  <c r="X244" i="1"/>
  <c r="C267" i="1"/>
  <c r="C271" i="1"/>
  <c r="C283" i="1"/>
  <c r="X293" i="1"/>
  <c r="C298" i="1"/>
  <c r="X300" i="1"/>
  <c r="X311" i="1"/>
  <c r="X326" i="1"/>
  <c r="X330" i="1"/>
  <c r="C341" i="1"/>
  <c r="X344" i="1"/>
  <c r="C348" i="1"/>
  <c r="C349" i="1"/>
  <c r="C370" i="1"/>
  <c r="C18" i="1"/>
  <c r="X54" i="1"/>
  <c r="X11" i="1"/>
  <c r="X14" i="1"/>
  <c r="X16" i="1"/>
  <c r="X20" i="1"/>
  <c r="X23" i="1"/>
  <c r="X29" i="1"/>
  <c r="X32" i="1"/>
  <c r="X38" i="1"/>
  <c r="X41" i="1"/>
  <c r="X5" i="1"/>
  <c r="C17" i="1"/>
  <c r="X47" i="1"/>
  <c r="X53" i="1"/>
  <c r="X25" i="1"/>
  <c r="X28" i="1"/>
  <c r="X34" i="1"/>
  <c r="X37" i="1"/>
  <c r="X43" i="1"/>
  <c r="X46" i="1"/>
  <c r="X7" i="1"/>
  <c r="X18" i="1"/>
  <c r="X49" i="1"/>
  <c r="X52" i="1"/>
  <c r="X9" i="1"/>
  <c r="X12" i="1"/>
  <c r="X24" i="1"/>
  <c r="X27" i="1"/>
  <c r="X30" i="1"/>
  <c r="X33" i="1"/>
  <c r="X36" i="1"/>
  <c r="X39" i="1"/>
  <c r="X42" i="1"/>
  <c r="X45" i="1"/>
  <c r="C52" i="1"/>
  <c r="X87" i="1"/>
  <c r="X102" i="1"/>
  <c r="X118" i="1"/>
  <c r="X283" i="1"/>
  <c r="C117" i="1"/>
  <c r="X117" i="1"/>
  <c r="X130" i="1"/>
  <c r="X134" i="1"/>
  <c r="X138" i="1"/>
  <c r="X142" i="1"/>
  <c r="X148" i="1"/>
  <c r="X189" i="1"/>
  <c r="X275" i="1"/>
  <c r="C364" i="1"/>
  <c r="C8" i="1"/>
  <c r="C9" i="1"/>
  <c r="C25" i="1"/>
  <c r="C34" i="1"/>
  <c r="C43" i="1"/>
  <c r="C59" i="1"/>
  <c r="C63" i="1"/>
  <c r="C93" i="1"/>
  <c r="C116" i="1"/>
  <c r="X116" i="1"/>
  <c r="X127" i="1"/>
  <c r="X137" i="1"/>
  <c r="C139" i="1"/>
  <c r="X147" i="1"/>
  <c r="X188" i="1"/>
  <c r="X204" i="1"/>
  <c r="X225" i="1"/>
  <c r="X248" i="1"/>
  <c r="X252" i="1"/>
  <c r="X256" i="1"/>
  <c r="X262" i="1"/>
  <c r="X364" i="1"/>
  <c r="X56" i="1"/>
  <c r="X70" i="1"/>
  <c r="X71" i="1"/>
  <c r="C79" i="1"/>
  <c r="C80" i="1"/>
  <c r="C81" i="1"/>
  <c r="C111" i="1"/>
  <c r="C112" i="1"/>
  <c r="C113" i="1"/>
  <c r="C114" i="1"/>
  <c r="C115" i="1"/>
  <c r="X115" i="1"/>
  <c r="C125" i="1"/>
  <c r="X129" i="1"/>
  <c r="X133" i="1"/>
  <c r="X141" i="1"/>
  <c r="X146" i="1"/>
  <c r="X154" i="1"/>
  <c r="X187" i="1"/>
  <c r="X198" i="1"/>
  <c r="X219" i="1"/>
  <c r="X259" i="1"/>
  <c r="X274" i="1"/>
  <c r="X360" i="1"/>
  <c r="X190" i="1"/>
  <c r="C15" i="1"/>
  <c r="C31" i="1"/>
  <c r="C32" i="1"/>
  <c r="C41" i="1"/>
  <c r="C51" i="1"/>
  <c r="C61" i="1"/>
  <c r="C78" i="1"/>
  <c r="C91" i="1"/>
  <c r="C105" i="1"/>
  <c r="C106" i="1"/>
  <c r="C107" i="1"/>
  <c r="C108" i="1"/>
  <c r="C109" i="1"/>
  <c r="C110" i="1"/>
  <c r="C120" i="1"/>
  <c r="C121" i="1"/>
  <c r="C122" i="1"/>
  <c r="C123" i="1"/>
  <c r="C124" i="1"/>
  <c r="X136" i="1"/>
  <c r="C145" i="1"/>
  <c r="X145" i="1"/>
  <c r="X186" i="1"/>
  <c r="X192" i="1"/>
  <c r="X200" i="1"/>
  <c r="X203" i="1"/>
  <c r="X206" i="1"/>
  <c r="X224" i="1"/>
  <c r="X238" i="1"/>
  <c r="X247" i="1"/>
  <c r="X251" i="1"/>
  <c r="X255" i="1"/>
  <c r="X261" i="1"/>
  <c r="X278" i="1"/>
  <c r="X296" i="1"/>
  <c r="X302" i="1"/>
  <c r="X363" i="1"/>
  <c r="X501" i="1"/>
  <c r="X140" i="1"/>
  <c r="X152" i="1"/>
  <c r="C161" i="1"/>
  <c r="C162" i="1"/>
  <c r="C163" i="1"/>
  <c r="C164" i="1"/>
  <c r="C165" i="1"/>
  <c r="C166" i="1"/>
  <c r="C167" i="1"/>
  <c r="C168" i="1"/>
  <c r="C169" i="1"/>
  <c r="C170" i="1"/>
  <c r="C171" i="1"/>
  <c r="C172" i="1"/>
  <c r="C173" i="1"/>
  <c r="C174" i="1"/>
  <c r="C175" i="1"/>
  <c r="C176" i="1"/>
  <c r="C177" i="1"/>
  <c r="C178" i="1"/>
  <c r="C179" i="1"/>
  <c r="C180" i="1"/>
  <c r="C181" i="1"/>
  <c r="C182" i="1"/>
  <c r="C183" i="1"/>
  <c r="X196" i="1"/>
  <c r="X202" i="1"/>
  <c r="X221" i="1"/>
  <c r="X240" i="1"/>
  <c r="X277" i="1"/>
  <c r="X353" i="1"/>
  <c r="X359" i="1"/>
  <c r="X379" i="1"/>
  <c r="X128" i="1"/>
  <c r="C128" i="1"/>
  <c r="X135" i="1"/>
  <c r="C136" i="1"/>
  <c r="C141" i="1"/>
  <c r="C158" i="1"/>
  <c r="X195" i="1"/>
  <c r="X197" i="1"/>
  <c r="X201" i="1"/>
  <c r="X209" i="1"/>
  <c r="X223" i="1"/>
  <c r="X236" i="1"/>
  <c r="X250" i="1"/>
  <c r="X254" i="1"/>
  <c r="X258" i="1"/>
  <c r="X276" i="1"/>
  <c r="X304" i="1"/>
  <c r="X319" i="1"/>
  <c r="X119" i="1"/>
  <c r="X131" i="1"/>
  <c r="X139" i="1"/>
  <c r="X144" i="1"/>
  <c r="X150" i="1"/>
  <c r="C157" i="1"/>
  <c r="X205" i="1"/>
  <c r="X210" i="1"/>
  <c r="X233" i="1"/>
  <c r="X270" i="1"/>
  <c r="X305" i="1"/>
  <c r="X309" i="1"/>
  <c r="X315" i="1"/>
  <c r="X372" i="1"/>
  <c r="X500" i="1"/>
  <c r="X507" i="1"/>
  <c r="X153" i="1"/>
  <c r="C207" i="1"/>
  <c r="X207" i="1"/>
  <c r="C217" i="1"/>
  <c r="C232" i="1"/>
  <c r="X232" i="1"/>
  <c r="C236" i="1"/>
  <c r="C244" i="1"/>
  <c r="C247" i="1"/>
  <c r="C248" i="1"/>
  <c r="C249" i="1"/>
  <c r="C250" i="1"/>
  <c r="C251" i="1"/>
  <c r="C252" i="1"/>
  <c r="C253" i="1"/>
  <c r="C254" i="1"/>
  <c r="C255" i="1"/>
  <c r="C256" i="1"/>
  <c r="C257" i="1"/>
  <c r="C258" i="1"/>
  <c r="X269" i="1"/>
  <c r="X287" i="1"/>
  <c r="C292" i="1"/>
  <c r="C300" i="1"/>
  <c r="C304" i="1"/>
  <c r="C314" i="1"/>
  <c r="X314" i="1"/>
  <c r="X322" i="1"/>
  <c r="C340" i="1"/>
  <c r="X340" i="1"/>
  <c r="X347" i="1"/>
  <c r="C351" i="1"/>
  <c r="C359" i="1"/>
  <c r="C360" i="1"/>
  <c r="C361" i="1"/>
  <c r="C362" i="1"/>
  <c r="C371" i="1"/>
  <c r="X371" i="1"/>
  <c r="C376" i="1"/>
  <c r="C383" i="1"/>
  <c r="C387" i="1"/>
  <c r="X398" i="1"/>
  <c r="C405" i="1"/>
  <c r="C416" i="1"/>
  <c r="X434" i="1"/>
  <c r="X440" i="1"/>
  <c r="X454" i="1"/>
  <c r="X489" i="1"/>
  <c r="X499" i="1"/>
  <c r="C514" i="1"/>
  <c r="X522" i="1"/>
  <c r="X531" i="1"/>
  <c r="C231" i="1"/>
  <c r="X231" i="1"/>
  <c r="X243" i="1"/>
  <c r="C287" i="1"/>
  <c r="C299" i="1"/>
  <c r="X299" i="1"/>
  <c r="X308" i="1"/>
  <c r="C313" i="1"/>
  <c r="X313" i="1"/>
  <c r="C322" i="1"/>
  <c r="X343" i="1"/>
  <c r="C347" i="1"/>
  <c r="X370" i="1"/>
  <c r="X378" i="1"/>
  <c r="X382" i="1"/>
  <c r="C398" i="1"/>
  <c r="X401" i="1"/>
  <c r="X413" i="1"/>
  <c r="X418" i="1"/>
  <c r="X447" i="1"/>
  <c r="X457" i="1"/>
  <c r="X465" i="1"/>
  <c r="X498" i="1"/>
  <c r="X534" i="1"/>
  <c r="X159" i="1"/>
  <c r="C230" i="1"/>
  <c r="X230" i="1"/>
  <c r="C243" i="1"/>
  <c r="X267" i="1"/>
  <c r="X281" i="1"/>
  <c r="X286" i="1"/>
  <c r="C308" i="1"/>
  <c r="C321" i="1"/>
  <c r="X321" i="1"/>
  <c r="X369" i="1"/>
  <c r="C375" i="1"/>
  <c r="C381" i="1"/>
  <c r="X381" i="1"/>
  <c r="C386" i="1"/>
  <c r="C390" i="1"/>
  <c r="X393" i="1"/>
  <c r="X397" i="1"/>
  <c r="C418" i="1"/>
  <c r="C419" i="1"/>
  <c r="X436" i="1"/>
  <c r="X442" i="1"/>
  <c r="X463" i="1"/>
  <c r="X472" i="1"/>
  <c r="X480" i="1"/>
  <c r="X482" i="1"/>
  <c r="X485" i="1"/>
  <c r="X492" i="1"/>
  <c r="X513" i="1"/>
  <c r="X518" i="1"/>
  <c r="X525" i="1"/>
  <c r="X533" i="1"/>
  <c r="X539" i="1"/>
  <c r="C543" i="1"/>
  <c r="X551" i="1"/>
  <c r="X557" i="1"/>
  <c r="X563" i="1"/>
  <c r="X158" i="1"/>
  <c r="C229" i="1"/>
  <c r="X229" i="1"/>
  <c r="C242" i="1"/>
  <c r="X242" i="1"/>
  <c r="X246" i="1"/>
  <c r="X266" i="1"/>
  <c r="C272" i="1"/>
  <c r="X272" i="1"/>
  <c r="C280" i="1"/>
  <c r="X280" i="1"/>
  <c r="X285" i="1"/>
  <c r="C307" i="1"/>
  <c r="X307" i="1"/>
  <c r="X342" i="1"/>
  <c r="X346" i="1"/>
  <c r="X355" i="1"/>
  <c r="X358" i="1"/>
  <c r="C368" i="1"/>
  <c r="X368" i="1"/>
  <c r="X374" i="1"/>
  <c r="C380" i="1"/>
  <c r="X380" i="1"/>
  <c r="X385" i="1"/>
  <c r="X389" i="1"/>
  <c r="X400" i="1"/>
  <c r="X404" i="1"/>
  <c r="X408" i="1"/>
  <c r="X412" i="1"/>
  <c r="X421" i="1"/>
  <c r="X422" i="1"/>
  <c r="X426" i="1"/>
  <c r="C436" i="1"/>
  <c r="X446" i="1"/>
  <c r="X456" i="1"/>
  <c r="X461" i="1"/>
  <c r="X478" i="1"/>
  <c r="C504" i="1"/>
  <c r="X521" i="1"/>
  <c r="X528" i="1"/>
  <c r="X536" i="1"/>
  <c r="X542" i="1"/>
  <c r="C129" i="1"/>
  <c r="C130" i="1"/>
  <c r="C131" i="1"/>
  <c r="C132" i="1"/>
  <c r="C133" i="1"/>
  <c r="C134" i="1"/>
  <c r="X157" i="1"/>
  <c r="C191" i="1"/>
  <c r="C192" i="1"/>
  <c r="C193" i="1"/>
  <c r="C194" i="1"/>
  <c r="C195" i="1"/>
  <c r="C199" i="1"/>
  <c r="C204" i="1"/>
  <c r="C208" i="1"/>
  <c r="C213" i="1"/>
  <c r="C228" i="1"/>
  <c r="X228" i="1"/>
  <c r="C241" i="1"/>
  <c r="X241" i="1"/>
  <c r="C261" i="1"/>
  <c r="C262" i="1"/>
  <c r="C263" i="1"/>
  <c r="X265" i="1"/>
  <c r="C279" i="1"/>
  <c r="X279" i="1"/>
  <c r="X284" i="1"/>
  <c r="X289" i="1"/>
  <c r="X298" i="1"/>
  <c r="X349" i="1"/>
  <c r="C355" i="1"/>
  <c r="C367" i="1"/>
  <c r="X367" i="1"/>
  <c r="C374" i="1"/>
  <c r="X377" i="1"/>
  <c r="C379" i="1"/>
  <c r="C385" i="1"/>
  <c r="C389" i="1"/>
  <c r="X392" i="1"/>
  <c r="X396" i="1"/>
  <c r="X417" i="1"/>
  <c r="X420" i="1"/>
  <c r="C425" i="1"/>
  <c r="X425" i="1"/>
  <c r="C430" i="1"/>
  <c r="X430" i="1"/>
  <c r="X491" i="1"/>
  <c r="X506" i="1"/>
  <c r="X512" i="1"/>
  <c r="X156" i="1"/>
  <c r="C227" i="1"/>
  <c r="X227" i="1"/>
  <c r="C237" i="1"/>
  <c r="X237" i="1"/>
  <c r="X245" i="1"/>
  <c r="X264" i="1"/>
  <c r="C284" i="1"/>
  <c r="X297" i="1"/>
  <c r="X301" i="1"/>
  <c r="X320" i="1"/>
  <c r="X345" i="1"/>
  <c r="C354" i="1"/>
  <c r="X354" i="1"/>
  <c r="X357" i="1"/>
  <c r="C366" i="1"/>
  <c r="X366" i="1"/>
  <c r="X373" i="1"/>
  <c r="X384" i="1"/>
  <c r="X388" i="1"/>
  <c r="C401" i="1"/>
  <c r="X403" i="1"/>
  <c r="X407" i="1"/>
  <c r="X411" i="1"/>
  <c r="X416" i="1"/>
  <c r="C424" i="1"/>
  <c r="X424" i="1"/>
  <c r="X429" i="1"/>
  <c r="X435" i="1"/>
  <c r="X438" i="1"/>
  <c r="X441" i="1"/>
  <c r="X445" i="1"/>
  <c r="X459" i="1"/>
  <c r="X473" i="1"/>
  <c r="X481" i="1"/>
  <c r="X494" i="1"/>
  <c r="C503" i="1"/>
  <c r="X509" i="1"/>
  <c r="X524" i="1"/>
  <c r="X541" i="1"/>
  <c r="X547" i="1"/>
  <c r="X550" i="1"/>
  <c r="X556" i="1"/>
  <c r="X559" i="1"/>
  <c r="X503" i="1"/>
  <c r="X504" i="1"/>
  <c r="X514" i="1"/>
  <c r="X515" i="1"/>
  <c r="X516" i="1"/>
  <c r="C417" i="1"/>
  <c r="C427" i="1"/>
  <c r="C431" i="1"/>
  <c r="C342" i="1"/>
  <c r="C343" i="1"/>
  <c r="C344" i="1"/>
  <c r="C345" i="1"/>
  <c r="C346" i="1"/>
  <c r="C356" i="1"/>
  <c r="C377" i="1"/>
  <c r="C391" i="1"/>
  <c r="C392" i="1"/>
  <c r="C393" i="1"/>
  <c r="C394" i="1"/>
  <c r="C395" i="1"/>
  <c r="C396" i="1"/>
  <c r="C408" i="1"/>
  <c r="C409" i="1"/>
  <c r="C410" i="1"/>
  <c r="C411" i="1"/>
  <c r="C412" i="1"/>
  <c r="C428" i="1"/>
  <c r="C429" i="1"/>
  <c r="C43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Phòng Kế Hoạch</author>
    <author>USER</author>
  </authors>
  <commentList>
    <comment ref="E365" authorId="0" shapeId="0" xr:uid="{00000000-0006-0000-0000-000001000000}">
      <text>
        <r>
          <rPr>
            <b/>
            <sz val="8"/>
            <color indexed="81"/>
            <rFont val="Tahoma"/>
            <family val="2"/>
          </rPr>
          <t>Phòng Kế Hoạch:</t>
        </r>
        <r>
          <rPr>
            <sz val="8"/>
            <color indexed="81"/>
            <rFont val="Tahoma"/>
            <family val="2"/>
          </rPr>
          <t xml:space="preserve">
Peđt 30x1270</t>
        </r>
      </text>
    </comment>
    <comment ref="AE365" authorId="0" shapeId="0" xr:uid="{00000000-0006-0000-0000-000002000000}">
      <text>
        <r>
          <rPr>
            <b/>
            <sz val="8"/>
            <color indexed="81"/>
            <rFont val="Tahoma"/>
            <family val="2"/>
          </rPr>
          <t>Phòng Kế Hoạch:</t>
        </r>
        <r>
          <rPr>
            <sz val="8"/>
            <color indexed="81"/>
            <rFont val="Tahoma"/>
            <family val="2"/>
          </rPr>
          <t xml:space="preserve">
PE 20x1270</t>
        </r>
      </text>
    </comment>
    <comment ref="E666" authorId="1" shapeId="0" xr:uid="{00000000-0006-0000-0000-000003000000}">
      <text>
        <r>
          <rPr>
            <b/>
            <sz val="9"/>
            <color indexed="81"/>
            <rFont val="Tahoma"/>
            <family val="2"/>
          </rPr>
          <t>USER:</t>
        </r>
        <r>
          <rPr>
            <sz val="9"/>
            <color indexed="81"/>
            <rFont val="Tahoma"/>
            <family val="2"/>
          </rPr>
          <t xml:space="preserve">
đối với hang không in, khổ màng thay đổi tùy vào đơn hàng tận dung
</t>
        </r>
      </text>
    </comment>
    <comment ref="E687" authorId="1" shapeId="0" xr:uid="{00000000-0006-0000-0000-000004000000}">
      <text>
        <r>
          <rPr>
            <b/>
            <sz val="9"/>
            <color indexed="81"/>
            <rFont val="Tahoma"/>
            <family val="2"/>
          </rPr>
          <t>USER:</t>
        </r>
        <r>
          <rPr>
            <sz val="9"/>
            <color indexed="81"/>
            <rFont val="Tahoma"/>
            <family val="2"/>
          </rPr>
          <t xml:space="preserve">
Thay đổi từ 70x1230 về 55x1230 từ ngày 19/5</t>
        </r>
      </text>
    </comment>
    <comment ref="AL695" authorId="1" shapeId="0" xr:uid="{00000000-0006-0000-0000-000005000000}">
      <text>
        <r>
          <rPr>
            <b/>
            <sz val="9"/>
            <color indexed="81"/>
            <rFont val="Tahoma"/>
            <family val="2"/>
          </rPr>
          <t>USER:</t>
        </r>
        <r>
          <rPr>
            <sz val="9"/>
            <color indexed="81"/>
            <rFont val="Tahoma"/>
            <family val="2"/>
          </rPr>
          <t xml:space="preserve">
Nếu ghép máy có dung môi gr keo 2.3gr</t>
        </r>
      </text>
    </comment>
  </commentList>
</comments>
</file>

<file path=xl/sharedStrings.xml><?xml version="1.0" encoding="utf-8"?>
<sst xmlns="http://schemas.openxmlformats.org/spreadsheetml/2006/main" count="19465" uniqueCount="5480">
  <si>
    <t>Mã SP</t>
  </si>
  <si>
    <t>Tên hàng</t>
  </si>
  <si>
    <t>Thông tin dành cho Tổ In</t>
  </si>
  <si>
    <t>Thông tin tổ ghép</t>
  </si>
  <si>
    <t>1</t>
  </si>
  <si>
    <t>Thông tin Thành phẩm</t>
  </si>
  <si>
    <t>Trục in</t>
  </si>
  <si>
    <t>Thành phẩm</t>
  </si>
  <si>
    <t>kg mực
/1000m2</t>
  </si>
  <si>
    <t>Số
 hình</t>
  </si>
  <si>
    <t>Cấu trúc in</t>
  </si>
  <si>
    <t>Số màu in</t>
  </si>
  <si>
    <t>Loai
muc</t>
  </si>
  <si>
    <t>Đen</t>
  </si>
  <si>
    <t>Trắng</t>
  </si>
  <si>
    <t>Xanh dương</t>
  </si>
  <si>
    <t>Đỏ sen</t>
  </si>
  <si>
    <t>Vàng 200, 202</t>
  </si>
  <si>
    <t>Medium</t>
  </si>
  <si>
    <t>vang260
2007</t>
  </si>
  <si>
    <t>Xanh lá</t>
  </si>
  <si>
    <t>Đỏ cờ</t>
  </si>
  <si>
    <t>Cam</t>
  </si>
  <si>
    <t>Tím</t>
  </si>
  <si>
    <t xml:space="preserve">Nhũ </t>
  </si>
  <si>
    <t>Nâu</t>
  </si>
  <si>
    <t>Kem</t>
  </si>
  <si>
    <t>hồng</t>
  </si>
  <si>
    <t>xanh trắng</t>
  </si>
  <si>
    <t>Ghép 1</t>
  </si>
  <si>
    <t>Ghép 2</t>
  </si>
  <si>
    <t>ty trong
 tinh kg
 cho ghep</t>
  </si>
  <si>
    <t>lớp 1</t>
  </si>
  <si>
    <t>lớp 2</t>
  </si>
  <si>
    <t>Keo lớp 1</t>
  </si>
  <si>
    <t>Keo lớp 2</t>
  </si>
  <si>
    <t>Định lượng keo</t>
  </si>
  <si>
    <t>Q/C TP</t>
  </si>
  <si>
    <t>Kích thước</t>
  </si>
  <si>
    <t>Tên Khách hàng</t>
  </si>
  <si>
    <t>Truc 1</t>
  </si>
  <si>
    <t>Truc 2</t>
  </si>
  <si>
    <t>Truc 3</t>
  </si>
  <si>
    <t>Truc 4</t>
  </si>
  <si>
    <t>Truc 5</t>
  </si>
  <si>
    <t>Truc 6</t>
  </si>
  <si>
    <t>Truc 7</t>
  </si>
  <si>
    <t>Truc 8</t>
  </si>
  <si>
    <t>Truc 9</t>
  </si>
  <si>
    <t>KT truc</t>
  </si>
  <si>
    <t>Vị trí</t>
  </si>
  <si>
    <t>Quy cách đóng gói</t>
  </si>
  <si>
    <t>Loại thùng</t>
  </si>
  <si>
    <t>sp 004</t>
  </si>
  <si>
    <t>Túi bánh trứng lipo 135gr Alpha</t>
  </si>
  <si>
    <t>OPP mờ 20x700</t>
  </si>
  <si>
    <t xml:space="preserve">OPP </t>
  </si>
  <si>
    <t>MPET 12x700</t>
  </si>
  <si>
    <t>PE 30x700</t>
  </si>
  <si>
    <t>0,0023; 9690 (0,0023)</t>
  </si>
  <si>
    <t>túi hàn lưng xếp hông</t>
  </si>
  <si>
    <t>Công ty Quốc tế Alpha</t>
  </si>
  <si>
    <t>Thùng 5 lớp 42x34x36</t>
  </si>
  <si>
    <t>sp 005</t>
  </si>
  <si>
    <t>Túi bánh trứng lipo 100 gr Alpha</t>
  </si>
  <si>
    <t>OPP mờ 20x680</t>
  </si>
  <si>
    <t>MPET 12x680</t>
  </si>
  <si>
    <t>PE 30x680</t>
  </si>
  <si>
    <t>sp 012</t>
  </si>
  <si>
    <t>Túi viên đạm sữa VTV1 1kg Đất Việt</t>
  </si>
  <si>
    <t>OPP 30x620</t>
  </si>
  <si>
    <t>MPET12x620</t>
  </si>
  <si>
    <t>PE 75x 620</t>
  </si>
  <si>
    <t>0.0046 (0.0023; 0.0023)</t>
  </si>
  <si>
    <t>túi ba biên</t>
  </si>
  <si>
    <t>Công ty Đất Việt</t>
  </si>
  <si>
    <t>sp 013</t>
  </si>
  <si>
    <t>Túi viên đạm sữa VTV2 1kg Đất Việt</t>
  </si>
  <si>
    <t>MPET 12x620</t>
  </si>
  <si>
    <t>0,005(0,002;0,003)</t>
  </si>
  <si>
    <t>sp 017</t>
  </si>
  <si>
    <t>Túi bánh trứng lipo tiếng anh 300gr Alpha</t>
  </si>
  <si>
    <t>PET 12x670</t>
  </si>
  <si>
    <t>PE 60x670</t>
  </si>
  <si>
    <t>sp 020</t>
  </si>
  <si>
    <t>Túi chè lọc 1 màu 365 Vĩnh Phúc</t>
  </si>
  <si>
    <t>OPP 20x440</t>
  </si>
  <si>
    <t>CPP 20x440</t>
  </si>
  <si>
    <t>sp 021</t>
  </si>
  <si>
    <t>Túi trà B'lao nền vàng Vĩnh Phúc</t>
  </si>
  <si>
    <t>OPP 20x700</t>
  </si>
  <si>
    <t>MCPP 25x700</t>
  </si>
  <si>
    <t>Công ty TNHH Thế hệ mới Vĩnh Phúc</t>
  </si>
  <si>
    <t>sp 021a</t>
  </si>
  <si>
    <t>Túi trà B'lao nền đỏ Vĩnh Phúc</t>
  </si>
  <si>
    <t>sp 022</t>
  </si>
  <si>
    <t>Túi bột đậu xanh 400gr hương sen Tiên Dung</t>
  </si>
  <si>
    <t>OPP 20x540</t>
  </si>
  <si>
    <t>PE sứ 60x540</t>
  </si>
  <si>
    <t>Công ty TNHH Tiên Dung</t>
  </si>
  <si>
    <t>sp 028</t>
  </si>
  <si>
    <t>Cuộn giống lúa GS 747 1kg Đại Thành</t>
  </si>
  <si>
    <t>OPP 20x460</t>
  </si>
  <si>
    <t>PE 68x460</t>
  </si>
  <si>
    <t>dạng cuộn 500m</t>
  </si>
  <si>
    <t>Công ty Giống Đại Thành</t>
  </si>
  <si>
    <t>1c</t>
  </si>
  <si>
    <t>giấy cartoon</t>
  </si>
  <si>
    <t>sp 029</t>
  </si>
  <si>
    <t>Túi bánh trứng lipo 300gr Alpha</t>
  </si>
  <si>
    <t/>
  </si>
  <si>
    <t>sp 038</t>
  </si>
  <si>
    <t>Túi chè HCK 500gr loại 1</t>
  </si>
  <si>
    <t>PET 12x740</t>
  </si>
  <si>
    <t xml:space="preserve">PET </t>
  </si>
  <si>
    <t>MPET 12x740</t>
  </si>
  <si>
    <t>PE 60x740</t>
  </si>
  <si>
    <t>0,0053(0,0023;0,003)</t>
  </si>
  <si>
    <t>Khách hàng lẻ</t>
  </si>
  <si>
    <t>Thùng 5 lớp 43x35,5x29 Thanh Minh</t>
  </si>
  <si>
    <t>sp 039</t>
  </si>
  <si>
    <t>Túi chè HCK 100 gr loại 1</t>
  </si>
  <si>
    <t>sp 044</t>
  </si>
  <si>
    <t>Túi bánh trứng lipo tiếng trung 200g Alpha</t>
  </si>
  <si>
    <t>OPP mờ 20x460</t>
  </si>
  <si>
    <t>MPET 12x460</t>
  </si>
  <si>
    <t>CPP 30x460</t>
  </si>
  <si>
    <t>0,0023; 0.0023( 9690)</t>
  </si>
  <si>
    <t>túi bốn biên</t>
  </si>
  <si>
    <t>sp 047</t>
  </si>
  <si>
    <t>Túi chè HCK 200gr loại 1</t>
  </si>
  <si>
    <t>PET 12x620</t>
  </si>
  <si>
    <t>PE 60x620</t>
  </si>
  <si>
    <t>sp 050</t>
  </si>
  <si>
    <t>Túi thuốc không in KT65x150x35</t>
  </si>
  <si>
    <t>OPP 20x680</t>
  </si>
  <si>
    <t>MCPP 25x680</t>
  </si>
  <si>
    <t>Công ty CP DL và VTYT Hải Phòng</t>
  </si>
  <si>
    <t>sp 051</t>
  </si>
  <si>
    <t>Cuộn ngũ cốc cao tuổi 25gr Sing Việt</t>
  </si>
  <si>
    <t>OPP 30 x 970</t>
  </si>
  <si>
    <t>MCPP25 x 970</t>
  </si>
  <si>
    <t>dạng cuộn 1000m</t>
  </si>
  <si>
    <t>Công ty CP Sinh Việt</t>
  </si>
  <si>
    <t>2c</t>
  </si>
  <si>
    <t>sp 052</t>
  </si>
  <si>
    <t>Túi ngũ cốc cao tuổi 500gr Sing Việt</t>
  </si>
  <si>
    <t>OPP 20 x 645</t>
  </si>
  <si>
    <t>PE sứ 90x645</t>
  </si>
  <si>
    <t>sp 052A</t>
  </si>
  <si>
    <t>Túi ngũ cốc cao tuổi 500gr Sing Việt ( chương trình khuyến mãi)</t>
  </si>
  <si>
    <t>OPP 30 x 645</t>
  </si>
  <si>
    <t>PE sứ 80x645</t>
  </si>
  <si>
    <t>sp 053</t>
  </si>
  <si>
    <t>Túi ngũ cốc ăn kiêng 500gr Sing Việt</t>
  </si>
  <si>
    <t>OPP 20x645</t>
  </si>
  <si>
    <t>sp 059</t>
  </si>
  <si>
    <t>Túi muối biển xanh 950gr Hanufood</t>
  </si>
  <si>
    <t>OPP 20x800</t>
  </si>
  <si>
    <t>PE 65x800</t>
  </si>
  <si>
    <t>Công ty CP Muối Visaco</t>
  </si>
  <si>
    <t>sp 063</t>
  </si>
  <si>
    <t>Túi muối I ốt Hà nội 450g</t>
  </si>
  <si>
    <t>OPP 20x640</t>
  </si>
  <si>
    <t>PE 65x640</t>
  </si>
  <si>
    <t>sp 065</t>
  </si>
  <si>
    <t>Cuộn bánh potato Libra KT 150 x 95</t>
  </si>
  <si>
    <t>OPP 20 x 920</t>
  </si>
  <si>
    <t>MCPP 23 x 920</t>
  </si>
  <si>
    <t>Công ty Libra</t>
  </si>
  <si>
    <t>4c</t>
  </si>
  <si>
    <t>sp 066</t>
  </si>
  <si>
    <t>Cuộn bánh potato Libra KT 190 x 110</t>
  </si>
  <si>
    <t>OPP 20x780</t>
  </si>
  <si>
    <t>MCPP 25x780</t>
  </si>
  <si>
    <t>3c</t>
  </si>
  <si>
    <t>sp 077</t>
  </si>
  <si>
    <t>Cuộn bánh bao nhân xíu mại bò 300g Phú Mỹ</t>
  </si>
  <si>
    <t>OPP 20x730</t>
  </si>
  <si>
    <t>PE 55x730</t>
  </si>
  <si>
    <t>Công ty Phú Mỹ</t>
  </si>
  <si>
    <t>sp 078</t>
  </si>
  <si>
    <t>Cuộn bánh trứng lipo bơ 230g Alpha</t>
  </si>
  <si>
    <t>OPP 20 x 1000</t>
  </si>
  <si>
    <t>OPP</t>
  </si>
  <si>
    <t>MCPP 25 x 1000</t>
  </si>
  <si>
    <t>Thùng 3 lớp 55x28x16</t>
  </si>
  <si>
    <t>sp 082</t>
  </si>
  <si>
    <t>Túi bánh trứng lipo bơ 230gr Aphal</t>
  </si>
  <si>
    <t xml:space="preserve">OPP mờ 20 x 680 </t>
  </si>
  <si>
    <t>sp 083</t>
  </si>
  <si>
    <t>Cuộn trà cozy hương quế Vĩnh Phúc</t>
  </si>
  <si>
    <t>OPP mờ 20x640</t>
  </si>
  <si>
    <t>MCPP 35x640</t>
  </si>
  <si>
    <t>dạng cuộn 1500m</t>
  </si>
  <si>
    <t>Công ty Vĩnh Phúc</t>
  </si>
  <si>
    <t>sp 087</t>
  </si>
  <si>
    <t>Cuộn bánh bao xíu mại 300g Phú Mỹ</t>
  </si>
  <si>
    <t>sp 088</t>
  </si>
  <si>
    <t>Cuộn bánh bao xíu mại trứng muối 300g Phú Mỹ</t>
  </si>
  <si>
    <t>sp 094</t>
  </si>
  <si>
    <t>Cuộn trà diabetna Nam Dược</t>
  </si>
  <si>
    <t>OPP 30 x 795</t>
  </si>
  <si>
    <t>MCPP 25 x 795</t>
  </si>
  <si>
    <t>Công ty Nam Dược</t>
  </si>
  <si>
    <t>sp 097</t>
  </si>
  <si>
    <t>Túi B- complex K3+C Trường Hằng</t>
  </si>
  <si>
    <t>OPP 20x520</t>
  </si>
  <si>
    <t>CPP 45x520</t>
  </si>
  <si>
    <t>Công ty Trường Hằng</t>
  </si>
  <si>
    <t>sp 105</t>
  </si>
  <si>
    <t>Cuộn bánh bao nhân thập cẩm 100gr Phú Mỹ</t>
  </si>
  <si>
    <t>OPP 20x620</t>
  </si>
  <si>
    <t>PE 55x620</t>
  </si>
  <si>
    <t>Cty Phú Mỹ</t>
  </si>
  <si>
    <t>sp 108</t>
  </si>
  <si>
    <t>Cuộn trà cozy hương nhài Vĩnh Phúc</t>
  </si>
  <si>
    <t>sp 109</t>
  </si>
  <si>
    <t>Cuộn oresol Zin C hải phòng</t>
  </si>
  <si>
    <t>Al 6x620</t>
  </si>
  <si>
    <t>CPP 50x620</t>
  </si>
  <si>
    <t>sp 117</t>
  </si>
  <si>
    <t>Cuộn bánh trứng lipo tiếng anh K170</t>
  </si>
  <si>
    <t>Thùng carton</t>
  </si>
  <si>
    <t>sp 119</t>
  </si>
  <si>
    <t>Túi cơm cháy nếp cái hoa vàng 200g</t>
  </si>
  <si>
    <t>CPP 35x440</t>
  </si>
  <si>
    <t>túi hàn lưng, xếp hông lệch</t>
  </si>
  <si>
    <t>Công ty CP Thực Phẩm Hoa Lư</t>
  </si>
  <si>
    <t>sp 119a</t>
  </si>
  <si>
    <t>Túi cơm cháy nếp cái hoa vàng tràng an 200gr Hoa lư</t>
  </si>
  <si>
    <t>sp 144</t>
  </si>
  <si>
    <t>Túi quế 600gr Quế Lâm</t>
  </si>
  <si>
    <t>PE 80x640</t>
  </si>
  <si>
    <t>Công ty TNHH Quế Lâm</t>
  </si>
  <si>
    <t>Bao dứa</t>
  </si>
  <si>
    <t>sp 148</t>
  </si>
  <si>
    <t>Túi muối iot Hà nội 200gr</t>
  </si>
  <si>
    <t>OPP 20x470</t>
  </si>
  <si>
    <t>PE 65x470</t>
  </si>
  <si>
    <t>Công ty Hanufood</t>
  </si>
  <si>
    <t>sp 160</t>
  </si>
  <si>
    <t>Túi muối siêu sạch 5 màu Ngọc Châu</t>
  </si>
  <si>
    <t>PE 40x540</t>
  </si>
  <si>
    <t>Công ty Ngọc Châu</t>
  </si>
  <si>
    <t>sp 163</t>
  </si>
  <si>
    <t>Túi umgavit 10gr trường hằng</t>
  </si>
  <si>
    <t>OPP 20x500</t>
  </si>
  <si>
    <t>MPET 12x500</t>
  </si>
  <si>
    <t>PE 60x505</t>
  </si>
  <si>
    <t>Công ty TNHH Trường Hằng</t>
  </si>
  <si>
    <t>bao dứa</t>
  </si>
  <si>
    <t>sp 164</t>
  </si>
  <si>
    <t>Túi ngừa giun sán 2g Trường Hằng</t>
  </si>
  <si>
    <t>CPP 25x620</t>
  </si>
  <si>
    <t>sp 166</t>
  </si>
  <si>
    <t>Cuộn bột canh visip 250g Ngọc Châu</t>
  </si>
  <si>
    <t>OPP 20x560</t>
  </si>
  <si>
    <t>PE 40x560</t>
  </si>
  <si>
    <t>sp 170</t>
  </si>
  <si>
    <t>Túi thuốc cầu trùng nutrichick 10g Trường Hằng</t>
  </si>
  <si>
    <t>PE 65x500</t>
  </si>
  <si>
    <t>sp 175</t>
  </si>
  <si>
    <t>Túi bánh cripst Q2 Diamond food</t>
  </si>
  <si>
    <t>CPP 45x440</t>
  </si>
  <si>
    <t>túi hàn lưng lệch, xếp hông, biên</t>
  </si>
  <si>
    <t>Công ty Diamond food</t>
  </si>
  <si>
    <t>sp 182</t>
  </si>
  <si>
    <t>Túi bánh gấc Q5 Diamondfood</t>
  </si>
  <si>
    <t>OPP 20x720</t>
  </si>
  <si>
    <t>CPP 45x720</t>
  </si>
  <si>
    <t>sp 197</t>
  </si>
  <si>
    <t>Túi cơm cháy tám thơm 200g Hoa Lư</t>
  </si>
  <si>
    <t>sp 197A</t>
  </si>
  <si>
    <t>Túi cơm cháy nếp nhung 200g Hoa Lư</t>
  </si>
  <si>
    <t>sp 199a</t>
  </si>
  <si>
    <t>Túi bánh lipo sầu riêng 210g Alpha KT 330x280</t>
  </si>
  <si>
    <t>sp 202</t>
  </si>
  <si>
    <t>Túi bánh đậu xanh 350gr Tiên Dung</t>
  </si>
  <si>
    <t>CPP 25x680</t>
  </si>
  <si>
    <t>sp 204</t>
  </si>
  <si>
    <t>Túi bánh trứng lipo 135gr chau phi Alpha</t>
  </si>
  <si>
    <t>OPP 20 x 660</t>
  </si>
  <si>
    <t>PE 55 x 660</t>
  </si>
  <si>
    <t>sp 205</t>
  </si>
  <si>
    <t>Túi bánh khoai tây Q2 Diamond food</t>
  </si>
  <si>
    <t>PET 12x470</t>
  </si>
  <si>
    <t>PE 55x470</t>
  </si>
  <si>
    <t>sp 212</t>
  </si>
  <si>
    <t>Cuộn bột canh đặc biệt Ngọc Châu</t>
  </si>
  <si>
    <t>PE 30x500</t>
  </si>
  <si>
    <t>sp 225</t>
  </si>
  <si>
    <t>Cuộn bánh gấc zenla Minh Phát</t>
  </si>
  <si>
    <t>OPP mờ 20 x 620</t>
  </si>
  <si>
    <t>MCPP 25 x 620</t>
  </si>
  <si>
    <t>Công ty Minh Phát</t>
  </si>
  <si>
    <t>4c/cây</t>
  </si>
  <si>
    <t>sp 233</t>
  </si>
  <si>
    <t>Cuộn bánh đồng tiền Minh Phát</t>
  </si>
  <si>
    <t>OPP 20x820</t>
  </si>
  <si>
    <t>CPP 25x820</t>
  </si>
  <si>
    <t>sp 267</t>
  </si>
  <si>
    <t>Cuộn màng bột canh I ốt 7 màu Ngọc Châu</t>
  </si>
  <si>
    <t>PE 40x680</t>
  </si>
  <si>
    <t>sp 268</t>
  </si>
  <si>
    <t>Cuộn bột canh gà 6 màu Ngọc Châu</t>
  </si>
  <si>
    <t>PE 40x500</t>
  </si>
  <si>
    <t>sp 270</t>
  </si>
  <si>
    <t>Cuộn màng bánh đậu xanh 200g Tiên Dung</t>
  </si>
  <si>
    <t>CPP 20 x 800</t>
  </si>
  <si>
    <t>Công ty Tiên Dung</t>
  </si>
  <si>
    <t>sp 282</t>
  </si>
  <si>
    <t>Cuộn trà cozy hương táo Vĩnh Phúc</t>
  </si>
  <si>
    <t>sp 289</t>
  </si>
  <si>
    <t>Túi chè 10gr loại 2</t>
  </si>
  <si>
    <t>PET 12x820</t>
  </si>
  <si>
    <t xml:space="preserve"> MPET 12x820</t>
  </si>
  <si>
    <t>PE 45x820</t>
  </si>
  <si>
    <t>sp 290</t>
  </si>
  <si>
    <t>Túi chè 100g loại 1</t>
  </si>
  <si>
    <t xml:space="preserve"> MPET 12x740</t>
  </si>
  <si>
    <t>PE 75x740</t>
  </si>
  <si>
    <t>sp 291</t>
  </si>
  <si>
    <t>Túi chè 200g loại 1</t>
  </si>
  <si>
    <t>PE 75x620</t>
  </si>
  <si>
    <t>sp 292</t>
  </si>
  <si>
    <t>Túi chè 500gr loại 1</t>
  </si>
  <si>
    <t>sp 301</t>
  </si>
  <si>
    <t>Cuộn bánh bao nhân thập cẩm 300g Phú Mỹ</t>
  </si>
  <si>
    <t>sp 302</t>
  </si>
  <si>
    <t xml:space="preserve">Túi trà xanh đặc sản thái nguyên 10gr loại1 </t>
  </si>
  <si>
    <t>PET 12x700</t>
  </si>
  <si>
    <t>Bùi Văn Sỹ</t>
  </si>
  <si>
    <t>sp 305</t>
  </si>
  <si>
    <t>Cuộn bánh bao chay trắng 300g Phú Mỹ</t>
  </si>
  <si>
    <t>PE 70x730</t>
  </si>
  <si>
    <t>sp 306</t>
  </si>
  <si>
    <t>Cuộn màng bánh trứng lipo 129g Alpha</t>
  </si>
  <si>
    <t>OPP 20x870</t>
  </si>
  <si>
    <t>MCPP 25x870</t>
  </si>
  <si>
    <t>2 cuộn</t>
  </si>
  <si>
    <t>Thùng 3 lớp 55x28x18</t>
  </si>
  <si>
    <t>sp 313</t>
  </si>
  <si>
    <t>Túi thuốc trừ sâu sieubem 777WP - 15gr Hòa Bình</t>
  </si>
  <si>
    <t>PET 12x796</t>
  </si>
  <si>
    <t>MPET 12x796</t>
  </si>
  <si>
    <t>PE 75x796</t>
  </si>
  <si>
    <t>0.006 (0.003; 0.003)</t>
  </si>
  <si>
    <t>Công ty Quốc tế Hòa Bình</t>
  </si>
  <si>
    <t>sp 315</t>
  </si>
  <si>
    <t>Cuộn thuốc trừ sâu SADAMIR 200WP 8GR Hòa Bình</t>
  </si>
  <si>
    <t>PET 12x800</t>
  </si>
  <si>
    <t>MPET 12x800</t>
  </si>
  <si>
    <t>PE 75x800</t>
  </si>
  <si>
    <t>0,0046(0,0023;0,0023)</t>
  </si>
  <si>
    <t>sp 316</t>
  </si>
  <si>
    <t>Túi thuốc trừ sâu SADAMIR 200WP 100GR Hòa Bình</t>
  </si>
  <si>
    <t>sp 317</t>
  </si>
  <si>
    <t>Túi phân bón cao cấp siêu kaly 25gr Đa Quốc Gia</t>
  </si>
  <si>
    <t>PET 12 x 740</t>
  </si>
  <si>
    <t>Công ty Đa Quốc Gia</t>
  </si>
  <si>
    <t>sp 319</t>
  </si>
  <si>
    <t>Cuộn trà cozy hương đào Vĩnh Phúc</t>
  </si>
  <si>
    <t>sp 320</t>
  </si>
  <si>
    <t>Túi bánh bột đậu xanh có sữa 500gr KT 210x260 Tiên Dung</t>
  </si>
  <si>
    <t>sp 321</t>
  </si>
  <si>
    <t>Túi trà đặc sản tân cương thái nguyên 100g loại 3</t>
  </si>
  <si>
    <t>PE 75 x 740</t>
  </si>
  <si>
    <t>sp 322</t>
  </si>
  <si>
    <t>Túi trà đặc sản thái nguyên 100g loại 3</t>
  </si>
  <si>
    <t>sp 323</t>
  </si>
  <si>
    <t>Túi trà đặc sản tân cương thái nguyên 200g loại 3</t>
  </si>
  <si>
    <t>PET 12 x 920</t>
  </si>
  <si>
    <t>MPET 12x920</t>
  </si>
  <si>
    <t>PE 75x920</t>
  </si>
  <si>
    <t>sp 324</t>
  </si>
  <si>
    <t>Túi trà đặc sản thái nguyên 200g loại 3</t>
  </si>
  <si>
    <t>sp 325</t>
  </si>
  <si>
    <t>Túi trà đặc sản tân cương thái nguyên 500g loại 3</t>
  </si>
  <si>
    <t>sp 326</t>
  </si>
  <si>
    <t>Túi trà đặc sản thái nguyên 500g loại 3</t>
  </si>
  <si>
    <t>sp 336</t>
  </si>
  <si>
    <t>Túi muối sạch thượng hạng 200gr Hannufood</t>
  </si>
  <si>
    <t>sp 337</t>
  </si>
  <si>
    <t xml:space="preserve">Túi lúa lai nhị ưu 838 1kg Mahyco </t>
  </si>
  <si>
    <t>PE 90x440</t>
  </si>
  <si>
    <t>túi hàn lưng</t>
  </si>
  <si>
    <t>Công ty Mahyco</t>
  </si>
  <si>
    <t>sp 338</t>
  </si>
  <si>
    <t>Cuộn màng không in Phú Mỹ</t>
  </si>
  <si>
    <t>CPP 20 x 660</t>
  </si>
  <si>
    <t>sp 341</t>
  </si>
  <si>
    <t>Cuộn thuốc trừ sâu VOIDUC 42EC Sutraco</t>
  </si>
  <si>
    <t>PET 12x660</t>
  </si>
  <si>
    <t>MPET 12x660</t>
  </si>
  <si>
    <t>PE65x660</t>
  </si>
  <si>
    <t>Công ty TNHH Sutraco</t>
  </si>
  <si>
    <t>sp 342</t>
  </si>
  <si>
    <t>Túi hương thơm thảo mộc Liên Đức  KT 480 x 490</t>
  </si>
  <si>
    <t>OPP 20 x 500</t>
  </si>
  <si>
    <t>CPP 30 x 500</t>
  </si>
  <si>
    <t>Doanh nghiệp tư nhân Bảy Lương</t>
  </si>
  <si>
    <t>bao dứa (đóng bằng 2 bao dứa lồng nhau)</t>
  </si>
  <si>
    <t>sp 343</t>
  </si>
  <si>
    <t>Túi hương trầm hảo hạng Liên Đức KT 160 x 460</t>
  </si>
  <si>
    <t>PE 25 x 660</t>
  </si>
  <si>
    <t>sp 344</t>
  </si>
  <si>
    <t>Túi muối biển xanh 700gr hanufood KT 340x240</t>
  </si>
  <si>
    <t>PE 65x700</t>
  </si>
  <si>
    <t>sp 345</t>
  </si>
  <si>
    <t>Cuộn thuốc trừ ốc khủng x 20 loai 20gr Đa Quốc Gia</t>
  </si>
  <si>
    <t>PET 12 x 680</t>
  </si>
  <si>
    <t>PE 75x680</t>
  </si>
  <si>
    <t>sp 346</t>
  </si>
  <si>
    <t>Cuộn thuốc trừ ốc 99.99 loai 12gr Đa Quốc Gia</t>
  </si>
  <si>
    <t>PET 12 x 620</t>
  </si>
  <si>
    <t>sp 347</t>
  </si>
  <si>
    <t>Túi thuốc vietvet 100gr Đất Việt</t>
  </si>
  <si>
    <t>OPP 20 x 700</t>
  </si>
  <si>
    <t>Al 6x700</t>
  </si>
  <si>
    <t>PE 70x710</t>
  </si>
  <si>
    <t>sp 348</t>
  </si>
  <si>
    <t>Cuộn thức ăn cosvit 10g Đất Việt</t>
  </si>
  <si>
    <t>sp 351</t>
  </si>
  <si>
    <t>Túi thuốc menbio vietvet 500g Đất Việt</t>
  </si>
  <si>
    <t>MPET 12x780</t>
  </si>
  <si>
    <t>PE 65x780</t>
  </si>
  <si>
    <t>sp 351A</t>
  </si>
  <si>
    <t>PET 12x780</t>
  </si>
  <si>
    <t>PE 70x780</t>
  </si>
  <si>
    <t>0,0046(0,0023;0,0025)</t>
  </si>
  <si>
    <t>sp 352</t>
  </si>
  <si>
    <t>Cuộn thuốc trừ sâu bafurit 5gr Đa Quốc Gia</t>
  </si>
  <si>
    <t>sp 353</t>
  </si>
  <si>
    <t>Túi muối biển xanh 500gr hanufood KT 310 x 215</t>
  </si>
  <si>
    <t>sp 359</t>
  </si>
  <si>
    <t>Cuộn thuốc trừ sâu Danobull 50WG - 10gr viet duc</t>
  </si>
  <si>
    <t>PET 12x680</t>
  </si>
  <si>
    <t>PE 70x685</t>
  </si>
  <si>
    <t>Công ty Việt Đức</t>
  </si>
  <si>
    <t>sp 360</t>
  </si>
  <si>
    <t>Cuộn bánh bao sữa dừa 200gr phú mỹ</t>
  </si>
  <si>
    <t>sp 361</t>
  </si>
  <si>
    <t>Cuộn bánh bao xá xíu 300gr phú mỹ</t>
  </si>
  <si>
    <t>sp 362</t>
  </si>
  <si>
    <t>Cuộn bánh bao chay khoai môn 200gr phú mỹ</t>
  </si>
  <si>
    <t>sp 363</t>
  </si>
  <si>
    <t>Cuộn bánh bao chay chiên 180gr phú mỹ</t>
  </si>
  <si>
    <t>sp 366</t>
  </si>
  <si>
    <t>Cuộn thuốc trừ sâu Danobull 50WG - 13gr viet duc</t>
  </si>
  <si>
    <t>PET 12x638</t>
  </si>
  <si>
    <t>MPET 12x638</t>
  </si>
  <si>
    <t>PE 70x638</t>
  </si>
  <si>
    <t>sp 367</t>
  </si>
  <si>
    <t>Cuộn thuốc diệt chuột rat - kill 2% DP 10gr agricare</t>
  </si>
  <si>
    <t>PET 12x770</t>
  </si>
  <si>
    <t>MPET 12x770</t>
  </si>
  <si>
    <t>PE 75x770</t>
  </si>
  <si>
    <t>Công ty TNHH AgricareViệt Nam</t>
  </si>
  <si>
    <t>sp 372</t>
  </si>
  <si>
    <t>Túi thuốc trừ cỏ mía amet super 80WP -50gr hòa bình</t>
  </si>
  <si>
    <t>Công ty CP Quốc Tế Hòa Bình</t>
  </si>
  <si>
    <t>sp 383</t>
  </si>
  <si>
    <t>Túi thuốc trừ sâu Goldan 750WP loại 20gr USA</t>
  </si>
  <si>
    <t>Công ty công nghệ cao USA</t>
  </si>
  <si>
    <t>sp 384</t>
  </si>
  <si>
    <t>Túi bánh trứng lipo M100gr alpha</t>
  </si>
  <si>
    <t>CPP 30x680</t>
  </si>
  <si>
    <t>sp 389</t>
  </si>
  <si>
    <t>Túi thạch đông 50gr hải long</t>
  </si>
  <si>
    <t>OPP 30x580</t>
  </si>
  <si>
    <t>BOPP</t>
  </si>
  <si>
    <t>CPP 25x580</t>
  </si>
  <si>
    <t>Công ty Hải Long</t>
  </si>
  <si>
    <t>sp 390</t>
  </si>
  <si>
    <t>Túi chè đặc sản 100gr loại 4</t>
  </si>
  <si>
    <t>sp 390a</t>
  </si>
  <si>
    <t>Túi chè tân cương 100gr loại 4</t>
  </si>
  <si>
    <t>sp 391</t>
  </si>
  <si>
    <t>Túi chè đăc sản 200gr loại 4</t>
  </si>
  <si>
    <t>sp 391a</t>
  </si>
  <si>
    <t>Túi chè tân cương 200gr loại 4</t>
  </si>
  <si>
    <t>sp 392</t>
  </si>
  <si>
    <t>Túi chè đăc sản 500gr loại 4</t>
  </si>
  <si>
    <t>PET 12x760</t>
  </si>
  <si>
    <t>MPET 12x760</t>
  </si>
  <si>
    <t>PE 80x760</t>
  </si>
  <si>
    <t>sp 392a</t>
  </si>
  <si>
    <t>Túi chè tân cương 500gr loại 4</t>
  </si>
  <si>
    <t>sp 401</t>
  </si>
  <si>
    <t>Túi thuốc trừ sâu Sectox 100WP - 25gr hòa bình</t>
  </si>
  <si>
    <t>sp 403</t>
  </si>
  <si>
    <t>Túi muối thượng hạng 200gr hanufood</t>
  </si>
  <si>
    <t>sp 404</t>
  </si>
  <si>
    <t>Cuộn bánh bao liên tục Phú mỹ</t>
  </si>
  <si>
    <t>OPP 20x660</t>
  </si>
  <si>
    <t>CPP 20x660</t>
  </si>
  <si>
    <t>sp 416</t>
  </si>
  <si>
    <t>Cuộn trà cozy ice tea hương đào vĩnh phúc</t>
  </si>
  <si>
    <t>Al 6x800</t>
  </si>
  <si>
    <t>PE 60x810</t>
  </si>
  <si>
    <t>0,0055(0,0025;0,003)</t>
  </si>
  <si>
    <t>sp 417</t>
  </si>
  <si>
    <t>Cuộn  trà cozy ice tea hương chanh vĩnh phúc</t>
  </si>
  <si>
    <t>sp 419</t>
  </si>
  <si>
    <t>Túi agar thượng hạng 25gr hải long</t>
  </si>
  <si>
    <t>OPP 20x760</t>
  </si>
  <si>
    <t>PET/MPET 12x380</t>
  </si>
  <si>
    <t>PE 45x760</t>
  </si>
  <si>
    <t xml:space="preserve">túi ba biên </t>
  </si>
  <si>
    <t>sp 420</t>
  </si>
  <si>
    <t>Túi agar thượng hạng 50gr hải long</t>
  </si>
  <si>
    <t>PET/MPET 12x330</t>
  </si>
  <si>
    <t xml:space="preserve">PE 45x660 </t>
  </si>
  <si>
    <t>sp 421</t>
  </si>
  <si>
    <t>Cuộn bánh korky chocolate diamond food</t>
  </si>
  <si>
    <t>MCPP 25x720</t>
  </si>
  <si>
    <t>5c</t>
  </si>
  <si>
    <t>sp 424</t>
  </si>
  <si>
    <t>Túi thuốc trừ bệnh Jzomil 720WP loại 1kg USA</t>
  </si>
  <si>
    <t>PE 100x760</t>
  </si>
  <si>
    <t>811A</t>
  </si>
  <si>
    <t>0.0023 (9530); 0.035 (811A)</t>
  </si>
  <si>
    <t>sp 425</t>
  </si>
  <si>
    <t>Túi  ngô VS 36 1kg Thái Bình</t>
  </si>
  <si>
    <t>MPET 12x820</t>
  </si>
  <si>
    <t>PE 85x820</t>
  </si>
  <si>
    <t>Công ty Thái Bình</t>
  </si>
  <si>
    <t>sp 426</t>
  </si>
  <si>
    <t>Túi ngô VS 36 20kg Thái Bình</t>
  </si>
  <si>
    <t>PET</t>
  </si>
  <si>
    <t>sp 436</t>
  </si>
  <si>
    <t>Túi chè HCK 50gr loại 1</t>
  </si>
  <si>
    <t>sp 437</t>
  </si>
  <si>
    <t>Cuộn màng Stargold 5SL loại 20ml Việt Đức</t>
  </si>
  <si>
    <t>PEDB005 70x740</t>
  </si>
  <si>
    <t>0.0023 (9530); 0.004 (811A)</t>
  </si>
  <si>
    <t>sp 451</t>
  </si>
  <si>
    <t>Túi keo socola 400gr việt nga</t>
  </si>
  <si>
    <t>PET 12x570</t>
  </si>
  <si>
    <t>MPET 12x570</t>
  </si>
  <si>
    <t>PE 85x570</t>
  </si>
  <si>
    <t>túi đáy đứng</t>
  </si>
  <si>
    <t>Công ty Việt Nga</t>
  </si>
  <si>
    <t>Thùng 5 lớp 42x34x36, bọc nilong</t>
  </si>
  <si>
    <t>sp 452</t>
  </si>
  <si>
    <t>Túi thuốc trừ bệnh Trizim 868WP loại 13.5gr hà thái</t>
  </si>
  <si>
    <t>PET 12x710</t>
  </si>
  <si>
    <t>MPET 12x710</t>
  </si>
  <si>
    <t>PE 75x710</t>
  </si>
  <si>
    <t>Công ty Hà Thái</t>
  </si>
  <si>
    <t>sp 453</t>
  </si>
  <si>
    <t>Cuộn màng thuốc trừ sâu Sirafb 100 WP loại 7.5gr american</t>
  </si>
  <si>
    <t>Công ty American</t>
  </si>
  <si>
    <t>sp 456</t>
  </si>
  <si>
    <t>Túi chè 500gr một màu vàng loại 5</t>
  </si>
  <si>
    <t>sp 463</t>
  </si>
  <si>
    <t>Túi miến đao đặc sản 500gr thanh sơn</t>
  </si>
  <si>
    <t>PA 15x540</t>
  </si>
  <si>
    <t xml:space="preserve">PA </t>
  </si>
  <si>
    <t>PE 80x540</t>
  </si>
  <si>
    <t>Công ty Thanh Sơn</t>
  </si>
  <si>
    <t>bao dứa bọc nilong</t>
  </si>
  <si>
    <t>sp 469</t>
  </si>
  <si>
    <t>Túi một màu KT 290x595x70 vĩnh phúc</t>
  </si>
  <si>
    <t>PE 65x760</t>
  </si>
  <si>
    <t>sp 475</t>
  </si>
  <si>
    <t>Túi bánh trứng lipo 200gr BC tiếng trung alpha</t>
  </si>
  <si>
    <t>PET 12x550</t>
  </si>
  <si>
    <t>PE 60x550</t>
  </si>
  <si>
    <t>sp 476</t>
  </si>
  <si>
    <t>Túi thuốc trừ sâu Bemgold 750 WP loại 18gr USA</t>
  </si>
  <si>
    <t>PE 75x700</t>
  </si>
  <si>
    <t>sp 477</t>
  </si>
  <si>
    <t>Túi thuốc T.T.S 50gr vietvet</t>
  </si>
  <si>
    <t xml:space="preserve">AL 6x680 </t>
  </si>
  <si>
    <t>PE 75x690</t>
  </si>
  <si>
    <t>sp 478</t>
  </si>
  <si>
    <t>Túi thuốc Bcomplex Super 100gr vietvet</t>
  </si>
  <si>
    <t>Al 6x720</t>
  </si>
  <si>
    <t>PE 75x730</t>
  </si>
  <si>
    <t>sp 479</t>
  </si>
  <si>
    <t>Cuộn màng T.Cocid 10gr vietvet</t>
  </si>
  <si>
    <t>AL 6x700</t>
  </si>
  <si>
    <t xml:space="preserve">PE 75x710 </t>
  </si>
  <si>
    <t>giấy cartoon, bọc nilong</t>
  </si>
  <si>
    <t>sp 486</t>
  </si>
  <si>
    <t>Cuộn bánh bao phumy bakery phú mỹ</t>
  </si>
  <si>
    <t>OPP mờ 20x600</t>
  </si>
  <si>
    <t>CPP 20x600</t>
  </si>
  <si>
    <t>sp 504</t>
  </si>
  <si>
    <t>Túi thuốc trừ sâu Jzomil 720WP loại 100g USD</t>
  </si>
  <si>
    <t>PET 12x640</t>
  </si>
  <si>
    <t xml:space="preserve"> MPET 12x640</t>
  </si>
  <si>
    <t>PE 75x640</t>
  </si>
  <si>
    <t>sp 505</t>
  </si>
  <si>
    <t>Cuộn thuốc trừ sâu Actamec 36EC loại 9ml USA</t>
  </si>
  <si>
    <t>PET 12x730</t>
  </si>
  <si>
    <t>MPET 12x730</t>
  </si>
  <si>
    <t>PEDB012 70x730</t>
  </si>
  <si>
    <t>sp 509</t>
  </si>
  <si>
    <t>Túi chè tân cương Phúc Linh 100gr</t>
  </si>
  <si>
    <t xml:space="preserve">CPP/PE 40x540
</t>
  </si>
  <si>
    <t>Công ty Phúc Linh</t>
  </si>
  <si>
    <t>sp 521</t>
  </si>
  <si>
    <t>Túi hương thơm KT 240 x 490 liên đức</t>
  </si>
  <si>
    <t>sp 537</t>
  </si>
  <si>
    <t>Cuộn thức trừ sâu Stargold 5SL loại 20ml việt đức mới ( không có hình ảnh bác sỹ)</t>
  </si>
  <si>
    <t>sp 550</t>
  </si>
  <si>
    <t>Cuộn thuốc diệt cỏ rorax 10 WP loai 5gr Việt Thắng</t>
  </si>
  <si>
    <t>PE 80x810</t>
  </si>
  <si>
    <t>dạng cuộn 700m</t>
  </si>
  <si>
    <t>Công ty Việt Thắng</t>
  </si>
  <si>
    <t>sp 552</t>
  </si>
  <si>
    <t>Túi thuốc trừ cỏ mía Wamrincomnbi 800WP loại 1kg</t>
  </si>
  <si>
    <t>Al 6x760</t>
  </si>
  <si>
    <t>PE 80x770</t>
  </si>
  <si>
    <t>0.006(0.0025;0.0035)</t>
  </si>
  <si>
    <t>sp 553</t>
  </si>
  <si>
    <t>Túi thuốc trừ cỏ mía Wamrincomnbi 800WP loại 500gr</t>
  </si>
  <si>
    <t>PE 95x770</t>
  </si>
  <si>
    <t>sp 554</t>
  </si>
  <si>
    <t>Cuộn thuốc trừ sâu cao cấp Reagt 800WP loại 0,8g</t>
  </si>
  <si>
    <t>PET 12x690</t>
  </si>
  <si>
    <t>Al 6x690</t>
  </si>
  <si>
    <t>PE 95x700</t>
  </si>
  <si>
    <t>sp 557</t>
  </si>
  <si>
    <t>Cuộn  thuốc trừ sâu Tasieu 5WG loại 5g Việt thắng</t>
  </si>
  <si>
    <t>Al 6x740</t>
  </si>
  <si>
    <t>PE 90x750</t>
  </si>
  <si>
    <t>sp 558</t>
  </si>
  <si>
    <t>Cuộn thuốc trừ sâu cao cấp Reagt 800WP loại 1gr</t>
  </si>
  <si>
    <t>sp 559</t>
  </si>
  <si>
    <t>Cuộn thuốc trừ sâu cao cấp Reagt 800WP loại 1,6g</t>
  </si>
  <si>
    <t>sp 560</t>
  </si>
  <si>
    <t>túi chè tân cương một màu đen 100gr</t>
  </si>
  <si>
    <t>PET12x740</t>
  </si>
  <si>
    <t>sp 561</t>
  </si>
  <si>
    <t>Túi thuốc trừ sâu shepatoc 250WP loại 18g USA</t>
  </si>
  <si>
    <t>sp 566</t>
  </si>
  <si>
    <t>Túi chè lụa màu vàng tân cương và đặc sản 100g loại 5</t>
  </si>
  <si>
    <t>OPP mờ 20x740</t>
  </si>
  <si>
    <t>PE 70x740</t>
  </si>
  <si>
    <t>sp 567</t>
  </si>
  <si>
    <t>Túi chè lụa màu vàng tân cương và đặc sản 200g loại 5</t>
  </si>
  <si>
    <t>OPP mờ 20x920</t>
  </si>
  <si>
    <t>PE 70x920</t>
  </si>
  <si>
    <t>sp 568</t>
  </si>
  <si>
    <t>Túi chè lụa màu vàng tân cương và đặc  sản 500g</t>
  </si>
  <si>
    <t>OPP mờ 20x760</t>
  </si>
  <si>
    <t>PE 70x760</t>
  </si>
  <si>
    <t>sp 569</t>
  </si>
  <si>
    <t>Túi trà tan không in HCK 500g Vĩnh Phúc</t>
  </si>
  <si>
    <t>sp 570</t>
  </si>
  <si>
    <t>Cuộn ngô DT 6869 1kg Đại Thành</t>
  </si>
  <si>
    <t>PA 15x820</t>
  </si>
  <si>
    <t>PE sứ 95x820</t>
  </si>
  <si>
    <t>Công ty Đại Thành</t>
  </si>
  <si>
    <t>sp 573</t>
  </si>
  <si>
    <t>Túi chè màu xanh 100g loại 1</t>
  </si>
  <si>
    <t>sp 574</t>
  </si>
  <si>
    <t>Túi chè màu đỏ 100g loại 1</t>
  </si>
  <si>
    <t>sp 575</t>
  </si>
  <si>
    <t>Túi chè màu tím 100g loại 1</t>
  </si>
  <si>
    <t>sp 576</t>
  </si>
  <si>
    <t>Túi chè không in 100g loại 1</t>
  </si>
  <si>
    <t>sp 577</t>
  </si>
  <si>
    <t>Túi chè màu xanh 200g loại 1</t>
  </si>
  <si>
    <t>sp 578</t>
  </si>
  <si>
    <t>Túi chè màu đỏ 200g loại 1</t>
  </si>
  <si>
    <t>sp 579</t>
  </si>
  <si>
    <t>Túi chè màu tím 200g loại 1</t>
  </si>
  <si>
    <t>sp 580</t>
  </si>
  <si>
    <t>Túi chè không in 200g loại 1</t>
  </si>
  <si>
    <t>sp 581</t>
  </si>
  <si>
    <t>Túi chè màu xanh 500g loại 1</t>
  </si>
  <si>
    <t>sp 582</t>
  </si>
  <si>
    <t>Túi chè màu đỏ 500g loại 1</t>
  </si>
  <si>
    <t>sp 583</t>
  </si>
  <si>
    <t>Túi chè màu tím 500g loại 1</t>
  </si>
  <si>
    <t>sp 584</t>
  </si>
  <si>
    <t>Túi chè không in 500g loại 1</t>
  </si>
  <si>
    <t>sp 585</t>
  </si>
  <si>
    <t>Túi chè tân cương màu xanh in đen 100g loại 2</t>
  </si>
  <si>
    <t>sp 586</t>
  </si>
  <si>
    <t>Túi chè tân cương màu đỏ in trắng 100g loại 2</t>
  </si>
  <si>
    <t>sp 587</t>
  </si>
  <si>
    <t>Túi chè tân cương màu tím in trắng 100g loại 2</t>
  </si>
  <si>
    <t>sp 588</t>
  </si>
  <si>
    <t>Túi chè tân cương màu xanh in đen 200g loại 2</t>
  </si>
  <si>
    <t>PET 12x920</t>
  </si>
  <si>
    <t>sp 589</t>
  </si>
  <si>
    <t>Túi chè tân cương màu đỏ in trắng 200g loại 2</t>
  </si>
  <si>
    <t>sp 590</t>
  </si>
  <si>
    <t>Túi chè tân cương màu tím in trắng 200g loại 2</t>
  </si>
  <si>
    <t>sp 591</t>
  </si>
  <si>
    <t>Túi chè tân cương màu bạc in đen 200g loại 2</t>
  </si>
  <si>
    <t>sp 592</t>
  </si>
  <si>
    <t>Túi chè tân cương màu xanh in đen 500g loại 2</t>
  </si>
  <si>
    <t>sp 593</t>
  </si>
  <si>
    <t>Túi chè tân cương màu đỏ in trắng 500g loại 2</t>
  </si>
  <si>
    <t>sp 594</t>
  </si>
  <si>
    <t>Túi chè tân cương màu tím in trắng 500g loại 2</t>
  </si>
  <si>
    <t>sp 595</t>
  </si>
  <si>
    <t>Túi chè tân cương màu bạc in đen 500g loại 2</t>
  </si>
  <si>
    <t>sp 596</t>
  </si>
  <si>
    <t>Cuộn thuốc trừ sâu aceny 4,2 EC loại 15ml mekong</t>
  </si>
  <si>
    <t>PEDB 70x700</t>
  </si>
  <si>
    <t>0,0023;811A (0,004)</t>
  </si>
  <si>
    <t>Công ty CP Green Mekong</t>
  </si>
  <si>
    <t>sp 599</t>
  </si>
  <si>
    <t xml:space="preserve">Túi bánh trung thu nhật nguyệt </t>
  </si>
  <si>
    <t>OPP mờ 20x580</t>
  </si>
  <si>
    <t>PE 50x580</t>
  </si>
  <si>
    <t>Công ty Thực Phẩm Nhật Nguyệt</t>
  </si>
  <si>
    <t>sp 605</t>
  </si>
  <si>
    <t>Cuộn tasieu khủng long 5WG F1000 loại 15g Việt Thắng</t>
  </si>
  <si>
    <t>PE 90x630</t>
  </si>
  <si>
    <t>sp 606</t>
  </si>
  <si>
    <t>Cuộn Túi tasieu khủng long 5WG F900 loại 10g Việt Thắng</t>
  </si>
  <si>
    <t>sp 607</t>
  </si>
  <si>
    <t>Cuộn thuốc trừ sâu otoxes 200 SP màu vàng loại 10g Việt Thắng</t>
  </si>
  <si>
    <t>PET 12x560</t>
  </si>
  <si>
    <t>Al 6x560</t>
  </si>
  <si>
    <t>PE 95x570</t>
  </si>
  <si>
    <t>sp 608</t>
  </si>
  <si>
    <t>Túi chè lụa màu xanh tân cương và đặc sản 500g</t>
  </si>
  <si>
    <t>sp 610</t>
  </si>
  <si>
    <t>Cuộn bánh trứng lipo bơ 2,5kg Alpha</t>
  </si>
  <si>
    <t>sp 611</t>
  </si>
  <si>
    <t>Cuộn màng otoxes 200SP cậu bé bắn cung 18g  Việt Thắng</t>
  </si>
  <si>
    <t>PET 12x580</t>
  </si>
  <si>
    <t>Al 6x580</t>
  </si>
  <si>
    <t>PE 95x590</t>
  </si>
  <si>
    <t>sp 612</t>
  </si>
  <si>
    <t>Cuộn màng otoxes 200SP cậu bé bắn cung 10g  Việt Thắng</t>
  </si>
  <si>
    <t>sp 613</t>
  </si>
  <si>
    <t>Túi thuốc trừ bệnh Ajily 77WP 100g Việt Thắng</t>
  </si>
  <si>
    <t>AL 6x660</t>
  </si>
  <si>
    <t>PE 95x670</t>
  </si>
  <si>
    <t>sp 626</t>
  </si>
  <si>
    <t>Túi chè lụa màu xanh tân cương và đặc sản 200g loại 5</t>
  </si>
  <si>
    <t>sp 628</t>
  </si>
  <si>
    <t>Túi chè màu đỏ 50g loại 1</t>
  </si>
  <si>
    <t>sp 629</t>
  </si>
  <si>
    <t>Túi chè màu đỏ 25g loại 1</t>
  </si>
  <si>
    <t>sp 630</t>
  </si>
  <si>
    <t>Túi lúa mới TBR225XN1 1kg Thái Bình</t>
  </si>
  <si>
    <t>PET 12x900</t>
  </si>
  <si>
    <t>PE 82x900</t>
  </si>
  <si>
    <t>túi ba biên hoặc cuộn 800m</t>
  </si>
  <si>
    <t>sp 631</t>
  </si>
  <si>
    <t>Túi lúa mới TBR225XN2 1kg Thái Bình</t>
  </si>
  <si>
    <t>sp 632</t>
  </si>
  <si>
    <t>Túi lúa mới TBR225XN2 40kg Thái Bình</t>
  </si>
  <si>
    <t>OPP 18x690</t>
  </si>
  <si>
    <t>dạng cuộn 6000m</t>
  </si>
  <si>
    <t>sp 634</t>
  </si>
  <si>
    <t>Túi lúa mới TBR225XN1 40kg Thái Bình</t>
  </si>
  <si>
    <t>1609242-2</t>
  </si>
  <si>
    <t>sp 636</t>
  </si>
  <si>
    <t>Túi bánh trứng lipo bơ H 300g Alpha</t>
  </si>
  <si>
    <t>OPP mờ 20x660</t>
  </si>
  <si>
    <t>PE 30x660</t>
  </si>
  <si>
    <t>0,0023; 9690 (0,0025)</t>
  </si>
  <si>
    <t>sp 637</t>
  </si>
  <si>
    <t>Túi bánh trứng lipo sầu riêng 300g Alpha</t>
  </si>
  <si>
    <t>sp 638</t>
  </si>
  <si>
    <t>Túi lúa mới TBR1 XN1 1kg Thái Bình</t>
  </si>
  <si>
    <t>sp 639</t>
  </si>
  <si>
    <t>Túi lúa mới BC15XN1 1kg Thái Bình</t>
  </si>
  <si>
    <t>sp 640</t>
  </si>
  <si>
    <t>Túi lúa mới TBR36XN1 1kg Thái Bình</t>
  </si>
  <si>
    <t>sp 641</t>
  </si>
  <si>
    <t>Túi lúa mới TBR45 XN1 1kg Thái Bình</t>
  </si>
  <si>
    <t>1902523-5</t>
  </si>
  <si>
    <t>sp 642</t>
  </si>
  <si>
    <t>Túi lúa mới BC15XN1 40kg Thái Bình</t>
  </si>
  <si>
    <t>sp 643</t>
  </si>
  <si>
    <t>Túi lúa mới Bắc thơm 7 NC 40kg Thái Bình</t>
  </si>
  <si>
    <t>sp 644</t>
  </si>
  <si>
    <t>Túi lúa mới N97NC 40kg Thái Bình</t>
  </si>
  <si>
    <t>sp 645</t>
  </si>
  <si>
    <t>Túi lúa mới hương thơm 1 40kg Thái Bình</t>
  </si>
  <si>
    <t>sp 646</t>
  </si>
  <si>
    <t>Túi lúa mới Q5 NC 40kg Thái Bình</t>
  </si>
  <si>
    <t>sp 647</t>
  </si>
  <si>
    <t>Túi lúa mới KD18 NC 40kg Thái Bình</t>
  </si>
  <si>
    <t>sp 648</t>
  </si>
  <si>
    <t>Túi lúa mới Q5 nguyên chủng 1kg Thái Bình</t>
  </si>
  <si>
    <t>sp 649</t>
  </si>
  <si>
    <t>Túi lúa mới khang dân 18 NC 1kg Thái Bình</t>
  </si>
  <si>
    <t>sp 650</t>
  </si>
  <si>
    <t>Túi lúa mới Bắc thơm 7 nguyên chủng 1kg Thái Bình</t>
  </si>
  <si>
    <t>sp 651</t>
  </si>
  <si>
    <t>Túi lúa mới hương thơm 1 nguyên chủng 1kg Thái Bình</t>
  </si>
  <si>
    <t>sp 652</t>
  </si>
  <si>
    <t>Túi lúa mới N97 nguyên chủng 1kg Thái Bình</t>
  </si>
  <si>
    <t>sp 661</t>
  </si>
  <si>
    <t>Cuộn bánh bao màu nâu barkey Phú Mỹ KT 270x130</t>
  </si>
  <si>
    <t>CPP20x560</t>
  </si>
  <si>
    <t>sp 662</t>
  </si>
  <si>
    <t>Túi lúa mới bao chung NC 10kg Thái Bình</t>
  </si>
  <si>
    <t>OPP 20x840</t>
  </si>
  <si>
    <t>sp 663</t>
  </si>
  <si>
    <t>Túi chè lụa màu xanh tân cương và đặc sản 100g loại 5</t>
  </si>
  <si>
    <t>sp 664</t>
  </si>
  <si>
    <t>Túi ngô LVN10 cấp giống lai F1 1kg Thái Bình</t>
  </si>
  <si>
    <t>sp 665</t>
  </si>
  <si>
    <t>Túi ngô LVN10 cấp giống lai F1 20kg Thái Bình</t>
  </si>
  <si>
    <t>dạng cuộn 4000m</t>
  </si>
  <si>
    <t>sp 666</t>
  </si>
  <si>
    <t>Túi chè HCK 200g Hùng An</t>
  </si>
  <si>
    <t>Công ty chè Hùng An</t>
  </si>
  <si>
    <t>sp 667</t>
  </si>
  <si>
    <t>Túi chè HCK 500g Hùng An</t>
  </si>
  <si>
    <t>PE75x760</t>
  </si>
  <si>
    <t>sp 668</t>
  </si>
  <si>
    <t>Túi chè thường 200g Hùng An</t>
  </si>
  <si>
    <t>OPP 20x740</t>
  </si>
  <si>
    <t>sp 673</t>
  </si>
  <si>
    <t>Cuộn lúa GS55 1kg Đại Thành</t>
  </si>
  <si>
    <t>PE 70x460</t>
  </si>
  <si>
    <t>sp 674</t>
  </si>
  <si>
    <t>Túi chè hạnh phúc, phúc lộc thọ, đặc sản 10g</t>
  </si>
  <si>
    <t>sp 675</t>
  </si>
  <si>
    <t>Túi trà chúc mừng năm mới 100g</t>
  </si>
  <si>
    <t>sp 676</t>
  </si>
  <si>
    <t>Túi trà đồi núi 100g</t>
  </si>
  <si>
    <t>sp 678</t>
  </si>
  <si>
    <t>Túi thuốc trị nấm fovathane 80WP loại 90g</t>
  </si>
  <si>
    <t>Al 6x640</t>
  </si>
  <si>
    <t>PE 80x650</t>
  </si>
  <si>
    <t>sp 679</t>
  </si>
  <si>
    <t>Túi thuốc trị nấm fovanthane 80WP loại 450g</t>
  </si>
  <si>
    <t>PE 95x630</t>
  </si>
  <si>
    <t>sp 680</t>
  </si>
  <si>
    <t>Túi thuốc trị nấm fovathane 80WP loại 900g</t>
  </si>
  <si>
    <t>PE 95x750</t>
  </si>
  <si>
    <t>sp 681</t>
  </si>
  <si>
    <t>Túi trà quả táo đỏ Vĩnh Phúc</t>
  </si>
  <si>
    <t>OPP 30x740</t>
  </si>
  <si>
    <t>MCPP 25x740</t>
  </si>
  <si>
    <t>sp 682</t>
  </si>
  <si>
    <t>Túi lúa mới TBR45XN1 40kg Thái Bình</t>
  </si>
  <si>
    <t>sp 683</t>
  </si>
  <si>
    <t>Túi lúa mới bao chung nguyên chủng 1kg Thái Bình</t>
  </si>
  <si>
    <t>sp 684</t>
  </si>
  <si>
    <t>Túi lúa mới TBR36XN1 40kg Thái Bình</t>
  </si>
  <si>
    <t>sp 685</t>
  </si>
  <si>
    <t>Túi lúa mới bao chung NC 40kg Thái Bình</t>
  </si>
  <si>
    <t>sp 686</t>
  </si>
  <si>
    <t>Túi lúa mới TBR1 XN1 40kg Thái Bình</t>
  </si>
  <si>
    <t>sp 689</t>
  </si>
  <si>
    <t>Túi trà trong albee tea 200g Vĩnh Phúc</t>
  </si>
  <si>
    <t>OPP 30x660</t>
  </si>
  <si>
    <t>MCPP 25x660</t>
  </si>
  <si>
    <t>sp 690</t>
  </si>
  <si>
    <t>Túi trà ngoài albee tea 200g Vĩnh Phúc</t>
  </si>
  <si>
    <t>PE sứ 60x660</t>
  </si>
  <si>
    <t>sp 695</t>
  </si>
  <si>
    <t>Túi thuốc trừ ốc clodan super 700WP loại 12g</t>
  </si>
  <si>
    <t>sp 696</t>
  </si>
  <si>
    <t>Túi địch bách trùng 90SP loại 20g Việt Thắng</t>
  </si>
  <si>
    <t>OPP 20x710</t>
  </si>
  <si>
    <t>PE sứ 65x710</t>
  </si>
  <si>
    <t>sp 699</t>
  </si>
  <si>
    <t>Túi thuốc trừ ốc clodan super 700WP loại 10g</t>
  </si>
  <si>
    <t>sp 701</t>
  </si>
  <si>
    <t>Túi trà phúc lộc thọ 10g</t>
  </si>
  <si>
    <t>0,0044(0,0022;0,0022)</t>
  </si>
  <si>
    <t>sp 702</t>
  </si>
  <si>
    <t>Túi gạo HCK 1kg Thái Bình</t>
  </si>
  <si>
    <t>PA 15x580</t>
  </si>
  <si>
    <t>PE 85x580</t>
  </si>
  <si>
    <t>sp 703</t>
  </si>
  <si>
    <t>Túi gạo HCK 3kg Thái Bình</t>
  </si>
  <si>
    <t>PA 15x560</t>
  </si>
  <si>
    <t>PE 110x560</t>
  </si>
  <si>
    <t>sp 707</t>
  </si>
  <si>
    <t>Cuộn màng thuốc trừ sâu Belazole 75WP loại 8g Việt Thắng</t>
  </si>
  <si>
    <t>PE 95x810</t>
  </si>
  <si>
    <t>sp 709</t>
  </si>
  <si>
    <t>Túi không in KT 120x170 Việt Thắng</t>
  </si>
  <si>
    <t>0,0051(0,0018;0,0033)</t>
  </si>
  <si>
    <t>sp 710</t>
  </si>
  <si>
    <t>Cuộn thuốc trừ bệnh Kanra 72WP loại 25g</t>
  </si>
  <si>
    <t>PET 12x600</t>
  </si>
  <si>
    <t>Al 6x600</t>
  </si>
  <si>
    <t>PE 95x610</t>
  </si>
  <si>
    <t>sp 711</t>
  </si>
  <si>
    <t>Cuộn thuốc trừ sâu vithadan 95WP loại 30g Việt Thắng</t>
  </si>
  <si>
    <t>sp 716</t>
  </si>
  <si>
    <t xml:space="preserve">Cuộn thuốc trừ sâu Danobull 50WG -8g </t>
  </si>
  <si>
    <t>sp 718</t>
  </si>
  <si>
    <t>Cuộn thuốc trừ sâu bác sỹ Javizole 777WP loại 18g Việt Đức</t>
  </si>
  <si>
    <t>sp 719</t>
  </si>
  <si>
    <t>Cuộn thuốc trừ sâu xài ong vàng Javizole 777WP loại 18gr Việt Đức</t>
  </si>
  <si>
    <t>sp 720</t>
  </si>
  <si>
    <t>Cuộn thuốc trừ sâu hiệu Bim 777 USA 20g Việt Đức</t>
  </si>
  <si>
    <t>sp 721</t>
  </si>
  <si>
    <t>Túi thuốc trừ sâu starbem 500WP loại 15g Hòa bình</t>
  </si>
  <si>
    <t>sp 722</t>
  </si>
  <si>
    <t>Túi thuốc trừ sâu Aperlaur hiệu dế mèn 100WP loại 50gr</t>
  </si>
  <si>
    <t>sp 723</t>
  </si>
  <si>
    <t>Túi thuốc trừ sâu Megazebusa 750WP loại 100g</t>
  </si>
  <si>
    <t>PE 75x660</t>
  </si>
  <si>
    <t>Công ty Trần Vũ</t>
  </si>
  <si>
    <t>sp 724</t>
  </si>
  <si>
    <t>Túi hạt giống lúa lai Mahyco TH 3-5 1kg mới</t>
  </si>
  <si>
    <t>OPP 20x900</t>
  </si>
  <si>
    <t>PE 90x900</t>
  </si>
  <si>
    <t>sp 763</t>
  </si>
  <si>
    <t>Túi thuốc trừ sâu techtimex 50WG hiệu chim sẻ loại 10g</t>
  </si>
  <si>
    <t>sp 766</t>
  </si>
  <si>
    <t>Túi trà chữ đỏ 100g loại 6 Thanh Minh</t>
  </si>
  <si>
    <t>Công ty Thanh Minh</t>
  </si>
  <si>
    <t>sp 767</t>
  </si>
  <si>
    <t>Túi trà chữ đỏ 200g loại 6 Thanh Minh</t>
  </si>
  <si>
    <t>sp 768</t>
  </si>
  <si>
    <t>Túi trà chữ đỏ đặc sản 500g loại 6 Thanh Minh</t>
  </si>
  <si>
    <t>PE 75x760</t>
  </si>
  <si>
    <t>sp 768a</t>
  </si>
  <si>
    <t>Túi trà chữ đỏ tân cương 500g loại 6 Thanh Minh</t>
  </si>
  <si>
    <t>sp 769</t>
  </si>
  <si>
    <t>Túi thuốc trừ sâu techtimex 50WG hiệu siêu nhân mỹ lợi loại 12g</t>
  </si>
  <si>
    <t>PET 12x632</t>
  </si>
  <si>
    <t>MPET 12x632</t>
  </si>
  <si>
    <t>PE 75x632</t>
  </si>
  <si>
    <t>sp 770</t>
  </si>
  <si>
    <t>Túi thuốc trừ sâu clodan super 700WP hiệu vua ốc loại 30g</t>
  </si>
  <si>
    <t>sp 771</t>
  </si>
  <si>
    <t>Túi trà chữ xanh 100g loại 6 Thanh Minh</t>
  </si>
  <si>
    <t>sp 772</t>
  </si>
  <si>
    <t>Túi trà chữ xanh 200g loại 6 Thanh Minh</t>
  </si>
  <si>
    <t>sp 773a</t>
  </si>
  <si>
    <t>Túi trà chữ xanh tân cương 500g loại 6 Thanh Minh</t>
  </si>
  <si>
    <t>sp 773</t>
  </si>
  <si>
    <t>Túi trà chữ xanh đặc sản 500g loại 6 Thanh Minh</t>
  </si>
  <si>
    <t>sp 775</t>
  </si>
  <si>
    <t>Túi thuốc trừ sâu clodan super 700WP loại 25gr</t>
  </si>
  <si>
    <t>sp 782</t>
  </si>
  <si>
    <t>Túi địch bách trùng 90SP loại 40g Việt Thắng</t>
  </si>
  <si>
    <t>PE sứ 65x800</t>
  </si>
  <si>
    <t>sp 783</t>
  </si>
  <si>
    <t>Túi thuốc trừ cỏ A-zet 80WP loại 100gr redsun</t>
  </si>
  <si>
    <t>Al 6x780</t>
  </si>
  <si>
    <t>PE 75x790</t>
  </si>
  <si>
    <t>Công ty Redsun</t>
  </si>
  <si>
    <t>SP 786</t>
  </si>
  <si>
    <t>Cuộn trà xanh Harada Vĩnh Phúc</t>
  </si>
  <si>
    <t>dạng cuộn</t>
  </si>
  <si>
    <t>Giấy cartoon</t>
  </si>
  <si>
    <t>sp 791</t>
  </si>
  <si>
    <t>Cuộn màng smartdoor 168 loại 1</t>
  </si>
  <si>
    <t>PE 40x1270</t>
  </si>
  <si>
    <t xml:space="preserve">PE </t>
  </si>
  <si>
    <t>PE đen trắng 60x1270</t>
  </si>
  <si>
    <t>dạng cuộn 2000m</t>
  </si>
  <si>
    <t>Công ty Đức Thiện</t>
  </si>
  <si>
    <t>sp 792</t>
  </si>
  <si>
    <t>Cuộn màng không in KT 600</t>
  </si>
  <si>
    <t>Công ty Proline</t>
  </si>
  <si>
    <t>giấy cartoon bọc nilong</t>
  </si>
  <si>
    <t>sp 793</t>
  </si>
  <si>
    <t>Túi thuốc trừ bệnh number 1 trị loát 500g</t>
  </si>
  <si>
    <t>PET 12x590</t>
  </si>
  <si>
    <t>Al 60x590</t>
  </si>
  <si>
    <t>PE 95x600</t>
  </si>
  <si>
    <t>sp 794</t>
  </si>
  <si>
    <t>Túi chè lụa trắng tân cương và đặc sản 100g</t>
  </si>
  <si>
    <t>sp 795</t>
  </si>
  <si>
    <t>Túi không in HCK KT 200x260</t>
  </si>
  <si>
    <t>PA 15x800</t>
  </si>
  <si>
    <t>Công ty Mặt Trời Đỏ</t>
  </si>
  <si>
    <t>sp 796</t>
  </si>
  <si>
    <t>Túi gạo lứt đỏ KB333 1kg bản nội địa Đại Thành</t>
  </si>
  <si>
    <t>PET12x380/MPET 12x380</t>
  </si>
  <si>
    <t>sp 797</t>
  </si>
  <si>
    <t>Túi gạo lứt đỏ KB333 1kg bản xuất khẩu Đại Thành</t>
  </si>
  <si>
    <t>sp 798</t>
  </si>
  <si>
    <t>Túi gạo trắng bani 999 2kg bản nội địa đại thành</t>
  </si>
  <si>
    <t>PA 15x480</t>
  </si>
  <si>
    <t>PE 100x480</t>
  </si>
  <si>
    <t>sp 799</t>
  </si>
  <si>
    <t>Túi gạo trắng bani 999 2kg bản xuất khẩu Đại Thành</t>
  </si>
  <si>
    <t>sp 800</t>
  </si>
  <si>
    <t>Cuộn màng Bạch Đằng loại 1</t>
  </si>
  <si>
    <t xml:space="preserve">PE đt 60x1270 </t>
  </si>
  <si>
    <t>sp 801</t>
  </si>
  <si>
    <t>Cuộn màng nhôm cao cấp trường thành</t>
  </si>
  <si>
    <t>sp 802</t>
  </si>
  <si>
    <t>Cuộn trà gừng mật ong dạng cốm 20g Sing Việt</t>
  </si>
  <si>
    <t>Al 6x660</t>
  </si>
  <si>
    <t>PE 55x670</t>
  </si>
  <si>
    <t>0,0048(0,0023;0,0025)</t>
  </si>
  <si>
    <t>Công ty Sing Việt</t>
  </si>
  <si>
    <t>sp 803</t>
  </si>
  <si>
    <t>Túi trà gừng mật ong dạng cốm 400g Sing Việt</t>
  </si>
  <si>
    <t>PE sứ 140x700</t>
  </si>
  <si>
    <t>túi ba biên đáy đứng zipper</t>
  </si>
  <si>
    <t>sp 804</t>
  </si>
  <si>
    <t>Cuộn oresol Zin C mới Hải Phòng</t>
  </si>
  <si>
    <t>PE 75x630</t>
  </si>
  <si>
    <t>0,0053(0,0023;0,0025)</t>
  </si>
  <si>
    <t>Công ty  Dược Hải Phòng</t>
  </si>
  <si>
    <t>6c</t>
  </si>
  <si>
    <t>sp 806</t>
  </si>
  <si>
    <t>Cuộn màng MPET/PE không in Proline K800</t>
  </si>
  <si>
    <t>MPET mt 12x800</t>
  </si>
  <si>
    <t>MPET</t>
  </si>
  <si>
    <t>sp 807</t>
  </si>
  <si>
    <t>Cuộn màng Euro Window loại 1 Châu Âu</t>
  </si>
  <si>
    <t>PE đt 40x1270</t>
  </si>
  <si>
    <t>PE 25x1270BT</t>
  </si>
  <si>
    <t>sp 808</t>
  </si>
  <si>
    <t>Túi chè lụa tân cương 500g loại 5</t>
  </si>
  <si>
    <t>sp 809</t>
  </si>
  <si>
    <t>Cuộn bánh gạo sasaki Nhật Minh Phát</t>
  </si>
  <si>
    <t>OPP mờ 20x945</t>
  </si>
  <si>
    <t>CPP 25x945</t>
  </si>
  <si>
    <t>sp 810</t>
  </si>
  <si>
    <t>Túi bánh gạo nhật sasaki 100g Minh Phát</t>
  </si>
  <si>
    <t>OPP 30x800</t>
  </si>
  <si>
    <t>MCPP 25x800</t>
  </si>
  <si>
    <t>sp 811</t>
  </si>
  <si>
    <t>Túi đựng kẹo socola viên sọc nâu 350g</t>
  </si>
  <si>
    <t>OPP mờ 20x690</t>
  </si>
  <si>
    <t>MPET 12x690</t>
  </si>
  <si>
    <t>PE 90x690</t>
  </si>
  <si>
    <t>túi ba biên đáy đứng 110</t>
  </si>
  <si>
    <t>sp 812</t>
  </si>
  <si>
    <t>Túi đựng kẹo socola viên sọc trắng 350gr</t>
  </si>
  <si>
    <t>túi ba biên đáy đứng</t>
  </si>
  <si>
    <t>sp 813</t>
  </si>
  <si>
    <t>Túi không in HCK KT 250x300mm</t>
  </si>
  <si>
    <t>PA 15x1000</t>
  </si>
  <si>
    <t>PE 75x1000</t>
  </si>
  <si>
    <t>Công ty Mặt trời đỏ</t>
  </si>
  <si>
    <t>sp 814</t>
  </si>
  <si>
    <t>Túi không in HCK KT 250x350mm</t>
  </si>
  <si>
    <t>sp 816</t>
  </si>
  <si>
    <t>Cuộn màng không in ghép nhôm K570</t>
  </si>
  <si>
    <t>PE 75x590</t>
  </si>
  <si>
    <t>sp 817</t>
  </si>
  <si>
    <t>Cuộn màng MPET/PE không in K1000</t>
  </si>
  <si>
    <t>MPET mt 12x1000</t>
  </si>
  <si>
    <t>PE 60x1000</t>
  </si>
  <si>
    <t>sp 818</t>
  </si>
  <si>
    <t>Cuộn màng Dmax loại 1 Sơn Việt</t>
  </si>
  <si>
    <t>PET đt 60x1270</t>
  </si>
  <si>
    <t>PE 30x1270</t>
  </si>
  <si>
    <t>sp 819</t>
  </si>
  <si>
    <t>Cuộn màng XingFa loại 1 Sequana</t>
  </si>
  <si>
    <t xml:space="preserve">PE 30x1270 </t>
  </si>
  <si>
    <t>PE đt 60x1270</t>
  </si>
  <si>
    <t>sp 820</t>
  </si>
  <si>
    <t>Cuộn màng không in HCK khổ 1100 độ dày 57mic - proline</t>
  </si>
  <si>
    <t>MPET mt 12x1100</t>
  </si>
  <si>
    <t>PE 45x1100</t>
  </si>
  <si>
    <t>sp 821</t>
  </si>
  <si>
    <t>Cuộn màng Itabion loại 1 Đông Anh</t>
  </si>
  <si>
    <t>PE 30x1275</t>
  </si>
  <si>
    <t>sp 822</t>
  </si>
  <si>
    <t>Cuộn màng không in HCK khổ 1100 độ dày 72mic - proline</t>
  </si>
  <si>
    <t>PE 60x1100</t>
  </si>
  <si>
    <t>sp 823</t>
  </si>
  <si>
    <t>Túi in thú y KT 220x310 redfood</t>
  </si>
  <si>
    <t>PA 15x640</t>
  </si>
  <si>
    <t>Công ty Redfood</t>
  </si>
  <si>
    <t>sp 824</t>
  </si>
  <si>
    <t>Cuộn bánh trứng lipo hương bơ hàng cân 3000g dải cam Alpha</t>
  </si>
  <si>
    <t>sp 825</t>
  </si>
  <si>
    <t>Cuộn bánh trứng lipo hương sữa hàng cân 3000g dải đỏ Alpha</t>
  </si>
  <si>
    <t>sp 826</t>
  </si>
  <si>
    <t>Cuộn bột giặt Đức Giang siêu sạch 250gr</t>
  </si>
  <si>
    <t>PE sứ 60x680</t>
  </si>
  <si>
    <t>Công ty Đức Giang</t>
  </si>
  <si>
    <t>sp 827</t>
  </si>
  <si>
    <t>Cuộn màng MPET/PE không in HCK khổ 480</t>
  </si>
  <si>
    <t>MPET mt 12x970</t>
  </si>
  <si>
    <t>PE 60x970</t>
  </si>
  <si>
    <t>sp 828</t>
  </si>
  <si>
    <t>Cuộn màng MPET/PE không in HCK khổ 510</t>
  </si>
  <si>
    <t>MPET mt 12x520</t>
  </si>
  <si>
    <t>PE 60x520</t>
  </si>
  <si>
    <t>sp 829</t>
  </si>
  <si>
    <t>Cuộn màng MPET/PE không in HCK khổ 950</t>
  </si>
  <si>
    <t>MPET mt 12x950</t>
  </si>
  <si>
    <t>PE 60x950</t>
  </si>
  <si>
    <t>sp 830</t>
  </si>
  <si>
    <t>Cuộn bánh bao nhân thập cẩm finefood dumping 300g</t>
  </si>
  <si>
    <t>sp 831</t>
  </si>
  <si>
    <t>Cuộn bánh bao nhân thập cẩm sữa dừa fine food dumping 300g</t>
  </si>
  <si>
    <t>sp 832</t>
  </si>
  <si>
    <t>Túi trà chữ đỏ tân cương 500g loại 7</t>
  </si>
  <si>
    <t>hàn lưng xếp hông</t>
  </si>
  <si>
    <t>sp 833</t>
  </si>
  <si>
    <t>Cuộn màng không in khổ 220 Nhật Nguyên</t>
  </si>
  <si>
    <t>CPP 35x670</t>
  </si>
  <si>
    <t xml:space="preserve">dạng cuộn </t>
  </si>
  <si>
    <t>Công ty Nhật Nguyên</t>
  </si>
  <si>
    <t>sp 834</t>
  </si>
  <si>
    <t>Túi hạt giống đông A1 cấp giống XN1 1kg Thái Bình</t>
  </si>
  <si>
    <t>dạng cuộn or túi ba biên</t>
  </si>
  <si>
    <t>sp 835</t>
  </si>
  <si>
    <t>Túi hạt giống đông A1 cấp giống XN1 40kg Thái Bình</t>
  </si>
  <si>
    <t>OPP 20x690</t>
  </si>
  <si>
    <t>sp 836</t>
  </si>
  <si>
    <t>Túi không in tĩnh điện KT 200x300</t>
  </si>
  <si>
    <t>PA 15x620</t>
  </si>
  <si>
    <t>0,004(0,002;0,002)</t>
  </si>
  <si>
    <t>Công ty Bảo Tín</t>
  </si>
  <si>
    <t>sp 837</t>
  </si>
  <si>
    <t>Túi đựng cá KT 160x500 Hạ Long</t>
  </si>
  <si>
    <t>PA 15x660</t>
  </si>
  <si>
    <t>PE 65x660</t>
  </si>
  <si>
    <t>Công ty Hạ Long</t>
  </si>
  <si>
    <t>sp 838</t>
  </si>
  <si>
    <t>Cuộn màng không in HCK khổ 440 độ dày 57mic</t>
  </si>
  <si>
    <t>MPET mt 12x440</t>
  </si>
  <si>
    <t>PE 45x440</t>
  </si>
  <si>
    <t>sp 839</t>
  </si>
  <si>
    <t>Cuộn màng không in HCK khổ 520 độ dày 72mic</t>
  </si>
  <si>
    <t>sp 840</t>
  </si>
  <si>
    <t>Cuộn lúa DTR667 1kg Đại Thành</t>
  </si>
  <si>
    <t>sp 841</t>
  </si>
  <si>
    <t xml:space="preserve">Túi đựng quà tết Nhật Nguyệt </t>
  </si>
  <si>
    <t>CPP 45x600</t>
  </si>
  <si>
    <t>Công ty Nhật Nguyệt</t>
  </si>
  <si>
    <t>sp 842</t>
  </si>
  <si>
    <t>Túi gạo nếp asao 1kg Thái Bình</t>
  </si>
  <si>
    <t>sp 843</t>
  </si>
  <si>
    <t>Cuộn màng không in ghép nhôm K870 proline</t>
  </si>
  <si>
    <t>PET mt 12x870</t>
  </si>
  <si>
    <t>Al 6x870</t>
  </si>
  <si>
    <t>PE 75x870</t>
  </si>
  <si>
    <t>dạng cuộn 1500m hoặc 2000m</t>
  </si>
  <si>
    <t>sp 844</t>
  </si>
  <si>
    <t>Cuộn thuốc trừ sâu bemab khủng long 52WG 800 loại 10g</t>
  </si>
  <si>
    <t>sp 845</t>
  </si>
  <si>
    <t>Cuộn thuốc trừ sâu bemal khủng long 52WG 900 loại 15g Việt Thắng</t>
  </si>
  <si>
    <t>sp 846</t>
  </si>
  <si>
    <t>Cuộn thuốc trừ sâu bemab khủng long 40WG loại 22g</t>
  </si>
  <si>
    <t>sp 847</t>
  </si>
  <si>
    <t>Cuộn thuốc trừ sâu tasieu 2WG loại 10g Việt Thắng</t>
  </si>
  <si>
    <t>sp 848</t>
  </si>
  <si>
    <t>Túi trà tân cương thái nguyên 100g ấm nâu loại 6 Thanh Minh</t>
  </si>
  <si>
    <t>sp 849</t>
  </si>
  <si>
    <t>Cuộn màng không in ghép nhôm khổ 600</t>
  </si>
  <si>
    <t>PET mt 12x620</t>
  </si>
  <si>
    <t>sp 850</t>
  </si>
  <si>
    <t>Túi trà đặc sản thái nguyên loại 7 Thanh Minh</t>
  </si>
  <si>
    <t>PE75x620</t>
  </si>
  <si>
    <t>sp 851</t>
  </si>
  <si>
    <t xml:space="preserve">Túi miến lẩu đặc biệt bản xèo 500g </t>
  </si>
  <si>
    <t>PA 15x490</t>
  </si>
  <si>
    <t>PE 80x490</t>
  </si>
  <si>
    <t>đóng bao lót nilong</t>
  </si>
  <si>
    <t>sp 852</t>
  </si>
  <si>
    <t>Cuộn màng không in ghép nhôm khổ 880 proline</t>
  </si>
  <si>
    <t>PET mt 12x900</t>
  </si>
  <si>
    <t>Al 6x900</t>
  </si>
  <si>
    <t>PE 75x910</t>
  </si>
  <si>
    <t>sp 853</t>
  </si>
  <si>
    <t>Túi thuốc trừ sâu goldsai hiệu metalaxyl 350WP loại 250g USA</t>
  </si>
  <si>
    <t>Công ty USA</t>
  </si>
  <si>
    <t>sp 854</t>
  </si>
  <si>
    <t>Túi thuốc trừ sâu goldsai hiệu metalaxyl 350WP loại 18g USA</t>
  </si>
  <si>
    <t>PE75x680</t>
  </si>
  <si>
    <t>sp 855</t>
  </si>
  <si>
    <t>Túi chè lụa trắng tân cương và đặc sản 200g loại 5</t>
  </si>
  <si>
    <t>sp 856</t>
  </si>
  <si>
    <t>Túi chè lụa trắng tân cương và đặc sản 500g loại 5</t>
  </si>
  <si>
    <t>sp 857</t>
  </si>
  <si>
    <t>Cuộn in 1 màu Nhật Nguyệt</t>
  </si>
  <si>
    <t>CPP 35x740</t>
  </si>
  <si>
    <t>dạng cuộn 500</t>
  </si>
  <si>
    <t>sp 858</t>
  </si>
  <si>
    <t>Túi bánh trứng  vị bơ 200g Alpha</t>
  </si>
  <si>
    <t>PE 65x550</t>
  </si>
  <si>
    <t>sp 859</t>
  </si>
  <si>
    <t>Túi bánh trứng  vị bơ 300g Alpha</t>
  </si>
  <si>
    <t>sp 860</t>
  </si>
  <si>
    <t>Cuộn bánh trứng lipo bơ Alpha</t>
  </si>
  <si>
    <t>sp 861</t>
  </si>
  <si>
    <t>Cuộn thuốc trừ bệnh nhật daconil 75WP loại 30g Việt Thắng</t>
  </si>
  <si>
    <t>PE 95x650</t>
  </si>
  <si>
    <t>sp 862</t>
  </si>
  <si>
    <t>Cuộn thuốc trừ sâu anvado 100WP hiệu súng máy loại 10g Việt Thắng</t>
  </si>
  <si>
    <t>sp 863</t>
  </si>
  <si>
    <t>Cuộn thuốc trừ cỏ rorax 10WP loại 6g Việt Thắng</t>
  </si>
  <si>
    <t>PE 85x810</t>
  </si>
  <si>
    <t>sp 864</t>
  </si>
  <si>
    <t>Túi trà đặc sản thái nguyên 200g loại 8 Thanh Minh</t>
  </si>
  <si>
    <t>sp 865</t>
  </si>
  <si>
    <t>Cuộn bột giặt cao cấp 200g Đức Giang</t>
  </si>
  <si>
    <t>PE sứ 60x580</t>
  </si>
  <si>
    <t>sp 866</t>
  </si>
  <si>
    <t>Cuộn trà cà gai leo 5g CNC TL</t>
  </si>
  <si>
    <t>PE 75x750</t>
  </si>
  <si>
    <t>Công ty CNC Thăng Long</t>
  </si>
  <si>
    <t>sp 867</t>
  </si>
  <si>
    <t>Cuộn bột giặt cao cấp 270g Đức Giang</t>
  </si>
  <si>
    <t>sp 868</t>
  </si>
  <si>
    <t>Cuộn bột giặt cao cấp 350g Đức Giang</t>
  </si>
  <si>
    <t>PE sứ 60x690</t>
  </si>
  <si>
    <t>sp 869</t>
  </si>
  <si>
    <t>Cuộn bột giặt cao cấp 700g Đức Giang</t>
  </si>
  <si>
    <t>PE sứ 70x900</t>
  </si>
  <si>
    <t>sp 870</t>
  </si>
  <si>
    <t>Túi bột giặt cao cấp 2 kg Đức Giang</t>
  </si>
  <si>
    <t>PE sứ 90x590</t>
  </si>
  <si>
    <t>Thùng 42x34x36 lót nilong</t>
  </si>
  <si>
    <t>sp 871</t>
  </si>
  <si>
    <t>Túi bột giặt cao cấp 2,5kg Đức Giang</t>
  </si>
  <si>
    <t>PET 12x630</t>
  </si>
  <si>
    <t>PE sứ 90x630</t>
  </si>
  <si>
    <t>sp 872</t>
  </si>
  <si>
    <t>Cuộn thuốc trừ cỏ lúa sunriver 10WP loại 3,5g</t>
  </si>
  <si>
    <t>PE 85x670</t>
  </si>
  <si>
    <t>sp 873</t>
  </si>
  <si>
    <t>Túi miến bản xèo 500g KT550x450</t>
  </si>
  <si>
    <t>PA 15x570</t>
  </si>
  <si>
    <t>PE 80x570</t>
  </si>
  <si>
    <t>sp 874</t>
  </si>
  <si>
    <t>Cuộn bánh sosite hương bơ sữa</t>
  </si>
  <si>
    <t>Hợp tác xã tân tiến tiến phát</t>
  </si>
  <si>
    <t>sp 875</t>
  </si>
  <si>
    <t>Cuộn bánh sosite hương cốm</t>
  </si>
  <si>
    <t>sp 876</t>
  </si>
  <si>
    <t>Cuộn bánh sosite hương dâu</t>
  </si>
  <si>
    <t>sp 877</t>
  </si>
  <si>
    <t>Túi chè không in xuất khẩu 150g KT 85x280x45</t>
  </si>
  <si>
    <t>OPP 30x860</t>
  </si>
  <si>
    <t>MCPP 25x860</t>
  </si>
  <si>
    <t>sp 878</t>
  </si>
  <si>
    <t>Túi thuốc phân bón rau poly feed 15.30.15 loại 50g</t>
  </si>
  <si>
    <t>PE 95x710</t>
  </si>
  <si>
    <t>sp 879</t>
  </si>
  <si>
    <t>Túi thuốc phân bón lúa poly feed 15.15.30 loại 15g</t>
  </si>
  <si>
    <t>sp 880</t>
  </si>
  <si>
    <t>Cuộn thuốc trị rầy lúa anvado 100WP thường loại 10g</t>
  </si>
  <si>
    <t>sp 881</t>
  </si>
  <si>
    <t>Cuộn màng không in HCK khổ 620 độ dày 72 mic proline</t>
  </si>
  <si>
    <t>MPET mt 12x620</t>
  </si>
  <si>
    <t>sp 882</t>
  </si>
  <si>
    <t>Cuộn thuốc trừ cỏ lúa Arorax 17WP loại 10g Việt Thắng</t>
  </si>
  <si>
    <t>sp 883</t>
  </si>
  <si>
    <t>cuộn màng hyundai window 1 màu xanh tím loại 1</t>
  </si>
  <si>
    <t>PE đt 30x1270</t>
  </si>
  <si>
    <t>PE 20x1270BT</t>
  </si>
  <si>
    <t>sp 884</t>
  </si>
  <si>
    <t>Cuộn màng hyundai alumin vina 2 màu loại 2</t>
  </si>
  <si>
    <t>sp 885</t>
  </si>
  <si>
    <t>Túi trà logo tân cương và đặc sản 100g loại 9</t>
  </si>
  <si>
    <t>sp 886</t>
  </si>
  <si>
    <t>Túi trà logo tân cương và tân cương không khối lượng 200g loại 9</t>
  </si>
  <si>
    <t>sp 887</t>
  </si>
  <si>
    <t>Túi trà logo tân cương 500g loại 9</t>
  </si>
  <si>
    <t>sp 888</t>
  </si>
  <si>
    <t>Túi trà logo đặc sản 500g loại 9</t>
  </si>
  <si>
    <t>sp 889</t>
  </si>
  <si>
    <t>Cuộn thuốc trừ cỏ lúa Arorax 17WP loại 15g Việt Thắng</t>
  </si>
  <si>
    <t>sp 890</t>
  </si>
  <si>
    <t>Cuộn màng không in ghép nhôm khổ 700 proline</t>
  </si>
  <si>
    <t>sp 891</t>
  </si>
  <si>
    <t>Túi thuốc trừ bệnh Đồng Cloruloxi 30WP loại 100g</t>
  </si>
  <si>
    <t>PE 60x760</t>
  </si>
  <si>
    <t>sp 892</t>
  </si>
  <si>
    <t>Cuộn thuốc đặc trị rầy Ba Đăng 300WP loại 10g</t>
  </si>
  <si>
    <t>sp 893</t>
  </si>
  <si>
    <t>Túi Fruitka Foliar 100gr</t>
  </si>
  <si>
    <t>PE 50x740</t>
  </si>
  <si>
    <t>Công ty Nông Nghiệp Nhiệt Đới</t>
  </si>
  <si>
    <t>sp 894</t>
  </si>
  <si>
    <t>Túi thuốc trừ sâu golnitor 50WG hiệu siêu khủng phá tổ 10g</t>
  </si>
  <si>
    <t>sp 895</t>
  </si>
  <si>
    <t>Cuộn màng nhôm Dmax Aluminum loại 2 sơn Việt</t>
  </si>
  <si>
    <t>PE 20x1270</t>
  </si>
  <si>
    <t>sp 896</t>
  </si>
  <si>
    <t>Cuộn màng nhôm 3D Window loại 1 Quốc Dũng</t>
  </si>
  <si>
    <t>sp 897</t>
  </si>
  <si>
    <t>sp 898</t>
  </si>
  <si>
    <t>Túi thuốc trừ sâu Wamtox 100EC 10ml x 10 gói</t>
  </si>
  <si>
    <t>PE sứ 50x800</t>
  </si>
  <si>
    <t>sp 899</t>
  </si>
  <si>
    <t>Túi thuốc không in KT 220x340</t>
  </si>
  <si>
    <t>PE 90x460</t>
  </si>
  <si>
    <t>sp 900</t>
  </si>
  <si>
    <t>Túi thuốc trừ sâu shaling shuang 950 hiệu xong 950 loại 100g</t>
  </si>
  <si>
    <t>sp 901</t>
  </si>
  <si>
    <t>Cuộn màng nhôm Viet'spower phong cách mới loại 1</t>
  </si>
  <si>
    <t>PE 30x1270BT</t>
  </si>
  <si>
    <t>sp 902</t>
  </si>
  <si>
    <t>Túi trà chữ đỏ lá vàng in 4 màu tân cương và đặc sản 100g loại 10</t>
  </si>
  <si>
    <t>sp 903</t>
  </si>
  <si>
    <t>Túi trà chữ đỏ lá vàng in 4 màu tân cương 200G loại 10</t>
  </si>
  <si>
    <t>sp 904</t>
  </si>
  <si>
    <t>Túi trà chữ đỏ lá vàng in 4 màu tân cương 500g loại 10</t>
  </si>
  <si>
    <t>sp 905</t>
  </si>
  <si>
    <t>Túi trà chữ đỏ lá vàng in 4 màu đặc sản 500g loại 10</t>
  </si>
  <si>
    <t>sp 906</t>
  </si>
  <si>
    <t>Cuộn thuốc trừ sâu bemal 40WG hiệu con hổ đặc trị sâu kháng loại 8g</t>
  </si>
  <si>
    <t>sp 907</t>
  </si>
  <si>
    <t>Túi thuốc trừ cỏ wamrin 800WP chuyên trừ cỏ cho ngô loại 100g</t>
  </si>
  <si>
    <t>PE 80x710</t>
  </si>
  <si>
    <t>2500(&lt;25kg/1 thùng)</t>
  </si>
  <si>
    <t>sp 908</t>
  </si>
  <si>
    <t>Cuộn màng không in ghép nhôm khổ 620 proline</t>
  </si>
  <si>
    <t>sp 909</t>
  </si>
  <si>
    <t>Cuộn màng nhôm aluko hàng xuất khẩu huyndai loại 1</t>
  </si>
  <si>
    <t>PE 40x1270BT</t>
  </si>
  <si>
    <t>dạng cuộn 2000m or 1500m</t>
  </si>
  <si>
    <t>sp 910</t>
  </si>
  <si>
    <t>Túi chữ trà 7 màu tân cương thái nguyên 100g loại 11 Thanh Minh</t>
  </si>
  <si>
    <t>sp 911</t>
  </si>
  <si>
    <t>Túi chữ trà 7 màu đặc sản thái nguyên 100gr loại 11 Thanh Minh</t>
  </si>
  <si>
    <t>sp 912</t>
  </si>
  <si>
    <t>Túi chữ  trà có viền tân cương 100g loại 11 Thanh Minh</t>
  </si>
  <si>
    <t>sp 914</t>
  </si>
  <si>
    <t>Cuộn màng không in ghép nhôm khổ 800 proline</t>
  </si>
  <si>
    <t>PE 75x810</t>
  </si>
  <si>
    <t>sp 915</t>
  </si>
  <si>
    <t>Túi thuốc trừ sâu goldsai hiệu metalaxyl 350WP loại 400g USA</t>
  </si>
  <si>
    <t>Công ty CP CN cao thuốc BVTV USA</t>
  </si>
  <si>
    <t>sp 916</t>
  </si>
  <si>
    <t>Túi lọc trà cà gai leo 50 gói x 5gr</t>
  </si>
  <si>
    <t>0,006(0,003;0,003)</t>
  </si>
  <si>
    <t>túi ba biên có zip cách mép 20mm</t>
  </si>
  <si>
    <t>sp 917</t>
  </si>
  <si>
    <t>Túi trà xanh tân cương thái nguyên 200gr ấm nâu loại 6 TM</t>
  </si>
  <si>
    <t>sp 918</t>
  </si>
  <si>
    <t>Cuộn thuốc trị rầy mã lục 250WP siêu sạch rầy loại 12g</t>
  </si>
  <si>
    <t>PE 85x610</t>
  </si>
  <si>
    <t>sp 919</t>
  </si>
  <si>
    <t>Túi PA in 1 màu hình con gà KT 265x410</t>
  </si>
  <si>
    <t>PA 15x550</t>
  </si>
  <si>
    <t>Công ty Bích Ngọc</t>
  </si>
  <si>
    <t>sp 920</t>
  </si>
  <si>
    <t>Túi thuốc trừ sâu siêu rầy rệp hiệu chest usa loại 18g Hòa Bình</t>
  </si>
  <si>
    <t>Công ty Quốc Tế Hòa Bình</t>
  </si>
  <si>
    <t>sp 921</t>
  </si>
  <si>
    <t>Túi thuốc trừ sâu apazin 450WP hiệu hết rầy loại 15g American</t>
  </si>
  <si>
    <t>Công ty khoa học CNC American</t>
  </si>
  <si>
    <t>sp 922</t>
  </si>
  <si>
    <t>Túi thuốc trừ sâu clodan super hiệu ốc cò 700WP loại 25g Hòa Bình</t>
  </si>
  <si>
    <t>sp 923</t>
  </si>
  <si>
    <t>Túi không in KT 110x200x46 Hải Phòng</t>
  </si>
  <si>
    <t>OPP 20x684</t>
  </si>
  <si>
    <t>MCPP 25x684</t>
  </si>
  <si>
    <t>Công ty Dược Hải Phòng</t>
  </si>
  <si>
    <t>sp 924</t>
  </si>
  <si>
    <t>Cuộn màng PA in chữ FARINA khổ 350</t>
  </si>
  <si>
    <t>PA 15x720</t>
  </si>
  <si>
    <t>PE 75x720</t>
  </si>
  <si>
    <t>dạng cuộn 900m</t>
  </si>
  <si>
    <t>Công ty Farina</t>
  </si>
  <si>
    <t>sp 925</t>
  </si>
  <si>
    <t>Túi lúa Nhị Ưu 838 1kg</t>
  </si>
  <si>
    <t>sp 926</t>
  </si>
  <si>
    <t>Túi lúa Nhị Ưu 838 40kg</t>
  </si>
  <si>
    <t>sp 927</t>
  </si>
  <si>
    <t>Túi chữ trà 7 màu tân cương thái nguyên 200 gr loại 11 thanh minh</t>
  </si>
  <si>
    <t>sp 928</t>
  </si>
  <si>
    <t>Túi chữ trà 7 màu đặc sản thái nguyên 200g loại 11 Thanh Minh</t>
  </si>
  <si>
    <t>sp 929</t>
  </si>
  <si>
    <t>Túi chữ trà có viền tân cương 200g loại 11 Thanh Minh</t>
  </si>
  <si>
    <t>sp 931</t>
  </si>
  <si>
    <t>Túi chữ trà 7 màu tân cương thái nguyên 500g loại 11 Thanh Minh</t>
  </si>
  <si>
    <t>sp 932</t>
  </si>
  <si>
    <t>Túi chữ trà 7 màu đặc sản thái nguyên 500g loại 11 Thanh Minh</t>
  </si>
  <si>
    <t>sp 933</t>
  </si>
  <si>
    <t xml:space="preserve">Túi chữ trà có viền tân cương 500g loại 11 Thanh Minh </t>
  </si>
  <si>
    <t>sp 935</t>
  </si>
  <si>
    <t>Túi lúa MHC2 1kg Mahyco</t>
  </si>
  <si>
    <t>sp 936</t>
  </si>
  <si>
    <t>Túi trà xanh Đặc sản thái nguyên 200gr ấm nâu loại 6</t>
  </si>
  <si>
    <t>sp 937</t>
  </si>
  <si>
    <t>Túi trà xanh tân cương thái nguyên 500gr ấm nâu loại 6 TM</t>
  </si>
  <si>
    <t>sp 938</t>
  </si>
  <si>
    <t>Túi trà xanh đặc sản thái nguyên 500g ấm nâu loại 6</t>
  </si>
  <si>
    <t>sp 940</t>
  </si>
  <si>
    <t>Túi bánh trứng Tipo 115g Hữu Nghị</t>
  </si>
  <si>
    <t>OPP 20x1120</t>
  </si>
  <si>
    <t>PEHD 60x1120</t>
  </si>
  <si>
    <t>Công ty CP Thực Phẩm Hữu Nghị</t>
  </si>
  <si>
    <t>sp 941</t>
  </si>
  <si>
    <t>Túi bánh trứng Tipo 220gr Hữu Nghị</t>
  </si>
  <si>
    <t>PE HD 60x560</t>
  </si>
  <si>
    <t>sp 942</t>
  </si>
  <si>
    <t>Cuộn bánh trứng Tipo 300gr phong linh xuất khẩu Hữu Nghị</t>
  </si>
  <si>
    <t>OPP 20x1088</t>
  </si>
  <si>
    <t>MCPP 25x1088</t>
  </si>
  <si>
    <t>sp 943</t>
  </si>
  <si>
    <t>Túi thuốc golnitor 50WG hiệu E8000 phá tổ diệt sâu loại 10g Hòa Bình</t>
  </si>
  <si>
    <t>0,0046(0,0023,0,0023)</t>
  </si>
  <si>
    <t>sp 944</t>
  </si>
  <si>
    <t>Túi thuốc sâu Jzomil 720WP đặc trị trên quả và lá loại 100gr USA</t>
  </si>
  <si>
    <t>MPET 12x640</t>
  </si>
  <si>
    <t>Công ty CPCN Cao thuốc BVTV USA</t>
  </si>
  <si>
    <t>sp 945</t>
  </si>
  <si>
    <t>sp 946</t>
  </si>
  <si>
    <t>sp 947</t>
  </si>
  <si>
    <t>Túi muối sạch Fonexim 200gr Miền Bắc</t>
  </si>
  <si>
    <t>OPP 20x692</t>
  </si>
  <si>
    <t>PE 65x692</t>
  </si>
  <si>
    <t>Công ty Thực Phẩm Miền Bắc</t>
  </si>
  <si>
    <t>sp 948</t>
  </si>
  <si>
    <t>Túi muối sạch Fonexim 450gr Miền Bắc</t>
  </si>
  <si>
    <t>sp 949</t>
  </si>
  <si>
    <t>sp 950</t>
  </si>
  <si>
    <t>Túi chè một màu 100g Hùng An</t>
  </si>
  <si>
    <t>bao dứa (bọc 2 lần bao dứa)</t>
  </si>
  <si>
    <t>sp 951</t>
  </si>
  <si>
    <t>Cuộn bánh xốp Kexo hương cốm 265gr Hữu Nghị</t>
  </si>
  <si>
    <t>OPP 30x1000</t>
  </si>
  <si>
    <t>MCPP 25x1000</t>
  </si>
  <si>
    <t>2c/thùng</t>
  </si>
  <si>
    <t>Thùng 30x15x60</t>
  </si>
  <si>
    <t>sp 952</t>
  </si>
  <si>
    <t>Túi chữ trà lụa 7 màu tân cương thái nguyên 200g loại 12 Thanh Minh</t>
  </si>
  <si>
    <t>OPP mờ 20x620</t>
  </si>
  <si>
    <t>sp 953</t>
  </si>
  <si>
    <t>sp 954</t>
  </si>
  <si>
    <t>sp 955</t>
  </si>
  <si>
    <t>sp 956</t>
  </si>
  <si>
    <t>Túi không in KT 110x200x65 Hải Phòng</t>
  </si>
  <si>
    <t>OPP 30x760</t>
  </si>
  <si>
    <t>MCPP 25x760</t>
  </si>
  <si>
    <t>sp 957</t>
  </si>
  <si>
    <t>Cuộn màng MPET/PE không in HCK khổ 910 độ dày 72mic</t>
  </si>
  <si>
    <t>MPET 12x910</t>
  </si>
  <si>
    <t>PE 60x910</t>
  </si>
  <si>
    <t>sp 958</t>
  </si>
  <si>
    <t>Túi gạo không in KT 220 x 350</t>
  </si>
  <si>
    <t>PET 12x720</t>
  </si>
  <si>
    <t>PE 75x 720</t>
  </si>
  <si>
    <t>Công ty Đaị Thành</t>
  </si>
  <si>
    <t>sp 959</t>
  </si>
  <si>
    <t>Cuộn bánh bao nhân thập cẩm 100gr khổ 310 Phú Mỹ</t>
  </si>
  <si>
    <t>PE 55x 640</t>
  </si>
  <si>
    <t>sp 960</t>
  </si>
  <si>
    <t>Cuộn tipo bánh trứng nướng hộp giấy loại 48g.80g.250g</t>
  </si>
  <si>
    <t>OPP 30x700</t>
  </si>
  <si>
    <t>Công ty cổ phần Thực Phẩm Hữu Nghị</t>
  </si>
  <si>
    <t>sp 961</t>
  </si>
  <si>
    <t>Túi nem hải sản loại đặc biệt 400gr Hạ Long</t>
  </si>
  <si>
    <t>OPP 20x590</t>
  </si>
  <si>
    <t>PE 40x590</t>
  </si>
  <si>
    <t>sp 962</t>
  </si>
  <si>
    <t>cuộn màng nhôm Nam Hải aluminum loại 1 đức thiện</t>
  </si>
  <si>
    <t>cuộn dài 2000m</t>
  </si>
  <si>
    <t>sp 962a</t>
  </si>
  <si>
    <t>sp 963</t>
  </si>
  <si>
    <t>cuộn màng nhôm Nam Hải EUA euro aluminum loại 2 đức thiện</t>
  </si>
  <si>
    <t>sp 964</t>
  </si>
  <si>
    <t>Túi trà chữ đỏ lá vàng in 4 màu đặc sản 200g loại 10</t>
  </si>
  <si>
    <t>sp 965</t>
  </si>
  <si>
    <t>Túi thức ăn cho heo pig one  2kg BMC</t>
  </si>
  <si>
    <t>PE 90x540</t>
  </si>
  <si>
    <t>Túi ba biên</t>
  </si>
  <si>
    <t>Công ty BMC</t>
  </si>
  <si>
    <t>sp 966</t>
  </si>
  <si>
    <t>Túi chè vàng trơn HTP 100g loại 13</t>
  </si>
  <si>
    <t>sp 967</t>
  </si>
  <si>
    <t>Túi chè vàng trơn HTP 200g loại 13</t>
  </si>
  <si>
    <t>sp 968</t>
  </si>
  <si>
    <t>Túi chè vàng trơn HTP 500g loại 13</t>
  </si>
  <si>
    <t>MPET 12X760</t>
  </si>
  <si>
    <t>sp 969</t>
  </si>
  <si>
    <t>Túi trà bản đồ tân cương 100gr loại 14</t>
  </si>
  <si>
    <t>sp 970</t>
  </si>
  <si>
    <t>Túi trà bản đồ tân cương 200gr loại 14</t>
  </si>
  <si>
    <t>sp 971</t>
  </si>
  <si>
    <t>Túi trà bản đồ đặc sản 200gr loại 14</t>
  </si>
  <si>
    <t>sp 972</t>
  </si>
  <si>
    <t>Túi trà bản đồ tân cương 500gr loại 14</t>
  </si>
  <si>
    <t>sp 973</t>
  </si>
  <si>
    <t>Túi trà bản đồ đặc sản 500gr loại 14</t>
  </si>
  <si>
    <t>sp 974</t>
  </si>
  <si>
    <t>Túi thuốc trừ sâu usatabon 17.5WP vua trừ nhện loại 35gr american</t>
  </si>
  <si>
    <t>sp 975</t>
  </si>
  <si>
    <t>Túi thuốc trừ sâu new zimvil 720WP vua trị vàng lá 1 kg american</t>
  </si>
  <si>
    <t>sp 976</t>
  </si>
  <si>
    <t>Cuộn màng nhôm không in ghép nhôm khổ 520</t>
  </si>
  <si>
    <t>PET 12x520</t>
  </si>
  <si>
    <t>Al 6x520</t>
  </si>
  <si>
    <t>PE 120x520</t>
  </si>
  <si>
    <t>cuộn</t>
  </si>
  <si>
    <t>Công ty INNOVATIVE SHIELD Việt Nam</t>
  </si>
  <si>
    <t>sp 977</t>
  </si>
  <si>
    <t>Cuộn mỳ không in khổ 270 hà việt</t>
  </si>
  <si>
    <t>OPP 20x1100</t>
  </si>
  <si>
    <t>CPP 20x1100</t>
  </si>
  <si>
    <t>0,0018</t>
  </si>
  <si>
    <t>Công ty lương thực Hà Việt</t>
  </si>
  <si>
    <t>SP 978</t>
  </si>
  <si>
    <t>Túi không in KT 230x340 Việt Thắng</t>
  </si>
  <si>
    <t>PE 70x700</t>
  </si>
  <si>
    <t>sp 979</t>
  </si>
  <si>
    <t>Túi chữ trà lụa 7 màu tân cương thái nguyên 100g loại 12 Thanh Minh</t>
  </si>
  <si>
    <t>sp 983</t>
  </si>
  <si>
    <t>Túi chữ trà lụa 7 màu tân cương thái nguyên 500g loại 12 Thanh Minh</t>
  </si>
  <si>
    <t>sp 984</t>
  </si>
  <si>
    <t>sp 985</t>
  </si>
  <si>
    <t>sp 986</t>
  </si>
  <si>
    <t>sp 987</t>
  </si>
  <si>
    <t>Cuộn bánh merry khay 160gr Santa</t>
  </si>
  <si>
    <t>OPP 30x 875</t>
  </si>
  <si>
    <t>MCPP 25x 875</t>
  </si>
  <si>
    <t>0,002</t>
  </si>
  <si>
    <t>Công ty CP thực phầm Santa</t>
  </si>
  <si>
    <t>sp 988</t>
  </si>
  <si>
    <t>Cuộn bánh merry khay  90gr Santa</t>
  </si>
  <si>
    <t>OPP 30x 910</t>
  </si>
  <si>
    <t>MCPP 25x 910</t>
  </si>
  <si>
    <t>sp 989</t>
  </si>
  <si>
    <t>Túi nem hải sản đặc biệt 500gr</t>
  </si>
  <si>
    <t>sp 990</t>
  </si>
  <si>
    <t>Cuộn merry khay 14gr</t>
  </si>
  <si>
    <t>Công ty CP thực phẩm Santa</t>
  </si>
  <si>
    <t>Thùng 3 lớp</t>
  </si>
  <si>
    <t>sp 991</t>
  </si>
  <si>
    <t>Cuộn merry khay 22gr</t>
  </si>
  <si>
    <t>OPP 20x955</t>
  </si>
  <si>
    <t>MCPP 25x955</t>
  </si>
  <si>
    <t>sp 992</t>
  </si>
  <si>
    <t>Cuộn merry khay 63gr</t>
  </si>
  <si>
    <t>OPP 20X900</t>
  </si>
  <si>
    <t>MCPP 25x900</t>
  </si>
  <si>
    <t>sp 993</t>
  </si>
  <si>
    <t>Cuộn màng nhôm  Q/K PVC loại 1 đức thiện</t>
  </si>
  <si>
    <t>sp 994</t>
  </si>
  <si>
    <t>Cuộn màng nhôm U-PVC kingbon loại 1 đức thiện</t>
  </si>
  <si>
    <t>sp 995</t>
  </si>
  <si>
    <t xml:space="preserve">Túi lúa in chung 5kg Thái Bình </t>
  </si>
  <si>
    <t>cuốn cartoon</t>
  </si>
  <si>
    <t>sp 996</t>
  </si>
  <si>
    <t>Túi lúa TBR 279 XN1 40kg Thái Bình</t>
  </si>
  <si>
    <t>sp 997</t>
  </si>
  <si>
    <t>Túi lúa TBR 279 1kg Thái Bình</t>
  </si>
  <si>
    <t>1903063-2</t>
  </si>
  <si>
    <t>1903063-4</t>
  </si>
  <si>
    <t>sp 998</t>
  </si>
  <si>
    <t>Túi bột giặt O'well 800gr</t>
  </si>
  <si>
    <t>PET 12x440</t>
  </si>
  <si>
    <t>PE 70x440</t>
  </si>
  <si>
    <t>Công ty bột giặt Hải Phòng</t>
  </si>
  <si>
    <t>thùng 3 lớp</t>
  </si>
  <si>
    <t>sp 999</t>
  </si>
  <si>
    <t>Túi nem hải sản - cung đình - miền Hạ Long 350g</t>
  </si>
  <si>
    <t>Công ty CP Chế biến Thuỷ sản xuất khẩu Hạ Long</t>
  </si>
  <si>
    <t>sp 1000</t>
  </si>
  <si>
    <t>Túi nem chay - cung đình - miền Hạ Long 400g</t>
  </si>
  <si>
    <t>GCWINDOOR</t>
  </si>
  <si>
    <t xml:space="preserve">Ghép gia công chữ " Windoor </t>
  </si>
  <si>
    <t>PE trong 20x1270</t>
  </si>
  <si>
    <t>GCHARYPLASS</t>
  </si>
  <si>
    <t>Ghép gia công màng Hardyplass 25mic với màng PE trong 25mic khổ 1270</t>
  </si>
  <si>
    <t>HARDYPLASS 25x1270</t>
  </si>
  <si>
    <t>PE 25x1270</t>
  </si>
  <si>
    <t>GCCORELAM</t>
  </si>
  <si>
    <t>Ghép gia công màng Corelam 25mic với màng PE trong 25mic khổ 1270</t>
  </si>
  <si>
    <t>CORELAM 25x1270</t>
  </si>
  <si>
    <t>GCPANEL</t>
  </si>
  <si>
    <t>Ghép gia công hàng chữ" panel Việt Pháp" màng PE 20 mic x1220 ghép PE trong  20x1220</t>
  </si>
  <si>
    <t>PANEL 20X1220</t>
  </si>
  <si>
    <t>PE 20x1220</t>
  </si>
  <si>
    <t>GCHYNDAI</t>
  </si>
  <si>
    <t>Ghép gia công chứ" hyndai 25mic x1270 ghép với màng PE đen trắng ( đã xử lý 2 mặt) 60mic x 1280</t>
  </si>
  <si>
    <t>HYNDAI 25x1270</t>
  </si>
  <si>
    <t>PE đt 60x1280</t>
  </si>
  <si>
    <t>sp 1001</t>
  </si>
  <si>
    <t>Cuộn bột giặt Đức Giang 2 kg</t>
  </si>
  <si>
    <t>cuộn 1500m</t>
  </si>
  <si>
    <t>Cuốn carton</t>
  </si>
  <si>
    <t>sp 1002</t>
  </si>
  <si>
    <t>Cuộn bột giặt Đức Giang 2.5 kg</t>
  </si>
  <si>
    <t>cuộn 1000m</t>
  </si>
  <si>
    <t>sp 1003</t>
  </si>
  <si>
    <t>Cuộn bột giặt Đức Giang 3 kg</t>
  </si>
  <si>
    <t>PA15x670</t>
  </si>
  <si>
    <t>PE sứ 90x670</t>
  </si>
  <si>
    <t>sp 1004</t>
  </si>
  <si>
    <t>Cuộn bột giặt Đức Giang 4.2 kg</t>
  </si>
  <si>
    <t>PA15x745</t>
  </si>
  <si>
    <t>PE sứ 130x745</t>
  </si>
  <si>
    <t>sp 1005</t>
  </si>
  <si>
    <t>Túi trà chữ đỏ lá vàng in 7 màu đặc sản 10g loại 10</t>
  </si>
  <si>
    <t>0.0046(0.0023,0.0023)</t>
  </si>
  <si>
    <t>sp 1006</t>
  </si>
  <si>
    <t>Túi trà chữ đỏ thượng hạng tân cương và đặc sản 100g loại 15</t>
  </si>
  <si>
    <t>MPET12x740</t>
  </si>
  <si>
    <t>sp 1007</t>
  </si>
  <si>
    <t>Túi trà chữ đỏ búp xanh tân cương và đặc sản 100g loại 16</t>
  </si>
  <si>
    <t>sp 1008</t>
  </si>
  <si>
    <t>Túi trà ấm nghiêng tân cương và đặc sản 100g loại 17</t>
  </si>
  <si>
    <t>sp 1009</t>
  </si>
  <si>
    <t>Cuộn bột giặt Kwash 3kg</t>
  </si>
  <si>
    <t>Công ty TNHH KWASH Việt Nam</t>
  </si>
  <si>
    <t>sp 1010</t>
  </si>
  <si>
    <t>Túi trà ấm cây Tân cương 100gr loại 18</t>
  </si>
  <si>
    <t>sp 1011</t>
  </si>
  <si>
    <t>Túi trà ấm cây Đặc sản 100gr loại 18</t>
  </si>
  <si>
    <t>sp 1012</t>
  </si>
  <si>
    <t>Túi trà ấm cây Tân cương 200gr loại 18</t>
  </si>
  <si>
    <t>sp 1013</t>
  </si>
  <si>
    <t>Túi trà ấm cây Đặc sản 200gr loại 18</t>
  </si>
  <si>
    <t>sp 1014</t>
  </si>
  <si>
    <t>Túi trà ấm cây Tân cương 500gr loại 18</t>
  </si>
  <si>
    <t>PET12x760</t>
  </si>
  <si>
    <t>MPET12x760</t>
  </si>
  <si>
    <t>sp 1015</t>
  </si>
  <si>
    <t>Túi trà ấm cây Đặc sản 500gr loại 18</t>
  </si>
  <si>
    <t>Hạt 2L không PG</t>
  </si>
  <si>
    <t>Nhựa 1L</t>
  </si>
  <si>
    <t>PPA</t>
  </si>
  <si>
    <t>Hạt trắng</t>
  </si>
  <si>
    <t>Hạt 2L có PG</t>
  </si>
  <si>
    <t>Metaxoni</t>
  </si>
  <si>
    <t>Antiblock</t>
  </si>
  <si>
    <t>Slip agent</t>
  </si>
  <si>
    <t>sp 1016</t>
  </si>
  <si>
    <t>Túi trà bát giác Tân cương 100gr loại 19</t>
  </si>
  <si>
    <t>sp 1017</t>
  </si>
  <si>
    <t>Túi trà bát giác Đặc sản 100gr loại 19</t>
  </si>
  <si>
    <t>sp 1018</t>
  </si>
  <si>
    <t>Túi trà bát giác Tân cương 200gr loại 19</t>
  </si>
  <si>
    <t>sp 1019</t>
  </si>
  <si>
    <t>Túi trà bát giác Đặc sản 200gr loại 19</t>
  </si>
  <si>
    <t>sp 1020</t>
  </si>
  <si>
    <t>Túi trà bát giác Tân cương 500gr loại 19</t>
  </si>
  <si>
    <t>sp 1021</t>
  </si>
  <si>
    <t>Túi trà bát giác Đặc sản 500gr loại 19</t>
  </si>
  <si>
    <t>sp 1022</t>
  </si>
  <si>
    <t>Tuí lúa TBR225 XN1 10kg Thái Bình</t>
  </si>
  <si>
    <t>OPP20x840</t>
  </si>
  <si>
    <t>giấy carton</t>
  </si>
  <si>
    <t>sp 1023</t>
  </si>
  <si>
    <t>Túi lúa BC15 XN1 10kg Thái Bình</t>
  </si>
  <si>
    <t>sp 1024</t>
  </si>
  <si>
    <t>Túi lúa TBR-1 XN1 10kg Thái Bình</t>
  </si>
  <si>
    <t>sp 1025</t>
  </si>
  <si>
    <t>Túi lúa khang dân 18NC 10kg Thái Bình</t>
  </si>
  <si>
    <t>sp 1026</t>
  </si>
  <si>
    <t>Túi lúa hương thơm 1 NC 10kg Thái Bình</t>
  </si>
  <si>
    <t>sp 1027</t>
  </si>
  <si>
    <t>Túi trà ấm nghiêng tân cương và đặc sản 500g loại 17</t>
  </si>
  <si>
    <t>sp 1028</t>
  </si>
  <si>
    <t>Túi trà bản đồ Đặc sản 100gr loại 14</t>
  </si>
  <si>
    <t>sp 1029</t>
  </si>
  <si>
    <t>Túi trà chữ đỏ viền trắng 50gr loại 20</t>
  </si>
  <si>
    <t>PET12x680</t>
  </si>
  <si>
    <t>MPET12x680</t>
  </si>
  <si>
    <t>PE 55x680</t>
  </si>
  <si>
    <t>sp 1030</t>
  </si>
  <si>
    <t>Túi thuốc trừ cỏ aviator combi 800WP loại 70gr bảo vệ thực vật</t>
  </si>
  <si>
    <t>PET12x920</t>
  </si>
  <si>
    <t>MPET12x920</t>
  </si>
  <si>
    <t>Công ty CP Bảo vệ thực vật 1 Trung Ương</t>
  </si>
  <si>
    <t>sp 1031</t>
  </si>
  <si>
    <t>Túi trà quả cầu đỏ tân cương 100gr loại 21</t>
  </si>
  <si>
    <t>sp 1032</t>
  </si>
  <si>
    <t>Túi trà quả cầu đỏ đặc sản 100gr loại 21</t>
  </si>
  <si>
    <t>sp 1033</t>
  </si>
  <si>
    <t>Túi trà quả cầu đỏ tân cương 200g loại 21</t>
  </si>
  <si>
    <t>sp 1034</t>
  </si>
  <si>
    <t>Túi trà quả cầu đỏ đặc sản 200g loại 21</t>
  </si>
  <si>
    <t>sp 1035</t>
  </si>
  <si>
    <t>Túi trà quả cầu đỏ tân cương 500g loại 21</t>
  </si>
  <si>
    <t>sp 1036</t>
  </si>
  <si>
    <t>Túi trà quả cầu đỏ đặc sản 500g loại 21</t>
  </si>
  <si>
    <t>sp 1037</t>
  </si>
  <si>
    <t>Cuộn bột canh Ngon I-ốt 190g Hải Châu</t>
  </si>
  <si>
    <t>ĐB-CPP 25x900</t>
  </si>
  <si>
    <t>Công ty CP Bánh kẹo Hải Châu</t>
  </si>
  <si>
    <t>sp 1038</t>
  </si>
  <si>
    <t>Cuộn màng không in ghép nhôm khổ 765 Innovative</t>
  </si>
  <si>
    <t>PET 12x785</t>
  </si>
  <si>
    <t>Al6x785</t>
  </si>
  <si>
    <t>PE 75x795</t>
  </si>
  <si>
    <t>0.0046( 0.0023, 0.0023)</t>
  </si>
  <si>
    <t>Cuộn carton</t>
  </si>
  <si>
    <t>sp 1039</t>
  </si>
  <si>
    <t>Túi trà logo TC 100gr loại 9</t>
  </si>
  <si>
    <t>sp 1040A</t>
  </si>
  <si>
    <t xml:space="preserve"> Túi gạc răng miệng Dr.papie - Starmed</t>
  </si>
  <si>
    <t>Al6x620</t>
  </si>
  <si>
    <t>PE 75X630</t>
  </si>
  <si>
    <t>Công ty Cổ phần Dược phẩm Starmed</t>
  </si>
  <si>
    <t>sp 1041</t>
  </si>
  <si>
    <t>Cuộn màng nhôm Quang Minh PMD 4D loại 1 Đức Thiện</t>
  </si>
  <si>
    <t>sp 1042</t>
  </si>
  <si>
    <t>Cuộn màng nhôm Quang Minh PMD loại 2 Đức Thiện</t>
  </si>
  <si>
    <t>sp 1043</t>
  </si>
  <si>
    <t>Cuộn màng nhôm Việt Pháp loại 1 Đức Thiện</t>
  </si>
  <si>
    <t>PE đt 40x1270ĐT</t>
  </si>
  <si>
    <t>sp 1044</t>
  </si>
  <si>
    <t>Túi thuốc trừ sâu Neretox 95WP loại 20gr - Bảo vệ thực vật</t>
  </si>
  <si>
    <t>0.0046( 0.0023,0.0023)</t>
  </si>
  <si>
    <t>cuộn 1000m/ túi ba biên</t>
  </si>
  <si>
    <t>sp 1045</t>
  </si>
  <si>
    <t>Túi trà quả cầu xanh tân cương 500gr loại 21</t>
  </si>
  <si>
    <t>0.0053( 0.0023,0.003)</t>
  </si>
  <si>
    <t>sp 1046</t>
  </si>
  <si>
    <t>Cuộn màng nhôm Xingfa Alumini loại 2 Sequana Đức Thiện</t>
  </si>
  <si>
    <t>cuộn 3000m</t>
  </si>
  <si>
    <t>cuốn carton</t>
  </si>
  <si>
    <t>sp 1047</t>
  </si>
  <si>
    <t>Cuộn băng cảnh báo in chữ Danger- Neolink</t>
  </si>
  <si>
    <t>PE sứ 40x970</t>
  </si>
  <si>
    <t>Công ty Cổ phần Xuất Nhập khẩu NEOLINK</t>
  </si>
  <si>
    <t>Túi nylon</t>
  </si>
  <si>
    <t>sp 1048</t>
  </si>
  <si>
    <t>Túi gạo làng sen 3kg sen quê bác</t>
  </si>
  <si>
    <t>Hợp tác xã nông nghiệp sen quê bác</t>
  </si>
  <si>
    <t>sp 1049</t>
  </si>
  <si>
    <t>Túi trà chữ đỏ thượng hạng tân cương và đặc sản 200gr loại 15</t>
  </si>
  <si>
    <t>sp 1050</t>
  </si>
  <si>
    <t>Túi trà tan cozy ice tea hương chanh dây 400gr vĩnh phúc</t>
  </si>
  <si>
    <t>AL 6x620</t>
  </si>
  <si>
    <t>PE 60x630</t>
  </si>
  <si>
    <t>túi hàn lưng xếp hông lệch</t>
  </si>
  <si>
    <t>Công ty vĩnh phúc</t>
  </si>
  <si>
    <t>sp 1051</t>
  </si>
  <si>
    <t>Túi trà tan cozy ice tea hương bí đao 400gr vĩnh phúc</t>
  </si>
  <si>
    <t>sp 1052</t>
  </si>
  <si>
    <t>Cuộn bột canh I- ốt 190gr Hải Châu</t>
  </si>
  <si>
    <t>ĐB- CPP 25x900</t>
  </si>
  <si>
    <t>sp 1053</t>
  </si>
  <si>
    <t>Túi trà ấm nghiêng tân cương và đặc sản 200g loại 17</t>
  </si>
  <si>
    <t>sp 1054</t>
  </si>
  <si>
    <t>Túi men rượu hương nếp trung tiến 500gr</t>
  </si>
  <si>
    <t>OPP 20x790</t>
  </si>
  <si>
    <t>MCPP/CPP 35x395</t>
  </si>
  <si>
    <t>Cơ sở men Trung Tiến</t>
  </si>
  <si>
    <t>sp 1055</t>
  </si>
  <si>
    <t>Túi trà tan cozy ice tea hương đào 400gr Vĩnh Phúc</t>
  </si>
  <si>
    <t>0.006( 0.003,0.003)</t>
  </si>
  <si>
    <t>sp 1056</t>
  </si>
  <si>
    <t>Cuộn giấy gói túi nội địa 220gr.115gr Hữu Nghị</t>
  </si>
  <si>
    <t>Công ty Hữu Nghị</t>
  </si>
  <si>
    <t>sp 1057</t>
  </si>
  <si>
    <t>Túi trà tam mã hương lài 500gr Vĩnh Phúc</t>
  </si>
  <si>
    <t>OPP mờ 20x960</t>
  </si>
  <si>
    <t>MPET 12x960</t>
  </si>
  <si>
    <t>PE 60x960</t>
  </si>
  <si>
    <t>sp 1058</t>
  </si>
  <si>
    <t>Túi trà tam mã hương sâm dứa 500gr Vĩnh Phúc</t>
  </si>
  <si>
    <t>sp 1059</t>
  </si>
  <si>
    <t>Túi trà tam mã hương hồng trà 500gr Vĩnh Phúc</t>
  </si>
  <si>
    <t>sp 1060</t>
  </si>
  <si>
    <t>Túi trà quả cầu xanh đặc sản 500g loại 21</t>
  </si>
  <si>
    <t>sp 1061</t>
  </si>
  <si>
    <t>sp 1062</t>
  </si>
  <si>
    <t>Cuộn trà tan loại que ice tea hương chanh dây</t>
  </si>
  <si>
    <t>Al6 x820</t>
  </si>
  <si>
    <t>PE 60x830</t>
  </si>
  <si>
    <t>sp 1063</t>
  </si>
  <si>
    <t>Túi HCK không in KT 155x 250 tân trà</t>
  </si>
  <si>
    <t>PE 50x640</t>
  </si>
  <si>
    <t>Cơ sở chế biến hải sản tân trà</t>
  </si>
  <si>
    <t>sp 1064</t>
  </si>
  <si>
    <t>Túi HCK không in KT 155x 280 tân trà</t>
  </si>
  <si>
    <t>PE 45x640</t>
  </si>
  <si>
    <t>sp 1065</t>
  </si>
  <si>
    <t>Cuộn bánh quẩy Lộc Phát vị mật ong 135gr - Anko</t>
  </si>
  <si>
    <t>OPP 20x860</t>
  </si>
  <si>
    <t>MPET 12x860</t>
  </si>
  <si>
    <t>PE 45x860</t>
  </si>
  <si>
    <t>0.0055( 0.0025, 0.003)</t>
  </si>
  <si>
    <t>Công ty SX và TM ASI miền Bắc</t>
  </si>
  <si>
    <t>cuộn carton</t>
  </si>
  <si>
    <t>sp 1066</t>
  </si>
  <si>
    <t>Túi hương trầm liên đức KT 140x465</t>
  </si>
  <si>
    <t>OPP 20x580</t>
  </si>
  <si>
    <t>PE 30x580</t>
  </si>
  <si>
    <t>Công ty Liên Đức</t>
  </si>
  <si>
    <t>sp 1067</t>
  </si>
  <si>
    <t>Cuộn bột giặt Kawashi 3000g - Kwash</t>
  </si>
  <si>
    <t>PA 15x670</t>
  </si>
  <si>
    <t>PE 90 sứ x 670</t>
  </si>
  <si>
    <t>Công ty TNHH K-WASH Việt Nam</t>
  </si>
  <si>
    <t>Giấy carton</t>
  </si>
  <si>
    <t>sp 1068</t>
  </si>
  <si>
    <t>Cuộn bột giặt chất lượng cao Will 2,5kg - Đức Giang</t>
  </si>
  <si>
    <t>Công ty cổ phần tập đoàn hóa chất Đức Giang</t>
  </si>
  <si>
    <t>sp 1069</t>
  </si>
  <si>
    <t>Cuộn bột giặt NANO hương hoa thiên nhiên 3kg-  Alo Sun</t>
  </si>
  <si>
    <t>PE sứ 90 x670</t>
  </si>
  <si>
    <t>Công Ty TNHH SX TM ALO SUN</t>
  </si>
  <si>
    <t>sp 1070</t>
  </si>
  <si>
    <t>Túi trà tan cozy ice tea hương chanh 400gr Vĩnh Phúc</t>
  </si>
  <si>
    <t>sp 1071</t>
  </si>
  <si>
    <t>sp 1072</t>
  </si>
  <si>
    <t>Cuộn thuốc trừ ốc VT - Dax 700WP loại 12gr Việt Thắng</t>
  </si>
  <si>
    <t>AL 6x800</t>
  </si>
  <si>
    <t>sp 1073</t>
  </si>
  <si>
    <t>Túi trân châu 3Q 2kg Green jelly</t>
  </si>
  <si>
    <t>PA 15x780</t>
  </si>
  <si>
    <t>PE 60x780</t>
  </si>
  <si>
    <t>Công ty Green Jelly</t>
  </si>
  <si>
    <t>sp 1074</t>
  </si>
  <si>
    <t>Túi men rượu nếp cái hoa vàng trung tiến 500gr</t>
  </si>
  <si>
    <t>PE sứ 40x780</t>
  </si>
  <si>
    <t>sp 1075</t>
  </si>
  <si>
    <t>Túi giống lúa lai 838 cấp giống hạt lai F1 tiếng trung 1kg Thái Bình</t>
  </si>
  <si>
    <t>sp 1076</t>
  </si>
  <si>
    <t>Túi giống lúa lai 838 cấp giống hạt lai F1 tiếng trung 40kg Thái Bình</t>
  </si>
  <si>
    <t>SP 1077</t>
  </si>
  <si>
    <t>Cuộn bột giặt WON 1kg - Đức Giang</t>
  </si>
  <si>
    <t>MPET12x520</t>
  </si>
  <si>
    <t>PE 70x520</t>
  </si>
  <si>
    <t>0.0055(0.0025,0.003)</t>
  </si>
  <si>
    <t>Công ty CP Tập đoàn Hóa Chất Đức Giang</t>
  </si>
  <si>
    <t>SP 1078</t>
  </si>
  <si>
    <t>Túi trà quả cầu xanh TC 200g loại 21</t>
  </si>
  <si>
    <t>0.0053 ( 0.0023, 0.003)</t>
  </si>
  <si>
    <t>SP 1079</t>
  </si>
  <si>
    <t>Túi trà quả cầu xanh ĐS 200g loại 21</t>
  </si>
  <si>
    <t>SP 1080</t>
  </si>
  <si>
    <t>Túi trà ấm nghiêng TC 100gr loại 17</t>
  </si>
  <si>
    <t>SP 1081</t>
  </si>
  <si>
    <t>Túi trà ấm nghiêng ĐS 100g loại 17</t>
  </si>
  <si>
    <t>SP 1082</t>
  </si>
  <si>
    <t>Túi trà lụa TC 200gr loại 5</t>
  </si>
  <si>
    <t>PE 70x620</t>
  </si>
  <si>
    <t>SP 1083</t>
  </si>
  <si>
    <t>Túi trà thượng hạng TC 200g loại 15</t>
  </si>
  <si>
    <t>SP 1084</t>
  </si>
  <si>
    <t>Túi trà thượng hạng đặc sản 200g loại 15</t>
  </si>
  <si>
    <t>SP 1085</t>
  </si>
  <si>
    <t>Cuộn trà túi lọc Giảo Cổ Lam 2gr- Tuệ Linh</t>
  </si>
  <si>
    <t>OPP 30x795</t>
  </si>
  <si>
    <t>MCPP 25x795</t>
  </si>
  <si>
    <t>CÔNG TY CỔ PHẦN CHÈ KIM ANH</t>
  </si>
  <si>
    <t>SP 1086</t>
  </si>
  <si>
    <t>Cuộn không in bốn lớp khổ 510 Innovative</t>
  </si>
  <si>
    <t>PET 12x530</t>
  </si>
  <si>
    <t>AL 6x530</t>
  </si>
  <si>
    <t>Ghép 2 :PA 15x530
Ghép 3: PE 110x530</t>
  </si>
  <si>
    <t>0.0075(0.0025,0.0025,0.0025)</t>
  </si>
  <si>
    <t>Công ty Innovative shield Việt Nam</t>
  </si>
  <si>
    <t>SP 1087</t>
  </si>
  <si>
    <t>Túi lúa BC15 XN2 mới 2020 1kg Thái Bình</t>
  </si>
  <si>
    <t>SP 1088</t>
  </si>
  <si>
    <t>Túi lúa BC15 XN2 mới 2020 40kg Thái Bình</t>
  </si>
  <si>
    <t>SP 1089</t>
  </si>
  <si>
    <t>Túi kẹo lạc vừng 250gr Đình Mạnh</t>
  </si>
  <si>
    <t>CPP 40x620</t>
  </si>
  <si>
    <t>CƠ SỞ BÁNH KẸO ĐÌNH MẠNH</t>
  </si>
  <si>
    <t>SP 1090</t>
  </si>
  <si>
    <t>Túi trà logo TC in màu 500g loại 9</t>
  </si>
  <si>
    <t>SP 1091</t>
  </si>
  <si>
    <t>Túi trà logo TC in màu 200g loại 9</t>
  </si>
  <si>
    <t>SP 1092</t>
  </si>
  <si>
    <t>Túi bột giặt NIF 6kg- MKL</t>
  </si>
  <si>
    <t>PE sứ 130x820</t>
  </si>
  <si>
    <t>Công ty CP Tập đoàn đầu tư và PT MKL</t>
  </si>
  <si>
    <t>SP 1093</t>
  </si>
  <si>
    <t>Túi trà quả cầu xanh TC 100gr loại 21</t>
  </si>
  <si>
    <t>SP 1094</t>
  </si>
  <si>
    <t>Túi trà quả cầu xanh ĐS 100gr loại 21</t>
  </si>
  <si>
    <t>SP 1095</t>
  </si>
  <si>
    <t>Túi bánh pingo hương sữa 414gr Libra</t>
  </si>
  <si>
    <t>OPP 30x610</t>
  </si>
  <si>
    <t>CPP 40x610</t>
  </si>
  <si>
    <t>SP 1096</t>
  </si>
  <si>
    <t>Cuộn trà hương táo bigtea Vĩnh Phúc</t>
  </si>
  <si>
    <t>SP 1097</t>
  </si>
  <si>
    <t>Cuộn trà hương xoài bigtea Vĩnh Phúc</t>
  </si>
  <si>
    <t>SP 1098</t>
  </si>
  <si>
    <t>Cuộn trà hương dâu bigtea Vĩnh Phúc</t>
  </si>
  <si>
    <t>SP 1099</t>
  </si>
  <si>
    <t>Cuộn trà hương đào bigtea Vĩnh Phúc</t>
  </si>
  <si>
    <t>SP 1100</t>
  </si>
  <si>
    <t>Cuộn trà hương trà xanh bigtea Vĩnh Phúc</t>
  </si>
  <si>
    <t>SP 1101</t>
  </si>
  <si>
    <t>Cuộn bánh pingo hương sữa 34,5gr  Libra</t>
  </si>
  <si>
    <t>CPP 25x720</t>
  </si>
  <si>
    <t>KDM</t>
  </si>
  <si>
    <t>SP 1102</t>
  </si>
  <si>
    <t>Cuộn men rượu hương nếp Trung Tiến</t>
  </si>
  <si>
    <t>OPP 20x910</t>
  </si>
  <si>
    <t>PE 25x910</t>
  </si>
  <si>
    <t>3c/cây</t>
  </si>
  <si>
    <t>SP 1103</t>
  </si>
  <si>
    <t>Túi kẹo mềm cao cấp suri 330gr Hữu Nghị</t>
  </si>
  <si>
    <t>CPP 50x860</t>
  </si>
  <si>
    <t>SP 1104</t>
  </si>
  <si>
    <t>Túi trà bát giác TC không khối lượng loại 22</t>
  </si>
  <si>
    <t>0.0053(0.0023,0.003)</t>
  </si>
  <si>
    <t>túi HLXH</t>
  </si>
  <si>
    <t>Thùng cartoon</t>
  </si>
  <si>
    <t>SP 1105</t>
  </si>
  <si>
    <t>Cuộn đường kính trắng Chúc Mừng Năm Mới 1kg - Vilitas</t>
  </si>
  <si>
    <t>CÔNG TY TNHH MTV VILITAS THÁI BÌNH</t>
  </si>
  <si>
    <t>SP 1106</t>
  </si>
  <si>
    <t>Cuộn thuốc thú y Sutrim 100gr Năm Thái</t>
  </si>
  <si>
    <t>PE 80x590</t>
  </si>
  <si>
    <t>0.005(0.0025,0.0025)</t>
  </si>
  <si>
    <t>Công ty Năm Thái</t>
  </si>
  <si>
    <t>SP 1107</t>
  </si>
  <si>
    <t>Túi bánh pingo hương sữa 186gr Libra</t>
  </si>
  <si>
    <t>OPP 30x480</t>
  </si>
  <si>
    <t>CPP 30x480</t>
  </si>
  <si>
    <t>SP 1108</t>
  </si>
  <si>
    <t>Cuộn bánh quẩy Hải Sản cay 100gr - Anko</t>
  </si>
  <si>
    <t>0.005(0.0025, 0.0025)</t>
  </si>
  <si>
    <t>CÔNG TY SX VÀ TM ASI MIỀN BẮC</t>
  </si>
  <si>
    <t>SP 1109</t>
  </si>
  <si>
    <t>Cuộn kẹo lạc vừng 300gr Đình Mạnh</t>
  </si>
  <si>
    <t>OPP 30x830</t>
  </si>
  <si>
    <t>CPP 40x830</t>
  </si>
  <si>
    <t>SP 1110</t>
  </si>
  <si>
    <t>Túi kẹo lạc kẹo dồi 320gr Đình Mạnh</t>
  </si>
  <si>
    <t>OPP 30x920</t>
  </si>
  <si>
    <t>CPP 50x920</t>
  </si>
  <si>
    <t>SP 1111</t>
  </si>
  <si>
    <t>Túi trà chữ đỏ lá vàng in 4 màu TC 100gr loại 10</t>
  </si>
  <si>
    <t>SP 1112</t>
  </si>
  <si>
    <t>Túi trà ấm nghiêng TC và ĐS 200gr loại 17</t>
  </si>
  <si>
    <t>SP 1113</t>
  </si>
  <si>
    <t>Túi bánh nhân sữa chua doll doll 120gr - Châu Á</t>
  </si>
  <si>
    <t>PE 40x700</t>
  </si>
  <si>
    <t>ba biên</t>
  </si>
  <si>
    <t>Công ty TNHH Bánh châu Á</t>
  </si>
  <si>
    <t>SP 1113A</t>
  </si>
  <si>
    <t>Túi bánh nhân sữa chua doll doll 132gr - Châu Á</t>
  </si>
  <si>
    <t>SP 1114</t>
  </si>
  <si>
    <t xml:space="preserve">Túi trà hương lài tam mã 70gr Vĩnh Phúc </t>
  </si>
  <si>
    <t>SP 1115</t>
  </si>
  <si>
    <t>Cuộn đường kính trắng Lam Sơn white sugar 1kg</t>
  </si>
  <si>
    <t>PE 55x820</t>
  </si>
  <si>
    <t>Công ty CP mía đường Lam Sơn</t>
  </si>
  <si>
    <t>1c/cây</t>
  </si>
  <si>
    <t>SP 1116</t>
  </si>
  <si>
    <t>Cuộn đường vàng tinh khiết Lam Sơn 1kg - Lasuco</t>
  </si>
  <si>
    <t>PE 60x820</t>
  </si>
  <si>
    <t>SP 1116P</t>
  </si>
  <si>
    <t>Cuộn đường vàng tinh khiết Lam Sơn 1kg ( màng PET) - Lasuco</t>
  </si>
  <si>
    <t>SP 1117</t>
  </si>
  <si>
    <t>Túi bánh mỳ Sandwich 275gr - Bảo Ngọc</t>
  </si>
  <si>
    <t>CPP 25x900</t>
  </si>
  <si>
    <t>túi hàng lưng xếp hông lệch</t>
  </si>
  <si>
    <t>Công ty CP đầu tư SX Bảo Ngọc</t>
  </si>
  <si>
    <t>SP 1118</t>
  </si>
  <si>
    <t>Túi thuốc trừ bệnh mancozeb xanh 80WP redsun</t>
  </si>
  <si>
    <t>0.0046(0.0023, 0.0023)</t>
  </si>
  <si>
    <t>Công ty Red sun</t>
  </si>
  <si>
    <t>SP 1119</t>
  </si>
  <si>
    <t>Túi đựng hóa chất 1kg - Đức Giang</t>
  </si>
  <si>
    <t>PE 80x740</t>
  </si>
  <si>
    <t>SP 1120</t>
  </si>
  <si>
    <t>Túi hoạt huyết dưỡng não 5 vỉ traphaco</t>
  </si>
  <si>
    <t>OPP 20x716</t>
  </si>
  <si>
    <t>Al 6x716</t>
  </si>
  <si>
    <t>PE 55x726</t>
  </si>
  <si>
    <t>Công ty CP Traphaco</t>
  </si>
  <si>
    <t>SP 1121</t>
  </si>
  <si>
    <t>Túi boganic forte 5 vỉ nang mềm traphaco</t>
  </si>
  <si>
    <t>OPP 20x836</t>
  </si>
  <si>
    <t>Al 6x836</t>
  </si>
  <si>
    <t>PE 55x846</t>
  </si>
  <si>
    <t>SP 1122</t>
  </si>
  <si>
    <t>Túi cebraton 5 vỉ nang mềm traphaco</t>
  </si>
  <si>
    <t>OPP 20x782</t>
  </si>
  <si>
    <t>Al 6x782</t>
  </si>
  <si>
    <t>PE 55x792</t>
  </si>
  <si>
    <t>SP 1123</t>
  </si>
  <si>
    <t>Túi bột giặt hương hoa tự nhiên NIF 1,5kg - MKL</t>
  </si>
  <si>
    <t>PE sứ 90x560</t>
  </si>
  <si>
    <t>Công ty CP Tập đoàn Đầu tư và phát triển MKL</t>
  </si>
  <si>
    <t>SP 1124</t>
  </si>
  <si>
    <t>Cuộn màng tấm ốp văn hoa cơ điện</t>
  </si>
  <si>
    <t>PE 40x1240</t>
  </si>
  <si>
    <t>Công ty Cơ điện</t>
  </si>
  <si>
    <t>SP 1125</t>
  </si>
  <si>
    <t>Túi men rượu hương nếp trung tiến 500gr mới</t>
  </si>
  <si>
    <t>MCPP 35x395-CPP 35x395</t>
  </si>
  <si>
    <t>SP 1126</t>
  </si>
  <si>
    <t>Cuộn màng HS cozy hương đào túi nhúng T4 Vĩnh Phúc</t>
  </si>
  <si>
    <t>SP 1127</t>
  </si>
  <si>
    <t>Cuộn thuốc thú y T.eimerin cầu trùng năm thái 100gr</t>
  </si>
  <si>
    <t>OPP 30x770</t>
  </si>
  <si>
    <t>PE 35x770</t>
  </si>
  <si>
    <t>0.0046 ( 0.0023, 0.0023)</t>
  </si>
  <si>
    <t>SP 1128</t>
  </si>
  <si>
    <t>Cuộn thuốc thú y T.I.C 100gr Năm Thái</t>
  </si>
  <si>
    <t>SP 1129</t>
  </si>
  <si>
    <t>Cuộn thuốc thú y doxyvit- thái 100gr Năm Thái</t>
  </si>
  <si>
    <t>SP 1130</t>
  </si>
  <si>
    <t>Cuộn thuốc thú y costop - TA 100gr Năm Thái</t>
  </si>
  <si>
    <t>SP 1131</t>
  </si>
  <si>
    <t>Cuộn thuốc thú y giải độc gan 100gr năm thái</t>
  </si>
  <si>
    <t>SP 1132</t>
  </si>
  <si>
    <t>Cuộn thuốc thú y embrio stimulan 100gr Năm Thái</t>
  </si>
  <si>
    <t>SP 1133</t>
  </si>
  <si>
    <t>Cuộn thuốc thú ý giải độc gan thận lách - TA 100gr Năm Thái</t>
  </si>
  <si>
    <t>2c/cây</t>
  </si>
  <si>
    <t>SP 1134</t>
  </si>
  <si>
    <t>Cuộn thuốc thú y super vitamin S 100gr Năm Thái</t>
  </si>
  <si>
    <t>SP 1135</t>
  </si>
  <si>
    <t>Cuộn thuốc thú ý super vitamin 100gr Năm Thái</t>
  </si>
  <si>
    <t>SP 1136</t>
  </si>
  <si>
    <t>Túi khăn hạ sốt mã vạch 082 Dr.papie - Starmed</t>
  </si>
  <si>
    <t>OPP mờ 20x800</t>
  </si>
  <si>
    <t>Công ty CP dược phẩm Starmed</t>
  </si>
  <si>
    <t>SP 1137</t>
  </si>
  <si>
    <t>Túi khăn hạ sốt mã vạch 099 Dr.papie - Starmed</t>
  </si>
  <si>
    <t>SP 1138</t>
  </si>
  <si>
    <t>SP 1139</t>
  </si>
  <si>
    <t>Cuộn màng PE xingfa ba màu cơ điện</t>
  </si>
  <si>
    <t>PE đen trắng 60x1235</t>
  </si>
  <si>
    <t>PE 30x1235</t>
  </si>
  <si>
    <t>SP 1140</t>
  </si>
  <si>
    <t>Túi bánh kẹp kem sữa arita 270gr Hữu Nghị</t>
  </si>
  <si>
    <t>OPP 30x940</t>
  </si>
  <si>
    <t>CPP 25x940</t>
  </si>
  <si>
    <t>SP 1141</t>
  </si>
  <si>
    <t>Túi thuốc thú y hai màu 1kg Năm Thái</t>
  </si>
  <si>
    <t>PE 120x810</t>
  </si>
  <si>
    <t>0.006(0.003,0.003)</t>
  </si>
  <si>
    <t>SP 1142</t>
  </si>
  <si>
    <t>Cuộn thuốc thú y Tydox TA 100gr Năm Thái</t>
  </si>
  <si>
    <t>SP 1143</t>
  </si>
  <si>
    <t>Cuộn thuốc thú y Hepaton 100gr Năm Thái</t>
  </si>
  <si>
    <t>SP 1144</t>
  </si>
  <si>
    <t>Cuộn thuốc thú y CCRD năm thái 100gr</t>
  </si>
  <si>
    <t>SP 1145</t>
  </si>
  <si>
    <t>Cuộn thuốc thú y Tcoryzine 100gr Năm Thái</t>
  </si>
  <si>
    <t>SP 1146</t>
  </si>
  <si>
    <t>Cuộn thuốc thú y T.cúm gia súc 100gr Năm Thái</t>
  </si>
  <si>
    <t>SP 1147</t>
  </si>
  <si>
    <t>Cuộn thuốc thú y gentafam 1 100gr Năm Thái</t>
  </si>
  <si>
    <t>SP 1148</t>
  </si>
  <si>
    <t>Cuộn thuốc thú y Super cox 100gr Năm Thái</t>
  </si>
  <si>
    <t>SP 1149</t>
  </si>
  <si>
    <t>Cuộn thuốc thú y anti gum 100gr Năm Thái</t>
  </si>
  <si>
    <t>SP 1150</t>
  </si>
  <si>
    <t>Cuộn thuốc thú y T.colivit 100gr Năm Thái</t>
  </si>
  <si>
    <t>SP 1151</t>
  </si>
  <si>
    <t>Cuộn thuốc thú y T.umgiaca 100gr Năm Thái</t>
  </si>
  <si>
    <t>SP 1152</t>
  </si>
  <si>
    <t>Cuộn màng nhôm Xingfa PPTD asa cơ điện</t>
  </si>
  <si>
    <t>PE đt 60x1240</t>
  </si>
  <si>
    <t>PE 30x1240</t>
  </si>
  <si>
    <t>SP 1153</t>
  </si>
  <si>
    <t>Cuộn thuốc thú y anti.crd.la 100gr Năm Thái</t>
  </si>
  <si>
    <t>SP 1154</t>
  </si>
  <si>
    <t>Cuộn thuốc thú y fungicid 100gr Năm Thái</t>
  </si>
  <si>
    <t>SP 1155</t>
  </si>
  <si>
    <t>Cuộn bánh gạo nhật NAKKI hương vị bò - Okifood</t>
  </si>
  <si>
    <t>OPP 20x1020</t>
  </si>
  <si>
    <t>CPP 20x1020</t>
  </si>
  <si>
    <t>Công ty TNHH Okifood Việt Nam</t>
  </si>
  <si>
    <t>SP 1156</t>
  </si>
  <si>
    <t>Túi bánh gạo nhật NAKKI màu đỏ hương vị bò loại mặn 150gr - Okifood</t>
  </si>
  <si>
    <t>OPP 30x840</t>
  </si>
  <si>
    <t>MCPP 35x840</t>
  </si>
  <si>
    <t>SP 1157</t>
  </si>
  <si>
    <t>Túi thuốc thú y Zipper 4 màu 1kg - Hùng Nguyên</t>
  </si>
  <si>
    <t>PE 145x820</t>
  </si>
  <si>
    <t>0.006 ( 0.003, 0.003)</t>
  </si>
  <si>
    <t>túi zipper đáy đứng</t>
  </si>
  <si>
    <t>Công ty CP Hùng Nguyên</t>
  </si>
  <si>
    <t>SP 1158</t>
  </si>
  <si>
    <t>Cuộn bánh snacks ocean fish vị tôm nướng 25gr Libra</t>
  </si>
  <si>
    <t>PE 35x660</t>
  </si>
  <si>
    <t>0.0048 ( 0.0023, 0.0025)</t>
  </si>
  <si>
    <t>SP 1159</t>
  </si>
  <si>
    <t>Cuộn thuốc thú y TĐG. Năm Thái 100gr</t>
  </si>
  <si>
    <t>SP 1160</t>
  </si>
  <si>
    <t>Cuộn thuốc thú y Sutrim 100gr Năm Thái khổ 250x175mm</t>
  </si>
  <si>
    <t>SP 1161</t>
  </si>
  <si>
    <t>Túi viên nang cứng ích mẫu 67x150x16 mm Traphaco CNC</t>
  </si>
  <si>
    <t>CPP 55x770</t>
  </si>
  <si>
    <t>Công ty CP Công nghệ cao Traphaco</t>
  </si>
  <si>
    <t>SP 1162-ĐM01</t>
  </si>
  <si>
    <t>Cuộn đựng khăn ướt in một màu hở màng 13mm phúc tín đen mờ</t>
  </si>
  <si>
    <t>Công ty Phúc Tín</t>
  </si>
  <si>
    <t>SP 1162-ĐB02</t>
  </si>
  <si>
    <t>Cuộn đựng khăn ướt in một màu hở màng 13mm phúc tín đen bóng</t>
  </si>
  <si>
    <t>SP 1162-ĐT03</t>
  </si>
  <si>
    <t>Cuộn đựng khăn ướt in một màu hở màng 13mm phúc tín đỏ tươi</t>
  </si>
  <si>
    <t>SP 1162-ĐĐ04</t>
  </si>
  <si>
    <t>Cuộn đựng khăn ướt in một màu hở màng 13mm phúc tín đỏ đô</t>
  </si>
  <si>
    <t>SP 1162- TS05</t>
  </si>
  <si>
    <t>Cuộn đựng khăn ướt in một màu hở màng 13mm phúc tín trắng sứ</t>
  </si>
  <si>
    <t>SP 1162-N06</t>
  </si>
  <si>
    <t>Cuộn đựng khăn ướt in một màu hở màng 13mm phúc tín nâu</t>
  </si>
  <si>
    <t>SP 1162-XD07</t>
  </si>
  <si>
    <t>Cuộn đựng khăn ướt in một màu hở màng 13mm phúc tín xanh dương</t>
  </si>
  <si>
    <t>1659m</t>
  </si>
  <si>
    <t>SP 1162-XT08</t>
  </si>
  <si>
    <t>Cuộn đựng khăn ướt in một màu hở màng 13mm phúc tín xanh tím</t>
  </si>
  <si>
    <t>SP 1162-VK09</t>
  </si>
  <si>
    <t>Cuộn đựng khăn ướt in một màu hở màng 13mm phúc tín vàng kem</t>
  </si>
  <si>
    <t>SP 1162-VC10</t>
  </si>
  <si>
    <t>Cuộn đựng khăn ướt in một màu hở màng 13mm phúc tín vàng cháy</t>
  </si>
  <si>
    <t>SP 1162-VĐ11</t>
  </si>
  <si>
    <t>Cuộn đựng khăn ướt in một màu hở màng 13mm phúc tín vàng đồng</t>
  </si>
  <si>
    <t>SP 1163</t>
  </si>
  <si>
    <t>Cuộn thuốc thú y TA.Gluco.K.C 100gr Năm Thái</t>
  </si>
  <si>
    <t>SP 1164</t>
  </si>
  <si>
    <t>Cuộn thuốc thú y Gluco.K.C.B2 100gr Năm Thái</t>
  </si>
  <si>
    <t>SP 1165</t>
  </si>
  <si>
    <t>Cuộn màng dán khay thịt nhật nguyên</t>
  </si>
  <si>
    <t>SP 1166</t>
  </si>
  <si>
    <t>Cuộn thuốc thú y không in ghép PE sứ khổ 240 Winvet</t>
  </si>
  <si>
    <t>OPP 20x980</t>
  </si>
  <si>
    <t>PE sứ 80x980</t>
  </si>
  <si>
    <t>Công ty Winvet</t>
  </si>
  <si>
    <t>SP 1167</t>
  </si>
  <si>
    <t>Túi giống ngô nếp TBM18 100gr Thái Bình</t>
  </si>
  <si>
    <t>MPET12x800</t>
  </si>
  <si>
    <t>PE 85x800</t>
  </si>
  <si>
    <t>SP 1169</t>
  </si>
  <si>
    <t>Cuộn thuốc thú y T.Flox C 100gr Năm Thái</t>
  </si>
  <si>
    <t>SP 1170</t>
  </si>
  <si>
    <t>Túi trà lụa đỏ tân cương và đặc sản thượng hạng 100gr loại 23</t>
  </si>
  <si>
    <t>0.0053(0.0023, 0.003)</t>
  </si>
  <si>
    <t>SP 1171</t>
  </si>
  <si>
    <t>Túi bánh Sapie chocolate Pie bánh mềm phủ socola 180gr- Anko</t>
  </si>
  <si>
    <t>PE 50x710</t>
  </si>
  <si>
    <t>Công ty SX và TM ASI Miền Bắc</t>
  </si>
  <si>
    <t>SP 1172</t>
  </si>
  <si>
    <t>Túi gạo nhất hương 10kg Thái Bình</t>
  </si>
  <si>
    <t>SP 1173</t>
  </si>
  <si>
    <t>Cuôn bánh gạo NAKKI vị phô mai ngô - Okifood</t>
  </si>
  <si>
    <t>OPP mờ 20x1020</t>
  </si>
  <si>
    <t>Công ty TNHH okifood Việt Nam</t>
  </si>
  <si>
    <t>SP 1174</t>
  </si>
  <si>
    <t>Cuộn thuốc thú y TA.Neo 40 100gr Năm Thái</t>
  </si>
  <si>
    <t>SP 1175</t>
  </si>
  <si>
    <t>Cuộn thuốc thú y in một màu trắng khổ 260 100gr Bắc Việt</t>
  </si>
  <si>
    <t>Al6x800</t>
  </si>
  <si>
    <t>PE100x810</t>
  </si>
  <si>
    <t>Công ty Bắc Việt</t>
  </si>
  <si>
    <t>SP 1176</t>
  </si>
  <si>
    <t>Cuộn màng PE xingfa lion in 4 màu cơ điện</t>
  </si>
  <si>
    <t>PE đt 60x1235</t>
  </si>
  <si>
    <t>SP 1177</t>
  </si>
  <si>
    <t>Túi nhôm hà thủ ô 66c180x40 mm CNC Traphaco</t>
  </si>
  <si>
    <t>PET 12x716</t>
  </si>
  <si>
    <t>CPP 55x726</t>
  </si>
  <si>
    <t>SP 1178</t>
  </si>
  <si>
    <t>Cuộn màng in logo hunter TH Việt</t>
  </si>
  <si>
    <t>PE 60x1270</t>
  </si>
  <si>
    <t>Công ty TH Việt</t>
  </si>
  <si>
    <t>Hạt 2L không  PG</t>
  </si>
  <si>
    <t>Hạt 1L</t>
  </si>
  <si>
    <t>Hạt đen</t>
  </si>
  <si>
    <t>SP 1179</t>
  </si>
  <si>
    <t>Túi gạo nhật Japonica 5kg Richy</t>
  </si>
  <si>
    <t>PA 15x700</t>
  </si>
  <si>
    <t>PE 110x700</t>
  </si>
  <si>
    <t>Công ty CP thực phẩm Richy miền Bắc</t>
  </si>
  <si>
    <t>SP 1180</t>
  </si>
  <si>
    <t>Túi bánh gạo Nhật NAKKI vị ngọt dịu hương cốm 135gr - Okifood</t>
  </si>
  <si>
    <t>OPP mờ 20x880</t>
  </si>
  <si>
    <t>MCPP 35x880</t>
  </si>
  <si>
    <t>Công ty TNHH Okifood</t>
  </si>
  <si>
    <t>SP 1181</t>
  </si>
  <si>
    <t>Cuôn màng PE trong in chữ suncopanel TH Việt</t>
  </si>
  <si>
    <t>PE 50x1030</t>
  </si>
  <si>
    <t>SP 1182</t>
  </si>
  <si>
    <t>Cuộn màng PE đen trắng in chữ TPG TH Việt</t>
  </si>
  <si>
    <t>PE 25x1240</t>
  </si>
  <si>
    <t>cuộn 2500m</t>
  </si>
  <si>
    <t>SP 1183</t>
  </si>
  <si>
    <t>Túi hạt giống cải cúc ta và cải cúc tẻ chọn lọc việt nhật ( 09SP)</t>
  </si>
  <si>
    <t>Công ty giống Việt Nhật</t>
  </si>
  <si>
    <t>SP 1184</t>
  </si>
  <si>
    <t>Cuộn hạt giống đậu bụi cove và cải cúc nếp chọn lọc việt nhật ( 03SP)</t>
  </si>
  <si>
    <t>SP 1185</t>
  </si>
  <si>
    <t>Cuộn thuốc thú y Oxytetra sul 100gr - Hùng Nguyên</t>
  </si>
  <si>
    <t>PET 12x540</t>
  </si>
  <si>
    <t>MPET 12x540</t>
  </si>
  <si>
    <t>SP 1186</t>
  </si>
  <si>
    <t>Cuộn thuốc thú y NGH - Anticoocid 50gr - Hùng Nguyên</t>
  </si>
  <si>
    <t>cuộn 500m</t>
  </si>
  <si>
    <t>SP 1187</t>
  </si>
  <si>
    <t>Cuộn màng PE đen trắng in không ghép chữ BVN nhôm Việt Nhật TH Việt</t>
  </si>
  <si>
    <t>PE đt 55x1230</t>
  </si>
  <si>
    <t>PP</t>
  </si>
  <si>
    <t>SP 1188</t>
  </si>
  <si>
    <t>SP 1189</t>
  </si>
  <si>
    <t>Cuộn màng PE đen trắng in không ghép chữ arkuda TH Việt</t>
  </si>
  <si>
    <t>PE đt 70x1230</t>
  </si>
  <si>
    <t>SP 1190</t>
  </si>
  <si>
    <t>Túi nhôm tradin extra 2 vỉ x 10 viên nang cứng CNC Traphaco</t>
  </si>
  <si>
    <t>AL 6x760</t>
  </si>
  <si>
    <t>0.005 ( 0.0025, 0.0025)</t>
  </si>
  <si>
    <t>SP 1191</t>
  </si>
  <si>
    <t>Cuộn màng PE đen trắng in không ghép chữ BVN nhôm Việt Nhật VT63 Vip TH Việt</t>
  </si>
  <si>
    <t>PE</t>
  </si>
  <si>
    <t>SP 1192</t>
  </si>
  <si>
    <t>Túi PA in hình con gà đỏ KT 300x450mm bao bì Việt</t>
  </si>
  <si>
    <t>PA</t>
  </si>
  <si>
    <t>PE 65x620</t>
  </si>
  <si>
    <t>Công ty bao bì Viêt</t>
  </si>
  <si>
    <t>SP 1193</t>
  </si>
  <si>
    <t>Túi bánh trứng chà bông không in karo 26gr x 24 richy</t>
  </si>
  <si>
    <t>CPP 30x840</t>
  </si>
  <si>
    <t>Công ty CP thực phẩm Richy Miền Bắc</t>
  </si>
  <si>
    <t>SP 1194</t>
  </si>
  <si>
    <t>Cuộn màng bánh HCT cookies - Hoàng Chiến Thắng</t>
  </si>
  <si>
    <t>CPP 20x820</t>
  </si>
  <si>
    <t>Công ty TNHH Hoàng Chiến Thắng</t>
  </si>
  <si>
    <t>SP 1195</t>
  </si>
  <si>
    <t>Cuộn bánh kẹp kem xoài mango diamond food</t>
  </si>
  <si>
    <t>OPP mờ 20x720</t>
  </si>
  <si>
    <t>Công ty CP diamond food</t>
  </si>
  <si>
    <t>SP 1196</t>
  </si>
  <si>
    <t>Túi hương trầm liên đức hương thơm đậu tàn KT160x465</t>
  </si>
  <si>
    <t>PE 25x660</t>
  </si>
  <si>
    <t>Hương Liên Đức</t>
  </si>
  <si>
    <t>SP 1197</t>
  </si>
  <si>
    <t>Túi gạo không in HCK 1kg KT 200x280mm Thái Bình</t>
  </si>
  <si>
    <t>SP 1198</t>
  </si>
  <si>
    <t>Cuộn bột giặt O'well 4.1kg - Hải Phòng</t>
  </si>
  <si>
    <t>PA 15x750</t>
  </si>
  <si>
    <t>PE sứ 130x750</t>
  </si>
  <si>
    <t>Công ty CP PT Thương Mại Hải Phong</t>
  </si>
  <si>
    <t>SP 1199</t>
  </si>
  <si>
    <t>Túi nhôm không in KT 70x190x40- TPP France</t>
  </si>
  <si>
    <t>Al6x740</t>
  </si>
  <si>
    <t>PE70x750</t>
  </si>
  <si>
    <t>Công ty CP Liên Doanh Dược Phẩm TPP France</t>
  </si>
  <si>
    <t>SP 1200</t>
  </si>
  <si>
    <t>Túi nhôm không in KT 110x230x75-TPP France</t>
  </si>
  <si>
    <t>PET12x800</t>
  </si>
  <si>
    <t>PE70x810</t>
  </si>
  <si>
    <t>SP 1201</t>
  </si>
  <si>
    <t>Túi nhôm andiabet 5 vỉ x 10 viên nang cứng Traphaco</t>
  </si>
  <si>
    <t>OPP 20x698</t>
  </si>
  <si>
    <t>Al 6x698</t>
  </si>
  <si>
    <t>PE 55x698</t>
  </si>
  <si>
    <t>SP 1202</t>
  </si>
  <si>
    <t>Túi nhôm Lubrex gold 6 vỉ x 10 viên nang cứng Traphaco</t>
  </si>
  <si>
    <t>PE 55x790</t>
  </si>
  <si>
    <t>SP 1203</t>
  </si>
  <si>
    <t>Túi nhôm Boganic forte 10 vỉ x 10 viên nang mềm Traphaco</t>
  </si>
  <si>
    <t>Al 6x 860</t>
  </si>
  <si>
    <t>PE 55x870</t>
  </si>
  <si>
    <t>SP 1204</t>
  </si>
  <si>
    <t>Cuộn thuốc thú y T.Colivit in 4 màu 100gr khổ 280 Năm Thái</t>
  </si>
  <si>
    <t>AL 6x860</t>
  </si>
  <si>
    <t>PE 80x870</t>
  </si>
  <si>
    <t>0.0055(0.0025, 0.003)</t>
  </si>
  <si>
    <t>cuộn 700m</t>
  </si>
  <si>
    <t>SP 1205</t>
  </si>
  <si>
    <t>Túi nhôm không in KT 120x185x45mm - TPP France</t>
  </si>
  <si>
    <t>Công ty CP Liên Doanh dược phẩm TPP - France</t>
  </si>
  <si>
    <t>SP 1206</t>
  </si>
  <si>
    <t>Túi nhôm sáng mắt 3 vỉ x10 viên nang mềm Traphaco</t>
  </si>
  <si>
    <t>SP 1207</t>
  </si>
  <si>
    <t>Túi nhôm không in KT 73x207x44mm Traphaco</t>
  </si>
  <si>
    <t>PE 55x780</t>
  </si>
  <si>
    <t>Công ty CNC Traphaco</t>
  </si>
  <si>
    <t>SP 1208</t>
  </si>
  <si>
    <t>Túi bánh gạo lứt HCT 180gr - Chiến Thắng</t>
  </si>
  <si>
    <t>OPP 30x930</t>
  </si>
  <si>
    <t>PE 40x930</t>
  </si>
  <si>
    <t>SP 1209</t>
  </si>
  <si>
    <t>Túi thuốc thú y 1kg nasavet</t>
  </si>
  <si>
    <t>0.006(0.003, 0.003)</t>
  </si>
  <si>
    <t>Công ty thuốc thú y Nasavet</t>
  </si>
  <si>
    <t>SP 1210</t>
  </si>
  <si>
    <t>Cuộn bánh snacks ocean fish vị cà chua 25gr Libra</t>
  </si>
  <si>
    <t>SP 1211</t>
  </si>
  <si>
    <t>Túi bánh gạo Nhật NAKKI vị ngọt dịu hương cốm 200gr - Okifood</t>
  </si>
  <si>
    <t>OPP mờ 20x590</t>
  </si>
  <si>
    <t>MCPP 35x590</t>
  </si>
  <si>
    <t>SP 1212</t>
  </si>
  <si>
    <t>Cuộn bánh gạo nhật NAKKI hương cốm vị dịu ngọt - okifood</t>
  </si>
  <si>
    <t>OPP mờ 20x1040</t>
  </si>
  <si>
    <t>CPP 20x1040</t>
  </si>
  <si>
    <t>SP 1213</t>
  </si>
  <si>
    <t>Cuộn bánh gạo nhật NAKKI vị mặn hương vị bò ( cũ) - okifood</t>
  </si>
  <si>
    <t>SP 1214</t>
  </si>
  <si>
    <t>Túi bánh gạo nhật NAKKI màu vàng hương vị bò loại mặn ( cũ) 150gr - Okifood</t>
  </si>
  <si>
    <t>CPP 35x840</t>
  </si>
  <si>
    <t>SP 1215</t>
  </si>
  <si>
    <t>Cuộn thuốc thú y in một màu trắng 100gr khổ 250 Năm Thái</t>
  </si>
  <si>
    <t>SP 1216</t>
  </si>
  <si>
    <t>Cuộn thuốc thú y Winvet 100gr Winvet</t>
  </si>
  <si>
    <t>PE 110x810</t>
  </si>
  <si>
    <t>SP 1217</t>
  </si>
  <si>
    <t>Túi thuốc thú y Winvet 1kg Winvet</t>
  </si>
  <si>
    <t>AL 6x720</t>
  </si>
  <si>
    <t>PE 120x730</t>
  </si>
  <si>
    <t>SP 1218</t>
  </si>
  <si>
    <t>Cuộn hạt giống cải bẹ mào gà 09 chọn lọc và cải xanh lùn thanh giang việt nhật ( 03SP)</t>
  </si>
  <si>
    <t>PE 85x740</t>
  </si>
  <si>
    <t>700m</t>
  </si>
  <si>
    <t>SP 1219</t>
  </si>
  <si>
    <t>Túi PE Nhân Hưng KT 58x150x28mm</t>
  </si>
  <si>
    <t>PE 50x790</t>
  </si>
  <si>
    <t>Công ty TNHH dược phẩm Cát Linh</t>
  </si>
  <si>
    <t>SP 1220</t>
  </si>
  <si>
    <t>Cuộn kem sữa chua tươi vị cam 40gr love milk</t>
  </si>
  <si>
    <t>PE sứ 40x820</t>
  </si>
  <si>
    <t>Công ty TNHH Love milk</t>
  </si>
  <si>
    <t>1000m</t>
  </si>
  <si>
    <t>SP 1221</t>
  </si>
  <si>
    <t>Cuộn kem sữa chua tươi vị sữa chua 40gr love milk</t>
  </si>
  <si>
    <t>SP 1222</t>
  </si>
  <si>
    <t>Cuộn kem sữa chua tươi vị dâu 40gr love milk</t>
  </si>
  <si>
    <t>SP 1223</t>
  </si>
  <si>
    <t>Cuộn thuốc thú y coli 102 10gr SCO đức hạnh</t>
  </si>
  <si>
    <t>OPP 20x668</t>
  </si>
  <si>
    <t>MPET12x668</t>
  </si>
  <si>
    <t>PE 45x668</t>
  </si>
  <si>
    <t>Công ty CP Tập đoàn Đức Hạnh marphavet</t>
  </si>
  <si>
    <t>500m</t>
  </si>
  <si>
    <t>SP 1224</t>
  </si>
  <si>
    <t>Túi nhôm không in Vinphathymo KT 130x200x60mm - Vĩnh Phúc</t>
  </si>
  <si>
    <t>Al 6x820</t>
  </si>
  <si>
    <t>PE 70x830</t>
  </si>
  <si>
    <t>Công ty CP dược phẩm Vĩnh Phúc - Vinphaco</t>
  </si>
  <si>
    <t>SP 1225</t>
  </si>
  <si>
    <t>Túi nhôm không in Natfiben KT 75x172x56mm - Vĩnh Phúc</t>
  </si>
  <si>
    <t>PET 12x860</t>
  </si>
  <si>
    <t>Al 6x860</t>
  </si>
  <si>
    <t>PE 70x870</t>
  </si>
  <si>
    <t>SP 1226</t>
  </si>
  <si>
    <t>Cuộn bánh coffee braka xuất khẩu Libra</t>
  </si>
  <si>
    <t>OPP 30x900</t>
  </si>
  <si>
    <t>MCPP 35x900</t>
  </si>
  <si>
    <t>SP 1227</t>
  </si>
  <si>
    <t>Cuộn bánh coffee braka nội địa Libra</t>
  </si>
  <si>
    <t>SP 1228</t>
  </si>
  <si>
    <t>Cuộn màng nhôm minh huy titan xingfa cơ điện</t>
  </si>
  <si>
    <t>PE đt 60x1220</t>
  </si>
  <si>
    <t>PE 30x1220</t>
  </si>
  <si>
    <t>Công ty cơ điện</t>
  </si>
  <si>
    <t>SP 1229</t>
  </si>
  <si>
    <t>Cuộn trà tan loại que ice tea hương đào Vĩnh Phúc</t>
  </si>
  <si>
    <t>Al6x820</t>
  </si>
  <si>
    <t>CPP 60x820</t>
  </si>
  <si>
    <t>SP 1230</t>
  </si>
  <si>
    <t>Túi nhôm không in KT 300x400mm Traphaco</t>
  </si>
  <si>
    <t>PE 120x630</t>
  </si>
  <si>
    <t>0.0065(0.0025,0.004)</t>
  </si>
  <si>
    <t>SP 1231</t>
  </si>
  <si>
    <t>Cuộn đường trắng thượng hạng Lam Sơn 1kg - Lasuco</t>
  </si>
  <si>
    <t>SP 1232</t>
  </si>
  <si>
    <t>Cuộn bánh Trung thu khổ 320mm - Nhật Nguyệt</t>
  </si>
  <si>
    <t>Công ty CP dịch vụ thương mại và đầu tư nhật nguyệt</t>
  </si>
  <si>
    <t>SP 1233</t>
  </si>
  <si>
    <t>Túi PA in hình con gà xanh KT 270x400mm bao bì việt</t>
  </si>
  <si>
    <t>PE 65x830</t>
  </si>
  <si>
    <t>Công ty bao bì việt</t>
  </si>
  <si>
    <t>SP 1234</t>
  </si>
  <si>
    <t>Cuộn màng PE trong ghép PE trong chữ Tung Wang TH Việt</t>
  </si>
  <si>
    <t>PE 30x1280</t>
  </si>
  <si>
    <t>1500m</t>
  </si>
  <si>
    <t>SP 1235</t>
  </si>
  <si>
    <t>Cuộn hạt giống cải ngọt cọng xanh A1 việt nhật và japan việt nhật ( 03SP)</t>
  </si>
  <si>
    <t>Công ty Giống Việt Nhật</t>
  </si>
  <si>
    <t>SP 1236</t>
  </si>
  <si>
    <t>Túi thuốc trừ sâu Tasieu 5WG tôn ngộ không 88.5 loại 25.5gr Việt Thắng</t>
  </si>
  <si>
    <t>Al 6x680</t>
  </si>
  <si>
    <t>PE 95x690</t>
  </si>
  <si>
    <t>0.0053(0.003, 0.0023)</t>
  </si>
  <si>
    <t>SP 1237</t>
  </si>
  <si>
    <t>Túi khăn hạ sốt Dr.papie không mã vạch - Starmed</t>
  </si>
  <si>
    <t>Công ty cổ phần dược phẩm Starmed</t>
  </si>
  <si>
    <t>SP 1238</t>
  </si>
  <si>
    <t>Túi trà lụa ấm nghiêng TC và ĐS 200g loại 24</t>
  </si>
  <si>
    <t>PE 70x 620</t>
  </si>
  <si>
    <t>SP 1239</t>
  </si>
  <si>
    <t>Túi trà lụa ấm nghiêng TC và ĐS 500g loại 24</t>
  </si>
  <si>
    <t>SP 1240</t>
  </si>
  <si>
    <t>Túi trà bóng cao cấp tân cương 100gr loại 25</t>
  </si>
  <si>
    <t>0.0053( 0.0023, 0.003)</t>
  </si>
  <si>
    <t>SP 1241</t>
  </si>
  <si>
    <t>Túi trà bóng cao cấp đặc sản 100gr loại 25</t>
  </si>
  <si>
    <t>3500 túi</t>
  </si>
  <si>
    <t>SP 1242</t>
  </si>
  <si>
    <t>Túi nhôm evita 3 vỉ x 10 viên nang mềm Traphaco</t>
  </si>
  <si>
    <t>AL 6x680</t>
  </si>
  <si>
    <t>PE 65x690</t>
  </si>
  <si>
    <t>SP 1243</t>
  </si>
  <si>
    <t>Túi hạt giống đậu bắp xanh việt nhật Japan và xà lách cuộn đăm Việt Nhật ( 12SP)</t>
  </si>
  <si>
    <t>SP 1244</t>
  </si>
  <si>
    <t>Cuộn bánh coffee baraka xuất khẩu 45gr KT 215x138mm</t>
  </si>
  <si>
    <t>OPP 30x880</t>
  </si>
  <si>
    <t>SP 1245</t>
  </si>
  <si>
    <t>Cuộn bánh coffee baraka nội địa 45gr KT 215x138mm</t>
  </si>
  <si>
    <t>SP 1246</t>
  </si>
  <si>
    <t>Cuộn men rượu nếp hoa vàng trung tiến</t>
  </si>
  <si>
    <t>PE sứ 25x910</t>
  </si>
  <si>
    <t>SP 1247</t>
  </si>
  <si>
    <t>Cuộn màng khẩu trang không in khổ 285 - Đại Dương Xanh</t>
  </si>
  <si>
    <t>OPP 20x875</t>
  </si>
  <si>
    <t>PE sứ 35x875</t>
  </si>
  <si>
    <t>Công ty CP thiết bị y tế đại dương xanh</t>
  </si>
  <si>
    <t>SP 1248</t>
  </si>
  <si>
    <t>Túi nhôm không in KT 105x210x65mm - TPP France</t>
  </si>
  <si>
    <t>AL 6x740</t>
  </si>
  <si>
    <t>PE 70x750</t>
  </si>
  <si>
    <t>Công ty CP Liên doanh dược phẩm TPP France</t>
  </si>
  <si>
    <t>SP 1249</t>
  </si>
  <si>
    <t>Cuộn thuốc thú y Bcomplex+ K3 + C 100gr Trường Hằng</t>
  </si>
  <si>
    <t>PE 35x800</t>
  </si>
  <si>
    <t>SP 1250</t>
  </si>
  <si>
    <t>Cuộn hạt giống cải ngọt cọng xanh A1 Japan và cải bẹ vàng ngọt hà giang japan ( 03SP)</t>
  </si>
  <si>
    <t>SP 1251</t>
  </si>
  <si>
    <t>Túi trà ấm cây TC loại đặc biệt 100g loại 26</t>
  </si>
  <si>
    <t>SP 1252</t>
  </si>
  <si>
    <t>Túi trà ấm cây ĐS loại đặc biệt 100g loại 26</t>
  </si>
  <si>
    <t>SP 1253</t>
  </si>
  <si>
    <t>Túi không in PE đựng nhân bánh KT 330x455mm - Quảng Long</t>
  </si>
  <si>
    <t>PA 15x680</t>
  </si>
  <si>
    <t>PE 85x680</t>
  </si>
  <si>
    <t>Công ty TNHH TP Quảng Long</t>
  </si>
  <si>
    <t>SP 1254</t>
  </si>
  <si>
    <t>Cuộn màng không in đóng khay hành bánh Trung thu khổ 255mm - Quảng Long</t>
  </si>
  <si>
    <t>CPP 35x790</t>
  </si>
  <si>
    <t>SP 1255</t>
  </si>
  <si>
    <t>Cuộn hạt giống mào gà 92, cải chíp 86, be dưa 94 lucky</t>
  </si>
  <si>
    <t>PE 100x800</t>
  </si>
  <si>
    <t>600m</t>
  </si>
  <si>
    <t>Công ty giống lucky</t>
  </si>
  <si>
    <t>1c.cây</t>
  </si>
  <si>
    <t>SP 1256</t>
  </si>
  <si>
    <t>Cuộn hạt giống cải cúc tẻ 1007, cải chíp 1086, bẹ dưa 1094 sao việt</t>
  </si>
  <si>
    <t>SP 1257</t>
  </si>
  <si>
    <t>Cuộn bột giặt NANO cộng 350gr - Alo sun</t>
  </si>
  <si>
    <t>PET 12x 690</t>
  </si>
  <si>
    <t>Công ty TNHH SX TM Alo sun</t>
  </si>
  <si>
    <t>SP 1258</t>
  </si>
  <si>
    <t>Cuộn thuốc thú y Amoxil - 100 loại 100gr Hùng Nguyên</t>
  </si>
  <si>
    <t>PE 80x800</t>
  </si>
  <si>
    <t>SP 1259</t>
  </si>
  <si>
    <t>Cuộn bánh trung thu không in khổ 270 Gia Trịnh</t>
  </si>
  <si>
    <t>OPP mờ 20x560</t>
  </si>
  <si>
    <t>PE 45x560</t>
  </si>
  <si>
    <t>Công ty gia trịnh bakery</t>
  </si>
  <si>
    <t>SP 1260</t>
  </si>
  <si>
    <t>Túi xúc xích ND 500gr - Nghĩa Thành</t>
  </si>
  <si>
    <t>PE 70x800</t>
  </si>
  <si>
    <t>Công ty TNHH MTV chế biến thực phẩm xuất khẩu Nghĩa Thành</t>
  </si>
  <si>
    <t>SP 1261</t>
  </si>
  <si>
    <t>Cuộn giấy trà hương sen - kim anh</t>
  </si>
  <si>
    <t>Giấy 55x740</t>
  </si>
  <si>
    <t>Công ty CP chè Kim Anh</t>
  </si>
  <si>
    <t>SP 1262</t>
  </si>
  <si>
    <t>Cuộn giấy trà hương nhài - kim anh</t>
  </si>
  <si>
    <t>SP 1263</t>
  </si>
  <si>
    <t>Cuộn giấy trà hương cúc - kim anh</t>
  </si>
  <si>
    <t>SP 1264</t>
  </si>
  <si>
    <t>Cuộn giấy trà hương dâu - kim anh</t>
  </si>
  <si>
    <t>SP 1265</t>
  </si>
  <si>
    <t>Cuộn giấy trà hương đào - kim anh</t>
  </si>
  <si>
    <t>SP 1266</t>
  </si>
  <si>
    <t>Cuộn giấy chè thảo mộc - kim anh</t>
  </si>
  <si>
    <t>SP 1267</t>
  </si>
  <si>
    <t>Cuộn giấy chè thảo đen - kim anh</t>
  </si>
  <si>
    <t>SP 1268</t>
  </si>
  <si>
    <t>Cuộn giấy chè giảo cổ lam - kim anh</t>
  </si>
  <si>
    <t>SP 1269</t>
  </si>
  <si>
    <t>Cuộn giấy chè cà gai leo- kim anh</t>
  </si>
  <si>
    <t>SP 1270</t>
  </si>
  <si>
    <t>Túi trà hương nhài 100gr zipper - Kim Anh</t>
  </si>
  <si>
    <t>OPP mờ 20x540</t>
  </si>
  <si>
    <t>ba biên zipper đáy đứng</t>
  </si>
  <si>
    <t>SP 1271</t>
  </si>
  <si>
    <t>Túi trà hương sen 100gr zipper - Kim Anh</t>
  </si>
  <si>
    <t>SP 1272</t>
  </si>
  <si>
    <t>Túi trà xanh 100gr zipper - Kim Anh</t>
  </si>
  <si>
    <t>SP 1273</t>
  </si>
  <si>
    <t>Túi muối tinh i- ốt 999 250gr Hằng Hải</t>
  </si>
  <si>
    <t>OPP 20x704</t>
  </si>
  <si>
    <t>PE 45x704</t>
  </si>
  <si>
    <t>Công ty TNHH TM Hằng Hải</t>
  </si>
  <si>
    <t>SP 1274</t>
  </si>
  <si>
    <t>Cuộn màng nhôm đen trắng in chữ CPM TH Việt</t>
  </si>
  <si>
    <t>PE đt 40x1285</t>
  </si>
  <si>
    <t>PE 20x1285</t>
  </si>
  <si>
    <t>SP 1275</t>
  </si>
  <si>
    <t>Cuộn bánh marika in 3 màu</t>
  </si>
  <si>
    <t>CPP 20x740</t>
  </si>
  <si>
    <t>Công ty Marika</t>
  </si>
  <si>
    <t>SP 1276</t>
  </si>
  <si>
    <t>Cuộn hạt giống cải xanh lá to 22, củ cải ngắn lai 13, cải cúc tẻ 07 lucky</t>
  </si>
  <si>
    <t>SP 1277</t>
  </si>
  <si>
    <t>Cuộn hạt giống cải xanh lá to 1022, củ cải ngắn lai 1013, cải mào gà 1092 sao việt</t>
  </si>
  <si>
    <t>SP 1278</t>
  </si>
  <si>
    <t>Túi nhôm không in KT 71x205x55mm - TPP France</t>
  </si>
  <si>
    <t>PET 12x840</t>
  </si>
  <si>
    <t>AL 6x840</t>
  </si>
  <si>
    <t>PE 70x850</t>
  </si>
  <si>
    <t>Công ty CP Liên doanh Dược phẩm TPP France</t>
  </si>
  <si>
    <t>SP 1279</t>
  </si>
  <si>
    <t>Túi nhôm không in KT 65x160x40mm - TPP France</t>
  </si>
  <si>
    <t>AL 6x710</t>
  </si>
  <si>
    <t>PE 70x720</t>
  </si>
  <si>
    <t>SP 1280</t>
  </si>
  <si>
    <t>Túi nhôm livibilnic 2 vỉ x 20 viên nén bao phím Traphaco</t>
  </si>
  <si>
    <t>PE 55x630</t>
  </si>
  <si>
    <t>SP 1281</t>
  </si>
  <si>
    <t>Túi bánh phủ mờ marika 350gr</t>
  </si>
  <si>
    <t>PE 110x670</t>
  </si>
  <si>
    <t>túi ba biên đáy dứng</t>
  </si>
  <si>
    <t>SP 1282</t>
  </si>
  <si>
    <t>Túi kẹo CEME 4KM phủ mờ 400gr marika</t>
  </si>
  <si>
    <t>PE 110x660</t>
  </si>
  <si>
    <t>SP 1283</t>
  </si>
  <si>
    <t>Túi hạt giống cải làn hoa vàng Japan và việt nhật ( 12 SP)</t>
  </si>
  <si>
    <t>Công ty giống Viêt Nhật</t>
  </si>
  <si>
    <t>SP 1284</t>
  </si>
  <si>
    <t>Cuộn màng không in đóng gói khẩu trang khổ 260mm - Hưng Thịnh Phát</t>
  </si>
  <si>
    <t>OPP 20x1060</t>
  </si>
  <si>
    <t>PE 25x1060</t>
  </si>
  <si>
    <t>Công ty SX và TM Quốc tế Hưng Thịnh Phát</t>
  </si>
  <si>
    <t>SP 1285</t>
  </si>
  <si>
    <t>Túi bánh crackers khoai tây 230gr Libra</t>
  </si>
  <si>
    <t>OPP 30x1080</t>
  </si>
  <si>
    <t>PE 35x1080</t>
  </si>
  <si>
    <t>SP 1286</t>
  </si>
  <si>
    <t>Túi bánh crackers ngô 230gr Libra</t>
  </si>
  <si>
    <t>SP 1287</t>
  </si>
  <si>
    <t>Cuộn màng Tonmat pannel đức thiện</t>
  </si>
  <si>
    <t>SP 1288</t>
  </si>
  <si>
    <t>Cuộn bánh braka coffee KT 134x103mm Libra</t>
  </si>
  <si>
    <t>MCPP 25x820</t>
  </si>
  <si>
    <t>SP 1289</t>
  </si>
  <si>
    <t>Cuộn hạt giống cô ve leo hạt trắng 08, hạt đen 04, tứ quý 16 lucky</t>
  </si>
  <si>
    <t>SP 1290</t>
  </si>
  <si>
    <t>Cuộn hạt giống cô ve leo hạt trắng 1008, hạt đen 1004, tứ quý 1016 sao việt</t>
  </si>
  <si>
    <t>SP 1291</t>
  </si>
  <si>
    <t>Túi thuốc thú y 1kg mã CD2121 in 3 màu Năm Thái</t>
  </si>
  <si>
    <t>0.0065(0.003,0.0035)</t>
  </si>
  <si>
    <t>SP 1292</t>
  </si>
  <si>
    <t>Cuộn màng Javta Panel Đức Thiện</t>
  </si>
  <si>
    <t>PE 30x1180</t>
  </si>
  <si>
    <t>SP 1293</t>
  </si>
  <si>
    <t>Túi bột giặt đựng nước okashi 2000ml - Hòa Hợp</t>
  </si>
  <si>
    <t>PA 15x820 ghép PE 150x820</t>
  </si>
  <si>
    <t>0.0095(0.003,0.003,0.0035)</t>
  </si>
  <si>
    <t>túi 3 biên đáy đứng</t>
  </si>
  <si>
    <t>Công ty TNHH Bột giặt và Hóa Mỹ Phẩm Quốc Tế</t>
  </si>
  <si>
    <t>SP 1294</t>
  </si>
  <si>
    <t>Cuộn thuốc thú y Canci poly vit ADE 200gr Trường Hằng</t>
  </si>
  <si>
    <t>SP 1295</t>
  </si>
  <si>
    <t>Cuộn trà mokhtar tea mint Vĩnh Phúc</t>
  </si>
  <si>
    <t>SP 1296</t>
  </si>
  <si>
    <t>Cuộn trà mokhtar tea cardamon Vĩnh Phúc</t>
  </si>
  <si>
    <t>SP 1297</t>
  </si>
  <si>
    <t>Cuộn trà mokhtar tea lemon Vĩnh Phúc</t>
  </si>
  <si>
    <t>SP 1298</t>
  </si>
  <si>
    <t>Cuộn trà mokhtar tea Jasmine Vĩnh Phúc</t>
  </si>
  <si>
    <t>SP 1299</t>
  </si>
  <si>
    <t>Túi men rượu hương nếp bắc việt 500gr Trung Tiến</t>
  </si>
  <si>
    <t>MCPP35/CPP 35x395</t>
  </si>
  <si>
    <t>SP 1300</t>
  </si>
  <si>
    <t xml:space="preserve">Túi hạt giống bí mật đỏ và cải bẹ xanh mỡ Việt Nhật ( 12 SP) </t>
  </si>
  <si>
    <t>SP 1301</t>
  </si>
  <si>
    <t>Túi không in HCK KT 165x250mm- Nghĩa Thành</t>
  </si>
  <si>
    <t>SP 1302</t>
  </si>
  <si>
    <t>Cuộn bánh bao không in ghép PE khổ 355 Phú Mỹ</t>
  </si>
  <si>
    <t>SP 1303</t>
  </si>
  <si>
    <t>Túi Cát Linh in 1 màu KT 65x180x50mm - Cát Linh</t>
  </si>
  <si>
    <t>OPP 20x770</t>
  </si>
  <si>
    <t>PE 50x770</t>
  </si>
  <si>
    <t>SP 1304</t>
  </si>
  <si>
    <t>Túi nước giặt xả remix nền xanh 3.6L - Hóa Mỹ Phẩm</t>
  </si>
  <si>
    <t>PET 12x890</t>
  </si>
  <si>
    <t>MPET 12x890</t>
  </si>
  <si>
    <t>PA 15x890 ghép PE 170x890</t>
  </si>
  <si>
    <t>SP 1305</t>
  </si>
  <si>
    <t>Túi nước giặt xả remix nền đỏ 3.6L - Hóa Mỹ Phẩm</t>
  </si>
  <si>
    <t>SP 1306</t>
  </si>
  <si>
    <t>Túi trà lụa TC 100gr loại 5</t>
  </si>
  <si>
    <t>0.0053(0.0023.0.003)</t>
  </si>
  <si>
    <t>SP 1307</t>
  </si>
  <si>
    <t>Cuộn bánh bao chay vừng 180gr Phú Mỹ</t>
  </si>
  <si>
    <t>SP 1308</t>
  </si>
  <si>
    <t>Túi nhôm không in KT 80x165mm - TPP France</t>
  </si>
  <si>
    <t>PE 60x750</t>
  </si>
  <si>
    <t>Công ty CP liên doanh dược phẩm TPP France</t>
  </si>
  <si>
    <t>SP 1309</t>
  </si>
  <si>
    <t>Túi PA không in HCK KT 300x400 XNK RĐD</t>
  </si>
  <si>
    <t>PE 65x805</t>
  </si>
  <si>
    <t>Công ty TNHH XNK RĐD</t>
  </si>
  <si>
    <t>1000 túi/thùng</t>
  </si>
  <si>
    <t>SP 1310</t>
  </si>
  <si>
    <t>Túi trà bóng cao cấp TC 200gr loại 25</t>
  </si>
  <si>
    <t>SP 1311</t>
  </si>
  <si>
    <t>Túi trà bóng cao cấp ĐS 200gr loại 25</t>
  </si>
  <si>
    <t>SP 1312</t>
  </si>
  <si>
    <t>Túi trà bóng cao cấp TC 500gr loại 25</t>
  </si>
  <si>
    <t>SP 1313</t>
  </si>
  <si>
    <t>Túi trà bóng cao cấp ĐS 500gr loại 25</t>
  </si>
  <si>
    <t>SP 1314</t>
  </si>
  <si>
    <t>Cuộn men rượu hương nếp bắc việt trung tiến</t>
  </si>
  <si>
    <t>Cơ sở men trung tiến</t>
  </si>
  <si>
    <t>Giấy cartooon</t>
  </si>
  <si>
    <t>SP 1315</t>
  </si>
  <si>
    <t>Túi hanato - dezen</t>
  </si>
  <si>
    <t>PE 60x900</t>
  </si>
  <si>
    <t>Công ty TNHH Công Nghiệp Dezen</t>
  </si>
  <si>
    <t>SP 1316</t>
  </si>
  <si>
    <t>Túi nước rửa chén lalaulau 550ml dương hoàng hoa</t>
  </si>
  <si>
    <t>PE sứ 100x560</t>
  </si>
  <si>
    <t>Công ty dương hoàng hoa</t>
  </si>
  <si>
    <t>SP 1317</t>
  </si>
  <si>
    <t>Cuộn thuốc thú y genta tylo TA 100gr Năm Thái</t>
  </si>
  <si>
    <t>SP 1318</t>
  </si>
  <si>
    <t>Cuộn thuốc thú y TA.ADE.C 100gr Năm Thái mới</t>
  </si>
  <si>
    <t>SP 1319</t>
  </si>
  <si>
    <t>Cuộn thuốc thú y tiêu chảy heo 100gr Năm Thái mới</t>
  </si>
  <si>
    <t>SP 1320</t>
  </si>
  <si>
    <t>Cuộn thuốc thú y tilmico - nt 100gr Năm Thái mới</t>
  </si>
  <si>
    <t>SP 1321</t>
  </si>
  <si>
    <t>Cuộn hạt giống cải mèo hà giang lucky + cải bó xôi sao việt lucky</t>
  </si>
  <si>
    <t>Công ty giống Lucky</t>
  </si>
  <si>
    <t>SP 1322</t>
  </si>
  <si>
    <t>Túi hạt giống cải cúc nếp + cải bẹ vàng hà giang + cải bẹ dưa phú điền</t>
  </si>
  <si>
    <t>AL 6x770</t>
  </si>
  <si>
    <t>PE 80x780</t>
  </si>
  <si>
    <t>Công ty Phú Điền</t>
  </si>
  <si>
    <t>SP 1323</t>
  </si>
  <si>
    <t>Túi hạt giống cải mèo hà giang + cải canh hồng kông đặc biệt F1 phú điền</t>
  </si>
  <si>
    <t>SP 1324</t>
  </si>
  <si>
    <t>Cuộn thuốc thú y gentafam - 2 100gr Năm Thái mới</t>
  </si>
  <si>
    <t>SP 1325</t>
  </si>
  <si>
    <t>Túi trà lụa thượng hạng tân cương 200gr</t>
  </si>
  <si>
    <t>SP 1326</t>
  </si>
  <si>
    <t>Túi trà lụa thượng hạng đặc sản 200gr</t>
  </si>
  <si>
    <t>SP 1327</t>
  </si>
  <si>
    <t>Cuộn khẩu trang in 1 màu Royal Việt Nam</t>
  </si>
  <si>
    <t>PE sứ 30x1060</t>
  </si>
  <si>
    <t>Công ty CP Quốc tế Royal Việt Nam</t>
  </si>
  <si>
    <t>SP 1328</t>
  </si>
  <si>
    <t>Túi đựng nước giặt blue gold ( 6 in 1) 1.6kg - nasa group</t>
  </si>
  <si>
    <t>PA 15x710</t>
  </si>
  <si>
    <t>PE sứ 150x710</t>
  </si>
  <si>
    <t>Công tyTNHH đầu tư PT TM Nasa Group</t>
  </si>
  <si>
    <t>SP 1329</t>
  </si>
  <si>
    <t>Cuộn bánh bao nhân thập cẩm trứng cút 280gr Phú Mỹ</t>
  </si>
  <si>
    <t>PE 55x860</t>
  </si>
  <si>
    <t>SP 1330</t>
  </si>
  <si>
    <t>Cuộn hạt giống dền đỏ lucky sao việt đậu đũa lucky</t>
  </si>
  <si>
    <t>SP 1331</t>
  </si>
  <si>
    <t>Cuộn hạt giống đậu đũa, muống, mùng tơi sao việt</t>
  </si>
  <si>
    <t>SP 1332</t>
  </si>
  <si>
    <t>Túi không in Vinmate KT 170x380x70mm Vĩnh Phúc</t>
  </si>
  <si>
    <t>MPET 12x720</t>
  </si>
  <si>
    <t>PE 95x720</t>
  </si>
  <si>
    <t>0.0055( 0.0025,0.003)</t>
  </si>
  <si>
    <t>túi bốn biên hông là màng trắng</t>
  </si>
  <si>
    <t>SP 1333</t>
  </si>
  <si>
    <t>Cuộn men rượu trường vũ trung tiến</t>
  </si>
  <si>
    <t>OPP 20x920</t>
  </si>
  <si>
    <t>PE 25x920</t>
  </si>
  <si>
    <t>SP 1334</t>
  </si>
  <si>
    <t>Túi gạc răng miệng tottee - starmed</t>
  </si>
  <si>
    <t>SP 1335</t>
  </si>
  <si>
    <t>Túi nước giặt family eco hương nước hoa cao cấp 2.15L - DLC</t>
  </si>
  <si>
    <t>PET 12x810</t>
  </si>
  <si>
    <t>PA 15x810</t>
  </si>
  <si>
    <t>PE sứ 170x810</t>
  </si>
  <si>
    <t>0.0065( 0.003, 0.0035)</t>
  </si>
  <si>
    <t>Công ty CP Tập đoàn DLC Việt Nam</t>
  </si>
  <si>
    <t>SP 1336</t>
  </si>
  <si>
    <t>Túi nước giặt family eco hương ngàn hoa 2.15L - DLC</t>
  </si>
  <si>
    <t>SP 1337</t>
  </si>
  <si>
    <t>Túi hạt giống rau dền và bí siêu ngọt việt nhật và japan ( 11SP)</t>
  </si>
  <si>
    <t>SP 1338</t>
  </si>
  <si>
    <t>Túi HCK KT 340x235 mã 3071 CP</t>
  </si>
  <si>
    <t>Chi nhánh công ty CP chăn nuôi CP Việt Nam</t>
  </si>
  <si>
    <t>SP 1339</t>
  </si>
  <si>
    <t>Túi thuốc trừ bệnh biorosamil 72WP loại 100gr CEC</t>
  </si>
  <si>
    <t>PE 85x620</t>
  </si>
  <si>
    <t>0.0048(0.0023,0.0025)</t>
  </si>
  <si>
    <t>Công ty thuốc sâu CEC</t>
  </si>
  <si>
    <t>SP 1340</t>
  </si>
  <si>
    <t>Cuộn bánh nhân sữa chua doll doll 22gr - châu Á</t>
  </si>
  <si>
    <t>Công ty TNHH bánh châu Á</t>
  </si>
  <si>
    <t>SP 1341</t>
  </si>
  <si>
    <t>Túi nước giặt susino 5in1 - Hòa Hợp</t>
  </si>
  <si>
    <t>PET 12x790</t>
  </si>
  <si>
    <t>MPET 12x790</t>
  </si>
  <si>
    <t>PA 15x790 ghép PE 150x790</t>
  </si>
  <si>
    <t>0.0085(0.0025,0.0025,0.0035)</t>
  </si>
  <si>
    <t>Công ty TNHH bôt giặt và hóa mỹ phẩm quốc tế</t>
  </si>
  <si>
    <t>SP 1342</t>
  </si>
  <si>
    <t>Cuộn hạt giống cải ngọt cọng xanh A1 và cải cúc nếp lucky sao việt</t>
  </si>
  <si>
    <t>SP 1343</t>
  </si>
  <si>
    <t>Túi thuốc trừ bệnh biorosamil hiệu siêu nấm BUL 200gr CEC</t>
  </si>
  <si>
    <t>SP 1344</t>
  </si>
  <si>
    <t>Túi giống ngô lai F1 VS6939 1kg việt trung</t>
  </si>
  <si>
    <t>Công ty giống Việt Trung</t>
  </si>
  <si>
    <t>SP 1345</t>
  </si>
  <si>
    <t>Túi giống ngô lai F1 VS6939 20kg việt trung</t>
  </si>
  <si>
    <t>SP 1346</t>
  </si>
  <si>
    <t>Cuộn keo nhỏ matcha sữa eikodo</t>
  </si>
  <si>
    <t xml:space="preserve">cuộn </t>
  </si>
  <si>
    <t>Công ty kẹo nhật bản eikodo</t>
  </si>
  <si>
    <t>SP 1347</t>
  </si>
  <si>
    <t>Cuộn giấy thuốc trừ cỏ alyaly aic 200WG 1.5gr rainbow</t>
  </si>
  <si>
    <t>Giấy 55x700</t>
  </si>
  <si>
    <t>PE 50x700</t>
  </si>
  <si>
    <t>0.006(0.0035, 0.0025)</t>
  </si>
  <si>
    <t>Công ty Rainbow</t>
  </si>
  <si>
    <t>SP 1348</t>
  </si>
  <si>
    <t>Cuộn hạt giống ngồng cải thân mập và đậu đũa japan việt nhật 03 SP</t>
  </si>
  <si>
    <t>SP 1349</t>
  </si>
  <si>
    <t>Cuộn đường sugar 1kg khổ 800 Sơn Tùng</t>
  </si>
  <si>
    <t>Công ty Sơn Tùng</t>
  </si>
  <si>
    <t>SP 1350</t>
  </si>
  <si>
    <t>Cuộn đường sugar 1kg khổ 740 Sơn Tùng</t>
  </si>
  <si>
    <t>PE 25x740</t>
  </si>
  <si>
    <t>SP 1351</t>
  </si>
  <si>
    <t>Cuộn đường vàng tính khiết Lam Sơn 1kg - mã 014</t>
  </si>
  <si>
    <t>Công ty CP Mía Đường Lam Sơn</t>
  </si>
  <si>
    <t>SP 1352</t>
  </si>
  <si>
    <t>Túi HCK super chef mã 3073 CP</t>
  </si>
  <si>
    <t>PA 15x860</t>
  </si>
  <si>
    <t>PE 65x860</t>
  </si>
  <si>
    <t>SP 1353</t>
  </si>
  <si>
    <t>Túi HCK xúc xích winner 500gr KT 370x345 mã 3179 CP</t>
  </si>
  <si>
    <t>PA 15x760</t>
  </si>
  <si>
    <t>SP 1354</t>
  </si>
  <si>
    <t>Túi HCK xúc xích winner 500gr KT 360x335 mã 3214 CP</t>
  </si>
  <si>
    <t>PA 15x740</t>
  </si>
  <si>
    <t>PE 65x740</t>
  </si>
  <si>
    <t>SP 1355</t>
  </si>
  <si>
    <t>Túi HCK không in KT 215x280 mã 3185 CP</t>
  </si>
  <si>
    <t>PA 15x880</t>
  </si>
  <si>
    <t>PE 65x880</t>
  </si>
  <si>
    <t>SP 1356</t>
  </si>
  <si>
    <t>Cuộn màng thức ăn apollo chicken 25kg bao bì PP Hải Phòng</t>
  </si>
  <si>
    <t>OPP 20x1090</t>
  </si>
  <si>
    <t>Công ty CP bao bì PP</t>
  </si>
  <si>
    <t>SP 1357</t>
  </si>
  <si>
    <t>Túi gạc răng miệng bon kids KT 55x75mm - aero</t>
  </si>
  <si>
    <t>Công ty TNHH hóa dược aero chemie</t>
  </si>
  <si>
    <t>SP 1358</t>
  </si>
  <si>
    <t>Túi HCK KT 360x350 mã 3258 CP</t>
  </si>
  <si>
    <t>SP 1359</t>
  </si>
  <si>
    <t>Túi HCK xúc xích vealz 500gr KT 360x335 mã  3215 CP</t>
  </si>
  <si>
    <t>SP 1360</t>
  </si>
  <si>
    <t>Túi HCK thịt gà xiên que 500gr KT 420x310 nã 3228 CP</t>
  </si>
  <si>
    <t>SP 1361</t>
  </si>
  <si>
    <t>Túi không in đựng bột Chloramine B 1kg KT 220x310mm Đức Giang</t>
  </si>
  <si>
    <t>PA 15x900</t>
  </si>
  <si>
    <t>PE 85x900</t>
  </si>
  <si>
    <t>Công ty CP tập đoàn hóa chất đức giang</t>
  </si>
  <si>
    <t>SP 1362</t>
  </si>
  <si>
    <t>Túi zipper chloramine B 1000gr Đức Giang</t>
  </si>
  <si>
    <t>PE 100x670</t>
  </si>
  <si>
    <t>túi ba biên zipper</t>
  </si>
  <si>
    <t>SP 1363</t>
  </si>
  <si>
    <t>Túi thuốc trừ bệnh biorosamil 72WP hiệu táo mỹ 30gr CEC</t>
  </si>
  <si>
    <t>SP 1364</t>
  </si>
  <si>
    <t>Túi thuốc trừ bệnh biorosamil 72WP hiệu áo giáp vàng 35gr CEC</t>
  </si>
  <si>
    <t>SP 1365</t>
  </si>
  <si>
    <t>Túi thuốc trừ bệnh probencarb 250WP hiệu vua nấm khuẩn 200gr CEC</t>
  </si>
  <si>
    <t>PE 80x620</t>
  </si>
  <si>
    <t>SP 1366</t>
  </si>
  <si>
    <t>Túi HCK thịt gà CP 500gr KT 240x200 mã 3093 CP</t>
  </si>
  <si>
    <t>PE 65x820</t>
  </si>
  <si>
    <t>SP 1367</t>
  </si>
  <si>
    <t>Cuộn thuốc lionkinh 50WG hiệu rồng đỏ 10gr hà thái</t>
  </si>
  <si>
    <t>PET 12x650</t>
  </si>
  <si>
    <t>MPET 12x650</t>
  </si>
  <si>
    <t>PE 75x650</t>
  </si>
  <si>
    <t>Công ty hà thái</t>
  </si>
  <si>
    <t>SP 1368</t>
  </si>
  <si>
    <t>Túi nước giặt xả filine 2000ml mã vạch 365 - Thuận Phát</t>
  </si>
  <si>
    <t>PA 15x790</t>
  </si>
  <si>
    <t>PE sứ 160x790</t>
  </si>
  <si>
    <t>0.007(0.003,0.004)</t>
  </si>
  <si>
    <t>Công ty TNHH hóa mỹ phẩm quốc tế thuận phát</t>
  </si>
  <si>
    <t>SP 1369</t>
  </si>
  <si>
    <t>Túi nước giặt xả filine 2000ml mã vạch 358 - Thuận Phát</t>
  </si>
  <si>
    <t>SP 1370</t>
  </si>
  <si>
    <t>Túi HCK không in KT 260x360 mã 3084 CP</t>
  </si>
  <si>
    <t>PE 55x740</t>
  </si>
  <si>
    <t>SP 1371</t>
  </si>
  <si>
    <t>Túi nhôm Trasleepy 2 vỉ x 10 viên bao phim Traphaco</t>
  </si>
  <si>
    <t>OPP 20x830</t>
  </si>
  <si>
    <t>AL 6x830</t>
  </si>
  <si>
    <t>PE 55x840</t>
  </si>
  <si>
    <t>SP 1372</t>
  </si>
  <si>
    <t>Túi nhôm boganic 5 vỉ x 20 viên bao phim Traphaco</t>
  </si>
  <si>
    <t>SP 1373</t>
  </si>
  <si>
    <t>Cuộn hạt giống mùng tơi lá to japan việt nhật + cải ngọt cọng xanh A1 Việt nhật ( 03 SP)</t>
  </si>
  <si>
    <t>SP 1374</t>
  </si>
  <si>
    <t>Túi lúa bắc thơm 7 XN1 bạc lá 1kg Thái Bình</t>
  </si>
  <si>
    <t>SP 1375</t>
  </si>
  <si>
    <t>Túi lúa bắc thơm 7XN1 bạc lá 40kg Thái Bình</t>
  </si>
  <si>
    <t>1c./cây</t>
  </si>
  <si>
    <t>SP 1376</t>
  </si>
  <si>
    <t>Túi zipper đựng khẩu trang 4 lớp 20 chiếc - orange</t>
  </si>
  <si>
    <t>Công ty TNHH Dược phẩm Orange</t>
  </si>
  <si>
    <t>SP 1377</t>
  </si>
  <si>
    <t>Túi nhôm totim extra 2 vỉ x 20 viên bao phim Traphaco</t>
  </si>
  <si>
    <t>PE 55x810</t>
  </si>
  <si>
    <t>SP 1378</t>
  </si>
  <si>
    <t>Cuộn bột giặt Siêu Sạch 2kg - Đức Giang</t>
  </si>
  <si>
    <t>Công ty CP tập đoàn hóa chất Đức Giang</t>
  </si>
  <si>
    <t>SP 1379</t>
  </si>
  <si>
    <t>Cuộn nhôm boganic 5 vỉ x 20 viên bao đường Traphaco</t>
  </si>
  <si>
    <t>AL 6x690</t>
  </si>
  <si>
    <t>SP 1380</t>
  </si>
  <si>
    <t>Túi thuốc thú y chung 100gr marphavet</t>
  </si>
  <si>
    <t>PE 45x770</t>
  </si>
  <si>
    <t>SP 1381</t>
  </si>
  <si>
    <t>Túi trà logo tân cương và đặc sản in màu 100gr loại 9</t>
  </si>
  <si>
    <t>3500 túi/thùng</t>
  </si>
  <si>
    <t>SP 1382</t>
  </si>
  <si>
    <t>Túi trà logo đăc sản 200g loại 9</t>
  </si>
  <si>
    <t>2500 túi/thùng</t>
  </si>
  <si>
    <t>SP 1383</t>
  </si>
  <si>
    <t>Túi trà chữ đỏ lá vàng in 4 màu đặc sản 100gr loại 10</t>
  </si>
  <si>
    <t>SP 1384</t>
  </si>
  <si>
    <t>Túi thuốc thú y milk - S.P.B 1kg - Hùng Nguyên</t>
  </si>
  <si>
    <t>PET 12x940</t>
  </si>
  <si>
    <t>MPET 12x940</t>
  </si>
  <si>
    <t>PE 140x940</t>
  </si>
  <si>
    <t>SP 1385</t>
  </si>
  <si>
    <t>Cuộn nhôm boganic forte 5 vỉ x 10 viên nang mềm Traphaco</t>
  </si>
  <si>
    <t>PET 12x794</t>
  </si>
  <si>
    <t>AL 6x794</t>
  </si>
  <si>
    <t>PE 65x804</t>
  </si>
  <si>
    <t>SP 1386</t>
  </si>
  <si>
    <t>Cuộn nhôm hoạt huyết 5 vỉ x 20 viên nén bao đường Traphaco</t>
  </si>
  <si>
    <t>SP 1387</t>
  </si>
  <si>
    <t>Túi nhôm Traphaton 6 vỉ x 5 viên nang mềm Traphaco</t>
  </si>
  <si>
    <t>OPP 20x728</t>
  </si>
  <si>
    <t>AL 6x728</t>
  </si>
  <si>
    <t>PE 55x738</t>
  </si>
  <si>
    <t>SP 1388</t>
  </si>
  <si>
    <t>Túi không in KT 70x130 dược Hải Phòng</t>
  </si>
  <si>
    <t xml:space="preserve">túi hàn lưng </t>
  </si>
  <si>
    <t>Công ty dược Hải Phòng</t>
  </si>
  <si>
    <t>SP 1389</t>
  </si>
  <si>
    <t>Cuộn thuốc diệt chuột kaletox 200WP loại 2.0gr Việt Thắng</t>
  </si>
  <si>
    <t>AL 6x820</t>
  </si>
  <si>
    <t>SP 1390</t>
  </si>
  <si>
    <t>Túi in một màu nhũ KT 145x145x45mm Phú Thọ</t>
  </si>
  <si>
    <t>OPP 30x810</t>
  </si>
  <si>
    <t>MCPP 25x810</t>
  </si>
  <si>
    <t>SP 1391</t>
  </si>
  <si>
    <t>Cuộn đường sugar 0.5kg khổ 660 Sơn Tùng</t>
  </si>
  <si>
    <t>SP 1392</t>
  </si>
  <si>
    <t>Cuộn màng không in ghép PE khổ 420 Phú Mỹ</t>
  </si>
  <si>
    <t>SP 1393</t>
  </si>
  <si>
    <t>Cuộn kem  sữa chua ami 3 vị 50gr - châu Á</t>
  </si>
  <si>
    <t>PE 45x790</t>
  </si>
  <si>
    <t>SP 1394</t>
  </si>
  <si>
    <t>Túi kem sữa chua AMI 12 chiếc 600gr - Châu Á</t>
  </si>
  <si>
    <t>PE 40x740</t>
  </si>
  <si>
    <t>SP 1395</t>
  </si>
  <si>
    <t>Túi thuốc sâu Tasieu 5WG hiệu AKA 47 30gr Việt Thắng</t>
  </si>
  <si>
    <t>PE 85x690</t>
  </si>
  <si>
    <t>SP 1396</t>
  </si>
  <si>
    <t>Túi bánh cracker và kem sobi 260gr - anko</t>
  </si>
  <si>
    <t>MPET 12x362.5
PET 12x270 ( 267.5)</t>
  </si>
  <si>
    <t>ba biên đáy đứng</t>
  </si>
  <si>
    <t>Công ty SX và TM Asi Miền Bắc</t>
  </si>
  <si>
    <t>SP 1397a</t>
  </si>
  <si>
    <t>Túi thuốc thú y không in KT 110x160mm Thái Dương</t>
  </si>
  <si>
    <t>PE 50x900</t>
  </si>
  <si>
    <t>Công ty CP Thú y SVT Thái Dương</t>
  </si>
  <si>
    <t>SP 1397b</t>
  </si>
  <si>
    <t>PE 65x900</t>
  </si>
  <si>
    <t>SP 1398</t>
  </si>
  <si>
    <t>Túi thuốc thú y không in KT 140x190mm Thái Dương</t>
  </si>
  <si>
    <t>PE 50x860</t>
  </si>
  <si>
    <t>SP 1399</t>
  </si>
  <si>
    <t>Túi kẹo mút creat bag eikodo</t>
  </si>
  <si>
    <t>CPP 30x700</t>
  </si>
  <si>
    <t>SP 1400</t>
  </si>
  <si>
    <t>Cuộn bánh bao chay hương cốm 200gr Phú Mỹ</t>
  </si>
  <si>
    <t>SP 1401</t>
  </si>
  <si>
    <t>Cuộn thuốc sâu bemab 52WG hiệu xạ thủ voi thái 10gr việt thắng</t>
  </si>
  <si>
    <t>PE 90x830</t>
  </si>
  <si>
    <t>SP 1402</t>
  </si>
  <si>
    <t>Cuôn thuốc nước pesieu 500SC loại 10ml việt thắng</t>
  </si>
  <si>
    <t>PEDB 60x770</t>
  </si>
  <si>
    <t>SP 1403</t>
  </si>
  <si>
    <t>Túi thuốc thú y Sun SVT pharma 100gr - Thái Dương</t>
  </si>
  <si>
    <t>PE 120x830</t>
  </si>
  <si>
    <t>SP 1404</t>
  </si>
  <si>
    <t>Túi thuốc thú y Sun SVT pharma 1kg - Thái Dương</t>
  </si>
  <si>
    <t>PE 120x670</t>
  </si>
  <si>
    <t>SP 1405</t>
  </si>
  <si>
    <t>Túi thuốc thú y sunvet pharma 100g - Thái Dương</t>
  </si>
  <si>
    <t>SP 1406</t>
  </si>
  <si>
    <t>Túi thuốc thú y sunvet pharma 1kg - Thái Dương</t>
  </si>
  <si>
    <t>SP 1407</t>
  </si>
  <si>
    <t>Cuộn nhôm xingfa ASN windoor cơ điện</t>
  </si>
  <si>
    <t>SP 1408</t>
  </si>
  <si>
    <t>Cuộn đường sugar 1kg khổ 820 Sơn Tùng</t>
  </si>
  <si>
    <t>PE 35x820</t>
  </si>
  <si>
    <t>SP 1409</t>
  </si>
  <si>
    <t>Cuộn trà giảo cổ lam 2gr Tuệ Linh khổ 65.5mm</t>
  </si>
  <si>
    <t>Công ty cổ phần chè Kim Anh</t>
  </si>
  <si>
    <t>SP 1410</t>
  </si>
  <si>
    <t>Túi nước xả vải susino 1.5L - Hoà Hợp</t>
  </si>
  <si>
    <t>PA 15x710 ghép PE 150x710</t>
  </si>
  <si>
    <t>0.0088(0.0023,0.003,0.0035)</t>
  </si>
  <si>
    <t>Công ty TNHH bột giặt và hoá mỹ phẩm quốc tế</t>
  </si>
  <si>
    <t>SP 1411</t>
  </si>
  <si>
    <t>Túi phụ tùng vỏ yên xe máy hồng tiến</t>
  </si>
  <si>
    <t>Công ty TNHH MTV Hồng Tiến</t>
  </si>
  <si>
    <t>SP 1412</t>
  </si>
  <si>
    <t>Túi thuốc sâu fortox 50EC loại 10ml việt thắng</t>
  </si>
  <si>
    <t>PE sứ 60x800</t>
  </si>
  <si>
    <t>SP 1413</t>
  </si>
  <si>
    <t>Túi thuốc sâu fartack 50EC loại 10ml việt thắng</t>
  </si>
  <si>
    <t>SP 1414</t>
  </si>
  <si>
    <t>Cuộn bột giặt kusa 130gr bell đức</t>
  </si>
  <si>
    <t>PE sứ 60x860</t>
  </si>
  <si>
    <t>Công ty TNHH Bell Đức</t>
  </si>
  <si>
    <t>SP 1415</t>
  </si>
  <si>
    <t>Cuộn bột giặt kusa 400gr bell đức</t>
  </si>
  <si>
    <t>PE sứ 60x760</t>
  </si>
  <si>
    <t>SP 1416</t>
  </si>
  <si>
    <t>Cuộn bột giặt kusa 800gr bell đức</t>
  </si>
  <si>
    <t>PE sứ 85x900</t>
  </si>
  <si>
    <t>SP 1417</t>
  </si>
  <si>
    <t>Cuộn bột giặt kusa 3kg bell đức</t>
  </si>
  <si>
    <t>SP 1418</t>
  </si>
  <si>
    <t>Cuộn bột giặt kusa 5kg bell đức</t>
  </si>
  <si>
    <t>SP 1419</t>
  </si>
  <si>
    <t>Cuộn đường tinh luyện xuất khẩu 1kg mã 011 Lam Sơn</t>
  </si>
  <si>
    <t>SP 1420</t>
  </si>
  <si>
    <t>Cuộn trà diabetna túi lọc 1.5gr KT 65.5x154mm Nam Dược</t>
  </si>
  <si>
    <t>SP 1421</t>
  </si>
  <si>
    <t>Túi HCK không in KT 195x255 mã 3154CP</t>
  </si>
  <si>
    <t>Chi nhánh công ty CP chăn nuôi Việt Nam</t>
  </si>
  <si>
    <t>SP 1422</t>
  </si>
  <si>
    <t>Cuộn khăn ướt mamamy 100 miếng màu xanh không mùi K355 mã 344 - Đông Hiệp</t>
  </si>
  <si>
    <t>OPP mờ 20x730</t>
  </si>
  <si>
    <t>PE sứ 50 x730</t>
  </si>
  <si>
    <t>Công ty TNHH Thương mại và đầu tư Đông Hiệp</t>
  </si>
  <si>
    <t>SP 1423</t>
  </si>
  <si>
    <t>Túi HCK không in KT 260x360 CP</t>
  </si>
  <si>
    <t>SP 1424</t>
  </si>
  <si>
    <t>Cuộn thuốc thú y không in loại 20gr khổ 305 - Thái Dương</t>
  </si>
  <si>
    <t>PE 65x940</t>
  </si>
  <si>
    <t>SP 1424A</t>
  </si>
  <si>
    <t>Cuộn thuốc thú y không in loại 20gr khổ 305 ghép PE sứ - Thái Dương</t>
  </si>
  <si>
    <t>PE sứ 65x940</t>
  </si>
  <si>
    <t>SP 1425</t>
  </si>
  <si>
    <t>Túi khăn hạ sốt zipper Dr.papie mã 082 - Starmed</t>
  </si>
  <si>
    <t>Công ty CP Tập đoàn dược phẩm Starmed</t>
  </si>
  <si>
    <t>SP 1426</t>
  </si>
  <si>
    <t>Túi khăn hạ sốt zipper Dr.papie mã 099 - Starmed</t>
  </si>
  <si>
    <t>SP 1427</t>
  </si>
  <si>
    <t>Cuộn bánh trung thu khổ 280 Nhật Nguyệt</t>
  </si>
  <si>
    <t>PE 45x580</t>
  </si>
  <si>
    <t>SP 1428</t>
  </si>
  <si>
    <t>Túi zipper kẹo bù khoáng chanh muối Dr.cool 32gr eikodo</t>
  </si>
  <si>
    <t>PET 12x910</t>
  </si>
  <si>
    <t>PE 50x910</t>
  </si>
  <si>
    <t>SP 1429</t>
  </si>
  <si>
    <t>Túi zipper khẩu trang 4D ami mask nhật linh - HN</t>
  </si>
  <si>
    <t>MCPP 35x295-CPP 35x290</t>
  </si>
  <si>
    <t>Công ty TNHH Thương mại Nhất Linh Hà Nội</t>
  </si>
  <si>
    <t>SP 1430</t>
  </si>
  <si>
    <t>Túi zipper khẩu trang 4D fashion mask duy ngọc fashion</t>
  </si>
  <si>
    <t>Công ty TNHH Duy Ngọc Fashion</t>
  </si>
  <si>
    <t>SP 1431</t>
  </si>
  <si>
    <t>Cuộn hạt giống cải làn vàng, trắng, đậu cove vàng sao việt</t>
  </si>
  <si>
    <t>SP 1432</t>
  </si>
  <si>
    <t>Cuộn hạt giống cải làn vàng, trắng, cải mơ lucky</t>
  </si>
  <si>
    <t>SP 1433</t>
  </si>
  <si>
    <t>Túi zipper khẩu trang 4D Vân Anh mask</t>
  </si>
  <si>
    <t>Công ty khâu trang</t>
  </si>
  <si>
    <t>SP 1434</t>
  </si>
  <si>
    <t>Túi bánh sandwich khoai tây fresta richy</t>
  </si>
  <si>
    <t>PE 25x980</t>
  </si>
  <si>
    <t>túi HLXH lệch</t>
  </si>
  <si>
    <t>SP 1435</t>
  </si>
  <si>
    <t>Túi thuốc thú y không in 20gr KT 130x175mm - Thái Dương</t>
  </si>
  <si>
    <t>PE 100x810</t>
  </si>
  <si>
    <t>SP 1436</t>
  </si>
  <si>
    <t>Cuộn màng không in thuốc thú y khổ 260 - Đất Việt</t>
  </si>
  <si>
    <t>Công ty CP thuốc thú y Đất Việt</t>
  </si>
  <si>
    <t>SP 1437</t>
  </si>
  <si>
    <t>Cuộn bánh bao chay hương sữa dừa 200gr mới Phú Mỹ</t>
  </si>
  <si>
    <t>SP 1438</t>
  </si>
  <si>
    <t>Cuộn men rượu cao cấp trung tiến</t>
  </si>
  <si>
    <t>PE sứ 25x920</t>
  </si>
  <si>
    <t>SP 1439</t>
  </si>
  <si>
    <t>Túi bánh bơ trứng giòn karo 150gr Richy</t>
  </si>
  <si>
    <t>OPP 20x950</t>
  </si>
  <si>
    <t>MCPP 35x950</t>
  </si>
  <si>
    <t>SP 1440</t>
  </si>
  <si>
    <t>Cuộn bánh bơ trứng giòn karo K202 richy</t>
  </si>
  <si>
    <t>OPP 20x1030</t>
  </si>
  <si>
    <t>MCPP 25x1030</t>
  </si>
  <si>
    <t>SP 1441</t>
  </si>
  <si>
    <t> Túi lon quế 208gr richy</t>
  </si>
  <si>
    <t>OPP 20x1070</t>
  </si>
  <si>
    <t>MCPP 25x1070</t>
  </si>
  <si>
    <t>túi HL</t>
  </si>
  <si>
    <t>SP 1442</t>
  </si>
  <si>
    <t>Cuộn đóng gói viên nén Chloramine B x 10 viên Đức Giang</t>
  </si>
  <si>
    <t>Giấy 55x760</t>
  </si>
  <si>
    <t>PE 70x770</t>
  </si>
  <si>
    <t>0,006(0,003:0,003)</t>
  </si>
  <si>
    <t>Công ty CP Tập đoàn hóa chất đức giang</t>
  </si>
  <si>
    <t>SP 1443</t>
  </si>
  <si>
    <t xml:space="preserve">Túi bánh karo trứng tươi chà bông 26gr x 6 richy </t>
  </si>
  <si>
    <t>OPP 30x650</t>
  </si>
  <si>
    <t>PE 30x650</t>
  </si>
  <si>
    <t>SP 1443A</t>
  </si>
  <si>
    <t xml:space="preserve">Túi bánh karo trứng tươi chà bông 26gr x 6 chương trình khuyến mại richy </t>
  </si>
  <si>
    <t>SP 1444</t>
  </si>
  <si>
    <t>Cuộn bánh karo trứng tươi chà bông 26gr x 6 khổ 230 richy</t>
  </si>
  <si>
    <t>OPP 20x940</t>
  </si>
  <si>
    <t>MCPP 25x940</t>
  </si>
  <si>
    <t>SP 1445</t>
  </si>
  <si>
    <t>Cuộn màng không in ghép CPP K355 Phú Mỹ</t>
  </si>
  <si>
    <t>CPP 20x730</t>
  </si>
  <si>
    <t>SP 1446</t>
  </si>
  <si>
    <t>Cuộn chất tẩy xạ TX-93 400gr Đức Giang</t>
  </si>
  <si>
    <t>PE sứ 85x760</t>
  </si>
  <si>
    <t>SP 1447</t>
  </si>
  <si>
    <t>Túi thuốc thú y sun -gluco K.C.SVT pharma 1kg - Thái Dương</t>
  </si>
  <si>
    <t xml:space="preserve">Công ty CP Thú y SVT </t>
  </si>
  <si>
    <t>SP 1448</t>
  </si>
  <si>
    <t>Gia công in cuộn LGL innotek khổ 840 Innovative</t>
  </si>
  <si>
    <t>Công ty TNHH Innovative</t>
  </si>
  <si>
    <t>SP 1449</t>
  </si>
  <si>
    <t>Túi khẩu trang chống bụi siêu mịn khuyến anh</t>
  </si>
  <si>
    <t>MCPP 35x315
CPP 35x310</t>
  </si>
  <si>
    <t>Công ty TNHH Khuyến Anh</t>
  </si>
  <si>
    <t>SP 1450</t>
  </si>
  <si>
    <t>Túi bánh karo bơ trứng giòn 270gr richy</t>
  </si>
  <si>
    <t>OPP 30x1120</t>
  </si>
  <si>
    <t>CPP 50x1120</t>
  </si>
  <si>
    <t>SP 1451</t>
  </si>
  <si>
    <t>Túi khẩu trang y tế kids khuyến anh</t>
  </si>
  <si>
    <t>SP 1452</t>
  </si>
  <si>
    <t>Cuộn kẹo dẻo mogu vị chanh muối 20gr eikodo</t>
  </si>
  <si>
    <t>OPP 30x780</t>
  </si>
  <si>
    <t>SP 1453</t>
  </si>
  <si>
    <t>Cuộn khăn khô Dry floor cloths 20 tờ  khổ 310mm  5853 tím - Đông Hiệp</t>
  </si>
  <si>
    <t>PE sứ 25x640</t>
  </si>
  <si>
    <t>SP 1454</t>
  </si>
  <si>
    <t>Cuộn bánh merry quy sữa 24gr - màu hồng richy</t>
  </si>
  <si>
    <t>SP 1455</t>
  </si>
  <si>
    <t>Cuộn thuốc thú y chung 10gr Đức Hạnh</t>
  </si>
  <si>
    <t>OPP 30x668</t>
  </si>
  <si>
    <t>MPET 12x668</t>
  </si>
  <si>
    <t>PE 35x668</t>
  </si>
  <si>
    <t>0,0046(0,0023; 0,0023)</t>
  </si>
  <si>
    <t>Công ty CP tập đoàn Đức Hạnh maphavet</t>
  </si>
  <si>
    <t>SP 1456</t>
  </si>
  <si>
    <t xml:space="preserve">Túi hạt giống bí xanh sặt 3838 lucky sao việt ( 12 SP) </t>
  </si>
  <si>
    <t>SP 1457</t>
  </si>
  <si>
    <t>Cuộn hạt giống cải ngọt cọng xanh A1 japan và việt nhật ( 03 SP) KT 130x190 mm</t>
  </si>
  <si>
    <t>SP 1458</t>
  </si>
  <si>
    <t>Cuộn đường trắng winmart good 1kg Lasuco mã 333</t>
  </si>
  <si>
    <t>SP 1459</t>
  </si>
  <si>
    <t>Cuộn đường tinh luyện winmart good 500g Lasuco mã 302</t>
  </si>
  <si>
    <t>PE 55x980</t>
  </si>
  <si>
    <t>SP 1460</t>
  </si>
  <si>
    <t>Cuộn đường tinh luyện winmart good 1kg Lasuco mã 319</t>
  </si>
  <si>
    <t>SP 1461</t>
  </si>
  <si>
    <t>Cuộn đường trắng winmart good 500g Lasuco mã 326</t>
  </si>
  <si>
    <t>SP 1462</t>
  </si>
  <si>
    <t>Cuộn thuốc viên hoàn cứng sitar 5gr CNC Traphaco</t>
  </si>
  <si>
    <t>CPP 60x780</t>
  </si>
  <si>
    <t>0,005(0,0025;0,0025)</t>
  </si>
  <si>
    <t>Công ty CP CNC Traphaco</t>
  </si>
  <si>
    <t>SP 1463</t>
  </si>
  <si>
    <t>Cuộn thuốc trà gừng 3gr cốm CNC Traphaco</t>
  </si>
  <si>
    <t>PET 12x776</t>
  </si>
  <si>
    <t>AL 6x776</t>
  </si>
  <si>
    <t>CPP 60x786</t>
  </si>
  <si>
    <t>SP 1464</t>
  </si>
  <si>
    <t>Cuộn trà giải độc gan nam dược khổ 65.5mm</t>
  </si>
  <si>
    <t>SP 1465</t>
  </si>
  <si>
    <t>Cuôộn hạt giống mùi, thì là, cải mơ lùn lucky</t>
  </si>
  <si>
    <t>SP 1466</t>
  </si>
  <si>
    <t>Cuôộn hạt giống mùi, thì là sao việt ngồng cải 003 lucky ( 03 SP)</t>
  </si>
  <si>
    <t>SP 1467</t>
  </si>
  <si>
    <t>Túi gạo hương thuần việt bắc thơm 5kg hà thái</t>
  </si>
  <si>
    <t>PE 115x670</t>
  </si>
  <si>
    <t>SP 1468</t>
  </si>
  <si>
    <t>Cuộn men rượu nàng thơm nếp mới 100gr - Trường Nguyên</t>
  </si>
  <si>
    <t>Hộ kinh doanh men rượu trường nguyên</t>
  </si>
  <si>
    <t>SP 1469</t>
  </si>
  <si>
    <t>Túi zipper tã dán mamamy 3 miếng tã dán Ultraflow - Đông Hiệp</t>
  </si>
  <si>
    <t>PE sứ 45x590</t>
  </si>
  <si>
    <t>túi 3 biên zipper</t>
  </si>
  <si>
    <t>SP 1470</t>
  </si>
  <si>
    <t>Cuộn bánh quy sữa 24gr coop richy</t>
  </si>
  <si>
    <t>SP 1471</t>
  </si>
  <si>
    <t>Túi PA không in HCK KT 250x250 XNK RĐD</t>
  </si>
  <si>
    <t>PE 65x1005</t>
  </si>
  <si>
    <t>1000t</t>
  </si>
  <si>
    <t>SP 1472</t>
  </si>
  <si>
    <t>Cuộn trà tan loại que ice tea hương chanh Vĩnh Phúc</t>
  </si>
  <si>
    <t>SP 1473</t>
  </si>
  <si>
    <t>Cuôộn bánh bao đậu xanh lá dứa 280gr Phú Mỹ</t>
  </si>
  <si>
    <t>SP 1474</t>
  </si>
  <si>
    <t>Túi thuốc thú ý sun SVT pharma 10gr - Thái Dương</t>
  </si>
  <si>
    <t>0,006(0,003, 0,003)</t>
  </si>
  <si>
    <t>Công ty CP thú y SVT Thái Dương</t>
  </si>
  <si>
    <t>SP 1475</t>
  </si>
  <si>
    <t>Túi hạt giống lúa lai QL 301 1kg Thái Bình</t>
  </si>
  <si>
    <t>4000t</t>
  </si>
  <si>
    <t>SP 1476</t>
  </si>
  <si>
    <t>Túi hạt giống lúa lai QL 301 40kg Thái Bình</t>
  </si>
  <si>
    <t>6000m</t>
  </si>
  <si>
    <t>Giấy cartoom</t>
  </si>
  <si>
    <t>SP 1477</t>
  </si>
  <si>
    <t>Túi zipper khẩu trang kháng khuẩn KF94 Đăng Khôi</t>
  </si>
  <si>
    <t>MCPP 35x290-CPP 35x290</t>
  </si>
  <si>
    <t>Công ty khẩu trang Đăng Khôi</t>
  </si>
  <si>
    <t>SP 1478</t>
  </si>
  <si>
    <t>Cuộn màng nhôm xingfa  mới in 2 màu cơ điện</t>
  </si>
  <si>
    <t>Giấy caartoon</t>
  </si>
  <si>
    <t>SP 1479</t>
  </si>
  <si>
    <t>Túi hạt giống lúa bao chung 1kg mahyco KT 215x300mm</t>
  </si>
  <si>
    <t>OPP 20x880</t>
  </si>
  <si>
    <t>PE sứ 90x880</t>
  </si>
  <si>
    <t>SP 1480</t>
  </si>
  <si>
    <t>SP 1481</t>
  </si>
  <si>
    <t>Túi nhôm viên nén bao phim rosuvastain 1 vỉ x 10 viên 10mg Traphaco</t>
  </si>
  <si>
    <t>SP 1482</t>
  </si>
  <si>
    <t>Túi nhôm viên nén bao phim rosuvastain 1 vỉ x 10 viên 20mg Traphaco</t>
  </si>
  <si>
    <t>SP 1483</t>
  </si>
  <si>
    <t>Cuộn bánh bao nhân xá xíu 110gr phú mỹ</t>
  </si>
  <si>
    <t>PE 55x640</t>
  </si>
  <si>
    <t>SP 1484</t>
  </si>
  <si>
    <t>Túi zipper khẩu trang y tế KF94 Duy Ngọc bắc ninh</t>
  </si>
  <si>
    <t>MCPP 35x295- CPP 35x295</t>
  </si>
  <si>
    <t>Công ty TNHH Duy Ngọc bắc ninh</t>
  </si>
  <si>
    <t>SP 1485</t>
  </si>
  <si>
    <t>Cuộn nhôm hoàn cứng Q-Tyta 5gr CNC Traphaco</t>
  </si>
  <si>
    <t>SP 1486</t>
  </si>
  <si>
    <t>Cuộn đường trắng thượng hạng Lam Sơn 1kg white premium sugar ( T12.2021)</t>
  </si>
  <si>
    <t>SP 1487</t>
  </si>
  <si>
    <t>Cuộn đường vàng tinh khiết  Lam Sơn 1kg Pure yellow sugar ( T12.2021)</t>
  </si>
  <si>
    <t>SP 1488</t>
  </si>
  <si>
    <t>Cuộn đường tinh luyện xuất khẩu Lam Sơn 1kg Sugar for export ( T12.2021)</t>
  </si>
  <si>
    <t>SP 1489</t>
  </si>
  <si>
    <t>Cuộn đường tinh luyện xuất khẩu Lam Sơn 1kg Hoa Anh Đào ( T12.2021)</t>
  </si>
  <si>
    <t>SP 1490</t>
  </si>
  <si>
    <t>Túi gạc răng miệng Dr.papie - CNC Starmed</t>
  </si>
  <si>
    <t>Công ty Cổ phần Dược phẩm CNC Starmed</t>
  </si>
  <si>
    <t>SP 1491</t>
  </si>
  <si>
    <t>Cuôn bánh bao liên tục phú mỹ mới</t>
  </si>
  <si>
    <t>CPP 20x980</t>
  </si>
  <si>
    <t>SP 1492</t>
  </si>
  <si>
    <t>Cuộn trà túi lọc nhân trần - cúc hoa 2gr TH true</t>
  </si>
  <si>
    <t>MCPP 35x740</t>
  </si>
  <si>
    <t>Công ty CP Dược liệu TH - CN nghệ an</t>
  </si>
  <si>
    <t>SP 1493</t>
  </si>
  <si>
    <t>Cuộn trà túi lọc giảo cổ lam - linh chi 2gr TH true</t>
  </si>
  <si>
    <t>SP 1494</t>
  </si>
  <si>
    <t>Cuộn trà túi lọc tía tô - gừng 2gr TH true</t>
  </si>
  <si>
    <t>SP 1495</t>
  </si>
  <si>
    <t>Cuộn trà túi lọc lạc tiên - tâm sen 2gr TH true</t>
  </si>
  <si>
    <t>SP 1496</t>
  </si>
  <si>
    <t>Túi zipper khẩu trang kháng khuẩn quyền linh KF94 Duy Ngọc fashion</t>
  </si>
  <si>
    <t>MCPP 35x290- CPP 35x290</t>
  </si>
  <si>
    <t>Công ty khẩu trang Duy Ngọc fashion</t>
  </si>
  <si>
    <t>SP 1497</t>
  </si>
  <si>
    <t>Túi zipper khẩu trang kháng khuẩn KF94 Forture Việt Nam</t>
  </si>
  <si>
    <t>Công ty CP TM và SX thiết bị y tế forture Việt Nam</t>
  </si>
  <si>
    <t>SP 1498</t>
  </si>
  <si>
    <t>Cuộn màng Eurowindow mới in 1 màu cơ điện</t>
  </si>
  <si>
    <t>SP 1499</t>
  </si>
  <si>
    <t>Cuộn khăn cồn Vnaxpress 10 miếng - Đông Hiệp</t>
  </si>
  <si>
    <t>PE 50x830</t>
  </si>
  <si>
    <t>0,0046(0,0023:0,0023)</t>
  </si>
  <si>
    <t>Công ty TNHH Đầu tư và TM Đông Hiệp</t>
  </si>
  <si>
    <t>SP 1500</t>
  </si>
  <si>
    <t>Túi zipper khăn hạ sốt Dr.papie O+ mã 211 CNC Starmed</t>
  </si>
  <si>
    <t>túi 3 biên</t>
  </si>
  <si>
    <t>Công ty CP tập đoàn dược phẩm CNC Starmed</t>
  </si>
  <si>
    <t>SP 1501</t>
  </si>
  <si>
    <t>Túi zipper khăn hạ sốt Dr.papie 3MO+ mã 198 CNC Starmed</t>
  </si>
  <si>
    <t>SP 1502</t>
  </si>
  <si>
    <t>Túi gạc răng miệng Tottee - CNC Starmed</t>
  </si>
  <si>
    <t>Công ty cổ phần tập đoàn dược phẩm Starmed</t>
  </si>
  <si>
    <t>SP 1503</t>
  </si>
  <si>
    <t>Cuộn thuốc viên hoàn cứng didicera 5gr Traphaco</t>
  </si>
  <si>
    <t>SP 1504</t>
  </si>
  <si>
    <t>Cuộn 3 SP men Like, Vietvet, Infortae 100gr - Đất Việt</t>
  </si>
  <si>
    <t>SP 1505</t>
  </si>
  <si>
    <t>Cuộn thuốc nước anvado 200SC loại 10ml Việt Thắng</t>
  </si>
  <si>
    <t>BTP( MPETDDB12/PEĐB60)x770</t>
  </si>
  <si>
    <t>SP 1506</t>
  </si>
  <si>
    <t>Túi nhôm viên nén bao phim atorvastatin 10mg ( túi đóng 3 vỉ)</t>
  </si>
  <si>
    <t>PE 55x830</t>
  </si>
  <si>
    <t>SP 1507</t>
  </si>
  <si>
    <t>Túi không in KT 405x570mm Richy</t>
  </si>
  <si>
    <t>CPP 50x830</t>
  </si>
  <si>
    <t>Công ty CP thực phẩm Richy</t>
  </si>
  <si>
    <t>SP 1508</t>
  </si>
  <si>
    <t>Cuộn thuốc nước a-v-tvil 5SC loại 20ml Việt Thắng</t>
  </si>
  <si>
    <t>SP 1509</t>
  </si>
  <si>
    <t>Cuộn snack dorati vị cà chua 25gr libra</t>
  </si>
  <si>
    <t>PE 40x660</t>
  </si>
  <si>
    <t>SP 1510</t>
  </si>
  <si>
    <t>Cuộn sanck dorati vị tôm 25gr libra</t>
  </si>
  <si>
    <t>SP 1511</t>
  </si>
  <si>
    <t>Cuộn snack dorati vị ngô 25gr Libra</t>
  </si>
  <si>
    <t>SP 1512</t>
  </si>
  <si>
    <t>Túi hạt giống rau muống lá tre và dền đỏ lá tròn japan 09SP KT 130x190</t>
  </si>
  <si>
    <t>SP 1513</t>
  </si>
  <si>
    <t>Túi thuốc thú y không in OPP/PE sứ KT 110x160mm Thái Dương</t>
  </si>
  <si>
    <t>PE sứ 50x900</t>
  </si>
  <si>
    <t>Công ty Thái Dương</t>
  </si>
  <si>
    <t>SP 1514</t>
  </si>
  <si>
    <t>cuộn trà HS cozy hương bạc hà túi nhúng T4 mẫu mới 2022 phú thọ</t>
  </si>
  <si>
    <t>Công ty chè Phú Thọ</t>
  </si>
  <si>
    <t>SP 1515</t>
  </si>
  <si>
    <t>cuộn trà HS cozy hương đào túi nhúng T4 mẫu mới 2022 phú thọ</t>
  </si>
  <si>
    <t>SP 1516</t>
  </si>
  <si>
    <t>cuộn trà HS cozy hương dâu túi nhúng T4 mẫu mới 2022 phú thọ</t>
  </si>
  <si>
    <t>SP 1517</t>
  </si>
  <si>
    <t>Túi zipper đáy đứng thuốc thú y sun SVT pharma 1kg - Thái Dương</t>
  </si>
  <si>
    <t>AL 6,5x800</t>
  </si>
  <si>
    <t>túi  3 biên zipper</t>
  </si>
  <si>
    <t>Công ty CP thuốc thú y SVT Thái Dương</t>
  </si>
  <si>
    <t>SP 1518</t>
  </si>
  <si>
    <t>Túi bánh bơ trứng giòn karo 150gr Richy chương trình khuyến mại</t>
  </si>
  <si>
    <t>OPP 20x928</t>
  </si>
  <si>
    <t>MCPP 35x928</t>
  </si>
  <si>
    <t>SP 1519</t>
  </si>
  <si>
    <t>Túi bánh karo bơ trứng giòn 270gr richy chương trình khuyến mại</t>
  </si>
  <si>
    <t>PE 50x1120</t>
  </si>
  <si>
    <t>SP 1520</t>
  </si>
  <si>
    <t>Túi nhôm bao phim seacan k2 6 vỉ x 10 viên Traphaco</t>
  </si>
  <si>
    <t>SP 1521</t>
  </si>
  <si>
    <t>Túi nhôm không in KT 90x200x45mm-  TPP France</t>
  </si>
  <si>
    <t>AL 6x600</t>
  </si>
  <si>
    <t>PE 70x610</t>
  </si>
  <si>
    <t>Công ty CP Liên Doanh Dược phẩm TPP France</t>
  </si>
  <si>
    <t>SP 1522</t>
  </si>
  <si>
    <t>Cuộn thuốc nước a-v-tvil 5SC dạng sữa loại 20ml Việt Thắng</t>
  </si>
  <si>
    <t>SP 1523</t>
  </si>
  <si>
    <t>Túi hạt lúa thuần hà phát 3 loại 1kg Mahyco</t>
  </si>
  <si>
    <t>PE 90x860</t>
  </si>
  <si>
    <t>Công ty TNHH Mahyco Việt Nam</t>
  </si>
  <si>
    <t>SP 1524</t>
  </si>
  <si>
    <t>Túi in 1 màu đen KT 229x343x114mm Phú Thọ</t>
  </si>
  <si>
    <t>PE 65x720</t>
  </si>
  <si>
    <t>SP 1525</t>
  </si>
  <si>
    <t>Cuộn giấy thuốc trừ cỏ alyaly aic 200WG 1.5gr NDCT mới rainbow</t>
  </si>
  <si>
    <t>SP 1526</t>
  </si>
  <si>
    <t>Túi bánh trứng lipo coconut 200gr Hữu Nghị</t>
  </si>
  <si>
    <t>Công ty Hữu Nghị miền Bắc</t>
  </si>
  <si>
    <t>SP 1527</t>
  </si>
  <si>
    <t>Cuộn bánh trứng lipo coconut Hữu Nghị</t>
  </si>
  <si>
    <t>SP 1528</t>
  </si>
  <si>
    <t>Túi bánh trứng lipo coconut 300gr Hữu Nghị</t>
  </si>
  <si>
    <t>PE 60x660</t>
  </si>
  <si>
    <t>SP 1529</t>
  </si>
  <si>
    <t>Túi bánh trứng lipo sầu riêng 300gr Hữu Nghị</t>
  </si>
  <si>
    <t>SP 1530</t>
  </si>
  <si>
    <t>Túi bánh trứng lipo sầu riêng 200gr Hữu Nghị</t>
  </si>
  <si>
    <t>SP 1531</t>
  </si>
  <si>
    <t>Túi giống lúa lai F1 MHC2 - 2022 loại 1kg Mahyco</t>
  </si>
  <si>
    <t>SP 1532</t>
  </si>
  <si>
    <t xml:space="preserve">Túi thuốc thú y không in PET/PE sứ KT 110x160mm Thái Dương </t>
  </si>
  <si>
    <t>PE sứ 65x900</t>
  </si>
  <si>
    <t>Công ty CP thuốc thú y Thái Dương</t>
  </si>
  <si>
    <t>SP 1533</t>
  </si>
  <si>
    <t>Túi HCK chân gà tứ xuyên chất lượng vàng 38gr - Thực phẩm MC</t>
  </si>
  <si>
    <t>AL 6.3x860</t>
  </si>
  <si>
    <t>PEHD 105x870</t>
  </si>
  <si>
    <t>0,007(0,0035;0,0035)</t>
  </si>
  <si>
    <t>Công ty TNHH XNK Thực phẩm MC</t>
  </si>
  <si>
    <t>SP 1534</t>
  </si>
  <si>
    <t>Cuộn bánh trứng lipo bơ Hữu Nghị</t>
  </si>
  <si>
    <t>SP 1535</t>
  </si>
  <si>
    <t>Cuộn bánh trứng lipo nguyên vị hữu nghị</t>
  </si>
  <si>
    <t>SP 1536</t>
  </si>
  <si>
    <t>Túi bánh trứng lipo bơ 300gr Hữu Nghị</t>
  </si>
  <si>
    <t>SP 1537</t>
  </si>
  <si>
    <t>Túi bánh trứng lipo bơ 200gr Hữu Nghị</t>
  </si>
  <si>
    <t>SP 1538</t>
  </si>
  <si>
    <t>Túi nhôm không in KT 65x180x35mm - TPP France</t>
  </si>
  <si>
    <t>PE 70x690</t>
  </si>
  <si>
    <t>SP 1539</t>
  </si>
  <si>
    <t>Túi màn chữ Hồng Hải màu tím</t>
  </si>
  <si>
    <t>PET 12x1070</t>
  </si>
  <si>
    <t>PE 95x1070</t>
  </si>
  <si>
    <t>Công ty CP dệt và may hồng hải</t>
  </si>
  <si>
    <t>SP 1540</t>
  </si>
  <si>
    <t>Túi màn chữ Hồng Hải màu trắng</t>
  </si>
  <si>
    <t>SP 1541</t>
  </si>
  <si>
    <t>Túi màn chaio hồng hải</t>
  </si>
  <si>
    <t>PET 12x1050</t>
  </si>
  <si>
    <t>PE 95x1050</t>
  </si>
  <si>
    <t>SP 1542</t>
  </si>
  <si>
    <t>Túi màn chapako Hồng Hải</t>
  </si>
  <si>
    <t>PET 12x1200</t>
  </si>
  <si>
    <t>PE 95x1200</t>
  </si>
  <si>
    <t>SP 1543</t>
  </si>
  <si>
    <t>Túi màn chữ Hồng Hải màu nhũ</t>
  </si>
  <si>
    <t>SP 1544</t>
  </si>
  <si>
    <t>Túi hương trầm liên đức hương thơm đậu tàn KT170x475</t>
  </si>
  <si>
    <t>SP 1545</t>
  </si>
  <si>
    <t>Túi hương trầm liên đức hương thơm thảo mộc đậu tàn  KT 500x550</t>
  </si>
  <si>
    <t>PE 30x520</t>
  </si>
  <si>
    <t>SP 1546</t>
  </si>
  <si>
    <t>Túi hạt giống lúa mới TBR225 cấp giống XN1 kháng bạc lá 1kg Thái Bình</t>
  </si>
  <si>
    <t>Công ty Thái Bình seed</t>
  </si>
  <si>
    <t>SP 1547</t>
  </si>
  <si>
    <t>Túi hạt giống lúa mới TBR97 cấp giống XN1 chịu đạo ôn 1kg Thái Bình</t>
  </si>
  <si>
    <t>SP 1548</t>
  </si>
  <si>
    <t>Túi hạt giống lúa mới TBR225 cấp giống XN1 kháng bạc lá 40kg Thái Bình</t>
  </si>
  <si>
    <t>SP 1549</t>
  </si>
  <si>
    <t>Túi hạt giống lúa mới TBR97 cấp giống XN1 chịu đạo ôn 40kg Thái Bình</t>
  </si>
  <si>
    <t>SP 1550</t>
  </si>
  <si>
    <t>Túi cám dinh dưỡng cao cấp VFG 1kg Ngọc Linh</t>
  </si>
  <si>
    <t>PE 120x800</t>
  </si>
  <si>
    <t xml:space="preserve">túi ba biên đáy đứng </t>
  </si>
  <si>
    <t>Công ty TNHH TM và dịch vụ Thịnh Ngọc Linh</t>
  </si>
  <si>
    <t>SP 1551</t>
  </si>
  <si>
    <t>Cuộn bánh coffee baraka xuất khẩu Palestinian 45gr KT 215x138mm</t>
  </si>
  <si>
    <t>SP 1552</t>
  </si>
  <si>
    <t>Túi hạt giống xà lách KT 240x180 Việt Nhật</t>
  </si>
  <si>
    <t>Công ty TNHH SX và TM giống Việt Nhật</t>
  </si>
  <si>
    <t>SP 1553</t>
  </si>
  <si>
    <t>Túi chân gà tương thơm 38gr - Chu Việt Nam</t>
  </si>
  <si>
    <t>PE 105x750</t>
  </si>
  <si>
    <t>Công ty TNHH thực phẩm vịt đen chu Việt Nam</t>
  </si>
  <si>
    <t>SP 1554</t>
  </si>
  <si>
    <t>Túi không in HCT KT 220x340mm - Đức Việt</t>
  </si>
  <si>
    <t>Công ty CP thực phảm Đất Việt</t>
  </si>
  <si>
    <t>SP 1555</t>
  </si>
  <si>
    <t>Túi chân vịt tứ xuyên 35gr - Thực phẩm MC</t>
  </si>
  <si>
    <t>SP 1556</t>
  </si>
  <si>
    <t>Túi gạo vì dân ST25 loại 5kg Hoàng Dương</t>
  </si>
  <si>
    <t>PA 15x</t>
  </si>
  <si>
    <t>SP 1557</t>
  </si>
  <si>
    <t>Túi gạo ST25 loại 5kg Hoàng Dương</t>
  </si>
  <si>
    <t>PE 120x720</t>
  </si>
  <si>
    <t>túi 4 biên</t>
  </si>
  <si>
    <t>Công ty Hoàng Dương</t>
  </si>
  <si>
    <t>SP 1558</t>
  </si>
  <si>
    <t>Túi hạt hướng dương mỹ vị rang muối 5kg Hoàng Vũ</t>
  </si>
  <si>
    <t>PE 95x905</t>
  </si>
  <si>
    <t>Công ty TNHH TM dịch vụ và SX Hoàng Vũ</t>
  </si>
  <si>
    <t>SP 1559</t>
  </si>
  <si>
    <t>Túi 1 màu cam KT 290x595x70mm Phú Thọ</t>
  </si>
  <si>
    <t>Công ty TNHH 1TV thế hệ mới Phú Thọ</t>
  </si>
  <si>
    <t>SP 1560</t>
  </si>
  <si>
    <t>Cuộn bột pha nước tắm trẻ em Nhân Hưng 1g - Cát Linh</t>
  </si>
  <si>
    <t>Giấy 60x730</t>
  </si>
  <si>
    <t>AL 6x730</t>
  </si>
  <si>
    <t>0,0065(0,004;0,0025)</t>
  </si>
  <si>
    <t>SP 1561</t>
  </si>
  <si>
    <t>Túi đậu nành luộc ăn liền UMAMI - YA 400gr - Hiền Lê</t>
  </si>
  <si>
    <t>PE 50x980</t>
  </si>
  <si>
    <t>Công ty TNHH TM và dịch vụ Hiền Lê</t>
  </si>
  <si>
    <t>SP 1562</t>
  </si>
  <si>
    <t>Túi linh chi đỏ 250gr Nam Dược</t>
  </si>
  <si>
    <t>PE 140x800</t>
  </si>
  <si>
    <t>Công ty CP Nam Dược</t>
  </si>
  <si>
    <t>SP 1563</t>
  </si>
  <si>
    <t>Túi linh chi đỏ 250gr hở màng Nam Dược</t>
  </si>
  <si>
    <t>SP 1564</t>
  </si>
  <si>
    <t>Cuộn thuốc nước A-v-tvil xanh 5SC dạng sữa đặc loại 30ml - Việt Thắng</t>
  </si>
  <si>
    <t>PET 12x676</t>
  </si>
  <si>
    <t>BTP( MPETĐB12/PEĐB60)x676</t>
  </si>
  <si>
    <t>Công ty TNHH Việt Thắng</t>
  </si>
  <si>
    <t>SP 1565</t>
  </si>
  <si>
    <t>Cuộn thuốc nước A-v-tvil 5SC dạng sữa đặc loại A 45ml - Việt Thắng</t>
  </si>
  <si>
    <t>SP 1566</t>
  </si>
  <si>
    <t>Cuộn cải bẹ dưa tòa sại choi hing 318 Việt Nhật</t>
  </si>
  <si>
    <t>SP 1567</t>
  </si>
  <si>
    <t>Cuộn thạch sữa chua POOM jelly mix trái cây - Trung Tín</t>
  </si>
  <si>
    <t>OPP mờ 20x988</t>
  </si>
  <si>
    <t>Giấy 55x988</t>
  </si>
  <si>
    <t>PA 15x988 ghép PE sứ 40x988</t>
  </si>
  <si>
    <t>0,008(0,004;0,004)</t>
  </si>
  <si>
    <t>Hộ KD cơ sở nhà máy bánh kẹo Trung Tín</t>
  </si>
  <si>
    <t>SP 1568</t>
  </si>
  <si>
    <t>Cuộn bánh korky phủ socola dừa diamond food</t>
  </si>
  <si>
    <t>OPP 20x890</t>
  </si>
  <si>
    <t>MCPP 25x890</t>
  </si>
  <si>
    <t>Công ty diamond food</t>
  </si>
  <si>
    <t>SP 1569</t>
  </si>
  <si>
    <t>Cuộn bánh gạo Honey Rice Cracker Richy</t>
  </si>
  <si>
    <t>MCPP 25x920</t>
  </si>
  <si>
    <t>SP 1570</t>
  </si>
  <si>
    <t>Túi bánh gạo Honey Rice Cracker 300gr Richy</t>
  </si>
  <si>
    <t>SP 1571</t>
  </si>
  <si>
    <t>Túi ngũ cốc Oatmeal 40gr Richy</t>
  </si>
  <si>
    <t>CPP 50x840</t>
  </si>
  <si>
    <t>SP 1572</t>
  </si>
  <si>
    <t>Túi bánh korky phủ socola dừa diamond food</t>
  </si>
  <si>
    <t>PE 60x540</t>
  </si>
  <si>
    <t>SP 1573</t>
  </si>
  <si>
    <t>Túi không in thuốc thú y KT 130x180mm PE sứ - Đất Việt</t>
  </si>
  <si>
    <t>SP 1574</t>
  </si>
  <si>
    <t>Cuộn màng YNG hua việt nam 3 màu TH Việt</t>
  </si>
  <si>
    <t>PE 40x1220</t>
  </si>
  <si>
    <t>PE 25x1220</t>
  </si>
  <si>
    <t>Công ty CP SX và TM TH Việt</t>
  </si>
  <si>
    <t>SP 1575</t>
  </si>
  <si>
    <t>Màng kẹo thạch Hasuko sữa chua trái cây - Trung Tín</t>
  </si>
  <si>
    <t>SP 1576</t>
  </si>
  <si>
    <t>Màng kẹo thạch Sakura Hương Việt - Trung Tín</t>
  </si>
  <si>
    <t>SP 1577</t>
  </si>
  <si>
    <t>Cuộn sâm vàng wongin - T gold 3gr Việt Hải</t>
  </si>
  <si>
    <t>OPP 40x720</t>
  </si>
  <si>
    <t>Công ty TNHH Thương mại Việt Hải</t>
  </si>
  <si>
    <t>SP 1578</t>
  </si>
  <si>
    <t>Túi bột matcha barista 200gr Phú Thọ</t>
  </si>
  <si>
    <t>AL 6x550</t>
  </si>
  <si>
    <t>PE 100x560</t>
  </si>
  <si>
    <t>Công ty TNHH 1 thành viên thế hệ mới Phú Thọ</t>
  </si>
  <si>
    <t>SP 1579</t>
  </si>
  <si>
    <t>Cuộn trà sâm wongin - T ginseng tea 3gr Việt Hải</t>
  </si>
  <si>
    <t>SP 1580</t>
  </si>
  <si>
    <t>Cuộn trà sâm wongin - T ginseng tea 2gr Việt Hải</t>
  </si>
  <si>
    <t>SP 1581</t>
  </si>
  <si>
    <t>Cuộn keẹo thạch sữa chua trái cây Kico mã 337 - Trung Tín</t>
  </si>
  <si>
    <t>SP 1582</t>
  </si>
  <si>
    <t>Cuộn keẹo thạch sữa chua trái cây mã 989 Trung Tín</t>
  </si>
  <si>
    <t>SP 1583</t>
  </si>
  <si>
    <t>Cuộn đựng viên rửa bát T-clean techmat</t>
  </si>
  <si>
    <t>PCPP 30x790</t>
  </si>
  <si>
    <t>Công ty TNHH Tư vấn và thiết kế kỹ thuật Techmat</t>
  </si>
  <si>
    <t>SP 1584</t>
  </si>
  <si>
    <t>Túi bột rửa bát - viên rửa bát - viên muối làm mềm nước T-clean</t>
  </si>
  <si>
    <t>OPP 30x635</t>
  </si>
  <si>
    <t>PE sứ 80x635</t>
  </si>
  <si>
    <t>túi ba biên zipper đáy đứng</t>
  </si>
  <si>
    <t>SP 1585</t>
  </si>
  <si>
    <t>Túi thuốc sâu 50EC FAFTAC 10ml Việt Thắng</t>
  </si>
  <si>
    <t>OPP 20x788</t>
  </si>
  <si>
    <t>PE sứ 60x788</t>
  </si>
  <si>
    <t xml:space="preserve">túi HLXH </t>
  </si>
  <si>
    <t>SP 1586</t>
  </si>
  <si>
    <t>Cuộn kẹo thạch tổ yến Kico mã 1989 - Trung Tín</t>
  </si>
  <si>
    <t>SP 1587</t>
  </si>
  <si>
    <t>Cuộn cửa thép King Bắc in 3 màu TH Việt</t>
  </si>
  <si>
    <t>PE 35x1220</t>
  </si>
  <si>
    <t>SP 1588</t>
  </si>
  <si>
    <t>Cuộn cải ngồng xanh chịu nhiệt việt nhật japan việt googseeds 3 SP</t>
  </si>
  <si>
    <t>SP 1589</t>
  </si>
  <si>
    <t>Túi hạt hướng dương vị dừa 400gr Hoàng Dương</t>
  </si>
  <si>
    <t>SP 1590</t>
  </si>
  <si>
    <t>Túi hạt hướng dương vị óc chó 400gr Hoàng Dương</t>
  </si>
  <si>
    <t>SP 1591</t>
  </si>
  <si>
    <t>Túi đựng mắm tép trưng thịt KT 165x255mm - PTK</t>
  </si>
  <si>
    <t>PE 65x680</t>
  </si>
  <si>
    <t>Công ty TNHH PTK 879 Việt Nam</t>
  </si>
  <si>
    <t>SP 1592</t>
  </si>
  <si>
    <t xml:space="preserve">Cuộn màng PE sứ 40x988mm </t>
  </si>
  <si>
    <t> Công ty TG Viet Nam.</t>
  </si>
  <si>
    <t>SP 1593</t>
  </si>
  <si>
    <t>Túi cải cúc nếp thơm chọn lọc japan, việt nhật, goodseeds 03SP</t>
  </si>
  <si>
    <t>SP 1594</t>
  </si>
  <si>
    <t>Túi nhôm hoạt huyết dưỡng não Cebraton - S 5 vỉ x 20 viên nén bao đường Traphaco</t>
  </si>
  <si>
    <t>PE 55x720</t>
  </si>
  <si>
    <t>SP 1595</t>
  </si>
  <si>
    <t>Cuộn màng PE sứ 40x620mm</t>
  </si>
  <si>
    <t>SP 1596</t>
  </si>
  <si>
    <t xml:space="preserve">Cuộn màng PA/PE sứ </t>
  </si>
  <si>
    <t>PA 15x988</t>
  </si>
  <si>
    <t>PE sứ 40x988</t>
  </si>
  <si>
    <t>Công ty Phương Bắc</t>
  </si>
  <si>
    <t>SP 1597</t>
  </si>
  <si>
    <t>Túi khoai tây chiên 1kg Hoàng Yến</t>
  </si>
  <si>
    <t>PE 70x540</t>
  </si>
  <si>
    <t>Công ty CP Hoàng Yến</t>
  </si>
  <si>
    <t>SP 1598</t>
  </si>
  <si>
    <t>Cuộn thuốc trừ bệnh cao cấp kanras 72WP mới Việt Thắng</t>
  </si>
  <si>
    <t>AL 6x580</t>
  </si>
  <si>
    <t>PE 85x590</t>
  </si>
  <si>
    <t>SP 1599</t>
  </si>
  <si>
    <t>Cuộn màng PE sứ 40x1010mm</t>
  </si>
  <si>
    <t>SP 1600</t>
  </si>
  <si>
    <t>SP 1601</t>
  </si>
  <si>
    <t>Cuộn kẹo thạch zai zòn trà sữa trân châu Hương Việt</t>
  </si>
  <si>
    <t>SP 1602</t>
  </si>
  <si>
    <t>Cuộn kẹo thạch zai zòn trà sữa trân châu Trung Tín</t>
  </si>
  <si>
    <t>SP 1603</t>
  </si>
  <si>
    <t>Cuộn màng in logo đại tân TH Việt</t>
  </si>
  <si>
    <t>PE đen trắng 40x1220</t>
  </si>
  <si>
    <t>SP 1604</t>
  </si>
  <si>
    <t>Màng kẹo thạch Jopy hương dâu Việt Thái</t>
  </si>
  <si>
    <t>OPP mờ 20x1010</t>
  </si>
  <si>
    <t>Giấy 55x1010</t>
  </si>
  <si>
    <t>PA 15x1010 ghép PE sứ 40x1010</t>
  </si>
  <si>
    <t>Công ty TNHH Việt Thái</t>
  </si>
  <si>
    <t>SP 1605</t>
  </si>
  <si>
    <t>Màng kẹo thạch Jopy hương xoài Việt Thái</t>
  </si>
  <si>
    <t>SP 1606</t>
  </si>
  <si>
    <t>Màng kẹo thạch Jopy hương dứa Việt Thái</t>
  </si>
  <si>
    <t>SP 1607</t>
  </si>
  <si>
    <t>Màng kẹo thạch Jopy hương me Việt Thái</t>
  </si>
  <si>
    <t>SP 1608</t>
  </si>
  <si>
    <t>Màng kẹo thạch Jopy hương dưa lưới Việt Thái</t>
  </si>
  <si>
    <t>SP 1609</t>
  </si>
  <si>
    <t>Cuộn màng PA/PE sứ K1010</t>
  </si>
  <si>
    <t>PA 15x1010</t>
  </si>
  <si>
    <t>PE sứ 40x1010</t>
  </si>
  <si>
    <t>SP 1610</t>
  </si>
  <si>
    <t>Cuộn màng cốm lợi sữa ích nhân 20 gói Nam Dược</t>
  </si>
  <si>
    <t>Công ty cổ phần Nam Dược</t>
  </si>
  <si>
    <t>SP 1611</t>
  </si>
  <si>
    <t>SP 1612</t>
  </si>
  <si>
    <t>SP 1613</t>
  </si>
  <si>
    <t>Cuộn sanck dorati nội địa vị ngô 25gr libra</t>
  </si>
  <si>
    <t>SP 1614</t>
  </si>
  <si>
    <t>Túi bánh gạo mật ong misung 1kg Richy</t>
  </si>
  <si>
    <t>SP 1615</t>
  </si>
  <si>
    <t>Túi bánh gạo Honey Rice Cracker 900gr Richy</t>
  </si>
  <si>
    <t>SP 1616</t>
  </si>
  <si>
    <t>Cuộn snack dorati nội địa vị tôm 25gr Libra</t>
  </si>
  <si>
    <t>SP 1617</t>
  </si>
  <si>
    <t>Cuộn kẹo thạch Hasuko ( loại ngắn) Vinford - Trung Tín</t>
  </si>
  <si>
    <t>SP 1618</t>
  </si>
  <si>
    <t>SP 1619</t>
  </si>
  <si>
    <t>SP 1620</t>
  </si>
  <si>
    <t>Cuộn PE sứ 40x825</t>
  </si>
  <si>
    <t>SP 1621</t>
  </si>
  <si>
    <t>Cuộn màng PA/PE sứ khổ 825</t>
  </si>
  <si>
    <t>PA 15x825</t>
  </si>
  <si>
    <t>PE sứ 40x825</t>
  </si>
  <si>
    <t>6000m/c</t>
  </si>
  <si>
    <t>SP 1622</t>
  </si>
  <si>
    <t>Cuộn màng PA/PE sứ khổ 620</t>
  </si>
  <si>
    <t>PE sứ 40x620</t>
  </si>
  <si>
    <t>SP 1623</t>
  </si>
  <si>
    <t>SP 1624</t>
  </si>
  <si>
    <t>SP 1625</t>
  </si>
  <si>
    <t>SP 1626</t>
  </si>
  <si>
    <t>SP 1627</t>
  </si>
  <si>
    <t>SP 1628</t>
  </si>
  <si>
    <t>SP 1629</t>
  </si>
  <si>
    <t>SP 1630</t>
  </si>
  <si>
    <t>SP 1631</t>
  </si>
  <si>
    <t>SP 1632</t>
  </si>
  <si>
    <t>SP 1633</t>
  </si>
  <si>
    <t>SP 1634</t>
  </si>
  <si>
    <t>SP 1635</t>
  </si>
  <si>
    <t>SP 1636</t>
  </si>
  <si>
    <t>SP 1637</t>
  </si>
  <si>
    <t>SP 1638</t>
  </si>
  <si>
    <t>Cuộn kem sữa chua ami 3 vị 50gr - châu Á</t>
  </si>
  <si>
    <t>Túi kem sữa chua ami 12 chiếc 600gr - châu Á</t>
  </si>
  <si>
    <t>BTPĐB ( MPET12/PE60)</t>
  </si>
  <si>
    <t>Màng MPET 12 đặc biệt ghép với PE 60 đặc biệt khổ 770</t>
  </si>
  <si>
    <t>MPETĐB 12x770</t>
  </si>
  <si>
    <t>PEĐB 60x770</t>
  </si>
  <si>
    <t>Bán thành phẩm</t>
  </si>
  <si>
    <t>3000m</t>
  </si>
  <si>
    <t>GC1</t>
  </si>
  <si>
    <t>Ghép gia công khổ 1270, cuộn màng PE in EAGLE 25 mic ghép PE đen trắng 40 mic</t>
  </si>
  <si>
    <t>Màng in EAGLE</t>
  </si>
  <si>
    <t>GC2</t>
  </si>
  <si>
    <t>Ghép gia công khổ 1270, cuộn màng PE in Singhal 25 mic ghép PE đen trắng 40 mic</t>
  </si>
  <si>
    <t>Màng in Singhal</t>
  </si>
  <si>
    <t>1c ( 2030m)/cây</t>
  </si>
  <si>
    <t>GC3</t>
  </si>
  <si>
    <t>Ghép gia công khổ 1270, cuộn màng PE in Akothemr 25 mic ghép PE đen trắng 40mic</t>
  </si>
  <si>
    <t>Màng in Akothemr</t>
  </si>
  <si>
    <t>GC4</t>
  </si>
  <si>
    <t>Ghép gia cộng khổ 1270, cuộn màng PE in CT Aluminium 25mic ghép PE đen trắng 40mic</t>
  </si>
  <si>
    <t>Màng CT Aluminium</t>
  </si>
  <si>
    <t>GC5</t>
  </si>
  <si>
    <t>Ghép gia công khổ 1270, cuộn màng PE in Stainless Steed 30mic ghép PE màng sứ 30mic</t>
  </si>
  <si>
    <t>Màng Stainless Steed</t>
  </si>
  <si>
    <t>PE sứ 30x1270</t>
  </si>
  <si>
    <t>GC6</t>
  </si>
  <si>
    <t>Ghép gia công khổ 1050, cuộn màng BVTT in Stainless Stell 30mic ghép PE màng sứ 30mic</t>
  </si>
  <si>
    <t>Màng Stainless Stell</t>
  </si>
  <si>
    <t>PE sứ 30x1050</t>
  </si>
  <si>
    <t>GC7</t>
  </si>
  <si>
    <t>Ghép gia công khổ 1270, cuộn màng BVTT in Công Tuấn  30mic ghép PE màng đen trắng 40mic</t>
  </si>
  <si>
    <t>Màng in Công Tuấn</t>
  </si>
  <si>
    <t>GC8</t>
  </si>
  <si>
    <t>Ghép gia công khổ 1230, cuộn màng BVTT in Newlight 20mic ghép PE màng sứ 30mic</t>
  </si>
  <si>
    <t>Màng in Newlight</t>
  </si>
  <si>
    <t>PE sứ 30x1230</t>
  </si>
  <si>
    <t>GC9</t>
  </si>
  <si>
    <t>Ghép gia công khổ 1270, cuộn màng in Singhal 25mic ghép PE đen trắng 40mic</t>
  </si>
  <si>
    <t>GC10</t>
  </si>
  <si>
    <t xml:space="preserve">In gia công cuộn màng PE in logo chữ Mico không ghép </t>
  </si>
  <si>
    <t>PE 47x1185</t>
  </si>
  <si>
    <t>GC11</t>
  </si>
  <si>
    <t>Ghép gia công khổ 1050, cuộn màng DK 55mic ghép PE trong 30mic</t>
  </si>
  <si>
    <t>Màng in DK</t>
  </si>
  <si>
    <t>PE 30x1050</t>
  </si>
  <si>
    <t>GC12</t>
  </si>
  <si>
    <t>Ghép gia công khổ 1270, cuộn màng PE in Kara hueck 30mic ghép PE màng đen trắng 40mic</t>
  </si>
  <si>
    <t>Màng Kara hueck</t>
  </si>
  <si>
    <t>GC13</t>
  </si>
  <si>
    <t>Ghép gia công khổ 1270, cuộn màng PE in VIFA 30mic ghép PE màng đen trắng 40mic</t>
  </si>
  <si>
    <t>Màng VIFA</t>
  </si>
  <si>
    <t>GC14</t>
  </si>
  <si>
    <t>Ghép gia công khổ 1270, cuộn màng PE có in 30mic ghép PE màng đen trắng 40mic</t>
  </si>
  <si>
    <t>Màng PE in</t>
  </si>
  <si>
    <t>GC15</t>
  </si>
  <si>
    <t>Ghép gia công khổ 1270, cuộn màng PE có in chữ alu 30mic ghép PE màng đen trắng 40mic</t>
  </si>
  <si>
    <t>Màng PE in alu</t>
  </si>
  <si>
    <t>PEĐT40x1170BT</t>
  </si>
  <si>
    <t>Màng pe đen trắng 40x1170 Bảo Tín ( xử lý mặt trắng</t>
  </si>
  <si>
    <t>Hạt 1 L</t>
  </si>
  <si>
    <t>Hạt nhựa PP608</t>
  </si>
  <si>
    <t>PEĐT40x1250BT</t>
  </si>
  <si>
    <t>Màng PE đen trắng 40 x 1250 không xử lý corona</t>
  </si>
  <si>
    <t>PEĐT45x1180BT</t>
  </si>
  <si>
    <t>Màng PE đen trắng 45x1180 Bảo Tín</t>
  </si>
  <si>
    <t>PEĐT60x1260BT</t>
  </si>
  <si>
    <t>Màng PE đen trắng 60x1260 Bảo Tín</t>
  </si>
  <si>
    <t>PEĐT50x1260BT</t>
  </si>
  <si>
    <t>Màng PE đen trắng 50x1260 Bảo Tín</t>
  </si>
  <si>
    <t>Màng xử lý cao mặt đen, mặt đen ở trong, Bọc và cân cẩn thận. Chạy 1.200 m/c, tổng 22 cuộn</t>
  </si>
  <si>
    <t>PEĐT60x1280BT</t>
  </si>
  <si>
    <t>Màng Pe đen trắng 60 x 1280 Bảo Tín</t>
  </si>
  <si>
    <t>Lưu ý: màng PE đen trắng 40mic x 1270 có màu đen và màu trắng giống màu của màng PE 60x1280 bên mình chạy hồi tháng 4/2018 cho bên bảo tín. Màng có xử lý cao mặt đen, cuốn mặt đen ở trong, mặt trắng ở ngoài. Hàng xuất bán cho khách, bọc và cân cẩn thận.  để 2.020m/cuộn, tương đương 10 cuộn</t>
  </si>
  <si>
    <t>PEĐT40x1270BT</t>
  </si>
  <si>
    <t>Màng Pe đen trắng 40 x 1270 Bảo Tín</t>
  </si>
  <si>
    <t>CHÚ Ý QUAN TRỌNG:  Mang PE có xử lý corona cao, hàng xuất bán kg và bọc cẩn thận, giao hàng ngày 24/8.</t>
  </si>
  <si>
    <t>PEĐT 40x1050BT</t>
  </si>
  <si>
    <t>Màng PE đen trắng 40x1050 Bảo Tín</t>
  </si>
  <si>
    <t>PE28x1280BT</t>
  </si>
  <si>
    <t>Màng PE 28 x 1280</t>
  </si>
  <si>
    <t>PE 20x1020BT</t>
  </si>
  <si>
    <t>Màng PE 20x1020 Bảo Tín</t>
  </si>
  <si>
    <t>PE 45x1290BT</t>
  </si>
  <si>
    <t>Màng PE 45x1290 Bảo Tín</t>
  </si>
  <si>
    <t>PE30x1170BT</t>
  </si>
  <si>
    <t>Màng PE 30x1170</t>
  </si>
  <si>
    <t>PE 22x1220BT</t>
  </si>
  <si>
    <t>Màng PE 22x1220 Bảo Tín</t>
  </si>
  <si>
    <t>PE 30x1280BT</t>
  </si>
  <si>
    <t>Màng PE 30x1280BT</t>
  </si>
  <si>
    <t>PE 30x1300BT</t>
  </si>
  <si>
    <t>Màng PE 30x1300BT</t>
  </si>
  <si>
    <t>PE20x1220BT</t>
  </si>
  <si>
    <t>Màng PE 20x1220</t>
  </si>
  <si>
    <t>PE20x1240BT</t>
  </si>
  <si>
    <t>Màng PE 20x1240</t>
  </si>
  <si>
    <t>PE 20x1250BT</t>
  </si>
  <si>
    <t>Màng PE 20x1250</t>
  </si>
  <si>
    <t>Màng PE 20x1270</t>
  </si>
  <si>
    <t>PE20x1160BT</t>
  </si>
  <si>
    <t>Màng PE 20x1160</t>
  </si>
  <si>
    <t>PE50x1270BT</t>
  </si>
  <si>
    <t>Màng PE 50 x 1270</t>
  </si>
  <si>
    <t>CHÚ Ý QUAN TRỌNG: Màng có xử lý corona mặt trong, hàng xuất bán kg và bọc cẩn thận, giao hàng ngày 21/9</t>
  </si>
  <si>
    <t>PE30x1300BT</t>
  </si>
  <si>
    <t>Màng PE 30 x 1300</t>
  </si>
  <si>
    <t>PE 35x1220BT</t>
  </si>
  <si>
    <t>Màng PE 35 x 1220</t>
  </si>
  <si>
    <t>PE 30x1200BT</t>
  </si>
  <si>
    <t>Màng PE 30x1200BT</t>
  </si>
  <si>
    <t>PE 40x1150BT</t>
  </si>
  <si>
    <t>Màng PE 40x1150BT</t>
  </si>
  <si>
    <t>PE 50x1180BT</t>
  </si>
  <si>
    <t>Màng PE 50x1180BT</t>
  </si>
  <si>
    <t>PE30x1000BT</t>
  </si>
  <si>
    <t>Màng PE 30 x 1000</t>
  </si>
  <si>
    <t>PE 25x840BT</t>
  </si>
  <si>
    <t>Màng PE 25 x 840</t>
  </si>
  <si>
    <t>PE20x1010BT</t>
  </si>
  <si>
    <t>Màng PE 20x 1010</t>
  </si>
  <si>
    <t>PE20x1230BT</t>
  </si>
  <si>
    <t>Màng PE 20x 1230</t>
  </si>
  <si>
    <t>PE40x1270BT</t>
  </si>
  <si>
    <t>Màng PE 40 x 1270</t>
  </si>
  <si>
    <t>Màng pe có xử lý corola</t>
  </si>
  <si>
    <t>PE40x990BT</t>
  </si>
  <si>
    <t>Màng PE 40x 990</t>
  </si>
  <si>
    <t>PE40x770BT</t>
  </si>
  <si>
    <t>Màng PE 40x 770</t>
  </si>
  <si>
    <t>PE40x1020BT</t>
  </si>
  <si>
    <t>Màng PE 40 x 1020</t>
  </si>
  <si>
    <t>PE40x1000BT</t>
  </si>
  <si>
    <t>Màng PE 40 x 1000</t>
  </si>
  <si>
    <t>PE40x1080BT</t>
  </si>
  <si>
    <t>Màng PE 40x1080</t>
  </si>
  <si>
    <t>PE40x1050BT</t>
  </si>
  <si>
    <t>Màng PE 40x1050</t>
  </si>
  <si>
    <t>PE40x1150BT</t>
  </si>
  <si>
    <t>Màng PE 40x1150</t>
  </si>
  <si>
    <t>PE40x1220BT</t>
  </si>
  <si>
    <t>Màng PE 40 x 1220</t>
  </si>
  <si>
    <t>PE40x970BT</t>
  </si>
  <si>
    <t>Màng PE 40 x 970</t>
  </si>
  <si>
    <t>PE40x870BT</t>
  </si>
  <si>
    <t>Màng PE 40 x 870</t>
  </si>
  <si>
    <t>PE 45x1210BT</t>
  </si>
  <si>
    <t>Màng PE 45x1210</t>
  </si>
  <si>
    <t>PE 45x1010BT</t>
  </si>
  <si>
    <t>Màng PE 45x1010</t>
  </si>
  <si>
    <t>PE 45x910BT</t>
  </si>
  <si>
    <t>Màng PE 45x910</t>
  </si>
  <si>
    <t>PE 45x810BT</t>
  </si>
  <si>
    <t>Màng PE 45x810</t>
  </si>
  <si>
    <t>PE 40x880BT</t>
  </si>
  <si>
    <t>Màng PE 40x880</t>
  </si>
  <si>
    <t>Màng PE 40x1270</t>
  </si>
  <si>
    <t>PE 40x1070BT</t>
  </si>
  <si>
    <t>Màng PE 40x1070</t>
  </si>
  <si>
    <t>PE 40x1230BT</t>
  </si>
  <si>
    <t>Màng PE 40x1230</t>
  </si>
  <si>
    <t>PE 40x1000BT</t>
  </si>
  <si>
    <t>Màng PE 40x1000</t>
  </si>
  <si>
    <t>Màng PE 30x1270</t>
  </si>
  <si>
    <t>PE 30x1000BT</t>
  </si>
  <si>
    <t>Màng PE 30x1000 Bảo Tín</t>
  </si>
  <si>
    <t>PE 40x870BT</t>
  </si>
  <si>
    <t>Màng PE 40x870 Bảo Tín</t>
  </si>
  <si>
    <t>PE 40x1250BT</t>
  </si>
  <si>
    <t>Màng PE 40x1250 Bảo Tín</t>
  </si>
  <si>
    <t>PE 30x1220BT</t>
  </si>
  <si>
    <t>Màng PE 30x1220 Bảo Tín</t>
  </si>
  <si>
    <t>PE 30x1240BT</t>
  </si>
  <si>
    <t>Màng PE 30x1240 Bảo Tín</t>
  </si>
  <si>
    <t>PE 50x1240BT</t>
  </si>
  <si>
    <t>Màng PE 50x1240 Bảo Tín</t>
  </si>
  <si>
    <t>PE40x850BT</t>
  </si>
  <si>
    <t>Màng PE 40x850</t>
  </si>
  <si>
    <t>PE40x995BT</t>
  </si>
  <si>
    <t>Màng PE 40x995</t>
  </si>
  <si>
    <t>PE45x1270BT</t>
  </si>
  <si>
    <t>Màng PE 45x1270</t>
  </si>
  <si>
    <t>PE45x1070BT</t>
  </si>
  <si>
    <t>Màng PE 45x1070</t>
  </si>
  <si>
    <t>PE50x1020BT</t>
  </si>
  <si>
    <t>Màng PE 50 x 1020</t>
  </si>
  <si>
    <t>PE50x1250BT</t>
  </si>
  <si>
    <t>Màng PE 50 x 1250</t>
  </si>
  <si>
    <t>PE50x920BT</t>
  </si>
  <si>
    <t>Màng PE 50 x 920</t>
  </si>
  <si>
    <t>PE50x820BT</t>
  </si>
  <si>
    <t>Màng PE 50 x 820</t>
  </si>
  <si>
    <t>PE50x1230BT</t>
  </si>
  <si>
    <t>Màng PE 50x1230</t>
  </si>
  <si>
    <t>PE25x1250BT</t>
  </si>
  <si>
    <t>Màng PE 25 x 1250</t>
  </si>
  <si>
    <t>PE40x1250BT</t>
  </si>
  <si>
    <t>Màng PE 40 x 1250</t>
  </si>
  <si>
    <t>PE25x1180BT</t>
  </si>
  <si>
    <t>Màng PE 25 x 1180</t>
  </si>
  <si>
    <t>CHÚ Ý QUAN TRỌNG:  Màng PE KHÔNG xử lý corona , hàng xuất bán kg và bọc cẩn thận, giao hàng ngày 27/12. CHẠY 4 CUỘN. 3.000M/CUỘN</t>
  </si>
  <si>
    <t>PE25x1300BT</t>
  </si>
  <si>
    <t>Màng PE 28 x 1300</t>
  </si>
  <si>
    <t>CHÚ Ý QUAN TRỌNG: Màng PE KHÔNG XỬ LÝ CORONA, MÀNG DÙNG ĐỂ IN. hàng xuất bán kg, bọc cẩn thận.
Chạy DƯỚI 100KG/CUỘN</t>
  </si>
  <si>
    <t>PE50x660BT</t>
  </si>
  <si>
    <t>Màng PE 50 x 660 Bảo Tín</t>
  </si>
  <si>
    <t>CHÚ Ý QUAN TRỌNG: Màng có xử lý corona mặt trong, hàng xuất bán kg, bọc và cân cẩn thận. Khổ màng khách yêu cầu chỉ được phép +- 2mm. Chạy 4 cuộn, mỗi cuộn 1.700m</t>
  </si>
  <si>
    <t>PE50x1240BT</t>
  </si>
  <si>
    <t>PE70x750BT</t>
  </si>
  <si>
    <t>Màng PE 70 x 750 Bảo Tín</t>
  </si>
  <si>
    <t>PE20x1250BT</t>
  </si>
  <si>
    <t>Màng PE 20 x 1250</t>
  </si>
  <si>
    <t>CHÚ Ý QUAN TRỌNG: Màng xử lý corona bình thường. Hàng bán, cân bọc cẩn thận. Thổi giao gấp bù lệnh 161 vừa thổi hỏng</t>
  </si>
  <si>
    <t>PE25x1270BT</t>
  </si>
  <si>
    <t>Màng PE 25 x 1270</t>
  </si>
  <si>
    <t>PE30x980BT</t>
  </si>
  <si>
    <t>Màng PE 30x980</t>
  </si>
  <si>
    <t>CHÚ Ý QUAN TRỌNG: Màng có xử lý corona mặt trong, hàng xuất bán kg và bọc cẩn thận, 2200m/c, tương đương với 6 cuộn</t>
  </si>
  <si>
    <t>PE45x600BT</t>
  </si>
  <si>
    <t>Màng PE 45x600</t>
  </si>
  <si>
    <t>PE45x650BT</t>
  </si>
  <si>
    <t>Màng PE 45x650</t>
  </si>
  <si>
    <t>PE45x880BT</t>
  </si>
  <si>
    <t>Màng PE 45x880</t>
  </si>
  <si>
    <t>PE20x1020BT</t>
  </si>
  <si>
    <t>Màng PE 20x1020</t>
  </si>
  <si>
    <t>PE35x1080BT</t>
  </si>
  <si>
    <t>Màng PE 35 x 1080</t>
  </si>
  <si>
    <t>CHÚ Ý QUAN TRỌNG: Màng có xử lý corona mặt trong, hàng xuất bán kg và bọc cẩn thận, để 1.100m/c, tương đương 6 cuộn. Giao hàng ngày 23/6</t>
  </si>
  <si>
    <t>PE60x1270BT</t>
  </si>
  <si>
    <t>Cuộn màng PE 60x1270</t>
  </si>
  <si>
    <t>CHÚ Ý QUAN TRỌNG: Màng có xử lý corona mặt trong, hàng xuất bán kg, bọc và cân cẩn thận. Khổ màng khách yêu cầu chỉ được phép +- 2mm. Chạy 8 cuộn, mỗi cuộn 3600m</t>
  </si>
  <si>
    <t>PE30x640BT</t>
  </si>
  <si>
    <t>Màng PE 30 x 640 Bảo Tín</t>
  </si>
  <si>
    <t>CHÚ Ý QUAN TRỌNG: Màng có xử lý corona mặt trong, hàng xuất bán kg, bọc và cân cẩn thận. Khổ màng khách yêu cầu chỉ được phép +- 2mm. Chạy 4 cuộn, mỗi cuộn 1700m</t>
  </si>
  <si>
    <t>Màng PE 30 x 1300 Bảo Tín</t>
  </si>
  <si>
    <t>PExanh dương 45x1280</t>
  </si>
  <si>
    <t>Màng PE xanh dương 45x1280 Đức Thiện</t>
  </si>
  <si>
    <t>PE xanh dương 45x1192TH</t>
  </si>
  <si>
    <t>Màng PE xanh dương 45x1192 TH Việt</t>
  </si>
  <si>
    <t>PE xanh dương 43x1280TH</t>
  </si>
  <si>
    <t>Màng PE xanh dương 43x1280 TH Việt</t>
  </si>
  <si>
    <t>PE xanh dương 43x1230TH</t>
  </si>
  <si>
    <t>Màng PE xanh dương 43x1230 TH Việt</t>
  </si>
  <si>
    <t>PE xanh dương 55x1147TH</t>
  </si>
  <si>
    <t>Màng PE xanh dương 55x1147 TH Việt</t>
  </si>
  <si>
    <t>PE40 xanh dương x680BT</t>
  </si>
  <si>
    <t>Màng PE xanh dương 40x680 Bảo Tín</t>
  </si>
  <si>
    <t>PE40 xanh dương x730BT</t>
  </si>
  <si>
    <t>Màng PE xanh dương 40x730 Bảo Tín</t>
  </si>
  <si>
    <t>PE40 xanh dương x670BT</t>
  </si>
  <si>
    <t>Màng PE xanh dương 40x670 Bảo Tín</t>
  </si>
  <si>
    <t>PE40 xanh dương x1220BT</t>
  </si>
  <si>
    <t>Màng PE xanh dương 40x1220 Bảo Tín</t>
  </si>
  <si>
    <t>PExanh dương 40x1070BT</t>
  </si>
  <si>
    <t>Màng PE xanh dương 40x1070 Bảo Tín</t>
  </si>
  <si>
    <t>PE40 xanh dương x1250BT</t>
  </si>
  <si>
    <t>Màng PE xanh dương 40x1250 Bảo Tín</t>
  </si>
  <si>
    <t>PE40 xanh dương x1270BT</t>
  </si>
  <si>
    <t>Màng PE xanh dương 40x1270 Bảo Tín</t>
  </si>
  <si>
    <t>PE40 xanh dương x725BT</t>
  </si>
  <si>
    <t>Màng PE xanh dương 40x725 Bảo Tín</t>
  </si>
  <si>
    <t>PE xanh dương 45x1250CĐ</t>
  </si>
  <si>
    <t>Màng PE xanh dương 45x1250 Cơ điện</t>
  </si>
  <si>
    <t>Công ty Cơ Điện</t>
  </si>
  <si>
    <t>PE70x700BT</t>
  </si>
  <si>
    <t>Màng PE 70 x 700 Bảo Tín</t>
  </si>
  <si>
    <t>CHÚ Ý QUAN TRỌNG: Màng có xử lý corona mặt trong, hàng xuất bán kg, bọc và cân cẩn thận.  Chạy 18 cuộn, mỗi cuộn 2,450m</t>
  </si>
  <si>
    <t>PEĐT40x820BT</t>
  </si>
  <si>
    <t>Màng PE đt 40x820 Bảo Tín</t>
  </si>
  <si>
    <t>PEĐT40x920BT</t>
  </si>
  <si>
    <t>Màng PE đt 40x920 Bảo Tín</t>
  </si>
  <si>
    <t>PE 45x630</t>
  </si>
  <si>
    <t>Màng PE 45x630 Bảo Tín</t>
  </si>
  <si>
    <t>PE 30x1020BT</t>
  </si>
  <si>
    <t>Màng PE 30x1020 Bảo Tín</t>
  </si>
  <si>
    <t>PE 30x870BT</t>
  </si>
  <si>
    <t>Màng PE 30x870 Bảo Tín</t>
  </si>
  <si>
    <t>PE 30x1170BT</t>
  </si>
  <si>
    <t>Màng PE 30x1170 Bảo Tín</t>
  </si>
  <si>
    <t>PE 30x1180BT</t>
  </si>
  <si>
    <t>Màng PE 30x1180 Bảo Tín</t>
  </si>
  <si>
    <t>PE 25x1280BT</t>
  </si>
  <si>
    <t>Màng PE 25x1280 Bảo Tín</t>
  </si>
  <si>
    <t>Màng PE 40 x 1000 Bảo Tín</t>
  </si>
  <si>
    <t>CHÚ Ý QUAN TRỌNG: Hàng xử lý corona mặt trong, Hàng bán theo "kg", cân bọc cẩn thận.  1900m/cuộn tương đương với 06 cuộn</t>
  </si>
  <si>
    <t>PE40x880BT</t>
  </si>
  <si>
    <t>Màng PE 40 x 880 Bảo Tín</t>
  </si>
  <si>
    <t>PE30x1200BT</t>
  </si>
  <si>
    <t>Màng PE 30mic x 1200 Bảo Tín</t>
  </si>
  <si>
    <t>PE 30x840BT</t>
  </si>
  <si>
    <t>Màng PE 30mic x 840 Bảo Tín</t>
  </si>
  <si>
    <t>PE50x1200BT</t>
  </si>
  <si>
    <t>Màng PE 50 mic x 1200 Bảo Tín</t>
  </si>
  <si>
    <t>PE 50x1270BT</t>
  </si>
  <si>
    <t>Màng PE 50mic x1270 Bảo Tín</t>
  </si>
  <si>
    <t>PE 50x870BT</t>
  </si>
  <si>
    <t>Màng PE 50mic x 870 Bảo Tín</t>
  </si>
  <si>
    <t>PE40x1230BT</t>
  </si>
  <si>
    <t>Màng PE 40mic x 1230</t>
  </si>
  <si>
    <t>PE 40x630BT</t>
  </si>
  <si>
    <t>Màng PE 40x630 Bảo Tín</t>
  </si>
  <si>
    <t>PE 40x1240BT</t>
  </si>
  <si>
    <t>Màng PE 40x1240 Bảo Tín</t>
  </si>
  <si>
    <t>PE 30x990BT</t>
  </si>
  <si>
    <t>Màng PE 30x990 Bảo Tín</t>
  </si>
  <si>
    <t>PE 30x1050BT</t>
  </si>
  <si>
    <t>Màng PE 30x1050 Bảo Tin</t>
  </si>
  <si>
    <t>PE 70x700BT</t>
  </si>
  <si>
    <t>Màng PE 70x700 Bảo Tín</t>
  </si>
  <si>
    <t>Màng PE 20mic x 1250</t>
  </si>
  <si>
    <t>CHÚ Ý QUAN TRỌNG: Màng ko được đục, độ xử lý corona cao, chống va đập đầu cuộn. hàng xuất bán kg, chạy đúng khổ 1230, dùng ống lõi 1230. Bọc cẩn thận. 4,000m/cuộn</t>
  </si>
  <si>
    <t>PE 20x1010BT</t>
  </si>
  <si>
    <t>Màng PE 20mic x1010</t>
  </si>
  <si>
    <t>PE 45x1270BT</t>
  </si>
  <si>
    <t>PE 45x1070BT</t>
  </si>
  <si>
    <t>PE 40x1220BT</t>
  </si>
  <si>
    <t>Màng PE 40x1220 Bảo Tín</t>
  </si>
  <si>
    <t>PE 25x1180BT</t>
  </si>
  <si>
    <t>Màng PE 25x1180 Bảo Tín</t>
  </si>
  <si>
    <t>PEĐT60x1220BT</t>
  </si>
  <si>
    <t>Màng PE đen trắng 60x1220 Bảo Tín</t>
  </si>
  <si>
    <t>PEĐT50x1220BT</t>
  </si>
  <si>
    <t>Màng PE đen trắng 50x1220BT</t>
  </si>
  <si>
    <t>PE 45x640BT</t>
  </si>
  <si>
    <t>Màng PE 45x640 Bảo Tín</t>
  </si>
  <si>
    <t>PE33x1030ĐT</t>
  </si>
  <si>
    <t>Màng PE 33x1030</t>
  </si>
  <si>
    <t>CHÚ Ý QUAN TRỌNG: Màng ko được đục, độ xử lý corona cao theo tiêu chuẩn màng Đức Thiện, chống va đập đầu cuộn. hàng xuất bán kg, chạy đúng khổ. Bọc cẩn thận. 4,800m/cuộn</t>
  </si>
  <si>
    <t>PE25x1235ĐT</t>
  </si>
  <si>
    <t>Màng PE trong 25x1235</t>
  </si>
  <si>
    <t>PE25x1635ĐT</t>
  </si>
  <si>
    <t>Màng PE trong 25x1635</t>
  </si>
  <si>
    <t>PE 28x1225ĐT</t>
  </si>
  <si>
    <t>Màng PE trong 28x1225</t>
  </si>
  <si>
    <t>PE 28x1640ĐT</t>
  </si>
  <si>
    <t>Màng PE trong 28x1640</t>
  </si>
  <si>
    <t>PE33x1230ĐT</t>
  </si>
  <si>
    <t>Màng PE 33 x 1230</t>
  </si>
  <si>
    <t>CHÚ Ý QUAN TRỌNG: Màng ko được đục, độ xử lý corona cao theo tiêu chuẩn màng Đức Thiện, chống va đập đầu cuộn. hàng xuất bán kg, chạy đúng khổ. Bọc cẩn thận. 4,400m/cuộn</t>
  </si>
  <si>
    <t>PE30x1230ĐT</t>
  </si>
  <si>
    <t>Màng PE 30x1230</t>
  </si>
  <si>
    <t>CHÚ Ý QUAN TRỌNG: Màng ko được đục, độ xử lý corona cao, chống va đập đầu cuộn. hàng xuất bán kg, bọc cẩn thận. Giao hàng chiều ngày 20/6</t>
  </si>
  <si>
    <t>PE30x830ĐT</t>
  </si>
  <si>
    <t>Màng PE 30x830</t>
  </si>
  <si>
    <t>Màng ko được đục, độ xử lý corona cao, chống va đập đầu cuộn. hàng xuất bán kg, chạy đúng khổ 1230, dùng ống lõi 1230. Bọc cẩn thận.  4,800m/cuộn (10 cuộn)</t>
  </si>
  <si>
    <t>PE 30x1625ĐT</t>
  </si>
  <si>
    <t>Màng PE 30 mic x1625 Đức Thiện</t>
  </si>
  <si>
    <t>PE28x1230ĐT</t>
  </si>
  <si>
    <t>Màng PE 28x1230</t>
  </si>
  <si>
    <t>CHÚ Ý QUAN TRỌNG: Màng ko được đục, độ xử lý corona cao, chống va đập đầu cuộn. hàng xuất bán kg, chạy đúng khổ 1235. độ dày không được thấp hơn 18mic và không được cao hơn 22mic. Bọc cẩn thận. Chạy 4,400m/cuộn</t>
  </si>
  <si>
    <t>PE20x1235ĐT</t>
  </si>
  <si>
    <t>Màng PE 20x1235</t>
  </si>
  <si>
    <t>CHÚ Ý QUAN TRỌNG: Màng ko được đục, độ xử lý corona cao, chống va đập đầu cuộn. hàng xuất bán kg, chạy đúng khổ 1235. Bọc cẩn thận. Chạy 4,800m/cuộn, tương đương 34 cuộn</t>
  </si>
  <si>
    <t>PE 22x1640ĐT</t>
  </si>
  <si>
    <t>Màng PE 22x1640ĐT</t>
  </si>
  <si>
    <t>PE28x1235ĐT</t>
  </si>
  <si>
    <t>Màng PE 28x1235</t>
  </si>
  <si>
    <t xml:space="preserve">CHÚ Ý QUAN TRỌNG: Màng ko được đục, độ xử lý corona cao theo tiêu chuẩn màng Đức Thiện, chống va đập đầu cuộn. hàng xuất bán kg, chạy đúng khổ. Bọc cẩn thận. 4800m/cuộn. TƯƠNG ĐƯƠNG 40 CUỘN. 
</t>
  </si>
  <si>
    <t>CHÚ Ý QUAN TRỌNG: Màng ko được đục, độ xử lý corona cao, chống va đập đầu cuộn. hàng xuất bán kg. Bọc cẩn thận. 2.080m/cuộn. Chạy theo tiêu chuẩn đức thiện.</t>
  </si>
  <si>
    <t>PE45x1280ĐT</t>
  </si>
  <si>
    <t>Màng PE 45x1280</t>
  </si>
  <si>
    <t>PE80x1270ĐT</t>
  </si>
  <si>
    <t>Màng PE 80 x 1270</t>
  </si>
  <si>
    <t>CHÚ Ý QUAN TRỌNG: Màng không được đục, chạy đúng khổ, độ xử lý corona cao theo tiêu chuẩn của đức thiện, chống va đập đầu cuộn, hàng bán bọc cân cẩn thận, 4000m/cuộn. (50 cuộn)</t>
  </si>
  <si>
    <t>PE35x1240ĐT</t>
  </si>
  <si>
    <t>Màng PE 35x 1240 Đức Thiện</t>
  </si>
  <si>
    <t xml:space="preserve">CHÚ Ý QUAN TRỌNG: Màng ko được đục, độ xử lý corona cao, chống va đập đầu cuộn. hàng xuất bán kg, chạy đúng khổ 1235, Bọc cẩn thận. Chạy 5,400m/cuộn, tương đương 24 cuộn. </t>
  </si>
  <si>
    <t xml:space="preserve">CHÚ Ý QUAN TRỌNG: Màng ko được đục, độ xử lý corona cao, chống va đập đầu cuộn. hàng xuất bán kg, chạy đúng khổ 1235. Bọc cẩn thận. Chạy 4.600m/cuộn. Tương đương 30 cuộn. </t>
  </si>
  <si>
    <t>PE33x1235ĐT</t>
  </si>
  <si>
    <t>Màng PE 33x1235</t>
  </si>
  <si>
    <t>CHÚ Ý QUAN TRỌNG: Màng ko được đục, độ xử lý corona cao, chống va đập đầu cuộn. hàng xuất bán kg, chạy đúng khổ 1250. Bọc cẩn thận. Chạy 4.000m/cuộn. Tương đương 16 cuộn</t>
  </si>
  <si>
    <t>PE 33x1210ĐT</t>
  </si>
  <si>
    <t>Màng PE 33mic x 1210</t>
  </si>
  <si>
    <t>PE 33x1625ĐT</t>
  </si>
  <si>
    <t>Màng PE 33x1625 Đức Thiện</t>
  </si>
  <si>
    <t>PE 22x1630ĐT</t>
  </si>
  <si>
    <t>Màng PE 22x1630 Đức Thiện</t>
  </si>
  <si>
    <t>PE 33x930ĐT</t>
  </si>
  <si>
    <t>Màng PE 33x930 Đức Thiện</t>
  </si>
  <si>
    <t>PE 30x1225ĐT</t>
  </si>
  <si>
    <t>Màng PE 30mic x 1225</t>
  </si>
  <si>
    <t>PE 30x1240ĐT</t>
  </si>
  <si>
    <t>Màng PE 30 mic x1240 Đức Thiện</t>
  </si>
  <si>
    <t>PE 30x1620ĐT</t>
  </si>
  <si>
    <t>Màng PE 30x1620 Đức Thiện</t>
  </si>
  <si>
    <t>PE33x1235</t>
  </si>
  <si>
    <t>Công ty Asian</t>
  </si>
  <si>
    <t>PE35x1250ĐT</t>
  </si>
  <si>
    <t>Màng PE 35x1250</t>
  </si>
  <si>
    <t>CHÚ Ý QUAN TRỌNG: Màng ko được đục, độ xử lý corona cao, chống va đập đầu cuộn. hàng xuất bán kg, chạy đúng khổ 1240. Bọc cẩn thận. Chạy 5,400m/cuộn, tương đương 12cuộn</t>
  </si>
  <si>
    <t>PE28x12400ĐT</t>
  </si>
  <si>
    <t>Màng PE 28x1240</t>
  </si>
  <si>
    <t>CHÚ Ý QUAN TRỌNG: Màng ko được đục, độ xử lý corona cao, chống va đập đầu cuộn. hàng xuất bán kg, chạy đúng khổ 830, Bọc cẩn thận. Chạy 5,000m/cuộn, tương đương 28 cuộn</t>
  </si>
  <si>
    <t>PE28x8300ĐT</t>
  </si>
  <si>
    <t>Màng PE 28x830</t>
  </si>
  <si>
    <t>CHÚ Ý QUAN TRỌNG: Màng ko được đục, độ xử lý corona cao, chống va đập đầu cuộn. hàng xuất bán kg, chạy đúng khổ 1250. Bọc cẩn thận. Chạy 2,000m/cuộn. Tương đương 4 cuộn</t>
  </si>
  <si>
    <t>PE50x1250ĐT</t>
  </si>
  <si>
    <t>Màng PE 50x1250</t>
  </si>
  <si>
    <t>CHÚ Ý QUAN TRỌNG: Màng ko được đục, độ xử lý corona cao, chống va đập đầu cuộn. hàng xuất bán kg, chạy theo tiêu chuẩn Đức Thiện. Bọc cẩn thận.  4,500m/cuộn. Chạy 18 cuộn.</t>
  </si>
  <si>
    <t>PE33x830ĐT</t>
  </si>
  <si>
    <t>Màng PE 33x830</t>
  </si>
  <si>
    <t xml:space="preserve">CHÚ Ý QUAN TRỌNG: Màng ko được đục, độ xử lý corona cao, chống va đập đầu cuộn. hàng xuất bán kg, chạy đúng khổ 1245. Bọc cẩn thận. Chạy 4.600m/cuộn. Tương đương 24 cuộn. </t>
  </si>
  <si>
    <t>PE33x1245ĐT</t>
  </si>
  <si>
    <t>Màng PE 33x1245</t>
  </si>
  <si>
    <t>Hạt 2L có  PG</t>
  </si>
  <si>
    <t xml:space="preserve">CHÚ Ý QUAN TRỌNG: Màng PE có xử lý corona, màng về dùng để ghép, hàng xuất bán kg, bọc cẩn thẩn. </t>
  </si>
  <si>
    <t>PE33x1240ĐT</t>
  </si>
  <si>
    <t>Màng PE 33x1240</t>
  </si>
  <si>
    <t>PE33x1535ĐT</t>
  </si>
  <si>
    <t>Màng PE 33x1535</t>
  </si>
  <si>
    <t>PE33x1530ĐT</t>
  </si>
  <si>
    <t>Màng PE 33x1530</t>
  </si>
  <si>
    <t>PE22x1240ĐT</t>
  </si>
  <si>
    <t>Màng PE 22x1240</t>
  </si>
  <si>
    <t>Màng PE 25x1235</t>
  </si>
  <si>
    <t>PE25x1230ĐT</t>
  </si>
  <si>
    <t>Màng PE 25x1230</t>
  </si>
  <si>
    <t>PE 25x1635ĐT</t>
  </si>
  <si>
    <t>Màng PE 25x1635</t>
  </si>
  <si>
    <t>PE 28x1625ĐT</t>
  </si>
  <si>
    <t>Màng PE 28mic x 1625</t>
  </si>
  <si>
    <t>PE33x1635ĐT</t>
  </si>
  <si>
    <t>Màng PE 33mic x1635</t>
  </si>
  <si>
    <t xml:space="preserve">CHÚ Ý QUAN TRỌNG: Màng ko được đục, độ xử lý corona cao, chống va đập đầu cuộn. hàng xuất bán kg, chạy đúng khổ 1635. Bọc cẩn thận. Chạy 4.600m/cuộn. </t>
  </si>
  <si>
    <t>PE 25x1630ĐT</t>
  </si>
  <si>
    <t>Màng PE 25mic x1630</t>
  </si>
  <si>
    <t>PE 28x1630ĐT</t>
  </si>
  <si>
    <t>Màng PE 28mic x1630</t>
  </si>
  <si>
    <t>PE33x1620ĐT</t>
  </si>
  <si>
    <t>Màng PE 33mic x1620</t>
  </si>
  <si>
    <t>PE33x1640ĐT</t>
  </si>
  <si>
    <t>Màng PE 33mic x1640</t>
  </si>
  <si>
    <t>PE50x1285ĐT</t>
  </si>
  <si>
    <t>Màng PE 50mic x 1285</t>
  </si>
  <si>
    <t xml:space="preserve">CHÚ Ý QUAN TRỌNG: Màng ko được đục, độ xử lý corona cao, chống va đập đầu cuộn. hàng xuất bán kg, chạy đúng khổ 1280. Bọc cẩn thận. Chạy 3000m/cuộn. </t>
  </si>
  <si>
    <t>PE50x1280ĐT</t>
  </si>
  <si>
    <t>Màng PE 50mic x 1280</t>
  </si>
  <si>
    <t>PE 70X1280ĐT</t>
  </si>
  <si>
    <t>Màng PE 70x1280</t>
  </si>
  <si>
    <t>PE 70x1210ĐT</t>
  </si>
  <si>
    <t>Màng PE 70x1210</t>
  </si>
  <si>
    <t>PE 70X1680ĐT</t>
  </si>
  <si>
    <t>Màng PE 70x1680</t>
  </si>
  <si>
    <t>PE 33x1180ĐT</t>
  </si>
  <si>
    <t>Màng PE 33mic x 1180</t>
  </si>
  <si>
    <t>CHÚ Ý QUAN TRỌNG: Màng ko được đục, độ xử lý corona cao, chống va đập đầu cuộn. hàng xuất bán kg, chạy đúng khổ 1180. Bọc cẩn thận.</t>
  </si>
  <si>
    <t>PE 33x1080ĐT</t>
  </si>
  <si>
    <t>Màng PE 33mic x 1080</t>
  </si>
  <si>
    <t>CHÚ Ý QUAN TRỌNG: Màng ko được đục, độ xử lý corona cao, chống va đập đầu cuộn. hàng xuất bán kg, chạy đúng khổ 1080. Bọc cẩn thận.</t>
  </si>
  <si>
    <t>PE 30x1130ĐT</t>
  </si>
  <si>
    <t>Màng PE 30x1130 Đức Thiện</t>
  </si>
  <si>
    <t>PE33x1630</t>
  </si>
  <si>
    <t>Màng PE 33mic x1630</t>
  </si>
  <si>
    <t>Công ty Asean</t>
  </si>
  <si>
    <t>PE 80x1225</t>
  </si>
  <si>
    <t>Màng PE 80x1225</t>
  </si>
  <si>
    <t>PE33x1245ht</t>
  </si>
  <si>
    <t>Màng PE HCK 80 x 540</t>
  </si>
  <si>
    <t>Công ty Hùng Tiến</t>
  </si>
  <si>
    <t>PE40x750ht</t>
  </si>
  <si>
    <t>Màng PE HCK 40 x 750</t>
  </si>
  <si>
    <t>Pe DT HT</t>
  </si>
  <si>
    <t>Màng PE trắng đen</t>
  </si>
  <si>
    <t>CHÚ Ý QUAN TRỌNG: Màng có xử lý corona, dùng để ghép. Hàng bán bọc cân cẩn thận</t>
  </si>
  <si>
    <t>Pe 70x540 HT</t>
  </si>
  <si>
    <t>Cuộn màng PE HCK 70 x 540</t>
  </si>
  <si>
    <t>Pe60x620HT</t>
  </si>
  <si>
    <t>Màng PE HCK 60 x 620</t>
  </si>
  <si>
    <t>CHÚ Ý QUAN TRỌNG: Màng ko được đục, độ xử lý corona cao, chống va đập đầu cuộn. hàng xuất bán kg. Bọc cẩn thận. Chạy 3,600m/cuộn. Tương đương 06 cuộn. Đây là khách hàng mới, chạy cẩn thận</t>
  </si>
  <si>
    <t>Pe42x1220CĐ</t>
  </si>
  <si>
    <t>Màng PE 42mic x 1220</t>
  </si>
  <si>
    <t>PE45x1220CĐ</t>
  </si>
  <si>
    <t>Màng PE 45x1220</t>
  </si>
  <si>
    <t>PE35x500NV</t>
  </si>
  <si>
    <t>Màng PE 35mic x 500</t>
  </si>
  <si>
    <t>Công ty Net Việt</t>
  </si>
  <si>
    <t>PE55x870NV</t>
  </si>
  <si>
    <t>Màng PE 55mic x 870</t>
  </si>
  <si>
    <t>PE80X900TB</t>
  </si>
  <si>
    <t>Màng PE 80mic x 900</t>
  </si>
  <si>
    <t>PE75x700NV</t>
  </si>
  <si>
    <t>Màng PE 75 mic x 700</t>
  </si>
  <si>
    <t>PE32x970ĐK</t>
  </si>
  <si>
    <t>Màng PE 32mic x 970</t>
  </si>
  <si>
    <t>Công ty Đức Kiên</t>
  </si>
  <si>
    <t>PE 45x1300SP</t>
  </si>
  <si>
    <t>Màng PE 45 mic x1300</t>
  </si>
  <si>
    <t>Công ty CP SX và TM Sao Phương</t>
  </si>
  <si>
    <t>PE 45x1140SP</t>
  </si>
  <si>
    <t>Màng PE 45mic x 1140</t>
  </si>
  <si>
    <t>PE 35x1000TH</t>
  </si>
  <si>
    <t>Màng PE 35x1000</t>
  </si>
  <si>
    <t xml:space="preserve">Công ty TH Việt </t>
  </si>
  <si>
    <t xml:space="preserve">CHÚ Ý QUAN TRỌNG: Màng ko được đục, độ xử lý corona cao, chống va đập đầu cuộn. hàng xuất bán kg, chạy đúng khổ 1000. Bọc cẩn thận. Chạy 5.030m/cuộn. </t>
  </si>
  <si>
    <t>PE 35x1200TH</t>
  </si>
  <si>
    <t>Màng PE 35x1200</t>
  </si>
  <si>
    <t xml:space="preserve">CHÚ Ý QUAN TRỌNG: Màng ko được đục, độ xử lý corona cao, chống va đập đầu cuộn. hàng xuất bán kg, chạy đúng khổ 1000. Bọc cẩn thận. Chạy 6.030m/cuộn. </t>
  </si>
  <si>
    <t>PE 35x1280TH</t>
  </si>
  <si>
    <t>Màng PE 35x1280</t>
  </si>
  <si>
    <t xml:space="preserve">CHÚ Ý QUAN TRỌNG: Màng ko được đục, độ xử lý corona cao, chống va đập đầu cuộn. hàng xuất bán kg, chạy đúng khổ 1280. Bọc cẩn thận. Chạy 6.030m/cuộn. </t>
  </si>
  <si>
    <t>PE 37x1100TH</t>
  </si>
  <si>
    <t>Màng PE 37x1100</t>
  </si>
  <si>
    <t xml:space="preserve">CHÚ Ý QUAN TRỌNG: Màng ko được đục, độ xử lý corona cao, chống va đập đầu cuộn. hàng xuất bán kg, chạy đúng khổ 1100. Bọc cẩn thận. Chạy 6.030m/cuộn. </t>
  </si>
  <si>
    <t>PE 37x1150TH</t>
  </si>
  <si>
    <t>Màng PE 37x1150</t>
  </si>
  <si>
    <t xml:space="preserve">CHÚ Ý QUAN TRỌNG: Màng ko được đục, độ xử lý corona cao, chống va đập đầu cuộn. hàng xuất bán kg, chạy đúng khổ 1150. Bọc cẩn thận. Chạy 6.030m/cuộn. </t>
  </si>
  <si>
    <t>PE 37x1190TH</t>
  </si>
  <si>
    <t>Màng PE 37x1190</t>
  </si>
  <si>
    <t xml:space="preserve">CHÚ Ý QUAN TRỌNG: Màng ko được đục, độ xử lý corona cao, chống va đập đầu cuộn. hàng xuất bán kg, chạy đúng khổ 1190. Bọc cẩn thận. Chạy 6.030m/cuộn. </t>
  </si>
  <si>
    <t>PE 37x1170TH</t>
  </si>
  <si>
    <t>Màng PE 37x1170</t>
  </si>
  <si>
    <t>PE 37x1280TH</t>
  </si>
  <si>
    <t>Màng PE 37x1280</t>
  </si>
  <si>
    <t>PE 37x1230TH</t>
  </si>
  <si>
    <t>Màng PE 37x1230</t>
  </si>
  <si>
    <t>PE 37x1270TH</t>
  </si>
  <si>
    <t>Màng PE 37x1270</t>
  </si>
  <si>
    <t>PE 37x 985TH</t>
  </si>
  <si>
    <t>Màng PE 37x985</t>
  </si>
  <si>
    <t>PE 40x1275TH</t>
  </si>
  <si>
    <t>Màng PE 40x1275 TH Việt</t>
  </si>
  <si>
    <t>PE 42x1275TH</t>
  </si>
  <si>
    <t>Màng PE 42x1275TH Việt</t>
  </si>
  <si>
    <t>PE 39x1220TH</t>
  </si>
  <si>
    <t>Màng PE 39x1220TH Việt</t>
  </si>
  <si>
    <t>PE 39x1270TH</t>
  </si>
  <si>
    <t>Màng PE 39x1270TH Việt</t>
  </si>
  <si>
    <t>PE 39x985TH</t>
  </si>
  <si>
    <t>Màng PE 39x 985 TH Việt</t>
  </si>
  <si>
    <t>PE 40x1270TH</t>
  </si>
  <si>
    <t>Màng PE 40x1270TH Việt</t>
  </si>
  <si>
    <t xml:space="preserve">PE 41x1172TH </t>
  </si>
  <si>
    <t>Màng PE 41x1172 TH Việt</t>
  </si>
  <si>
    <t>PE 42x1285TH</t>
  </si>
  <si>
    <t>Màng PE 42x1285TH Việt</t>
  </si>
  <si>
    <t>PE 42x1235TH</t>
  </si>
  <si>
    <t>Màng PE 42x1235TH Việt</t>
  </si>
  <si>
    <t>PE50x1285TH</t>
  </si>
  <si>
    <t>PE 50 mic x 1285 TH Việt</t>
  </si>
  <si>
    <t>PE 41x1285TH</t>
  </si>
  <si>
    <t>Màng PE 41x1285TH Việt</t>
  </si>
  <si>
    <t>PE 40X1120BT</t>
  </si>
  <si>
    <t>Màng PE 40x1120</t>
  </si>
  <si>
    <t>PE 40X920BT</t>
  </si>
  <si>
    <t>Màng PE 40x920</t>
  </si>
  <si>
    <t>PE 40x820BT</t>
  </si>
  <si>
    <t>Màng PE 40x820</t>
  </si>
  <si>
    <t>PE 30x1060BT</t>
  </si>
  <si>
    <t>Màng PE 30x1060 Bảo Tín</t>
  </si>
  <si>
    <t>PE 45x620BT</t>
  </si>
  <si>
    <t>Màng PE 45x620 Bảo Tín</t>
  </si>
  <si>
    <t>PE đt 40x1230TH</t>
  </si>
  <si>
    <t>Màng PE đt 40x1230 TH Việt</t>
  </si>
  <si>
    <t>PE đt 45x1270TH</t>
  </si>
  <si>
    <t>Màng PE đen trắng 45x1270TH Việt</t>
  </si>
  <si>
    <t>PE 50x1230TH</t>
  </si>
  <si>
    <t>PE 43x1275TH</t>
  </si>
  <si>
    <t>Màng PE 43 mic x 1275 TH Việt</t>
  </si>
  <si>
    <t>PEHCKTHUONG</t>
  </si>
  <si>
    <t>PE hút chân không loại thường</t>
  </si>
  <si>
    <t>PEHCKĐB</t>
  </si>
  <si>
    <t>PE hút chân không loại đặc biệt ( dùng cho chè)</t>
  </si>
  <si>
    <t>PETRONGCUNG</t>
  </si>
  <si>
    <t>PE cứng trong ( chạy hàng alpha, Hữu Nghị)</t>
  </si>
  <si>
    <t>Hạt HDPF</t>
  </si>
  <si>
    <t>PETRONGCUNGVT</t>
  </si>
  <si>
    <t>PE cứng trong ( chạy hàng  Việt Thắng)</t>
  </si>
  <si>
    <t>PENUOCGIAT</t>
  </si>
  <si>
    <t xml:space="preserve">PE nước giặt </t>
  </si>
  <si>
    <t>Hạt FB2310</t>
  </si>
  <si>
    <t>Hạt 8784</t>
  </si>
  <si>
    <t>PEMENRUOU</t>
  </si>
  <si>
    <t>Chạy cho cuộn men rượu, hàng đóng dạng bột</t>
  </si>
  <si>
    <t>PETRAPHACO</t>
  </si>
  <si>
    <t>Dùng chạy cho hàng Traphaco, túi hạt giống</t>
  </si>
  <si>
    <t>SNACK</t>
  </si>
  <si>
    <t>PE 40x 440</t>
  </si>
  <si>
    <t>Hạt tăng dai</t>
  </si>
  <si>
    <t>PEDUONG</t>
  </si>
  <si>
    <t>Dùng chạy cho hàng đường Lam Sơn</t>
  </si>
  <si>
    <t>PETRONGTH</t>
  </si>
  <si>
    <t>PE trong loại thường</t>
  </si>
  <si>
    <t>PESU</t>
  </si>
  <si>
    <t>hạt Trắng</t>
  </si>
  <si>
    <t>PEHD</t>
  </si>
  <si>
    <t>PESUHCKĐB</t>
  </si>
  <si>
    <t>Dùng chạy cho cuộn bột giặt Đức Giang loại 2kg, 2.5kg, 3kg, 4.2kg</t>
  </si>
  <si>
    <t>PENHATNGUYEN</t>
  </si>
  <si>
    <t>Dùng chạy cho cuộn màng dán khay thịt nhật nguyên</t>
  </si>
  <si>
    <t>Hạt AF250</t>
  </si>
  <si>
    <t>AFA1020</t>
  </si>
  <si>
    <t>PE 75x600</t>
  </si>
  <si>
    <t>Màng PE 75mic x600</t>
  </si>
  <si>
    <t>Màng PE 75mic x 760</t>
  </si>
  <si>
    <t>PE 75x 630</t>
  </si>
  <si>
    <t>Màng PE 75mic x 630</t>
  </si>
  <si>
    <t>Công ty Đồng Phát</t>
  </si>
  <si>
    <t>PE 82x750</t>
  </si>
  <si>
    <t>Màng PE 82mic x 750</t>
  </si>
  <si>
    <t>Màng PE 95mic x 810</t>
  </si>
  <si>
    <t>PE 80x900</t>
  </si>
  <si>
    <t>Màng PE 60mic x 630</t>
  </si>
  <si>
    <t>PE HCK 60x620</t>
  </si>
  <si>
    <t>Màng PE HCK 60 mic x 620</t>
  </si>
  <si>
    <t>Công ty BHD</t>
  </si>
  <si>
    <t>PE HCK 60x680</t>
  </si>
  <si>
    <t>Màng PE HCK 60 mic x 680</t>
  </si>
  <si>
    <t>PE 45x680BHD</t>
  </si>
  <si>
    <t xml:space="preserve">Màng PE 45mic x 680 </t>
  </si>
  <si>
    <t>PE30x560BHD</t>
  </si>
  <si>
    <t>Màng PE 30mic x 560</t>
  </si>
  <si>
    <t>PE sứ 45x550BHD</t>
  </si>
  <si>
    <t>Màng PE sứ 45mic x 550</t>
  </si>
  <si>
    <t>PE sứ 30x560BHD</t>
  </si>
  <si>
    <t>Màng PE sứ 30mic x 560</t>
  </si>
  <si>
    <t>PE 35x520BHD</t>
  </si>
  <si>
    <t>Màng PE 35mic x 520</t>
  </si>
  <si>
    <t>PE 45x590BHD</t>
  </si>
  <si>
    <t>Màng PE 45mic x 590</t>
  </si>
  <si>
    <t>PE 30x570BHD</t>
  </si>
  <si>
    <t>Màng PE 30mic x 570</t>
  </si>
  <si>
    <t>PE 85x680BHD</t>
  </si>
  <si>
    <t>Màng PE 85mic x 680</t>
  </si>
  <si>
    <t>PE 35x530BHD</t>
  </si>
  <si>
    <t>Màng PE 35mic x 530</t>
  </si>
  <si>
    <t>PE 47x1290SPB</t>
  </si>
  <si>
    <t>Màng PE 47x1290 Sao Phương Bắc</t>
  </si>
  <si>
    <t>PE 45x1222CĐ</t>
  </si>
  <si>
    <t>Màng PE 45x1222 Cơ Điện</t>
  </si>
  <si>
    <t>PE 45x1220CĐ</t>
  </si>
  <si>
    <t>Màng PE 45x1220 Cơ Điện</t>
  </si>
  <si>
    <t>PE 45x1000CĐ</t>
  </si>
  <si>
    <t>Màng PE 45x1000 Cơ Điện</t>
  </si>
  <si>
    <t>PE 45x1250CĐ</t>
  </si>
  <si>
    <t>Màng PE trong 45x1250 Cơ điện</t>
  </si>
  <si>
    <t>PE 30x820</t>
  </si>
  <si>
    <t xml:space="preserve">Màng PE 30x820 </t>
  </si>
  <si>
    <t>Công ty TNHH Bao bì và Thương Mại Sơn Tùng</t>
  </si>
  <si>
    <t>PE đen trắng 60x630</t>
  </si>
  <si>
    <t>Màng PE đen trắng 60x630</t>
  </si>
  <si>
    <t>PE 39x1195</t>
  </si>
  <si>
    <t>Màng PE 39x1195</t>
  </si>
  <si>
    <t>PE 68x620</t>
  </si>
  <si>
    <t>Màng PE trong HCK 68x620</t>
  </si>
  <si>
    <t>PE 35x560BHD</t>
  </si>
  <si>
    <t xml:space="preserve">Màng PE 35x560 </t>
  </si>
  <si>
    <t>Màng PE 30x570</t>
  </si>
  <si>
    <t>Màng PE 35x520</t>
  </si>
  <si>
    <t>PE 60x680BHD</t>
  </si>
  <si>
    <t xml:space="preserve">Màng PE 60x680 </t>
  </si>
  <si>
    <t>PE 39x1190TH</t>
  </si>
  <si>
    <t>Màng PE 39x 1190 TH Việt</t>
  </si>
  <si>
    <t>Màng PE trong HCK 70x620</t>
  </si>
  <si>
    <t>PE 70x680</t>
  </si>
  <si>
    <t>Màng PE trong HCK 70x680</t>
  </si>
  <si>
    <t>PE 75x700BHD</t>
  </si>
  <si>
    <t>Màng PE trong HCK 75x700</t>
  </si>
  <si>
    <t>PE 75x580BHD</t>
  </si>
  <si>
    <t>Màng PE trong HCK 75x580</t>
  </si>
  <si>
    <t xml:space="preserve">PE 40x1175TH </t>
  </si>
  <si>
    <t>Màng PE 40x1175 TH Việt</t>
  </si>
  <si>
    <t>PE 50x1285TH</t>
  </si>
  <si>
    <t>Màng PE 50x1285 TH Việt</t>
  </si>
  <si>
    <t>PE 43x1230TH</t>
  </si>
  <si>
    <t>Màng PE 43mic x 1230 TH Việt</t>
  </si>
  <si>
    <t>PE 43x1280TH</t>
  </si>
  <si>
    <t>Màng PE 43x1280 TH Việt</t>
  </si>
  <si>
    <t>PE 39x1105TH</t>
  </si>
  <si>
    <t>Màng PE 39x1105 TH Việt</t>
  </si>
  <si>
    <t>PE 39x1155TH</t>
  </si>
  <si>
    <t>Màng PE 39x1155 TH Việt</t>
  </si>
  <si>
    <t>PE 43x1285TH</t>
  </si>
  <si>
    <t>Màng PE 43x1285 TH Việt</t>
  </si>
  <si>
    <t>PE 35x1190TH</t>
  </si>
  <si>
    <t>Màng PE 35x1190 TH Việt</t>
  </si>
  <si>
    <t>PE 35x1035TH</t>
  </si>
  <si>
    <t>Màng PE 35x1035 TH Việt</t>
  </si>
  <si>
    <t>PE 39x1290TH</t>
  </si>
  <si>
    <t>Màng PE 39x1290 TH Việt</t>
  </si>
  <si>
    <t>PE 39x730TH</t>
  </si>
  <si>
    <t>Màng PE 39x730 TH Việt</t>
  </si>
  <si>
    <t>PE 42x1185TH</t>
  </si>
  <si>
    <t>Màng PE 42x 1185 TH Việt</t>
  </si>
  <si>
    <t>PE 40x1170TH</t>
  </si>
  <si>
    <t>Màng PE 40x 1170 TH Việt</t>
  </si>
  <si>
    <t>PE 39x1030TH</t>
  </si>
  <si>
    <t>Màng PE 39x1030 TH Việt</t>
  </si>
  <si>
    <t>PE 30x1120TH</t>
  </si>
  <si>
    <t>Màng PE 30x1120 TH Việt</t>
  </si>
  <si>
    <t>PE 40x1190TH</t>
  </si>
  <si>
    <t>Màng PE 40x1190 TH Việt</t>
  </si>
  <si>
    <t>PE 40x1040TH</t>
  </si>
  <si>
    <t>Màng PE 40x1040 TH Việt</t>
  </si>
  <si>
    <t>PE 42x1230TH</t>
  </si>
  <si>
    <t>Màng PE 42x1230TH Việt</t>
  </si>
  <si>
    <t>PE 42x1030TH</t>
  </si>
  <si>
    <t>Màng PE 42x1030 TH Việt</t>
  </si>
  <si>
    <t>PE 50x1035TH</t>
  </si>
  <si>
    <t>Màng PE 50x1035 TH Việt</t>
  </si>
  <si>
    <t>PE 85x1280TH</t>
  </si>
  <si>
    <t>Màng PE 85x1280TH Việt</t>
  </si>
  <si>
    <t>PE 70x1280TH</t>
  </si>
  <si>
    <t>Màng PE 70x1280TH Việt</t>
  </si>
  <si>
    <t>PE 39x1180TH</t>
  </si>
  <si>
    <t>Màng PE 39x1180 TH Việt</t>
  </si>
  <si>
    <t>PE 39x1185TH</t>
  </si>
  <si>
    <t>Màng PE 39x1185 TH Việt</t>
  </si>
  <si>
    <t>PE 42x1280TH</t>
  </si>
  <si>
    <t>Màng PE 42x1280 TH Việt</t>
  </si>
  <si>
    <t>PE 42x1330TH</t>
  </si>
  <si>
    <t>Màng PE 42x1330 TH Việt</t>
  </si>
  <si>
    <t>PE 36x634TH</t>
  </si>
  <si>
    <t>Màng PE 36x634 TH Việt</t>
  </si>
  <si>
    <t>PE 36x834TH</t>
  </si>
  <si>
    <t>Màng PE 36x834 TH Việt</t>
  </si>
  <si>
    <t>PE 39x1130TH</t>
  </si>
  <si>
    <t>Màng PE 39x1130 TH Việt</t>
  </si>
  <si>
    <t>PE 43x1030TH</t>
  </si>
  <si>
    <t>Màng PE 43x1030 TH Việt</t>
  </si>
  <si>
    <t>PE 43x1235TH</t>
  </si>
  <si>
    <t>Màng PE 43x1235 TH Việt</t>
  </si>
  <si>
    <t>PEĐT60x1285TH</t>
  </si>
  <si>
    <t>Màng PE đen trắng 60x1285TH Việt</t>
  </si>
  <si>
    <t>PEĐT52x1285TH</t>
  </si>
  <si>
    <t>Màng PE đen trắng 52x1285TH Việt</t>
  </si>
  <si>
    <t>PE đt 45x1235TH</t>
  </si>
  <si>
    <t>Màng PE đen trắng 45x1235TH Việt</t>
  </si>
  <si>
    <t>PE đt 58x1285TH</t>
  </si>
  <si>
    <t>Màng PE đen trắng 58x1285TH Việt</t>
  </si>
  <si>
    <t>PE 40x580BHD</t>
  </si>
  <si>
    <t>Màng PE trong HCK 40x580</t>
  </si>
  <si>
    <t>PE 35x440BHD</t>
  </si>
  <si>
    <t>Màng PE trong HCK 35x440</t>
  </si>
  <si>
    <t>PE 30x780BHD</t>
  </si>
  <si>
    <t>Màng PE trong 30x780</t>
  </si>
  <si>
    <t>PE35x570BHD</t>
  </si>
  <si>
    <t>Màng PE trong 35x570BHD</t>
  </si>
  <si>
    <t>PE68x650BHD</t>
  </si>
  <si>
    <t>Màng PE trong 68x650BHD</t>
  </si>
  <si>
    <t>PE90x730BHD</t>
  </si>
  <si>
    <t>Màng PE trong 90x730BHD</t>
  </si>
  <si>
    <t>PE60x780BHD</t>
  </si>
  <si>
    <t>Màng PE trong 60x780BHD</t>
  </si>
  <si>
    <t>PE sứ 50x740BHD</t>
  </si>
  <si>
    <t>Màng PE sứ 50x740BHD</t>
  </si>
  <si>
    <t>PE sứ 50x540BHD</t>
  </si>
  <si>
    <t>Màng PE sứ 50x540BHD</t>
  </si>
  <si>
    <t>PE 100x1080BT</t>
  </si>
  <si>
    <t>Cuộn màng ống PE 100mic x 1080 Bảo Tín</t>
  </si>
  <si>
    <t>PE 60x1600BT</t>
  </si>
  <si>
    <t>Cuộn màng ống PE 60mic x 1600 Bảo Tín</t>
  </si>
  <si>
    <t>PE 60x580BHD</t>
  </si>
  <si>
    <t>Màng PE 60x580BHD</t>
  </si>
  <si>
    <t>PE HCK 68x680BHD</t>
  </si>
  <si>
    <t>Màng PE HCK 68x680BHD</t>
  </si>
  <si>
    <t>PE 50x1200BT</t>
  </si>
  <si>
    <t>Cuộn màng PE ống 50x1200 Bảo Tín</t>
  </si>
  <si>
    <t>PE 20x1200BT</t>
  </si>
  <si>
    <t>Màng PE 20x1200 Bảo Tín</t>
  </si>
  <si>
    <t>PE sứ 30x1270BT</t>
  </si>
  <si>
    <t>Màng PE sứ 30x1270 Bảo Tín</t>
  </si>
  <si>
    <t>PE sứ 30x1050BT</t>
  </si>
  <si>
    <t>Màng PE sứ 30x1050 Bảo Tín</t>
  </si>
  <si>
    <t>PE 72x740BHD</t>
  </si>
  <si>
    <t>Màng PE HCK 72x740 BHD</t>
  </si>
  <si>
    <t>PE65x620BHD</t>
  </si>
  <si>
    <t>Màng PE 65x620BHD</t>
  </si>
  <si>
    <t>PExanh dương 40x1270</t>
  </si>
  <si>
    <t>PE 85x580BHD</t>
  </si>
  <si>
    <t>Màng PE 85x 580 BHD</t>
  </si>
  <si>
    <t>PE đt 40x1120TH</t>
  </si>
  <si>
    <t>Màng PE đen trắng 40x1120 TH Việt</t>
  </si>
  <si>
    <t>PE 68x460BHD</t>
  </si>
  <si>
    <t>Màng PE 68x460 BHD</t>
  </si>
  <si>
    <t>PE 30x710BHD</t>
  </si>
  <si>
    <t>Màng PE 30x710 BHD</t>
  </si>
  <si>
    <t>PE 30x640BHD</t>
  </si>
  <si>
    <t>Màng PE 30x640 BHD</t>
  </si>
  <si>
    <t>PE 30x720BHD</t>
  </si>
  <si>
    <t>Màng PE 30x720 BHD</t>
  </si>
  <si>
    <t>PE 90x1020BHD</t>
  </si>
  <si>
    <t>Màng PE HCK 90x1020 BHD</t>
  </si>
  <si>
    <t>PE 35x500BHD</t>
  </si>
  <si>
    <t>Màng PE 35x500 BHD</t>
  </si>
  <si>
    <t>PE 68x620BHD</t>
  </si>
  <si>
    <t>Màng PE HCK 68x620 BHD</t>
  </si>
  <si>
    <t>PE 72x580BHD</t>
  </si>
  <si>
    <t>Màng PE HCK 72x580 BHD</t>
  </si>
  <si>
    <t>PE 72x635BHD</t>
  </si>
  <si>
    <t>Màng PE HCK 72x635 BHD</t>
  </si>
  <si>
    <t>PE 35x570BHD</t>
  </si>
  <si>
    <t>Màng PE 35x570 BHD</t>
  </si>
  <si>
    <t>PE HCK 60x660BHD</t>
  </si>
  <si>
    <t>Màng PE HCK 60x660 BHD</t>
  </si>
  <si>
    <t>PE HCK 72x700BHD</t>
  </si>
  <si>
    <t>Màng PE HCK 72x700BHD</t>
  </si>
  <si>
    <t>PE HCK 68x460BHD</t>
  </si>
  <si>
    <t>Màng PE HCK 68x460BHD</t>
  </si>
  <si>
    <t>PE 45x615BHD</t>
  </si>
  <si>
    <t>Màng PE 45x615 BHD</t>
  </si>
  <si>
    <t>PE 40x495BHD</t>
  </si>
  <si>
    <t>Màng PE 40x495 BHD</t>
  </si>
  <si>
    <t>PE 75x620BHD</t>
  </si>
  <si>
    <t>Màng PE HCK 75x620BHD</t>
  </si>
  <si>
    <t>PE 30x660BHD</t>
  </si>
  <si>
    <t>Màng PE 30x660BHD</t>
  </si>
  <si>
    <t>PE 30x620BHD</t>
  </si>
  <si>
    <t>Màng PE 30x620BHD</t>
  </si>
  <si>
    <t>PE 90x545BHD</t>
  </si>
  <si>
    <t>Màng PE HCK 90x545 BHD</t>
  </si>
  <si>
    <t>PE 70x1000BHD</t>
  </si>
  <si>
    <t>Màng PE 70x1000BHD</t>
  </si>
  <si>
    <t>PE sứ 100x630BHD</t>
  </si>
  <si>
    <t>Màng PE sứ 100x630 BHD</t>
  </si>
  <si>
    <t>PE sứ 100x670BHD</t>
  </si>
  <si>
    <t>Màng PE sứ 100x670 BHD</t>
  </si>
  <si>
    <t>PE 45x500BHD</t>
  </si>
  <si>
    <t>Màng PE 45x500 BHD</t>
  </si>
  <si>
    <t>PE 20x1230BT</t>
  </si>
  <si>
    <t>Màng PE 20x1230 Bảo Tín</t>
  </si>
  <si>
    <t xml:space="preserve">Công ty Bảo Tín </t>
  </si>
  <si>
    <t>PE sứ 30x1230BT</t>
  </si>
  <si>
    <t>Màng PE sứ 30x1230 Bảo Tín</t>
  </si>
  <si>
    <t>PE 100x520BHD</t>
  </si>
  <si>
    <t>Màng PE HCK 100x520 BHD</t>
  </si>
  <si>
    <t>PE 60x660BHD</t>
  </si>
  <si>
    <t>PE 50x580BHD</t>
  </si>
  <si>
    <t>Màng PE 50x580 BHD</t>
  </si>
  <si>
    <t>PE 50x540BHD</t>
  </si>
  <si>
    <t>Màng PE 50x540 BHD</t>
  </si>
  <si>
    <t>PE 68x580BHD</t>
  </si>
  <si>
    <t>Màng PE HCK 68x580 BHD</t>
  </si>
  <si>
    <t>PE 68x650BHD</t>
  </si>
  <si>
    <t>Màng PE HCK 68x650 BHD</t>
  </si>
  <si>
    <t>PE 45x430BHD</t>
  </si>
  <si>
    <t>Màng PE 45x430 BHD</t>
  </si>
  <si>
    <t>PE 50x495BHD</t>
  </si>
  <si>
    <t>Màng PE 50x495 BHD</t>
  </si>
  <si>
    <t>PE ống 80x990</t>
  </si>
  <si>
    <t>Cuộn PE ống 80x990 Bảo Tín</t>
  </si>
  <si>
    <t>PE ống 80x1050</t>
  </si>
  <si>
    <t>Cuộn PE ống 80x1050 Bảo Tín</t>
  </si>
  <si>
    <t>PE 25x1005BT</t>
  </si>
  <si>
    <t>Màng PE 25x1005 Bảo Tín</t>
  </si>
  <si>
    <t>PE 25x1155BT</t>
  </si>
  <si>
    <t>Màng PE 25x1155 Bảo Tín</t>
  </si>
  <si>
    <t>PEĐT40x1240BT</t>
  </si>
  <si>
    <t>PE đen trắng 40x1240 Bảo Tín</t>
  </si>
  <si>
    <t>PE sứ 65x315</t>
  </si>
  <si>
    <t>PE sứ 65x315 Việt Hùng</t>
  </si>
  <si>
    <t>Công ty Việt Hùng</t>
  </si>
  <si>
    <t>PE 63x820HCK</t>
  </si>
  <si>
    <t>Màng không in PA ghép PE HCK</t>
  </si>
  <si>
    <t>Mẫu</t>
  </si>
  <si>
    <t>PE 65x335VH</t>
  </si>
  <si>
    <t>Màng PE sứ 65x335 Việt Hùng</t>
  </si>
  <si>
    <t>PE 65x350VH</t>
  </si>
  <si>
    <t>Màng PE sứ 65x350 Việt Hùng</t>
  </si>
  <si>
    <t>PE 65x315VH</t>
  </si>
  <si>
    <t>Màng PE sứ 65x315 Việt Hùng</t>
  </si>
  <si>
    <t>PEĐT60x1270BT</t>
  </si>
  <si>
    <t>PE đen trắng 60x1270 Bảo Tín</t>
  </si>
  <si>
    <t>PE sứ 65x600VH</t>
  </si>
  <si>
    <t>Màng PE sứ 65x600 Việt Hùng</t>
  </si>
  <si>
    <t>PE sứ 30x300VH</t>
  </si>
  <si>
    <t>Màng PE sứ 30x300 Việt Hùng</t>
  </si>
  <si>
    <t>PE sứ 65x325VH</t>
  </si>
  <si>
    <t>Màng PE sứ 65x325 Việt Hùng</t>
  </si>
  <si>
    <t>PE sứ 65x315VH</t>
  </si>
  <si>
    <t>PE sứ 65x365VH</t>
  </si>
  <si>
    <t>Màng PE sứ 65x365 Việt Hùng</t>
  </si>
  <si>
    <t>PE sứ 80x335VH</t>
  </si>
  <si>
    <t>Màng PE sứ 80x335 Việt Hùng</t>
  </si>
  <si>
    <t>PE 30x800</t>
  </si>
  <si>
    <t>Màng PE 30x800 Sơn Tùng</t>
  </si>
  <si>
    <t>PE 30x435</t>
  </si>
  <si>
    <t>Màng PE 30x435 Dũng Yến</t>
  </si>
  <si>
    <t>Công ty Dũng Yến</t>
  </si>
  <si>
    <t>PE sứ 45x470</t>
  </si>
  <si>
    <t>Màng PE sứ 45x470</t>
  </si>
  <si>
    <t>Công ty  bao bì an vinh</t>
  </si>
  <si>
    <t>PEBT 30x490</t>
  </si>
  <si>
    <t>Màng PE 30x490 Dũng Yến</t>
  </si>
  <si>
    <t>PEBT 30x640</t>
  </si>
  <si>
    <t>Màng PE 30x640 Dũng Yến</t>
  </si>
  <si>
    <t>PE sứ 60x460</t>
  </si>
  <si>
    <t>Màng PE sứ 60x460</t>
  </si>
  <si>
    <t>PE 40x1200BT</t>
  </si>
  <si>
    <t>Màng PE 40x1200 Bảo Tín</t>
  </si>
  <si>
    <t>PE 30x1150BT</t>
  </si>
  <si>
    <t>Màng PE 30x1150 Bảo Tín</t>
  </si>
  <si>
    <t>PE 84x1030TH</t>
  </si>
  <si>
    <t>Màng PE 84x1030 TH Việt</t>
  </si>
  <si>
    <t>PE 84x1090TH</t>
  </si>
  <si>
    <t>Màng PE 84x1090 TH Việt</t>
  </si>
  <si>
    <t>PE 40x1030TH</t>
  </si>
  <si>
    <t>Màng PE 40x1030 TH Việt</t>
  </si>
  <si>
    <t>PE 42x1180TH</t>
  </si>
  <si>
    <t>Màng PE 42x1180 TH Việt</t>
  </si>
  <si>
    <t>PE 50x680</t>
  </si>
  <si>
    <t>Màng PE 50x680 An Vinh</t>
  </si>
  <si>
    <t>PE 42x980TH</t>
  </si>
  <si>
    <t>Màng PE 42x980 TH Việt</t>
  </si>
  <si>
    <t>PE 40X580</t>
  </si>
  <si>
    <t>Màng PE 40x580 An Vinh</t>
  </si>
  <si>
    <t>PE xanh dương 43x1285</t>
  </si>
  <si>
    <t>Màng PE xanh dương 43x1285 TH Việt</t>
  </si>
  <si>
    <t>PE 43x1235</t>
  </si>
  <si>
    <t>PE đen trắng 50x1280</t>
  </si>
  <si>
    <t>Màng PE đen trắng 50x1280 TH Việt</t>
  </si>
  <si>
    <t>PE 30x680BHD</t>
  </si>
  <si>
    <t>Màng PE trong 30x680 BHD</t>
  </si>
  <si>
    <t>PE HCK 80x650BHD</t>
  </si>
  <si>
    <t>Màng PE HCK 80x650 BHD</t>
  </si>
  <si>
    <t>PEĐT 48x1230TH</t>
  </si>
  <si>
    <t>Màng PE đen trắng 48x1230 TH Việt</t>
  </si>
  <si>
    <t>PE ĐT 48x1280TH</t>
  </si>
  <si>
    <t>Màng PE đen trắng 48x1280 TH Việt</t>
  </si>
  <si>
    <t>PE ĐT 70x1280TH</t>
  </si>
  <si>
    <t>Màng PE đen trắng 70x1280 TH Việt</t>
  </si>
  <si>
    <t>PE 47x1030TH</t>
  </si>
  <si>
    <t>Màng PE 47x1030 TH Việt</t>
  </si>
  <si>
    <t>PE 35x490</t>
  </si>
  <si>
    <t>Màng PE trong 35x490 An Vinh</t>
  </si>
  <si>
    <t>Công ty An Vinh</t>
  </si>
  <si>
    <t>Màng PE trong 60x670 An Vinh</t>
  </si>
  <si>
    <t>PE 50x660</t>
  </si>
  <si>
    <t>Màng PE trong 50x660 An Vinh</t>
  </si>
  <si>
    <t>PE ĐT 65x1280TH</t>
  </si>
  <si>
    <t>Màng PE đen trắng 65x1280 TH Việt</t>
  </si>
  <si>
    <t>PEBT 25x510</t>
  </si>
  <si>
    <t>Màng PE 25x510 Dũng Yến</t>
  </si>
  <si>
    <t>PEBT 50x510</t>
  </si>
  <si>
    <t>Màng PE 50x510 Dũng Yến</t>
  </si>
  <si>
    <t>PE 75x390</t>
  </si>
  <si>
    <t>Màng PE 75x390 An Vinh</t>
  </si>
  <si>
    <t>Màng PE 85x820 An Vinh</t>
  </si>
  <si>
    <t>PE sứ 40x990</t>
  </si>
  <si>
    <t>Màng PE sứ 40x990 An Vinh</t>
  </si>
  <si>
    <t>PE 43x1040TH</t>
  </si>
  <si>
    <t>Màng PE 43x1040 TH Việt</t>
  </si>
  <si>
    <t>PE 55x1240TH</t>
  </si>
  <si>
    <t>Màng PE 55x1240 TH Việt</t>
  </si>
  <si>
    <t>PE xanh dương 43x780</t>
  </si>
  <si>
    <t>Màng PE xanh dương 43x780 TH Việt</t>
  </si>
  <si>
    <t>PE xanh dương 43x1310</t>
  </si>
  <si>
    <t>Màng PE xanh dương 43x1310 TH Việt</t>
  </si>
  <si>
    <t>PE xanh dương 43x1260</t>
  </si>
  <si>
    <t>Màng PE xanh dương 43x1260 TH Việt</t>
  </si>
  <si>
    <t>PE xanh dương 43x1240</t>
  </si>
  <si>
    <t>Màng PE xanh dương 43x1240 TH Việt</t>
  </si>
  <si>
    <t>PE xanh dương 43x1187</t>
  </si>
  <si>
    <t>Màng PE xanh dương 43x1187 TH Việt</t>
  </si>
  <si>
    <t>PE 43x1310</t>
  </si>
  <si>
    <t>Màng PE 43x1310 TH Việt</t>
  </si>
  <si>
    <t>PE 47x1310</t>
  </si>
  <si>
    <t>Màng PE 47x1310 TH Việt</t>
  </si>
  <si>
    <t>PE 84x1160TH</t>
  </si>
  <si>
    <t>Màng PE 84x1160 TH Việt</t>
  </si>
  <si>
    <t>PE xanh dương 47x1060</t>
  </si>
  <si>
    <t>Màng PE xanh dương 47x1060 TH Việt</t>
  </si>
  <si>
    <t>PEĐT90x1269TH</t>
  </si>
  <si>
    <t>Màng PE đen trắng 90x1269TH Việt</t>
  </si>
  <si>
    <t>PEĐT 40x1220BT</t>
  </si>
  <si>
    <t>Màng PE đen trắng 40x1220 Bảo Tín</t>
  </si>
  <si>
    <t>PE 40x380 Dũng Yến</t>
  </si>
  <si>
    <t>Màng PE 40x380 Dũng Yến</t>
  </si>
  <si>
    <t>PE 43x1160TH</t>
  </si>
  <si>
    <t>Màng PE 43x1160 TH Việt</t>
  </si>
  <si>
    <t>PE 41x1000TH</t>
  </si>
  <si>
    <t>Màng PE 41x1000 TH Việt</t>
  </si>
  <si>
    <t>PE 43x1300TH</t>
  </si>
  <si>
    <t>Màng PE 43x1300 TH Việt</t>
  </si>
  <si>
    <t>PE xanh dương 43x1300TH</t>
  </si>
  <si>
    <t>Màng PE xanh dương 43x1300 TH Việt</t>
  </si>
  <si>
    <t>PE xanh dương 43x770TH</t>
  </si>
  <si>
    <t>Màng PE xanh dương 43x770 TH Việt</t>
  </si>
  <si>
    <t>PE sứ 40x900</t>
  </si>
  <si>
    <t>Màng PE sứ 40x900 An Vinh</t>
  </si>
  <si>
    <t>PE 35x860</t>
  </si>
  <si>
    <t>Màng PE trong 35x860 An Vinh</t>
  </si>
  <si>
    <t>PE 52x1200TH</t>
  </si>
  <si>
    <t>Màng PE trong 52x1200 TH Việt</t>
  </si>
  <si>
    <t>PE 64x1300TH</t>
  </si>
  <si>
    <t>Màng PE trong 64x1300 TH Việt</t>
  </si>
  <si>
    <t>PEBT 30x400</t>
  </si>
  <si>
    <t>Màng PE 30x400 Dũng Yến</t>
  </si>
  <si>
    <t>PE 40x990</t>
  </si>
  <si>
    <t>Màng PE 40x990 An Vinh</t>
  </si>
  <si>
    <t>PEĐT 45x1235TH</t>
  </si>
  <si>
    <t>Màng PE đen trắng 45x1235 TH Việt</t>
  </si>
  <si>
    <t>PEĐT 75x1235TH</t>
  </si>
  <si>
    <t>Màng PE đen trắng 75x1235 TH Việt</t>
  </si>
  <si>
    <t>PE xanh dương 43x1290TH</t>
  </si>
  <si>
    <t>Màng PE xanh dương 43x1290 TH Việt</t>
  </si>
  <si>
    <t xml:space="preserve">PE 40x1235TH </t>
  </si>
  <si>
    <t>Màng PE 40x1235 TH Việt</t>
  </si>
  <si>
    <t>PE 40x340 Dũng Yến</t>
  </si>
  <si>
    <t>Màng PE 40x340 Dũng Yến</t>
  </si>
  <si>
    <t>PE 42x1110TH</t>
  </si>
  <si>
    <t>Màng PE 42x1110 TH Việt</t>
  </si>
  <si>
    <t>PE 40x1110TH</t>
  </si>
  <si>
    <t>Màng PE 40x1110 TH Việt</t>
  </si>
  <si>
    <t>PE 40x1200TH</t>
  </si>
  <si>
    <t>Màng PE 40x1200 TH Việt</t>
  </si>
  <si>
    <t>PE đen trắng 50x1230TH</t>
  </si>
  <si>
    <t>Màng PE đen trắng 50x1230 TH Việt</t>
  </si>
  <si>
    <t>PE đen trắng 67x1230TH</t>
  </si>
  <si>
    <t>Màng PE đen trắng 67x1230 TH Việt</t>
  </si>
  <si>
    <t>PE 70x450</t>
  </si>
  <si>
    <t>Màng PE 70x450 Dũng Yến</t>
  </si>
  <si>
    <t>PE 48x1300TH</t>
  </si>
  <si>
    <t>Màng PE 48 x 1300 TH Việt</t>
  </si>
  <si>
    <t>PE 41x1200TH</t>
  </si>
  <si>
    <t>Màng PE 41x1200 TH Việt</t>
  </si>
  <si>
    <t>PE đen trắng 40x1250TH</t>
  </si>
  <si>
    <t>Màng PE đen trắng 40x1250 TH Việt</t>
  </si>
  <si>
    <t>PE 40x1235TH</t>
  </si>
  <si>
    <t>PE 40x1010TH</t>
  </si>
  <si>
    <t>Màng PE 40x1010 TH Việt</t>
  </si>
  <si>
    <t>PEBT 45x350</t>
  </si>
  <si>
    <t>Màng PE 45x350 Dũng Yến</t>
  </si>
  <si>
    <t>PEBT 45x570</t>
  </si>
  <si>
    <t>Màng PE 45x570 Dũng Yến</t>
  </si>
  <si>
    <t>PE 45x1010CĐ</t>
  </si>
  <si>
    <t>Màng PE 45x1010 Cơ Điện</t>
  </si>
  <si>
    <t>PE xanh dương 45x1220CĐ</t>
  </si>
  <si>
    <t>Màng PE xanh dương 45x1220 Cơ điện</t>
  </si>
  <si>
    <t>PEBT 30x390</t>
  </si>
  <si>
    <t>Màng PE 30x390 Dũng Yến</t>
  </si>
  <si>
    <t>PEBT 50x520</t>
  </si>
  <si>
    <t>Màng PE 50x520 Dũng Yến</t>
  </si>
  <si>
    <t>PE 40x440HP</t>
  </si>
  <si>
    <t>Màng PE 40x440 Huy Phát</t>
  </si>
  <si>
    <t>Công ty Huy Phát</t>
  </si>
  <si>
    <t>PE 30x520HP</t>
  </si>
  <si>
    <t>Màng PE 30x520 Huy Phát</t>
  </si>
  <si>
    <t>PE 40x630HP</t>
  </si>
  <si>
    <t>Màng PE 40x630 Huy Phát</t>
  </si>
  <si>
    <t>PE 50x670HP</t>
  </si>
  <si>
    <t>Màng PE 50x670 Huy Phát</t>
  </si>
  <si>
    <t>PE 45x730HP</t>
  </si>
  <si>
    <t>Màng PE 45x730 Huy Phát</t>
  </si>
  <si>
    <t>PE sứ 60x510HP</t>
  </si>
  <si>
    <t>Màng PE sứ  60x510 Huy Phát</t>
  </si>
  <si>
    <t>PE sứ 65x510HP</t>
  </si>
  <si>
    <t>Màng PE sứ 65x510 Huy Phát</t>
  </si>
  <si>
    <t>PE 40x610HP</t>
  </si>
  <si>
    <t>Màng PE 40x610 Huy Phát</t>
  </si>
  <si>
    <t>PE 40x660HP</t>
  </si>
  <si>
    <t>Màng PE 40x660 Huy Phát</t>
  </si>
  <si>
    <t>PE 40x400HP</t>
  </si>
  <si>
    <t>Màng PE 40x400 Huy Phát</t>
  </si>
  <si>
    <t>PE 45x390HP</t>
  </si>
  <si>
    <t>Màng PE 45x390 Huy Phát</t>
  </si>
  <si>
    <t>PEBT 40x590</t>
  </si>
  <si>
    <t>Màng PE 40x590 Dũng Yến</t>
  </si>
  <si>
    <t>PE 43x1290TH</t>
  </si>
  <si>
    <t>Màng PE 43x1290 TH Việt</t>
  </si>
  <si>
    <t>PE sứ 65x1259TH</t>
  </si>
  <si>
    <t>Màng PE sứ 65x1259 TH Việt</t>
  </si>
  <si>
    <t>PEBT 50x530</t>
  </si>
  <si>
    <t>Màng PE 50x530 Dũng Yến</t>
  </si>
  <si>
    <t>PE 50x770HP</t>
  </si>
  <si>
    <t>Màng PE 50x770 Huy Phát</t>
  </si>
  <si>
    <t>PE 50x730HP</t>
  </si>
  <si>
    <t>Màng PE 50x730 Huy Phát</t>
  </si>
  <si>
    <t>PE 52x530HD</t>
  </si>
  <si>
    <t>Màng PE 52x530 Hoàng Dương</t>
  </si>
  <si>
    <t>PE 65x520HD</t>
  </si>
  <si>
    <t>Màng PE HCK 65x520 Hoàng Dương</t>
  </si>
  <si>
    <t>PE 32x780HD</t>
  </si>
  <si>
    <t>Màng PE trong 32x780 Hoàng Dương</t>
  </si>
  <si>
    <t>PE 75x620HD</t>
  </si>
  <si>
    <t>Màng PE HCK 75x620 Hoàng Dương</t>
  </si>
  <si>
    <t>PE 55x420HD</t>
  </si>
  <si>
    <t>Màng PE trong 55x420 Hoàng Dương</t>
  </si>
  <si>
    <t>PE 40x820HD</t>
  </si>
  <si>
    <t>Màng PE HCK 40x820 Hoàng Dương</t>
  </si>
  <si>
    <t>PE 43x1250TH</t>
  </si>
  <si>
    <t>Màng PE 43x1250TH Việt</t>
  </si>
  <si>
    <t>PE 30x450</t>
  </si>
  <si>
    <t>Màng PE 30x450 Dũng yến</t>
  </si>
  <si>
    <t>Màng PE đen trắng 60x1220 Cơ điện</t>
  </si>
  <si>
    <t>PE HCK 45x680HVB</t>
  </si>
  <si>
    <t>Màng PE HCK 45x680 Hoa Việt Bình</t>
  </si>
  <si>
    <t>Công ty Hoa Việt Bình</t>
  </si>
  <si>
    <t>PE 30x540HVB</t>
  </si>
  <si>
    <t>Màng PE 30x540 Hoa Việt Bình</t>
  </si>
  <si>
    <t>PE 35x900HVB</t>
  </si>
  <si>
    <t>Màng PE 35x900 Hoa Việt Bình</t>
  </si>
  <si>
    <t>PE 70x740HVB</t>
  </si>
  <si>
    <t>Màng PE 70x740 Hoa Việt Bình</t>
  </si>
  <si>
    <t>PE 90x545HVB</t>
  </si>
  <si>
    <t>Màng PE 90x545 Hoa Việt Bình</t>
  </si>
  <si>
    <t>PE 30x515HVB</t>
  </si>
  <si>
    <t>Màng PE 30x515 Hoa Việt Bình</t>
  </si>
  <si>
    <t>PE 30x560HVB</t>
  </si>
  <si>
    <t>Màng PE 30x560 Hoa Việt Bình</t>
  </si>
  <si>
    <t>PE 40x720HVB</t>
  </si>
  <si>
    <t>Màng PE 40x720 Hoa Việt Bình</t>
  </si>
  <si>
    <t>PE 50x520HVB</t>
  </si>
  <si>
    <t>Màng PE 50x520 Hoa Việt Bình</t>
  </si>
  <si>
    <t>PE 45x770HP</t>
  </si>
  <si>
    <t>Màng PE 45x770 Huy Phát</t>
  </si>
  <si>
    <t>PE 30x590</t>
  </si>
  <si>
    <t>Màng PE 30x590 Dũng Yến</t>
  </si>
  <si>
    <t>PE 40x710</t>
  </si>
  <si>
    <t>Màng PE 40x710 Dũng Yến</t>
  </si>
  <si>
    <t>PEBT 30x550</t>
  </si>
  <si>
    <t>Màng PE 30x550 Dũng Yến</t>
  </si>
  <si>
    <t>PE 25x460</t>
  </si>
  <si>
    <t>Màng PE 25x460 Dũng Yến</t>
  </si>
  <si>
    <t>PE 25x440</t>
  </si>
  <si>
    <t>Màng PE 25x440 Dũng Yến</t>
  </si>
  <si>
    <t>PE 50x430</t>
  </si>
  <si>
    <t>Màng PE 50x430 Dũng Yến</t>
  </si>
  <si>
    <t>PE 50x375</t>
  </si>
  <si>
    <t>Màng PE 50x375 Dũng Yến</t>
  </si>
  <si>
    <t>PE sứ 100x670</t>
  </si>
  <si>
    <t>Màng PE sứ 100x670</t>
  </si>
  <si>
    <t>PE 40x600HVB</t>
  </si>
  <si>
    <t>Màng PE 40x600 Hoa Việt Bình</t>
  </si>
  <si>
    <t>PEHD 35x350</t>
  </si>
  <si>
    <t>Màng PE HD 35x350 Huy Phát</t>
  </si>
  <si>
    <t>PEHCK 60x770</t>
  </si>
  <si>
    <t>Màng PE HCK 60x770 Huy Phát</t>
  </si>
  <si>
    <t>PE 72x660HVB</t>
  </si>
  <si>
    <t>Màng PE 72x660 Hoa Việt Bình</t>
  </si>
  <si>
    <t>PE 72x700HVB</t>
  </si>
  <si>
    <t>Màng PE 72x700 Hoa Việt Bình</t>
  </si>
  <si>
    <t>PE 90x730HVB</t>
  </si>
  <si>
    <t>Màng PE 90x730 Hoa Việt Bình</t>
  </si>
  <si>
    <t>PE 72x620HVB</t>
  </si>
  <si>
    <t>Màng PE 72x620 Hoa Việt Bình</t>
  </si>
  <si>
    <t>PE 45x710HP</t>
  </si>
  <si>
    <t>Màng PE 45x710 Huy Phát</t>
  </si>
  <si>
    <t>PE 30x500HP</t>
  </si>
  <si>
    <t>Màng PE 30x500 Huy Phát</t>
  </si>
  <si>
    <t>PE 40x600HP</t>
  </si>
  <si>
    <t>Màng PE 40x600 Huy Phát</t>
  </si>
  <si>
    <t>PE 35x810QH</t>
  </si>
  <si>
    <t>Màng PE 35x810 Quốc Hưng</t>
  </si>
  <si>
    <t>Công ty Quốc Hưng</t>
  </si>
  <si>
    <t>PE 40x680QP</t>
  </si>
  <si>
    <t>Màng PE 40x680 Quốc Hưng</t>
  </si>
  <si>
    <t>PE 40x780QH</t>
  </si>
  <si>
    <t>Màng PE 40x780 Quốc Hưng</t>
  </si>
  <si>
    <t>PE 60x440HP</t>
  </si>
  <si>
    <t>Màng PE 60x440 Huy Phát</t>
  </si>
  <si>
    <t>PE 60x650QH</t>
  </si>
  <si>
    <t>Màng PE HCK 60x650 Quốc Hưng</t>
  </si>
  <si>
    <t>PEHD 30x500HP</t>
  </si>
  <si>
    <t>Màng PE HD 30x500 Huy Phát</t>
  </si>
  <si>
    <t>PEHD 30x510HP</t>
  </si>
  <si>
    <t>Màng PE HD 30x510 Huy Phát</t>
  </si>
  <si>
    <t>PEHD 30x530HP</t>
  </si>
  <si>
    <t>Màng PE HD 30x530 Huy Phát</t>
  </si>
  <si>
    <t>PEHD 30x690HP</t>
  </si>
  <si>
    <t>Màng PE HD 30x690 Huy Phát</t>
  </si>
  <si>
    <t>PEHCK 50x630QH</t>
  </si>
  <si>
    <t>Màng PE HCK 50x630 Quốc Hưng</t>
  </si>
  <si>
    <t>PE sứ 85x520QH</t>
  </si>
  <si>
    <t>Màng PE sứ 85x520 Quốc Hưng</t>
  </si>
  <si>
    <t>PE đen trắng 45x1270TH</t>
  </si>
  <si>
    <t>Màng PE đen trâng 45x1270 TH Việt</t>
  </si>
  <si>
    <t>PE đen trắng 55x1270TH</t>
  </si>
  <si>
    <t>Màng PE đen trâng 55x1270 TH Việt</t>
  </si>
  <si>
    <t>PEXD 72x1285CĐ</t>
  </si>
  <si>
    <t>Màng PE trong 72x 1285 Cơ điện</t>
  </si>
  <si>
    <t>PEHD 30x570HP</t>
  </si>
  <si>
    <t>Màng PE trong cứng 30x570 Huy Phát</t>
  </si>
  <si>
    <t>PEHD 40x590HP</t>
  </si>
  <si>
    <t>Màng PE trong cứng 40x590 Huy Phát</t>
  </si>
  <si>
    <t>PEHD 40x630HP</t>
  </si>
  <si>
    <t>Màng PE trong cứng 40x630 Huy Phát</t>
  </si>
  <si>
    <t>PE 35x350HP</t>
  </si>
  <si>
    <t>Màng PE trong 35x350 Huy Phát</t>
  </si>
  <si>
    <t>PEHD 30x520HP</t>
  </si>
  <si>
    <t>Màng PE trong cứng 30x 520 Huy Phát</t>
  </si>
  <si>
    <t>PE 45x590HP</t>
  </si>
  <si>
    <t>Màng PE trong 45x590 Huy Phát</t>
  </si>
  <si>
    <t>PE 43x390HP</t>
  </si>
  <si>
    <t>Màng PE trong 43x390 Huy Phát</t>
  </si>
  <si>
    <t>PE 47x770HP</t>
  </si>
  <si>
    <t>Màng PE trong 47x770 Huy Phát</t>
  </si>
  <si>
    <t>PE 50x490HP</t>
  </si>
  <si>
    <t>Màng PE trong 50x490 Huy Phát</t>
  </si>
  <si>
    <t>PE 60x630QH</t>
  </si>
  <si>
    <t>Màng PE HCK 60x630 Quốc Hưng</t>
  </si>
  <si>
    <t>PE HD 40x770HP</t>
  </si>
  <si>
    <t>Màng  PE trong cứng 40x770 Huy Phát</t>
  </si>
  <si>
    <t>PE 70x560QH</t>
  </si>
  <si>
    <t>Màng PE HCK 70x560 Quốc Hưng</t>
  </si>
  <si>
    <t>PE-BT40x715VT</t>
  </si>
  <si>
    <t>Màng PE trong 40x715 Việt Thắng</t>
  </si>
  <si>
    <t>PE 70x540HVB</t>
  </si>
  <si>
    <t>Màng PE trong 70x540 Hoa Việt Bình</t>
  </si>
  <si>
    <t>PE 80x740HVB</t>
  </si>
  <si>
    <t>Màng PE trong 80x740 Hoa Việt Bình</t>
  </si>
  <si>
    <t>PEHCK 45x660HVB</t>
  </si>
  <si>
    <t>Màng PE HCK 45x660 Hoa Việt Bình</t>
  </si>
  <si>
    <t>PE HCK 113x610HVB</t>
  </si>
  <si>
    <t>Màng PE HCK 113x610 Hoa Việt Bình</t>
  </si>
  <si>
    <t>PE HCK 45x540HVB</t>
  </si>
  <si>
    <t>Màng PE HCK 45x540 Hoa Việt Bình</t>
  </si>
  <si>
    <t>PE 40x700HVB</t>
  </si>
  <si>
    <t>Màng PE 40x700 Hoa Việt Bình</t>
  </si>
  <si>
    <t>PE -NT 45x535VT</t>
  </si>
  <si>
    <t>Màng PE trong HCK 45x535</t>
  </si>
  <si>
    <t>PE-BT40x675VT</t>
  </si>
  <si>
    <t>Màng PE trong 40x675 Việt Thắng</t>
  </si>
  <si>
    <t>PE-BT45x700HVB</t>
  </si>
  <si>
    <t>Màng PE trong 45x700 Hoa Việt Bình</t>
  </si>
  <si>
    <t>PE-BT 40x715VT</t>
  </si>
  <si>
    <t>PE-BT 60x275VT</t>
  </si>
  <si>
    <t>Màng PE trong 60x275 Việt Thắng</t>
  </si>
  <si>
    <t>PE-BT 55x495VT</t>
  </si>
  <si>
    <t>Màng PE trong 55x495 Việt Thắng</t>
  </si>
  <si>
    <t>PE-NT 60x595VT</t>
  </si>
  <si>
    <t>Màng PE trong HCK 60x595 Việt Thắng</t>
  </si>
  <si>
    <t>PE-NT 60x475VT</t>
  </si>
  <si>
    <t>Màng PE trong HCK 60x475 Việt Thắng</t>
  </si>
  <si>
    <t>PEBT 110x500VT</t>
  </si>
  <si>
    <t>Màng PE trong 110x500 Việt Thắng</t>
  </si>
  <si>
    <t>PE 30x470</t>
  </si>
  <si>
    <t>Màng PE trong 30x470 Dũng Yến</t>
  </si>
  <si>
    <t>PE 45x1221CĐ</t>
  </si>
  <si>
    <t>Màng PE trong 45x1221 Cơ điện</t>
  </si>
  <si>
    <t>PE xanh dương 45x1221CĐ</t>
  </si>
  <si>
    <t>Màng PE xanh dương 45x1221 Cơ điện</t>
  </si>
  <si>
    <t>PEXD 60x1130NT</t>
  </si>
  <si>
    <t>Màng PE trong 60x1130 Innotech</t>
  </si>
  <si>
    <t>Công ty Innotech Việt Nam</t>
  </si>
  <si>
    <t>PEBT 60x610</t>
  </si>
  <si>
    <t>Màng PE trong 60x610 Dũng Yến</t>
  </si>
  <si>
    <t>PEBT 65x515VT</t>
  </si>
  <si>
    <t>Màng PE trong 65x515 Việt Thắng</t>
  </si>
  <si>
    <t>PEBT 65x535VT</t>
  </si>
  <si>
    <t>Màng PE trong 65x535 Việt Thắng</t>
  </si>
  <si>
    <t>PEBT 40x495VT</t>
  </si>
  <si>
    <t>Màng PE trong 40x495 Việt Thắng</t>
  </si>
  <si>
    <t>PEBT 80x635VT</t>
  </si>
  <si>
    <t>Màng PE trong 80x635 Việt Thắng</t>
  </si>
  <si>
    <t>PEBT 40x675VT</t>
  </si>
  <si>
    <t>PEBT 55x475VT</t>
  </si>
  <si>
    <t>Màng PE trong 55x475 Việt Thắng</t>
  </si>
  <si>
    <t>PEBT 35x390HP</t>
  </si>
  <si>
    <t>Màng PE trong 35x390 Huy Phát</t>
  </si>
  <si>
    <t>PECT 30x600HP</t>
  </si>
  <si>
    <t>Màng PE trong cứng 30x600 Huy Phát</t>
  </si>
  <si>
    <t>PECT 30x570HP</t>
  </si>
  <si>
    <t>PEBT 55x615VT</t>
  </si>
  <si>
    <t>Màng PE trong 55x615 Việt Thắng</t>
  </si>
  <si>
    <t>PEBT 65x795VT</t>
  </si>
  <si>
    <t>Màng PE trong 65x795 Việt Thắng</t>
  </si>
  <si>
    <t>PEBT 100x470VT</t>
  </si>
  <si>
    <t>Màng PE trong 100x470 Việt Thắng</t>
  </si>
  <si>
    <t>PEBT 40x715VT</t>
  </si>
  <si>
    <t>PENT 45x500VT</t>
  </si>
  <si>
    <t>Màng PE HCK 45x500 Việt Thắng</t>
  </si>
  <si>
    <t>PENT 46x600VT</t>
  </si>
  <si>
    <t>Màng PE HCK 46x600 Việt Thắng</t>
  </si>
  <si>
    <t>PENT60x460VT</t>
  </si>
  <si>
    <t>Màng PE HCK 60x460 Việt Thắng</t>
  </si>
  <si>
    <t>PEBT55x500HD</t>
  </si>
  <si>
    <t>Màng PE trong 55x500 Hoàng Dương</t>
  </si>
  <si>
    <t>PEBT 25x570</t>
  </si>
  <si>
    <t>Màng PE trong 25x570 Dũng Yến</t>
  </si>
  <si>
    <t>PE đen trắng 46x1290TH</t>
  </si>
  <si>
    <t>Màng PE đen trắng 46x1290 TH Việt</t>
  </si>
  <si>
    <t>PE đen trắng 46x1240TH</t>
  </si>
  <si>
    <t>Màng PE đen trắng 46x1240 TH Việt</t>
  </si>
  <si>
    <t>PE sứ 45x1290TH Việt</t>
  </si>
  <si>
    <t>Màng PE sứ 45x1290 TH Việt</t>
  </si>
  <si>
    <t>PEXD 28x1240ĐT</t>
  </si>
  <si>
    <t>Màng PE trong 28x1240 Đức Thiện</t>
  </si>
  <si>
    <t>PEXD 28x1640ĐT</t>
  </si>
  <si>
    <t>Màng PE trong 28x1640 Đức Thiện</t>
  </si>
  <si>
    <t>PEBT 40x555VT</t>
  </si>
  <si>
    <t>Màng PE trong 40x555 Việt Thắng</t>
  </si>
  <si>
    <t>PEBT 40x575VT</t>
  </si>
  <si>
    <t>Màng PE trong 40x575 Việt Thắng</t>
  </si>
  <si>
    <t>PEBT 70x520HD</t>
  </si>
  <si>
    <t>Màng PE trong 70x520 Hoàng Dương</t>
  </si>
  <si>
    <t>PEXD 40x1000TH</t>
  </si>
  <si>
    <t>Màng PE trong 40x1000 TH Việt</t>
  </si>
  <si>
    <t>PEXD 40x995TH</t>
  </si>
  <si>
    <t>Màng PE trong 40x995 TH Việt</t>
  </si>
  <si>
    <t>PEXD 43x1290TH</t>
  </si>
  <si>
    <t>Màng PE trong 43x1290 TH Việt</t>
  </si>
  <si>
    <t>PEBT 120x775VT</t>
  </si>
  <si>
    <t>Màng PE trong 120x775 Việt Thắng</t>
  </si>
  <si>
    <t>PEBT 120x735VT</t>
  </si>
  <si>
    <t>Màng PE trong 120x735 Việt Thắng</t>
  </si>
  <si>
    <t>PE đen trắng 50x1255ĐT</t>
  </si>
  <si>
    <t>Màng PE đen trắng 50x1255 Đức Thiện</t>
  </si>
  <si>
    <t>PE xanh dương 48x1255ĐT</t>
  </si>
  <si>
    <t>Màng PE xanh dương 48x1255 Đức Thiện</t>
  </si>
  <si>
    <t>PEXD 42x1190TH</t>
  </si>
  <si>
    <t>Màng PE trong 42x1190 TH Việt</t>
  </si>
  <si>
    <t>PEXD 22x1280ĐT</t>
  </si>
  <si>
    <t>Màng PE trong 22x1280 Đức Thiện</t>
  </si>
  <si>
    <t>PEĐT 22x1280ĐT</t>
  </si>
  <si>
    <t>Màng PE đen trắng 22x1280 Đức Thiện</t>
  </si>
  <si>
    <t>PEĐT 23x1290ĐT</t>
  </si>
  <si>
    <t>Màng PE đen trắng 23x1290 Đức Thiện</t>
  </si>
  <si>
    <t>PEXD 25x1290ĐT</t>
  </si>
  <si>
    <t>Màng PE trong 25x1290 Đức Thiện</t>
  </si>
  <si>
    <t>PEXD 42x1240TH</t>
  </si>
  <si>
    <t>Màng PE trong 42x1240 TH Việt</t>
  </si>
  <si>
    <t>PEXD 26x1250TH</t>
  </si>
  <si>
    <t>Màng PE trong 26x1250 TH Việt</t>
  </si>
  <si>
    <t>PEXD 28x1243ĐT</t>
  </si>
  <si>
    <t>Màng PE trong 28x1243 Đức Thiện</t>
  </si>
  <si>
    <t>PENT 80x700QH</t>
  </si>
  <si>
    <t>Màng PE HCK 80x700 Quốc Hưng</t>
  </si>
  <si>
    <t>PENT 50x720QH</t>
  </si>
  <si>
    <t>Màng PE HCK 50x720 Quốc Hưng</t>
  </si>
  <si>
    <t>PEXD 45x1221CĐ</t>
  </si>
  <si>
    <t>PENT 50x610HP</t>
  </si>
  <si>
    <t>Màng PE trong 50x610 Huy Phát</t>
  </si>
  <si>
    <t>PEBT 45x590HP</t>
  </si>
  <si>
    <t>PECT 40x570HP</t>
  </si>
  <si>
    <t>Màng PE cứng trong 40x570 Huy Phát</t>
  </si>
  <si>
    <t>PECT 60x710HP</t>
  </si>
  <si>
    <t>Màng PE cứng trong 60x710 Huy Phát</t>
  </si>
  <si>
    <t>PECT 40x530HP</t>
  </si>
  <si>
    <t>Màng PE cứng trong 40x530 Huy Phát</t>
  </si>
  <si>
    <t>PEBT 35x810QH</t>
  </si>
  <si>
    <t>Màng PE trong 35x810 Quốc Hưng</t>
  </si>
  <si>
    <t>PE xanh dương 43x1240TH</t>
  </si>
  <si>
    <t>PENT 65x660HD</t>
  </si>
  <si>
    <t>Màng PE HCK 65x660 Hoàng Dương</t>
  </si>
  <si>
    <t>PEBT 40x600ĐM</t>
  </si>
  <si>
    <t>Màng PE trong 40x600 Đỗ Minh</t>
  </si>
  <si>
    <t>Công ty Đỗ Minh</t>
  </si>
  <si>
    <t>PEXM sứ 60x810NT</t>
  </si>
  <si>
    <t>Màng PE sứ 60x810 Nhật Thái</t>
  </si>
  <si>
    <t>Công ty Nhật Thái</t>
  </si>
  <si>
    <t>PE sứ 60x590NT</t>
  </si>
  <si>
    <t>Màng PE sứ 60x590 Nhật Thái</t>
  </si>
  <si>
    <t>PE sứ 25x650NT</t>
  </si>
  <si>
    <t>Màng PE sứ 25x650 Nhật Thái</t>
  </si>
  <si>
    <t>PE sứ 75x660NT</t>
  </si>
  <si>
    <t>Màng PE sứ 75x660 Nhật Thái</t>
  </si>
  <si>
    <t>PENT 75x570NT</t>
  </si>
  <si>
    <t>Màng PE trong HCK 75x570 Nhật Thái</t>
  </si>
  <si>
    <t>PEXM sứ 60x780NT</t>
  </si>
  <si>
    <t>Màng PE sứ 60x780 Nhật Thái</t>
  </si>
  <si>
    <t>PEBT 45x260ĐM</t>
  </si>
  <si>
    <t>Màng PE trong 45x260 Đỗ Minh</t>
  </si>
  <si>
    <t>PEBT sứ 45x260ĐM</t>
  </si>
  <si>
    <t>Màng PE sứ 45x260 Đỗ Minh</t>
  </si>
  <si>
    <t>PENT 80x940ĐM</t>
  </si>
  <si>
    <t>Màng PE HCK 80x940 Đỗ Minh</t>
  </si>
  <si>
    <t>PEBT 65x725VT</t>
  </si>
  <si>
    <t>Màng PE trong 65x725 Việt Thắng</t>
  </si>
  <si>
    <t>PEBT 50x670VT</t>
  </si>
  <si>
    <t>Màng PE trong 50x670 Việt Thắng</t>
  </si>
  <si>
    <t>PEBT 50x620ĐM</t>
  </si>
  <si>
    <t>Màng PE trong 50x620 Đỗ Minh</t>
  </si>
  <si>
    <t>PEBT 30x690</t>
  </si>
  <si>
    <t>Màng PE trong 30x690 Dũng Yến</t>
  </si>
  <si>
    <t>PEBT 30x450</t>
  </si>
  <si>
    <t>Màng PE trong 30x450 Dũng Yến</t>
  </si>
  <si>
    <t>PEBT 100x760ĐM</t>
  </si>
  <si>
    <t>Màng PE trong 100x760 Đỗ Minh</t>
  </si>
  <si>
    <t>PEBT 50x340</t>
  </si>
  <si>
    <t>Màng PE trong 50x340 Dũng Yến</t>
  </si>
  <si>
    <t>PENT 40x660QH</t>
  </si>
  <si>
    <t>Màng PE HCK 40x660 Quốc Hưng</t>
  </si>
  <si>
    <t>PEBT 80x370ĐM</t>
  </si>
  <si>
    <t>Màng PE trong 80x370 Đỗ Minh</t>
  </si>
  <si>
    <t>PEBT 40x560ĐM</t>
  </si>
  <si>
    <t>Màng PE trong 40x560 Đỗ Minh</t>
  </si>
  <si>
    <t>PEBT 40x680ĐM</t>
  </si>
  <si>
    <t>Màng PE trong 40x680 Đỗ Minh</t>
  </si>
  <si>
    <t>PEBT 25x650ĐM</t>
  </si>
  <si>
    <t>Màng PE trong 25x650 Đỗ Minh</t>
  </si>
  <si>
    <t>PEBT 120x375VT</t>
  </si>
  <si>
    <t>Màng PE trong 120x375 Việt Thắng</t>
  </si>
  <si>
    <t>PEBT 60x855VT</t>
  </si>
  <si>
    <t>Màng PE trong 60x855 Việt Thắng</t>
  </si>
  <si>
    <t>PEBT 70x780ĐM</t>
  </si>
  <si>
    <t>Màng PE trong 70x780 Đỗ Minh</t>
  </si>
  <si>
    <t>PEXM 60x630NT</t>
  </si>
  <si>
    <t>Màng PE trong 60x630 Nhật Thái</t>
  </si>
  <si>
    <t>PEBT 55x740NT</t>
  </si>
  <si>
    <t>Màng PE trong 55x740 Nhật Thái</t>
  </si>
  <si>
    <t>PEBT 100x630VT</t>
  </si>
  <si>
    <t>Màng PE trong 100x630 Việt Thắng</t>
  </si>
  <si>
    <t>PENT 25x850ĐM</t>
  </si>
  <si>
    <t>Màng PE HCK 25x850 Đỗ Minh</t>
  </si>
  <si>
    <t>PEBT 55x925VT</t>
  </si>
  <si>
    <t>Màng PE trong 55x925 Việt Thắng</t>
  </si>
  <si>
    <t>PENT 40x700ĐM</t>
  </si>
  <si>
    <t>Màng PE HCK 40x700 Đỗ Minh</t>
  </si>
  <si>
    <t>PEBT 40x580ĐM</t>
  </si>
  <si>
    <t>Màng PE trong 40x580 Đỗ Minh</t>
  </si>
  <si>
    <t>PENT 80x900ĐM</t>
  </si>
  <si>
    <t>Màng PE HCK 80x900 Đỗ Minh</t>
  </si>
  <si>
    <t>PEBT 55x580ĐM</t>
  </si>
  <si>
    <t>Màng PE trong 55x580 Đỗ Minh</t>
  </si>
  <si>
    <t>PENT 40x680QH</t>
  </si>
  <si>
    <t>Màng PE HCK 40x680 Quốc Hưng</t>
  </si>
  <si>
    <t>PEXD 75x540INT</t>
  </si>
  <si>
    <t>Màng PE 75x540 Innotech</t>
  </si>
  <si>
    <t>PEXD 60x950INT</t>
  </si>
  <si>
    <t>Màng PE 60x950 Innotech</t>
  </si>
  <si>
    <t>PEBT 50x530HD</t>
  </si>
  <si>
    <t>Màng PE 50x530  Hoàng Dương</t>
  </si>
  <si>
    <t>PEMC 50x480</t>
  </si>
  <si>
    <t xml:space="preserve">Cuộn màng PE 50x480 </t>
  </si>
  <si>
    <t>Công ty TNHH MTV thế hệ mới Phú Thọ</t>
  </si>
  <si>
    <t>PEMC 50x520</t>
  </si>
  <si>
    <t>Cuộn màng PE 50x520</t>
  </si>
  <si>
    <t>PENT sứ 125x760ĐM</t>
  </si>
  <si>
    <t>Màng PE sứ HCK 125x760 Đỗ Minh</t>
  </si>
  <si>
    <t>PEBT 50x670ĐM</t>
  </si>
  <si>
    <t>Màng PE trong 50x670 Đỗ Minh</t>
  </si>
  <si>
    <t>PEBT 70x860ĐM</t>
  </si>
  <si>
    <t>Màng PE trong 70x860 Đỗ Minh</t>
  </si>
  <si>
    <t>PEBT 80x860ĐM</t>
  </si>
  <si>
    <t>Màng PE trong 80x860 Đỗ Minh</t>
  </si>
  <si>
    <t>PEXD 35x760INT</t>
  </si>
  <si>
    <t>Màng PE 35x760 Innotech</t>
  </si>
  <si>
    <t>PEBT 45x635VT</t>
  </si>
  <si>
    <t>Màng PE 45x635 Việt Thắng</t>
  </si>
  <si>
    <t>PEBT 45x535VT</t>
  </si>
  <si>
    <t>Màng PE 45x535 Việt Thắng</t>
  </si>
  <si>
    <t>PENT 80x860ĐM</t>
  </si>
  <si>
    <t>Màng PE HCK 80x860 Đỗ Minh</t>
  </si>
  <si>
    <t>PEBT 55x820ĐM</t>
  </si>
  <si>
    <t>Màng PE trong 55x820 Đỗ Minh</t>
  </si>
  <si>
    <t>PENT 60x630QH</t>
  </si>
  <si>
    <t>PENT 60x700ĐM</t>
  </si>
  <si>
    <t>Màng PE HCK 60x700 Đỗ Minh</t>
  </si>
  <si>
    <t>PENT 70x700ĐM</t>
  </si>
  <si>
    <t>Màng PE HCK 70x700 Đỗ Minh</t>
  </si>
  <si>
    <t>PENT 132x820INT</t>
  </si>
  <si>
    <t>Màng PE HCK 132x820 Innotech</t>
  </si>
  <si>
    <t>PENT 100x660VT</t>
  </si>
  <si>
    <t>Màng PE HCK 100x660 Việt Thắng</t>
  </si>
  <si>
    <t>PEBT 55x495VT</t>
  </si>
  <si>
    <t>Màng PE 55x495 Việt Thắng</t>
  </si>
  <si>
    <t>PE xanh dương 72x1285CĐ</t>
  </si>
  <si>
    <t>Màng PE xanh dương 72x1285 Cơ điện</t>
  </si>
  <si>
    <t>PENT 40x600ĐM</t>
  </si>
  <si>
    <t>Màng PE HCK 40x600 Đỗ Minh</t>
  </si>
  <si>
    <t>PENT 50x740ĐM</t>
  </si>
  <si>
    <t>Màng PE HCK 50x740 Đỗ Minh</t>
  </si>
  <si>
    <t>PENT 40x680ĐM</t>
  </si>
  <si>
    <t>Màng PE HCK 40x680 Đỗ Minh</t>
  </si>
  <si>
    <t>PEBT 40x740ĐM</t>
  </si>
  <si>
    <t>Màng PE trong 40x740 Đỗ Minh</t>
  </si>
  <si>
    <t>PENT 60x855VT</t>
  </si>
  <si>
    <t>Màng PE HCK 60x855 Việt Thắng</t>
  </si>
  <si>
    <t>PENT 60x815VT</t>
  </si>
  <si>
    <t>Màng PE HCK 60x815 Việt Thắng</t>
  </si>
  <si>
    <t>PENT 120x635VT</t>
  </si>
  <si>
    <t>Màng PE HCK 120x635 Việt Thắng</t>
  </si>
  <si>
    <t>PEĐT 46x1290TH</t>
  </si>
  <si>
    <t>PEXD 34x1270TH</t>
  </si>
  <si>
    <t>Màng PE trong 34x1270 TH Việt</t>
  </si>
  <si>
    <t>PEXD 26x1270TH</t>
  </si>
  <si>
    <t>Màng PE trong 26x1270 TH Việt</t>
  </si>
  <si>
    <t>PEXD 75x630</t>
  </si>
  <si>
    <t>Màng PE trong 75x630</t>
  </si>
  <si>
    <t>PEBT 105x660ĐM</t>
  </si>
  <si>
    <t>Màng PE trong 105x660 Đỗ Minh</t>
  </si>
  <si>
    <t>PEBT 40x415VT</t>
  </si>
  <si>
    <t>Màng PE trong 40x415 Việt Thắng</t>
  </si>
  <si>
    <t>PNT 65x395VT</t>
  </si>
  <si>
    <t>Màng PE HCK 65x395 Việt Thắng</t>
  </si>
  <si>
    <t>PEBT 25x525VT</t>
  </si>
  <si>
    <t>Màng PE trong 25x525 Việt Thắng</t>
  </si>
  <si>
    <t>PEBT 40x260ĐM</t>
  </si>
  <si>
    <t>Màng PE trong 40x260 Đỗ Minh</t>
  </si>
  <si>
    <t>PEBT 50x560ĐM</t>
  </si>
  <si>
    <t>Màng PE trong 50x560 Đỗ Minh</t>
  </si>
  <si>
    <t>PEBT 50x600ĐM</t>
  </si>
  <si>
    <t>Màng PE trong 50x600 Đỗ Minh</t>
  </si>
  <si>
    <t>PEBT 60x530ĐM</t>
  </si>
  <si>
    <t>Màng PE trong 60x530 Đỗ Minh</t>
  </si>
  <si>
    <t>PEBT 70x670ĐM</t>
  </si>
  <si>
    <t>Màng PE trong 70x670 Đỗ Minh</t>
  </si>
  <si>
    <t>PEBT 80x580ĐM</t>
  </si>
  <si>
    <t>Màng PE trong 80x580 Đỗ Minh</t>
  </si>
  <si>
    <t>PENT 115x620ĐM</t>
  </si>
  <si>
    <t>Màng PE HCK 115x620 Đỗ Minh</t>
  </si>
  <si>
    <t>PENT 80x620ĐM</t>
  </si>
  <si>
    <t>Màng PE HCK 80x620 Đỗ Minh</t>
  </si>
  <si>
    <t>PEBT 45x380ĐM</t>
  </si>
  <si>
    <t>Màng PE trong 45x380 Đỗ Minh</t>
  </si>
  <si>
    <t>PECT 70x540HP</t>
  </si>
  <si>
    <t>Màng PE cứng trong 70x540 Huy Phát</t>
  </si>
  <si>
    <t>PEBT 30x410</t>
  </si>
  <si>
    <t>Màng PE trong 30x410 Dũng Yến</t>
  </si>
  <si>
    <t>PEDT 43x1240TH</t>
  </si>
  <si>
    <t>Màng PE đen trắng 43x1240 TH Việt</t>
  </si>
  <si>
    <t>PEXD 24x1250TH</t>
  </si>
  <si>
    <t>Màng PE trong 24x1250 TH Việt</t>
  </si>
  <si>
    <t>PEXD 39x1240TH</t>
  </si>
  <si>
    <t>Màng PE trong 39x1240 TH Việt</t>
  </si>
  <si>
    <t>PEXD 28x1250TH</t>
  </si>
  <si>
    <t>Màng PE trong 28x1250 TH Việt</t>
  </si>
  <si>
    <t>PECT 40x590HP</t>
  </si>
  <si>
    <t>Màng PE cứng trong 40x590 Huy Phát</t>
  </si>
  <si>
    <t>PEBT 55x745VT</t>
  </si>
  <si>
    <t>Màng PE trong 55x745 Việt Thắng</t>
  </si>
  <si>
    <t>PEBT 55x725VT</t>
  </si>
  <si>
    <t>Màng PE trong 55x725 Việt Thắng</t>
  </si>
  <si>
    <t>PEBT 35x550HP</t>
  </si>
  <si>
    <t>Màng PE trong 35x550 Huy Phát</t>
  </si>
  <si>
    <t>PECT 30x590HP</t>
  </si>
  <si>
    <t>Màng PE cứng trong 30x590 Huy Phát</t>
  </si>
  <si>
    <t>PECT 30x500HP</t>
  </si>
  <si>
    <t>Màng PE cứng trong 30x500 Huy Phát</t>
  </si>
  <si>
    <t>PECT 40x550HP</t>
  </si>
  <si>
    <t>Màng PE cứng trong 40x550 Huy Phát</t>
  </si>
  <si>
    <t>PENT 50x540HP</t>
  </si>
  <si>
    <t>Màng PE HCK 50x540 Huy Phát</t>
  </si>
  <si>
    <t>QC thành phẩm</t>
  </si>
  <si>
    <t>Giá trị</t>
  </si>
  <si>
    <t>Tên khách</t>
  </si>
  <si>
    <t>TP001</t>
  </si>
  <si>
    <t>LT001</t>
  </si>
  <si>
    <t>DG001</t>
  </si>
  <si>
    <t>TP002</t>
  </si>
  <si>
    <t>TP003</t>
  </si>
  <si>
    <t>TP004</t>
  </si>
  <si>
    <t>TP005</t>
  </si>
  <si>
    <t>TP006</t>
  </si>
  <si>
    <t>TP007</t>
  </si>
  <si>
    <t>TP008</t>
  </si>
  <si>
    <t>TP009</t>
  </si>
  <si>
    <t>TP010</t>
  </si>
  <si>
    <t>TP011</t>
  </si>
  <si>
    <t>TP012</t>
  </si>
  <si>
    <t>TP013</t>
  </si>
  <si>
    <t>TP014</t>
  </si>
  <si>
    <t>TP015</t>
  </si>
  <si>
    <t>TP016</t>
  </si>
  <si>
    <t>TP017</t>
  </si>
  <si>
    <t>TP018</t>
  </si>
  <si>
    <t>TP019</t>
  </si>
  <si>
    <t>TP020</t>
  </si>
  <si>
    <t>TP021</t>
  </si>
  <si>
    <t>TP022</t>
  </si>
  <si>
    <t>TP023</t>
  </si>
  <si>
    <t>TP024</t>
  </si>
  <si>
    <t>TP025</t>
  </si>
  <si>
    <t>TP026</t>
  </si>
  <si>
    <t>TP027</t>
  </si>
  <si>
    <t>TP028</t>
  </si>
  <si>
    <t>TP029</t>
  </si>
  <si>
    <t>TP030</t>
  </si>
  <si>
    <t>TP031</t>
  </si>
  <si>
    <t>TP032</t>
  </si>
  <si>
    <t>TP033</t>
  </si>
  <si>
    <t>TP034</t>
  </si>
  <si>
    <t>TP035</t>
  </si>
  <si>
    <t>TP036</t>
  </si>
  <si>
    <t>TP037</t>
  </si>
  <si>
    <t>TP038</t>
  </si>
  <si>
    <t>TP039</t>
  </si>
  <si>
    <t>TP040</t>
  </si>
  <si>
    <t>TP041</t>
  </si>
  <si>
    <t>TP042</t>
  </si>
  <si>
    <t>TP043</t>
  </si>
  <si>
    <t>TP044</t>
  </si>
  <si>
    <t>TP045</t>
  </si>
  <si>
    <t>TP046</t>
  </si>
  <si>
    <t>TP047</t>
  </si>
  <si>
    <t>TP048</t>
  </si>
  <si>
    <t>TP049</t>
  </si>
  <si>
    <t>TP050</t>
  </si>
  <si>
    <t>TP051</t>
  </si>
  <si>
    <t>TP052</t>
  </si>
  <si>
    <t>TP053</t>
  </si>
  <si>
    <t>TP054</t>
  </si>
  <si>
    <t>TP055</t>
  </si>
  <si>
    <t>TP056</t>
  </si>
  <si>
    <t>TP057</t>
  </si>
  <si>
    <t>TP058</t>
  </si>
  <si>
    <t>TP059</t>
  </si>
  <si>
    <t>LT002</t>
  </si>
  <si>
    <t>LT003</t>
  </si>
  <si>
    <t>LT004</t>
  </si>
  <si>
    <t>LT005</t>
  </si>
  <si>
    <t>LT006</t>
  </si>
  <si>
    <t>LT007</t>
  </si>
  <si>
    <t>LT008</t>
  </si>
  <si>
    <t>LT009</t>
  </si>
  <si>
    <t>LT010</t>
  </si>
  <si>
    <t>LT011</t>
  </si>
  <si>
    <t>LT012</t>
  </si>
  <si>
    <t>LT013</t>
  </si>
  <si>
    <t>LT014</t>
  </si>
  <si>
    <t>LT015</t>
  </si>
  <si>
    <t>LT016</t>
  </si>
  <si>
    <t>LT017</t>
  </si>
  <si>
    <t>LT018</t>
  </si>
  <si>
    <t>LT019</t>
  </si>
  <si>
    <t>LT020</t>
  </si>
  <si>
    <t>LT021</t>
  </si>
  <si>
    <t>LT022</t>
  </si>
  <si>
    <t>LT023</t>
  </si>
  <si>
    <t>LT024</t>
  </si>
  <si>
    <t>LT025</t>
  </si>
  <si>
    <t>LT026</t>
  </si>
  <si>
    <t>DG002</t>
  </si>
  <si>
    <t>DG003</t>
  </si>
  <si>
    <t>DG004</t>
  </si>
  <si>
    <t>DG005</t>
  </si>
  <si>
    <t>DG006</t>
  </si>
  <si>
    <t>DG007</t>
  </si>
  <si>
    <t>DG008</t>
  </si>
  <si>
    <t>DG009</t>
  </si>
  <si>
    <t>DG010</t>
  </si>
  <si>
    <t>DG011</t>
  </si>
  <si>
    <t>DG012</t>
  </si>
  <si>
    <t>DG013</t>
  </si>
  <si>
    <t>DG014</t>
  </si>
  <si>
    <t>DG015</t>
  </si>
  <si>
    <t>DG016</t>
  </si>
  <si>
    <t>DG017</t>
  </si>
  <si>
    <t>DG018</t>
  </si>
  <si>
    <t>DG019</t>
  </si>
  <si>
    <t>DG020</t>
  </si>
  <si>
    <t>DG021</t>
  </si>
  <si>
    <t>DG022</t>
  </si>
  <si>
    <t>DG023</t>
  </si>
  <si>
    <t>DG024</t>
  </si>
  <si>
    <t>DG025</t>
  </si>
  <si>
    <t>DG026</t>
  </si>
  <si>
    <t>DG027</t>
  </si>
  <si>
    <t>DG028</t>
  </si>
  <si>
    <t>DG029</t>
  </si>
  <si>
    <t>DG030</t>
  </si>
  <si>
    <t>DG031</t>
  </si>
  <si>
    <t>DG032</t>
  </si>
  <si>
    <t>DG033</t>
  </si>
  <si>
    <t>DG034</t>
  </si>
  <si>
    <t>DG035</t>
  </si>
  <si>
    <t>DG036</t>
  </si>
  <si>
    <t>DG037</t>
  </si>
  <si>
    <t>DG038</t>
  </si>
  <si>
    <t>DG039</t>
  </si>
  <si>
    <t>DG040</t>
  </si>
  <si>
    <t>DG041</t>
  </si>
  <si>
    <t>DG042</t>
  </si>
  <si>
    <t>DG043</t>
  </si>
  <si>
    <t>DG044</t>
  </si>
  <si>
    <t>DG045</t>
  </si>
  <si>
    <t>DG046</t>
  </si>
  <si>
    <t>DG047</t>
  </si>
  <si>
    <t>DG048</t>
  </si>
  <si>
    <t>DG049</t>
  </si>
  <si>
    <t>DG050</t>
  </si>
  <si>
    <t>DG051</t>
  </si>
  <si>
    <t>DG052</t>
  </si>
  <si>
    <t>DG053</t>
  </si>
  <si>
    <t>DG054</t>
  </si>
  <si>
    <t>DG055</t>
  </si>
  <si>
    <t>DG056</t>
  </si>
  <si>
    <t>DG057</t>
  </si>
  <si>
    <t>DG058</t>
  </si>
  <si>
    <t>DG059</t>
  </si>
  <si>
    <t>DG060</t>
  </si>
  <si>
    <t>DG061</t>
  </si>
  <si>
    <t>DG062</t>
  </si>
  <si>
    <t>DG063</t>
  </si>
  <si>
    <t>DG064</t>
  </si>
  <si>
    <t>DG065</t>
  </si>
  <si>
    <t>DG066</t>
  </si>
  <si>
    <t>DG067</t>
  </si>
  <si>
    <t>KH001</t>
  </si>
  <si>
    <t>KH002</t>
  </si>
  <si>
    <t>KH003</t>
  </si>
  <si>
    <t>KH004</t>
  </si>
  <si>
    <t>KH005</t>
  </si>
  <si>
    <t>KH006</t>
  </si>
  <si>
    <t>KH007</t>
  </si>
  <si>
    <t>KH008</t>
  </si>
  <si>
    <t>KH009</t>
  </si>
  <si>
    <t>KH010</t>
  </si>
  <si>
    <t>KH011</t>
  </si>
  <si>
    <t>KH012</t>
  </si>
  <si>
    <t>KH013</t>
  </si>
  <si>
    <t>KH014</t>
  </si>
  <si>
    <t>KH015</t>
  </si>
  <si>
    <t>KH016</t>
  </si>
  <si>
    <t>KH017</t>
  </si>
  <si>
    <t>KH018</t>
  </si>
  <si>
    <t>KH019</t>
  </si>
  <si>
    <t>KH020</t>
  </si>
  <si>
    <t>KH021</t>
  </si>
  <si>
    <t>KH022</t>
  </si>
  <si>
    <t>KH023</t>
  </si>
  <si>
    <t>KH024</t>
  </si>
  <si>
    <t>KH025</t>
  </si>
  <si>
    <t>KH026</t>
  </si>
  <si>
    <t>KH027</t>
  </si>
  <si>
    <t>KH028</t>
  </si>
  <si>
    <t>KH029</t>
  </si>
  <si>
    <t>KH030</t>
  </si>
  <si>
    <t>KH031</t>
  </si>
  <si>
    <t>KH032</t>
  </si>
  <si>
    <t>KH033</t>
  </si>
  <si>
    <t>KH034</t>
  </si>
  <si>
    <t>KH035</t>
  </si>
  <si>
    <t>KH036</t>
  </si>
  <si>
    <t>KH037</t>
  </si>
  <si>
    <t>KH038</t>
  </si>
  <si>
    <t>KH039</t>
  </si>
  <si>
    <t>KH040</t>
  </si>
  <si>
    <t>KH041</t>
  </si>
  <si>
    <t>KH042</t>
  </si>
  <si>
    <t>KH043</t>
  </si>
  <si>
    <t>KH044</t>
  </si>
  <si>
    <t>KH045</t>
  </si>
  <si>
    <t>KH046</t>
  </si>
  <si>
    <t>KH047</t>
  </si>
  <si>
    <t>KH048</t>
  </si>
  <si>
    <t>KH049</t>
  </si>
  <si>
    <t>KH050</t>
  </si>
  <si>
    <t>KH051</t>
  </si>
  <si>
    <t>KH052</t>
  </si>
  <si>
    <t>KH053</t>
  </si>
  <si>
    <t>KH054</t>
  </si>
  <si>
    <t>KH055</t>
  </si>
  <si>
    <t>KH056</t>
  </si>
  <si>
    <t>KH057</t>
  </si>
  <si>
    <t>KH058</t>
  </si>
  <si>
    <t>KH059</t>
  </si>
  <si>
    <t>KH060</t>
  </si>
  <si>
    <t>KH061</t>
  </si>
  <si>
    <t>KH062</t>
  </si>
  <si>
    <t>KH063</t>
  </si>
  <si>
    <t>KH064</t>
  </si>
  <si>
    <t>KH065</t>
  </si>
  <si>
    <t>KH066</t>
  </si>
  <si>
    <t>KH067</t>
  </si>
  <si>
    <t>KH068</t>
  </si>
  <si>
    <t>KH069</t>
  </si>
  <si>
    <t>KH070</t>
  </si>
  <si>
    <t>KH071</t>
  </si>
  <si>
    <t>KH072</t>
  </si>
  <si>
    <t>KH073</t>
  </si>
  <si>
    <t>KH074</t>
  </si>
  <si>
    <t>KH075</t>
  </si>
  <si>
    <t>KH076</t>
  </si>
  <si>
    <t>KH077</t>
  </si>
  <si>
    <t>KH078</t>
  </si>
  <si>
    <t>KH079</t>
  </si>
  <si>
    <t>KH080</t>
  </si>
  <si>
    <t>KH081</t>
  </si>
  <si>
    <t>KH082</t>
  </si>
  <si>
    <t>KH083</t>
  </si>
  <si>
    <t>KH084</t>
  </si>
  <si>
    <t>KH085</t>
  </si>
  <si>
    <t>KH086</t>
  </si>
  <si>
    <t>KH087</t>
  </si>
  <si>
    <t>KH088</t>
  </si>
  <si>
    <t>KH089</t>
  </si>
  <si>
    <t>KH090</t>
  </si>
  <si>
    <t>KH091</t>
  </si>
  <si>
    <t>KH092</t>
  </si>
  <si>
    <t>KH093</t>
  </si>
  <si>
    <t>KH094</t>
  </si>
  <si>
    <t>KH095</t>
  </si>
  <si>
    <t>KH096</t>
  </si>
  <si>
    <t>KH097</t>
  </si>
  <si>
    <t>KH098</t>
  </si>
  <si>
    <t>KH099</t>
  </si>
  <si>
    <t>KH100</t>
  </si>
  <si>
    <t>KH101</t>
  </si>
  <si>
    <t>KH102</t>
  </si>
  <si>
    <t>KH103</t>
  </si>
  <si>
    <t>KH104</t>
  </si>
  <si>
    <t>KH105</t>
  </si>
  <si>
    <t>KH106</t>
  </si>
  <si>
    <t>KH107</t>
  </si>
  <si>
    <t>KH108</t>
  </si>
  <si>
    <t>KH109</t>
  </si>
  <si>
    <t>KH110</t>
  </si>
  <si>
    <t>KH111</t>
  </si>
  <si>
    <t>KH112</t>
  </si>
  <si>
    <t>KH113</t>
  </si>
  <si>
    <t>KH114</t>
  </si>
  <si>
    <t>KH115</t>
  </si>
  <si>
    <t>KH116</t>
  </si>
  <si>
    <t>KH117</t>
  </si>
  <si>
    <t>KH118</t>
  </si>
  <si>
    <t>KH119</t>
  </si>
  <si>
    <t>KH120</t>
  </si>
  <si>
    <t>KH121</t>
  </si>
  <si>
    <t>KH122</t>
  </si>
  <si>
    <t>KH123</t>
  </si>
  <si>
    <t>KH124</t>
  </si>
  <si>
    <t>KH125</t>
  </si>
  <si>
    <t>KH126</t>
  </si>
  <si>
    <t>KH127</t>
  </si>
  <si>
    <t>KH128</t>
  </si>
  <si>
    <t>KH129</t>
  </si>
  <si>
    <t>KH130</t>
  </si>
  <si>
    <t>KH131</t>
  </si>
  <si>
    <t>KH132</t>
  </si>
  <si>
    <t>KH133</t>
  </si>
  <si>
    <t>KH134</t>
  </si>
  <si>
    <t>KH135</t>
  </si>
  <si>
    <t>KH136</t>
  </si>
  <si>
    <t>KH137</t>
  </si>
  <si>
    <t>KH138</t>
  </si>
  <si>
    <t>KH139</t>
  </si>
  <si>
    <t>KH140</t>
  </si>
  <si>
    <t>KH141</t>
  </si>
  <si>
    <t>KH142</t>
  </si>
  <si>
    <t>KH143</t>
  </si>
  <si>
    <t>KH144</t>
  </si>
  <si>
    <t>KH145</t>
  </si>
  <si>
    <t>KH146</t>
  </si>
  <si>
    <t>KH147</t>
  </si>
  <si>
    <t>KH148</t>
  </si>
  <si>
    <t>KH149</t>
  </si>
  <si>
    <t>KH150</t>
  </si>
  <si>
    <t>KH151</t>
  </si>
  <si>
    <t>KH152</t>
  </si>
  <si>
    <t>KH153</t>
  </si>
  <si>
    <t>KH154</t>
  </si>
  <si>
    <t>KH155</t>
  </si>
  <si>
    <t>KH156</t>
  </si>
  <si>
    <t>KH157</t>
  </si>
  <si>
    <t>KH158</t>
  </si>
  <si>
    <t>KH159</t>
  </si>
  <si>
    <t>KH160</t>
  </si>
  <si>
    <t>KH161</t>
  </si>
  <si>
    <t>KH162</t>
  </si>
  <si>
    <t>KH163</t>
  </si>
  <si>
    <t>KH164</t>
  </si>
  <si>
    <t>KH165</t>
  </si>
  <si>
    <t>KH166</t>
  </si>
  <si>
    <t>KH167</t>
  </si>
  <si>
    <t>KH168</t>
  </si>
  <si>
    <t>KH169</t>
  </si>
  <si>
    <t>KH170</t>
  </si>
  <si>
    <t>KH171</t>
  </si>
  <si>
    <t>KH172</t>
  </si>
  <si>
    <t>KH173</t>
  </si>
  <si>
    <t>KH174</t>
  </si>
  <si>
    <t>KH175</t>
  </si>
  <si>
    <t>KH176</t>
  </si>
  <si>
    <t>KH177</t>
  </si>
  <si>
    <t>KH178</t>
  </si>
  <si>
    <t>KH179</t>
  </si>
  <si>
    <t>KH180</t>
  </si>
  <si>
    <t>KH181</t>
  </si>
  <si>
    <t>KH182</t>
  </si>
  <si>
    <t>KH183</t>
  </si>
  <si>
    <t>KH184</t>
  </si>
  <si>
    <t>KH185</t>
  </si>
  <si>
    <t>KH186</t>
  </si>
  <si>
    <t>KH187</t>
  </si>
  <si>
    <t>KH188</t>
  </si>
  <si>
    <t>KH189</t>
  </si>
  <si>
    <t>KH190</t>
  </si>
  <si>
    <t>KH191</t>
  </si>
  <si>
    <t>KH192</t>
  </si>
  <si>
    <t>KH193</t>
  </si>
  <si>
    <t>KH194</t>
  </si>
  <si>
    <t>KH195</t>
  </si>
  <si>
    <t>KH196</t>
  </si>
  <si>
    <t>KH197</t>
  </si>
  <si>
    <t>KH198</t>
  </si>
  <si>
    <t>KH199</t>
  </si>
  <si>
    <t>KH200</t>
  </si>
  <si>
    <t>KH201</t>
  </si>
  <si>
    <t>KH202</t>
  </si>
  <si>
    <t>KH203</t>
  </si>
  <si>
    <t>KH204</t>
  </si>
  <si>
    <t>KH205</t>
  </si>
  <si>
    <t>KH206</t>
  </si>
  <si>
    <t>KH207</t>
  </si>
  <si>
    <t>KH208</t>
  </si>
  <si>
    <t>KH209</t>
  </si>
  <si>
    <t>KH210</t>
  </si>
  <si>
    <t>KH211</t>
  </si>
  <si>
    <t>KH212</t>
  </si>
  <si>
    <t>KH213</t>
  </si>
  <si>
    <t>KH214</t>
  </si>
  <si>
    <t>KH215</t>
  </si>
  <si>
    <t>KH216</t>
  </si>
  <si>
    <t>KH217</t>
  </si>
  <si>
    <t>KH218</t>
  </si>
  <si>
    <t>KH219</t>
  </si>
  <si>
    <t>KH220</t>
  </si>
  <si>
    <t>KH221</t>
  </si>
  <si>
    <t>KH222</t>
  </si>
  <si>
    <t>KH223</t>
  </si>
  <si>
    <t>KH224</t>
  </si>
  <si>
    <t>KH225</t>
  </si>
  <si>
    <t>KH226</t>
  </si>
  <si>
    <t>KH227</t>
  </si>
  <si>
    <t>KH228</t>
  </si>
  <si>
    <t>KH229</t>
  </si>
  <si>
    <t>KH230</t>
  </si>
  <si>
    <t>KH231</t>
  </si>
  <si>
    <t>KH232</t>
  </si>
  <si>
    <t>KH233</t>
  </si>
  <si>
    <t>KH234</t>
  </si>
  <si>
    <t>KH235</t>
  </si>
  <si>
    <t>KH236</t>
  </si>
  <si>
    <t>KH237</t>
  </si>
  <si>
    <t>KH238</t>
  </si>
  <si>
    <t>KH239</t>
  </si>
  <si>
    <t>KH240</t>
  </si>
  <si>
    <t>KH241</t>
  </si>
  <si>
    <t>KH242</t>
  </si>
  <si>
    <t>KH243</t>
  </si>
  <si>
    <t>KH244</t>
  </si>
  <si>
    <t>KH245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</si>
</sst>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_-* #,##0.00\ _₫_-;\-* #,##0.00\ _₫_-;_-* &quot;-&quot;??\ _₫_-;_-@_-"/>
    <numFmt numFmtId="165" formatCode="_(* #,##0.00_);_(* \(#,##0.00\);_(* &quot;-&quot;??.00_);_(@_)"/>
    <numFmt numFmtId="166" formatCode="_(* #,##0_);_(* \(#,##0\);_(* &quot;-&quot;??_);_(@_)"/>
    <numFmt numFmtId="167" formatCode="#,##0\ &quot;₫&quot;;\-#,##0\ &quot;₫&quot;"/>
    <numFmt numFmtId="168" formatCode="_(* #,##0.000_);_(* \(#,##0.000\);_(* &quot;-&quot;??_);_(@_)"/>
    <numFmt numFmtId="169" formatCode="0.000"/>
    <numFmt numFmtId="170" formatCode="_(* #,##0.0000_);_(* \(#,##0.0000\);_(* &quot;-&quot;??_);_(@_)"/>
    <numFmt numFmtId="171" formatCode="0.0%"/>
    <numFmt numFmtId="172" formatCode="0.0"/>
  </numFmts>
  <fonts count="32"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charset val="163"/>
    </font>
    <font>
      <sz val="11"/>
      <name val="Times New Roman"/>
      <family val="1"/>
      <charset val="163"/>
    </font>
    <font>
      <sz val="11"/>
      <color rgb="FF000000"/>
      <name val="Times New Roman"/>
      <family val="1"/>
      <charset val="163"/>
    </font>
    <font>
      <b/>
      <sz val="11"/>
      <name val="Times New Roman"/>
      <family val="1"/>
      <charset val="163"/>
    </font>
    <font>
      <sz val="12"/>
      <color rgb="FF000000"/>
      <name val="Times New Roman"/>
      <family val="1"/>
      <charset val="163"/>
    </font>
    <font>
      <b/>
      <sz val="10"/>
      <color theme="0"/>
      <name val="Times New Roman"/>
      <family val="1"/>
      <charset val="163"/>
    </font>
    <font>
      <b/>
      <sz val="10"/>
      <name val="Times New Roman"/>
      <family val="1"/>
      <charset val="163"/>
    </font>
    <font>
      <sz val="10"/>
      <name val="Arial"/>
      <family val="2"/>
    </font>
    <font>
      <sz val="11"/>
      <color indexed="8"/>
      <name val="Times New Roman"/>
      <family val="1"/>
      <charset val="163"/>
    </font>
    <font>
      <sz val="11"/>
      <color theme="1"/>
      <name val="Times New Roman"/>
      <family val="1"/>
      <charset val="163"/>
    </font>
    <font>
      <sz val="11"/>
      <color theme="1"/>
      <name val="Calibri"/>
      <family val="2"/>
      <charset val="163"/>
      <scheme val="minor"/>
    </font>
    <font>
      <sz val="11"/>
      <name val="Times New Roman"/>
      <family val="1"/>
    </font>
    <font>
      <sz val="12"/>
      <color rgb="FF000000"/>
      <name val="Times New Roman"/>
      <family val="1"/>
    </font>
    <font>
      <sz val="12"/>
      <color rgb="FF000000"/>
      <name val="Calibri Light"/>
      <family val="1"/>
      <charset val="163"/>
      <scheme val="major"/>
    </font>
    <font>
      <b/>
      <sz val="11"/>
      <name val="Times New Roman"/>
      <family val="1"/>
    </font>
    <font>
      <sz val="11"/>
      <color rgb="FF000000"/>
      <name val="Calibri Light"/>
      <family val="1"/>
      <charset val="163"/>
      <scheme val="major"/>
    </font>
    <font>
      <sz val="11"/>
      <color rgb="FFFF0000"/>
      <name val="Calibri"/>
      <family val="2"/>
      <charset val="163"/>
    </font>
    <font>
      <sz val="10"/>
      <name val="Times New Roman"/>
      <family val="1"/>
      <charset val="163"/>
    </font>
    <font>
      <sz val="12"/>
      <color rgb="FF222222"/>
      <name val="Calibri Light"/>
      <family val="1"/>
      <charset val="163"/>
      <scheme val="major"/>
    </font>
    <font>
      <b/>
      <sz val="11"/>
      <color theme="1"/>
      <name val="Calibri Light"/>
      <family val="1"/>
      <scheme val="major"/>
    </font>
    <font>
      <b/>
      <sz val="11"/>
      <color rgb="FF000000"/>
      <name val="Times New Roman"/>
      <family val="1"/>
    </font>
    <font>
      <sz val="11"/>
      <color theme="1"/>
      <name val="Calibri Light"/>
      <family val="1"/>
      <scheme val="major"/>
    </font>
    <font>
      <b/>
      <sz val="11"/>
      <name val="Calibri Light"/>
      <family val="1"/>
      <scheme val="major"/>
    </font>
    <font>
      <sz val="12"/>
      <color rgb="FF0070C0"/>
      <name val="Calibri Light"/>
      <family val="1"/>
      <scheme val="major"/>
    </font>
    <font>
      <b/>
      <sz val="8"/>
      <color indexed="81"/>
      <name val="Tahoma"/>
      <family val="2"/>
    </font>
    <font>
      <sz val="8"/>
      <color indexed="81"/>
      <name val="Tahoma"/>
      <family val="2"/>
    </font>
    <font>
      <b/>
      <sz val="9"/>
      <color indexed="81"/>
      <name val="Tahoma"/>
      <family val="2"/>
    </font>
    <font>
      <sz val="9"/>
      <color indexed="81"/>
      <name val="Tahoma"/>
      <family val="2"/>
    </font>
    <font>
      <sz val="8"/>
      <name val="Calibri"/>
      <family val="2"/>
      <scheme val="minor"/>
    </font>
  </fonts>
  <fills count="24">
    <fill>
      <patternFill patternType="none"/>
    </fill>
    <fill>
      <patternFill patternType="gray125"/>
    </fill>
    <fill>
      <patternFill patternType="solid">
        <fgColor theme="3" tint="0.79998168889431442"/>
        <bgColor indexed="64"/>
      </patternFill>
    </fill>
    <fill>
      <patternFill patternType="solid">
        <fgColor rgb="FFFFFF00"/>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0"/>
        <bgColor rgb="FFFFFFFF"/>
      </patternFill>
    </fill>
    <fill>
      <patternFill patternType="solid">
        <fgColor theme="9" tint="0.79998168889431442"/>
        <bgColor rgb="FFFFFFFF"/>
      </patternFill>
    </fill>
    <fill>
      <patternFill patternType="solid">
        <fgColor rgb="FFFFC000"/>
        <bgColor indexed="64"/>
      </patternFill>
    </fill>
    <fill>
      <patternFill patternType="solid">
        <fgColor theme="1"/>
        <bgColor indexed="64"/>
      </patternFill>
    </fill>
    <fill>
      <patternFill patternType="solid">
        <fgColor rgb="FF00B0F0"/>
        <bgColor indexed="64"/>
      </patternFill>
    </fill>
    <fill>
      <patternFill patternType="solid">
        <fgColor rgb="FFFF3399"/>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0000"/>
        <bgColor indexed="64"/>
      </patternFill>
    </fill>
    <fill>
      <patternFill patternType="solid">
        <fgColor rgb="FF7030A0"/>
        <bgColor indexed="64"/>
      </patternFill>
    </fill>
    <fill>
      <patternFill patternType="solid">
        <fgColor theme="9" tint="-0.499984740745262"/>
        <bgColor indexed="64"/>
      </patternFill>
    </fill>
    <fill>
      <patternFill patternType="solid">
        <fgColor rgb="FFFFFF66"/>
        <bgColor indexed="64"/>
      </patternFill>
    </fill>
    <fill>
      <patternFill patternType="solid">
        <fgColor rgb="FFFF6699"/>
        <bgColor indexed="64"/>
      </patternFill>
    </fill>
    <fill>
      <patternFill patternType="solid">
        <fgColor theme="8"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rgb="FFFFFFFF"/>
        <bgColor indexed="64"/>
      </patternFill>
    </fill>
    <fill>
      <patternFill patternType="solid">
        <fgColor theme="4" tint="0.59999389629810485"/>
        <bgColor indexed="64"/>
      </patternFill>
    </fill>
  </fills>
  <borders count="1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top/>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165" fontId="3" fillId="0" borderId="0" applyFont="0" applyFill="0" applyBorder="0" applyAlignment="0" applyProtection="0"/>
    <xf numFmtId="167" fontId="1" fillId="0" borderId="0" applyFont="0" applyFill="0" applyBorder="0" applyAlignment="0" applyProtection="0"/>
    <xf numFmtId="164" fontId="10" fillId="0" borderId="0" applyFont="0" applyFill="0" applyBorder="0" applyAlignment="0" applyProtection="0"/>
    <xf numFmtId="0" fontId="13" fillId="0" borderId="0"/>
  </cellStyleXfs>
  <cellXfs count="286">
    <xf numFmtId="0" fontId="0" fillId="0" borderId="0" xfId="0"/>
    <xf numFmtId="0" fontId="4" fillId="0" borderId="1" xfId="3" applyFont="1" applyBorder="1"/>
    <xf numFmtId="0" fontId="4" fillId="0" borderId="1" xfId="3" applyFont="1" applyBorder="1" applyAlignment="1">
      <alignment vertical="center" wrapText="1"/>
    </xf>
    <xf numFmtId="0" fontId="4" fillId="2" borderId="1" xfId="3" applyFont="1" applyFill="1" applyBorder="1"/>
    <xf numFmtId="0" fontId="4" fillId="2" borderId="1" xfId="3" applyFont="1" applyFill="1" applyBorder="1" applyAlignment="1">
      <alignment vertical="center" wrapText="1"/>
    </xf>
    <xf numFmtId="0" fontId="4" fillId="3" borderId="1" xfId="3" applyFont="1" applyFill="1" applyBorder="1" applyAlignment="1">
      <alignment vertical="center" wrapText="1"/>
    </xf>
    <xf numFmtId="0" fontId="4" fillId="3" borderId="1" xfId="3" applyFont="1" applyFill="1" applyBorder="1"/>
    <xf numFmtId="0" fontId="4" fillId="4" borderId="1" xfId="3" applyFont="1" applyFill="1" applyBorder="1"/>
    <xf numFmtId="0" fontId="4" fillId="4" borderId="1" xfId="3" applyFont="1" applyFill="1" applyBorder="1" applyAlignment="1">
      <alignment vertical="center" wrapText="1"/>
    </xf>
    <xf numFmtId="0" fontId="5" fillId="0" borderId="0" xfId="0" applyFont="1"/>
    <xf numFmtId="0" fontId="6" fillId="0" borderId="2" xfId="3" applyFont="1" applyBorder="1" applyAlignment="1">
      <alignment horizontal="center" vertical="center"/>
    </xf>
    <xf numFmtId="0" fontId="6" fillId="3" borderId="5" xfId="3" applyFont="1" applyFill="1" applyBorder="1" applyAlignment="1">
      <alignment horizontal="center" vertical="center"/>
    </xf>
    <xf numFmtId="0" fontId="6" fillId="3" borderId="6" xfId="3" applyFont="1" applyFill="1" applyBorder="1" applyAlignment="1">
      <alignment horizontal="center" vertical="center"/>
    </xf>
    <xf numFmtId="49" fontId="7" fillId="6" borderId="2" xfId="1" applyNumberFormat="1" applyFont="1" applyFill="1" applyBorder="1" applyAlignment="1">
      <alignment horizontal="center" vertical="center"/>
    </xf>
    <xf numFmtId="49" fontId="5" fillId="7" borderId="6" xfId="3" applyNumberFormat="1" applyFont="1" applyFill="1" applyBorder="1" applyAlignment="1">
      <alignment horizontal="center" vertical="center"/>
    </xf>
    <xf numFmtId="49" fontId="5" fillId="7" borderId="7" xfId="3" applyNumberFormat="1" applyFont="1" applyFill="1" applyBorder="1" applyAlignment="1">
      <alignment horizontal="center" vertical="center"/>
    </xf>
    <xf numFmtId="0" fontId="5" fillId="8" borderId="0" xfId="3" applyFont="1" applyFill="1" applyAlignment="1">
      <alignment horizontal="center" vertical="center"/>
    </xf>
    <xf numFmtId="0" fontId="5" fillId="0" borderId="0" xfId="0" applyFont="1" applyAlignment="1">
      <alignment horizontal="center" vertical="center"/>
    </xf>
    <xf numFmtId="0" fontId="6" fillId="0" borderId="8" xfId="3" applyFont="1" applyBorder="1" applyAlignment="1">
      <alignment horizontal="center" vertical="center" wrapText="1"/>
    </xf>
    <xf numFmtId="0" fontId="6" fillId="0" borderId="1" xfId="3" applyFont="1" applyBorder="1" applyAlignment="1">
      <alignment horizontal="center" vertical="center" wrapText="1"/>
    </xf>
    <xf numFmtId="0" fontId="6" fillId="0" borderId="1" xfId="3" applyFont="1" applyBorder="1" applyAlignment="1">
      <alignment horizontal="center" vertical="center"/>
    </xf>
    <xf numFmtId="0" fontId="6" fillId="0" borderId="2" xfId="3" applyFont="1" applyBorder="1" applyAlignment="1">
      <alignment horizontal="center" vertical="center" wrapText="1"/>
    </xf>
    <xf numFmtId="0" fontId="8" fillId="9" borderId="2" xfId="3" applyFont="1" applyFill="1" applyBorder="1" applyAlignment="1">
      <alignment horizontal="center" vertical="center" wrapText="1"/>
    </xf>
    <xf numFmtId="0" fontId="9" fillId="10" borderId="2" xfId="3" applyFont="1" applyFill="1" applyBorder="1" applyAlignment="1">
      <alignment horizontal="center" vertical="center" wrapText="1"/>
    </xf>
    <xf numFmtId="0" fontId="9" fillId="11" borderId="2" xfId="3" applyFont="1" applyFill="1" applyBorder="1" applyAlignment="1">
      <alignment horizontal="center" vertical="center" wrapText="1"/>
    </xf>
    <xf numFmtId="0" fontId="9" fillId="3" borderId="2" xfId="3" applyFont="1" applyFill="1" applyBorder="1" applyAlignment="1">
      <alignment horizontal="center" vertical="center" wrapText="1"/>
    </xf>
    <xf numFmtId="0" fontId="6" fillId="12" borderId="2" xfId="3" applyFont="1" applyFill="1" applyBorder="1" applyAlignment="1">
      <alignment horizontal="center" vertical="center" wrapText="1"/>
    </xf>
    <xf numFmtId="0" fontId="6" fillId="3" borderId="2" xfId="3" applyFont="1" applyFill="1" applyBorder="1" applyAlignment="1">
      <alignment horizontal="center" vertical="center" wrapText="1"/>
    </xf>
    <xf numFmtId="0" fontId="9" fillId="13" borderId="2" xfId="3" applyFont="1" applyFill="1" applyBorder="1" applyAlignment="1">
      <alignment horizontal="center" vertical="center" wrapText="1"/>
    </xf>
    <xf numFmtId="0" fontId="9" fillId="14" borderId="2" xfId="3" applyFont="1" applyFill="1" applyBorder="1" applyAlignment="1">
      <alignment horizontal="center" vertical="center" wrapText="1"/>
    </xf>
    <xf numFmtId="0" fontId="9" fillId="8" borderId="2" xfId="3" applyFont="1" applyFill="1" applyBorder="1" applyAlignment="1">
      <alignment horizontal="center" vertical="center" wrapText="1"/>
    </xf>
    <xf numFmtId="0" fontId="9" fillId="15" borderId="2" xfId="3" applyFont="1" applyFill="1" applyBorder="1" applyAlignment="1">
      <alignment horizontal="center" vertical="center"/>
    </xf>
    <xf numFmtId="0" fontId="6" fillId="16" borderId="2" xfId="3" applyFont="1" applyFill="1" applyBorder="1" applyAlignment="1">
      <alignment horizontal="center" vertical="center" wrapText="1"/>
    </xf>
    <xf numFmtId="0" fontId="6" fillId="17" borderId="2" xfId="3" applyFont="1" applyFill="1" applyBorder="1" applyAlignment="1">
      <alignment horizontal="center" vertical="center" wrapText="1"/>
    </xf>
    <xf numFmtId="0" fontId="6" fillId="18" borderId="2" xfId="3" applyFont="1" applyFill="1" applyBorder="1" applyAlignment="1">
      <alignment horizontal="center" vertical="center" wrapText="1"/>
    </xf>
    <xf numFmtId="0" fontId="4" fillId="5" borderId="2" xfId="3" applyFont="1" applyFill="1" applyBorder="1" applyAlignment="1">
      <alignment horizontal="center" vertical="center" wrapText="1"/>
    </xf>
    <xf numFmtId="0" fontId="5" fillId="0" borderId="0" xfId="3" applyFont="1" applyAlignment="1">
      <alignment horizontal="center" vertical="center"/>
    </xf>
    <xf numFmtId="0" fontId="4" fillId="0" borderId="2" xfId="3" applyFont="1" applyBorder="1" applyAlignment="1">
      <alignment horizontal="center" vertical="center" wrapText="1"/>
    </xf>
    <xf numFmtId="164" fontId="6" fillId="0" borderId="1" xfId="5" applyNumberFormat="1" applyFont="1" applyBorder="1" applyAlignment="1">
      <alignment horizontal="center" vertical="center" wrapText="1"/>
    </xf>
    <xf numFmtId="0" fontId="4" fillId="0" borderId="1" xfId="3" applyFont="1" applyBorder="1" applyAlignment="1">
      <alignment horizontal="center" vertical="center"/>
    </xf>
    <xf numFmtId="0" fontId="4" fillId="0" borderId="2" xfId="3" applyFont="1" applyBorder="1" applyAlignment="1">
      <alignment horizontal="center" vertical="center"/>
    </xf>
    <xf numFmtId="0" fontId="4" fillId="0" borderId="9" xfId="3" applyFont="1" applyBorder="1" applyAlignment="1">
      <alignment horizontal="center" vertical="center" wrapText="1"/>
    </xf>
    <xf numFmtId="2" fontId="4" fillId="19" borderId="1" xfId="3" applyNumberFormat="1" applyFont="1" applyFill="1" applyBorder="1" applyAlignment="1">
      <alignment horizontal="center" vertical="center"/>
    </xf>
    <xf numFmtId="166" fontId="5" fillId="0" borderId="2" xfId="4" applyNumberFormat="1" applyFont="1" applyBorder="1" applyAlignment="1">
      <alignment horizontal="center" vertical="center" wrapText="1"/>
    </xf>
    <xf numFmtId="0" fontId="5" fillId="0" borderId="2" xfId="0" applyFont="1" applyBorder="1" applyAlignment="1">
      <alignment horizontal="center" vertical="center" wrapText="1"/>
    </xf>
    <xf numFmtId="0" fontId="5" fillId="0" borderId="2" xfId="0" applyFont="1" applyBorder="1" applyAlignment="1">
      <alignment horizontal="center" vertical="center"/>
    </xf>
    <xf numFmtId="166" fontId="5" fillId="0" borderId="0" xfId="4" applyNumberFormat="1" applyFont="1" applyAlignment="1">
      <alignment horizontal="center" vertical="center" wrapText="1"/>
    </xf>
    <xf numFmtId="0" fontId="4" fillId="0" borderId="10" xfId="3" applyFont="1" applyBorder="1" applyAlignment="1">
      <alignment horizontal="center" vertical="center"/>
    </xf>
    <xf numFmtId="0" fontId="4" fillId="0" borderId="10" xfId="3" applyFont="1" applyBorder="1" applyAlignment="1">
      <alignment horizontal="center" vertical="center" wrapText="1"/>
    </xf>
    <xf numFmtId="0" fontId="4" fillId="0" borderId="1" xfId="3" applyFont="1" applyBorder="1" applyAlignment="1">
      <alignment horizontal="center" vertical="center" wrapText="1"/>
    </xf>
    <xf numFmtId="0" fontId="4" fillId="20" borderId="2" xfId="3" applyFont="1" applyFill="1" applyBorder="1"/>
    <xf numFmtId="0" fontId="4" fillId="20" borderId="2" xfId="3" applyFont="1" applyFill="1" applyBorder="1" applyAlignment="1">
      <alignment vertical="center" wrapText="1"/>
    </xf>
    <xf numFmtId="0" fontId="4" fillId="0" borderId="2" xfId="3" applyFont="1" applyBorder="1" applyAlignment="1">
      <alignment wrapText="1"/>
    </xf>
    <xf numFmtId="43" fontId="4" fillId="0" borderId="2" xfId="1" applyFont="1" applyBorder="1" applyAlignment="1">
      <alignment wrapText="1"/>
    </xf>
    <xf numFmtId="168" fontId="4" fillId="0" borderId="2" xfId="4" applyNumberFormat="1" applyFont="1" applyBorder="1"/>
    <xf numFmtId="168" fontId="4" fillId="0" borderId="2" xfId="6" applyNumberFormat="1" applyFont="1" applyBorder="1"/>
    <xf numFmtId="0" fontId="4" fillId="0" borderId="2" xfId="3" quotePrefix="1" applyFont="1" applyBorder="1"/>
    <xf numFmtId="0" fontId="5" fillId="0" borderId="2" xfId="3" applyFont="1" applyBorder="1"/>
    <xf numFmtId="0" fontId="4" fillId="0" borderId="2" xfId="3" applyFont="1" applyBorder="1"/>
    <xf numFmtId="0" fontId="5" fillId="19" borderId="2" xfId="3" applyFont="1" applyFill="1" applyBorder="1"/>
    <xf numFmtId="166" fontId="5" fillId="0" borderId="2" xfId="4" applyNumberFormat="1" applyFont="1" applyBorder="1"/>
    <xf numFmtId="0" fontId="5" fillId="0" borderId="2" xfId="0" applyFont="1" applyBorder="1" applyAlignment="1">
      <alignment wrapText="1"/>
    </xf>
    <xf numFmtId="0" fontId="5" fillId="0" borderId="2" xfId="0" applyFont="1" applyBorder="1"/>
    <xf numFmtId="168" fontId="4" fillId="0" borderId="2" xfId="1" applyNumberFormat="1" applyFont="1" applyBorder="1"/>
    <xf numFmtId="0" fontId="4" fillId="21" borderId="2" xfId="3" applyFont="1" applyFill="1" applyBorder="1"/>
    <xf numFmtId="164" fontId="4" fillId="0" borderId="2" xfId="6" applyFont="1" applyBorder="1" applyAlignment="1">
      <alignment wrapText="1"/>
    </xf>
    <xf numFmtId="168" fontId="4" fillId="0" borderId="2" xfId="6" applyNumberFormat="1" applyFont="1" applyBorder="1" applyAlignment="1">
      <alignment wrapText="1"/>
    </xf>
    <xf numFmtId="0" fontId="4" fillId="0" borderId="9" xfId="3" applyFont="1" applyBorder="1" applyAlignment="1">
      <alignment wrapText="1"/>
    </xf>
    <xf numFmtId="166" fontId="5" fillId="0" borderId="0" xfId="6" applyNumberFormat="1" applyFont="1"/>
    <xf numFmtId="0" fontId="5" fillId="0" borderId="0" xfId="0" applyFont="1" applyAlignment="1">
      <alignment wrapText="1"/>
    </xf>
    <xf numFmtId="168" fontId="4" fillId="0" borderId="2" xfId="1" applyNumberFormat="1" applyFont="1" applyBorder="1" applyAlignment="1">
      <alignment wrapText="1"/>
    </xf>
    <xf numFmtId="43" fontId="4" fillId="0" borderId="2" xfId="1" applyFont="1" applyBorder="1"/>
    <xf numFmtId="0" fontId="4" fillId="20" borderId="2" xfId="3" applyFont="1" applyFill="1" applyBorder="1" applyAlignment="1">
      <alignment wrapText="1"/>
    </xf>
    <xf numFmtId="0" fontId="4" fillId="0" borderId="2" xfId="3" applyFont="1" applyBorder="1" applyAlignment="1">
      <alignment vertical="center" wrapText="1"/>
    </xf>
    <xf numFmtId="0" fontId="5" fillId="0" borderId="0" xfId="3" applyFont="1"/>
    <xf numFmtId="168" fontId="4" fillId="20" borderId="2" xfId="1" applyNumberFormat="1" applyFont="1" applyFill="1" applyBorder="1"/>
    <xf numFmtId="168" fontId="4" fillId="20" borderId="2" xfId="4" applyNumberFormat="1" applyFont="1" applyFill="1" applyBorder="1"/>
    <xf numFmtId="0" fontId="4" fillId="3" borderId="2" xfId="3" applyFont="1" applyFill="1" applyBorder="1"/>
    <xf numFmtId="43" fontId="4" fillId="0" borderId="2" xfId="1" applyFont="1" applyFill="1" applyBorder="1"/>
    <xf numFmtId="168" fontId="4" fillId="0" borderId="2" xfId="1" applyNumberFormat="1" applyFont="1" applyFill="1" applyBorder="1"/>
    <xf numFmtId="168" fontId="4" fillId="0" borderId="2" xfId="4" applyNumberFormat="1" applyFont="1" applyFill="1" applyBorder="1"/>
    <xf numFmtId="0" fontId="4" fillId="3" borderId="2" xfId="3" applyFont="1" applyFill="1" applyBorder="1" applyAlignment="1">
      <alignment vertical="center" wrapText="1"/>
    </xf>
    <xf numFmtId="164" fontId="4" fillId="0" borderId="2" xfId="4" applyNumberFormat="1" applyFont="1" applyBorder="1"/>
    <xf numFmtId="164" fontId="4" fillId="0" borderId="2" xfId="6" applyFont="1" applyBorder="1"/>
    <xf numFmtId="0" fontId="5" fillId="0" borderId="9" xfId="0" applyFont="1" applyBorder="1"/>
    <xf numFmtId="164" fontId="4" fillId="0" borderId="2" xfId="4" applyNumberFormat="1" applyFont="1" applyFill="1" applyBorder="1"/>
    <xf numFmtId="0" fontId="4" fillId="0" borderId="2" xfId="3" applyFont="1" applyBorder="1" applyAlignment="1">
      <alignment horizontal="left"/>
    </xf>
    <xf numFmtId="164" fontId="4" fillId="0" borderId="2" xfId="4" applyNumberFormat="1" applyFont="1" applyBorder="1" applyAlignment="1">
      <alignment wrapText="1"/>
    </xf>
    <xf numFmtId="0" fontId="11" fillId="20" borderId="2" xfId="3" applyFont="1" applyFill="1" applyBorder="1"/>
    <xf numFmtId="164" fontId="4" fillId="0" borderId="2" xfId="6" applyFont="1" applyFill="1" applyBorder="1"/>
    <xf numFmtId="164" fontId="4" fillId="20" borderId="2" xfId="4" applyNumberFormat="1" applyFont="1" applyFill="1" applyBorder="1" applyAlignment="1">
      <alignment wrapText="1"/>
    </xf>
    <xf numFmtId="168" fontId="4" fillId="0" borderId="2" xfId="4" applyNumberFormat="1" applyFont="1" applyBorder="1" applyAlignment="1">
      <alignment wrapText="1"/>
    </xf>
    <xf numFmtId="0" fontId="4" fillId="0" borderId="2" xfId="3" applyFont="1" applyBorder="1" applyAlignment="1">
      <alignment horizontal="left" wrapText="1"/>
    </xf>
    <xf numFmtId="43" fontId="4" fillId="20" borderId="2" xfId="1" applyFont="1" applyFill="1" applyBorder="1"/>
    <xf numFmtId="0" fontId="5" fillId="0" borderId="2" xfId="3" applyFont="1" applyBorder="1" applyAlignment="1">
      <alignment vertical="center" wrapText="1"/>
    </xf>
    <xf numFmtId="0" fontId="12" fillId="0" borderId="2" xfId="3" applyFont="1" applyBorder="1" applyAlignment="1">
      <alignment vertical="center" wrapText="1"/>
    </xf>
    <xf numFmtId="0" fontId="4" fillId="0" borderId="2" xfId="3" applyFont="1" applyBorder="1" applyAlignment="1">
      <alignment horizontal="left" vertical="center" wrapText="1"/>
    </xf>
    <xf numFmtId="0" fontId="5" fillId="0" borderId="2" xfId="3" applyFont="1" applyBorder="1" applyAlignment="1">
      <alignment wrapText="1"/>
    </xf>
    <xf numFmtId="0" fontId="5" fillId="3" borderId="2" xfId="3" applyFont="1" applyFill="1" applyBorder="1"/>
    <xf numFmtId="43" fontId="4" fillId="3" borderId="2" xfId="1" applyFont="1" applyFill="1" applyBorder="1"/>
    <xf numFmtId="168" fontId="4" fillId="3" borderId="2" xfId="1" applyNumberFormat="1" applyFont="1" applyFill="1" applyBorder="1"/>
    <xf numFmtId="0" fontId="4" fillId="3" borderId="2" xfId="3" applyFont="1" applyFill="1" applyBorder="1" applyAlignment="1">
      <alignment wrapText="1"/>
    </xf>
    <xf numFmtId="166" fontId="5" fillId="3" borderId="2" xfId="4" applyNumberFormat="1" applyFont="1" applyFill="1" applyBorder="1"/>
    <xf numFmtId="0" fontId="5" fillId="3" borderId="2" xfId="0" applyFont="1" applyFill="1" applyBorder="1" applyAlignment="1">
      <alignment wrapText="1"/>
    </xf>
    <xf numFmtId="0" fontId="5" fillId="3" borderId="2" xfId="0" applyFont="1" applyFill="1" applyBorder="1"/>
    <xf numFmtId="0" fontId="5" fillId="3" borderId="0" xfId="0" applyFont="1" applyFill="1"/>
    <xf numFmtId="0" fontId="5" fillId="0" borderId="1" xfId="3" applyFont="1" applyBorder="1"/>
    <xf numFmtId="168" fontId="4" fillId="0" borderId="1" xfId="1" applyNumberFormat="1" applyFont="1" applyBorder="1"/>
    <xf numFmtId="0" fontId="4" fillId="0" borderId="1" xfId="3" applyFont="1" applyBorder="1" applyAlignment="1">
      <alignment wrapText="1"/>
    </xf>
    <xf numFmtId="0" fontId="5" fillId="0" borderId="9" xfId="3" applyFont="1" applyBorder="1"/>
    <xf numFmtId="0" fontId="5" fillId="0" borderId="11" xfId="3" applyFont="1" applyBorder="1"/>
    <xf numFmtId="0" fontId="4" fillId="0" borderId="11" xfId="3" applyFont="1" applyBorder="1"/>
    <xf numFmtId="168" fontId="4" fillId="0" borderId="11" xfId="1" applyNumberFormat="1" applyFont="1" applyBorder="1"/>
    <xf numFmtId="0" fontId="4" fillId="0" borderId="11" xfId="3" applyFont="1" applyBorder="1" applyAlignment="1">
      <alignment wrapText="1"/>
    </xf>
    <xf numFmtId="166" fontId="5" fillId="0" borderId="2" xfId="4" applyNumberFormat="1" applyFont="1" applyBorder="1" applyAlignment="1">
      <alignment wrapText="1"/>
    </xf>
    <xf numFmtId="166" fontId="5" fillId="0" borderId="2" xfId="1" applyNumberFormat="1" applyFont="1" applyBorder="1"/>
    <xf numFmtId="0" fontId="12" fillId="0" borderId="2" xfId="7" applyFont="1" applyBorder="1"/>
    <xf numFmtId="0" fontId="12" fillId="0" borderId="2" xfId="7" applyFont="1" applyBorder="1" applyAlignment="1">
      <alignment wrapText="1"/>
    </xf>
    <xf numFmtId="2" fontId="12" fillId="0" borderId="2" xfId="7" applyNumberFormat="1" applyFont="1" applyBorder="1"/>
    <xf numFmtId="166" fontId="5" fillId="0" borderId="2" xfId="4" applyNumberFormat="1" applyFont="1" applyFill="1" applyBorder="1"/>
    <xf numFmtId="166" fontId="5" fillId="0" borderId="0" xfId="4" applyNumberFormat="1" applyFont="1"/>
    <xf numFmtId="0" fontId="14" fillId="0" borderId="0" xfId="0" applyFont="1"/>
    <xf numFmtId="0" fontId="15" fillId="0" borderId="2" xfId="0" applyFont="1" applyBorder="1" applyAlignment="1">
      <alignment wrapText="1"/>
    </xf>
    <xf numFmtId="0" fontId="5" fillId="0" borderId="1" xfId="0" applyFont="1" applyBorder="1"/>
    <xf numFmtId="0" fontId="5" fillId="0" borderId="8" xfId="0" applyFont="1" applyBorder="1"/>
    <xf numFmtId="0" fontId="5" fillId="0" borderId="11" xfId="0" applyFont="1" applyBorder="1"/>
    <xf numFmtId="0" fontId="16" fillId="0" borderId="2" xfId="0" applyFont="1" applyBorder="1" applyAlignment="1">
      <alignment horizontal="left"/>
    </xf>
    <xf numFmtId="0" fontId="0" fillId="0" borderId="2" xfId="0" applyBorder="1"/>
    <xf numFmtId="169" fontId="5" fillId="0" borderId="2" xfId="0" applyNumberFormat="1" applyFont="1" applyBorder="1"/>
    <xf numFmtId="0" fontId="17" fillId="20" borderId="9" xfId="0" applyFont="1" applyFill="1" applyBorder="1" applyAlignment="1">
      <alignment vertical="center" wrapText="1"/>
    </xf>
    <xf numFmtId="9" fontId="17" fillId="19" borderId="9" xfId="0" applyNumberFormat="1" applyFont="1" applyFill="1" applyBorder="1" applyAlignment="1">
      <alignment vertical="center" wrapText="1"/>
    </xf>
    <xf numFmtId="0" fontId="17" fillId="20" borderId="9" xfId="0" applyFont="1" applyFill="1" applyBorder="1" applyAlignment="1">
      <alignment vertical="center"/>
    </xf>
    <xf numFmtId="9" fontId="17" fillId="19" borderId="9" xfId="0" applyNumberFormat="1" applyFont="1" applyFill="1" applyBorder="1" applyAlignment="1">
      <alignment vertical="center"/>
    </xf>
    <xf numFmtId="9" fontId="17" fillId="0" borderId="0" xfId="0" applyNumberFormat="1" applyFont="1" applyAlignment="1">
      <alignment vertical="center"/>
    </xf>
    <xf numFmtId="0" fontId="17" fillId="20" borderId="2" xfId="0" applyFont="1" applyFill="1" applyBorder="1" applyAlignment="1">
      <alignment horizontal="center" vertical="center"/>
    </xf>
    <xf numFmtId="0" fontId="17" fillId="20" borderId="2" xfId="0" applyFont="1" applyFill="1" applyBorder="1" applyAlignment="1">
      <alignment horizontal="left" vertical="center"/>
    </xf>
    <xf numFmtId="9" fontId="17" fillId="19" borderId="0" xfId="0" applyNumberFormat="1" applyFont="1" applyFill="1" applyAlignment="1">
      <alignment vertical="center" wrapText="1"/>
    </xf>
    <xf numFmtId="9" fontId="17" fillId="19" borderId="0" xfId="0" applyNumberFormat="1" applyFont="1" applyFill="1" applyAlignment="1">
      <alignment vertical="center"/>
    </xf>
    <xf numFmtId="9" fontId="5" fillId="19" borderId="0" xfId="0" applyNumberFormat="1" applyFont="1" applyFill="1"/>
    <xf numFmtId="9" fontId="5" fillId="19" borderId="0" xfId="6" applyNumberFormat="1" applyFont="1" applyFill="1"/>
    <xf numFmtId="9" fontId="5" fillId="0" borderId="0" xfId="6" applyNumberFormat="1" applyFont="1" applyFill="1"/>
    <xf numFmtId="166" fontId="5" fillId="0" borderId="2" xfId="6" applyNumberFormat="1" applyFont="1" applyBorder="1"/>
    <xf numFmtId="0" fontId="5" fillId="19" borderId="2" xfId="3" applyFont="1" applyFill="1" applyBorder="1" applyAlignment="1">
      <alignment wrapText="1"/>
    </xf>
    <xf numFmtId="43" fontId="4" fillId="0" borderId="11" xfId="1" applyFont="1" applyBorder="1"/>
    <xf numFmtId="0" fontId="5" fillId="0" borderId="11" xfId="0" applyFont="1" applyBorder="1" applyAlignment="1">
      <alignment wrapText="1"/>
    </xf>
    <xf numFmtId="0" fontId="4" fillId="20" borderId="11" xfId="3" applyFont="1" applyFill="1" applyBorder="1"/>
    <xf numFmtId="0" fontId="5" fillId="0" borderId="10" xfId="0" applyFont="1" applyBorder="1"/>
    <xf numFmtId="0" fontId="5" fillId="0" borderId="1" xfId="0" applyFont="1" applyBorder="1" applyAlignment="1">
      <alignment wrapText="1"/>
    </xf>
    <xf numFmtId="0" fontId="5" fillId="0" borderId="5" xfId="0" applyFont="1" applyBorder="1"/>
    <xf numFmtId="43" fontId="4" fillId="0" borderId="0" xfId="1" applyFont="1" applyBorder="1"/>
    <xf numFmtId="168" fontId="4" fillId="0" borderId="0" xfId="4" applyNumberFormat="1" applyFont="1" applyBorder="1"/>
    <xf numFmtId="168" fontId="4" fillId="0" borderId="0" xfId="1" applyNumberFormat="1" applyFont="1" applyBorder="1"/>
    <xf numFmtId="168" fontId="4" fillId="0" borderId="10" xfId="1" applyNumberFormat="1" applyFont="1" applyBorder="1"/>
    <xf numFmtId="168" fontId="4" fillId="0" borderId="8" xfId="1" applyNumberFormat="1" applyFont="1" applyBorder="1"/>
    <xf numFmtId="0" fontId="0" fillId="3" borderId="2" xfId="0" applyFill="1" applyBorder="1"/>
    <xf numFmtId="168" fontId="4" fillId="0" borderId="8" xfId="4" applyNumberFormat="1" applyFont="1" applyBorder="1"/>
    <xf numFmtId="168" fontId="4" fillId="0" borderId="4" xfId="4" applyNumberFormat="1" applyFont="1" applyBorder="1"/>
    <xf numFmtId="168" fontId="4" fillId="0" borderId="1" xfId="4" applyNumberFormat="1" applyFont="1" applyBorder="1"/>
    <xf numFmtId="0" fontId="0" fillId="0" borderId="1" xfId="0" applyBorder="1"/>
    <xf numFmtId="0" fontId="4" fillId="20" borderId="1" xfId="3" applyFont="1" applyFill="1" applyBorder="1" applyAlignment="1">
      <alignment vertical="center" wrapText="1"/>
    </xf>
    <xf numFmtId="0" fontId="5" fillId="0" borderId="12" xfId="0" applyFont="1" applyBorder="1"/>
    <xf numFmtId="0" fontId="17" fillId="20" borderId="12" xfId="0" applyFont="1" applyFill="1" applyBorder="1" applyAlignment="1">
      <alignment vertical="center" wrapText="1"/>
    </xf>
    <xf numFmtId="0" fontId="17" fillId="20" borderId="12" xfId="0" applyFont="1" applyFill="1" applyBorder="1" applyAlignment="1">
      <alignment vertical="center"/>
    </xf>
    <xf numFmtId="0" fontId="17" fillId="20" borderId="1" xfId="0" applyFont="1" applyFill="1" applyBorder="1" applyAlignment="1">
      <alignment horizontal="center" vertical="center"/>
    </xf>
    <xf numFmtId="0" fontId="17" fillId="20" borderId="1" xfId="0" applyFont="1" applyFill="1" applyBorder="1" applyAlignment="1">
      <alignment horizontal="left" vertical="center"/>
    </xf>
    <xf numFmtId="0" fontId="17" fillId="20" borderId="2" xfId="0" applyFont="1" applyFill="1" applyBorder="1" applyAlignment="1">
      <alignment vertical="center" wrapText="1"/>
    </xf>
    <xf numFmtId="9" fontId="5" fillId="19" borderId="2" xfId="0" applyNumberFormat="1" applyFont="1" applyFill="1" applyBorder="1"/>
    <xf numFmtId="0" fontId="17" fillId="20" borderId="2" xfId="0" applyFont="1" applyFill="1" applyBorder="1" applyAlignment="1">
      <alignment vertical="center"/>
    </xf>
    <xf numFmtId="9" fontId="5" fillId="19" borderId="2" xfId="6" applyNumberFormat="1" applyFont="1" applyFill="1" applyBorder="1"/>
    <xf numFmtId="9" fontId="5" fillId="0" borderId="2" xfId="6" applyNumberFormat="1" applyFont="1" applyFill="1" applyBorder="1"/>
    <xf numFmtId="0" fontId="18" fillId="0" borderId="11" xfId="0" applyFont="1" applyBorder="1" applyAlignment="1">
      <alignment wrapText="1"/>
    </xf>
    <xf numFmtId="168" fontId="4" fillId="0" borderId="11" xfId="4" applyNumberFormat="1" applyFont="1" applyBorder="1"/>
    <xf numFmtId="168" fontId="4" fillId="3" borderId="8" xfId="4" applyNumberFormat="1" applyFont="1" applyFill="1" applyBorder="1"/>
    <xf numFmtId="0" fontId="0" fillId="0" borderId="11" xfId="0" applyBorder="1"/>
    <xf numFmtId="0" fontId="4" fillId="20" borderId="11" xfId="3" applyFont="1" applyFill="1" applyBorder="1" applyAlignment="1">
      <alignment vertical="center" wrapText="1"/>
    </xf>
    <xf numFmtId="170" fontId="4" fillId="0" borderId="2" xfId="4" applyNumberFormat="1" applyFont="1" applyBorder="1"/>
    <xf numFmtId="171" fontId="5" fillId="19" borderId="2" xfId="6" applyNumberFormat="1" applyFont="1" applyFill="1" applyBorder="1"/>
    <xf numFmtId="0" fontId="5" fillId="0" borderId="8" xfId="0" applyFont="1" applyBorder="1" applyAlignment="1">
      <alignment wrapText="1"/>
    </xf>
    <xf numFmtId="166" fontId="5" fillId="0" borderId="2" xfId="6" applyNumberFormat="1" applyFont="1" applyBorder="1" applyAlignment="1">
      <alignment wrapText="1"/>
    </xf>
    <xf numFmtId="0" fontId="5" fillId="3" borderId="9" xfId="0" applyFont="1" applyFill="1" applyBorder="1"/>
    <xf numFmtId="43" fontId="4" fillId="3" borderId="2" xfId="1" applyFont="1" applyFill="1" applyBorder="1" applyAlignment="1">
      <alignment wrapText="1"/>
    </xf>
    <xf numFmtId="168" fontId="4" fillId="3" borderId="2" xfId="4" applyNumberFormat="1" applyFont="1" applyFill="1" applyBorder="1"/>
    <xf numFmtId="166" fontId="5" fillId="3" borderId="2" xfId="6" applyNumberFormat="1" applyFont="1" applyFill="1" applyBorder="1"/>
    <xf numFmtId="0" fontId="17" fillId="3" borderId="2" xfId="0" applyFont="1" applyFill="1" applyBorder="1" applyAlignment="1">
      <alignment vertical="center" wrapText="1"/>
    </xf>
    <xf numFmtId="9" fontId="5" fillId="3" borderId="2" xfId="0" applyNumberFormat="1" applyFont="1" applyFill="1" applyBorder="1"/>
    <xf numFmtId="0" fontId="17" fillId="3" borderId="2" xfId="0" applyFont="1" applyFill="1" applyBorder="1" applyAlignment="1">
      <alignment vertical="center"/>
    </xf>
    <xf numFmtId="9" fontId="5" fillId="3" borderId="2" xfId="6" applyNumberFormat="1" applyFont="1" applyFill="1" applyBorder="1"/>
    <xf numFmtId="0" fontId="17" fillId="3" borderId="2" xfId="0" applyFont="1" applyFill="1" applyBorder="1" applyAlignment="1">
      <alignment horizontal="center" vertical="center"/>
    </xf>
    <xf numFmtId="0" fontId="17" fillId="3" borderId="2" xfId="0" applyFont="1" applyFill="1" applyBorder="1" applyAlignment="1">
      <alignment horizontal="left" vertical="center"/>
    </xf>
    <xf numFmtId="171" fontId="5" fillId="3" borderId="2" xfId="6" applyNumberFormat="1" applyFont="1" applyFill="1" applyBorder="1"/>
    <xf numFmtId="0" fontId="4" fillId="20" borderId="9" xfId="3" applyFont="1" applyFill="1" applyBorder="1" applyAlignment="1">
      <alignment vertical="center" wrapText="1"/>
    </xf>
    <xf numFmtId="0" fontId="19" fillId="0" borderId="2" xfId="0" applyFont="1" applyBorder="1"/>
    <xf numFmtId="37" fontId="4" fillId="0" borderId="2" xfId="4" applyNumberFormat="1" applyFont="1" applyBorder="1"/>
    <xf numFmtId="0" fontId="5" fillId="0" borderId="2" xfId="0" applyFont="1" applyBorder="1" applyAlignment="1">
      <alignment horizontal="right"/>
    </xf>
    <xf numFmtId="0" fontId="0" fillId="0" borderId="2" xfId="0" applyBorder="1" applyAlignment="1">
      <alignment vertical="center"/>
    </xf>
    <xf numFmtId="0" fontId="20" fillId="22" borderId="2" xfId="0" applyFont="1" applyFill="1" applyBorder="1" applyAlignment="1">
      <alignment horizontal="left" wrapText="1"/>
    </xf>
    <xf numFmtId="0" fontId="20" fillId="22" borderId="11" xfId="0" applyFont="1" applyFill="1" applyBorder="1" applyAlignment="1">
      <alignment horizontal="left" wrapText="1"/>
    </xf>
    <xf numFmtId="0" fontId="21" fillId="0" borderId="0" xfId="0" applyFont="1"/>
    <xf numFmtId="0" fontId="0" fillId="0" borderId="10" xfId="0" applyBorder="1"/>
    <xf numFmtId="0" fontId="4" fillId="20" borderId="0" xfId="3" applyFont="1" applyFill="1" applyAlignment="1">
      <alignment vertical="center" wrapText="1"/>
    </xf>
    <xf numFmtId="0" fontId="4" fillId="20" borderId="0" xfId="3" applyFont="1" applyFill="1"/>
    <xf numFmtId="43" fontId="4" fillId="0" borderId="0" xfId="1" applyFont="1" applyBorder="1" applyAlignment="1">
      <alignment wrapText="1"/>
    </xf>
    <xf numFmtId="0" fontId="5" fillId="19" borderId="0" xfId="3" applyFont="1" applyFill="1"/>
    <xf numFmtId="166" fontId="5" fillId="0" borderId="0" xfId="6" applyNumberFormat="1" applyFont="1" applyBorder="1"/>
    <xf numFmtId="0" fontId="17" fillId="20" borderId="0" xfId="0" applyFont="1" applyFill="1" applyAlignment="1">
      <alignment vertical="center" wrapText="1"/>
    </xf>
    <xf numFmtId="0" fontId="17" fillId="20" borderId="0" xfId="0" applyFont="1" applyFill="1" applyAlignment="1">
      <alignment vertical="center"/>
    </xf>
    <xf numFmtId="9" fontId="5" fillId="19" borderId="0" xfId="6" applyNumberFormat="1" applyFont="1" applyFill="1" applyBorder="1"/>
    <xf numFmtId="9" fontId="5" fillId="0" borderId="0" xfId="6" applyNumberFormat="1" applyFont="1" applyFill="1" applyBorder="1"/>
    <xf numFmtId="0" fontId="17" fillId="20" borderId="0" xfId="0" applyFont="1" applyFill="1" applyAlignment="1">
      <alignment horizontal="center" vertical="center"/>
    </xf>
    <xf numFmtId="0" fontId="17" fillId="20" borderId="0" xfId="0" applyFont="1" applyFill="1" applyAlignment="1">
      <alignment horizontal="left" vertical="center"/>
    </xf>
    <xf numFmtId="2" fontId="5" fillId="19" borderId="0" xfId="0" applyNumberFormat="1" applyFont="1" applyFill="1"/>
    <xf numFmtId="0" fontId="5" fillId="19" borderId="0" xfId="0" applyFont="1" applyFill="1"/>
    <xf numFmtId="2" fontId="5" fillId="19" borderId="2" xfId="0" applyNumberFormat="1" applyFont="1" applyFill="1" applyBorder="1"/>
    <xf numFmtId="0" fontId="5" fillId="19" borderId="2" xfId="0" applyFont="1" applyFill="1" applyBorder="1"/>
    <xf numFmtId="9" fontId="17" fillId="0" borderId="2" xfId="0" applyNumberFormat="1" applyFont="1" applyBorder="1" applyAlignment="1">
      <alignment vertical="center"/>
    </xf>
    <xf numFmtId="0" fontId="17" fillId="20" borderId="13" xfId="0" applyFont="1" applyFill="1" applyBorder="1" applyAlignment="1">
      <alignment vertical="center"/>
    </xf>
    <xf numFmtId="0" fontId="17" fillId="20" borderId="3" xfId="0" applyFont="1" applyFill="1" applyBorder="1" applyAlignment="1">
      <alignment vertical="center" wrapText="1"/>
    </xf>
    <xf numFmtId="0" fontId="17" fillId="20" borderId="6" xfId="0" applyFont="1" applyFill="1" applyBorder="1" applyAlignment="1">
      <alignment vertical="center" wrapText="1"/>
    </xf>
    <xf numFmtId="0" fontId="17" fillId="20" borderId="8" xfId="0" applyFont="1" applyFill="1" applyBorder="1" applyAlignment="1">
      <alignment vertical="center"/>
    </xf>
    <xf numFmtId="0" fontId="17" fillId="3" borderId="9" xfId="0" applyFont="1" applyFill="1" applyBorder="1" applyAlignment="1">
      <alignment vertical="center"/>
    </xf>
    <xf numFmtId="0" fontId="17" fillId="3" borderId="13" xfId="0" applyFont="1" applyFill="1" applyBorder="1" applyAlignment="1">
      <alignment vertical="center"/>
    </xf>
    <xf numFmtId="0" fontId="17" fillId="3" borderId="8" xfId="0" applyFont="1" applyFill="1" applyBorder="1" applyAlignment="1">
      <alignment vertical="center"/>
    </xf>
    <xf numFmtId="2" fontId="5" fillId="3" borderId="2" xfId="0" applyNumberFormat="1" applyFont="1" applyFill="1" applyBorder="1"/>
    <xf numFmtId="9" fontId="17" fillId="3" borderId="2" xfId="0" applyNumberFormat="1" applyFont="1" applyFill="1" applyBorder="1" applyAlignment="1">
      <alignment vertical="center"/>
    </xf>
    <xf numFmtId="0" fontId="17" fillId="3" borderId="0" xfId="0" applyFont="1" applyFill="1" applyAlignment="1">
      <alignment vertical="center" wrapText="1"/>
    </xf>
    <xf numFmtId="0" fontId="22" fillId="19" borderId="13" xfId="0" applyFont="1" applyFill="1" applyBorder="1" applyAlignment="1">
      <alignment vertical="center" wrapText="1"/>
    </xf>
    <xf numFmtId="0" fontId="22" fillId="19" borderId="2" xfId="0" applyFont="1" applyFill="1" applyBorder="1" applyAlignment="1">
      <alignment vertical="center" wrapText="1"/>
    </xf>
    <xf numFmtId="0" fontId="17" fillId="20" borderId="5" xfId="0" applyFont="1" applyFill="1" applyBorder="1" applyAlignment="1">
      <alignment vertical="center"/>
    </xf>
    <xf numFmtId="0" fontId="17" fillId="3" borderId="6" xfId="0" applyFont="1" applyFill="1" applyBorder="1" applyAlignment="1">
      <alignment vertical="center" wrapText="1"/>
    </xf>
    <xf numFmtId="0" fontId="17" fillId="20" borderId="14" xfId="0" applyFont="1" applyFill="1" applyBorder="1" applyAlignment="1">
      <alignment vertical="center" wrapText="1"/>
    </xf>
    <xf numFmtId="0" fontId="17" fillId="20" borderId="5" xfId="0" applyFont="1" applyFill="1" applyBorder="1" applyAlignment="1">
      <alignment vertical="center" wrapText="1"/>
    </xf>
    <xf numFmtId="9" fontId="5" fillId="19" borderId="2" xfId="2" applyFont="1" applyFill="1" applyBorder="1"/>
    <xf numFmtId="0" fontId="5" fillId="23" borderId="2" xfId="0" applyFont="1" applyFill="1" applyBorder="1"/>
    <xf numFmtId="0" fontId="17" fillId="23" borderId="9" xfId="0" applyFont="1" applyFill="1" applyBorder="1" applyAlignment="1">
      <alignment vertical="center"/>
    </xf>
    <xf numFmtId="0" fontId="17" fillId="23" borderId="13" xfId="0" applyFont="1" applyFill="1" applyBorder="1" applyAlignment="1">
      <alignment vertical="center"/>
    </xf>
    <xf numFmtId="0" fontId="17" fillId="23" borderId="8" xfId="0" applyFont="1" applyFill="1" applyBorder="1" applyAlignment="1">
      <alignment vertical="center"/>
    </xf>
    <xf numFmtId="0" fontId="5" fillId="23" borderId="2" xfId="0" applyFont="1" applyFill="1" applyBorder="1" applyAlignment="1">
      <alignment wrapText="1"/>
    </xf>
    <xf numFmtId="2" fontId="5" fillId="23" borderId="2" xfId="0" applyNumberFormat="1" applyFont="1" applyFill="1" applyBorder="1"/>
    <xf numFmtId="166" fontId="5" fillId="23" borderId="2" xfId="6" applyNumberFormat="1" applyFont="1" applyFill="1" applyBorder="1"/>
    <xf numFmtId="0" fontId="17" fillId="23" borderId="6" xfId="0" applyFont="1" applyFill="1" applyBorder="1" applyAlignment="1">
      <alignment vertical="center" wrapText="1"/>
    </xf>
    <xf numFmtId="0" fontId="5" fillId="23" borderId="0" xfId="0" applyFont="1" applyFill="1"/>
    <xf numFmtId="9" fontId="5" fillId="3" borderId="2" xfId="2" applyFont="1" applyFill="1" applyBorder="1"/>
    <xf numFmtId="0" fontId="17" fillId="0" borderId="2" xfId="0" applyFont="1" applyBorder="1" applyAlignment="1">
      <alignment vertical="center" wrapText="1"/>
    </xf>
    <xf numFmtId="0" fontId="17" fillId="0" borderId="6" xfId="0" applyFont="1" applyBorder="1" applyAlignment="1">
      <alignment vertical="center" wrapText="1"/>
    </xf>
    <xf numFmtId="0" fontId="23" fillId="0" borderId="0" xfId="0" applyFont="1"/>
    <xf numFmtId="0" fontId="24" fillId="19" borderId="2" xfId="0" applyFont="1" applyFill="1" applyBorder="1" applyAlignment="1">
      <alignment vertical="center"/>
    </xf>
    <xf numFmtId="0" fontId="22" fillId="19" borderId="2" xfId="0" applyFont="1" applyFill="1" applyBorder="1" applyAlignment="1">
      <alignment vertical="center"/>
    </xf>
    <xf numFmtId="0" fontId="5" fillId="3" borderId="0" xfId="0" applyFont="1" applyFill="1" applyAlignment="1">
      <alignment wrapText="1"/>
    </xf>
    <xf numFmtId="2" fontId="5" fillId="3" borderId="0" xfId="0" applyNumberFormat="1" applyFont="1" applyFill="1"/>
    <xf numFmtId="166" fontId="5" fillId="3" borderId="0" xfId="6" applyNumberFormat="1" applyFont="1" applyFill="1" applyBorder="1"/>
    <xf numFmtId="0" fontId="5" fillId="10" borderId="0" xfId="0" applyFont="1" applyFill="1"/>
    <xf numFmtId="0" fontId="5" fillId="10" borderId="0" xfId="0" applyFont="1" applyFill="1" applyAlignment="1">
      <alignment wrapText="1"/>
    </xf>
    <xf numFmtId="2" fontId="5" fillId="10" borderId="0" xfId="0" applyNumberFormat="1" applyFont="1" applyFill="1"/>
    <xf numFmtId="166" fontId="5" fillId="10" borderId="0" xfId="4" applyNumberFormat="1" applyFont="1" applyFill="1"/>
    <xf numFmtId="0" fontId="17" fillId="10" borderId="2" xfId="0" applyFont="1" applyFill="1" applyBorder="1" applyAlignment="1">
      <alignment vertical="center" wrapText="1"/>
    </xf>
    <xf numFmtId="9" fontId="5" fillId="10" borderId="2" xfId="0" applyNumberFormat="1" applyFont="1" applyFill="1" applyBorder="1"/>
    <xf numFmtId="0" fontId="17" fillId="10" borderId="2" xfId="0" applyFont="1" applyFill="1" applyBorder="1" applyAlignment="1">
      <alignment vertical="center"/>
    </xf>
    <xf numFmtId="9" fontId="5" fillId="10" borderId="2" xfId="6" applyNumberFormat="1" applyFont="1" applyFill="1" applyBorder="1"/>
    <xf numFmtId="0" fontId="17" fillId="10" borderId="2" xfId="0" applyFont="1" applyFill="1" applyBorder="1" applyAlignment="1">
      <alignment horizontal="center" vertical="center"/>
    </xf>
    <xf numFmtId="0" fontId="5" fillId="10" borderId="2" xfId="0" applyFont="1" applyFill="1" applyBorder="1"/>
    <xf numFmtId="0" fontId="17" fillId="10" borderId="2" xfId="0" applyFont="1" applyFill="1" applyBorder="1" applyAlignment="1">
      <alignment horizontal="left" vertical="center" wrapText="1"/>
    </xf>
    <xf numFmtId="9" fontId="5" fillId="3" borderId="9" xfId="6" applyNumberFormat="1" applyFont="1" applyFill="1" applyBorder="1"/>
    <xf numFmtId="0" fontId="23" fillId="0" borderId="2" xfId="0" applyFont="1" applyBorder="1"/>
    <xf numFmtId="9" fontId="5" fillId="0" borderId="2" xfId="0" applyNumberFormat="1" applyFont="1" applyBorder="1"/>
    <xf numFmtId="0" fontId="22" fillId="19" borderId="9" xfId="0" applyFont="1" applyFill="1" applyBorder="1" applyAlignment="1">
      <alignment vertical="center"/>
    </xf>
    <xf numFmtId="0" fontId="25" fillId="0" borderId="0" xfId="0" applyFont="1" applyAlignment="1">
      <alignment vertical="center"/>
    </xf>
    <xf numFmtId="0" fontId="25" fillId="0" borderId="2" xfId="0" applyFont="1" applyBorder="1" applyAlignment="1">
      <alignment vertical="center"/>
    </xf>
    <xf numFmtId="172" fontId="16" fillId="0" borderId="2" xfId="0" applyNumberFormat="1" applyFont="1" applyBorder="1" applyAlignment="1">
      <alignment horizontal="left" vertical="center"/>
    </xf>
    <xf numFmtId="0" fontId="16" fillId="0" borderId="2" xfId="0" applyFont="1" applyBorder="1" applyAlignment="1">
      <alignment horizontal="left" wrapText="1"/>
    </xf>
    <xf numFmtId="166" fontId="26" fillId="6" borderId="2" xfId="0" applyNumberFormat="1" applyFont="1" applyFill="1" applyBorder="1" applyAlignment="1">
      <alignment wrapText="1"/>
    </xf>
    <xf numFmtId="0" fontId="16" fillId="0" borderId="1" xfId="0" applyFont="1" applyBorder="1" applyAlignment="1">
      <alignment horizontal="left"/>
    </xf>
    <xf numFmtId="0" fontId="16" fillId="0" borderId="11" xfId="0" applyFont="1" applyBorder="1" applyAlignment="1">
      <alignment horizontal="left"/>
    </xf>
    <xf numFmtId="0" fontId="2" fillId="0" borderId="0" xfId="0" applyFont="1" applyAlignment="1">
      <alignment horizontal="center" vertical="center"/>
    </xf>
    <xf numFmtId="0" fontId="17" fillId="0" borderId="2" xfId="3" applyFont="1" applyBorder="1" applyAlignment="1">
      <alignment horizontal="center" wrapText="1"/>
    </xf>
    <xf numFmtId="0" fontId="2" fillId="0" borderId="0" xfId="0" applyFont="1" applyAlignment="1">
      <alignment horizontal="center"/>
    </xf>
    <xf numFmtId="0" fontId="21" fillId="0" borderId="2" xfId="0" applyFont="1" applyBorder="1"/>
    <xf numFmtId="0" fontId="2" fillId="0" borderId="2" xfId="0" applyFont="1" applyBorder="1" applyAlignment="1">
      <alignment horizontal="center"/>
    </xf>
    <xf numFmtId="0" fontId="6" fillId="0" borderId="2" xfId="3" applyFont="1" applyBorder="1" applyAlignment="1">
      <alignment horizontal="center" vertical="center"/>
    </xf>
    <xf numFmtId="0" fontId="6" fillId="0" borderId="2" xfId="3" applyFont="1" applyBorder="1" applyAlignment="1">
      <alignment horizontal="center" vertical="center" wrapText="1"/>
    </xf>
    <xf numFmtId="0" fontId="6" fillId="5" borderId="3" xfId="3"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2" fontId="5" fillId="8" borderId="5" xfId="3" applyNumberFormat="1" applyFont="1" applyFill="1" applyBorder="1" applyAlignment="1">
      <alignment horizontal="center" vertical="center"/>
    </xf>
    <xf numFmtId="2" fontId="5" fillId="8" borderId="6" xfId="3" applyNumberFormat="1" applyFont="1" applyFill="1" applyBorder="1" applyAlignment="1">
      <alignment horizontal="center" vertical="center"/>
    </xf>
    <xf numFmtId="166" fontId="5" fillId="0" borderId="0" xfId="4" applyNumberFormat="1" applyFont="1" applyAlignment="1">
      <alignment horizontal="center" vertical="center"/>
    </xf>
    <xf numFmtId="0" fontId="0" fillId="20" borderId="2" xfId="0" applyFill="1" applyBorder="1"/>
  </cellXfs>
  <cellStyles count="8">
    <cellStyle name="Comma" xfId="1" builtinId="3"/>
    <cellStyle name="Comma 2" xfId="6" xr:uid="{00000000-0005-0000-0000-000001000000}"/>
    <cellStyle name="Comma 2 2 2 2" xfId="4" xr:uid="{00000000-0005-0000-0000-000002000000}"/>
    <cellStyle name="Comma 3 2" xfId="5" xr:uid="{00000000-0005-0000-0000-000003000000}"/>
    <cellStyle name="Normal" xfId="0" builtinId="0"/>
    <cellStyle name="Normal 2 2 2" xfId="3" xr:uid="{00000000-0005-0000-0000-000005000000}"/>
    <cellStyle name="Normal 5 2" xfId="7" xr:uid="{00000000-0005-0000-0000-000006000000}"/>
    <cellStyle name="Percent" xfId="2" builtinId="5"/>
  </cellStyles>
  <dxfs count="2">
    <dxf>
      <font>
        <color rgb="FF9C0006"/>
      </font>
      <fill>
        <patternFill>
          <bgColor rgb="FFFFC7CE"/>
        </patternFill>
      </fill>
    </dxf>
    <dxf>
      <font>
        <color rgb="FF9C65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ocuments\Zalo%20Received%20Files\g&#7917;i%20H&#432;&#417;ng%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dministrator\Downloads\Kho%20tr&#7909;c%20in%20(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ev/BBPH/Tailieu/Khaosat/KHSX%20th&#225;ng%2009.2022_g&#7917;i%20PM.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USER\Downloads\Kho%20tr&#7909;c%20i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 trong luong"/>
      <sheetName val="ma sp 02"/>
    </sheetNames>
    <sheetDataSet>
      <sheetData sheetId="0" refreshError="1"/>
      <sheetData sheetId="1" refreshError="1">
        <row r="5">
          <cell r="A5" t="str">
            <v>sp 004</v>
          </cell>
          <cell r="B5" t="str">
            <v>Túi bánh trứng lipo 135gr Alpha</v>
          </cell>
          <cell r="C5">
            <v>5.4799999999999995</v>
          </cell>
          <cell r="D5">
            <v>2</v>
          </cell>
          <cell r="E5" t="str">
            <v>OPP mờ 20x700</v>
          </cell>
          <cell r="F5">
            <v>5</v>
          </cell>
          <cell r="G5" t="str">
            <v>OPP</v>
          </cell>
          <cell r="H5">
            <v>0.1</v>
          </cell>
          <cell r="I5">
            <v>2.4</v>
          </cell>
          <cell r="J5">
            <v>0</v>
          </cell>
          <cell r="K5">
            <v>0.08</v>
          </cell>
          <cell r="L5">
            <v>2</v>
          </cell>
          <cell r="M5">
            <v>0.7</v>
          </cell>
          <cell r="N5">
            <v>0</v>
          </cell>
          <cell r="O5">
            <v>0</v>
          </cell>
          <cell r="P5">
            <v>0.1</v>
          </cell>
          <cell r="Q5">
            <v>0</v>
          </cell>
          <cell r="R5">
            <v>0.1</v>
          </cell>
          <cell r="S5">
            <v>0</v>
          </cell>
          <cell r="T5">
            <v>0</v>
          </cell>
          <cell r="U5">
            <v>0</v>
          </cell>
          <cell r="V5">
            <v>0</v>
          </cell>
          <cell r="W5">
            <v>0</v>
          </cell>
          <cell r="X5">
            <v>0</v>
          </cell>
          <cell r="Y5">
            <v>0</v>
          </cell>
          <cell r="Z5">
            <v>0</v>
          </cell>
          <cell r="AA5">
            <v>0</v>
          </cell>
          <cell r="AB5">
            <v>0</v>
          </cell>
          <cell r="AC5">
            <v>0</v>
          </cell>
          <cell r="AD5">
            <v>0</v>
          </cell>
          <cell r="AE5" t="str">
            <v>MPET 12x700</v>
          </cell>
          <cell r="AF5" t="str">
            <v>PE 30x700</v>
          </cell>
          <cell r="AG5">
            <v>4.3924999999999999E-2</v>
          </cell>
          <cell r="AH5">
            <v>1.0579999999999998</v>
          </cell>
          <cell r="AI5">
            <v>1.587</v>
          </cell>
          <cell r="AJ5">
            <v>9530</v>
          </cell>
          <cell r="AK5">
            <v>9690</v>
          </cell>
          <cell r="AL5" t="str">
            <v>0,0023; 9690 (0,0023)</v>
          </cell>
          <cell r="AM5" t="str">
            <v>túi hàn lưng xếp hông</v>
          </cell>
          <cell r="AN5">
            <v>285</v>
          </cell>
          <cell r="AO5" t="str">
            <v>Công ty Quốc tế Alpha</v>
          </cell>
          <cell r="AP5" t="e">
            <v>#N/A</v>
          </cell>
          <cell r="AQ5" t="e">
            <v>#N/A</v>
          </cell>
          <cell r="AR5" t="e">
            <v>#N/A</v>
          </cell>
          <cell r="AS5" t="e">
            <v>#N/A</v>
          </cell>
          <cell r="AT5" t="e">
            <v>#N/A</v>
          </cell>
          <cell r="AU5" t="e">
            <v>#N/A</v>
          </cell>
          <cell r="AV5" t="e">
            <v>#N/A</v>
          </cell>
          <cell r="AW5" t="e">
            <v>#N/A</v>
          </cell>
          <cell r="AX5" t="e">
            <v>#N/A</v>
          </cell>
          <cell r="AY5" t="e">
            <v>#N/A</v>
          </cell>
          <cell r="AZ5" t="e">
            <v>#N/A</v>
          </cell>
          <cell r="BA5">
            <v>4000</v>
          </cell>
          <cell r="BB5" t="str">
            <v>Thùng 5 lớp 42x34x36</v>
          </cell>
          <cell r="BC5">
            <v>0</v>
          </cell>
          <cell r="BD5" t="e">
            <v>#N/A</v>
          </cell>
        </row>
        <row r="6">
          <cell r="A6" t="str">
            <v>sp 005</v>
          </cell>
          <cell r="B6" t="str">
            <v>Túi bánh trứng lipo 100 gr Alpha</v>
          </cell>
          <cell r="C6">
            <v>6.9</v>
          </cell>
          <cell r="D6">
            <v>2</v>
          </cell>
          <cell r="E6" t="str">
            <v>OPP mờ 20x680</v>
          </cell>
          <cell r="F6">
            <v>7</v>
          </cell>
          <cell r="G6" t="str">
            <v>OPP</v>
          </cell>
          <cell r="H6">
            <v>0.2</v>
          </cell>
          <cell r="I6">
            <v>2.2000000000000002</v>
          </cell>
          <cell r="J6">
            <v>0.3</v>
          </cell>
          <cell r="K6">
            <v>0.5</v>
          </cell>
          <cell r="L6">
            <v>2</v>
          </cell>
          <cell r="M6">
            <v>0.7</v>
          </cell>
          <cell r="N6">
            <v>0</v>
          </cell>
          <cell r="O6">
            <v>0</v>
          </cell>
          <cell r="P6">
            <v>0.7</v>
          </cell>
          <cell r="Q6">
            <v>0</v>
          </cell>
          <cell r="R6">
            <v>0.3</v>
          </cell>
          <cell r="S6">
            <v>0</v>
          </cell>
          <cell r="T6">
            <v>0</v>
          </cell>
          <cell r="U6">
            <v>0</v>
          </cell>
          <cell r="V6">
            <v>0</v>
          </cell>
          <cell r="W6">
            <v>0</v>
          </cell>
          <cell r="X6">
            <v>0</v>
          </cell>
          <cell r="Y6">
            <v>0</v>
          </cell>
          <cell r="Z6">
            <v>0</v>
          </cell>
          <cell r="AA6">
            <v>0</v>
          </cell>
          <cell r="AB6">
            <v>0</v>
          </cell>
          <cell r="AC6">
            <v>0</v>
          </cell>
          <cell r="AD6">
            <v>0</v>
          </cell>
          <cell r="AE6" t="str">
            <v>MPET 12x680</v>
          </cell>
          <cell r="AF6" t="str">
            <v>PE 30x680</v>
          </cell>
          <cell r="AG6">
            <v>4.2670000000000007E-2</v>
          </cell>
          <cell r="AH6">
            <v>1.0273333333333332</v>
          </cell>
          <cell r="AI6">
            <v>1.5410000000000001</v>
          </cell>
          <cell r="AJ6">
            <v>9530</v>
          </cell>
          <cell r="AK6">
            <v>9690</v>
          </cell>
          <cell r="AL6" t="str">
            <v>0,0023; 9690 (0,0023)</v>
          </cell>
          <cell r="AM6" t="str">
            <v>túi hàn lưng xếp hông</v>
          </cell>
          <cell r="AN6">
            <v>260</v>
          </cell>
          <cell r="AO6" t="str">
            <v>Công ty Quốc tế Alpha</v>
          </cell>
          <cell r="AP6" t="e">
            <v>#N/A</v>
          </cell>
          <cell r="AQ6" t="e">
            <v>#N/A</v>
          </cell>
          <cell r="AR6" t="e">
            <v>#N/A</v>
          </cell>
          <cell r="AS6" t="e">
            <v>#N/A</v>
          </cell>
          <cell r="AT6" t="e">
            <v>#N/A</v>
          </cell>
          <cell r="AU6" t="e">
            <v>#N/A</v>
          </cell>
          <cell r="AV6" t="e">
            <v>#N/A</v>
          </cell>
          <cell r="AW6" t="e">
            <v>#N/A</v>
          </cell>
          <cell r="AX6" t="e">
            <v>#N/A</v>
          </cell>
          <cell r="AY6" t="e">
            <v>#N/A</v>
          </cell>
          <cell r="AZ6" t="e">
            <v>#N/A</v>
          </cell>
          <cell r="BA6">
            <v>4000</v>
          </cell>
          <cell r="BB6" t="str">
            <v>Thùng 5 lớp 42x34x36</v>
          </cell>
          <cell r="BC6">
            <v>0</v>
          </cell>
          <cell r="BD6" t="e">
            <v>#N/A</v>
          </cell>
        </row>
        <row r="7">
          <cell r="A7" t="str">
            <v>sp 012</v>
          </cell>
          <cell r="B7" t="str">
            <v>Túi viên đạm sữa VTV1 1kg Đất Việt</v>
          </cell>
          <cell r="C7">
            <v>7.6999999999999993</v>
          </cell>
          <cell r="D7">
            <v>1</v>
          </cell>
          <cell r="E7" t="str">
            <v>OPP 30x620</v>
          </cell>
          <cell r="F7">
            <v>5</v>
          </cell>
          <cell r="G7" t="str">
            <v>OPP</v>
          </cell>
          <cell r="H7">
            <v>0.02</v>
          </cell>
          <cell r="I7">
            <v>3.58</v>
          </cell>
          <cell r="J7">
            <v>0</v>
          </cell>
          <cell r="K7">
            <v>0.77</v>
          </cell>
          <cell r="L7">
            <v>0.85</v>
          </cell>
          <cell r="M7">
            <v>2.48</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t="str">
            <v xml:space="preserve">
MPET12x620</v>
          </cell>
          <cell r="AF7" t="str">
            <v>PE 75x620</v>
          </cell>
          <cell r="AG7">
            <v>7.03545E-2</v>
          </cell>
          <cell r="AH7">
            <v>0.81333333333333324</v>
          </cell>
          <cell r="AI7">
            <v>1.22</v>
          </cell>
          <cell r="AJ7">
            <v>9530</v>
          </cell>
          <cell r="AK7">
            <v>9530</v>
          </cell>
          <cell r="AL7" t="str">
            <v>0,0046 (0,0023;0,0023)</v>
          </cell>
          <cell r="AM7" t="str">
            <v>túi ba biên</v>
          </cell>
          <cell r="AN7">
            <v>220</v>
          </cell>
          <cell r="AO7" t="str">
            <v>Công ty Đất Việt</v>
          </cell>
          <cell r="AP7" t="str">
            <v>20030055-1</v>
          </cell>
          <cell r="AQ7" t="str">
            <v>17090112-2</v>
          </cell>
          <cell r="AR7" t="str">
            <v>17090112-3</v>
          </cell>
          <cell r="AS7" t="str">
            <v>17090112-4</v>
          </cell>
          <cell r="AT7" t="str">
            <v>17090112-5</v>
          </cell>
          <cell r="AU7">
            <v>0</v>
          </cell>
          <cell r="AV7">
            <v>0</v>
          </cell>
          <cell r="AW7">
            <v>0</v>
          </cell>
          <cell r="AX7">
            <v>0</v>
          </cell>
          <cell r="AY7" t="str">
            <v>440x750</v>
          </cell>
          <cell r="AZ7" t="str">
            <v>M1</v>
          </cell>
          <cell r="BA7">
            <v>2000</v>
          </cell>
          <cell r="BB7" t="str">
            <v>Thùng 5 lớp 42x34x36</v>
          </cell>
          <cell r="BC7">
            <v>0</v>
          </cell>
          <cell r="BD7">
            <v>0</v>
          </cell>
        </row>
        <row r="8">
          <cell r="A8" t="str">
            <v>sp 013</v>
          </cell>
          <cell r="B8" t="str">
            <v>Túi viên đạm sữa VTV2 1kg Đất Việt</v>
          </cell>
          <cell r="C8">
            <v>5.3000000000000007</v>
          </cell>
          <cell r="D8">
            <v>1</v>
          </cell>
          <cell r="E8" t="str">
            <v>OPP 30x620</v>
          </cell>
          <cell r="F8">
            <v>5</v>
          </cell>
          <cell r="G8" t="str">
            <v>OPP</v>
          </cell>
          <cell r="H8">
            <v>0.1</v>
          </cell>
          <cell r="I8">
            <v>2.5</v>
          </cell>
          <cell r="J8">
            <v>0.2</v>
          </cell>
          <cell r="K8">
            <v>0.5</v>
          </cell>
          <cell r="L8">
            <v>1.3</v>
          </cell>
          <cell r="M8">
            <v>0.7</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t="str">
            <v xml:space="preserve">
MPET 12x620</v>
          </cell>
          <cell r="AF8" t="str">
            <v>PE 75x620</v>
          </cell>
          <cell r="AG8">
            <v>7.03545E-2</v>
          </cell>
          <cell r="AH8">
            <v>0.81333333333333324</v>
          </cell>
          <cell r="AI8">
            <v>1.22</v>
          </cell>
          <cell r="AJ8">
            <v>9530</v>
          </cell>
          <cell r="AK8">
            <v>9530</v>
          </cell>
          <cell r="AL8" t="str">
            <v>0,0046 (0,0023;0,0023)</v>
          </cell>
          <cell r="AM8" t="str">
            <v>túi ba biên</v>
          </cell>
          <cell r="AN8">
            <v>220</v>
          </cell>
          <cell r="AO8" t="str">
            <v>Công ty Đất Việt</v>
          </cell>
          <cell r="AP8" t="str">
            <v>20030056-1</v>
          </cell>
          <cell r="AQ8" t="str">
            <v>180111143-2</v>
          </cell>
          <cell r="AR8" t="str">
            <v>180111143-3</v>
          </cell>
          <cell r="AS8" t="str">
            <v>180111143-4</v>
          </cell>
          <cell r="AT8" t="str">
            <v>1709112-5</v>
          </cell>
          <cell r="AU8">
            <v>0</v>
          </cell>
          <cell r="AV8">
            <v>0</v>
          </cell>
          <cell r="AW8">
            <v>0</v>
          </cell>
          <cell r="AX8">
            <v>0</v>
          </cell>
          <cell r="AY8" t="str">
            <v>440x750</v>
          </cell>
          <cell r="AZ8" t="str">
            <v>M1</v>
          </cell>
          <cell r="BA8">
            <v>2000</v>
          </cell>
          <cell r="BB8" t="str">
            <v>Thùng 5 lớp 42x34x36</v>
          </cell>
          <cell r="BC8">
            <v>0</v>
          </cell>
          <cell r="BD8" t="str">
            <v>chung cây trắng sp 012</v>
          </cell>
        </row>
        <row r="9">
          <cell r="A9" t="str">
            <v>sp 017</v>
          </cell>
          <cell r="B9" t="str">
            <v>Túi bánh trứng lipo tiếng anh 300gr Alpha</v>
          </cell>
          <cell r="C9">
            <v>5.1719999999999997</v>
          </cell>
          <cell r="D9">
            <v>1</v>
          </cell>
          <cell r="E9" t="str">
            <v>PET 12x670</v>
          </cell>
          <cell r="F9">
            <v>7</v>
          </cell>
          <cell r="G9" t="str">
            <v>PET</v>
          </cell>
          <cell r="H9">
            <v>0.01</v>
          </cell>
          <cell r="I9">
            <v>2.4140000000000001</v>
          </cell>
          <cell r="J9">
            <v>7.1999999999999995E-2</v>
          </cell>
          <cell r="K9">
            <v>0.14399999999999999</v>
          </cell>
          <cell r="L9">
            <v>2.21</v>
          </cell>
          <cell r="M9">
            <v>0.26400000000000001</v>
          </cell>
          <cell r="N9">
            <v>0</v>
          </cell>
          <cell r="O9">
            <v>0</v>
          </cell>
          <cell r="P9">
            <v>4.8000000000000001E-2</v>
          </cell>
          <cell r="Q9">
            <v>0</v>
          </cell>
          <cell r="R9">
            <v>0.01</v>
          </cell>
          <cell r="S9">
            <v>0</v>
          </cell>
          <cell r="T9">
            <v>0</v>
          </cell>
          <cell r="U9">
            <v>0</v>
          </cell>
          <cell r="V9">
            <v>0</v>
          </cell>
          <cell r="W9">
            <v>0</v>
          </cell>
          <cell r="X9">
            <v>0</v>
          </cell>
          <cell r="Y9">
            <v>0</v>
          </cell>
          <cell r="Z9">
            <v>0</v>
          </cell>
          <cell r="AA9">
            <v>0</v>
          </cell>
          <cell r="AB9">
            <v>0</v>
          </cell>
          <cell r="AC9">
            <v>0</v>
          </cell>
          <cell r="AD9">
            <v>0</v>
          </cell>
          <cell r="AE9" t="str">
            <v>PE 65x670</v>
          </cell>
          <cell r="AF9">
            <v>0</v>
          </cell>
          <cell r="AG9">
            <v>5.1539750000000009E-2</v>
          </cell>
          <cell r="AH9">
            <v>1.012</v>
          </cell>
          <cell r="AI9">
            <v>0</v>
          </cell>
          <cell r="AJ9">
            <v>9530</v>
          </cell>
          <cell r="AK9">
            <v>0</v>
          </cell>
          <cell r="AL9">
            <v>2.3E-3</v>
          </cell>
          <cell r="AM9" t="str">
            <v>túi ba biên</v>
          </cell>
          <cell r="AN9">
            <v>350</v>
          </cell>
          <cell r="AO9" t="str">
            <v>Công ty Quốc tế Alpha</v>
          </cell>
          <cell r="AP9" t="str">
            <v>22040749-1</v>
          </cell>
          <cell r="AQ9" t="str">
            <v>22040749-2</v>
          </cell>
          <cell r="AR9" t="str">
            <v>22040749-3</v>
          </cell>
          <cell r="AS9" t="str">
            <v>22040749-4</v>
          </cell>
          <cell r="AT9" t="str">
            <v>22040749-5</v>
          </cell>
          <cell r="AU9" t="str">
            <v>22040749-6</v>
          </cell>
          <cell r="AV9" t="str">
            <v>22040749-7</v>
          </cell>
          <cell r="AW9" t="str">
            <v>22040749-8</v>
          </cell>
          <cell r="AX9">
            <v>0</v>
          </cell>
          <cell r="AY9" t="str">
            <v>700x750</v>
          </cell>
          <cell r="AZ9" t="str">
            <v>C1</v>
          </cell>
          <cell r="BA9">
            <v>2000</v>
          </cell>
          <cell r="BB9" t="str">
            <v>Thùng 5 lớp 42x34x36</v>
          </cell>
          <cell r="BC9">
            <v>0</v>
          </cell>
          <cell r="BD9">
            <v>0</v>
          </cell>
        </row>
        <row r="10">
          <cell r="A10" t="str">
            <v>sp 020</v>
          </cell>
          <cell r="B10" t="str">
            <v>Túi chè lọc 1 màu 365 Vĩnh Phúc</v>
          </cell>
          <cell r="C10">
            <v>0</v>
          </cell>
          <cell r="D10">
            <v>1</v>
          </cell>
          <cell r="E10" t="str">
            <v>OPP 20x440</v>
          </cell>
          <cell r="F10">
            <v>1</v>
          </cell>
          <cell r="G10" t="str">
            <v>OPP</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t="str">
            <v>CPP 20x440</v>
          </cell>
          <cell r="AF10">
            <v>0</v>
          </cell>
          <cell r="AG10">
            <v>1.6016000000000002E-2</v>
          </cell>
          <cell r="AH10">
            <v>0.65933333333333333</v>
          </cell>
          <cell r="AI10">
            <v>0</v>
          </cell>
          <cell r="AJ10">
            <v>9530</v>
          </cell>
          <cell r="AK10">
            <v>0</v>
          </cell>
          <cell r="AL10">
            <v>2.3E-3</v>
          </cell>
          <cell r="AM10" t="str">
            <v>túi hàn lưng xếp hông</v>
          </cell>
          <cell r="AN10">
            <v>140</v>
          </cell>
          <cell r="AO10" t="str">
            <v>Công ty TNHH Thế hệ mới Vĩnh Phúc</v>
          </cell>
          <cell r="AP10" t="e">
            <v>#N/A</v>
          </cell>
          <cell r="AQ10" t="e">
            <v>#N/A</v>
          </cell>
          <cell r="AR10" t="e">
            <v>#N/A</v>
          </cell>
          <cell r="AS10" t="e">
            <v>#N/A</v>
          </cell>
          <cell r="AT10" t="e">
            <v>#N/A</v>
          </cell>
          <cell r="AU10" t="e">
            <v>#N/A</v>
          </cell>
          <cell r="AV10" t="e">
            <v>#N/A</v>
          </cell>
          <cell r="AW10" t="e">
            <v>#N/A</v>
          </cell>
          <cell r="AX10" t="e">
            <v>#N/A</v>
          </cell>
          <cell r="AY10" t="e">
            <v>#N/A</v>
          </cell>
          <cell r="AZ10" t="e">
            <v>#N/A</v>
          </cell>
          <cell r="BA10" t="str">
            <v>dạng túi hoặc cuộn 1c-4000m</v>
          </cell>
          <cell r="BB10" t="str">
            <v>Thùng 5 lớp 42x34x36,or K600 giấy cartoon</v>
          </cell>
          <cell r="BC10">
            <v>0</v>
          </cell>
          <cell r="BD10" t="e">
            <v>#N/A</v>
          </cell>
        </row>
        <row r="11">
          <cell r="A11" t="str">
            <v>sp 021</v>
          </cell>
          <cell r="B11" t="str">
            <v>Túi trà B'lao nền vàng Vĩnh Phúc</v>
          </cell>
          <cell r="C11">
            <v>10.35</v>
          </cell>
          <cell r="D11">
            <v>2</v>
          </cell>
          <cell r="E11" t="str">
            <v>OPP 20x700</v>
          </cell>
          <cell r="F11">
            <v>4</v>
          </cell>
          <cell r="G11" t="str">
            <v>OPP</v>
          </cell>
          <cell r="H11">
            <v>0.4</v>
          </cell>
          <cell r="I11">
            <v>0</v>
          </cell>
          <cell r="J11">
            <v>0.96</v>
          </cell>
          <cell r="K11">
            <v>0</v>
          </cell>
          <cell r="L11">
            <v>7.7</v>
          </cell>
          <cell r="M11">
            <v>0</v>
          </cell>
          <cell r="N11">
            <v>0.96</v>
          </cell>
          <cell r="O11">
            <v>0.01</v>
          </cell>
          <cell r="P11">
            <v>0</v>
          </cell>
          <cell r="Q11">
            <v>0</v>
          </cell>
          <cell r="R11">
            <v>0</v>
          </cell>
          <cell r="S11">
            <v>0.32</v>
          </cell>
          <cell r="T11">
            <v>0</v>
          </cell>
          <cell r="U11">
            <v>0</v>
          </cell>
          <cell r="V11">
            <v>0</v>
          </cell>
          <cell r="W11">
            <v>0</v>
          </cell>
          <cell r="X11">
            <v>0</v>
          </cell>
          <cell r="Y11">
            <v>0</v>
          </cell>
          <cell r="Z11">
            <v>0</v>
          </cell>
          <cell r="AA11">
            <v>0</v>
          </cell>
          <cell r="AB11">
            <v>0</v>
          </cell>
          <cell r="AC11">
            <v>0</v>
          </cell>
          <cell r="AD11">
            <v>0</v>
          </cell>
          <cell r="AE11" t="str">
            <v>MCPP 25x700</v>
          </cell>
          <cell r="AF11">
            <v>0</v>
          </cell>
          <cell r="AG11">
            <v>2.8665E-2</v>
          </cell>
          <cell r="AH11">
            <v>0.82799999999999996</v>
          </cell>
          <cell r="AI11">
            <v>0</v>
          </cell>
          <cell r="AJ11">
            <v>9530</v>
          </cell>
          <cell r="AK11">
            <v>0</v>
          </cell>
          <cell r="AL11">
            <v>1.8E-3</v>
          </cell>
          <cell r="AM11" t="str">
            <v>túi hàn lưng xếp hông</v>
          </cell>
          <cell r="AN11">
            <v>280</v>
          </cell>
          <cell r="AO11" t="str">
            <v>Công ty TNHH Thế hệ mới Vĩnh Phúc</v>
          </cell>
          <cell r="AP11" t="str">
            <v>1404452-1</v>
          </cell>
          <cell r="AQ11" t="str">
            <v>1807192-2</v>
          </cell>
          <cell r="AR11" t="str">
            <v>sửa nội dung cây K</v>
          </cell>
          <cell r="AS11" t="str">
            <v>1404451-4</v>
          </cell>
          <cell r="AT11">
            <v>0</v>
          </cell>
          <cell r="AU11">
            <v>0</v>
          </cell>
          <cell r="AV11">
            <v>0</v>
          </cell>
          <cell r="AW11">
            <v>0</v>
          </cell>
          <cell r="AX11">
            <v>0</v>
          </cell>
          <cell r="AY11" t="str">
            <v>560x750</v>
          </cell>
          <cell r="AZ11" t="str">
            <v>A1</v>
          </cell>
          <cell r="BA11">
            <v>3000</v>
          </cell>
          <cell r="BB11" t="str">
            <v>Thùng 5 lớp 42x34x36</v>
          </cell>
          <cell r="BC11">
            <v>0</v>
          </cell>
          <cell r="BD11" t="str">
            <v xml:space="preserve">2 bộ riêng cây nhũ và đen </v>
          </cell>
        </row>
        <row r="12">
          <cell r="A12" t="str">
            <v>sp 021a</v>
          </cell>
          <cell r="B12" t="str">
            <v>Túi trà B'lao nền đỏ Vĩnh Phúc</v>
          </cell>
          <cell r="C12">
            <v>2.84</v>
          </cell>
          <cell r="D12">
            <v>2</v>
          </cell>
          <cell r="E12" t="str">
            <v>OPP 20x700</v>
          </cell>
          <cell r="F12">
            <v>4</v>
          </cell>
          <cell r="G12" t="str">
            <v>OPP</v>
          </cell>
          <cell r="H12">
            <v>0.21</v>
          </cell>
          <cell r="I12">
            <v>0</v>
          </cell>
          <cell r="J12">
            <v>0.43</v>
          </cell>
          <cell r="K12">
            <v>0</v>
          </cell>
          <cell r="L12">
            <v>1.1599999999999999</v>
          </cell>
          <cell r="M12">
            <v>0</v>
          </cell>
          <cell r="N12">
            <v>0</v>
          </cell>
          <cell r="O12">
            <v>0</v>
          </cell>
          <cell r="P12">
            <v>0.91</v>
          </cell>
          <cell r="Q12">
            <v>0.12</v>
          </cell>
          <cell r="R12">
            <v>0</v>
          </cell>
          <cell r="S12">
            <v>0.01</v>
          </cell>
          <cell r="T12">
            <v>0</v>
          </cell>
          <cell r="U12">
            <v>0</v>
          </cell>
          <cell r="V12">
            <v>0</v>
          </cell>
          <cell r="W12">
            <v>0</v>
          </cell>
          <cell r="X12">
            <v>0</v>
          </cell>
          <cell r="Y12">
            <v>0</v>
          </cell>
          <cell r="Z12">
            <v>0</v>
          </cell>
          <cell r="AA12">
            <v>0</v>
          </cell>
          <cell r="AB12">
            <v>0</v>
          </cell>
          <cell r="AC12">
            <v>0</v>
          </cell>
          <cell r="AD12">
            <v>0</v>
          </cell>
          <cell r="AE12" t="str">
            <v>MCPP 25x700</v>
          </cell>
          <cell r="AF12">
            <v>0</v>
          </cell>
          <cell r="AG12">
            <v>2.8665E-2</v>
          </cell>
          <cell r="AH12">
            <v>0.82799999999999996</v>
          </cell>
          <cell r="AI12">
            <v>0</v>
          </cell>
          <cell r="AJ12">
            <v>9530</v>
          </cell>
          <cell r="AK12">
            <v>0</v>
          </cell>
          <cell r="AL12">
            <v>1.8E-3</v>
          </cell>
          <cell r="AM12" t="str">
            <v>túi hàn lưng xếp hông</v>
          </cell>
          <cell r="AN12">
            <v>280</v>
          </cell>
          <cell r="AO12" t="str">
            <v>Công ty TNHH Thế hệ mới Vĩnh Phúc</v>
          </cell>
          <cell r="AP12" t="str">
            <v>1404451-1</v>
          </cell>
          <cell r="AQ12" t="str">
            <v>18011006-2</v>
          </cell>
          <cell r="AR12" t="str">
            <v>1404451-3</v>
          </cell>
          <cell r="AS12" t="str">
            <v>1404451-4</v>
          </cell>
          <cell r="AT12">
            <v>0</v>
          </cell>
          <cell r="AU12">
            <v>0</v>
          </cell>
          <cell r="AV12">
            <v>0</v>
          </cell>
          <cell r="AW12">
            <v>0</v>
          </cell>
          <cell r="AX12">
            <v>0</v>
          </cell>
          <cell r="AY12" t="str">
            <v>560x750</v>
          </cell>
          <cell r="AZ12" t="str">
            <v>A1</v>
          </cell>
          <cell r="BA12">
            <v>4000</v>
          </cell>
          <cell r="BB12" t="str">
            <v>Thùng 5 lớp 42x34x36</v>
          </cell>
          <cell r="BC12">
            <v>0</v>
          </cell>
          <cell r="BD12">
            <v>0</v>
          </cell>
        </row>
        <row r="13">
          <cell r="A13" t="str">
            <v>sp 022</v>
          </cell>
          <cell r="B13" t="str">
            <v>Túi bột đậu xanh 400gr hương sen Tiên Dung</v>
          </cell>
          <cell r="C13">
            <v>3.9000000000000004</v>
          </cell>
          <cell r="D13">
            <v>1</v>
          </cell>
          <cell r="E13" t="str">
            <v>OPP 20x540</v>
          </cell>
          <cell r="F13">
            <v>6</v>
          </cell>
          <cell r="G13" t="str">
            <v>OPP</v>
          </cell>
          <cell r="H13">
            <v>0.1</v>
          </cell>
          <cell r="I13">
            <v>0</v>
          </cell>
          <cell r="J13">
            <v>0.3</v>
          </cell>
          <cell r="K13">
            <v>0.1</v>
          </cell>
          <cell r="L13">
            <v>0.9</v>
          </cell>
          <cell r="M13">
            <v>1.8</v>
          </cell>
          <cell r="N13">
            <v>0</v>
          </cell>
          <cell r="O13">
            <v>0.7</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t="str">
            <v>PE sứ 60x540</v>
          </cell>
          <cell r="AF13">
            <v>0</v>
          </cell>
          <cell r="AG13">
            <v>3.9798E-2</v>
          </cell>
          <cell r="AH13">
            <v>0.77733333333333343</v>
          </cell>
          <cell r="AI13">
            <v>0</v>
          </cell>
          <cell r="AJ13">
            <v>9530</v>
          </cell>
          <cell r="AK13">
            <v>0</v>
          </cell>
          <cell r="AL13">
            <v>2.2000000000000001E-3</v>
          </cell>
          <cell r="AM13" t="str">
            <v>túi ba biên</v>
          </cell>
          <cell r="AN13">
            <v>210</v>
          </cell>
          <cell r="AO13" t="str">
            <v>Công ty TNHH Tiên Dung</v>
          </cell>
          <cell r="AP13" t="str">
            <v>1404538-1</v>
          </cell>
          <cell r="AQ13" t="str">
            <v>1404538-2</v>
          </cell>
          <cell r="AR13" t="str">
            <v>1404538-3</v>
          </cell>
          <cell r="AS13" t="str">
            <v>1404538-4</v>
          </cell>
          <cell r="AT13" t="str">
            <v>1404538-5</v>
          </cell>
          <cell r="AU13" t="str">
            <v>1404538-6</v>
          </cell>
          <cell r="AV13">
            <v>0</v>
          </cell>
          <cell r="AW13">
            <v>0</v>
          </cell>
          <cell r="AX13">
            <v>0</v>
          </cell>
          <cell r="AY13" t="str">
            <v>420x750</v>
          </cell>
          <cell r="AZ13" t="str">
            <v>M1</v>
          </cell>
          <cell r="BA13">
            <v>0</v>
          </cell>
          <cell r="BB13" t="str">
            <v>Thùng 5 lớp 42x34x36</v>
          </cell>
          <cell r="BC13">
            <v>0</v>
          </cell>
          <cell r="BD13">
            <v>0</v>
          </cell>
        </row>
        <row r="14">
          <cell r="A14" t="str">
            <v>sp 028</v>
          </cell>
          <cell r="B14" t="str">
            <v>Cuộn giống lúa GS 747 1kg Đại Thành</v>
          </cell>
          <cell r="C14">
            <v>6.41</v>
          </cell>
          <cell r="D14">
            <v>1</v>
          </cell>
          <cell r="E14" t="str">
            <v>OPP 20x460</v>
          </cell>
          <cell r="F14">
            <v>7</v>
          </cell>
          <cell r="G14" t="str">
            <v>OPP</v>
          </cell>
          <cell r="H14">
            <v>0.18</v>
          </cell>
          <cell r="I14">
            <v>3</v>
          </cell>
          <cell r="J14">
            <v>0.8</v>
          </cell>
          <cell r="K14">
            <v>0.1</v>
          </cell>
          <cell r="L14">
            <v>0.9</v>
          </cell>
          <cell r="M14">
            <v>0.7</v>
          </cell>
          <cell r="N14">
            <v>0</v>
          </cell>
          <cell r="O14">
            <v>0</v>
          </cell>
          <cell r="P14">
            <v>0.05</v>
          </cell>
          <cell r="Q14">
            <v>0.5</v>
          </cell>
          <cell r="R14">
            <v>0.18</v>
          </cell>
          <cell r="S14">
            <v>0</v>
          </cell>
          <cell r="T14">
            <v>0</v>
          </cell>
          <cell r="U14">
            <v>0</v>
          </cell>
          <cell r="V14">
            <v>0</v>
          </cell>
          <cell r="W14">
            <v>0</v>
          </cell>
          <cell r="X14">
            <v>0</v>
          </cell>
          <cell r="Y14">
            <v>0</v>
          </cell>
          <cell r="Z14">
            <v>0</v>
          </cell>
          <cell r="AA14">
            <v>0</v>
          </cell>
          <cell r="AB14">
            <v>0</v>
          </cell>
          <cell r="AC14">
            <v>0</v>
          </cell>
          <cell r="AD14">
            <v>0</v>
          </cell>
          <cell r="AE14" t="str">
            <v>PE 68x460</v>
          </cell>
          <cell r="AF14">
            <v>0</v>
          </cell>
          <cell r="AG14">
            <v>3.7306000000000006E-2</v>
          </cell>
          <cell r="AH14">
            <v>0.66</v>
          </cell>
          <cell r="AI14">
            <v>0</v>
          </cell>
          <cell r="AJ14">
            <v>9530</v>
          </cell>
          <cell r="AK14">
            <v>0</v>
          </cell>
          <cell r="AL14">
            <v>2.2000000000000001E-3</v>
          </cell>
          <cell r="AM14" t="str">
            <v>dạng cuộn 500m</v>
          </cell>
          <cell r="AN14">
            <v>440</v>
          </cell>
          <cell r="AO14" t="str">
            <v>Công ty Giống Đại Thành</v>
          </cell>
          <cell r="AP14" t="str">
            <v>F308246-1</v>
          </cell>
          <cell r="AQ14" t="str">
            <v>F308246-2</v>
          </cell>
          <cell r="AR14" t="str">
            <v>F308246-3</v>
          </cell>
          <cell r="AS14" t="str">
            <v>F308246-4</v>
          </cell>
          <cell r="AT14" t="str">
            <v>F308246-5</v>
          </cell>
          <cell r="AU14" t="str">
            <v>F308246-6</v>
          </cell>
          <cell r="AV14" t="str">
            <v>F308246-7</v>
          </cell>
          <cell r="AW14">
            <v>0</v>
          </cell>
          <cell r="AX14">
            <v>0</v>
          </cell>
          <cell r="AY14" t="str">
            <v>520x610</v>
          </cell>
          <cell r="AZ14" t="str">
            <v>Z1</v>
          </cell>
          <cell r="BA14" t="str">
            <v>1c</v>
          </cell>
          <cell r="BB14" t="str">
            <v>giấy cartoon K600</v>
          </cell>
          <cell r="BC14">
            <v>0</v>
          </cell>
          <cell r="BD14">
            <v>0</v>
          </cell>
        </row>
        <row r="15">
          <cell r="A15" t="str">
            <v>sp 038</v>
          </cell>
          <cell r="B15" t="str">
            <v>Túi chè HCK 500gr loại 1</v>
          </cell>
          <cell r="C15">
            <v>0</v>
          </cell>
          <cell r="D15">
            <v>2</v>
          </cell>
          <cell r="E15" t="str">
            <v>PET 12x740</v>
          </cell>
          <cell r="F15">
            <v>1</v>
          </cell>
          <cell r="G15" t="str">
            <v>PET</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t="str">
            <v>MPET 12x740</v>
          </cell>
          <cell r="AF15" t="str">
            <v>PE 60x740</v>
          </cell>
          <cell r="AG15">
            <v>6.5933999999999993E-2</v>
          </cell>
          <cell r="AH15">
            <v>1.1193333333333333</v>
          </cell>
          <cell r="AI15">
            <v>1.46</v>
          </cell>
          <cell r="AJ15">
            <v>9530</v>
          </cell>
          <cell r="AK15">
            <v>9530</v>
          </cell>
          <cell r="AL15" t="str">
            <v>0,0053(0,0023;0,003)</v>
          </cell>
          <cell r="AM15" t="str">
            <v>túi hàn lưng xếp hông</v>
          </cell>
          <cell r="AN15">
            <v>420</v>
          </cell>
          <cell r="AO15" t="str">
            <v>Khách hàng lẻ</v>
          </cell>
          <cell r="AP15" t="e">
            <v>#N/A</v>
          </cell>
          <cell r="AQ15" t="e">
            <v>#N/A</v>
          </cell>
          <cell r="AR15" t="e">
            <v>#N/A</v>
          </cell>
          <cell r="AS15" t="e">
            <v>#N/A</v>
          </cell>
          <cell r="AT15" t="e">
            <v>#N/A</v>
          </cell>
          <cell r="AU15" t="e">
            <v>#N/A</v>
          </cell>
          <cell r="AV15" t="e">
            <v>#N/A</v>
          </cell>
          <cell r="AW15" t="e">
            <v>#N/A</v>
          </cell>
          <cell r="AX15" t="e">
            <v>#N/A</v>
          </cell>
          <cell r="AY15" t="e">
            <v>#N/A</v>
          </cell>
          <cell r="AZ15" t="e">
            <v>#N/A</v>
          </cell>
          <cell r="BA15">
            <v>1500</v>
          </cell>
          <cell r="BB15" t="str">
            <v>Thùng 5 lớp 42x34x36</v>
          </cell>
          <cell r="BC15">
            <v>0</v>
          </cell>
          <cell r="BD15" t="e">
            <v>#N/A</v>
          </cell>
        </row>
        <row r="16">
          <cell r="A16" t="str">
            <v>sp 039</v>
          </cell>
          <cell r="B16" t="str">
            <v>Túi chè HCK 100 gr loại 1</v>
          </cell>
          <cell r="C16">
            <v>3</v>
          </cell>
          <cell r="D16">
            <v>3</v>
          </cell>
          <cell r="E16" t="str">
            <v>PET 12x740</v>
          </cell>
          <cell r="F16">
            <v>1</v>
          </cell>
          <cell r="G16" t="str">
            <v>PET</v>
          </cell>
          <cell r="H16">
            <v>0</v>
          </cell>
          <cell r="I16">
            <v>0</v>
          </cell>
          <cell r="J16">
            <v>0</v>
          </cell>
          <cell r="K16">
            <v>0</v>
          </cell>
          <cell r="L16">
            <v>3</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t="str">
            <v>MPET 12x740</v>
          </cell>
          <cell r="AF16" t="str">
            <v>PE 60x740</v>
          </cell>
          <cell r="AG16">
            <v>6.5933999999999993E-2</v>
          </cell>
          <cell r="AH16">
            <v>1.1193333333333333</v>
          </cell>
          <cell r="AI16">
            <v>1.46</v>
          </cell>
          <cell r="AJ16">
            <v>9530</v>
          </cell>
          <cell r="AK16">
            <v>9530</v>
          </cell>
          <cell r="AL16" t="str">
            <v>0,0053(0,0023;0,003)</v>
          </cell>
          <cell r="AM16" t="str">
            <v>túi hàn lưng xếp hông</v>
          </cell>
          <cell r="AN16">
            <v>270</v>
          </cell>
          <cell r="AO16" t="str">
            <v>Khách hàng lẻ</v>
          </cell>
          <cell r="AP16" t="e">
            <v>#N/A</v>
          </cell>
          <cell r="AQ16" t="e">
            <v>#N/A</v>
          </cell>
          <cell r="AR16" t="e">
            <v>#N/A</v>
          </cell>
          <cell r="AS16" t="e">
            <v>#N/A</v>
          </cell>
          <cell r="AT16" t="e">
            <v>#N/A</v>
          </cell>
          <cell r="AU16" t="e">
            <v>#N/A</v>
          </cell>
          <cell r="AV16" t="e">
            <v>#N/A</v>
          </cell>
          <cell r="AW16" t="e">
            <v>#N/A</v>
          </cell>
          <cell r="AX16" t="e">
            <v>#N/A</v>
          </cell>
          <cell r="AY16" t="e">
            <v>#N/A</v>
          </cell>
          <cell r="AZ16" t="e">
            <v>#N/A</v>
          </cell>
          <cell r="BA16">
            <v>3000</v>
          </cell>
          <cell r="BB16" t="str">
            <v>Thùng 5 lớp 42x34x36</v>
          </cell>
          <cell r="BC16">
            <v>0</v>
          </cell>
          <cell r="BD16" t="e">
            <v>#N/A</v>
          </cell>
        </row>
        <row r="17">
          <cell r="A17" t="str">
            <v>sp 044</v>
          </cell>
          <cell r="B17" t="str">
            <v>Túi bánh trứng lipo tiếng trung 200g Alpha</v>
          </cell>
          <cell r="C17">
            <v>8.32</v>
          </cell>
          <cell r="D17">
            <v>1</v>
          </cell>
          <cell r="E17" t="str">
            <v>OPP mờ 20x460</v>
          </cell>
          <cell r="F17">
            <v>7</v>
          </cell>
          <cell r="G17" t="str">
            <v>OPP</v>
          </cell>
          <cell r="H17">
            <v>0.08</v>
          </cell>
          <cell r="I17">
            <v>3.99</v>
          </cell>
          <cell r="J17">
            <v>0.01</v>
          </cell>
          <cell r="K17">
            <v>0.01</v>
          </cell>
          <cell r="L17">
            <v>2.31</v>
          </cell>
          <cell r="M17">
            <v>1.38</v>
          </cell>
          <cell r="N17">
            <v>0</v>
          </cell>
          <cell r="O17">
            <v>0</v>
          </cell>
          <cell r="P17">
            <v>0.53</v>
          </cell>
          <cell r="Q17">
            <v>0</v>
          </cell>
          <cell r="R17">
            <v>0.01</v>
          </cell>
          <cell r="S17">
            <v>0</v>
          </cell>
          <cell r="T17">
            <v>0</v>
          </cell>
          <cell r="U17">
            <v>0</v>
          </cell>
          <cell r="V17">
            <v>0</v>
          </cell>
          <cell r="W17">
            <v>0</v>
          </cell>
          <cell r="X17">
            <v>0</v>
          </cell>
          <cell r="Y17">
            <v>0</v>
          </cell>
          <cell r="Z17">
            <v>0</v>
          </cell>
          <cell r="AA17">
            <v>0</v>
          </cell>
          <cell r="AB17">
            <v>0</v>
          </cell>
          <cell r="AC17">
            <v>0</v>
          </cell>
          <cell r="AD17">
            <v>0</v>
          </cell>
          <cell r="AE17" t="str">
            <v>MPET 12x460</v>
          </cell>
          <cell r="AF17" t="str">
            <v>CPP 30x460</v>
          </cell>
          <cell r="AG17">
            <v>2.8658000000000006E-2</v>
          </cell>
          <cell r="AH17">
            <v>0.69</v>
          </cell>
          <cell r="AI17">
            <v>1.0350000000000001</v>
          </cell>
          <cell r="AJ17">
            <v>9530</v>
          </cell>
          <cell r="AK17">
            <v>9690</v>
          </cell>
          <cell r="AL17" t="str">
            <v>0,0023; 9690 (0,0023)</v>
          </cell>
          <cell r="AM17" t="str">
            <v>túi bốn biên</v>
          </cell>
          <cell r="AN17">
            <v>300</v>
          </cell>
          <cell r="AO17" t="str">
            <v>Công ty Quốc tế Alpha</v>
          </cell>
          <cell r="AP17" t="str">
            <v>1902139-1</v>
          </cell>
          <cell r="AQ17" t="str">
            <v>18071167-2</v>
          </cell>
          <cell r="AR17" t="str">
            <v>1902139-3</v>
          </cell>
          <cell r="AS17" t="str">
            <v>1710403-4</v>
          </cell>
          <cell r="AT17" t="str">
            <v>1902139-5</v>
          </cell>
          <cell r="AU17" t="str">
            <v>1902139-6</v>
          </cell>
          <cell r="AV17" t="str">
            <v>1710175-7</v>
          </cell>
          <cell r="AW17">
            <v>0</v>
          </cell>
          <cell r="AX17">
            <v>0</v>
          </cell>
          <cell r="AY17" t="str">
            <v>600x750</v>
          </cell>
          <cell r="AZ17" t="str">
            <v>C1</v>
          </cell>
          <cell r="BA17">
            <v>3000</v>
          </cell>
          <cell r="BB17" t="str">
            <v>Thùng 5 lớp 42x34x36</v>
          </cell>
          <cell r="BC17">
            <v>0</v>
          </cell>
          <cell r="BD17">
            <v>0</v>
          </cell>
        </row>
        <row r="18">
          <cell r="A18" t="str">
            <v>sp 047</v>
          </cell>
          <cell r="B18" t="str">
            <v>Túi chè HCK 200gr loại 1</v>
          </cell>
          <cell r="C18">
            <v>3.4</v>
          </cell>
          <cell r="D18">
            <v>1</v>
          </cell>
          <cell r="E18" t="str">
            <v>PET 12x620</v>
          </cell>
          <cell r="F18">
            <v>1</v>
          </cell>
          <cell r="G18" t="str">
            <v>PET</v>
          </cell>
          <cell r="H18">
            <v>0</v>
          </cell>
          <cell r="I18">
            <v>0</v>
          </cell>
          <cell r="J18">
            <v>0</v>
          </cell>
          <cell r="K18">
            <v>0</v>
          </cell>
          <cell r="L18">
            <v>3.4</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t="str">
            <v>MPET 12x620</v>
          </cell>
          <cell r="AF18" t="str">
            <v>PE 60x620</v>
          </cell>
          <cell r="AG18">
            <v>5.5241999999999999E-2</v>
          </cell>
          <cell r="AH18">
            <v>0.93533333333333324</v>
          </cell>
          <cell r="AI18">
            <v>1.22</v>
          </cell>
          <cell r="AJ18">
            <v>9530</v>
          </cell>
          <cell r="AK18">
            <v>9530</v>
          </cell>
          <cell r="AL18" t="str">
            <v>0,0053(0,0023;0,003)</v>
          </cell>
          <cell r="AM18" t="str">
            <v>túi hàn lưng xếp hông</v>
          </cell>
          <cell r="AN18">
            <v>340</v>
          </cell>
          <cell r="AO18" t="str">
            <v>Khách hàng lẻ</v>
          </cell>
          <cell r="AP18" t="e">
            <v>#N/A</v>
          </cell>
          <cell r="AQ18" t="e">
            <v>#N/A</v>
          </cell>
          <cell r="AR18" t="e">
            <v>#N/A</v>
          </cell>
          <cell r="AS18" t="e">
            <v>#N/A</v>
          </cell>
          <cell r="AT18" t="e">
            <v>#N/A</v>
          </cell>
          <cell r="AU18" t="e">
            <v>#N/A</v>
          </cell>
          <cell r="AV18" t="e">
            <v>#N/A</v>
          </cell>
          <cell r="AW18" t="e">
            <v>#N/A</v>
          </cell>
          <cell r="AX18" t="e">
            <v>#N/A</v>
          </cell>
          <cell r="AY18" t="e">
            <v>#N/A</v>
          </cell>
          <cell r="AZ18" t="e">
            <v>#N/A</v>
          </cell>
          <cell r="BA18">
            <v>2500</v>
          </cell>
          <cell r="BB18" t="str">
            <v>Thùng 5 lớp 42x34x36</v>
          </cell>
          <cell r="BC18">
            <v>0</v>
          </cell>
          <cell r="BD18" t="e">
            <v>#N/A</v>
          </cell>
        </row>
        <row r="19">
          <cell r="A19" t="str">
            <v>sp 050</v>
          </cell>
          <cell r="B19" t="str">
            <v>Túi thuốc không in KT65x150x35</v>
          </cell>
          <cell r="C19">
            <v>0</v>
          </cell>
          <cell r="D19">
            <v>3</v>
          </cell>
          <cell r="E19" t="str">
            <v>OPP 20x680</v>
          </cell>
          <cell r="F19">
            <v>0</v>
          </cell>
          <cell r="G19" t="str">
            <v>OPP</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t="str">
            <v>MCPP 25x680</v>
          </cell>
          <cell r="AF19">
            <v>0</v>
          </cell>
          <cell r="AG19">
            <v>2.7846000000000003E-2</v>
          </cell>
          <cell r="AH19">
            <v>0.80400000000000005</v>
          </cell>
          <cell r="AI19">
            <v>0</v>
          </cell>
          <cell r="AJ19">
            <v>9530</v>
          </cell>
          <cell r="AK19">
            <v>0</v>
          </cell>
          <cell r="AL19">
            <v>1.8E-3</v>
          </cell>
          <cell r="AM19" t="str">
            <v>túi hàn lưng xếp hông</v>
          </cell>
          <cell r="AN19">
            <v>150</v>
          </cell>
          <cell r="AO19" t="str">
            <v>Công ty CP DL và VTYT Hải Phòng</v>
          </cell>
          <cell r="AP19" t="e">
            <v>#N/A</v>
          </cell>
          <cell r="AQ19" t="e">
            <v>#N/A</v>
          </cell>
          <cell r="AR19" t="e">
            <v>#N/A</v>
          </cell>
          <cell r="AS19" t="e">
            <v>#N/A</v>
          </cell>
          <cell r="AT19" t="e">
            <v>#N/A</v>
          </cell>
          <cell r="AU19" t="e">
            <v>#N/A</v>
          </cell>
          <cell r="AV19" t="e">
            <v>#N/A</v>
          </cell>
          <cell r="AW19" t="e">
            <v>#N/A</v>
          </cell>
          <cell r="AX19" t="e">
            <v>#N/A</v>
          </cell>
          <cell r="AY19" t="e">
            <v>#N/A</v>
          </cell>
          <cell r="AZ19" t="e">
            <v>#N/A</v>
          </cell>
          <cell r="BA19">
            <v>15000</v>
          </cell>
          <cell r="BB19" t="str">
            <v>Thùng 5 lớp 42x34x36</v>
          </cell>
          <cell r="BC19">
            <v>0</v>
          </cell>
          <cell r="BD19" t="e">
            <v>#N/A</v>
          </cell>
        </row>
        <row r="20">
          <cell r="A20" t="str">
            <v>sp 051</v>
          </cell>
          <cell r="B20" t="str">
            <v>Cuộn ngũ cốc cao tuổi 25gr Sing Việt</v>
          </cell>
          <cell r="C20">
            <v>8.0699999999999985</v>
          </cell>
          <cell r="D20">
            <v>5</v>
          </cell>
          <cell r="E20" t="str">
            <v>OPP 30 x 970</v>
          </cell>
          <cell r="F20">
            <v>6</v>
          </cell>
          <cell r="G20" t="str">
            <v>OPP</v>
          </cell>
          <cell r="H20">
            <v>0.18</v>
          </cell>
          <cell r="I20">
            <v>3.05</v>
          </cell>
          <cell r="J20">
            <v>7.0000000000000007E-2</v>
          </cell>
          <cell r="K20">
            <v>1.01</v>
          </cell>
          <cell r="L20">
            <v>2.0099999999999998</v>
          </cell>
          <cell r="M20">
            <v>1.64</v>
          </cell>
          <cell r="N20">
            <v>0</v>
          </cell>
          <cell r="O20">
            <v>0</v>
          </cell>
          <cell r="P20">
            <v>0.1</v>
          </cell>
          <cell r="Q20">
            <v>0</v>
          </cell>
          <cell r="R20">
            <v>0</v>
          </cell>
          <cell r="S20">
            <v>0</v>
          </cell>
          <cell r="T20">
            <v>0.01</v>
          </cell>
          <cell r="U20">
            <v>0</v>
          </cell>
          <cell r="V20">
            <v>0</v>
          </cell>
          <cell r="W20">
            <v>0</v>
          </cell>
          <cell r="X20">
            <v>0</v>
          </cell>
          <cell r="Y20">
            <v>0</v>
          </cell>
          <cell r="Z20">
            <v>0</v>
          </cell>
          <cell r="AA20">
            <v>0</v>
          </cell>
          <cell r="AB20">
            <v>0</v>
          </cell>
          <cell r="AC20">
            <v>0</v>
          </cell>
          <cell r="AD20">
            <v>0</v>
          </cell>
          <cell r="AE20" t="str">
            <v>MCPP25 x 970</v>
          </cell>
          <cell r="AF20">
            <v>0</v>
          </cell>
          <cell r="AG20">
            <v>4.8548500000000001E-2</v>
          </cell>
          <cell r="AH20">
            <v>1.2799999999999998</v>
          </cell>
          <cell r="AI20">
            <v>0</v>
          </cell>
          <cell r="AJ20">
            <v>9530</v>
          </cell>
          <cell r="AK20">
            <v>9530</v>
          </cell>
          <cell r="AL20">
            <v>2E-3</v>
          </cell>
          <cell r="AM20" t="str">
            <v>dạng cuộn 1000m</v>
          </cell>
          <cell r="AN20">
            <v>190</v>
          </cell>
          <cell r="AO20" t="str">
            <v>Công ty CP Sinh Việt</v>
          </cell>
          <cell r="AP20" t="str">
            <v>1909933-1</v>
          </cell>
          <cell r="AQ20" t="str">
            <v>1705971-2</v>
          </cell>
          <cell r="AR20" t="str">
            <v>1407462-3</v>
          </cell>
          <cell r="AS20" t="str">
            <v>1407462-4</v>
          </cell>
          <cell r="AT20" t="str">
            <v>1712059-5</v>
          </cell>
          <cell r="AU20" t="str">
            <v>1712059-6</v>
          </cell>
          <cell r="AV20">
            <v>0</v>
          </cell>
          <cell r="AW20">
            <v>0</v>
          </cell>
          <cell r="AX20">
            <v>0</v>
          </cell>
          <cell r="AY20" t="str">
            <v>480x1100</v>
          </cell>
          <cell r="AZ20" t="str">
            <v>M1</v>
          </cell>
          <cell r="BA20" t="str">
            <v>2c</v>
          </cell>
          <cell r="BB20" t="str">
            <v>giấy cartoon K500</v>
          </cell>
          <cell r="BC20">
            <v>0</v>
          </cell>
          <cell r="BD20">
            <v>0</v>
          </cell>
        </row>
        <row r="21">
          <cell r="A21" t="str">
            <v>sp 052</v>
          </cell>
          <cell r="B21" t="str">
            <v>Túi ngũ cốc cao tuổi 500gr Sing Việt</v>
          </cell>
          <cell r="C21">
            <v>5.589999999999999</v>
          </cell>
          <cell r="D21">
            <v>1</v>
          </cell>
          <cell r="E21" t="str">
            <v>OPP 20 x 645</v>
          </cell>
          <cell r="F21">
            <v>6</v>
          </cell>
          <cell r="G21" t="str">
            <v>OPP</v>
          </cell>
          <cell r="H21">
            <v>0.39</v>
          </cell>
          <cell r="I21">
            <v>0</v>
          </cell>
          <cell r="J21">
            <v>0.46</v>
          </cell>
          <cell r="K21">
            <v>1.66</v>
          </cell>
          <cell r="L21">
            <v>1.93</v>
          </cell>
          <cell r="M21">
            <v>1.0900000000000001</v>
          </cell>
          <cell r="N21">
            <v>0</v>
          </cell>
          <cell r="O21">
            <v>0</v>
          </cell>
          <cell r="P21">
            <v>0.05</v>
          </cell>
          <cell r="Q21">
            <v>0</v>
          </cell>
          <cell r="R21">
            <v>0</v>
          </cell>
          <cell r="S21">
            <v>0</v>
          </cell>
          <cell r="T21">
            <v>0.01</v>
          </cell>
          <cell r="U21">
            <v>0</v>
          </cell>
          <cell r="V21">
            <v>0</v>
          </cell>
          <cell r="W21">
            <v>0</v>
          </cell>
          <cell r="X21">
            <v>0</v>
          </cell>
          <cell r="Y21">
            <v>0</v>
          </cell>
          <cell r="Z21">
            <v>0</v>
          </cell>
          <cell r="AA21">
            <v>0</v>
          </cell>
          <cell r="AB21">
            <v>0</v>
          </cell>
          <cell r="AC21">
            <v>0</v>
          </cell>
          <cell r="AD21">
            <v>0</v>
          </cell>
          <cell r="AE21" t="str">
            <v>PE sứ 90x645</v>
          </cell>
          <cell r="AF21">
            <v>0</v>
          </cell>
          <cell r="AG21">
            <v>6.5435250000000014E-2</v>
          </cell>
          <cell r="AH21">
            <v>0.97366666666666657</v>
          </cell>
          <cell r="AI21">
            <v>0</v>
          </cell>
          <cell r="AJ21">
            <v>9530</v>
          </cell>
          <cell r="AK21">
            <v>0</v>
          </cell>
          <cell r="AL21">
            <v>2.3E-3</v>
          </cell>
          <cell r="AM21" t="str">
            <v>túi bốn biên</v>
          </cell>
          <cell r="AN21">
            <v>340</v>
          </cell>
          <cell r="AO21" t="str">
            <v>Công ty CP Sinh Việt</v>
          </cell>
          <cell r="AP21" t="str">
            <v>1912155-1</v>
          </cell>
          <cell r="AQ21" t="str">
            <v>21030919-2</v>
          </cell>
          <cell r="AR21" t="str">
            <v>1407463-3</v>
          </cell>
          <cell r="AS21" t="str">
            <v>1407463-4</v>
          </cell>
          <cell r="AT21" t="str">
            <v>1407463-5</v>
          </cell>
          <cell r="AU21" t="str">
            <v>1407464-6</v>
          </cell>
          <cell r="AV21" t="str">
            <v>20070428-0</v>
          </cell>
          <cell r="AW21">
            <v>0</v>
          </cell>
          <cell r="AX21">
            <v>0</v>
          </cell>
          <cell r="AY21" t="str">
            <v>650x750</v>
          </cell>
          <cell r="AZ21" t="str">
            <v>M1</v>
          </cell>
          <cell r="BA21">
            <v>1500</v>
          </cell>
          <cell r="BB21" t="str">
            <v>Thùng 5 lớp 42x34x36</v>
          </cell>
          <cell r="BC21">
            <v>0</v>
          </cell>
          <cell r="BD21" t="str">
            <v>in chung cây trắng sp 053</v>
          </cell>
        </row>
        <row r="22">
          <cell r="A22" t="str">
            <v>sp 052a</v>
          </cell>
          <cell r="B22" t="str">
            <v>Túi ngũ cốc cao tuổi 500gr Sing Việt (chương trình khuyến mãi)</v>
          </cell>
          <cell r="C22">
            <v>4.6400000000000006</v>
          </cell>
          <cell r="D22">
            <v>1</v>
          </cell>
          <cell r="E22" t="str">
            <v>OPP 30 x 645</v>
          </cell>
          <cell r="F22">
            <v>7</v>
          </cell>
          <cell r="G22" t="str">
            <v>OPP</v>
          </cell>
          <cell r="H22">
            <v>0.33</v>
          </cell>
          <cell r="I22">
            <v>0</v>
          </cell>
          <cell r="J22">
            <v>0.01</v>
          </cell>
          <cell r="K22">
            <v>0.46</v>
          </cell>
          <cell r="L22">
            <v>2.39</v>
          </cell>
          <cell r="M22">
            <v>1.19</v>
          </cell>
          <cell r="N22">
            <v>0</v>
          </cell>
          <cell r="O22">
            <v>0</v>
          </cell>
          <cell r="P22">
            <v>0</v>
          </cell>
          <cell r="Q22">
            <v>0</v>
          </cell>
          <cell r="R22">
            <v>0.13</v>
          </cell>
          <cell r="S22">
            <v>0</v>
          </cell>
          <cell r="T22">
            <v>0.13</v>
          </cell>
          <cell r="U22">
            <v>0</v>
          </cell>
          <cell r="V22">
            <v>0</v>
          </cell>
          <cell r="W22">
            <v>0</v>
          </cell>
          <cell r="X22">
            <v>0</v>
          </cell>
          <cell r="Y22">
            <v>0</v>
          </cell>
          <cell r="Z22">
            <v>0</v>
          </cell>
          <cell r="AA22">
            <v>0</v>
          </cell>
          <cell r="AB22">
            <v>0</v>
          </cell>
          <cell r="AC22">
            <v>0</v>
          </cell>
          <cell r="AD22">
            <v>0</v>
          </cell>
          <cell r="AE22" t="str">
            <v>PE sứ 80x645</v>
          </cell>
          <cell r="AF22">
            <v>0</v>
          </cell>
          <cell r="AG22">
            <v>6.5596500000000016E-2</v>
          </cell>
          <cell r="AH22">
            <v>0.97366666666666657</v>
          </cell>
          <cell r="AI22">
            <v>0</v>
          </cell>
          <cell r="AJ22">
            <v>9530</v>
          </cell>
          <cell r="AK22">
            <v>0</v>
          </cell>
          <cell r="AL22">
            <v>2.3E-3</v>
          </cell>
          <cell r="AM22" t="str">
            <v>túi bốn biên</v>
          </cell>
          <cell r="AN22">
            <v>340</v>
          </cell>
          <cell r="AO22" t="str">
            <v>Công ty CP Sinh Việt</v>
          </cell>
          <cell r="AP22" t="e">
            <v>#N/A</v>
          </cell>
          <cell r="AQ22" t="e">
            <v>#N/A</v>
          </cell>
          <cell r="AR22" t="e">
            <v>#N/A</v>
          </cell>
          <cell r="AS22" t="e">
            <v>#N/A</v>
          </cell>
          <cell r="AT22" t="e">
            <v>#N/A</v>
          </cell>
          <cell r="AU22" t="e">
            <v>#N/A</v>
          </cell>
          <cell r="AV22" t="e">
            <v>#N/A</v>
          </cell>
          <cell r="AW22" t="e">
            <v>#N/A</v>
          </cell>
          <cell r="AX22" t="e">
            <v>#N/A</v>
          </cell>
          <cell r="AY22" t="e">
            <v>#N/A</v>
          </cell>
          <cell r="AZ22" t="e">
            <v>#N/A</v>
          </cell>
          <cell r="BA22">
            <v>1500</v>
          </cell>
          <cell r="BB22" t="str">
            <v>Thùng 5 lớp 42x34x36</v>
          </cell>
          <cell r="BC22">
            <v>0</v>
          </cell>
          <cell r="BD22" t="e">
            <v>#N/A</v>
          </cell>
        </row>
        <row r="23">
          <cell r="A23" t="str">
            <v>sp 053</v>
          </cell>
          <cell r="B23" t="str">
            <v>Túi ngũ cốc ăn kiêng 500gr Sing Việt</v>
          </cell>
          <cell r="C23">
            <v>3.2600000000000002</v>
          </cell>
          <cell r="D23">
            <v>1</v>
          </cell>
          <cell r="E23" t="str">
            <v>OPP 20x645</v>
          </cell>
          <cell r="F23">
            <v>6</v>
          </cell>
          <cell r="G23" t="str">
            <v>OPP</v>
          </cell>
          <cell r="H23">
            <v>0.2</v>
          </cell>
          <cell r="I23">
            <v>0</v>
          </cell>
          <cell r="J23">
            <v>0.26</v>
          </cell>
          <cell r="K23">
            <v>0.4</v>
          </cell>
          <cell r="L23">
            <v>1.5</v>
          </cell>
          <cell r="M23">
            <v>0.8</v>
          </cell>
          <cell r="N23">
            <v>0</v>
          </cell>
          <cell r="O23">
            <v>0</v>
          </cell>
          <cell r="P23">
            <v>0</v>
          </cell>
          <cell r="Q23">
            <v>0</v>
          </cell>
          <cell r="R23">
            <v>0</v>
          </cell>
          <cell r="S23">
            <v>0</v>
          </cell>
          <cell r="T23">
            <v>0.1</v>
          </cell>
          <cell r="U23">
            <v>0</v>
          </cell>
          <cell r="V23">
            <v>0</v>
          </cell>
          <cell r="W23">
            <v>0</v>
          </cell>
          <cell r="X23">
            <v>0</v>
          </cell>
          <cell r="Y23">
            <v>0</v>
          </cell>
          <cell r="Z23">
            <v>0</v>
          </cell>
          <cell r="AA23">
            <v>0</v>
          </cell>
          <cell r="AB23">
            <v>0</v>
          </cell>
          <cell r="AC23">
            <v>0</v>
          </cell>
          <cell r="AD23">
            <v>0</v>
          </cell>
          <cell r="AE23" t="str">
            <v>PE sứ 90x645</v>
          </cell>
          <cell r="AF23">
            <v>0</v>
          </cell>
          <cell r="AG23">
            <v>6.5435250000000014E-2</v>
          </cell>
          <cell r="AH23">
            <v>0.97366666666666657</v>
          </cell>
          <cell r="AI23">
            <v>0</v>
          </cell>
          <cell r="AJ23">
            <v>9530</v>
          </cell>
          <cell r="AK23">
            <v>0</v>
          </cell>
          <cell r="AL23">
            <v>2.3E-3</v>
          </cell>
          <cell r="AM23" t="str">
            <v>túi bốn biên</v>
          </cell>
          <cell r="AN23">
            <v>340</v>
          </cell>
          <cell r="AO23" t="str">
            <v>Công ty CP Sinh Việt</v>
          </cell>
          <cell r="AP23" t="str">
            <v>1407464-1</v>
          </cell>
          <cell r="AQ23" t="str">
            <v>1407464-2</v>
          </cell>
          <cell r="AR23" t="str">
            <v>1407464-3</v>
          </cell>
          <cell r="AS23" t="str">
            <v>1407464-4</v>
          </cell>
          <cell r="AT23" t="str">
            <v>1407464-5</v>
          </cell>
          <cell r="AU23" t="str">
            <v>1407464-6</v>
          </cell>
          <cell r="AV23">
            <v>0</v>
          </cell>
          <cell r="AW23">
            <v>0</v>
          </cell>
          <cell r="AX23">
            <v>0</v>
          </cell>
          <cell r="AY23" t="str">
            <v>650x750</v>
          </cell>
          <cell r="AZ23" t="str">
            <v>M1</v>
          </cell>
          <cell r="BA23">
            <v>1200</v>
          </cell>
          <cell r="BB23" t="str">
            <v>Thùng 5 lớp 42x34x36</v>
          </cell>
          <cell r="BC23">
            <v>0</v>
          </cell>
          <cell r="BD23">
            <v>0</v>
          </cell>
        </row>
        <row r="24">
          <cell r="A24" t="str">
            <v>sp 059</v>
          </cell>
          <cell r="B24" t="str">
            <v>Túi muối biển xanh 950gr Hanufood</v>
          </cell>
          <cell r="C24">
            <v>5.4799999999999995</v>
          </cell>
          <cell r="D24">
            <v>2</v>
          </cell>
          <cell r="E24" t="str">
            <v>OPP 20x800</v>
          </cell>
          <cell r="F24">
            <v>5</v>
          </cell>
          <cell r="G24" t="str">
            <v>OPP</v>
          </cell>
          <cell r="H24">
            <v>0.09</v>
          </cell>
          <cell r="I24">
            <v>1.97</v>
          </cell>
          <cell r="J24">
            <v>0.46</v>
          </cell>
          <cell r="K24">
            <v>0.01</v>
          </cell>
          <cell r="L24">
            <v>1</v>
          </cell>
          <cell r="M24">
            <v>0.77</v>
          </cell>
          <cell r="N24">
            <v>0</v>
          </cell>
          <cell r="O24">
            <v>0</v>
          </cell>
          <cell r="P24">
            <v>1.18</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t="str">
            <v>PE 65x800</v>
          </cell>
          <cell r="AF24">
            <v>0</v>
          </cell>
          <cell r="AG24">
            <v>6.2660000000000007E-2</v>
          </cell>
          <cell r="AH24">
            <v>1.3166666666666669</v>
          </cell>
          <cell r="AI24">
            <v>0</v>
          </cell>
          <cell r="AJ24">
            <v>9530</v>
          </cell>
          <cell r="AK24">
            <v>0</v>
          </cell>
          <cell r="AL24">
            <v>2.5000000000000001E-3</v>
          </cell>
          <cell r="AM24" t="str">
            <v>túi ba biên</v>
          </cell>
          <cell r="AN24">
            <v>295</v>
          </cell>
          <cell r="AO24" t="str">
            <v>Công ty CP Muối Visaco</v>
          </cell>
          <cell r="AP24" t="str">
            <v>1702827-1</v>
          </cell>
          <cell r="AQ24" t="str">
            <v>1408353-2</v>
          </cell>
          <cell r="AR24" t="str">
            <v>1607581-3</v>
          </cell>
          <cell r="AS24" t="str">
            <v>1408353-4</v>
          </cell>
          <cell r="AT24" t="str">
            <v>1408353-5</v>
          </cell>
          <cell r="AU24">
            <v>0</v>
          </cell>
          <cell r="AV24">
            <v>0</v>
          </cell>
          <cell r="AW24">
            <v>0</v>
          </cell>
          <cell r="AX24">
            <v>0</v>
          </cell>
          <cell r="AY24" t="str">
            <v>590x850</v>
          </cell>
          <cell r="AZ24" t="str">
            <v>M1</v>
          </cell>
          <cell r="BA24">
            <v>3000</v>
          </cell>
          <cell r="BB24" t="str">
            <v>Thùng 5 lớp 42x34x36</v>
          </cell>
          <cell r="BC24">
            <v>0</v>
          </cell>
          <cell r="BD24">
            <v>0</v>
          </cell>
        </row>
        <row r="25">
          <cell r="A25" t="str">
            <v>sp 063</v>
          </cell>
          <cell r="B25" t="str">
            <v>Túi muối I ốt Hà nội 450g</v>
          </cell>
          <cell r="C25">
            <v>3.04</v>
          </cell>
          <cell r="D25">
            <v>3</v>
          </cell>
          <cell r="E25" t="str">
            <v>OPP 20x640</v>
          </cell>
          <cell r="F25">
            <v>5</v>
          </cell>
          <cell r="G25" t="str">
            <v>OPP</v>
          </cell>
          <cell r="H25">
            <v>0.2</v>
          </cell>
          <cell r="I25">
            <v>1</v>
          </cell>
          <cell r="J25">
            <v>0.4</v>
          </cell>
          <cell r="K25">
            <v>0</v>
          </cell>
          <cell r="L25">
            <v>1.04</v>
          </cell>
          <cell r="M25">
            <v>0</v>
          </cell>
          <cell r="N25">
            <v>0</v>
          </cell>
          <cell r="O25">
            <v>0</v>
          </cell>
          <cell r="P25">
            <v>0.1</v>
          </cell>
          <cell r="Q25">
            <v>0.3</v>
          </cell>
          <cell r="R25">
            <v>0</v>
          </cell>
          <cell r="S25">
            <v>0</v>
          </cell>
          <cell r="T25">
            <v>0</v>
          </cell>
          <cell r="U25">
            <v>0</v>
          </cell>
          <cell r="V25">
            <v>0</v>
          </cell>
          <cell r="W25">
            <v>0</v>
          </cell>
          <cell r="X25">
            <v>0</v>
          </cell>
          <cell r="Y25">
            <v>0</v>
          </cell>
          <cell r="Z25">
            <v>0</v>
          </cell>
          <cell r="AA25">
            <v>0</v>
          </cell>
          <cell r="AB25">
            <v>0</v>
          </cell>
          <cell r="AC25">
            <v>0</v>
          </cell>
          <cell r="AD25">
            <v>0</v>
          </cell>
          <cell r="AE25" t="str">
            <v>PE 65x640</v>
          </cell>
          <cell r="AF25">
            <v>0</v>
          </cell>
          <cell r="AG25">
            <v>5.0128000000000006E-2</v>
          </cell>
          <cell r="AH25">
            <v>0.84</v>
          </cell>
          <cell r="AI25">
            <v>0</v>
          </cell>
          <cell r="AJ25">
            <v>9530</v>
          </cell>
          <cell r="AK25">
            <v>0</v>
          </cell>
          <cell r="AL25">
            <v>2E-3</v>
          </cell>
          <cell r="AM25" t="str">
            <v>túi ba biên</v>
          </cell>
          <cell r="AN25">
            <v>212</v>
          </cell>
          <cell r="AO25" t="str">
            <v>Công ty CP Muối Visaco</v>
          </cell>
          <cell r="AP25" t="str">
            <v>1505020-1</v>
          </cell>
          <cell r="AQ25" t="str">
            <v>1505020-2</v>
          </cell>
          <cell r="AR25" t="str">
            <v>1505020-3</v>
          </cell>
          <cell r="AS25" t="str">
            <v>1505020-4</v>
          </cell>
          <cell r="AT25">
            <v>0</v>
          </cell>
          <cell r="AU25">
            <v>0</v>
          </cell>
          <cell r="AV25">
            <v>0</v>
          </cell>
          <cell r="AW25">
            <v>0</v>
          </cell>
          <cell r="AX25">
            <v>0</v>
          </cell>
          <cell r="AY25" t="str">
            <v>424x750</v>
          </cell>
          <cell r="AZ25" t="str">
            <v>M1</v>
          </cell>
          <cell r="BA25">
            <v>6000</v>
          </cell>
          <cell r="BB25" t="str">
            <v>Thùng 5 lớp 42x34x36</v>
          </cell>
          <cell r="BC25">
            <v>0</v>
          </cell>
          <cell r="BD25">
            <v>0</v>
          </cell>
        </row>
        <row r="26">
          <cell r="A26" t="str">
            <v>sp 065</v>
          </cell>
          <cell r="B26" t="str">
            <v>Cuộn bánh potato Libra KT 150 x 95</v>
          </cell>
          <cell r="C26">
            <v>6.15</v>
          </cell>
          <cell r="D26">
            <v>6</v>
          </cell>
          <cell r="E26" t="str">
            <v>OPP 20 x 920</v>
          </cell>
          <cell r="F26">
            <v>5</v>
          </cell>
          <cell r="G26" t="str">
            <v>OPP</v>
          </cell>
          <cell r="H26">
            <v>0.01</v>
          </cell>
          <cell r="I26">
            <v>3.49</v>
          </cell>
          <cell r="J26">
            <v>0.33</v>
          </cell>
          <cell r="K26">
            <v>0.14000000000000001</v>
          </cell>
          <cell r="L26">
            <v>1.3</v>
          </cell>
          <cell r="M26">
            <v>0.88</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t="str">
            <v>MCPP 23 x 920</v>
          </cell>
          <cell r="AF26">
            <v>0</v>
          </cell>
          <cell r="AG26">
            <v>3.59996E-2</v>
          </cell>
          <cell r="AH26">
            <v>1.2133333333333334</v>
          </cell>
          <cell r="AI26">
            <v>0</v>
          </cell>
          <cell r="AJ26">
            <v>9530</v>
          </cell>
          <cell r="AK26">
            <v>0</v>
          </cell>
          <cell r="AL26">
            <v>2E-3</v>
          </cell>
          <cell r="AM26" t="str">
            <v>dạng cuộn 1000m</v>
          </cell>
          <cell r="AN26">
            <v>150</v>
          </cell>
          <cell r="AO26" t="str">
            <v>Công ty Libra</v>
          </cell>
          <cell r="AP26" t="e">
            <v>#N/A</v>
          </cell>
          <cell r="AQ26" t="e">
            <v>#N/A</v>
          </cell>
          <cell r="AR26" t="e">
            <v>#N/A</v>
          </cell>
          <cell r="AS26" t="e">
            <v>#N/A</v>
          </cell>
          <cell r="AT26" t="e">
            <v>#N/A</v>
          </cell>
          <cell r="AU26" t="e">
            <v>#N/A</v>
          </cell>
          <cell r="AV26" t="e">
            <v>#N/A</v>
          </cell>
          <cell r="AW26" t="e">
            <v>#N/A</v>
          </cell>
          <cell r="AX26" t="e">
            <v>#N/A</v>
          </cell>
          <cell r="AY26" t="e">
            <v>#N/A</v>
          </cell>
          <cell r="AZ26" t="e">
            <v>#N/A</v>
          </cell>
          <cell r="BA26" t="str">
            <v>4c</v>
          </cell>
          <cell r="BB26" t="str">
            <v>giấy cartoon K800</v>
          </cell>
          <cell r="BC26">
            <v>0</v>
          </cell>
          <cell r="BD26" t="e">
            <v>#N/A</v>
          </cell>
        </row>
        <row r="27">
          <cell r="A27" t="str">
            <v>sp 066</v>
          </cell>
          <cell r="B27" t="str">
            <v>Cuộn bánh potato Libra KT 190 x 110</v>
          </cell>
          <cell r="C27">
            <v>6.0400000000000009</v>
          </cell>
          <cell r="D27">
            <v>4</v>
          </cell>
          <cell r="E27" t="str">
            <v>OPP 20x780</v>
          </cell>
          <cell r="F27">
            <v>5</v>
          </cell>
          <cell r="G27" t="str">
            <v>OPP</v>
          </cell>
          <cell r="H27">
            <v>0.14000000000000001</v>
          </cell>
          <cell r="I27">
            <v>2.61</v>
          </cell>
          <cell r="J27">
            <v>0.31</v>
          </cell>
          <cell r="K27">
            <v>0.06</v>
          </cell>
          <cell r="L27">
            <v>1.69</v>
          </cell>
          <cell r="M27">
            <v>1.23</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t="str">
            <v>MCPP 25x780</v>
          </cell>
          <cell r="AF27">
            <v>0</v>
          </cell>
          <cell r="AG27">
            <v>3.1941000000000004E-2</v>
          </cell>
          <cell r="AH27">
            <v>1.0266666666666666</v>
          </cell>
          <cell r="AI27">
            <v>0</v>
          </cell>
          <cell r="AJ27">
            <v>9530</v>
          </cell>
          <cell r="AK27">
            <v>0</v>
          </cell>
          <cell r="AL27">
            <v>2E-3</v>
          </cell>
          <cell r="AM27" t="str">
            <v>dạng cuộn 1000m</v>
          </cell>
          <cell r="AN27">
            <v>190</v>
          </cell>
          <cell r="AO27" t="str">
            <v>Công ty Libra</v>
          </cell>
          <cell r="AP27" t="e">
            <v>#N/A</v>
          </cell>
          <cell r="AQ27" t="e">
            <v>#N/A</v>
          </cell>
          <cell r="AR27" t="e">
            <v>#N/A</v>
          </cell>
          <cell r="AS27" t="e">
            <v>#N/A</v>
          </cell>
          <cell r="AT27" t="e">
            <v>#N/A</v>
          </cell>
          <cell r="AU27" t="e">
            <v>#N/A</v>
          </cell>
          <cell r="AV27" t="e">
            <v>#N/A</v>
          </cell>
          <cell r="AW27" t="e">
            <v>#N/A</v>
          </cell>
          <cell r="AX27" t="e">
            <v>#N/A</v>
          </cell>
          <cell r="AY27" t="e">
            <v>#N/A</v>
          </cell>
          <cell r="AZ27" t="e">
            <v>#N/A</v>
          </cell>
          <cell r="BA27" t="str">
            <v>3c</v>
          </cell>
          <cell r="BB27" t="str">
            <v>giấy cartoon</v>
          </cell>
          <cell r="BC27">
            <v>0</v>
          </cell>
          <cell r="BD27" t="e">
            <v>#N/A</v>
          </cell>
        </row>
        <row r="28">
          <cell r="A28" t="str">
            <v>sp 077</v>
          </cell>
          <cell r="B28" t="str">
            <v>Cuộn bánh bao nhân xíu mại bò 300g Phú Mỹ</v>
          </cell>
          <cell r="C28">
            <v>8.6300000000000008</v>
          </cell>
          <cell r="D28">
            <v>2</v>
          </cell>
          <cell r="E28" t="str">
            <v>OPP 20x730</v>
          </cell>
          <cell r="F28">
            <v>7</v>
          </cell>
          <cell r="G28" t="str">
            <v>OPP</v>
          </cell>
          <cell r="H28">
            <v>0.18</v>
          </cell>
          <cell r="I28">
            <v>2.13</v>
          </cell>
          <cell r="J28">
            <v>0.36</v>
          </cell>
          <cell r="K28">
            <v>1.24</v>
          </cell>
          <cell r="L28">
            <v>1.87</v>
          </cell>
          <cell r="M28">
            <v>1.42</v>
          </cell>
          <cell r="N28">
            <v>0</v>
          </cell>
          <cell r="O28">
            <v>0</v>
          </cell>
          <cell r="P28">
            <v>0.62</v>
          </cell>
          <cell r="Q28">
            <v>0.8</v>
          </cell>
          <cell r="R28">
            <v>0</v>
          </cell>
          <cell r="S28">
            <v>0</v>
          </cell>
          <cell r="T28">
            <v>0.01</v>
          </cell>
          <cell r="U28">
            <v>0</v>
          </cell>
          <cell r="V28">
            <v>0</v>
          </cell>
          <cell r="W28">
            <v>0</v>
          </cell>
          <cell r="X28">
            <v>0</v>
          </cell>
          <cell r="Y28">
            <v>0</v>
          </cell>
          <cell r="Z28">
            <v>0</v>
          </cell>
          <cell r="AA28">
            <v>0</v>
          </cell>
          <cell r="AB28">
            <v>0</v>
          </cell>
          <cell r="AC28">
            <v>0</v>
          </cell>
          <cell r="AD28">
            <v>0</v>
          </cell>
          <cell r="AE28" t="str">
            <v>PE 55x730</v>
          </cell>
          <cell r="AF28">
            <v>0</v>
          </cell>
          <cell r="AG28">
            <v>5.0424749999999997E-2</v>
          </cell>
          <cell r="AH28">
            <v>0.96</v>
          </cell>
          <cell r="AI28">
            <v>0</v>
          </cell>
          <cell r="AJ28">
            <v>9530</v>
          </cell>
          <cell r="AK28">
            <v>0</v>
          </cell>
          <cell r="AL28">
            <v>2E-3</v>
          </cell>
          <cell r="AM28" t="str">
            <v>dạng cuộn 500m</v>
          </cell>
          <cell r="AN28">
            <v>355</v>
          </cell>
          <cell r="AO28" t="str">
            <v>Công ty Phú Mỹ</v>
          </cell>
          <cell r="AP28" t="str">
            <v>18121024-1</v>
          </cell>
          <cell r="AQ28" t="str">
            <v>1310563-2</v>
          </cell>
          <cell r="AR28" t="str">
            <v>1310563-3</v>
          </cell>
          <cell r="AS28" t="str">
            <v>1310563-4</v>
          </cell>
          <cell r="AT28" t="str">
            <v>1310563-5</v>
          </cell>
          <cell r="AU28" t="str">
            <v>1310563-6</v>
          </cell>
          <cell r="AV28" t="str">
            <v>1310562-7</v>
          </cell>
          <cell r="AW28">
            <v>0</v>
          </cell>
          <cell r="AX28">
            <v>0</v>
          </cell>
          <cell r="AY28" t="str">
            <v>532x850</v>
          </cell>
          <cell r="AZ28" t="str">
            <v>V1</v>
          </cell>
          <cell r="BA28" t="str">
            <v>1c</v>
          </cell>
          <cell r="BB28" t="str">
            <v>giấy cartoon K500</v>
          </cell>
          <cell r="BC28">
            <v>0</v>
          </cell>
          <cell r="BD28" t="str">
            <v>in chung cây trắng vs sp 088+087 : 1310562</v>
          </cell>
        </row>
        <row r="29">
          <cell r="A29" t="str">
            <v>sp 078</v>
          </cell>
          <cell r="B29" t="str">
            <v>Cuộn bánh trứng lipo bơ 230g Alpha</v>
          </cell>
          <cell r="C29">
            <v>6.39</v>
          </cell>
          <cell r="D29">
            <v>7</v>
          </cell>
          <cell r="E29" t="str">
            <v>OPP 20 x 1000</v>
          </cell>
          <cell r="F29">
            <v>7</v>
          </cell>
          <cell r="G29" t="str">
            <v>OPP</v>
          </cell>
          <cell r="H29">
            <v>0.02</v>
          </cell>
          <cell r="I29">
            <v>3.06</v>
          </cell>
          <cell r="J29">
            <v>0.01</v>
          </cell>
          <cell r="K29">
            <v>0.47</v>
          </cell>
          <cell r="L29">
            <v>1.95</v>
          </cell>
          <cell r="M29">
            <v>0.34</v>
          </cell>
          <cell r="N29">
            <v>0</v>
          </cell>
          <cell r="O29">
            <v>0</v>
          </cell>
          <cell r="P29">
            <v>7.0000000000000007E-2</v>
          </cell>
          <cell r="Q29">
            <v>0.47</v>
          </cell>
          <cell r="R29">
            <v>0</v>
          </cell>
          <cell r="S29">
            <v>0</v>
          </cell>
          <cell r="T29">
            <v>0</v>
          </cell>
          <cell r="U29">
            <v>0</v>
          </cell>
          <cell r="V29">
            <v>0</v>
          </cell>
          <cell r="W29">
            <v>0</v>
          </cell>
          <cell r="X29">
            <v>0</v>
          </cell>
          <cell r="Y29">
            <v>0</v>
          </cell>
          <cell r="Z29">
            <v>0</v>
          </cell>
          <cell r="AA29">
            <v>0</v>
          </cell>
          <cell r="AB29">
            <v>0</v>
          </cell>
          <cell r="AC29">
            <v>0</v>
          </cell>
          <cell r="AD29">
            <v>0</v>
          </cell>
          <cell r="AE29" t="str">
            <v>MCPP 25 x 1000</v>
          </cell>
          <cell r="AF29">
            <v>0</v>
          </cell>
          <cell r="AG29">
            <v>4.095E-2</v>
          </cell>
          <cell r="AH29">
            <v>1.4520000000000002</v>
          </cell>
          <cell r="AI29">
            <v>0</v>
          </cell>
          <cell r="AJ29">
            <v>9530</v>
          </cell>
          <cell r="AK29">
            <v>0</v>
          </cell>
          <cell r="AL29">
            <v>2.2000000000000001E-3</v>
          </cell>
          <cell r="AM29" t="str">
            <v>dạng cuộn 1000m</v>
          </cell>
          <cell r="AN29">
            <v>140</v>
          </cell>
          <cell r="AO29" t="str">
            <v>Công ty Quốc tế Alpha</v>
          </cell>
          <cell r="AP29" t="e">
            <v>#N/A</v>
          </cell>
          <cell r="AQ29" t="e">
            <v>#N/A</v>
          </cell>
          <cell r="AR29" t="e">
            <v>#N/A</v>
          </cell>
          <cell r="AS29" t="e">
            <v>#N/A</v>
          </cell>
          <cell r="AT29" t="e">
            <v>#N/A</v>
          </cell>
          <cell r="AU29" t="e">
            <v>#N/A</v>
          </cell>
          <cell r="AV29" t="e">
            <v>#N/A</v>
          </cell>
          <cell r="AW29" t="e">
            <v>#N/A</v>
          </cell>
          <cell r="AX29" t="e">
            <v>#N/A</v>
          </cell>
          <cell r="AY29" t="e">
            <v>#N/A</v>
          </cell>
          <cell r="AZ29" t="e">
            <v>#N/A</v>
          </cell>
          <cell r="BA29" t="str">
            <v>2c</v>
          </cell>
          <cell r="BB29" t="str">
            <v>Thùng 3 lớp 55x28x16</v>
          </cell>
          <cell r="BC29">
            <v>0</v>
          </cell>
          <cell r="BD29" t="e">
            <v>#N/A</v>
          </cell>
        </row>
        <row r="30">
          <cell r="A30" t="str">
            <v>sp 082</v>
          </cell>
          <cell r="B30" t="str">
            <v>Túi bánh trứng lipo bơ 230gr Aphal</v>
          </cell>
          <cell r="C30">
            <v>6.6000000000000005</v>
          </cell>
          <cell r="D30">
            <v>1</v>
          </cell>
          <cell r="E30" t="str">
            <v xml:space="preserve">OPP mờ 20 x 680 </v>
          </cell>
          <cell r="F30">
            <v>7</v>
          </cell>
          <cell r="G30" t="str">
            <v>OPP</v>
          </cell>
          <cell r="H30">
            <v>0.1</v>
          </cell>
          <cell r="I30">
            <v>3</v>
          </cell>
          <cell r="J30">
            <v>0.1</v>
          </cell>
          <cell r="K30">
            <v>0.4</v>
          </cell>
          <cell r="L30">
            <v>1.7</v>
          </cell>
          <cell r="M30">
            <v>0.7</v>
          </cell>
          <cell r="N30">
            <v>0</v>
          </cell>
          <cell r="O30">
            <v>0</v>
          </cell>
          <cell r="P30">
            <v>0.4</v>
          </cell>
          <cell r="Q30">
            <v>0.2</v>
          </cell>
          <cell r="R30">
            <v>0</v>
          </cell>
          <cell r="S30">
            <v>0</v>
          </cell>
          <cell r="T30">
            <v>0</v>
          </cell>
          <cell r="U30">
            <v>0</v>
          </cell>
          <cell r="V30">
            <v>0</v>
          </cell>
          <cell r="W30">
            <v>0</v>
          </cell>
          <cell r="X30">
            <v>0</v>
          </cell>
          <cell r="Y30">
            <v>0</v>
          </cell>
          <cell r="Z30">
            <v>0</v>
          </cell>
          <cell r="AA30">
            <v>0</v>
          </cell>
          <cell r="AB30">
            <v>0</v>
          </cell>
          <cell r="AC30">
            <v>0</v>
          </cell>
          <cell r="AD30">
            <v>0</v>
          </cell>
          <cell r="AE30" t="str">
            <v>MPET 12x680</v>
          </cell>
          <cell r="AF30" t="str">
            <v>PE 30x680</v>
          </cell>
          <cell r="AG30">
            <v>4.2670000000000007E-2</v>
          </cell>
          <cell r="AH30">
            <v>1.0273333333333332</v>
          </cell>
          <cell r="AI30">
            <v>1.587</v>
          </cell>
          <cell r="AJ30">
            <v>9530</v>
          </cell>
          <cell r="AK30">
            <v>9690</v>
          </cell>
          <cell r="AL30" t="str">
            <v>0,0046(0,0023;0,0023)</v>
          </cell>
          <cell r="AM30" t="str">
            <v>túi ba biên</v>
          </cell>
          <cell r="AN30">
            <v>295</v>
          </cell>
          <cell r="AO30" t="str">
            <v>Công ty Quốc tế Alpha</v>
          </cell>
          <cell r="AP30" t="e">
            <v>#N/A</v>
          </cell>
          <cell r="AQ30" t="e">
            <v>#N/A</v>
          </cell>
          <cell r="AR30" t="e">
            <v>#N/A</v>
          </cell>
          <cell r="AS30" t="e">
            <v>#N/A</v>
          </cell>
          <cell r="AT30" t="e">
            <v>#N/A</v>
          </cell>
          <cell r="AU30" t="e">
            <v>#N/A</v>
          </cell>
          <cell r="AV30" t="e">
            <v>#N/A</v>
          </cell>
          <cell r="AW30" t="e">
            <v>#N/A</v>
          </cell>
          <cell r="AX30" t="e">
            <v>#N/A</v>
          </cell>
          <cell r="AY30" t="e">
            <v>#N/A</v>
          </cell>
          <cell r="AZ30" t="e">
            <v>#N/A</v>
          </cell>
          <cell r="BA30">
            <v>2500</v>
          </cell>
          <cell r="BB30" t="str">
            <v>Thùng 5 lớp 42x34x36</v>
          </cell>
          <cell r="BC30">
            <v>0</v>
          </cell>
          <cell r="BD30" t="e">
            <v>#N/A</v>
          </cell>
        </row>
        <row r="31">
          <cell r="A31" t="str">
            <v>sp 083</v>
          </cell>
          <cell r="B31" t="str">
            <v>Cuộn trà cozy hương quế Vĩnh Phúc</v>
          </cell>
          <cell r="C31">
            <v>0</v>
          </cell>
          <cell r="D31">
            <v>4</v>
          </cell>
          <cell r="E31" t="str">
            <v>OPP mờ 20x640</v>
          </cell>
          <cell r="F31">
            <v>6</v>
          </cell>
          <cell r="G31" t="str">
            <v>OPP</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t="str">
            <v>MCPP 35x640</v>
          </cell>
          <cell r="AF31">
            <v>0</v>
          </cell>
          <cell r="AG31">
            <v>3.2032000000000005E-2</v>
          </cell>
          <cell r="AH31">
            <v>0.84</v>
          </cell>
          <cell r="AI31">
            <v>0</v>
          </cell>
          <cell r="AJ31">
            <v>9530</v>
          </cell>
          <cell r="AK31">
            <v>0</v>
          </cell>
          <cell r="AL31">
            <v>2E-3</v>
          </cell>
          <cell r="AM31" t="str">
            <v>dạng cuộn 1500m</v>
          </cell>
          <cell r="AN31">
            <v>155</v>
          </cell>
          <cell r="AO31" t="str">
            <v>Công ty TNHH Thế hệ mới Vĩnh Phúc</v>
          </cell>
          <cell r="AP31" t="str">
            <v>1410590-1</v>
          </cell>
          <cell r="AQ31" t="str">
            <v>1410590-2</v>
          </cell>
          <cell r="AR31" t="str">
            <v>1410590-3</v>
          </cell>
          <cell r="AS31" t="str">
            <v>1410590-4</v>
          </cell>
          <cell r="AT31" t="str">
            <v>1410590-5</v>
          </cell>
          <cell r="AU31" t="str">
            <v>1908217-6</v>
          </cell>
          <cell r="AV31">
            <v>0</v>
          </cell>
          <cell r="AW31">
            <v>0</v>
          </cell>
          <cell r="AX31">
            <v>0</v>
          </cell>
          <cell r="AY31" t="str">
            <v>462x750</v>
          </cell>
          <cell r="AZ31" t="str">
            <v>A1</v>
          </cell>
          <cell r="BA31" t="str">
            <v>4c</v>
          </cell>
          <cell r="BB31" t="str">
            <v>giấy cartoon K800</v>
          </cell>
          <cell r="BC31">
            <v>0</v>
          </cell>
          <cell r="BD31" t="str">
            <v xml:space="preserve">chạy chung cây Trắng với bộ cozy </v>
          </cell>
        </row>
        <row r="32">
          <cell r="A32" t="str">
            <v>sp 087</v>
          </cell>
          <cell r="B32" t="str">
            <v>Cuộn bánh bao xíu mại 300g Phú Mỹ</v>
          </cell>
          <cell r="C32">
            <v>9.370000000000001</v>
          </cell>
          <cell r="D32">
            <v>2</v>
          </cell>
          <cell r="E32" t="str">
            <v>OPP 20x730</v>
          </cell>
          <cell r="F32">
            <v>7</v>
          </cell>
          <cell r="G32" t="str">
            <v>OPP</v>
          </cell>
          <cell r="H32">
            <v>0.05</v>
          </cell>
          <cell r="I32">
            <v>5.94</v>
          </cell>
          <cell r="J32">
            <v>0.33</v>
          </cell>
          <cell r="K32">
            <v>0.54</v>
          </cell>
          <cell r="L32">
            <v>1.93</v>
          </cell>
          <cell r="M32">
            <v>0.42</v>
          </cell>
          <cell r="N32">
            <v>0</v>
          </cell>
          <cell r="O32">
            <v>0</v>
          </cell>
          <cell r="P32">
            <v>0.01</v>
          </cell>
          <cell r="Q32">
            <v>0.14000000000000001</v>
          </cell>
          <cell r="R32">
            <v>0</v>
          </cell>
          <cell r="S32">
            <v>0</v>
          </cell>
          <cell r="T32">
            <v>0.01</v>
          </cell>
          <cell r="U32">
            <v>0</v>
          </cell>
          <cell r="V32">
            <v>0</v>
          </cell>
          <cell r="W32">
            <v>0</v>
          </cell>
          <cell r="X32">
            <v>0</v>
          </cell>
          <cell r="Y32">
            <v>0</v>
          </cell>
          <cell r="Z32">
            <v>0</v>
          </cell>
          <cell r="AA32">
            <v>0</v>
          </cell>
          <cell r="AB32">
            <v>0</v>
          </cell>
          <cell r="AC32">
            <v>0</v>
          </cell>
          <cell r="AD32">
            <v>0</v>
          </cell>
          <cell r="AE32" t="str">
            <v>PE 55x730</v>
          </cell>
          <cell r="AF32">
            <v>0</v>
          </cell>
          <cell r="AG32">
            <v>5.0424749999999997E-2</v>
          </cell>
          <cell r="AH32">
            <v>0.96</v>
          </cell>
          <cell r="AI32">
            <v>0</v>
          </cell>
          <cell r="AJ32">
            <v>9530</v>
          </cell>
          <cell r="AK32">
            <v>0</v>
          </cell>
          <cell r="AL32">
            <v>2E-3</v>
          </cell>
          <cell r="AM32" t="str">
            <v>dạng cuộn 500m</v>
          </cell>
          <cell r="AN32">
            <v>355</v>
          </cell>
          <cell r="AO32" t="str">
            <v>Công ty Phú Mỹ</v>
          </cell>
          <cell r="AP32" t="str">
            <v>18051197-1</v>
          </cell>
          <cell r="AQ32" t="str">
            <v>1310562-2</v>
          </cell>
          <cell r="AR32" t="str">
            <v>1411258-3</v>
          </cell>
          <cell r="AS32" t="str">
            <v>1310562-4</v>
          </cell>
          <cell r="AT32" t="str">
            <v>1310562-5</v>
          </cell>
          <cell r="AU32" t="str">
            <v>1310562-6</v>
          </cell>
          <cell r="AV32" t="str">
            <v>1310562-7</v>
          </cell>
          <cell r="AW32">
            <v>0</v>
          </cell>
          <cell r="AX32">
            <v>0</v>
          </cell>
          <cell r="AY32" t="str">
            <v>532x850</v>
          </cell>
          <cell r="AZ32" t="str">
            <v>V1</v>
          </cell>
          <cell r="BA32" t="str">
            <v>1c</v>
          </cell>
          <cell r="BB32" t="str">
            <v>giấy cartoon K500</v>
          </cell>
          <cell r="BC32">
            <v>0</v>
          </cell>
          <cell r="BD32" t="str">
            <v>in chung cây trắng vs sp 077+088 : 1310562</v>
          </cell>
        </row>
        <row r="33">
          <cell r="A33" t="str">
            <v>sp 088</v>
          </cell>
          <cell r="B33" t="str">
            <v>Cuộn bánh bao xíu mại trứng muối 300g Phú Mỹ</v>
          </cell>
          <cell r="C33">
            <v>9.5799999999999983</v>
          </cell>
          <cell r="D33">
            <v>2</v>
          </cell>
          <cell r="E33" t="str">
            <v>OPP 20x730</v>
          </cell>
          <cell r="F33">
            <v>7</v>
          </cell>
          <cell r="G33" t="str">
            <v>OPP</v>
          </cell>
          <cell r="H33">
            <v>0.09</v>
          </cell>
          <cell r="I33">
            <v>4.88</v>
          </cell>
          <cell r="J33">
            <v>0.27</v>
          </cell>
          <cell r="K33">
            <v>0.27</v>
          </cell>
          <cell r="L33">
            <v>1.17</v>
          </cell>
          <cell r="M33">
            <v>1.63</v>
          </cell>
          <cell r="N33">
            <v>0</v>
          </cell>
          <cell r="O33">
            <v>0.01</v>
          </cell>
          <cell r="P33">
            <v>0.9</v>
          </cell>
          <cell r="Q33">
            <v>0.36</v>
          </cell>
          <cell r="R33">
            <v>0</v>
          </cell>
          <cell r="S33">
            <v>0</v>
          </cell>
          <cell r="T33">
            <v>0</v>
          </cell>
          <cell r="U33">
            <v>0</v>
          </cell>
          <cell r="V33">
            <v>0</v>
          </cell>
          <cell r="W33">
            <v>0</v>
          </cell>
          <cell r="X33">
            <v>0</v>
          </cell>
          <cell r="Y33">
            <v>0</v>
          </cell>
          <cell r="Z33">
            <v>0</v>
          </cell>
          <cell r="AA33">
            <v>0</v>
          </cell>
          <cell r="AB33">
            <v>0</v>
          </cell>
          <cell r="AC33">
            <v>0</v>
          </cell>
          <cell r="AD33">
            <v>0</v>
          </cell>
          <cell r="AE33" t="str">
            <v>PE 55x730</v>
          </cell>
          <cell r="AF33">
            <v>0</v>
          </cell>
          <cell r="AG33">
            <v>5.0424749999999997E-2</v>
          </cell>
          <cell r="AH33">
            <v>0.96</v>
          </cell>
          <cell r="AI33">
            <v>0</v>
          </cell>
          <cell r="AJ33">
            <v>9530</v>
          </cell>
          <cell r="AK33">
            <v>0</v>
          </cell>
          <cell r="AL33">
            <v>2E-3</v>
          </cell>
          <cell r="AM33" t="str">
            <v>dạng cuộn 500m</v>
          </cell>
          <cell r="AN33">
            <v>355</v>
          </cell>
          <cell r="AO33" t="str">
            <v>Công ty Phú Mỹ</v>
          </cell>
          <cell r="AP33" t="str">
            <v>18121023-1</v>
          </cell>
          <cell r="AQ33" t="str">
            <v>1310564-2</v>
          </cell>
          <cell r="AR33" t="str">
            <v>1310564-3</v>
          </cell>
          <cell r="AS33" t="str">
            <v>1310564-4</v>
          </cell>
          <cell r="AT33" t="str">
            <v>1310564-5</v>
          </cell>
          <cell r="AU33" t="str">
            <v>1310564-6</v>
          </cell>
          <cell r="AV33" t="str">
            <v>1310562-7</v>
          </cell>
          <cell r="AW33">
            <v>0</v>
          </cell>
          <cell r="AX33">
            <v>0</v>
          </cell>
          <cell r="AY33" t="str">
            <v xml:space="preserve"> 532x850</v>
          </cell>
          <cell r="AZ33" t="str">
            <v>V1</v>
          </cell>
          <cell r="BA33" t="str">
            <v>1c</v>
          </cell>
          <cell r="BB33" t="str">
            <v>giấy cartoon K500</v>
          </cell>
          <cell r="BC33">
            <v>0</v>
          </cell>
          <cell r="BD33" t="str">
            <v>in chung cây trắng vs sp 077+087 : 1310562</v>
          </cell>
        </row>
        <row r="34">
          <cell r="A34" t="str">
            <v>sp 094</v>
          </cell>
          <cell r="B34" t="str">
            <v>Cuộn trà diabetna Nam Dược</v>
          </cell>
          <cell r="C34">
            <v>5.01</v>
          </cell>
          <cell r="D34">
            <v>5</v>
          </cell>
          <cell r="E34" t="str">
            <v>OPP 30 x 795</v>
          </cell>
          <cell r="F34">
            <v>6</v>
          </cell>
          <cell r="G34" t="str">
            <v>OPP</v>
          </cell>
          <cell r="H34">
            <v>0.43</v>
          </cell>
          <cell r="I34">
            <v>3.8</v>
          </cell>
          <cell r="J34">
            <v>0.27</v>
          </cell>
          <cell r="K34">
            <v>0</v>
          </cell>
          <cell r="L34">
            <v>0.27</v>
          </cell>
          <cell r="M34">
            <v>0.2</v>
          </cell>
          <cell r="N34">
            <v>0</v>
          </cell>
          <cell r="O34">
            <v>0</v>
          </cell>
          <cell r="P34">
            <v>0</v>
          </cell>
          <cell r="Q34">
            <v>0</v>
          </cell>
          <cell r="R34">
            <v>0</v>
          </cell>
          <cell r="S34">
            <v>0</v>
          </cell>
          <cell r="T34">
            <v>0.04</v>
          </cell>
          <cell r="U34">
            <v>0</v>
          </cell>
          <cell r="V34">
            <v>0</v>
          </cell>
          <cell r="W34">
            <v>0</v>
          </cell>
          <cell r="X34">
            <v>0</v>
          </cell>
          <cell r="Y34">
            <v>0</v>
          </cell>
          <cell r="Z34">
            <v>0</v>
          </cell>
          <cell r="AA34">
            <v>0</v>
          </cell>
          <cell r="AB34">
            <v>0</v>
          </cell>
          <cell r="AC34">
            <v>0</v>
          </cell>
          <cell r="AD34">
            <v>0</v>
          </cell>
          <cell r="AE34" t="str">
            <v>MCPP 25 x 795</v>
          </cell>
          <cell r="AF34">
            <v>0</v>
          </cell>
          <cell r="AG34">
            <v>3.9789750000000006E-2</v>
          </cell>
          <cell r="AH34">
            <v>1.0466666666666666</v>
          </cell>
          <cell r="AI34">
            <v>0</v>
          </cell>
          <cell r="AJ34">
            <v>9530</v>
          </cell>
          <cell r="AK34">
            <v>0</v>
          </cell>
          <cell r="AL34">
            <v>2E-3</v>
          </cell>
          <cell r="AM34" t="str">
            <v>dạng cuộn 1000m</v>
          </cell>
          <cell r="AN34">
            <v>155</v>
          </cell>
          <cell r="AO34" t="str">
            <v>Công ty CP Nam Dược</v>
          </cell>
          <cell r="AP34" t="str">
            <v>F110031G1-1</v>
          </cell>
          <cell r="AQ34" t="str">
            <v>F110031G1-2</v>
          </cell>
          <cell r="AR34" t="str">
            <v>F110031G1-3</v>
          </cell>
          <cell r="AS34" t="str">
            <v>F110031G1-4</v>
          </cell>
          <cell r="AT34" t="str">
            <v>F110031G1-5</v>
          </cell>
          <cell r="AU34" t="str">
            <v>F110031-6</v>
          </cell>
          <cell r="AV34">
            <v>0</v>
          </cell>
          <cell r="AW34">
            <v>0</v>
          </cell>
          <cell r="AX34">
            <v>0</v>
          </cell>
          <cell r="AY34" t="str">
            <v>462x860</v>
          </cell>
          <cell r="AZ34" t="str">
            <v>M1</v>
          </cell>
          <cell r="BA34" t="str">
            <v>2c</v>
          </cell>
          <cell r="BB34" t="str">
            <v>giấy cartoon</v>
          </cell>
          <cell r="BC34">
            <v>0</v>
          </cell>
          <cell r="BD34">
            <v>0</v>
          </cell>
        </row>
        <row r="35">
          <cell r="A35" t="str">
            <v>sp 097</v>
          </cell>
          <cell r="B35" t="str">
            <v>Túi B- complex K3+C Trường Hằng</v>
          </cell>
          <cell r="C35">
            <v>4.07</v>
          </cell>
          <cell r="D35">
            <v>2</v>
          </cell>
          <cell r="E35" t="str">
            <v>OPP 20x520</v>
          </cell>
          <cell r="F35">
            <v>2</v>
          </cell>
          <cell r="G35" t="str">
            <v>OPP</v>
          </cell>
          <cell r="H35">
            <v>0.06</v>
          </cell>
          <cell r="I35">
            <v>0</v>
          </cell>
          <cell r="J35">
            <v>0.51</v>
          </cell>
          <cell r="K35">
            <v>1.1399999999999999</v>
          </cell>
          <cell r="L35">
            <v>0.13</v>
          </cell>
          <cell r="M35">
            <v>1.78</v>
          </cell>
          <cell r="N35">
            <v>0</v>
          </cell>
          <cell r="O35">
            <v>0</v>
          </cell>
          <cell r="P35">
            <v>0.44</v>
          </cell>
          <cell r="Q35">
            <v>0</v>
          </cell>
          <cell r="R35">
            <v>0.01</v>
          </cell>
          <cell r="S35">
            <v>0</v>
          </cell>
          <cell r="T35">
            <v>0</v>
          </cell>
          <cell r="U35">
            <v>0</v>
          </cell>
          <cell r="V35">
            <v>0</v>
          </cell>
          <cell r="W35">
            <v>0</v>
          </cell>
          <cell r="X35">
            <v>0</v>
          </cell>
          <cell r="Y35">
            <v>0</v>
          </cell>
          <cell r="Z35">
            <v>0</v>
          </cell>
          <cell r="AA35">
            <v>0</v>
          </cell>
          <cell r="AB35">
            <v>0</v>
          </cell>
          <cell r="AC35">
            <v>0</v>
          </cell>
          <cell r="AD35">
            <v>0</v>
          </cell>
          <cell r="AE35" t="str">
            <v>CPP 45x520</v>
          </cell>
          <cell r="AF35">
            <v>0</v>
          </cell>
          <cell r="AG35">
            <v>3.0758000000000001E-2</v>
          </cell>
          <cell r="AH35">
            <v>0.61199999999999999</v>
          </cell>
          <cell r="AI35">
            <v>0</v>
          </cell>
          <cell r="AJ35">
            <v>9530</v>
          </cell>
          <cell r="AK35">
            <v>0</v>
          </cell>
          <cell r="AL35">
            <v>1.7999999999999999E-2</v>
          </cell>
          <cell r="AM35" t="str">
            <v>túi ba biên</v>
          </cell>
          <cell r="AN35">
            <v>140</v>
          </cell>
          <cell r="AO35" t="str">
            <v>Công ty Trường Hằng</v>
          </cell>
          <cell r="AP35" t="str">
            <v>1811584-1</v>
          </cell>
          <cell r="AQ35" t="str">
            <v>1811584-2</v>
          </cell>
          <cell r="AR35">
            <v>0</v>
          </cell>
          <cell r="AS35">
            <v>0</v>
          </cell>
          <cell r="AT35">
            <v>0</v>
          </cell>
          <cell r="AU35">
            <v>0</v>
          </cell>
          <cell r="AV35">
            <v>0</v>
          </cell>
          <cell r="AW35">
            <v>0</v>
          </cell>
          <cell r="AX35">
            <v>0</v>
          </cell>
          <cell r="AY35" t="str">
            <v>420x750</v>
          </cell>
          <cell r="AZ35" t="str">
            <v>M2</v>
          </cell>
          <cell r="BA35">
            <v>12000</v>
          </cell>
          <cell r="BB35" t="str">
            <v>Thùng 5 lớp 42x34x36</v>
          </cell>
          <cell r="BC35">
            <v>0</v>
          </cell>
          <cell r="BD35">
            <v>0</v>
          </cell>
        </row>
        <row r="36">
          <cell r="A36" t="str">
            <v>sp 105</v>
          </cell>
          <cell r="B36" t="str">
            <v>Cuộn bánh bao nhân thập cẩm 100gr Phú Mỹ</v>
          </cell>
          <cell r="C36">
            <v>6.7</v>
          </cell>
          <cell r="D36">
            <v>2</v>
          </cell>
          <cell r="E36" t="str">
            <v>OPP 20x620</v>
          </cell>
          <cell r="F36">
            <v>7</v>
          </cell>
          <cell r="G36" t="str">
            <v>OPP</v>
          </cell>
          <cell r="H36">
            <v>0.1</v>
          </cell>
          <cell r="I36">
            <v>2.5</v>
          </cell>
          <cell r="J36">
            <v>0.1</v>
          </cell>
          <cell r="K36">
            <v>0.8</v>
          </cell>
          <cell r="L36">
            <v>0.8</v>
          </cell>
          <cell r="M36">
            <v>1.6</v>
          </cell>
          <cell r="N36">
            <v>0</v>
          </cell>
          <cell r="O36">
            <v>0</v>
          </cell>
          <cell r="P36">
            <v>0.5</v>
          </cell>
          <cell r="Q36">
            <v>0</v>
          </cell>
          <cell r="R36">
            <v>0</v>
          </cell>
          <cell r="S36">
            <v>0.2</v>
          </cell>
          <cell r="T36">
            <v>0.1</v>
          </cell>
          <cell r="U36">
            <v>0</v>
          </cell>
          <cell r="V36">
            <v>0</v>
          </cell>
          <cell r="W36">
            <v>0</v>
          </cell>
          <cell r="X36">
            <v>0</v>
          </cell>
          <cell r="Y36">
            <v>0</v>
          </cell>
          <cell r="Z36">
            <v>0</v>
          </cell>
          <cell r="AA36">
            <v>0</v>
          </cell>
          <cell r="AB36">
            <v>0</v>
          </cell>
          <cell r="AC36">
            <v>0</v>
          </cell>
          <cell r="AD36">
            <v>0</v>
          </cell>
          <cell r="AE36" t="str">
            <v>PE 55x620</v>
          </cell>
          <cell r="AF36">
            <v>0</v>
          </cell>
          <cell r="AG36">
            <v>4.2826499999999997E-2</v>
          </cell>
          <cell r="AH36">
            <v>0.81333333333333324</v>
          </cell>
          <cell r="AI36">
            <v>0</v>
          </cell>
          <cell r="AJ36">
            <v>9530</v>
          </cell>
          <cell r="AK36">
            <v>0</v>
          </cell>
          <cell r="AL36">
            <v>2E-3</v>
          </cell>
          <cell r="AM36" t="str">
            <v>dạng cuộn 500m</v>
          </cell>
          <cell r="AN36">
            <v>300</v>
          </cell>
          <cell r="AO36" t="str">
            <v>Công ty Phú Mỹ</v>
          </cell>
          <cell r="AP36" t="e">
            <v>#N/A</v>
          </cell>
          <cell r="AQ36" t="e">
            <v>#N/A</v>
          </cell>
          <cell r="AR36" t="e">
            <v>#N/A</v>
          </cell>
          <cell r="AS36" t="e">
            <v>#N/A</v>
          </cell>
          <cell r="AT36" t="e">
            <v>#N/A</v>
          </cell>
          <cell r="AU36" t="e">
            <v>#N/A</v>
          </cell>
          <cell r="AV36" t="e">
            <v>#N/A</v>
          </cell>
          <cell r="AW36" t="e">
            <v>#N/A</v>
          </cell>
          <cell r="AX36" t="e">
            <v>#N/A</v>
          </cell>
          <cell r="AY36" t="e">
            <v>#N/A</v>
          </cell>
          <cell r="AZ36" t="e">
            <v>#N/A</v>
          </cell>
          <cell r="BA36" t="str">
            <v>1c</v>
          </cell>
          <cell r="BB36" t="str">
            <v>giấy cartoon K500</v>
          </cell>
          <cell r="BC36">
            <v>0</v>
          </cell>
          <cell r="BD36" t="e">
            <v>#N/A</v>
          </cell>
        </row>
        <row r="37">
          <cell r="A37" t="str">
            <v>sp 108</v>
          </cell>
          <cell r="B37" t="str">
            <v>Cuộn trà cozy hương nhài Vĩnh Phúc</v>
          </cell>
          <cell r="C37">
            <v>5.6599999999999993</v>
          </cell>
          <cell r="D37">
            <v>4</v>
          </cell>
          <cell r="E37" t="str">
            <v>OPP mờ 20x640</v>
          </cell>
          <cell r="F37">
            <v>6</v>
          </cell>
          <cell r="G37" t="str">
            <v>OPP</v>
          </cell>
          <cell r="H37">
            <v>0.45</v>
          </cell>
          <cell r="I37">
            <v>2.2999999999999998</v>
          </cell>
          <cell r="J37">
            <v>0.75</v>
          </cell>
          <cell r="K37">
            <v>0.2</v>
          </cell>
          <cell r="L37">
            <v>1.1499999999999999</v>
          </cell>
          <cell r="M37">
            <v>0.75</v>
          </cell>
          <cell r="N37">
            <v>0</v>
          </cell>
          <cell r="O37">
            <v>0.01</v>
          </cell>
          <cell r="P37">
            <v>0</v>
          </cell>
          <cell r="Q37">
            <v>0.05</v>
          </cell>
          <cell r="R37">
            <v>0</v>
          </cell>
          <cell r="S37">
            <v>0</v>
          </cell>
          <cell r="T37">
            <v>0</v>
          </cell>
          <cell r="U37">
            <v>0</v>
          </cell>
          <cell r="V37">
            <v>0</v>
          </cell>
          <cell r="W37">
            <v>0</v>
          </cell>
          <cell r="X37">
            <v>0</v>
          </cell>
          <cell r="Y37">
            <v>0</v>
          </cell>
          <cell r="Z37">
            <v>0</v>
          </cell>
          <cell r="AA37">
            <v>0</v>
          </cell>
          <cell r="AB37">
            <v>0</v>
          </cell>
          <cell r="AC37">
            <v>0</v>
          </cell>
          <cell r="AD37">
            <v>0</v>
          </cell>
          <cell r="AE37" t="str">
            <v>MCPP 35x640</v>
          </cell>
          <cell r="AF37">
            <v>0</v>
          </cell>
          <cell r="AG37">
            <v>3.2032000000000005E-2</v>
          </cell>
          <cell r="AH37">
            <v>0.84</v>
          </cell>
          <cell r="AI37">
            <v>0</v>
          </cell>
          <cell r="AJ37">
            <v>9530</v>
          </cell>
          <cell r="AK37">
            <v>0</v>
          </cell>
          <cell r="AL37">
            <v>2E-3</v>
          </cell>
          <cell r="AM37" t="str">
            <v>dạng cuộn 1500m</v>
          </cell>
          <cell r="AN37">
            <v>155</v>
          </cell>
          <cell r="AO37" t="str">
            <v>Công ty TNHH Thế hệ mới Vĩnh Phúc</v>
          </cell>
          <cell r="AP37" t="str">
            <v>21080170-1</v>
          </cell>
          <cell r="AQ37" t="str">
            <v>18031198-2</v>
          </cell>
          <cell r="AR37" t="str">
            <v>18031198-3</v>
          </cell>
          <cell r="AS37" t="str">
            <v>18031198-4</v>
          </cell>
          <cell r="AT37" t="str">
            <v>18031198-5</v>
          </cell>
          <cell r="AU37" t="str">
            <v>21080170-6</v>
          </cell>
          <cell r="AV37">
            <v>0</v>
          </cell>
          <cell r="AW37">
            <v>0</v>
          </cell>
          <cell r="AX37">
            <v>0</v>
          </cell>
          <cell r="AY37" t="str">
            <v>462x750</v>
          </cell>
          <cell r="AZ37" t="str">
            <v>A1</v>
          </cell>
          <cell r="BA37" t="str">
            <v>4c</v>
          </cell>
          <cell r="BB37" t="str">
            <v>giấy cartoon</v>
          </cell>
          <cell r="BC37">
            <v>0</v>
          </cell>
          <cell r="BD37">
            <v>0</v>
          </cell>
        </row>
        <row r="38">
          <cell r="A38" t="str">
            <v>sp 109</v>
          </cell>
          <cell r="B38" t="str">
            <v>Cuộn oresol Zin C hải phòng</v>
          </cell>
          <cell r="C38">
            <v>0</v>
          </cell>
          <cell r="D38">
            <v>5</v>
          </cell>
          <cell r="E38" t="str">
            <v>OPP 20x620</v>
          </cell>
          <cell r="F38">
            <v>5</v>
          </cell>
          <cell r="G38" t="str">
            <v>OPP</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t="str">
            <v>Al 6x620</v>
          </cell>
          <cell r="AF38" t="str">
            <v>CPP 50x620</v>
          </cell>
          <cell r="AG38">
            <v>4.95752E-2</v>
          </cell>
          <cell r="AH38">
            <v>0.93533333333333324</v>
          </cell>
          <cell r="AI38">
            <v>1.22</v>
          </cell>
          <cell r="AJ38">
            <v>9530</v>
          </cell>
          <cell r="AK38">
            <v>9530</v>
          </cell>
          <cell r="AL38" t="str">
            <v>0,0053(0,0023;0,003)</v>
          </cell>
          <cell r="AM38" t="str">
            <v>dạng cuộn 500m</v>
          </cell>
          <cell r="AN38">
            <v>120</v>
          </cell>
          <cell r="AO38" t="str">
            <v>Công ty CP DL và VTYT Hải Phòng</v>
          </cell>
          <cell r="AP38" t="e">
            <v>#N/A</v>
          </cell>
          <cell r="AQ38" t="e">
            <v>#N/A</v>
          </cell>
          <cell r="AR38" t="e">
            <v>#N/A</v>
          </cell>
          <cell r="AS38" t="e">
            <v>#N/A</v>
          </cell>
          <cell r="AT38" t="e">
            <v>#N/A</v>
          </cell>
          <cell r="AU38" t="e">
            <v>#N/A</v>
          </cell>
          <cell r="AV38" t="e">
            <v>#N/A</v>
          </cell>
          <cell r="AW38" t="e">
            <v>#N/A</v>
          </cell>
          <cell r="AX38" t="e">
            <v>#N/A</v>
          </cell>
          <cell r="AY38" t="e">
            <v>#N/A</v>
          </cell>
          <cell r="AZ38" t="e">
            <v>#N/A</v>
          </cell>
          <cell r="BA38" t="str">
            <v>6c</v>
          </cell>
          <cell r="BB38" t="str">
            <v>giấy cartoon K800</v>
          </cell>
          <cell r="BC38">
            <v>0</v>
          </cell>
          <cell r="BD38" t="e">
            <v>#N/A</v>
          </cell>
        </row>
        <row r="39">
          <cell r="A39" t="str">
            <v>sp 117</v>
          </cell>
          <cell r="B39" t="str">
            <v>Cuộn bánh trứng lipo tiếng anh K170</v>
          </cell>
          <cell r="C39">
            <v>6.8499999999999988</v>
          </cell>
          <cell r="D39">
            <v>4</v>
          </cell>
          <cell r="E39" t="str">
            <v>OPP 20x700</v>
          </cell>
          <cell r="F39">
            <v>7</v>
          </cell>
          <cell r="G39" t="str">
            <v>OPP</v>
          </cell>
          <cell r="H39">
            <v>0.03</v>
          </cell>
          <cell r="I39">
            <v>3.33</v>
          </cell>
          <cell r="J39">
            <v>0.02</v>
          </cell>
          <cell r="K39">
            <v>0.05</v>
          </cell>
          <cell r="L39">
            <v>1.92</v>
          </cell>
          <cell r="M39">
            <v>1.22</v>
          </cell>
          <cell r="N39">
            <v>0</v>
          </cell>
          <cell r="O39">
            <v>0</v>
          </cell>
          <cell r="P39">
            <v>0.26</v>
          </cell>
          <cell r="Q39">
            <v>0</v>
          </cell>
          <cell r="R39">
            <v>0.02</v>
          </cell>
          <cell r="S39">
            <v>0</v>
          </cell>
          <cell r="T39">
            <v>0</v>
          </cell>
          <cell r="U39">
            <v>0</v>
          </cell>
          <cell r="V39">
            <v>0</v>
          </cell>
          <cell r="W39">
            <v>0</v>
          </cell>
          <cell r="X39">
            <v>0</v>
          </cell>
          <cell r="Y39">
            <v>0</v>
          </cell>
          <cell r="Z39">
            <v>0</v>
          </cell>
          <cell r="AA39">
            <v>0</v>
          </cell>
          <cell r="AB39">
            <v>0</v>
          </cell>
          <cell r="AC39">
            <v>0</v>
          </cell>
          <cell r="AD39">
            <v>0</v>
          </cell>
          <cell r="AE39" t="str">
            <v>MCPP 25x700</v>
          </cell>
          <cell r="AF39">
            <v>0</v>
          </cell>
          <cell r="AG39">
            <v>1.7198999999999999E-2</v>
          </cell>
          <cell r="AH39">
            <v>1.0579999999999998</v>
          </cell>
          <cell r="AI39">
            <v>0</v>
          </cell>
          <cell r="AJ39">
            <v>9530</v>
          </cell>
          <cell r="AK39">
            <v>0</v>
          </cell>
          <cell r="AL39">
            <v>2.3E-3</v>
          </cell>
          <cell r="AM39" t="str">
            <v>dạng cuộn 1000m</v>
          </cell>
          <cell r="AN39">
            <v>170</v>
          </cell>
          <cell r="AO39" t="str">
            <v>Công ty Quốc tế Alpha</v>
          </cell>
          <cell r="AP39" t="e">
            <v>#N/A</v>
          </cell>
          <cell r="AQ39" t="e">
            <v>#N/A</v>
          </cell>
          <cell r="AR39" t="e">
            <v>#N/A</v>
          </cell>
          <cell r="AS39" t="e">
            <v>#N/A</v>
          </cell>
          <cell r="AT39" t="e">
            <v>#N/A</v>
          </cell>
          <cell r="AU39" t="e">
            <v>#N/A</v>
          </cell>
          <cell r="AV39" t="e">
            <v>#N/A</v>
          </cell>
          <cell r="AW39" t="e">
            <v>#N/A</v>
          </cell>
          <cell r="AX39" t="e">
            <v>#N/A</v>
          </cell>
          <cell r="AY39" t="e">
            <v>#N/A</v>
          </cell>
          <cell r="AZ39" t="e">
            <v>#N/A</v>
          </cell>
          <cell r="BA39" t="str">
            <v>2c</v>
          </cell>
          <cell r="BB39" t="str">
            <v>Thùng 3 lớp 55x28x18</v>
          </cell>
          <cell r="BC39">
            <v>0</v>
          </cell>
          <cell r="BD39" t="e">
            <v>#N/A</v>
          </cell>
        </row>
        <row r="40">
          <cell r="A40" t="str">
            <v>sp 119</v>
          </cell>
          <cell r="B40" t="str">
            <v>Túi cơm cháy nếp cái hoa vàng 200g</v>
          </cell>
          <cell r="C40">
            <v>7.6899999999999986</v>
          </cell>
          <cell r="D40">
            <v>1</v>
          </cell>
          <cell r="E40" t="str">
            <v>OPP 20x440</v>
          </cell>
          <cell r="F40">
            <v>5</v>
          </cell>
          <cell r="G40" t="str">
            <v>OPP</v>
          </cell>
          <cell r="H40">
            <v>0.11</v>
          </cell>
          <cell r="I40">
            <v>3.6</v>
          </cell>
          <cell r="J40">
            <v>0.06</v>
          </cell>
          <cell r="K40">
            <v>0.4</v>
          </cell>
          <cell r="L40">
            <v>2.2799999999999998</v>
          </cell>
          <cell r="M40">
            <v>1.05</v>
          </cell>
          <cell r="N40">
            <v>0</v>
          </cell>
          <cell r="O40">
            <v>0</v>
          </cell>
          <cell r="P40">
            <v>0</v>
          </cell>
          <cell r="Q40">
            <v>0.02</v>
          </cell>
          <cell r="R40">
            <v>0.17</v>
          </cell>
          <cell r="S40">
            <v>0</v>
          </cell>
          <cell r="T40">
            <v>0</v>
          </cell>
          <cell r="U40">
            <v>0</v>
          </cell>
          <cell r="V40">
            <v>0</v>
          </cell>
          <cell r="W40">
            <v>0</v>
          </cell>
          <cell r="X40">
            <v>0</v>
          </cell>
          <cell r="Y40">
            <v>0</v>
          </cell>
          <cell r="Z40">
            <v>0</v>
          </cell>
          <cell r="AA40">
            <v>0</v>
          </cell>
          <cell r="AB40">
            <v>0</v>
          </cell>
          <cell r="AC40">
            <v>0</v>
          </cell>
          <cell r="AD40">
            <v>0</v>
          </cell>
          <cell r="AE40" t="str">
            <v>CPP 35x440</v>
          </cell>
          <cell r="AF40">
            <v>0</v>
          </cell>
          <cell r="AG40">
            <v>2.2022000000000003E-2</v>
          </cell>
          <cell r="AH40">
            <v>0.57333333333333325</v>
          </cell>
          <cell r="AI40">
            <v>0</v>
          </cell>
          <cell r="AJ40">
            <v>9530</v>
          </cell>
          <cell r="AK40">
            <v>0</v>
          </cell>
          <cell r="AL40">
            <v>2E-3</v>
          </cell>
          <cell r="AM40" t="str">
            <v>túi hàn lưng, xếp hông lệch</v>
          </cell>
          <cell r="AN40">
            <v>310</v>
          </cell>
          <cell r="AO40" t="str">
            <v>Công ty CP Thực Phẩm Hoa Lư</v>
          </cell>
          <cell r="AP40" t="str">
            <v>21040498-1</v>
          </cell>
          <cell r="AQ40" t="str">
            <v>1708739-2</v>
          </cell>
          <cell r="AR40" t="str">
            <v>21040498-3</v>
          </cell>
          <cell r="AS40" t="str">
            <v>1708739-4</v>
          </cell>
          <cell r="AT40" t="str">
            <v>1708739-5</v>
          </cell>
          <cell r="AU40">
            <v>0</v>
          </cell>
          <cell r="AV40">
            <v>0</v>
          </cell>
          <cell r="AW40">
            <v>0</v>
          </cell>
          <cell r="AX40">
            <v>0</v>
          </cell>
          <cell r="AY40" t="str">
            <v>620x750</v>
          </cell>
          <cell r="AZ40" t="str">
            <v>M2</v>
          </cell>
          <cell r="BA40">
            <v>3000</v>
          </cell>
          <cell r="BB40" t="str">
            <v>Thùng 5 lớp 42x34x36</v>
          </cell>
          <cell r="BC40">
            <v>0</v>
          </cell>
          <cell r="BD40">
            <v>0</v>
          </cell>
        </row>
        <row r="41">
          <cell r="A41" t="str">
            <v>sp 119a</v>
          </cell>
          <cell r="B41" t="str">
            <v>Túi cơm cháy nếp cái hoa vàng tràng an 200gr Hoa lư</v>
          </cell>
          <cell r="C41">
            <v>4.7999999999999989</v>
          </cell>
          <cell r="D41">
            <v>1</v>
          </cell>
          <cell r="E41" t="str">
            <v>OPP 20x440</v>
          </cell>
          <cell r="F41">
            <v>5</v>
          </cell>
          <cell r="G41" t="str">
            <v>OPP</v>
          </cell>
          <cell r="H41">
            <v>0</v>
          </cell>
          <cell r="I41">
            <v>2.6</v>
          </cell>
          <cell r="J41">
            <v>0</v>
          </cell>
          <cell r="K41">
            <v>0.5</v>
          </cell>
          <cell r="L41">
            <v>1.5</v>
          </cell>
          <cell r="M41">
            <v>0</v>
          </cell>
          <cell r="N41">
            <v>0</v>
          </cell>
          <cell r="O41">
            <v>0.1</v>
          </cell>
          <cell r="P41">
            <v>0</v>
          </cell>
          <cell r="Q41">
            <v>0</v>
          </cell>
          <cell r="R41">
            <v>0.1</v>
          </cell>
          <cell r="S41">
            <v>0</v>
          </cell>
          <cell r="T41">
            <v>0</v>
          </cell>
          <cell r="U41">
            <v>0</v>
          </cell>
          <cell r="V41">
            <v>0</v>
          </cell>
          <cell r="W41">
            <v>0</v>
          </cell>
          <cell r="X41">
            <v>0</v>
          </cell>
          <cell r="Y41">
            <v>0</v>
          </cell>
          <cell r="Z41">
            <v>0</v>
          </cell>
          <cell r="AA41">
            <v>0</v>
          </cell>
          <cell r="AB41">
            <v>0</v>
          </cell>
          <cell r="AC41">
            <v>0</v>
          </cell>
          <cell r="AD41">
            <v>0</v>
          </cell>
          <cell r="AE41" t="str">
            <v>CPP 35x440</v>
          </cell>
          <cell r="AF41">
            <v>0</v>
          </cell>
          <cell r="AG41">
            <v>2.2022000000000003E-2</v>
          </cell>
          <cell r="AH41">
            <v>0.57333333333333325</v>
          </cell>
          <cell r="AI41">
            <v>0</v>
          </cell>
          <cell r="AJ41">
            <v>9530</v>
          </cell>
          <cell r="AK41">
            <v>0</v>
          </cell>
          <cell r="AL41">
            <v>2E-3</v>
          </cell>
          <cell r="AM41" t="str">
            <v>túi hàn lưng, xếp hông lệch</v>
          </cell>
          <cell r="AN41">
            <v>310</v>
          </cell>
          <cell r="AO41" t="str">
            <v>Công ty CP Thực Phẩm Hoa Lư</v>
          </cell>
          <cell r="AP41" t="e">
            <v>#N/A</v>
          </cell>
          <cell r="AQ41" t="e">
            <v>#N/A</v>
          </cell>
          <cell r="AR41" t="e">
            <v>#N/A</v>
          </cell>
          <cell r="AS41" t="e">
            <v>#N/A</v>
          </cell>
          <cell r="AT41" t="e">
            <v>#N/A</v>
          </cell>
          <cell r="AU41" t="e">
            <v>#N/A</v>
          </cell>
          <cell r="AV41" t="e">
            <v>#N/A</v>
          </cell>
          <cell r="AW41" t="e">
            <v>#N/A</v>
          </cell>
          <cell r="AX41" t="e">
            <v>#N/A</v>
          </cell>
          <cell r="AY41" t="e">
            <v>#N/A</v>
          </cell>
          <cell r="AZ41" t="e">
            <v>#N/A</v>
          </cell>
          <cell r="BA41">
            <v>3000</v>
          </cell>
          <cell r="BB41" t="str">
            <v>Thùng 5 lớp 42x34x36</v>
          </cell>
          <cell r="BC41">
            <v>0</v>
          </cell>
          <cell r="BD41" t="e">
            <v>#N/A</v>
          </cell>
        </row>
        <row r="42">
          <cell r="A42" t="str">
            <v>sp 144</v>
          </cell>
          <cell r="B42" t="str">
            <v>Túi quế 600gr Quế Lâm</v>
          </cell>
          <cell r="C42">
            <v>4.2399999999999993</v>
          </cell>
          <cell r="D42">
            <v>1</v>
          </cell>
          <cell r="E42" t="str">
            <v>OPP 20x640</v>
          </cell>
          <cell r="F42">
            <v>6</v>
          </cell>
          <cell r="G42" t="str">
            <v>OPP</v>
          </cell>
          <cell r="H42">
            <v>0.2</v>
          </cell>
          <cell r="I42">
            <v>1.53</v>
          </cell>
          <cell r="J42">
            <v>0.15</v>
          </cell>
          <cell r="K42">
            <v>0.51</v>
          </cell>
          <cell r="L42">
            <v>1.23</v>
          </cell>
          <cell r="M42">
            <v>0.61</v>
          </cell>
          <cell r="N42">
            <v>0</v>
          </cell>
          <cell r="O42">
            <v>0</v>
          </cell>
          <cell r="P42">
            <v>0</v>
          </cell>
          <cell r="Q42">
            <v>0</v>
          </cell>
          <cell r="R42">
            <v>0</v>
          </cell>
          <cell r="S42">
            <v>0.01</v>
          </cell>
          <cell r="T42">
            <v>0</v>
          </cell>
          <cell r="U42">
            <v>0</v>
          </cell>
          <cell r="V42">
            <v>0</v>
          </cell>
          <cell r="W42">
            <v>0</v>
          </cell>
          <cell r="X42">
            <v>0</v>
          </cell>
          <cell r="Y42">
            <v>0</v>
          </cell>
          <cell r="Z42">
            <v>0</v>
          </cell>
          <cell r="AA42">
            <v>0</v>
          </cell>
          <cell r="AB42">
            <v>0</v>
          </cell>
          <cell r="AC42">
            <v>0</v>
          </cell>
          <cell r="AD42">
            <v>0</v>
          </cell>
          <cell r="AE42" t="str">
            <v>PE 80x640</v>
          </cell>
          <cell r="AF42">
            <v>0</v>
          </cell>
          <cell r="AG42">
            <v>5.9008000000000005E-2</v>
          </cell>
          <cell r="AH42">
            <v>1.05</v>
          </cell>
          <cell r="AI42">
            <v>0</v>
          </cell>
          <cell r="AJ42">
            <v>9530</v>
          </cell>
          <cell r="AK42">
            <v>0</v>
          </cell>
          <cell r="AL42">
            <v>2.5000000000000001E-3</v>
          </cell>
          <cell r="AM42" t="str">
            <v>túi ba biên</v>
          </cell>
          <cell r="AN42">
            <v>230</v>
          </cell>
          <cell r="AO42" t="str">
            <v>Công ty TNHH Quế Lâm</v>
          </cell>
          <cell r="AP42" t="str">
            <v>F125899-1</v>
          </cell>
          <cell r="AQ42" t="str">
            <v>F105356-2</v>
          </cell>
          <cell r="AR42" t="str">
            <v>F125899G1-3</v>
          </cell>
          <cell r="AS42" t="str">
            <v>F105356-4</v>
          </cell>
          <cell r="AT42" t="str">
            <v>F105356-5</v>
          </cell>
          <cell r="AU42" t="str">
            <v>F105356-6</v>
          </cell>
          <cell r="AV42">
            <v>0</v>
          </cell>
          <cell r="AW42">
            <v>0</v>
          </cell>
          <cell r="AX42">
            <v>0</v>
          </cell>
          <cell r="AY42" t="str">
            <v>460x750</v>
          </cell>
          <cell r="AZ42" t="str">
            <v>M2</v>
          </cell>
          <cell r="BA42">
            <v>4000</v>
          </cell>
          <cell r="BB42" t="str">
            <v>bao dứa</v>
          </cell>
          <cell r="BC42">
            <v>0</v>
          </cell>
          <cell r="BD42">
            <v>0</v>
          </cell>
        </row>
        <row r="43">
          <cell r="A43" t="str">
            <v>sp 148</v>
          </cell>
          <cell r="B43" t="str">
            <v>Túi muối iot Hà nội 200gr</v>
          </cell>
          <cell r="C43">
            <v>4.2</v>
          </cell>
          <cell r="D43">
            <v>2</v>
          </cell>
          <cell r="E43" t="str">
            <v>OPP 20x470</v>
          </cell>
          <cell r="F43">
            <v>5</v>
          </cell>
          <cell r="G43" t="str">
            <v>OPP</v>
          </cell>
          <cell r="H43">
            <v>0.1</v>
          </cell>
          <cell r="I43">
            <v>1.4</v>
          </cell>
          <cell r="J43">
            <v>0.1</v>
          </cell>
          <cell r="K43">
            <v>0</v>
          </cell>
          <cell r="L43">
            <v>1.3</v>
          </cell>
          <cell r="M43">
            <v>0.7</v>
          </cell>
          <cell r="N43">
            <v>0</v>
          </cell>
          <cell r="O43">
            <v>0</v>
          </cell>
          <cell r="P43">
            <v>0.6</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t="str">
            <v>PE 65x470</v>
          </cell>
          <cell r="AF43">
            <v>0</v>
          </cell>
          <cell r="AG43">
            <v>3.6812749999999998E-2</v>
          </cell>
          <cell r="AH43">
            <v>0.61333333333333329</v>
          </cell>
          <cell r="AI43">
            <v>0</v>
          </cell>
          <cell r="AJ43">
            <v>9530</v>
          </cell>
          <cell r="AK43">
            <v>0</v>
          </cell>
          <cell r="AL43">
            <v>2E-3</v>
          </cell>
          <cell r="AM43" t="str">
            <v>túi ba biên</v>
          </cell>
          <cell r="AN43">
            <v>160</v>
          </cell>
          <cell r="AO43" t="str">
            <v>Công ty Hanufood</v>
          </cell>
          <cell r="AP43" t="str">
            <v>1412417-1</v>
          </cell>
          <cell r="AQ43" t="str">
            <v>1308276-2</v>
          </cell>
          <cell r="AR43" t="str">
            <v>1308276-3</v>
          </cell>
          <cell r="AS43" t="str">
            <v>1308276-4</v>
          </cell>
          <cell r="AT43" t="str">
            <v>18011108-5</v>
          </cell>
          <cell r="AU43">
            <v>0</v>
          </cell>
          <cell r="AV43">
            <v>0</v>
          </cell>
          <cell r="AW43">
            <v>0</v>
          </cell>
          <cell r="AX43">
            <v>0</v>
          </cell>
          <cell r="AY43" t="str">
            <v>480x740</v>
          </cell>
          <cell r="AZ43" t="str">
            <v>M2</v>
          </cell>
          <cell r="BA43">
            <v>10000</v>
          </cell>
          <cell r="BB43" t="str">
            <v>Thùng 5 lớp 42x34x36</v>
          </cell>
          <cell r="BC43">
            <v>0</v>
          </cell>
          <cell r="BD43" t="str">
            <v>in chung bộ sp 336+ 403</v>
          </cell>
        </row>
        <row r="44">
          <cell r="A44" t="str">
            <v>sp 160</v>
          </cell>
          <cell r="B44" t="str">
            <v>Túi muối siêu sạch 5 màu Ngọc Châu</v>
          </cell>
          <cell r="C44">
            <v>8.5499999999999989</v>
          </cell>
          <cell r="D44">
            <v>2</v>
          </cell>
          <cell r="E44" t="str">
            <v>OPP 20x540</v>
          </cell>
          <cell r="F44">
            <v>5</v>
          </cell>
          <cell r="G44" t="str">
            <v>OPP</v>
          </cell>
          <cell r="H44">
            <v>0.39</v>
          </cell>
          <cell r="I44">
            <v>2.95</v>
          </cell>
          <cell r="J44">
            <v>3.18</v>
          </cell>
          <cell r="K44">
            <v>0.31</v>
          </cell>
          <cell r="L44">
            <v>0.01</v>
          </cell>
          <cell r="M44">
            <v>1.0900000000000001</v>
          </cell>
          <cell r="N44">
            <v>0</v>
          </cell>
          <cell r="O44">
            <v>0</v>
          </cell>
          <cell r="P44">
            <v>0.62</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t="str">
            <v>PE 40x540</v>
          </cell>
          <cell r="AF44">
            <v>0</v>
          </cell>
          <cell r="AG44">
            <v>2.9808000000000005E-2</v>
          </cell>
          <cell r="AH44">
            <v>0.70666666666666667</v>
          </cell>
          <cell r="AI44">
            <v>0</v>
          </cell>
          <cell r="AJ44">
            <v>9530</v>
          </cell>
          <cell r="AK44">
            <v>0</v>
          </cell>
          <cell r="AL44">
            <v>2E-3</v>
          </cell>
          <cell r="AM44" t="str">
            <v>túi ba biên</v>
          </cell>
          <cell r="AN44">
            <v>180</v>
          </cell>
          <cell r="AO44" t="str">
            <v>Công ty Ngọc Châu</v>
          </cell>
          <cell r="AP44" t="str">
            <v>F113905-1</v>
          </cell>
          <cell r="AQ44" t="str">
            <v>F305575-2</v>
          </cell>
          <cell r="AR44" t="str">
            <v>F305575-3</v>
          </cell>
          <cell r="AS44" t="str">
            <v>F305575-4</v>
          </cell>
          <cell r="AT44" t="str">
            <v>F305575-5</v>
          </cell>
          <cell r="AU44">
            <v>0</v>
          </cell>
          <cell r="AV44">
            <v>0</v>
          </cell>
          <cell r="AW44">
            <v>0</v>
          </cell>
          <cell r="AX44">
            <v>0</v>
          </cell>
          <cell r="AY44" t="str">
            <v>540x750</v>
          </cell>
          <cell r="AZ44" t="str">
            <v>M2</v>
          </cell>
          <cell r="BA44">
            <v>11000</v>
          </cell>
          <cell r="BB44" t="str">
            <v>Thùng 5 lớp 42x34x36</v>
          </cell>
          <cell r="BC44">
            <v>0</v>
          </cell>
          <cell r="BD44">
            <v>0</v>
          </cell>
        </row>
        <row r="45">
          <cell r="A45" t="str">
            <v>sp 163</v>
          </cell>
          <cell r="B45" t="str">
            <v>Túi umgavit 10gr trường hằng</v>
          </cell>
          <cell r="C45">
            <v>0</v>
          </cell>
          <cell r="D45">
            <v>6</v>
          </cell>
          <cell r="E45" t="str">
            <v>OPP 20x500</v>
          </cell>
          <cell r="F45">
            <v>5</v>
          </cell>
          <cell r="G45" t="str">
            <v>OPP</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t="str">
            <v>MPET 12x500</v>
          </cell>
          <cell r="AF45" t="str">
            <v>PE 60x505</v>
          </cell>
          <cell r="AG45">
            <v>4.5249999999999999E-2</v>
          </cell>
          <cell r="AH45">
            <v>0.7513333333333333</v>
          </cell>
          <cell r="AI45">
            <v>0.98</v>
          </cell>
          <cell r="AJ45">
            <v>9530</v>
          </cell>
          <cell r="AK45">
            <v>9530</v>
          </cell>
          <cell r="AL45" t="str">
            <v>0,0053(0,0023;0,003)</v>
          </cell>
          <cell r="AM45" t="str">
            <v>túi ba biên</v>
          </cell>
          <cell r="AN45">
            <v>80</v>
          </cell>
          <cell r="AO45" t="str">
            <v>Công ty TNHH Trường Hằng</v>
          </cell>
          <cell r="AP45" t="str">
            <v>1312036-1</v>
          </cell>
          <cell r="AQ45" t="str">
            <v>1312036-2</v>
          </cell>
          <cell r="AR45" t="str">
            <v>1312036-3</v>
          </cell>
          <cell r="AS45" t="str">
            <v>1312036-4</v>
          </cell>
          <cell r="AT45" t="str">
            <v>1312036-5</v>
          </cell>
          <cell r="AU45">
            <v>0</v>
          </cell>
          <cell r="AV45">
            <v>0</v>
          </cell>
          <cell r="AW45">
            <v>0</v>
          </cell>
          <cell r="AX45">
            <v>0</v>
          </cell>
          <cell r="AY45">
            <v>0</v>
          </cell>
          <cell r="AZ45" t="str">
            <v>M2</v>
          </cell>
          <cell r="BA45">
            <v>0</v>
          </cell>
          <cell r="BB45" t="str">
            <v>bao dứa</v>
          </cell>
          <cell r="BC45">
            <v>0</v>
          </cell>
          <cell r="BD45">
            <v>0</v>
          </cell>
        </row>
        <row r="46">
          <cell r="A46" t="str">
            <v>sp 164</v>
          </cell>
          <cell r="B46" t="str">
            <v>Túi ngừa giun sán 2g Trường Hằng</v>
          </cell>
          <cell r="C46">
            <v>11.799999999999999</v>
          </cell>
          <cell r="D46">
            <v>4</v>
          </cell>
          <cell r="E46" t="str">
            <v>OPP 20x620</v>
          </cell>
          <cell r="F46">
            <v>4</v>
          </cell>
          <cell r="G46" t="str">
            <v>OPP</v>
          </cell>
          <cell r="H46">
            <v>0.43</v>
          </cell>
          <cell r="I46">
            <v>3.14</v>
          </cell>
          <cell r="J46">
            <v>0</v>
          </cell>
          <cell r="K46">
            <v>0</v>
          </cell>
          <cell r="L46">
            <v>6.06</v>
          </cell>
          <cell r="M46">
            <v>2.17</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t="str">
            <v>CPP 25x620</v>
          </cell>
          <cell r="AF46">
            <v>0</v>
          </cell>
          <cell r="AG46">
            <v>2.5388999999999998E-2</v>
          </cell>
          <cell r="AH46">
            <v>0.73199999999999998</v>
          </cell>
          <cell r="AI46">
            <v>0</v>
          </cell>
          <cell r="AJ46">
            <v>9530</v>
          </cell>
          <cell r="AK46">
            <v>0</v>
          </cell>
          <cell r="AL46">
            <v>1.8E-3</v>
          </cell>
          <cell r="AM46" t="str">
            <v>túi ba biên</v>
          </cell>
          <cell r="AN46">
            <v>60</v>
          </cell>
          <cell r="AO46" t="str">
            <v>Công ty TNHH Trường Hằng</v>
          </cell>
          <cell r="AP46" t="str">
            <v>1903314-1</v>
          </cell>
          <cell r="AQ46" t="str">
            <v>1903314-2</v>
          </cell>
          <cell r="AR46" t="str">
            <v>1310473-3</v>
          </cell>
          <cell r="AS46" t="str">
            <v>1310473-4</v>
          </cell>
          <cell r="AT46">
            <v>0</v>
          </cell>
          <cell r="AU46">
            <v>0</v>
          </cell>
          <cell r="AV46">
            <v>0</v>
          </cell>
          <cell r="AW46">
            <v>0</v>
          </cell>
          <cell r="AX46">
            <v>0</v>
          </cell>
          <cell r="AY46">
            <v>0</v>
          </cell>
          <cell r="AZ46" t="str">
            <v>M2</v>
          </cell>
          <cell r="BA46">
            <v>72000</v>
          </cell>
          <cell r="BB46" t="str">
            <v>Thùng 5 lớp 42x34x36</v>
          </cell>
          <cell r="BC46">
            <v>0</v>
          </cell>
          <cell r="BD46">
            <v>0</v>
          </cell>
        </row>
        <row r="47">
          <cell r="A47" t="str">
            <v>sp 166</v>
          </cell>
          <cell r="B47" t="str">
            <v>Cuộn bột canh visip 250g Ngọc Châu</v>
          </cell>
          <cell r="C47">
            <v>9.27</v>
          </cell>
          <cell r="D47">
            <v>2</v>
          </cell>
          <cell r="E47" t="str">
            <v>OPP 20x560</v>
          </cell>
          <cell r="F47">
            <v>4</v>
          </cell>
          <cell r="G47" t="str">
            <v>OPP</v>
          </cell>
          <cell r="H47">
            <v>0.27</v>
          </cell>
          <cell r="I47">
            <v>3.02</v>
          </cell>
          <cell r="J47">
            <v>0.46</v>
          </cell>
          <cell r="K47">
            <v>1.42</v>
          </cell>
          <cell r="L47">
            <v>0</v>
          </cell>
          <cell r="M47">
            <v>0</v>
          </cell>
          <cell r="N47">
            <v>0</v>
          </cell>
          <cell r="O47">
            <v>0</v>
          </cell>
          <cell r="P47">
            <v>2.4</v>
          </cell>
          <cell r="Q47">
            <v>0.39</v>
          </cell>
          <cell r="R47">
            <v>1.3</v>
          </cell>
          <cell r="S47">
            <v>0</v>
          </cell>
          <cell r="T47">
            <v>0</v>
          </cell>
          <cell r="U47">
            <v>0</v>
          </cell>
          <cell r="V47">
            <v>0.01</v>
          </cell>
          <cell r="W47">
            <v>0</v>
          </cell>
          <cell r="X47">
            <v>0</v>
          </cell>
          <cell r="Y47">
            <v>0</v>
          </cell>
          <cell r="Z47">
            <v>0</v>
          </cell>
          <cell r="AA47">
            <v>0</v>
          </cell>
          <cell r="AB47">
            <v>0</v>
          </cell>
          <cell r="AC47">
            <v>0</v>
          </cell>
          <cell r="AD47">
            <v>0</v>
          </cell>
          <cell r="AE47" t="str">
            <v>PE 40x560</v>
          </cell>
          <cell r="AF47">
            <v>0</v>
          </cell>
          <cell r="AG47">
            <v>3.0912000000000005E-2</v>
          </cell>
          <cell r="AH47">
            <v>0.73333333333333339</v>
          </cell>
          <cell r="AI47">
            <v>0</v>
          </cell>
          <cell r="AJ47">
            <v>9530</v>
          </cell>
          <cell r="AK47">
            <v>0</v>
          </cell>
          <cell r="AL47">
            <v>2E-3</v>
          </cell>
          <cell r="AM47" t="str">
            <v>dạng cuộn 1000m</v>
          </cell>
          <cell r="AN47">
            <v>270</v>
          </cell>
          <cell r="AO47" t="str">
            <v>Công ty Ngọc Châu</v>
          </cell>
          <cell r="AP47" t="str">
            <v>F113905G1-1</v>
          </cell>
          <cell r="AQ47" t="str">
            <v>F108150G3-2</v>
          </cell>
          <cell r="AR47" t="str">
            <v>F108150-3</v>
          </cell>
          <cell r="AS47" t="str">
            <v>F108150-4</v>
          </cell>
          <cell r="AT47">
            <v>0</v>
          </cell>
          <cell r="AU47">
            <v>0</v>
          </cell>
          <cell r="AV47">
            <v>0</v>
          </cell>
          <cell r="AW47">
            <v>0</v>
          </cell>
          <cell r="AX47">
            <v>0</v>
          </cell>
          <cell r="AY47" t="str">
            <v>525x750</v>
          </cell>
          <cell r="AZ47" t="str">
            <v>M2</v>
          </cell>
          <cell r="BA47" t="str">
            <v>1c</v>
          </cell>
          <cell r="BB47" t="str">
            <v>giấy cartoon K400</v>
          </cell>
          <cell r="BC47">
            <v>0</v>
          </cell>
          <cell r="BD47">
            <v>0</v>
          </cell>
        </row>
        <row r="48">
          <cell r="A48" t="str">
            <v>sp 170</v>
          </cell>
          <cell r="B48" t="str">
            <v>Túi thuốc cầu trùng nutrichick 10g Trường Hằng</v>
          </cell>
          <cell r="C48">
            <v>0</v>
          </cell>
          <cell r="D48">
            <v>4</v>
          </cell>
          <cell r="E48" t="str">
            <v>OPP 20x500</v>
          </cell>
          <cell r="F48">
            <v>4</v>
          </cell>
          <cell r="G48" t="str">
            <v>OPP</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t="str">
            <v>MPET 12x500</v>
          </cell>
          <cell r="AF48" t="str">
            <v>PE 65x500</v>
          </cell>
          <cell r="AG48">
            <v>4.7562500000000008E-2</v>
          </cell>
          <cell r="AH48">
            <v>0.7513333333333333</v>
          </cell>
          <cell r="AI48">
            <v>0.98</v>
          </cell>
          <cell r="AJ48">
            <v>9530</v>
          </cell>
          <cell r="AK48">
            <v>9530</v>
          </cell>
          <cell r="AL48" t="str">
            <v>0,0053(0,0023;0,003)</v>
          </cell>
          <cell r="AM48" t="str">
            <v>túi ba biên</v>
          </cell>
          <cell r="AN48">
            <v>80</v>
          </cell>
          <cell r="AO48" t="str">
            <v>Công ty TNHH Trường Hằng</v>
          </cell>
          <cell r="AP48" t="e">
            <v>#N/A</v>
          </cell>
          <cell r="AQ48" t="e">
            <v>#N/A</v>
          </cell>
          <cell r="AR48" t="e">
            <v>#N/A</v>
          </cell>
          <cell r="AS48" t="e">
            <v>#N/A</v>
          </cell>
          <cell r="AT48" t="e">
            <v>#N/A</v>
          </cell>
          <cell r="AU48" t="e">
            <v>#N/A</v>
          </cell>
          <cell r="AV48" t="e">
            <v>#N/A</v>
          </cell>
          <cell r="AW48" t="e">
            <v>#N/A</v>
          </cell>
          <cell r="AX48" t="e">
            <v>#N/A</v>
          </cell>
          <cell r="AY48" t="e">
            <v>#N/A</v>
          </cell>
          <cell r="AZ48" t="e">
            <v>#N/A</v>
          </cell>
          <cell r="BA48" t="e">
            <v>#N/A</v>
          </cell>
          <cell r="BB48" t="str">
            <v>Thùng 5 lớp 42x34x36</v>
          </cell>
          <cell r="BC48">
            <v>0</v>
          </cell>
          <cell r="BD48" t="e">
            <v>#N/A</v>
          </cell>
        </row>
        <row r="49">
          <cell r="A49" t="str">
            <v>sp 175</v>
          </cell>
          <cell r="B49" t="str">
            <v>Túi bánh cripst Q2 Diamond food</v>
          </cell>
          <cell r="C49">
            <v>6.8199999999999994</v>
          </cell>
          <cell r="D49">
            <v>1</v>
          </cell>
          <cell r="E49" t="str">
            <v>OPP 20x440</v>
          </cell>
          <cell r="F49">
            <v>5</v>
          </cell>
          <cell r="G49" t="str">
            <v>OPP</v>
          </cell>
          <cell r="H49">
            <v>0.05</v>
          </cell>
          <cell r="I49">
            <v>2.7</v>
          </cell>
          <cell r="J49">
            <v>0</v>
          </cell>
          <cell r="K49">
            <v>0.14000000000000001</v>
          </cell>
          <cell r="L49">
            <v>2.7</v>
          </cell>
          <cell r="M49">
            <v>0.8</v>
          </cell>
          <cell r="N49">
            <v>0</v>
          </cell>
          <cell r="O49">
            <v>0</v>
          </cell>
          <cell r="P49">
            <v>0</v>
          </cell>
          <cell r="Q49">
            <v>0</v>
          </cell>
          <cell r="R49">
            <v>0</v>
          </cell>
          <cell r="S49">
            <v>0.43</v>
          </cell>
          <cell r="T49">
            <v>0</v>
          </cell>
          <cell r="U49">
            <v>0</v>
          </cell>
          <cell r="V49">
            <v>0</v>
          </cell>
          <cell r="W49">
            <v>0</v>
          </cell>
          <cell r="X49">
            <v>0</v>
          </cell>
          <cell r="Y49">
            <v>0</v>
          </cell>
          <cell r="Z49">
            <v>0</v>
          </cell>
          <cell r="AA49">
            <v>0</v>
          </cell>
          <cell r="AB49">
            <v>0</v>
          </cell>
          <cell r="AC49">
            <v>0</v>
          </cell>
          <cell r="AD49">
            <v>0</v>
          </cell>
          <cell r="AE49" t="str">
            <v>CPP 45x440</v>
          </cell>
          <cell r="AF49">
            <v>0</v>
          </cell>
          <cell r="AG49">
            <v>2.52252E-2</v>
          </cell>
          <cell r="AH49">
            <v>0.69</v>
          </cell>
          <cell r="AI49">
            <v>0</v>
          </cell>
          <cell r="AJ49">
            <v>9530</v>
          </cell>
          <cell r="AK49">
            <v>0</v>
          </cell>
          <cell r="AL49">
            <v>2.3E-3</v>
          </cell>
          <cell r="AM49" t="str">
            <v>túi hàn lưng lệch, xếp hông, biên</v>
          </cell>
          <cell r="AN49">
            <v>300</v>
          </cell>
          <cell r="AO49" t="str">
            <v>Công ty Diamond food</v>
          </cell>
          <cell r="AP49" t="str">
            <v>1110357-1</v>
          </cell>
          <cell r="AQ49" t="str">
            <v>1110357-2</v>
          </cell>
          <cell r="AR49" t="str">
            <v>1110357-3</v>
          </cell>
          <cell r="AS49" t="str">
            <v>1110357-4</v>
          </cell>
          <cell r="AT49" t="str">
            <v>1110357-5</v>
          </cell>
          <cell r="AU49">
            <v>0</v>
          </cell>
          <cell r="AV49">
            <v>0</v>
          </cell>
          <cell r="AW49">
            <v>0</v>
          </cell>
          <cell r="AX49">
            <v>0</v>
          </cell>
          <cell r="AY49" t="str">
            <v>600x750</v>
          </cell>
          <cell r="AZ49" t="str">
            <v>M2</v>
          </cell>
          <cell r="BA49">
            <v>3000</v>
          </cell>
          <cell r="BB49" t="str">
            <v>Thùng 5 lớp 42x34x36</v>
          </cell>
          <cell r="BC49">
            <v>0</v>
          </cell>
          <cell r="BD49">
            <v>0</v>
          </cell>
        </row>
        <row r="50">
          <cell r="A50" t="str">
            <v>sp 182</v>
          </cell>
          <cell r="B50" t="str">
            <v>Túi bánh gấc Q5 Diamondfood</v>
          </cell>
          <cell r="C50">
            <v>5.919999999999999</v>
          </cell>
          <cell r="D50">
            <v>1</v>
          </cell>
          <cell r="E50" t="str">
            <v>OPP 20x720</v>
          </cell>
          <cell r="F50">
            <v>5</v>
          </cell>
          <cell r="G50" t="str">
            <v>OPP</v>
          </cell>
          <cell r="H50">
            <v>0.09</v>
          </cell>
          <cell r="I50">
            <v>2.0299999999999998</v>
          </cell>
          <cell r="J50">
            <v>0.01</v>
          </cell>
          <cell r="K50">
            <v>0.5</v>
          </cell>
          <cell r="L50">
            <v>2.2799999999999998</v>
          </cell>
          <cell r="M50">
            <v>1.01</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t="str">
            <v>CPP 45x720</v>
          </cell>
          <cell r="AF50">
            <v>0</v>
          </cell>
          <cell r="AG50">
            <v>4.2588000000000001E-2</v>
          </cell>
          <cell r="AH50">
            <v>0.94666666666666655</v>
          </cell>
          <cell r="AI50">
            <v>0</v>
          </cell>
          <cell r="AJ50">
            <v>9530</v>
          </cell>
          <cell r="AK50">
            <v>0</v>
          </cell>
          <cell r="AL50">
            <v>2E-3</v>
          </cell>
          <cell r="AM50" t="str">
            <v>túi ba biên</v>
          </cell>
          <cell r="AN50">
            <v>250</v>
          </cell>
          <cell r="AO50" t="str">
            <v>Công ty Diamond food</v>
          </cell>
          <cell r="AP50" t="str">
            <v>1311778-1</v>
          </cell>
          <cell r="AQ50" t="str">
            <v>1312670-2</v>
          </cell>
          <cell r="AR50" t="str">
            <v>1012033-3</v>
          </cell>
          <cell r="AS50" t="str">
            <v>1012033-4</v>
          </cell>
          <cell r="AT50" t="str">
            <v>1510169-5</v>
          </cell>
          <cell r="AU50">
            <v>0</v>
          </cell>
          <cell r="AV50">
            <v>0</v>
          </cell>
          <cell r="AW50">
            <v>0</v>
          </cell>
          <cell r="AX50">
            <v>0</v>
          </cell>
          <cell r="AY50" t="str">
            <v>500x800</v>
          </cell>
          <cell r="AZ50" t="str">
            <v>M3</v>
          </cell>
          <cell r="BA50">
            <v>2500</v>
          </cell>
          <cell r="BB50" t="str">
            <v>Thùng 5 lớp 42x34x36</v>
          </cell>
          <cell r="BC50">
            <v>0</v>
          </cell>
          <cell r="BD50">
            <v>0</v>
          </cell>
        </row>
        <row r="51">
          <cell r="A51" t="str">
            <v>sp 197</v>
          </cell>
          <cell r="B51" t="str">
            <v>Túi cơm cháy tám thơm 200g Hoa Lư</v>
          </cell>
          <cell r="C51">
            <v>7.7999999999999989</v>
          </cell>
          <cell r="D51">
            <v>1</v>
          </cell>
          <cell r="E51" t="str">
            <v>OPP 20x440</v>
          </cell>
          <cell r="F51">
            <v>5</v>
          </cell>
          <cell r="G51" t="str">
            <v>OPP</v>
          </cell>
          <cell r="H51">
            <v>0</v>
          </cell>
          <cell r="I51">
            <v>5</v>
          </cell>
          <cell r="J51">
            <v>0</v>
          </cell>
          <cell r="K51">
            <v>0.1</v>
          </cell>
          <cell r="L51">
            <v>2</v>
          </cell>
          <cell r="M51">
            <v>0</v>
          </cell>
          <cell r="N51">
            <v>0</v>
          </cell>
          <cell r="O51">
            <v>0.6</v>
          </cell>
          <cell r="P51">
            <v>0</v>
          </cell>
          <cell r="Q51">
            <v>0</v>
          </cell>
          <cell r="R51">
            <v>0.1</v>
          </cell>
          <cell r="S51">
            <v>0</v>
          </cell>
          <cell r="T51">
            <v>0</v>
          </cell>
          <cell r="U51">
            <v>0</v>
          </cell>
          <cell r="V51">
            <v>0</v>
          </cell>
          <cell r="W51">
            <v>0</v>
          </cell>
          <cell r="X51">
            <v>0</v>
          </cell>
          <cell r="Y51">
            <v>0</v>
          </cell>
          <cell r="Z51">
            <v>0</v>
          </cell>
          <cell r="AA51">
            <v>0</v>
          </cell>
          <cell r="AB51">
            <v>0</v>
          </cell>
          <cell r="AC51">
            <v>0</v>
          </cell>
          <cell r="AD51">
            <v>0</v>
          </cell>
          <cell r="AE51" t="str">
            <v>CPP 35x440</v>
          </cell>
          <cell r="AF51">
            <v>0</v>
          </cell>
          <cell r="AG51">
            <v>2.2022000000000003E-2</v>
          </cell>
          <cell r="AH51">
            <v>0.57333333333333325</v>
          </cell>
          <cell r="AI51">
            <v>0</v>
          </cell>
          <cell r="AJ51">
            <v>9530</v>
          </cell>
          <cell r="AK51">
            <v>0</v>
          </cell>
          <cell r="AL51">
            <v>2E-3</v>
          </cell>
          <cell r="AM51" t="str">
            <v>túi hàn lưng xếp hông lệch</v>
          </cell>
          <cell r="AN51">
            <v>310</v>
          </cell>
          <cell r="AO51" t="str">
            <v>Công ty CP Thực Phẩm Hoa Lư</v>
          </cell>
          <cell r="AP51" t="str">
            <v>1305811-1</v>
          </cell>
          <cell r="AQ51" t="str">
            <v>1708315-2</v>
          </cell>
          <cell r="AR51">
            <v>0</v>
          </cell>
          <cell r="AS51">
            <v>0</v>
          </cell>
          <cell r="AT51">
            <v>0</v>
          </cell>
          <cell r="AU51">
            <v>0</v>
          </cell>
          <cell r="AV51">
            <v>0</v>
          </cell>
          <cell r="AW51">
            <v>0</v>
          </cell>
          <cell r="AX51">
            <v>0</v>
          </cell>
          <cell r="AY51" t="str">
            <v>620x550</v>
          </cell>
          <cell r="AZ51" t="str">
            <v>M3</v>
          </cell>
          <cell r="BA51">
            <v>3000</v>
          </cell>
          <cell r="BB51" t="str">
            <v>Thùng 5 lớp 42x34x36</v>
          </cell>
          <cell r="BC51">
            <v>0</v>
          </cell>
          <cell r="BD51">
            <v>0</v>
          </cell>
        </row>
        <row r="52">
          <cell r="A52" t="str">
            <v>sp 197a</v>
          </cell>
          <cell r="B52" t="str">
            <v>Túi cơm cháy nếp nhung 200g Hoa Lư</v>
          </cell>
          <cell r="C52">
            <v>0</v>
          </cell>
          <cell r="D52">
            <v>1</v>
          </cell>
          <cell r="E52" t="str">
            <v>OPP 20x440</v>
          </cell>
          <cell r="F52">
            <v>5</v>
          </cell>
          <cell r="G52" t="str">
            <v>OPP</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t="str">
            <v>CPP 35x440</v>
          </cell>
          <cell r="AF52">
            <v>0</v>
          </cell>
          <cell r="AG52">
            <v>2.2022000000000003E-2</v>
          </cell>
          <cell r="AH52">
            <v>0.65933333333333333</v>
          </cell>
          <cell r="AI52">
            <v>0</v>
          </cell>
          <cell r="AJ52">
            <v>9530</v>
          </cell>
          <cell r="AK52">
            <v>0</v>
          </cell>
          <cell r="AL52">
            <v>2.3E-3</v>
          </cell>
          <cell r="AM52" t="str">
            <v>túi hàn lưng xếp hông lệch</v>
          </cell>
          <cell r="AN52">
            <v>310</v>
          </cell>
          <cell r="AO52" t="str">
            <v>Công ty CP Thực Phẩm Hoa Lư</v>
          </cell>
          <cell r="AP52" t="e">
            <v>#N/A</v>
          </cell>
          <cell r="AQ52" t="e">
            <v>#N/A</v>
          </cell>
          <cell r="AR52" t="e">
            <v>#N/A</v>
          </cell>
          <cell r="AS52" t="e">
            <v>#N/A</v>
          </cell>
          <cell r="AT52" t="e">
            <v>#N/A</v>
          </cell>
          <cell r="AU52" t="e">
            <v>#N/A</v>
          </cell>
          <cell r="AV52" t="e">
            <v>#N/A</v>
          </cell>
          <cell r="AW52" t="e">
            <v>#N/A</v>
          </cell>
          <cell r="AX52" t="e">
            <v>#N/A</v>
          </cell>
          <cell r="AY52" t="e">
            <v>#N/A</v>
          </cell>
          <cell r="AZ52" t="e">
            <v>#N/A</v>
          </cell>
          <cell r="BA52">
            <v>3000</v>
          </cell>
          <cell r="BB52" t="str">
            <v>Thùng 5 lớp 42x34x36</v>
          </cell>
          <cell r="BC52">
            <v>0</v>
          </cell>
          <cell r="BD52" t="e">
            <v>#N/A</v>
          </cell>
        </row>
        <row r="53">
          <cell r="A53" t="str">
            <v>sp 199a</v>
          </cell>
          <cell r="B53" t="str">
            <v>Túi bánh lipo sầu riêng 210g Alpha KT 330x280</v>
          </cell>
          <cell r="C53">
            <v>7.6000000000000005</v>
          </cell>
          <cell r="D53">
            <v>1</v>
          </cell>
          <cell r="E53" t="str">
            <v>OPP mờ 20x680</v>
          </cell>
          <cell r="F53">
            <v>7</v>
          </cell>
          <cell r="G53" t="str">
            <v>OPP</v>
          </cell>
          <cell r="H53">
            <v>0.1</v>
          </cell>
          <cell r="I53">
            <v>2.7</v>
          </cell>
          <cell r="J53">
            <v>0.4</v>
          </cell>
          <cell r="K53">
            <v>0.7</v>
          </cell>
          <cell r="L53">
            <v>1.5</v>
          </cell>
          <cell r="M53">
            <v>1</v>
          </cell>
          <cell r="N53">
            <v>0</v>
          </cell>
          <cell r="O53">
            <v>0</v>
          </cell>
          <cell r="P53">
            <v>0.7</v>
          </cell>
          <cell r="Q53">
            <v>0.1</v>
          </cell>
          <cell r="R53">
            <v>0</v>
          </cell>
          <cell r="S53">
            <v>0</v>
          </cell>
          <cell r="T53">
            <v>0</v>
          </cell>
          <cell r="U53">
            <v>0</v>
          </cell>
          <cell r="V53">
            <v>0.4</v>
          </cell>
          <cell r="W53">
            <v>0</v>
          </cell>
          <cell r="X53">
            <v>0</v>
          </cell>
          <cell r="Y53">
            <v>0</v>
          </cell>
          <cell r="Z53">
            <v>0</v>
          </cell>
          <cell r="AA53">
            <v>0</v>
          </cell>
          <cell r="AB53">
            <v>0</v>
          </cell>
          <cell r="AC53">
            <v>0</v>
          </cell>
          <cell r="AD53">
            <v>0</v>
          </cell>
          <cell r="AE53" t="str">
            <v>MPET 12x680</v>
          </cell>
          <cell r="AF53" t="str">
            <v>PE 30x680</v>
          </cell>
          <cell r="AG53">
            <v>4.2670000000000007E-2</v>
          </cell>
          <cell r="AH53">
            <v>1.0273333333333332</v>
          </cell>
          <cell r="AI53">
            <v>1.675</v>
          </cell>
          <cell r="AJ53">
            <v>9530</v>
          </cell>
          <cell r="AK53">
            <v>9690</v>
          </cell>
          <cell r="AL53" t="str">
            <v>0,0048(0,0023;0,0025)</v>
          </cell>
          <cell r="AM53" t="str">
            <v>túi ba biên</v>
          </cell>
          <cell r="AN53">
            <v>280</v>
          </cell>
          <cell r="AO53" t="str">
            <v>Công ty Quốc tế Alpha</v>
          </cell>
          <cell r="AP53" t="e">
            <v>#N/A</v>
          </cell>
          <cell r="AQ53" t="e">
            <v>#N/A</v>
          </cell>
          <cell r="AR53" t="e">
            <v>#N/A</v>
          </cell>
          <cell r="AS53" t="e">
            <v>#N/A</v>
          </cell>
          <cell r="AT53" t="e">
            <v>#N/A</v>
          </cell>
          <cell r="AU53" t="e">
            <v>#N/A</v>
          </cell>
          <cell r="AV53" t="e">
            <v>#N/A</v>
          </cell>
          <cell r="AW53" t="e">
            <v>#N/A</v>
          </cell>
          <cell r="AX53" t="e">
            <v>#N/A</v>
          </cell>
          <cell r="AY53" t="e">
            <v>#N/A</v>
          </cell>
          <cell r="AZ53" t="e">
            <v>#N/A</v>
          </cell>
          <cell r="BA53">
            <v>2500</v>
          </cell>
          <cell r="BB53" t="str">
            <v>Thùng 5 lớp 42x34x36</v>
          </cell>
          <cell r="BC53">
            <v>0</v>
          </cell>
          <cell r="BD53" t="e">
            <v>#N/A</v>
          </cell>
        </row>
        <row r="54">
          <cell r="A54" t="str">
            <v>sp 202</v>
          </cell>
          <cell r="B54" t="str">
            <v>Túi bánh đậu xanh 350gr Tiên Dung</v>
          </cell>
          <cell r="C54">
            <v>2.5099999999999998</v>
          </cell>
          <cell r="D54">
            <v>2</v>
          </cell>
          <cell r="E54" t="str">
            <v>OPP 20x680</v>
          </cell>
          <cell r="F54">
            <v>3</v>
          </cell>
          <cell r="G54" t="str">
            <v>OPP</v>
          </cell>
          <cell r="H54">
            <v>0</v>
          </cell>
          <cell r="I54">
            <v>1.23</v>
          </cell>
          <cell r="J54">
            <v>0</v>
          </cell>
          <cell r="K54">
            <v>0</v>
          </cell>
          <cell r="L54">
            <v>0.94</v>
          </cell>
          <cell r="M54">
            <v>0</v>
          </cell>
          <cell r="N54">
            <v>0</v>
          </cell>
          <cell r="O54">
            <v>0</v>
          </cell>
          <cell r="P54">
            <v>0.01</v>
          </cell>
          <cell r="Q54">
            <v>0.33</v>
          </cell>
          <cell r="R54">
            <v>0</v>
          </cell>
          <cell r="S54">
            <v>0</v>
          </cell>
          <cell r="T54">
            <v>0</v>
          </cell>
          <cell r="U54">
            <v>0</v>
          </cell>
          <cell r="V54">
            <v>0</v>
          </cell>
          <cell r="W54">
            <v>0</v>
          </cell>
          <cell r="X54">
            <v>0</v>
          </cell>
          <cell r="Y54">
            <v>0</v>
          </cell>
          <cell r="Z54">
            <v>0</v>
          </cell>
          <cell r="AA54">
            <v>0</v>
          </cell>
          <cell r="AB54">
            <v>0</v>
          </cell>
          <cell r="AC54">
            <v>0</v>
          </cell>
          <cell r="AD54">
            <v>0</v>
          </cell>
          <cell r="AE54" t="str">
            <v>CPP 25x680</v>
          </cell>
          <cell r="AF54">
            <v>0</v>
          </cell>
          <cell r="AG54">
            <v>2.7846000000000003E-2</v>
          </cell>
          <cell r="AH54">
            <v>0.89333333333333331</v>
          </cell>
          <cell r="AI54">
            <v>0</v>
          </cell>
          <cell r="AJ54">
            <v>9530</v>
          </cell>
          <cell r="AK54">
            <v>0</v>
          </cell>
          <cell r="AL54">
            <v>2E-3</v>
          </cell>
          <cell r="AM54" t="str">
            <v>túi hàn lưng xếp hông lệch</v>
          </cell>
          <cell r="AN54">
            <v>275</v>
          </cell>
          <cell r="AO54" t="str">
            <v>Công ty TNHH Tiên Dung</v>
          </cell>
          <cell r="AP54" t="str">
            <v>1309145-1</v>
          </cell>
          <cell r="AQ54" t="str">
            <v>1309145-2</v>
          </cell>
          <cell r="AR54" t="str">
            <v>1309145-3</v>
          </cell>
          <cell r="AS54">
            <v>0</v>
          </cell>
          <cell r="AT54">
            <v>0</v>
          </cell>
          <cell r="AU54">
            <v>0</v>
          </cell>
          <cell r="AV54">
            <v>0</v>
          </cell>
          <cell r="AW54">
            <v>0</v>
          </cell>
          <cell r="AX54">
            <v>0</v>
          </cell>
          <cell r="AY54" t="str">
            <v>550x750</v>
          </cell>
          <cell r="AZ54" t="str">
            <v>M3</v>
          </cell>
          <cell r="BA54">
            <v>5000</v>
          </cell>
          <cell r="BB54" t="str">
            <v>Thùng 5 lớp 42x34x36</v>
          </cell>
          <cell r="BC54">
            <v>0</v>
          </cell>
          <cell r="BD54">
            <v>0</v>
          </cell>
        </row>
        <row r="55">
          <cell r="A55" t="str">
            <v>sp 204</v>
          </cell>
          <cell r="B55" t="str">
            <v>Túi bánh trứng lipo 135gr chau phi Alpha</v>
          </cell>
          <cell r="C55">
            <v>8.49</v>
          </cell>
          <cell r="D55">
            <v>2</v>
          </cell>
          <cell r="E55" t="str">
            <v>OPP 20 x 660</v>
          </cell>
          <cell r="F55">
            <v>6</v>
          </cell>
          <cell r="G55" t="str">
            <v>OPP</v>
          </cell>
          <cell r="H55">
            <v>0.26</v>
          </cell>
          <cell r="I55">
            <v>3.45</v>
          </cell>
          <cell r="J55">
            <v>0.15</v>
          </cell>
          <cell r="K55">
            <v>0.12</v>
          </cell>
          <cell r="L55">
            <v>2.79</v>
          </cell>
          <cell r="M55">
            <v>1.71</v>
          </cell>
          <cell r="N55">
            <v>0</v>
          </cell>
          <cell r="O55">
            <v>0</v>
          </cell>
          <cell r="P55">
            <v>0.01</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t="str">
            <v>PE 55 x 660</v>
          </cell>
          <cell r="AF55">
            <v>0</v>
          </cell>
          <cell r="AG55">
            <v>4.5589499999999998E-2</v>
          </cell>
          <cell r="AH55">
            <v>1.4950000000000001</v>
          </cell>
          <cell r="AI55">
            <v>1.6250000000000004</v>
          </cell>
          <cell r="AJ55">
            <v>9690</v>
          </cell>
          <cell r="AK55">
            <v>0</v>
          </cell>
          <cell r="AL55" t="str">
            <v>0,0048(0,0023;0,0025)</v>
          </cell>
          <cell r="AM55" t="str">
            <v>túi hàn lưng xếp hông</v>
          </cell>
          <cell r="AN55">
            <v>280</v>
          </cell>
          <cell r="AO55" t="str">
            <v>Công ty Quốc tế Alpha</v>
          </cell>
          <cell r="AP55" t="e">
            <v>#N/A</v>
          </cell>
          <cell r="AQ55" t="e">
            <v>#N/A</v>
          </cell>
          <cell r="AR55" t="e">
            <v>#N/A</v>
          </cell>
          <cell r="AS55" t="e">
            <v>#N/A</v>
          </cell>
          <cell r="AT55" t="e">
            <v>#N/A</v>
          </cell>
          <cell r="AU55" t="e">
            <v>#N/A</v>
          </cell>
          <cell r="AV55" t="e">
            <v>#N/A</v>
          </cell>
          <cell r="AW55" t="e">
            <v>#N/A</v>
          </cell>
          <cell r="AX55" t="e">
            <v>#N/A</v>
          </cell>
          <cell r="AY55" t="e">
            <v>#N/A</v>
          </cell>
          <cell r="AZ55" t="e">
            <v>#N/A</v>
          </cell>
          <cell r="BA55">
            <v>3000</v>
          </cell>
          <cell r="BB55" t="str">
            <v>Thùng 5 lớp 42x34x36</v>
          </cell>
          <cell r="BC55">
            <v>0</v>
          </cell>
          <cell r="BD55" t="e">
            <v>#N/A</v>
          </cell>
        </row>
        <row r="56">
          <cell r="A56" t="str">
            <v>sp 205</v>
          </cell>
          <cell r="B56" t="str">
            <v>Túi bánh khoai tây Q2 Diamond food</v>
          </cell>
          <cell r="C56">
            <v>8.94</v>
          </cell>
          <cell r="D56">
            <v>1</v>
          </cell>
          <cell r="E56" t="str">
            <v>OPP 20x470</v>
          </cell>
          <cell r="F56">
            <v>6</v>
          </cell>
          <cell r="G56" t="str">
            <v>OPP</v>
          </cell>
          <cell r="H56">
            <v>0</v>
          </cell>
          <cell r="I56">
            <v>3.28</v>
          </cell>
          <cell r="J56">
            <v>0.77</v>
          </cell>
          <cell r="K56">
            <v>0.27</v>
          </cell>
          <cell r="L56">
            <v>2.04</v>
          </cell>
          <cell r="M56">
            <v>1.91</v>
          </cell>
          <cell r="N56">
            <v>0.15</v>
          </cell>
          <cell r="O56">
            <v>0</v>
          </cell>
          <cell r="P56">
            <v>0</v>
          </cell>
          <cell r="Q56">
            <v>0</v>
          </cell>
          <cell r="R56">
            <v>0.51</v>
          </cell>
          <cell r="S56">
            <v>0.01</v>
          </cell>
          <cell r="T56">
            <v>0</v>
          </cell>
          <cell r="U56">
            <v>0</v>
          </cell>
          <cell r="V56">
            <v>0</v>
          </cell>
          <cell r="W56">
            <v>0</v>
          </cell>
          <cell r="X56">
            <v>0</v>
          </cell>
          <cell r="Y56">
            <v>0</v>
          </cell>
          <cell r="Z56">
            <v>0</v>
          </cell>
          <cell r="AA56">
            <v>0</v>
          </cell>
          <cell r="AB56">
            <v>0</v>
          </cell>
          <cell r="AC56">
            <v>0</v>
          </cell>
          <cell r="AD56">
            <v>0</v>
          </cell>
          <cell r="AE56" t="str">
            <v>CPP 45x470</v>
          </cell>
          <cell r="AF56">
            <v>0</v>
          </cell>
          <cell r="AG56">
            <v>2.7800499999999999E-2</v>
          </cell>
          <cell r="AH56">
            <v>0.61333333333333329</v>
          </cell>
          <cell r="AI56">
            <v>0</v>
          </cell>
          <cell r="AJ56">
            <v>9530</v>
          </cell>
          <cell r="AK56">
            <v>0</v>
          </cell>
          <cell r="AL56">
            <v>2E-3</v>
          </cell>
          <cell r="AM56" t="str">
            <v>túi hàn lưng xếp hông</v>
          </cell>
          <cell r="AN56">
            <v>310</v>
          </cell>
          <cell r="AO56" t="str">
            <v>Công ty Diamond food</v>
          </cell>
          <cell r="AP56" t="str">
            <v>1310341-1</v>
          </cell>
          <cell r="AQ56" t="str">
            <v>1707907-2</v>
          </cell>
          <cell r="AR56" t="str">
            <v>1310341-3</v>
          </cell>
          <cell r="AS56" t="str">
            <v>1310341-4</v>
          </cell>
          <cell r="AT56" t="str">
            <v>1310341-5</v>
          </cell>
          <cell r="AU56" t="str">
            <v>1310341-6</v>
          </cell>
          <cell r="AV56">
            <v>0</v>
          </cell>
          <cell r="AW56">
            <v>0</v>
          </cell>
          <cell r="AX56">
            <v>0</v>
          </cell>
          <cell r="AY56" t="str">
            <v>620x750</v>
          </cell>
          <cell r="AZ56" t="str">
            <v>M3</v>
          </cell>
          <cell r="BA56">
            <v>2000</v>
          </cell>
          <cell r="BB56" t="str">
            <v>Thùng 5 lớp 42x34x36</v>
          </cell>
          <cell r="BC56">
            <v>0</v>
          </cell>
          <cell r="BD56">
            <v>0</v>
          </cell>
        </row>
        <row r="57">
          <cell r="A57" t="str">
            <v>sp 212</v>
          </cell>
          <cell r="B57" t="str">
            <v>Cuộn bột canh đặc biệt Ngọc Châu</v>
          </cell>
          <cell r="C57">
            <v>0</v>
          </cell>
          <cell r="D57">
            <v>2</v>
          </cell>
          <cell r="E57" t="str">
            <v>OPP 20x500</v>
          </cell>
          <cell r="F57">
            <v>3</v>
          </cell>
          <cell r="G57" t="str">
            <v>OPP</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t="str">
            <v>PE 40x500</v>
          </cell>
          <cell r="AF57">
            <v>0</v>
          </cell>
          <cell r="AG57">
            <v>2.7600000000000003E-2</v>
          </cell>
          <cell r="AH57">
            <v>0.65333333333333332</v>
          </cell>
          <cell r="AI57">
            <v>0</v>
          </cell>
          <cell r="AJ57">
            <v>9530</v>
          </cell>
          <cell r="AK57">
            <v>0</v>
          </cell>
          <cell r="AL57">
            <v>2E-3</v>
          </cell>
          <cell r="AM57" t="str">
            <v>dạng cuộn 1000m</v>
          </cell>
          <cell r="AN57">
            <v>240</v>
          </cell>
          <cell r="AO57" t="str">
            <v>Công ty Ngọc Châu</v>
          </cell>
          <cell r="AP57" t="str">
            <v>F313267-1</v>
          </cell>
          <cell r="AQ57" t="str">
            <v>F313267-2</v>
          </cell>
          <cell r="AR57" t="str">
            <v>F313267-3</v>
          </cell>
          <cell r="AS57">
            <v>0</v>
          </cell>
          <cell r="AT57">
            <v>0</v>
          </cell>
          <cell r="AU57">
            <v>0</v>
          </cell>
          <cell r="AV57">
            <v>0</v>
          </cell>
          <cell r="AW57">
            <v>0</v>
          </cell>
          <cell r="AX57">
            <v>0</v>
          </cell>
          <cell r="AY57" t="str">
            <v>480x560</v>
          </cell>
          <cell r="AZ57" t="str">
            <v>BHD</v>
          </cell>
          <cell r="BA57" t="str">
            <v>1c</v>
          </cell>
          <cell r="BB57" t="str">
            <v>giấy cartoon K300</v>
          </cell>
          <cell r="BC57">
            <v>0</v>
          </cell>
          <cell r="BD57">
            <v>0</v>
          </cell>
        </row>
        <row r="58">
          <cell r="A58" t="str">
            <v>sp 225</v>
          </cell>
          <cell r="B58" t="str">
            <v>Cuộn bánh gấc zenla Minh Phát</v>
          </cell>
          <cell r="C58">
            <v>4.7999999999999989</v>
          </cell>
          <cell r="D58">
            <v>4</v>
          </cell>
          <cell r="E58" t="str">
            <v>OPP mờ 20 x 620</v>
          </cell>
          <cell r="F58">
            <v>7</v>
          </cell>
          <cell r="G58" t="str">
            <v>OPP</v>
          </cell>
          <cell r="H58">
            <v>0.11</v>
          </cell>
          <cell r="I58">
            <v>2</v>
          </cell>
          <cell r="J58">
            <v>0.05</v>
          </cell>
          <cell r="K58">
            <v>0.37</v>
          </cell>
          <cell r="L58">
            <v>0.65</v>
          </cell>
          <cell r="M58">
            <v>0.5</v>
          </cell>
          <cell r="N58">
            <v>0</v>
          </cell>
          <cell r="O58">
            <v>0</v>
          </cell>
          <cell r="P58">
            <v>0.72</v>
          </cell>
          <cell r="Q58">
            <v>0.31</v>
          </cell>
          <cell r="R58">
            <v>0</v>
          </cell>
          <cell r="S58">
            <v>0.09</v>
          </cell>
          <cell r="T58">
            <v>0</v>
          </cell>
          <cell r="U58">
            <v>0</v>
          </cell>
          <cell r="V58">
            <v>0</v>
          </cell>
          <cell r="W58">
            <v>0</v>
          </cell>
          <cell r="X58">
            <v>0</v>
          </cell>
          <cell r="Y58">
            <v>0</v>
          </cell>
          <cell r="Z58">
            <v>0</v>
          </cell>
          <cell r="AA58">
            <v>0</v>
          </cell>
          <cell r="AB58">
            <v>0</v>
          </cell>
          <cell r="AC58">
            <v>0</v>
          </cell>
          <cell r="AD58">
            <v>0</v>
          </cell>
          <cell r="AE58" t="str">
            <v>MCPP 25 x 620</v>
          </cell>
          <cell r="AF58">
            <v>0</v>
          </cell>
          <cell r="AG58">
            <v>2.5388999999999998E-2</v>
          </cell>
          <cell r="AH58">
            <v>0.81333333333333324</v>
          </cell>
          <cell r="AI58">
            <v>0</v>
          </cell>
          <cell r="AJ58">
            <v>9530</v>
          </cell>
          <cell r="AK58">
            <v>0</v>
          </cell>
          <cell r="AL58">
            <v>2E-3</v>
          </cell>
          <cell r="AM58" t="str">
            <v>dạng cuộn 1000m</v>
          </cell>
          <cell r="AN58">
            <v>150</v>
          </cell>
          <cell r="AO58" t="str">
            <v>Công ty Minh Phát</v>
          </cell>
          <cell r="AP58" t="str">
            <v>F121276G4-1</v>
          </cell>
          <cell r="AQ58" t="str">
            <v>F105895-2</v>
          </cell>
          <cell r="AR58" t="str">
            <v>F121276G4-3</v>
          </cell>
          <cell r="AS58" t="str">
            <v>F105895-4</v>
          </cell>
          <cell r="AT58" t="str">
            <v>F121276G3-5</v>
          </cell>
          <cell r="AU58" t="str">
            <v>F105895-6</v>
          </cell>
          <cell r="AV58" t="str">
            <v>F121276G3-7</v>
          </cell>
          <cell r="AW58">
            <v>0</v>
          </cell>
          <cell r="AX58">
            <v>0</v>
          </cell>
          <cell r="AY58" t="str">
            <v>450x750</v>
          </cell>
          <cell r="AZ58" t="str">
            <v>M3</v>
          </cell>
          <cell r="BA58" t="str">
            <v>4c</v>
          </cell>
          <cell r="BB58" t="str">
            <v>giấy cartoon K800</v>
          </cell>
          <cell r="BC58">
            <v>0</v>
          </cell>
          <cell r="BD58">
            <v>0</v>
          </cell>
        </row>
        <row r="59">
          <cell r="A59" t="str">
            <v>sp 233</v>
          </cell>
          <cell r="B59" t="str">
            <v>Cuộn bánh đồng tiền Minh Phát</v>
          </cell>
          <cell r="C59">
            <v>6.6499999999999995</v>
          </cell>
          <cell r="D59">
            <v>6</v>
          </cell>
          <cell r="E59" t="str">
            <v>OPP 20x820</v>
          </cell>
          <cell r="F59">
            <v>7</v>
          </cell>
          <cell r="G59" t="str">
            <v>OPP</v>
          </cell>
          <cell r="H59">
            <v>0.1</v>
          </cell>
          <cell r="I59">
            <v>2.15</v>
          </cell>
          <cell r="J59">
            <v>0</v>
          </cell>
          <cell r="K59">
            <v>0.13</v>
          </cell>
          <cell r="L59">
            <v>2.15</v>
          </cell>
          <cell r="M59">
            <v>0.12</v>
          </cell>
          <cell r="N59">
            <v>0</v>
          </cell>
          <cell r="O59">
            <v>0.28999999999999998</v>
          </cell>
          <cell r="P59">
            <v>1.1200000000000001</v>
          </cell>
          <cell r="Q59">
            <v>0.17</v>
          </cell>
          <cell r="R59">
            <v>0</v>
          </cell>
          <cell r="S59">
            <v>0.42</v>
          </cell>
          <cell r="T59">
            <v>0</v>
          </cell>
          <cell r="U59">
            <v>0</v>
          </cell>
          <cell r="V59">
            <v>0</v>
          </cell>
          <cell r="W59">
            <v>0</v>
          </cell>
          <cell r="X59">
            <v>0</v>
          </cell>
          <cell r="Y59">
            <v>0</v>
          </cell>
          <cell r="Z59">
            <v>0</v>
          </cell>
          <cell r="AA59">
            <v>0</v>
          </cell>
          <cell r="AB59">
            <v>0</v>
          </cell>
          <cell r="AC59">
            <v>0</v>
          </cell>
          <cell r="AD59">
            <v>0</v>
          </cell>
          <cell r="AE59" t="str">
            <v>CPP 25x820</v>
          </cell>
          <cell r="AF59">
            <v>0</v>
          </cell>
          <cell r="AG59">
            <v>3.3578999999999998E-2</v>
          </cell>
          <cell r="AH59">
            <v>1.08</v>
          </cell>
          <cell r="AI59">
            <v>0</v>
          </cell>
          <cell r="AJ59">
            <v>9530</v>
          </cell>
          <cell r="AK59">
            <v>0</v>
          </cell>
          <cell r="AL59">
            <v>2E-3</v>
          </cell>
          <cell r="AM59" t="str">
            <v>dạng cuộn 1000m</v>
          </cell>
          <cell r="AN59">
            <v>133</v>
          </cell>
          <cell r="AO59" t="str">
            <v>Công ty Minh Phát</v>
          </cell>
          <cell r="AP59" t="str">
            <v>F106531-1</v>
          </cell>
          <cell r="AQ59" t="str">
            <v>F106531-2</v>
          </cell>
          <cell r="AR59" t="str">
            <v>F106531-3</v>
          </cell>
          <cell r="AS59" t="str">
            <v>F106531-4</v>
          </cell>
          <cell r="AT59" t="str">
            <v>F106531-5</v>
          </cell>
          <cell r="AU59" t="str">
            <v>F106531-6</v>
          </cell>
          <cell r="AV59" t="str">
            <v>F106531-7</v>
          </cell>
          <cell r="AW59">
            <v>0</v>
          </cell>
          <cell r="AX59">
            <v>0</v>
          </cell>
          <cell r="AY59" t="str">
            <v>640x860</v>
          </cell>
          <cell r="AZ59" t="str">
            <v>M3</v>
          </cell>
          <cell r="BA59" t="str">
            <v>4c</v>
          </cell>
          <cell r="BB59" t="str">
            <v>giấy cartoon K600</v>
          </cell>
          <cell r="BC59">
            <v>0</v>
          </cell>
          <cell r="BD59">
            <v>0</v>
          </cell>
        </row>
        <row r="60">
          <cell r="A60" t="str">
            <v>sp 267</v>
          </cell>
          <cell r="B60" t="str">
            <v>Cuộn màng bột canh I ốt 7 màu Ngọc Châu</v>
          </cell>
          <cell r="C60">
            <v>0</v>
          </cell>
          <cell r="D60">
            <v>3</v>
          </cell>
          <cell r="E60" t="str">
            <v>OPP 20x680</v>
          </cell>
          <cell r="F60">
            <v>7</v>
          </cell>
          <cell r="G60" t="str">
            <v>OPP</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t="str">
            <v>CPP 30x680</v>
          </cell>
          <cell r="AF60">
            <v>0</v>
          </cell>
          <cell r="AG60">
            <v>3.0940000000000002E-2</v>
          </cell>
          <cell r="AH60">
            <v>0.89333333333333331</v>
          </cell>
          <cell r="AI60">
            <v>0</v>
          </cell>
          <cell r="AJ60">
            <v>9530</v>
          </cell>
          <cell r="AK60">
            <v>0</v>
          </cell>
          <cell r="AL60">
            <v>2E-3</v>
          </cell>
          <cell r="AM60" t="str">
            <v>dạng cuộn 1000m</v>
          </cell>
          <cell r="AN60">
            <v>220</v>
          </cell>
          <cell r="AO60" t="str">
            <v>Công ty Ngọc Châu</v>
          </cell>
          <cell r="AP60" t="str">
            <v>F305616-1</v>
          </cell>
          <cell r="AQ60" t="str">
            <v>F305616-2</v>
          </cell>
          <cell r="AR60" t="str">
            <v>F305616-3</v>
          </cell>
          <cell r="AS60" t="str">
            <v>F305616-4</v>
          </cell>
          <cell r="AT60" t="str">
            <v>F305616-5</v>
          </cell>
          <cell r="AU60" t="str">
            <v>F305616-6</v>
          </cell>
          <cell r="AV60" t="str">
            <v>F305616-7</v>
          </cell>
          <cell r="AW60">
            <v>0</v>
          </cell>
          <cell r="AX60">
            <v>0</v>
          </cell>
          <cell r="AY60" t="str">
            <v>525x750</v>
          </cell>
          <cell r="AZ60" t="str">
            <v>M3</v>
          </cell>
          <cell r="BA60" t="str">
            <v>2c</v>
          </cell>
          <cell r="BB60" t="str">
            <v>giấy cartoon K600</v>
          </cell>
          <cell r="BC60">
            <v>0</v>
          </cell>
          <cell r="BD60">
            <v>0</v>
          </cell>
        </row>
        <row r="61">
          <cell r="A61" t="str">
            <v>sp 268</v>
          </cell>
          <cell r="B61" t="str">
            <v>Cuộn bột canh gà 6 màu Ngọc Châu</v>
          </cell>
          <cell r="C61">
            <v>10.879999999999999</v>
          </cell>
          <cell r="D61">
            <v>2</v>
          </cell>
          <cell r="E61" t="str">
            <v>OPP 20x500</v>
          </cell>
          <cell r="F61">
            <v>6</v>
          </cell>
          <cell r="G61" t="str">
            <v>OPP</v>
          </cell>
          <cell r="H61">
            <v>0.13</v>
          </cell>
          <cell r="I61">
            <v>3.88</v>
          </cell>
          <cell r="J61">
            <v>0.04</v>
          </cell>
          <cell r="K61">
            <v>1.2</v>
          </cell>
          <cell r="L61">
            <v>3.66</v>
          </cell>
          <cell r="M61">
            <v>1.61</v>
          </cell>
          <cell r="N61">
            <v>0</v>
          </cell>
          <cell r="O61">
            <v>0</v>
          </cell>
          <cell r="P61">
            <v>0.36</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t="str">
            <v>CPP 30x500</v>
          </cell>
          <cell r="AF61">
            <v>0</v>
          </cell>
          <cell r="AG61">
            <v>2.7600000000000003E-2</v>
          </cell>
          <cell r="AH61">
            <v>0.65333333333333332</v>
          </cell>
          <cell r="AI61">
            <v>0</v>
          </cell>
          <cell r="AJ61">
            <v>9530</v>
          </cell>
          <cell r="AK61">
            <v>0</v>
          </cell>
          <cell r="AL61">
            <v>2E-3</v>
          </cell>
          <cell r="AM61" t="str">
            <v>dạng cuộn 1000m</v>
          </cell>
          <cell r="AN61">
            <v>240</v>
          </cell>
          <cell r="AO61" t="str">
            <v>Công ty Ngọc Châu</v>
          </cell>
          <cell r="AP61" t="str">
            <v>F118014-1</v>
          </cell>
          <cell r="AQ61" t="str">
            <v>F118014-2</v>
          </cell>
          <cell r="AR61" t="str">
            <v>F118014-3</v>
          </cell>
          <cell r="AS61" t="str">
            <v>F118014-4</v>
          </cell>
          <cell r="AT61" t="str">
            <v>F118014-5</v>
          </cell>
          <cell r="AU61" t="str">
            <v>F118014-6</v>
          </cell>
          <cell r="AV61">
            <v>0</v>
          </cell>
          <cell r="AW61">
            <v>0</v>
          </cell>
          <cell r="AX61">
            <v>0</v>
          </cell>
          <cell r="AY61" t="str">
            <v>750x480</v>
          </cell>
          <cell r="AZ61" t="str">
            <v>M3</v>
          </cell>
          <cell r="BA61" t="str">
            <v>1c</v>
          </cell>
          <cell r="BB61" t="str">
            <v>giấy cartoon K300</v>
          </cell>
          <cell r="BC61">
            <v>0</v>
          </cell>
          <cell r="BD61">
            <v>0</v>
          </cell>
        </row>
        <row r="62">
          <cell r="A62" t="str">
            <v>sp 270</v>
          </cell>
          <cell r="B62" t="str">
            <v>Cuộn màng bánh đậu xanh 200g Tiên Dung</v>
          </cell>
          <cell r="C62">
            <v>1.08</v>
          </cell>
          <cell r="D62">
            <v>3</v>
          </cell>
          <cell r="E62" t="str">
            <v>OPP 20x800</v>
          </cell>
          <cell r="F62">
            <v>2</v>
          </cell>
          <cell r="G62" t="str">
            <v>OPP</v>
          </cell>
          <cell r="H62">
            <v>0</v>
          </cell>
          <cell r="I62">
            <v>0.69</v>
          </cell>
          <cell r="J62">
            <v>0</v>
          </cell>
          <cell r="K62">
            <v>0</v>
          </cell>
          <cell r="L62">
            <v>0.16</v>
          </cell>
          <cell r="M62">
            <v>0.03</v>
          </cell>
          <cell r="N62">
            <v>0</v>
          </cell>
          <cell r="O62">
            <v>0</v>
          </cell>
          <cell r="P62">
            <v>0.09</v>
          </cell>
          <cell r="Q62">
            <v>0.11</v>
          </cell>
          <cell r="R62">
            <v>0</v>
          </cell>
          <cell r="S62">
            <v>0</v>
          </cell>
          <cell r="T62">
            <v>0</v>
          </cell>
          <cell r="U62">
            <v>0</v>
          </cell>
          <cell r="V62">
            <v>0</v>
          </cell>
          <cell r="W62">
            <v>0</v>
          </cell>
          <cell r="X62">
            <v>0</v>
          </cell>
          <cell r="Y62">
            <v>0</v>
          </cell>
          <cell r="Z62">
            <v>0</v>
          </cell>
          <cell r="AA62">
            <v>0</v>
          </cell>
          <cell r="AB62">
            <v>0</v>
          </cell>
          <cell r="AC62">
            <v>0</v>
          </cell>
          <cell r="AD62">
            <v>0</v>
          </cell>
          <cell r="AE62" t="str">
            <v>CPP 20 x 800</v>
          </cell>
          <cell r="AF62">
            <v>0</v>
          </cell>
          <cell r="AG62">
            <v>2.9120000000000004E-2</v>
          </cell>
          <cell r="AH62">
            <v>0.75600000000000001</v>
          </cell>
          <cell r="AI62">
            <v>0</v>
          </cell>
          <cell r="AJ62">
            <v>9530</v>
          </cell>
          <cell r="AK62">
            <v>0</v>
          </cell>
          <cell r="AL62">
            <v>1.8E-3</v>
          </cell>
          <cell r="AM62" t="str">
            <v>dạng cuộn 1000m</v>
          </cell>
          <cell r="AN62">
            <v>260</v>
          </cell>
          <cell r="AO62" t="str">
            <v>Công ty Tiên Dung</v>
          </cell>
          <cell r="AP62" t="str">
            <v>18091047-1</v>
          </cell>
          <cell r="AQ62" t="str">
            <v>18091047-2</v>
          </cell>
          <cell r="AR62">
            <v>0</v>
          </cell>
          <cell r="AS62">
            <v>0</v>
          </cell>
          <cell r="AT62">
            <v>0</v>
          </cell>
          <cell r="AU62">
            <v>0</v>
          </cell>
          <cell r="AV62">
            <v>0</v>
          </cell>
          <cell r="AW62">
            <v>0</v>
          </cell>
          <cell r="AX62">
            <v>0</v>
          </cell>
          <cell r="AY62" t="str">
            <v>450x850</v>
          </cell>
          <cell r="AZ62" t="str">
            <v>M3</v>
          </cell>
          <cell r="BA62" t="str">
            <v>2c</v>
          </cell>
          <cell r="BB62" t="str">
            <v>giấy cartoon K600</v>
          </cell>
          <cell r="BC62">
            <v>0</v>
          </cell>
          <cell r="BD62">
            <v>0</v>
          </cell>
        </row>
        <row r="63">
          <cell r="A63" t="str">
            <v>sp 282</v>
          </cell>
          <cell r="B63" t="str">
            <v>Cuộn trà cozy hương táo Vĩnh Phúc</v>
          </cell>
          <cell r="C63">
            <v>7.7599999999999989</v>
          </cell>
          <cell r="D63">
            <v>4</v>
          </cell>
          <cell r="E63" t="str">
            <v>OPP mờ 20x640</v>
          </cell>
          <cell r="F63">
            <v>6</v>
          </cell>
          <cell r="G63" t="str">
            <v>OPP</v>
          </cell>
          <cell r="H63">
            <v>0.15</v>
          </cell>
          <cell r="I63">
            <v>3.23</v>
          </cell>
          <cell r="J63">
            <v>0.05</v>
          </cell>
          <cell r="K63">
            <v>0.01</v>
          </cell>
          <cell r="L63">
            <v>1.55</v>
          </cell>
          <cell r="M63">
            <v>0.61</v>
          </cell>
          <cell r="N63">
            <v>0</v>
          </cell>
          <cell r="O63">
            <v>0</v>
          </cell>
          <cell r="P63">
            <v>1.27</v>
          </cell>
          <cell r="Q63">
            <v>0.89</v>
          </cell>
          <cell r="R63">
            <v>0</v>
          </cell>
          <cell r="S63">
            <v>0</v>
          </cell>
          <cell r="T63">
            <v>0</v>
          </cell>
          <cell r="U63">
            <v>0</v>
          </cell>
          <cell r="V63">
            <v>0</v>
          </cell>
          <cell r="W63">
            <v>0</v>
          </cell>
          <cell r="X63">
            <v>0</v>
          </cell>
          <cell r="Y63">
            <v>0</v>
          </cell>
          <cell r="Z63">
            <v>0</v>
          </cell>
          <cell r="AA63">
            <v>0</v>
          </cell>
          <cell r="AB63">
            <v>0</v>
          </cell>
          <cell r="AC63">
            <v>0</v>
          </cell>
          <cell r="AD63">
            <v>0</v>
          </cell>
          <cell r="AE63" t="str">
            <v>MCPP 35x640</v>
          </cell>
          <cell r="AF63">
            <v>0</v>
          </cell>
          <cell r="AG63">
            <v>3.2032000000000005E-2</v>
          </cell>
          <cell r="AH63">
            <v>0.84</v>
          </cell>
          <cell r="AI63">
            <v>0</v>
          </cell>
          <cell r="AJ63">
            <v>9530</v>
          </cell>
          <cell r="AK63">
            <v>0</v>
          </cell>
          <cell r="AL63">
            <v>2E-3</v>
          </cell>
          <cell r="AM63" t="str">
            <v>dạng cuộn 1500m</v>
          </cell>
          <cell r="AN63">
            <v>155</v>
          </cell>
          <cell r="AO63" t="str">
            <v>Công ty TNHH Thế hệ mới Vĩnh Phúc</v>
          </cell>
          <cell r="AP63" t="str">
            <v>22050163-1</v>
          </cell>
          <cell r="AQ63" t="str">
            <v>1412123-2</v>
          </cell>
          <cell r="AR63" t="str">
            <v>1412123-3</v>
          </cell>
          <cell r="AS63" t="str">
            <v>1412123-4</v>
          </cell>
          <cell r="AT63" t="str">
            <v>1412123-5</v>
          </cell>
          <cell r="AU63" t="str">
            <v>20120111-6</v>
          </cell>
          <cell r="AV63">
            <v>0</v>
          </cell>
          <cell r="AW63">
            <v>0</v>
          </cell>
          <cell r="AX63">
            <v>0</v>
          </cell>
          <cell r="AY63" t="str">
            <v>462x750</v>
          </cell>
          <cell r="AZ63" t="str">
            <v>A1</v>
          </cell>
          <cell r="BA63" t="str">
            <v>4c</v>
          </cell>
          <cell r="BB63" t="str">
            <v>giấy cartoon K800</v>
          </cell>
          <cell r="BC63">
            <v>0</v>
          </cell>
          <cell r="BD63">
            <v>0</v>
          </cell>
        </row>
        <row r="64">
          <cell r="A64" t="str">
            <v>sp 289</v>
          </cell>
          <cell r="B64" t="str">
            <v>Túi chè 10gr loại 2</v>
          </cell>
          <cell r="C64">
            <v>5.4</v>
          </cell>
          <cell r="D64">
            <v>5</v>
          </cell>
          <cell r="E64" t="str">
            <v>PET 12x820</v>
          </cell>
          <cell r="F64">
            <v>1</v>
          </cell>
          <cell r="G64" t="str">
            <v>PET</v>
          </cell>
          <cell r="H64">
            <v>0</v>
          </cell>
          <cell r="I64">
            <v>0</v>
          </cell>
          <cell r="J64">
            <v>0</v>
          </cell>
          <cell r="K64">
            <v>0</v>
          </cell>
          <cell r="L64">
            <v>0</v>
          </cell>
          <cell r="M64">
            <v>0</v>
          </cell>
          <cell r="N64">
            <v>5.4</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t="str">
            <v xml:space="preserve"> MPET 12x820</v>
          </cell>
          <cell r="AF64" t="str">
            <v>PE 45x820</v>
          </cell>
          <cell r="AG64">
            <v>6.1684499999999996E-2</v>
          </cell>
          <cell r="AH64">
            <v>1.242</v>
          </cell>
          <cell r="AI64">
            <v>1.62</v>
          </cell>
          <cell r="AJ64">
            <v>9530</v>
          </cell>
          <cell r="AK64">
            <v>9530</v>
          </cell>
          <cell r="AL64" t="str">
            <v>0,0053(0,0023;0,003)</v>
          </cell>
          <cell r="AM64" t="str">
            <v>túi hàn lưng xếp hông</v>
          </cell>
          <cell r="AN64">
            <v>115</v>
          </cell>
          <cell r="AO64" t="str">
            <v>Khách hàng lẻ</v>
          </cell>
          <cell r="AP64">
            <v>0</v>
          </cell>
          <cell r="AQ64">
            <v>0</v>
          </cell>
          <cell r="AR64">
            <v>0</v>
          </cell>
          <cell r="AS64">
            <v>0</v>
          </cell>
          <cell r="AT64">
            <v>0</v>
          </cell>
          <cell r="AU64">
            <v>0</v>
          </cell>
          <cell r="AV64">
            <v>0</v>
          </cell>
          <cell r="AW64">
            <v>0</v>
          </cell>
          <cell r="AX64">
            <v>0</v>
          </cell>
          <cell r="AY64">
            <v>0</v>
          </cell>
          <cell r="AZ64">
            <v>0</v>
          </cell>
          <cell r="BA64">
            <v>14000</v>
          </cell>
          <cell r="BB64" t="str">
            <v>Thùng 5 lớp 42x34x36</v>
          </cell>
          <cell r="BC64">
            <v>0</v>
          </cell>
          <cell r="BD64" t="str">
            <v>Dùng trục sp 1062</v>
          </cell>
        </row>
        <row r="65">
          <cell r="A65" t="str">
            <v>sp 290</v>
          </cell>
          <cell r="B65" t="str">
            <v>Túi chè 100g loại 1</v>
          </cell>
          <cell r="C65">
            <v>0</v>
          </cell>
          <cell r="D65">
            <v>3</v>
          </cell>
          <cell r="E65" t="str">
            <v>PET 12x740</v>
          </cell>
          <cell r="F65">
            <v>1</v>
          </cell>
          <cell r="G65" t="str">
            <v>PET</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t="str">
            <v xml:space="preserve"> MPET 12x740</v>
          </cell>
          <cell r="AF65" t="str">
            <v>PE 75x740</v>
          </cell>
          <cell r="AG65">
            <v>7.6201500000000005E-2</v>
          </cell>
          <cell r="AH65">
            <v>1.1193333333333333</v>
          </cell>
          <cell r="AI65">
            <v>1.46</v>
          </cell>
          <cell r="AJ65">
            <v>9530</v>
          </cell>
          <cell r="AK65">
            <v>9530</v>
          </cell>
          <cell r="AL65" t="str">
            <v>0,0053(0,0023;0,003)</v>
          </cell>
          <cell r="AM65" t="str">
            <v>túi hàn lưng xếp hông</v>
          </cell>
          <cell r="AN65">
            <v>270</v>
          </cell>
          <cell r="AO65" t="str">
            <v>Khách hàng lẻ</v>
          </cell>
          <cell r="AP65" t="e">
            <v>#N/A</v>
          </cell>
          <cell r="AQ65" t="e">
            <v>#N/A</v>
          </cell>
          <cell r="AR65" t="e">
            <v>#N/A</v>
          </cell>
          <cell r="AS65" t="e">
            <v>#N/A</v>
          </cell>
          <cell r="AT65" t="e">
            <v>#N/A</v>
          </cell>
          <cell r="AU65" t="e">
            <v>#N/A</v>
          </cell>
          <cell r="AV65" t="e">
            <v>#N/A</v>
          </cell>
          <cell r="AW65" t="e">
            <v>#N/A</v>
          </cell>
          <cell r="AX65" t="e">
            <v>#N/A</v>
          </cell>
          <cell r="AY65" t="e">
            <v>#N/A</v>
          </cell>
          <cell r="AZ65" t="e">
            <v>#N/A</v>
          </cell>
          <cell r="BA65">
            <v>3500</v>
          </cell>
          <cell r="BB65" t="str">
            <v>Thùng 5 lớp 42x34x36</v>
          </cell>
          <cell r="BC65">
            <v>0</v>
          </cell>
          <cell r="BD65" t="e">
            <v>#N/A</v>
          </cell>
        </row>
        <row r="66">
          <cell r="A66" t="str">
            <v>sp 291</v>
          </cell>
          <cell r="B66" t="str">
            <v>Túi chè 200g loại 1</v>
          </cell>
          <cell r="C66">
            <v>0</v>
          </cell>
          <cell r="D66">
            <v>3</v>
          </cell>
          <cell r="E66" t="str">
            <v>PET 12x620</v>
          </cell>
          <cell r="F66">
            <v>1</v>
          </cell>
          <cell r="G66" t="str">
            <v>PET</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t="str">
            <v>MPET 12x620</v>
          </cell>
          <cell r="AF66" t="str">
            <v>PE 75x620</v>
          </cell>
          <cell r="AG66">
            <v>6.3844500000000012E-2</v>
          </cell>
          <cell r="AH66">
            <v>0.93533333333333324</v>
          </cell>
          <cell r="AI66">
            <v>1.22</v>
          </cell>
          <cell r="AJ66">
            <v>9530</v>
          </cell>
          <cell r="AK66">
            <v>9530</v>
          </cell>
          <cell r="AL66" t="str">
            <v>0,0053(0,0023;0,003)</v>
          </cell>
          <cell r="AM66" t="str">
            <v>túi hàn lưng xếp hông</v>
          </cell>
          <cell r="AN66">
            <v>340</v>
          </cell>
          <cell r="AO66" t="str">
            <v>Khách hàng lẻ</v>
          </cell>
          <cell r="AP66" t="e">
            <v>#N/A</v>
          </cell>
          <cell r="AQ66" t="e">
            <v>#N/A</v>
          </cell>
          <cell r="AR66" t="e">
            <v>#N/A</v>
          </cell>
          <cell r="AS66" t="e">
            <v>#N/A</v>
          </cell>
          <cell r="AT66" t="e">
            <v>#N/A</v>
          </cell>
          <cell r="AU66" t="e">
            <v>#N/A</v>
          </cell>
          <cell r="AV66" t="e">
            <v>#N/A</v>
          </cell>
          <cell r="AW66" t="e">
            <v>#N/A</v>
          </cell>
          <cell r="AX66" t="e">
            <v>#N/A</v>
          </cell>
          <cell r="AY66" t="e">
            <v>#N/A</v>
          </cell>
          <cell r="AZ66" t="e">
            <v>#N/A</v>
          </cell>
          <cell r="BA66">
            <v>2500</v>
          </cell>
          <cell r="BB66" t="str">
            <v>Thùng 5 lớp 42x34x36</v>
          </cell>
          <cell r="BC66">
            <v>0</v>
          </cell>
          <cell r="BD66" t="e">
            <v>#N/A</v>
          </cell>
        </row>
        <row r="67">
          <cell r="A67" t="str">
            <v>sp 292</v>
          </cell>
          <cell r="B67" t="str">
            <v>Túi chè 500gr loại 1</v>
          </cell>
          <cell r="C67">
            <v>0</v>
          </cell>
          <cell r="D67">
            <v>2</v>
          </cell>
          <cell r="E67" t="str">
            <v>PET 12x740</v>
          </cell>
          <cell r="F67">
            <v>1</v>
          </cell>
          <cell r="G67" t="str">
            <v>PET</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t="str">
            <v xml:space="preserve"> MPET 12x740</v>
          </cell>
          <cell r="AF67" t="str">
            <v>PE 75x740</v>
          </cell>
          <cell r="AG67">
            <v>7.6201500000000005E-2</v>
          </cell>
          <cell r="AH67">
            <v>1.1193333333333333</v>
          </cell>
          <cell r="AI67">
            <v>1.46</v>
          </cell>
          <cell r="AJ67">
            <v>9530</v>
          </cell>
          <cell r="AK67">
            <v>9530</v>
          </cell>
          <cell r="AL67" t="str">
            <v>0,0053(0,0023;0,003)</v>
          </cell>
          <cell r="AM67" t="str">
            <v>túi hàn lưng xếp hông</v>
          </cell>
          <cell r="AN67">
            <v>420</v>
          </cell>
          <cell r="AO67" t="str">
            <v>Khách hàng lẻ</v>
          </cell>
          <cell r="AP67" t="e">
            <v>#N/A</v>
          </cell>
          <cell r="AQ67" t="e">
            <v>#N/A</v>
          </cell>
          <cell r="AR67" t="e">
            <v>#N/A</v>
          </cell>
          <cell r="AS67" t="e">
            <v>#N/A</v>
          </cell>
          <cell r="AT67" t="e">
            <v>#N/A</v>
          </cell>
          <cell r="AU67" t="e">
            <v>#N/A</v>
          </cell>
          <cell r="AV67" t="e">
            <v>#N/A</v>
          </cell>
          <cell r="AW67" t="e">
            <v>#N/A</v>
          </cell>
          <cell r="AX67" t="e">
            <v>#N/A</v>
          </cell>
          <cell r="AY67" t="e">
            <v>#N/A</v>
          </cell>
          <cell r="AZ67" t="e">
            <v>#N/A</v>
          </cell>
          <cell r="BA67">
            <v>1500</v>
          </cell>
          <cell r="BB67" t="str">
            <v>Thùng 5 lớp 42x34x36</v>
          </cell>
          <cell r="BC67">
            <v>0</v>
          </cell>
          <cell r="BD67" t="e">
            <v>#N/A</v>
          </cell>
        </row>
        <row r="68">
          <cell r="A68" t="str">
            <v>sp 301</v>
          </cell>
          <cell r="B68" t="str">
            <v>Cuộn bánh bao nhân thập cẩm 300g Phú Mỹ</v>
          </cell>
          <cell r="C68">
            <v>4.7699999999999987</v>
          </cell>
          <cell r="D68">
            <v>2</v>
          </cell>
          <cell r="E68" t="str">
            <v>OPP 20x730</v>
          </cell>
          <cell r="F68">
            <v>7</v>
          </cell>
          <cell r="G68" t="str">
            <v>OPP</v>
          </cell>
          <cell r="H68">
            <v>0.11</v>
          </cell>
          <cell r="I68">
            <v>2.2999999999999998</v>
          </cell>
          <cell r="J68">
            <v>0.32</v>
          </cell>
          <cell r="K68">
            <v>0.26</v>
          </cell>
          <cell r="L68">
            <v>0.46</v>
          </cell>
          <cell r="M68">
            <v>0.11</v>
          </cell>
          <cell r="N68">
            <v>0</v>
          </cell>
          <cell r="O68">
            <v>0</v>
          </cell>
          <cell r="P68">
            <v>0.98</v>
          </cell>
          <cell r="Q68">
            <v>0</v>
          </cell>
          <cell r="R68">
            <v>0</v>
          </cell>
          <cell r="S68">
            <v>0.09</v>
          </cell>
          <cell r="T68">
            <v>0.14000000000000001</v>
          </cell>
          <cell r="U68">
            <v>0</v>
          </cell>
          <cell r="V68">
            <v>0</v>
          </cell>
          <cell r="W68">
            <v>0</v>
          </cell>
          <cell r="X68">
            <v>0</v>
          </cell>
          <cell r="Y68">
            <v>0</v>
          </cell>
          <cell r="Z68">
            <v>0</v>
          </cell>
          <cell r="AA68">
            <v>0</v>
          </cell>
          <cell r="AB68">
            <v>0</v>
          </cell>
          <cell r="AC68">
            <v>0</v>
          </cell>
          <cell r="AD68">
            <v>0</v>
          </cell>
          <cell r="AE68" t="str">
            <v>PE 55x730</v>
          </cell>
          <cell r="AF68">
            <v>0</v>
          </cell>
          <cell r="AG68">
            <v>5.0424749999999997E-2</v>
          </cell>
          <cell r="AH68">
            <v>0.96</v>
          </cell>
          <cell r="AI68">
            <v>0</v>
          </cell>
          <cell r="AJ68">
            <v>9530</v>
          </cell>
          <cell r="AK68">
            <v>0</v>
          </cell>
          <cell r="AL68">
            <v>2E-3</v>
          </cell>
          <cell r="AM68" t="str">
            <v>dạng cuộn 500m</v>
          </cell>
          <cell r="AN68">
            <v>355</v>
          </cell>
          <cell r="AO68" t="str">
            <v>Công ty Phú Mỹ</v>
          </cell>
          <cell r="AP68" t="str">
            <v>18056366-1</v>
          </cell>
          <cell r="AQ68" t="str">
            <v>18056366-2</v>
          </cell>
          <cell r="AR68" t="str">
            <v>1503149-3</v>
          </cell>
          <cell r="AS68" t="str">
            <v>1503149-4</v>
          </cell>
          <cell r="AT68" t="str">
            <v>1503149-5</v>
          </cell>
          <cell r="AU68" t="str">
            <v>1503149-6</v>
          </cell>
          <cell r="AV68" t="str">
            <v>1503149-7</v>
          </cell>
          <cell r="AW68">
            <v>0</v>
          </cell>
          <cell r="AX68">
            <v>0</v>
          </cell>
          <cell r="AY68" t="str">
            <v>532x850</v>
          </cell>
          <cell r="AZ68" t="str">
            <v>V1</v>
          </cell>
          <cell r="BA68" t="str">
            <v>1c</v>
          </cell>
          <cell r="BB68" t="str">
            <v>giấy cartoon K500</v>
          </cell>
          <cell r="BC68">
            <v>0</v>
          </cell>
          <cell r="BD68">
            <v>0</v>
          </cell>
        </row>
        <row r="69">
          <cell r="A69" t="str">
            <v>sp 302</v>
          </cell>
          <cell r="B69" t="str">
            <v xml:space="preserve">Túi trà xanh đặc sản thái nguyên 10gr loại 1 </v>
          </cell>
          <cell r="C69">
            <v>0</v>
          </cell>
          <cell r="D69">
            <v>4</v>
          </cell>
          <cell r="E69" t="str">
            <v>PET 12x700</v>
          </cell>
          <cell r="F69">
            <v>2</v>
          </cell>
          <cell r="G69" t="str">
            <v>PET</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t="str">
            <v>MPET 12x700</v>
          </cell>
          <cell r="AF69" t="str">
            <v>PE 30x700</v>
          </cell>
          <cell r="AG69">
            <v>4.2944999999999997E-2</v>
          </cell>
          <cell r="AH69">
            <v>1.0579999999999998</v>
          </cell>
          <cell r="AI69">
            <v>1.38</v>
          </cell>
          <cell r="AJ69">
            <v>9530</v>
          </cell>
          <cell r="AK69">
            <v>9530</v>
          </cell>
          <cell r="AL69" t="str">
            <v>0,0053(0,0023;0,003)</v>
          </cell>
          <cell r="AM69" t="str">
            <v>túi hàn lưng xếp hông</v>
          </cell>
          <cell r="AN69">
            <v>115</v>
          </cell>
          <cell r="AO69" t="str">
            <v>Bùi Văn Sỹ</v>
          </cell>
          <cell r="AP69" t="str">
            <v>1503501-1</v>
          </cell>
          <cell r="AQ69" t="str">
            <v>1503501-2</v>
          </cell>
          <cell r="AR69">
            <v>0</v>
          </cell>
          <cell r="AS69">
            <v>0</v>
          </cell>
          <cell r="AT69">
            <v>0</v>
          </cell>
          <cell r="AU69">
            <v>0</v>
          </cell>
          <cell r="AV69">
            <v>0</v>
          </cell>
          <cell r="AW69">
            <v>0</v>
          </cell>
          <cell r="AX69">
            <v>0</v>
          </cell>
          <cell r="AY69" t="str">
            <v>460x750</v>
          </cell>
          <cell r="AZ69" t="str">
            <v>F1</v>
          </cell>
          <cell r="BA69">
            <v>24000</v>
          </cell>
          <cell r="BB69" t="str">
            <v>Thùng 5 lớp 42x34x36</v>
          </cell>
          <cell r="BC69">
            <v>0</v>
          </cell>
          <cell r="BD69">
            <v>0</v>
          </cell>
        </row>
        <row r="70">
          <cell r="A70" t="str">
            <v>sp 305</v>
          </cell>
          <cell r="B70" t="str">
            <v>Cuộn bánh bao chay trắng 300g Phú Mỹ</v>
          </cell>
          <cell r="C70">
            <v>6.1</v>
          </cell>
          <cell r="D70">
            <v>2</v>
          </cell>
          <cell r="E70" t="str">
            <v>OPP 20x730</v>
          </cell>
          <cell r="F70">
            <v>4</v>
          </cell>
          <cell r="G70" t="str">
            <v>OPP</v>
          </cell>
          <cell r="H70">
            <v>0</v>
          </cell>
          <cell r="I70">
            <v>3.5</v>
          </cell>
          <cell r="J70">
            <v>0</v>
          </cell>
          <cell r="K70">
            <v>0</v>
          </cell>
          <cell r="L70">
            <v>2.1</v>
          </cell>
          <cell r="M70">
            <v>0</v>
          </cell>
          <cell r="N70">
            <v>0</v>
          </cell>
          <cell r="O70">
            <v>0</v>
          </cell>
          <cell r="P70">
            <v>0.5</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t="str">
            <v>PE 55x730</v>
          </cell>
          <cell r="AF70">
            <v>0</v>
          </cell>
          <cell r="AG70">
            <v>5.0424749999999997E-2</v>
          </cell>
          <cell r="AH70">
            <v>0.96</v>
          </cell>
          <cell r="AI70">
            <v>0</v>
          </cell>
          <cell r="AJ70">
            <v>9530</v>
          </cell>
          <cell r="AK70">
            <v>0</v>
          </cell>
          <cell r="AL70">
            <v>2E-3</v>
          </cell>
          <cell r="AM70" t="str">
            <v>dạng cuộn 500m</v>
          </cell>
          <cell r="AN70">
            <v>355</v>
          </cell>
          <cell r="AO70" t="str">
            <v>Công ty Phú Mỹ</v>
          </cell>
          <cell r="AP70" t="str">
            <v>1312408-1</v>
          </cell>
          <cell r="AQ70" t="str">
            <v>1503733-2</v>
          </cell>
          <cell r="AR70" t="str">
            <v>1312408-3</v>
          </cell>
          <cell r="AS70" t="str">
            <v>1804180-4</v>
          </cell>
          <cell r="AT70">
            <v>0</v>
          </cell>
          <cell r="AU70">
            <v>0</v>
          </cell>
          <cell r="AV70">
            <v>0</v>
          </cell>
          <cell r="AW70">
            <v>0</v>
          </cell>
          <cell r="AX70">
            <v>0</v>
          </cell>
          <cell r="AY70" t="str">
            <v>532x850</v>
          </cell>
          <cell r="AZ70" t="str">
            <v>V1</v>
          </cell>
          <cell r="BA70" t="str">
            <v>1c</v>
          </cell>
          <cell r="BB70" t="str">
            <v>giấy cartoon K500</v>
          </cell>
          <cell r="BC70">
            <v>0</v>
          </cell>
          <cell r="BD70">
            <v>0</v>
          </cell>
        </row>
        <row r="71">
          <cell r="A71" t="str">
            <v>sp 306</v>
          </cell>
          <cell r="B71" t="str">
            <v>Cuộn màng bánh trứng lipo 129g Alpha</v>
          </cell>
          <cell r="C71">
            <v>6.25</v>
          </cell>
          <cell r="D71">
            <v>5</v>
          </cell>
          <cell r="E71" t="str">
            <v>OPP 20x870</v>
          </cell>
          <cell r="F71">
            <v>7</v>
          </cell>
          <cell r="G71" t="str">
            <v>OPP</v>
          </cell>
          <cell r="H71">
            <v>0.1</v>
          </cell>
          <cell r="I71">
            <v>3.5</v>
          </cell>
          <cell r="J71">
            <v>0.35</v>
          </cell>
          <cell r="K71">
            <v>0.1</v>
          </cell>
          <cell r="L71">
            <v>0.5</v>
          </cell>
          <cell r="M71">
            <v>0.7</v>
          </cell>
          <cell r="N71">
            <v>0</v>
          </cell>
          <cell r="O71">
            <v>0</v>
          </cell>
          <cell r="P71">
            <v>0.3</v>
          </cell>
          <cell r="Q71">
            <v>0.3</v>
          </cell>
          <cell r="R71">
            <v>0.2</v>
          </cell>
          <cell r="S71">
            <v>0</v>
          </cell>
          <cell r="T71">
            <v>0</v>
          </cell>
          <cell r="U71">
            <v>0.2</v>
          </cell>
          <cell r="V71">
            <v>0</v>
          </cell>
          <cell r="W71">
            <v>0</v>
          </cell>
          <cell r="X71">
            <v>0</v>
          </cell>
          <cell r="Y71">
            <v>0</v>
          </cell>
          <cell r="Z71">
            <v>0</v>
          </cell>
          <cell r="AA71">
            <v>0</v>
          </cell>
          <cell r="AB71">
            <v>0</v>
          </cell>
          <cell r="AC71">
            <v>0</v>
          </cell>
          <cell r="AD71">
            <v>0</v>
          </cell>
          <cell r="AE71" t="str">
            <v>MCPP 25x870</v>
          </cell>
          <cell r="AF71">
            <v>0</v>
          </cell>
          <cell r="AG71">
            <v>3.5626499999999998E-2</v>
          </cell>
          <cell r="AH71">
            <v>1.2613333333333334</v>
          </cell>
          <cell r="AI71">
            <v>0</v>
          </cell>
          <cell r="AJ71">
            <v>9530</v>
          </cell>
          <cell r="AK71">
            <v>0</v>
          </cell>
          <cell r="AL71">
            <v>2.2000000000000001E-3</v>
          </cell>
          <cell r="AM71" t="str">
            <v>dạng cuộn 1000m</v>
          </cell>
          <cell r="AN71">
            <v>170</v>
          </cell>
          <cell r="AO71" t="str">
            <v>Công ty Quốc tế Alpha</v>
          </cell>
          <cell r="AP71" t="e">
            <v>#N/A</v>
          </cell>
          <cell r="AQ71" t="e">
            <v>#N/A</v>
          </cell>
          <cell r="AR71" t="e">
            <v>#N/A</v>
          </cell>
          <cell r="AS71" t="e">
            <v>#N/A</v>
          </cell>
          <cell r="AT71" t="e">
            <v>#N/A</v>
          </cell>
          <cell r="AU71" t="e">
            <v>#N/A</v>
          </cell>
          <cell r="AV71" t="e">
            <v>#N/A</v>
          </cell>
          <cell r="AW71" t="e">
            <v>#N/A</v>
          </cell>
          <cell r="AX71" t="e">
            <v>#N/A</v>
          </cell>
          <cell r="AY71" t="e">
            <v>#N/A</v>
          </cell>
          <cell r="AZ71" t="e">
            <v>#N/A</v>
          </cell>
          <cell r="BA71" t="str">
            <v>2c</v>
          </cell>
          <cell r="BB71" t="str">
            <v>Thùng 3 lớp 55x28x16</v>
          </cell>
          <cell r="BC71">
            <v>0</v>
          </cell>
          <cell r="BD71" t="e">
            <v>#N/A</v>
          </cell>
        </row>
        <row r="72">
          <cell r="A72" t="str">
            <v>sp 313</v>
          </cell>
          <cell r="B72" t="str">
            <v>Túi thuốc trừ sâu sieubem 777WP - 15gr Hòa Bình</v>
          </cell>
          <cell r="C72">
            <v>0</v>
          </cell>
          <cell r="D72">
            <v>4</v>
          </cell>
          <cell r="E72" t="str">
            <v>PET 12x796</v>
          </cell>
          <cell r="F72">
            <v>7</v>
          </cell>
          <cell r="G72" t="str">
            <v>PET</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t="str">
            <v>MPET 12x796</v>
          </cell>
          <cell r="AF72" t="str">
            <v>PE 75x796</v>
          </cell>
          <cell r="AG72">
            <v>8.1968100000000016E-2</v>
          </cell>
          <cell r="AH72">
            <v>1.5720000000000001</v>
          </cell>
          <cell r="AI72">
            <v>1.5720000000000001</v>
          </cell>
          <cell r="AJ72">
            <v>9530</v>
          </cell>
          <cell r="AK72">
            <v>9530</v>
          </cell>
          <cell r="AL72">
            <v>2E-3</v>
          </cell>
          <cell r="AM72" t="str">
            <v>túi ba biên</v>
          </cell>
          <cell r="AN72">
            <v>125</v>
          </cell>
          <cell r="AO72" t="str">
            <v>Công ty Quốc tế Hòa Bình</v>
          </cell>
          <cell r="AP72" t="str">
            <v>1503599-1</v>
          </cell>
          <cell r="AQ72" t="str">
            <v>1503599-2</v>
          </cell>
          <cell r="AR72" t="str">
            <v>1503599-3</v>
          </cell>
          <cell r="AS72" t="str">
            <v>1503599-4</v>
          </cell>
          <cell r="AT72" t="str">
            <v>1503599-5</v>
          </cell>
          <cell r="AU72" t="str">
            <v>1503599-6</v>
          </cell>
          <cell r="AV72" t="str">
            <v>1503599-7</v>
          </cell>
          <cell r="AW72">
            <v>0</v>
          </cell>
          <cell r="AX72">
            <v>0</v>
          </cell>
          <cell r="AY72" t="str">
            <v>500x875</v>
          </cell>
          <cell r="AZ72" t="str">
            <v>T1</v>
          </cell>
          <cell r="BA72">
            <v>0</v>
          </cell>
          <cell r="BB72" t="str">
            <v>Thùng 5 lớp 42x34x36</v>
          </cell>
          <cell r="BC72">
            <v>0</v>
          </cell>
          <cell r="BD72">
            <v>0</v>
          </cell>
        </row>
        <row r="73">
          <cell r="A73" t="str">
            <v>sp 315</v>
          </cell>
          <cell r="B73" t="str">
            <v>Cuộn thuốc trừ sâu SADAMIR 200WP 8GR Hòa Bình</v>
          </cell>
          <cell r="C73">
            <v>7.4109999999999996</v>
          </cell>
          <cell r="D73">
            <v>4</v>
          </cell>
          <cell r="E73" t="str">
            <v>PET 12x796</v>
          </cell>
          <cell r="F73">
            <v>6</v>
          </cell>
          <cell r="G73" t="str">
            <v>PET</v>
          </cell>
          <cell r="H73">
            <v>0.19</v>
          </cell>
          <cell r="I73">
            <v>2.99</v>
          </cell>
          <cell r="J73">
            <v>0.01</v>
          </cell>
          <cell r="K73">
            <v>0.09</v>
          </cell>
          <cell r="L73">
            <v>2.0299999999999998</v>
          </cell>
          <cell r="M73">
            <v>1.681</v>
          </cell>
          <cell r="N73">
            <v>0</v>
          </cell>
          <cell r="O73">
            <v>0.42</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t="str">
            <v>MPET 12x800</v>
          </cell>
          <cell r="AF73" t="str">
            <v>PE 75x800</v>
          </cell>
          <cell r="AG73">
            <v>8.2380000000000009E-2</v>
          </cell>
          <cell r="AH73">
            <v>1.2113333333333334</v>
          </cell>
          <cell r="AI73">
            <v>1.2113333333333334</v>
          </cell>
          <cell r="AJ73">
            <v>9530</v>
          </cell>
          <cell r="AK73">
            <v>9530</v>
          </cell>
          <cell r="AL73" t="str">
            <v>0,0046(0,0023;0,0023)</v>
          </cell>
          <cell r="AM73" t="str">
            <v>dạng cuộn 500m</v>
          </cell>
          <cell r="AN73">
            <v>194</v>
          </cell>
          <cell r="AO73" t="str">
            <v>Công ty Quốc tế Hòa Bình</v>
          </cell>
          <cell r="AP73" t="str">
            <v>19070659-1</v>
          </cell>
          <cell r="AQ73" t="str">
            <v>1504564-2</v>
          </cell>
          <cell r="AR73" t="str">
            <v>1504564-3</v>
          </cell>
          <cell r="AS73" t="str">
            <v>1504564-4</v>
          </cell>
          <cell r="AT73" t="str">
            <v>1504564-5</v>
          </cell>
          <cell r="AU73" t="str">
            <v>1504564-6</v>
          </cell>
          <cell r="AV73">
            <v>0</v>
          </cell>
          <cell r="AW73">
            <v>0</v>
          </cell>
          <cell r="AX73">
            <v>0</v>
          </cell>
          <cell r="AY73" t="str">
            <v>500x860</v>
          </cell>
          <cell r="AZ73" t="str">
            <v>T1</v>
          </cell>
          <cell r="BA73" t="str">
            <v>3c</v>
          </cell>
          <cell r="BB73" t="str">
            <v>giấy cartoon</v>
          </cell>
          <cell r="BC73">
            <v>0</v>
          </cell>
          <cell r="BD73">
            <v>0</v>
          </cell>
        </row>
        <row r="74">
          <cell r="A74" t="str">
            <v>sp 316</v>
          </cell>
          <cell r="B74" t="str">
            <v>Túi thuốc trừ sâu SADAMIR 200WP 100GR Hòa Bình</v>
          </cell>
          <cell r="C74">
            <v>0</v>
          </cell>
          <cell r="D74">
            <v>2</v>
          </cell>
          <cell r="E74" t="str">
            <v>PET 12x620</v>
          </cell>
          <cell r="F74">
            <v>6</v>
          </cell>
          <cell r="G74" t="str">
            <v>PET</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t="str">
            <v>MPET 12x620</v>
          </cell>
          <cell r="AF74" t="str">
            <v>PE 75x620</v>
          </cell>
          <cell r="AG74">
            <v>6.3844500000000012E-2</v>
          </cell>
          <cell r="AH74">
            <v>0.93533333333333324</v>
          </cell>
          <cell r="AI74">
            <v>0.93533333333333324</v>
          </cell>
          <cell r="AJ74">
            <v>9530</v>
          </cell>
          <cell r="AK74">
            <v>9530</v>
          </cell>
          <cell r="AL74">
            <v>2E-3</v>
          </cell>
          <cell r="AM74" t="str">
            <v>túi ba biên</v>
          </cell>
          <cell r="AN74">
            <v>220</v>
          </cell>
          <cell r="AO74" t="str">
            <v>Công ty Quốc tế Hòa Bình</v>
          </cell>
          <cell r="AP74" t="str">
            <v>1902155-1</v>
          </cell>
          <cell r="AQ74" t="str">
            <v>1504563-2</v>
          </cell>
          <cell r="AR74" t="str">
            <v>1504563-3</v>
          </cell>
          <cell r="AS74" t="str">
            <v>1504563-4</v>
          </cell>
          <cell r="AT74" t="str">
            <v>1504563-5</v>
          </cell>
          <cell r="AU74" t="str">
            <v>1504563-6</v>
          </cell>
          <cell r="AV74" t="str">
            <v>1504563-1 cây củ</v>
          </cell>
          <cell r="AW74">
            <v>0</v>
          </cell>
          <cell r="AX74">
            <v>0</v>
          </cell>
          <cell r="AY74" t="str">
            <v>440x750</v>
          </cell>
          <cell r="AZ74" t="str">
            <v>T1</v>
          </cell>
          <cell r="BA74">
            <v>5500</v>
          </cell>
          <cell r="BB74" t="str">
            <v>Thùng 5 lớp 42x34x36</v>
          </cell>
          <cell r="BC74">
            <v>0</v>
          </cell>
          <cell r="BD74">
            <v>0</v>
          </cell>
        </row>
        <row r="75">
          <cell r="A75" t="str">
            <v>sp 317</v>
          </cell>
          <cell r="B75" t="str">
            <v>Túi phân bón cao cấp siêu kaly 25gr Đa Quốc Gia</v>
          </cell>
          <cell r="C75">
            <v>2.5</v>
          </cell>
          <cell r="D75">
            <v>4</v>
          </cell>
          <cell r="E75" t="str">
            <v>PET 12 x 740</v>
          </cell>
          <cell r="F75">
            <v>5</v>
          </cell>
          <cell r="G75" t="str">
            <v>PET</v>
          </cell>
          <cell r="H75">
            <v>0.1</v>
          </cell>
          <cell r="I75">
            <v>1.9</v>
          </cell>
          <cell r="J75">
            <v>0.1</v>
          </cell>
          <cell r="K75">
            <v>0.1</v>
          </cell>
          <cell r="L75">
            <v>0.3</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t="str">
            <v>MPET 12x740</v>
          </cell>
          <cell r="AF75" t="str">
            <v>PE 75x740</v>
          </cell>
          <cell r="AG75">
            <v>7.6201500000000005E-2</v>
          </cell>
          <cell r="AH75">
            <v>1.1193333333333333</v>
          </cell>
          <cell r="AI75">
            <v>1.46</v>
          </cell>
          <cell r="AJ75">
            <v>9530</v>
          </cell>
          <cell r="AK75">
            <v>9530</v>
          </cell>
          <cell r="AL75">
            <v>2E-3</v>
          </cell>
          <cell r="AM75" t="str">
            <v>túi ba biên</v>
          </cell>
          <cell r="AN75">
            <v>120</v>
          </cell>
          <cell r="AO75" t="str">
            <v>Công ty Đa Quốc Gia</v>
          </cell>
          <cell r="AP75" t="e">
            <v>#N/A</v>
          </cell>
          <cell r="AQ75" t="e">
            <v>#N/A</v>
          </cell>
          <cell r="AR75" t="e">
            <v>#N/A</v>
          </cell>
          <cell r="AS75" t="e">
            <v>#N/A</v>
          </cell>
          <cell r="AT75" t="e">
            <v>#N/A</v>
          </cell>
          <cell r="AU75" t="e">
            <v>#N/A</v>
          </cell>
          <cell r="AV75" t="e">
            <v>#N/A</v>
          </cell>
          <cell r="AW75" t="e">
            <v>#N/A</v>
          </cell>
          <cell r="AX75" t="e">
            <v>#N/A</v>
          </cell>
          <cell r="AY75" t="e">
            <v>#N/A</v>
          </cell>
          <cell r="AZ75" t="e">
            <v>#N/A</v>
          </cell>
          <cell r="BA75">
            <v>0</v>
          </cell>
          <cell r="BB75" t="str">
            <v>Thùng 5 lớp 42x34x36</v>
          </cell>
          <cell r="BC75">
            <v>0</v>
          </cell>
          <cell r="BD75" t="e">
            <v>#N/A</v>
          </cell>
        </row>
        <row r="76">
          <cell r="A76" t="str">
            <v>sp 319</v>
          </cell>
          <cell r="B76" t="str">
            <v>Cuộn trà cozy hương đào Vĩnh Phúc</v>
          </cell>
          <cell r="C76">
            <v>6.8999999999999995</v>
          </cell>
          <cell r="D76">
            <v>4</v>
          </cell>
          <cell r="E76" t="str">
            <v>OPP mờ 20x640</v>
          </cell>
          <cell r="F76">
            <v>6</v>
          </cell>
          <cell r="G76" t="str">
            <v>OPP</v>
          </cell>
          <cell r="H76">
            <v>0.3</v>
          </cell>
          <cell r="I76">
            <v>3.23</v>
          </cell>
          <cell r="J76">
            <v>0.17</v>
          </cell>
          <cell r="K76">
            <v>0.81</v>
          </cell>
          <cell r="L76">
            <v>1.51</v>
          </cell>
          <cell r="M76">
            <v>0.55000000000000004</v>
          </cell>
          <cell r="N76">
            <v>0</v>
          </cell>
          <cell r="O76">
            <v>0</v>
          </cell>
          <cell r="P76">
            <v>0.2</v>
          </cell>
          <cell r="Q76">
            <v>0.05</v>
          </cell>
          <cell r="R76">
            <v>0</v>
          </cell>
          <cell r="S76">
            <v>0</v>
          </cell>
          <cell r="T76">
            <v>7.0000000000000007E-2</v>
          </cell>
          <cell r="U76">
            <v>0</v>
          </cell>
          <cell r="V76">
            <v>0.01</v>
          </cell>
          <cell r="W76">
            <v>0</v>
          </cell>
          <cell r="X76">
            <v>0</v>
          </cell>
          <cell r="Y76">
            <v>0</v>
          </cell>
          <cell r="Z76">
            <v>0</v>
          </cell>
          <cell r="AA76">
            <v>0</v>
          </cell>
          <cell r="AB76">
            <v>0</v>
          </cell>
          <cell r="AC76">
            <v>0</v>
          </cell>
          <cell r="AD76">
            <v>0</v>
          </cell>
          <cell r="AE76" t="str">
            <v>MCPP 35x640</v>
          </cell>
          <cell r="AF76">
            <v>0</v>
          </cell>
          <cell r="AG76">
            <v>3.2032000000000005E-2</v>
          </cell>
          <cell r="AH76">
            <v>0.84</v>
          </cell>
          <cell r="AI76">
            <v>0</v>
          </cell>
          <cell r="AJ76">
            <v>9530</v>
          </cell>
          <cell r="AK76">
            <v>0</v>
          </cell>
          <cell r="AL76">
            <v>2E-3</v>
          </cell>
          <cell r="AM76" t="str">
            <v>dạng cuộn 1500m</v>
          </cell>
          <cell r="AN76">
            <v>155</v>
          </cell>
          <cell r="AO76" t="str">
            <v>Công ty TNHH Thế hệ mới Vĩnh Phúc</v>
          </cell>
          <cell r="AP76" t="str">
            <v>1803378-1</v>
          </cell>
          <cell r="AQ76" t="str">
            <v>1908187-2</v>
          </cell>
          <cell r="AR76" t="str">
            <v>1908187-3</v>
          </cell>
          <cell r="AS76" t="str">
            <v>1803378-4</v>
          </cell>
          <cell r="AT76" t="str">
            <v>1803378-5</v>
          </cell>
          <cell r="AU76" t="str">
            <v>1908217-6</v>
          </cell>
          <cell r="AV76">
            <v>0</v>
          </cell>
          <cell r="AW76">
            <v>0</v>
          </cell>
          <cell r="AX76">
            <v>0</v>
          </cell>
          <cell r="AY76" t="str">
            <v>462x750</v>
          </cell>
          <cell r="AZ76" t="str">
            <v>A1</v>
          </cell>
          <cell r="BA76" t="str">
            <v>4c</v>
          </cell>
          <cell r="BB76" t="str">
            <v>giấy cartoon K800</v>
          </cell>
          <cell r="BC76">
            <v>0</v>
          </cell>
          <cell r="BD76" t="str">
            <v>Trắng  cây số 6 in chung cozy quế sp 083</v>
          </cell>
        </row>
        <row r="77">
          <cell r="A77" t="str">
            <v>sp 320</v>
          </cell>
          <cell r="B77" t="str">
            <v>Túi bánh bột đậu xanh có sữa 500gr KT 210x260 Tiên Dung</v>
          </cell>
          <cell r="C77">
            <v>8.5</v>
          </cell>
          <cell r="D77">
            <v>2</v>
          </cell>
          <cell r="E77" t="str">
            <v>OPP 20x540</v>
          </cell>
          <cell r="F77">
            <v>6</v>
          </cell>
          <cell r="G77" t="str">
            <v>OPP</v>
          </cell>
          <cell r="H77">
            <v>0.1</v>
          </cell>
          <cell r="I77">
            <v>3.6</v>
          </cell>
          <cell r="J77">
            <v>0.2</v>
          </cell>
          <cell r="K77">
            <v>0.1</v>
          </cell>
          <cell r="L77">
            <v>4.5</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t="str">
            <v>PE sứ 60x540</v>
          </cell>
          <cell r="AF77">
            <v>0</v>
          </cell>
          <cell r="AG77">
            <v>3.9798E-2</v>
          </cell>
          <cell r="AH77">
            <v>0.88333333333333341</v>
          </cell>
          <cell r="AI77">
            <v>0</v>
          </cell>
          <cell r="AJ77">
            <v>9530</v>
          </cell>
          <cell r="AK77">
            <v>0</v>
          </cell>
          <cell r="AL77">
            <v>2.5000000000000001E-3</v>
          </cell>
          <cell r="AM77" t="str">
            <v>túi ba biên</v>
          </cell>
          <cell r="AN77">
            <v>210</v>
          </cell>
          <cell r="AO77" t="str">
            <v>Công ty Tiên Dung</v>
          </cell>
          <cell r="AP77" t="str">
            <v>F110953-1</v>
          </cell>
          <cell r="AQ77" t="str">
            <v>F110953-2</v>
          </cell>
          <cell r="AR77" t="str">
            <v>F110953-3</v>
          </cell>
          <cell r="AS77" t="str">
            <v>F110953-4</v>
          </cell>
          <cell r="AT77" t="str">
            <v>F110953-5</v>
          </cell>
          <cell r="AU77" t="str">
            <v>F110953-6</v>
          </cell>
          <cell r="AV77">
            <v>0</v>
          </cell>
          <cell r="AW77">
            <v>0</v>
          </cell>
          <cell r="AX77">
            <v>0</v>
          </cell>
          <cell r="AY77" t="str">
            <v>420x750</v>
          </cell>
          <cell r="AZ77" t="str">
            <v>N1</v>
          </cell>
          <cell r="BA77">
            <v>0</v>
          </cell>
          <cell r="BB77" t="str">
            <v>Thùng 5 lớp 42x34x36</v>
          </cell>
          <cell r="BC77">
            <v>0</v>
          </cell>
          <cell r="BD77">
            <v>0</v>
          </cell>
        </row>
        <row r="78">
          <cell r="A78" t="str">
            <v>sp 321</v>
          </cell>
          <cell r="B78" t="str">
            <v>Túi trà đặc sản tân cương thái nguyên 100g loại 3</v>
          </cell>
          <cell r="C78">
            <v>0</v>
          </cell>
          <cell r="D78">
            <v>3</v>
          </cell>
          <cell r="E78" t="str">
            <v>PET 12 x 740</v>
          </cell>
          <cell r="F78">
            <v>2</v>
          </cell>
          <cell r="G78" t="str">
            <v>PET</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t="str">
            <v>MPET 12x740</v>
          </cell>
          <cell r="AF78" t="str">
            <v>PE 75 x 740</v>
          </cell>
          <cell r="AG78">
            <v>7.6201500000000005E-2</v>
          </cell>
          <cell r="AH78">
            <v>1.1193333333333333</v>
          </cell>
          <cell r="AI78">
            <v>1.46</v>
          </cell>
          <cell r="AJ78">
            <v>9530</v>
          </cell>
          <cell r="AK78">
            <v>9530</v>
          </cell>
          <cell r="AL78" t="str">
            <v>0,0053(0,0023;0,003)</v>
          </cell>
          <cell r="AM78" t="str">
            <v>túi hàn lưng xếp hông</v>
          </cell>
          <cell r="AN78">
            <v>270</v>
          </cell>
          <cell r="AO78" t="str">
            <v>Bùi Văn Sỹ</v>
          </cell>
          <cell r="AP78" t="e">
            <v>#N/A</v>
          </cell>
          <cell r="AQ78" t="e">
            <v>#N/A</v>
          </cell>
          <cell r="AR78" t="e">
            <v>#N/A</v>
          </cell>
          <cell r="AS78" t="e">
            <v>#N/A</v>
          </cell>
          <cell r="AT78" t="e">
            <v>#N/A</v>
          </cell>
          <cell r="AU78" t="e">
            <v>#N/A</v>
          </cell>
          <cell r="AV78" t="e">
            <v>#N/A</v>
          </cell>
          <cell r="AW78" t="e">
            <v>#N/A</v>
          </cell>
          <cell r="AX78" t="e">
            <v>#N/A</v>
          </cell>
          <cell r="AY78" t="e">
            <v>#N/A</v>
          </cell>
          <cell r="AZ78" t="e">
            <v>#N/A</v>
          </cell>
          <cell r="BA78">
            <v>3500</v>
          </cell>
          <cell r="BB78" t="str">
            <v>Thùng 5 lớp 42x34x33</v>
          </cell>
          <cell r="BC78">
            <v>0</v>
          </cell>
          <cell r="BD78" t="e">
            <v>#N/A</v>
          </cell>
        </row>
        <row r="79">
          <cell r="A79" t="str">
            <v>sp 322</v>
          </cell>
          <cell r="B79" t="str">
            <v>Túi trà đặc sản thái nguyên 100g loại 3</v>
          </cell>
          <cell r="C79">
            <v>1.23</v>
          </cell>
          <cell r="D79">
            <v>3</v>
          </cell>
          <cell r="E79" t="str">
            <v>PET 12 x 740</v>
          </cell>
          <cell r="F79">
            <v>2</v>
          </cell>
          <cell r="G79" t="str">
            <v>PET</v>
          </cell>
          <cell r="H79">
            <v>0</v>
          </cell>
          <cell r="I79">
            <v>0</v>
          </cell>
          <cell r="J79">
            <v>0</v>
          </cell>
          <cell r="K79">
            <v>0</v>
          </cell>
          <cell r="L79">
            <v>1.1299999999999999</v>
          </cell>
          <cell r="M79">
            <v>0</v>
          </cell>
          <cell r="N79">
            <v>0</v>
          </cell>
          <cell r="O79">
            <v>0.1</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t="str">
            <v>MPET 12x740</v>
          </cell>
          <cell r="AF79" t="str">
            <v>PE 75 x 740</v>
          </cell>
          <cell r="AG79">
            <v>7.6201500000000005E-2</v>
          </cell>
          <cell r="AH79">
            <v>1.1193333333333333</v>
          </cell>
          <cell r="AI79">
            <v>1.46</v>
          </cell>
          <cell r="AJ79">
            <v>9530</v>
          </cell>
          <cell r="AK79">
            <v>9530</v>
          </cell>
          <cell r="AL79" t="str">
            <v>0,0053(0,0023;0,003)</v>
          </cell>
          <cell r="AM79" t="str">
            <v>túi hàn lưng xếp hông</v>
          </cell>
          <cell r="AN79">
            <v>270</v>
          </cell>
          <cell r="AO79" t="str">
            <v>Bùi Văn Sỹ</v>
          </cell>
          <cell r="AP79" t="e">
            <v>#N/A</v>
          </cell>
          <cell r="AQ79" t="e">
            <v>#N/A</v>
          </cell>
          <cell r="AR79" t="e">
            <v>#N/A</v>
          </cell>
          <cell r="AS79" t="e">
            <v>#N/A</v>
          </cell>
          <cell r="AT79" t="e">
            <v>#N/A</v>
          </cell>
          <cell r="AU79" t="e">
            <v>#N/A</v>
          </cell>
          <cell r="AV79" t="e">
            <v>#N/A</v>
          </cell>
          <cell r="AW79" t="e">
            <v>#N/A</v>
          </cell>
          <cell r="AX79" t="e">
            <v>#N/A</v>
          </cell>
          <cell r="AY79" t="e">
            <v>#N/A</v>
          </cell>
          <cell r="AZ79" t="e">
            <v>#N/A</v>
          </cell>
          <cell r="BA79">
            <v>3500</v>
          </cell>
          <cell r="BB79" t="str">
            <v>Thùng 5 lớp 42x34x33</v>
          </cell>
          <cell r="BC79">
            <v>0</v>
          </cell>
          <cell r="BD79" t="e">
            <v>#N/A</v>
          </cell>
        </row>
        <row r="80">
          <cell r="A80" t="str">
            <v>sp 323</v>
          </cell>
          <cell r="B80" t="str">
            <v>Túi trà đặc sản tân cương thái nguyên 200g loại 3</v>
          </cell>
          <cell r="C80">
            <v>0</v>
          </cell>
          <cell r="D80">
            <v>3</v>
          </cell>
          <cell r="E80" t="str">
            <v>PET 12 x 920</v>
          </cell>
          <cell r="F80">
            <v>2</v>
          </cell>
          <cell r="G80" t="str">
            <v>PET</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t="str">
            <v>MPET 12x920</v>
          </cell>
          <cell r="AF80" t="str">
            <v>PE 75x920</v>
          </cell>
          <cell r="AG80">
            <v>9.4737000000000016E-2</v>
          </cell>
          <cell r="AH80">
            <v>1.3953333333333333</v>
          </cell>
          <cell r="AI80">
            <v>1.82</v>
          </cell>
          <cell r="AJ80">
            <v>9530</v>
          </cell>
          <cell r="AK80">
            <v>9530</v>
          </cell>
          <cell r="AL80" t="str">
            <v>0,0053(0,0023;0,003)</v>
          </cell>
          <cell r="AM80" t="str">
            <v>túi hàn lưng xếp hông</v>
          </cell>
          <cell r="AN80">
            <v>340</v>
          </cell>
          <cell r="AO80" t="str">
            <v>Bùi Văn Sỹ</v>
          </cell>
          <cell r="AP80" t="e">
            <v>#N/A</v>
          </cell>
          <cell r="AQ80" t="e">
            <v>#N/A</v>
          </cell>
          <cell r="AR80" t="e">
            <v>#N/A</v>
          </cell>
          <cell r="AS80" t="e">
            <v>#N/A</v>
          </cell>
          <cell r="AT80" t="e">
            <v>#N/A</v>
          </cell>
          <cell r="AU80" t="e">
            <v>#N/A</v>
          </cell>
          <cell r="AV80" t="e">
            <v>#N/A</v>
          </cell>
          <cell r="AW80" t="e">
            <v>#N/A</v>
          </cell>
          <cell r="AX80" t="e">
            <v>#N/A</v>
          </cell>
          <cell r="AY80" t="e">
            <v>#N/A</v>
          </cell>
          <cell r="AZ80" t="e">
            <v>#N/A</v>
          </cell>
          <cell r="BA80">
            <v>2500</v>
          </cell>
          <cell r="BB80" t="str">
            <v>Thùng 5 lớp 42x34x33</v>
          </cell>
          <cell r="BC80">
            <v>0</v>
          </cell>
          <cell r="BD80" t="e">
            <v>#N/A</v>
          </cell>
        </row>
        <row r="81">
          <cell r="A81" t="str">
            <v>sp 324</v>
          </cell>
          <cell r="B81" t="str">
            <v>Túi trà đặc sản thái nguyên 200g loại 3</v>
          </cell>
          <cell r="C81">
            <v>0.55000000000000004</v>
          </cell>
          <cell r="D81">
            <v>3</v>
          </cell>
          <cell r="E81" t="str">
            <v>PET 12 x 920</v>
          </cell>
          <cell r="F81">
            <v>2</v>
          </cell>
          <cell r="G81" t="str">
            <v>PET</v>
          </cell>
          <cell r="H81">
            <v>0</v>
          </cell>
          <cell r="I81">
            <v>0</v>
          </cell>
          <cell r="J81">
            <v>0</v>
          </cell>
          <cell r="K81">
            <v>0</v>
          </cell>
          <cell r="L81">
            <v>0.5</v>
          </cell>
          <cell r="M81">
            <v>0</v>
          </cell>
          <cell r="N81">
            <v>0</v>
          </cell>
          <cell r="O81">
            <v>0.05</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t="str">
            <v>MPET 12x920</v>
          </cell>
          <cell r="AF81" t="str">
            <v>PE 75x920</v>
          </cell>
          <cell r="AG81">
            <v>9.4737000000000016E-2</v>
          </cell>
          <cell r="AH81">
            <v>1.3953333333333333</v>
          </cell>
          <cell r="AI81">
            <v>1.82</v>
          </cell>
          <cell r="AJ81">
            <v>9530</v>
          </cell>
          <cell r="AK81">
            <v>9530</v>
          </cell>
          <cell r="AL81" t="str">
            <v>0,0053(0,0023;0,003)</v>
          </cell>
          <cell r="AM81" t="str">
            <v>túi hàn lưng xếp hông</v>
          </cell>
          <cell r="AN81">
            <v>340</v>
          </cell>
          <cell r="AO81" t="str">
            <v>Bùi Văn Sỹ</v>
          </cell>
          <cell r="AP81" t="e">
            <v>#N/A</v>
          </cell>
          <cell r="AQ81" t="e">
            <v>#N/A</v>
          </cell>
          <cell r="AR81" t="e">
            <v>#N/A</v>
          </cell>
          <cell r="AS81" t="e">
            <v>#N/A</v>
          </cell>
          <cell r="AT81" t="e">
            <v>#N/A</v>
          </cell>
          <cell r="AU81" t="e">
            <v>#N/A</v>
          </cell>
          <cell r="AV81" t="e">
            <v>#N/A</v>
          </cell>
          <cell r="AW81" t="e">
            <v>#N/A</v>
          </cell>
          <cell r="AX81" t="e">
            <v>#N/A</v>
          </cell>
          <cell r="AY81" t="e">
            <v>#N/A</v>
          </cell>
          <cell r="AZ81" t="e">
            <v>#N/A</v>
          </cell>
          <cell r="BA81">
            <v>2500</v>
          </cell>
          <cell r="BB81" t="str">
            <v>Thùng 5 lớp 42x34x33</v>
          </cell>
          <cell r="BC81">
            <v>0</v>
          </cell>
          <cell r="BD81" t="e">
            <v>#N/A</v>
          </cell>
        </row>
        <row r="82">
          <cell r="A82" t="str">
            <v>sp 325</v>
          </cell>
          <cell r="B82" t="str">
            <v>Túi trà đặc sản tân cương thái nguyên 500g loại 3</v>
          </cell>
          <cell r="C82">
            <v>4.5999999999999996</v>
          </cell>
          <cell r="D82">
            <v>2</v>
          </cell>
          <cell r="E82" t="str">
            <v>PET 12x760</v>
          </cell>
          <cell r="F82">
            <v>2</v>
          </cell>
          <cell r="G82" t="str">
            <v>PET</v>
          </cell>
          <cell r="H82">
            <v>0</v>
          </cell>
          <cell r="I82">
            <v>0</v>
          </cell>
          <cell r="J82">
            <v>0</v>
          </cell>
          <cell r="K82">
            <v>0</v>
          </cell>
          <cell r="L82">
            <v>4.5</v>
          </cell>
          <cell r="M82">
            <v>0</v>
          </cell>
          <cell r="N82">
            <v>0</v>
          </cell>
          <cell r="O82">
            <v>0.1</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t="str">
            <v>MPET 12x760</v>
          </cell>
          <cell r="AF82" t="str">
            <v>PE 80x760</v>
          </cell>
          <cell r="AG82">
            <v>8.1776000000000001E-2</v>
          </cell>
          <cell r="AH82">
            <v>1.1499999999999999</v>
          </cell>
          <cell r="AI82">
            <v>1.5</v>
          </cell>
          <cell r="AJ82">
            <v>9530</v>
          </cell>
          <cell r="AK82">
            <v>9530</v>
          </cell>
          <cell r="AL82" t="str">
            <v>0,0053(0,0023;0,003)</v>
          </cell>
          <cell r="AM82" t="str">
            <v>túi hàn lưng xếp hông</v>
          </cell>
          <cell r="AN82">
            <v>420</v>
          </cell>
          <cell r="AO82" t="str">
            <v>Bùi Văn Sỹ</v>
          </cell>
          <cell r="AP82" t="e">
            <v>#N/A</v>
          </cell>
          <cell r="AQ82" t="e">
            <v>#N/A</v>
          </cell>
          <cell r="AR82" t="e">
            <v>#N/A</v>
          </cell>
          <cell r="AS82" t="e">
            <v>#N/A</v>
          </cell>
          <cell r="AT82" t="e">
            <v>#N/A</v>
          </cell>
          <cell r="AU82" t="e">
            <v>#N/A</v>
          </cell>
          <cell r="AV82" t="e">
            <v>#N/A</v>
          </cell>
          <cell r="AW82" t="e">
            <v>#N/A</v>
          </cell>
          <cell r="AX82" t="e">
            <v>#N/A</v>
          </cell>
          <cell r="AY82" t="e">
            <v>#N/A</v>
          </cell>
          <cell r="AZ82" t="e">
            <v>#N/A</v>
          </cell>
          <cell r="BA82">
            <v>1500</v>
          </cell>
          <cell r="BB82" t="str">
            <v>Thùng 5 lớp 42x34x33</v>
          </cell>
          <cell r="BC82">
            <v>0</v>
          </cell>
          <cell r="BD82" t="e">
            <v>#N/A</v>
          </cell>
        </row>
        <row r="83">
          <cell r="A83" t="str">
            <v>sp 326</v>
          </cell>
          <cell r="B83" t="str">
            <v>Túi trà đặc sản thái nguyên 500g loại 3</v>
          </cell>
          <cell r="C83">
            <v>3.8000000000000003</v>
          </cell>
          <cell r="D83">
            <v>2</v>
          </cell>
          <cell r="E83" t="str">
            <v>PET 12x760</v>
          </cell>
          <cell r="F83">
            <v>2</v>
          </cell>
          <cell r="G83" t="str">
            <v>PET</v>
          </cell>
          <cell r="H83">
            <v>0</v>
          </cell>
          <cell r="I83">
            <v>0</v>
          </cell>
          <cell r="J83">
            <v>0</v>
          </cell>
          <cell r="K83">
            <v>0</v>
          </cell>
          <cell r="L83">
            <v>3.7</v>
          </cell>
          <cell r="M83">
            <v>0</v>
          </cell>
          <cell r="N83">
            <v>0</v>
          </cell>
          <cell r="O83">
            <v>0.1</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t="str">
            <v>MPET 12x760</v>
          </cell>
          <cell r="AF83" t="str">
            <v>PE 80x760</v>
          </cell>
          <cell r="AG83">
            <v>8.1776000000000001E-2</v>
          </cell>
          <cell r="AH83">
            <v>1.1499999999999999</v>
          </cell>
          <cell r="AI83">
            <v>1.5</v>
          </cell>
          <cell r="AJ83">
            <v>9530</v>
          </cell>
          <cell r="AK83">
            <v>9530</v>
          </cell>
          <cell r="AL83" t="str">
            <v>0,0053(0,0023;0,003)</v>
          </cell>
          <cell r="AM83" t="str">
            <v>túi hàn lưng xếp hông</v>
          </cell>
          <cell r="AN83">
            <v>420</v>
          </cell>
          <cell r="AO83" t="str">
            <v>Bùi Văn Sỹ</v>
          </cell>
          <cell r="AP83" t="e">
            <v>#N/A</v>
          </cell>
          <cell r="AQ83" t="e">
            <v>#N/A</v>
          </cell>
          <cell r="AR83" t="e">
            <v>#N/A</v>
          </cell>
          <cell r="AS83" t="e">
            <v>#N/A</v>
          </cell>
          <cell r="AT83" t="e">
            <v>#N/A</v>
          </cell>
          <cell r="AU83" t="e">
            <v>#N/A</v>
          </cell>
          <cell r="AV83" t="e">
            <v>#N/A</v>
          </cell>
          <cell r="AW83" t="e">
            <v>#N/A</v>
          </cell>
          <cell r="AX83" t="e">
            <v>#N/A</v>
          </cell>
          <cell r="AY83" t="e">
            <v>#N/A</v>
          </cell>
          <cell r="AZ83" t="e">
            <v>#N/A</v>
          </cell>
          <cell r="BA83">
            <v>1500</v>
          </cell>
          <cell r="BB83" t="str">
            <v>Thùng 5 lớp 42x34x33</v>
          </cell>
          <cell r="BC83">
            <v>0</v>
          </cell>
          <cell r="BD83" t="e">
            <v>#N/A</v>
          </cell>
        </row>
        <row r="84">
          <cell r="A84" t="str">
            <v>sp 336</v>
          </cell>
          <cell r="B84" t="str">
            <v>Túi muối sạch thượng hạng 200gr Hannufood</v>
          </cell>
          <cell r="C84">
            <v>0</v>
          </cell>
          <cell r="D84">
            <v>0</v>
          </cell>
          <cell r="E84">
            <v>0</v>
          </cell>
          <cell r="F84">
            <v>5</v>
          </cell>
          <cell r="G84" t="str">
            <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2E-3</v>
          </cell>
          <cell r="AM84">
            <v>0</v>
          </cell>
          <cell r="AN84">
            <v>0</v>
          </cell>
          <cell r="AO84">
            <v>0</v>
          </cell>
          <cell r="AP84" t="str">
            <v>1412417-1</v>
          </cell>
          <cell r="AQ84" t="str">
            <v>1308276-2</v>
          </cell>
          <cell r="AR84" t="str">
            <v>1308276-3</v>
          </cell>
          <cell r="AS84" t="str">
            <v>1308276-4</v>
          </cell>
          <cell r="AT84" t="str">
            <v>18011108-5</v>
          </cell>
          <cell r="AU84">
            <v>0</v>
          </cell>
          <cell r="AV84">
            <v>0</v>
          </cell>
          <cell r="AW84">
            <v>0</v>
          </cell>
          <cell r="AX84">
            <v>0</v>
          </cell>
          <cell r="AY84" t="str">
            <v>480x740</v>
          </cell>
          <cell r="AZ84" t="str">
            <v>N1</v>
          </cell>
          <cell r="BA84">
            <v>10000</v>
          </cell>
          <cell r="BB84" t="str">
            <v>Thùng 5 lớp 42x34x36</v>
          </cell>
          <cell r="BC84">
            <v>0</v>
          </cell>
          <cell r="BD84" t="str">
            <v>in chung bộ sp 148 + 403</v>
          </cell>
        </row>
        <row r="85">
          <cell r="A85" t="str">
            <v>sp 337</v>
          </cell>
          <cell r="B85" t="str">
            <v xml:space="preserve">Túi lúa lai nhị ưu 838 1kg Mahyco </v>
          </cell>
          <cell r="C85">
            <v>5.1099999999999994</v>
          </cell>
          <cell r="D85">
            <v>1</v>
          </cell>
          <cell r="E85" t="str">
            <v>OPP 20x440</v>
          </cell>
          <cell r="F85">
            <v>6</v>
          </cell>
          <cell r="G85" t="str">
            <v>OPP</v>
          </cell>
          <cell r="H85">
            <v>0.11</v>
          </cell>
          <cell r="I85">
            <v>3.25</v>
          </cell>
          <cell r="J85">
            <v>0.25</v>
          </cell>
          <cell r="K85">
            <v>0</v>
          </cell>
          <cell r="L85">
            <v>0.36</v>
          </cell>
          <cell r="M85">
            <v>0</v>
          </cell>
          <cell r="N85">
            <v>0</v>
          </cell>
          <cell r="O85">
            <v>0.05</v>
          </cell>
          <cell r="P85">
            <v>0</v>
          </cell>
          <cell r="Q85">
            <v>0</v>
          </cell>
          <cell r="R85">
            <v>1.0900000000000001</v>
          </cell>
          <cell r="S85">
            <v>0</v>
          </cell>
          <cell r="T85">
            <v>0</v>
          </cell>
          <cell r="U85">
            <v>0</v>
          </cell>
          <cell r="V85">
            <v>0</v>
          </cell>
          <cell r="W85">
            <v>0</v>
          </cell>
          <cell r="X85">
            <v>0</v>
          </cell>
          <cell r="Y85">
            <v>0</v>
          </cell>
          <cell r="Z85">
            <v>0</v>
          </cell>
          <cell r="AA85">
            <v>0</v>
          </cell>
          <cell r="AB85">
            <v>0</v>
          </cell>
          <cell r="AC85">
            <v>0</v>
          </cell>
          <cell r="AD85">
            <v>0</v>
          </cell>
          <cell r="AE85" t="str">
            <v>PE 90x440</v>
          </cell>
          <cell r="AF85">
            <v>0</v>
          </cell>
          <cell r="AG85">
            <v>4.4638000000000004E-2</v>
          </cell>
          <cell r="AH85">
            <v>0.71666666666666667</v>
          </cell>
          <cell r="AI85">
            <v>0</v>
          </cell>
          <cell r="AJ85">
            <v>9530</v>
          </cell>
          <cell r="AK85">
            <v>0</v>
          </cell>
          <cell r="AL85">
            <v>2.5000000000000001E-3</v>
          </cell>
          <cell r="AM85" t="str">
            <v>túi hàn lưng</v>
          </cell>
          <cell r="AN85">
            <v>300</v>
          </cell>
          <cell r="AO85" t="str">
            <v>Công ty TNHH Mahyco Việt Nam</v>
          </cell>
          <cell r="AP85" t="str">
            <v>18101259-1</v>
          </cell>
          <cell r="AQ85" t="str">
            <v>15041067-2</v>
          </cell>
          <cell r="AR85" t="str">
            <v>15041067-3</v>
          </cell>
          <cell r="AS85" t="str">
            <v>15041067-4</v>
          </cell>
          <cell r="AT85" t="str">
            <v>15041067-5</v>
          </cell>
          <cell r="AU85" t="str">
            <v>15041067-6</v>
          </cell>
          <cell r="AV85">
            <v>0</v>
          </cell>
          <cell r="AW85">
            <v>0</v>
          </cell>
          <cell r="AX85">
            <v>0</v>
          </cell>
          <cell r="AY85" t="str">
            <v>600x750</v>
          </cell>
          <cell r="AZ85" t="str">
            <v>N1</v>
          </cell>
          <cell r="BA85">
            <v>3500</v>
          </cell>
          <cell r="BB85" t="str">
            <v>bao dứa</v>
          </cell>
          <cell r="BC85">
            <v>0</v>
          </cell>
          <cell r="BD85">
            <v>0</v>
          </cell>
        </row>
        <row r="86">
          <cell r="A86" t="str">
            <v>sp 338</v>
          </cell>
          <cell r="B86" t="str">
            <v>Cuộn màng không in Phú Mỹ</v>
          </cell>
          <cell r="C86">
            <v>0</v>
          </cell>
          <cell r="D86">
            <v>0</v>
          </cell>
          <cell r="E86" t="str">
            <v>OPP 20 x 660</v>
          </cell>
          <cell r="F86">
            <v>0</v>
          </cell>
          <cell r="G86" t="str">
            <v>OPP</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t="str">
            <v>CPP 20 x 660</v>
          </cell>
          <cell r="AF86">
            <v>0</v>
          </cell>
          <cell r="AG86">
            <v>2.4024000000000004E-2</v>
          </cell>
          <cell r="AH86">
            <v>0.8666666666666667</v>
          </cell>
          <cell r="AI86">
            <v>0</v>
          </cell>
          <cell r="AJ86">
            <v>9530</v>
          </cell>
          <cell r="AK86">
            <v>0</v>
          </cell>
          <cell r="AL86">
            <v>2E-3</v>
          </cell>
          <cell r="AM86" t="str">
            <v>dạng cuộn 1000m</v>
          </cell>
          <cell r="AN86">
            <v>320</v>
          </cell>
          <cell r="AO86" t="str">
            <v>Công ty Phú Mỹ</v>
          </cell>
          <cell r="AP86" t="e">
            <v>#N/A</v>
          </cell>
          <cell r="AQ86" t="e">
            <v>#N/A</v>
          </cell>
          <cell r="AR86" t="e">
            <v>#N/A</v>
          </cell>
          <cell r="AS86" t="e">
            <v>#N/A</v>
          </cell>
          <cell r="AT86" t="e">
            <v>#N/A</v>
          </cell>
          <cell r="AU86" t="e">
            <v>#N/A</v>
          </cell>
          <cell r="AV86" t="e">
            <v>#N/A</v>
          </cell>
          <cell r="AW86" t="e">
            <v>#N/A</v>
          </cell>
          <cell r="AX86" t="e">
            <v>#N/A</v>
          </cell>
          <cell r="AY86" t="e">
            <v>#N/A</v>
          </cell>
          <cell r="AZ86" t="e">
            <v>#N/A</v>
          </cell>
          <cell r="BA86" t="str">
            <v>1c</v>
          </cell>
          <cell r="BB86" t="str">
            <v>giấy cartoon K500</v>
          </cell>
          <cell r="BC86">
            <v>0</v>
          </cell>
          <cell r="BD86" t="e">
            <v>#N/A</v>
          </cell>
        </row>
        <row r="87">
          <cell r="A87" t="str">
            <v>sp 341</v>
          </cell>
          <cell r="B87" t="str">
            <v>Cuộn thuốc trừ sâu VOIDUC 42EC Sutraco</v>
          </cell>
          <cell r="C87">
            <v>0</v>
          </cell>
          <cell r="D87">
            <v>9</v>
          </cell>
          <cell r="E87" t="str">
            <v>PET 12x660</v>
          </cell>
          <cell r="F87">
            <v>5</v>
          </cell>
          <cell r="G87" t="str">
            <v>PET</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t="str">
            <v>MPET 12x660</v>
          </cell>
          <cell r="AF87" t="str">
            <v>PE65x660</v>
          </cell>
          <cell r="AG87">
            <v>6.1858500000000004E-2</v>
          </cell>
          <cell r="AH87">
            <v>0.99666666666666659</v>
          </cell>
          <cell r="AI87">
            <v>0.99666666666666659</v>
          </cell>
          <cell r="AJ87">
            <v>9530</v>
          </cell>
          <cell r="AK87">
            <v>9530</v>
          </cell>
          <cell r="AL87">
            <v>2.3E-3</v>
          </cell>
          <cell r="AM87" t="str">
            <v>dạng cuộn 500m</v>
          </cell>
          <cell r="AN87">
            <v>160</v>
          </cell>
          <cell r="AO87" t="str">
            <v>Công ty TNHH Sutraco</v>
          </cell>
          <cell r="AP87" t="e">
            <v>#N/A</v>
          </cell>
          <cell r="AQ87" t="e">
            <v>#N/A</v>
          </cell>
          <cell r="AR87" t="e">
            <v>#N/A</v>
          </cell>
          <cell r="AS87" t="e">
            <v>#N/A</v>
          </cell>
          <cell r="AT87" t="e">
            <v>#N/A</v>
          </cell>
          <cell r="AU87" t="e">
            <v>#N/A</v>
          </cell>
          <cell r="AV87" t="e">
            <v>#N/A</v>
          </cell>
          <cell r="AW87" t="e">
            <v>#N/A</v>
          </cell>
          <cell r="AX87" t="e">
            <v>#N/A</v>
          </cell>
          <cell r="AY87" t="e">
            <v>#N/A</v>
          </cell>
          <cell r="AZ87" t="e">
            <v>#N/A</v>
          </cell>
          <cell r="BA87" t="str">
            <v>3c</v>
          </cell>
          <cell r="BB87" t="str">
            <v>giấy cartoon K600</v>
          </cell>
          <cell r="BC87">
            <v>0</v>
          </cell>
          <cell r="BD87" t="e">
            <v>#N/A</v>
          </cell>
        </row>
        <row r="88">
          <cell r="A88" t="str">
            <v>sp 342</v>
          </cell>
          <cell r="B88" t="str">
            <v>Túi hương thơm thảo mộc Liên Đức  KT 480 x 490</v>
          </cell>
          <cell r="C88">
            <v>2.7</v>
          </cell>
          <cell r="D88">
            <v>1</v>
          </cell>
          <cell r="E88" t="str">
            <v>OPP 20 x 500</v>
          </cell>
          <cell r="F88">
            <v>5</v>
          </cell>
          <cell r="G88" t="str">
            <v>OPP</v>
          </cell>
          <cell r="H88">
            <v>0</v>
          </cell>
          <cell r="I88">
            <v>1.1000000000000001</v>
          </cell>
          <cell r="J88">
            <v>0.1</v>
          </cell>
          <cell r="K88">
            <v>0</v>
          </cell>
          <cell r="L88">
            <v>0.5</v>
          </cell>
          <cell r="M88">
            <v>0</v>
          </cell>
          <cell r="N88">
            <v>0</v>
          </cell>
          <cell r="O88">
            <v>0</v>
          </cell>
          <cell r="P88">
            <v>0.9</v>
          </cell>
          <cell r="Q88">
            <v>0</v>
          </cell>
          <cell r="R88">
            <v>0</v>
          </cell>
          <cell r="S88">
            <v>0.1</v>
          </cell>
          <cell r="T88">
            <v>0</v>
          </cell>
          <cell r="U88">
            <v>0</v>
          </cell>
          <cell r="V88">
            <v>0</v>
          </cell>
          <cell r="W88">
            <v>0</v>
          </cell>
          <cell r="X88">
            <v>0</v>
          </cell>
          <cell r="Y88">
            <v>0</v>
          </cell>
          <cell r="Z88">
            <v>0</v>
          </cell>
          <cell r="AA88">
            <v>0</v>
          </cell>
          <cell r="AB88">
            <v>0</v>
          </cell>
          <cell r="AC88">
            <v>0</v>
          </cell>
          <cell r="AD88">
            <v>0</v>
          </cell>
          <cell r="AE88" t="str">
            <v>CPP 30 x 500</v>
          </cell>
          <cell r="AF88">
            <v>0</v>
          </cell>
          <cell r="AG88">
            <v>2.2749999999999999E-2</v>
          </cell>
          <cell r="AH88">
            <v>0.66666666666666663</v>
          </cell>
          <cell r="AI88">
            <v>0</v>
          </cell>
          <cell r="AJ88">
            <v>9530</v>
          </cell>
          <cell r="AK88">
            <v>0</v>
          </cell>
          <cell r="AL88">
            <v>2E-3</v>
          </cell>
          <cell r="AM88" t="str">
            <v>túi ba biên</v>
          </cell>
          <cell r="AN88">
            <v>490</v>
          </cell>
          <cell r="AO88" t="str">
            <v>Doanh nghiệp tư nhân Bảy Lương</v>
          </cell>
          <cell r="AP88" t="str">
            <v>1505534-1</v>
          </cell>
          <cell r="AQ88" t="str">
            <v>1505534-2</v>
          </cell>
          <cell r="AR88" t="str">
            <v>1505534-3</v>
          </cell>
          <cell r="AS88" t="str">
            <v>1505534-4</v>
          </cell>
          <cell r="AT88" t="str">
            <v>1505534-5</v>
          </cell>
          <cell r="AU88">
            <v>0</v>
          </cell>
          <cell r="AV88">
            <v>0</v>
          </cell>
          <cell r="AW88">
            <v>0</v>
          </cell>
          <cell r="AX88">
            <v>0</v>
          </cell>
          <cell r="AY88" t="str">
            <v>490x750</v>
          </cell>
          <cell r="AZ88" t="str">
            <v>N1</v>
          </cell>
          <cell r="BA88">
            <v>5000</v>
          </cell>
          <cell r="BB88" t="str">
            <v>bao dứa (đóng bằng 2 bao dứa lồng nhau)</v>
          </cell>
          <cell r="BC88">
            <v>0</v>
          </cell>
          <cell r="BD88">
            <v>0</v>
          </cell>
        </row>
        <row r="89">
          <cell r="A89" t="str">
            <v>sp 343</v>
          </cell>
          <cell r="B89" t="str">
            <v>Túi hương trầm hảo hạng Liên Đức KT 160 x 460</v>
          </cell>
          <cell r="C89">
            <v>6.8199999999999994</v>
          </cell>
          <cell r="D89">
            <v>4</v>
          </cell>
          <cell r="E89" t="str">
            <v>OPP 20 x 660</v>
          </cell>
          <cell r="F89">
            <v>5</v>
          </cell>
          <cell r="G89" t="str">
            <v>OPP</v>
          </cell>
          <cell r="H89">
            <v>0</v>
          </cell>
          <cell r="I89">
            <v>2.25</v>
          </cell>
          <cell r="J89">
            <v>0.21</v>
          </cell>
          <cell r="K89">
            <v>0.87</v>
          </cell>
          <cell r="L89">
            <v>2.38</v>
          </cell>
          <cell r="M89">
            <v>1.06</v>
          </cell>
          <cell r="N89">
            <v>0</v>
          </cell>
          <cell r="O89">
            <v>0</v>
          </cell>
          <cell r="P89">
            <v>0</v>
          </cell>
          <cell r="Q89">
            <v>0</v>
          </cell>
          <cell r="R89">
            <v>0</v>
          </cell>
          <cell r="S89">
            <v>0.05</v>
          </cell>
          <cell r="T89">
            <v>0</v>
          </cell>
          <cell r="U89">
            <v>0</v>
          </cell>
          <cell r="V89">
            <v>0</v>
          </cell>
          <cell r="W89">
            <v>0</v>
          </cell>
          <cell r="X89">
            <v>0</v>
          </cell>
          <cell r="Y89">
            <v>0</v>
          </cell>
          <cell r="Z89">
            <v>0</v>
          </cell>
          <cell r="AA89">
            <v>0</v>
          </cell>
          <cell r="AB89">
            <v>0</v>
          </cell>
          <cell r="AC89">
            <v>0</v>
          </cell>
          <cell r="AD89">
            <v>0</v>
          </cell>
          <cell r="AE89" t="str">
            <v>PE 30 x 660</v>
          </cell>
          <cell r="AF89">
            <v>0</v>
          </cell>
          <cell r="AG89">
            <v>3.0327000000000003E-2</v>
          </cell>
          <cell r="AH89">
            <v>0.88</v>
          </cell>
          <cell r="AI89">
            <v>0</v>
          </cell>
          <cell r="AJ89">
            <v>9530</v>
          </cell>
          <cell r="AK89">
            <v>0</v>
          </cell>
          <cell r="AL89">
            <v>2E-3</v>
          </cell>
          <cell r="AM89" t="str">
            <v>túi ba biên</v>
          </cell>
          <cell r="AN89">
            <v>460</v>
          </cell>
          <cell r="AO89" t="str">
            <v>Doanh nghiệp tư nhân Bảy Lương</v>
          </cell>
          <cell r="AP89" t="e">
            <v>#N/A</v>
          </cell>
          <cell r="AQ89" t="e">
            <v>#N/A</v>
          </cell>
          <cell r="AR89" t="e">
            <v>#N/A</v>
          </cell>
          <cell r="AS89" t="e">
            <v>#N/A</v>
          </cell>
          <cell r="AT89" t="e">
            <v>#N/A</v>
          </cell>
          <cell r="AU89" t="e">
            <v>#N/A</v>
          </cell>
          <cell r="AV89" t="e">
            <v>#N/A</v>
          </cell>
          <cell r="AW89" t="e">
            <v>#N/A</v>
          </cell>
          <cell r="AX89" t="e">
            <v>#N/A</v>
          </cell>
          <cell r="AY89" t="e">
            <v>#N/A</v>
          </cell>
          <cell r="AZ89" t="e">
            <v>#N/A</v>
          </cell>
          <cell r="BA89">
            <v>12000</v>
          </cell>
          <cell r="BB89" t="str">
            <v>bao dứa (đóng bằng 2 bao dứa lồng nhau)</v>
          </cell>
          <cell r="BC89">
            <v>0</v>
          </cell>
          <cell r="BD89" t="e">
            <v>#N/A</v>
          </cell>
        </row>
        <row r="90">
          <cell r="A90" t="str">
            <v>sp 344</v>
          </cell>
          <cell r="B90" t="str">
            <v>Túi muối biển xanh 700gr hanufood KT 340x240</v>
          </cell>
          <cell r="C90">
            <v>3.23</v>
          </cell>
          <cell r="D90">
            <v>2</v>
          </cell>
          <cell r="E90" t="str">
            <v>OPP 20x700</v>
          </cell>
          <cell r="F90">
            <v>5</v>
          </cell>
          <cell r="G90" t="str">
            <v>OPP</v>
          </cell>
          <cell r="H90">
            <v>0.13</v>
          </cell>
          <cell r="I90">
            <v>1.21</v>
          </cell>
          <cell r="J90">
            <v>0.26</v>
          </cell>
          <cell r="K90">
            <v>0.01</v>
          </cell>
          <cell r="L90">
            <v>1.23</v>
          </cell>
          <cell r="M90">
            <v>0</v>
          </cell>
          <cell r="N90">
            <v>0</v>
          </cell>
          <cell r="O90">
            <v>0.23</v>
          </cell>
          <cell r="P90">
            <v>0.08</v>
          </cell>
          <cell r="Q90">
            <v>0.08</v>
          </cell>
          <cell r="R90">
            <v>0</v>
          </cell>
          <cell r="S90">
            <v>0</v>
          </cell>
          <cell r="T90">
            <v>0</v>
          </cell>
          <cell r="U90">
            <v>0</v>
          </cell>
          <cell r="V90">
            <v>0</v>
          </cell>
          <cell r="W90">
            <v>0</v>
          </cell>
          <cell r="X90">
            <v>0</v>
          </cell>
          <cell r="Y90">
            <v>0</v>
          </cell>
          <cell r="Z90">
            <v>0</v>
          </cell>
          <cell r="AA90">
            <v>0</v>
          </cell>
          <cell r="AB90">
            <v>0</v>
          </cell>
          <cell r="AC90">
            <v>0</v>
          </cell>
          <cell r="AD90">
            <v>0</v>
          </cell>
          <cell r="AE90" t="str">
            <v>PE 65x700</v>
          </cell>
          <cell r="AF90">
            <v>0</v>
          </cell>
          <cell r="AG90">
            <v>5.4827500000000001E-2</v>
          </cell>
          <cell r="AH90">
            <v>1.012</v>
          </cell>
          <cell r="AI90">
            <v>0</v>
          </cell>
          <cell r="AJ90">
            <v>9530</v>
          </cell>
          <cell r="AK90">
            <v>0</v>
          </cell>
          <cell r="AL90">
            <v>2.1999999999999999E-2</v>
          </cell>
          <cell r="AM90" t="str">
            <v>túi ba biên</v>
          </cell>
          <cell r="AN90">
            <v>240</v>
          </cell>
          <cell r="AO90" t="str">
            <v>Công ty Hanufood</v>
          </cell>
          <cell r="AP90" t="str">
            <v>20100917-1</v>
          </cell>
          <cell r="AQ90" t="str">
            <v>20100917-2</v>
          </cell>
          <cell r="AR90" t="str">
            <v>20100917-3</v>
          </cell>
          <cell r="AS90" t="str">
            <v>1505663-4</v>
          </cell>
          <cell r="AT90" t="str">
            <v>1805776-5</v>
          </cell>
          <cell r="AU90">
            <v>0</v>
          </cell>
          <cell r="AV90">
            <v>0</v>
          </cell>
          <cell r="AW90">
            <v>0</v>
          </cell>
          <cell r="AX90">
            <v>0</v>
          </cell>
          <cell r="AY90" t="str">
            <v>480x850</v>
          </cell>
          <cell r="AZ90" t="str">
            <v>N1</v>
          </cell>
          <cell r="BA90">
            <v>5000</v>
          </cell>
          <cell r="BB90" t="str">
            <v>Thùng 5 lớp 42x34x36, lót nilong</v>
          </cell>
          <cell r="BC90">
            <v>0</v>
          </cell>
          <cell r="BD90">
            <v>0</v>
          </cell>
        </row>
        <row r="91">
          <cell r="A91" t="str">
            <v>sp 345</v>
          </cell>
          <cell r="B91" t="str">
            <v>Cuộn thuốc trừ ốc khủng x 20 loai 20gr Đa Quốc Gia</v>
          </cell>
          <cell r="C91">
            <v>6.4520000000000008</v>
          </cell>
          <cell r="D91">
            <v>3</v>
          </cell>
          <cell r="E91" t="str">
            <v>PET 12 x 680</v>
          </cell>
          <cell r="F91">
            <v>5</v>
          </cell>
          <cell r="G91" t="str">
            <v>PET</v>
          </cell>
          <cell r="H91">
            <v>0.19</v>
          </cell>
          <cell r="I91">
            <v>3.6</v>
          </cell>
          <cell r="J91">
            <v>0.43</v>
          </cell>
          <cell r="K91">
            <v>0.4</v>
          </cell>
          <cell r="L91">
            <v>0.9</v>
          </cell>
          <cell r="M91">
            <v>0.93200000000000005</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t="str">
            <v>MPET 12x680</v>
          </cell>
          <cell r="AF91" t="str">
            <v>PE 75x680</v>
          </cell>
          <cell r="AG91">
            <v>7.0023000000000016E-2</v>
          </cell>
          <cell r="AH91">
            <v>1.0273333333333332</v>
          </cell>
          <cell r="AI91">
            <v>1.0273333333333332</v>
          </cell>
          <cell r="AJ91">
            <v>9530</v>
          </cell>
          <cell r="AK91">
            <v>9530</v>
          </cell>
          <cell r="AL91" t="str">
            <v>0,0046(0,0023;0,0023)</v>
          </cell>
          <cell r="AM91" t="str">
            <v>dạng cuộn 500m</v>
          </cell>
          <cell r="AN91">
            <v>220</v>
          </cell>
          <cell r="AO91" t="str">
            <v>Công ty Đa Quốc Gia</v>
          </cell>
          <cell r="AP91" t="e">
            <v>#N/A</v>
          </cell>
          <cell r="AQ91" t="e">
            <v>#N/A</v>
          </cell>
          <cell r="AR91" t="e">
            <v>#N/A</v>
          </cell>
          <cell r="AS91" t="e">
            <v>#N/A</v>
          </cell>
          <cell r="AT91" t="e">
            <v>#N/A</v>
          </cell>
          <cell r="AU91" t="e">
            <v>#N/A</v>
          </cell>
          <cell r="AV91" t="e">
            <v>#N/A</v>
          </cell>
          <cell r="AW91" t="e">
            <v>#N/A</v>
          </cell>
          <cell r="AX91" t="e">
            <v>#N/A</v>
          </cell>
          <cell r="AY91" t="e">
            <v>#N/A</v>
          </cell>
          <cell r="AZ91" t="e">
            <v>#N/A</v>
          </cell>
          <cell r="BA91" t="str">
            <v>3c</v>
          </cell>
          <cell r="BB91" t="str">
            <v>giấy cartoon K800</v>
          </cell>
          <cell r="BC91">
            <v>0</v>
          </cell>
          <cell r="BD91" t="e">
            <v>#N/A</v>
          </cell>
        </row>
        <row r="92">
          <cell r="A92" t="str">
            <v>sp 346</v>
          </cell>
          <cell r="B92" t="str">
            <v>Cuộn thuốc trừ ốc 99.99 loai 12gr Đa Quốc Gia</v>
          </cell>
          <cell r="C92">
            <v>5.7</v>
          </cell>
          <cell r="D92">
            <v>3</v>
          </cell>
          <cell r="E92" t="str">
            <v>PET 12 x 620</v>
          </cell>
          <cell r="F92">
            <v>5</v>
          </cell>
          <cell r="G92" t="str">
            <v>PET</v>
          </cell>
          <cell r="H92">
            <v>0.2</v>
          </cell>
          <cell r="I92">
            <v>3</v>
          </cell>
          <cell r="J92">
            <v>0.8</v>
          </cell>
          <cell r="K92">
            <v>0.1</v>
          </cell>
          <cell r="L92">
            <v>0.7</v>
          </cell>
          <cell r="M92">
            <v>0.9</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t="str">
            <v>MPET 12x620</v>
          </cell>
          <cell r="AF92" t="str">
            <v>PE 75x620</v>
          </cell>
          <cell r="AG92">
            <v>6.3844500000000012E-2</v>
          </cell>
          <cell r="AH92">
            <v>0.93533333333333324</v>
          </cell>
          <cell r="AI92">
            <v>1.0166666666666666</v>
          </cell>
          <cell r="AJ92">
            <v>9530</v>
          </cell>
          <cell r="AK92">
            <v>9530</v>
          </cell>
          <cell r="AL92" t="str">
            <v>0,0048(0,0023;0,0025)</v>
          </cell>
          <cell r="AM92" t="str">
            <v>dạng cuộn 500m</v>
          </cell>
          <cell r="AN92">
            <v>200</v>
          </cell>
          <cell r="AO92" t="str">
            <v>Công ty Đa Quốc Gia</v>
          </cell>
          <cell r="AP92" t="e">
            <v>#N/A</v>
          </cell>
          <cell r="AQ92" t="e">
            <v>#N/A</v>
          </cell>
          <cell r="AR92" t="e">
            <v>#N/A</v>
          </cell>
          <cell r="AS92" t="e">
            <v>#N/A</v>
          </cell>
          <cell r="AT92" t="e">
            <v>#N/A</v>
          </cell>
          <cell r="AU92" t="e">
            <v>#N/A</v>
          </cell>
          <cell r="AV92" t="e">
            <v>#N/A</v>
          </cell>
          <cell r="AW92" t="e">
            <v>#N/A</v>
          </cell>
          <cell r="AX92" t="e">
            <v>#N/A</v>
          </cell>
          <cell r="AY92" t="e">
            <v>#N/A</v>
          </cell>
          <cell r="AZ92" t="e">
            <v>#N/A</v>
          </cell>
          <cell r="BA92" t="str">
            <v>3c</v>
          </cell>
          <cell r="BB92" t="str">
            <v>giấy cartoon K800</v>
          </cell>
          <cell r="BC92">
            <v>0</v>
          </cell>
          <cell r="BD92" t="e">
            <v>#N/A</v>
          </cell>
        </row>
        <row r="93">
          <cell r="A93" t="str">
            <v>sp 347</v>
          </cell>
          <cell r="B93" t="str">
            <v>Túi thuốc vietvet 100gr Đất Việt</v>
          </cell>
          <cell r="C93">
            <v>0</v>
          </cell>
          <cell r="D93">
            <v>12</v>
          </cell>
          <cell r="E93" t="str">
            <v>OPP 20 x 700</v>
          </cell>
          <cell r="F93">
            <v>1</v>
          </cell>
          <cell r="G93" t="str">
            <v>OPP</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t="str">
            <v>Al 6x700</v>
          </cell>
          <cell r="AF93" t="str">
            <v>PE 70x710</v>
          </cell>
          <cell r="AG93">
            <v>6.9447000000000009E-2</v>
          </cell>
          <cell r="AH93">
            <v>1.0579999999999998</v>
          </cell>
          <cell r="AI93">
            <v>1.38</v>
          </cell>
          <cell r="AJ93">
            <v>9530</v>
          </cell>
          <cell r="AK93">
            <v>9530</v>
          </cell>
          <cell r="AL93" t="str">
            <v>0,0053(0,0023;0,003)</v>
          </cell>
          <cell r="AM93" t="str">
            <v>túi ba biên</v>
          </cell>
          <cell r="AN93">
            <v>150</v>
          </cell>
          <cell r="AO93" t="str">
            <v>Công ty Đất Việt</v>
          </cell>
          <cell r="AP93" t="str">
            <v>1505773-1</v>
          </cell>
          <cell r="AQ93">
            <v>0</v>
          </cell>
          <cell r="AR93">
            <v>0</v>
          </cell>
          <cell r="AS93">
            <v>0</v>
          </cell>
          <cell r="AT93">
            <v>0</v>
          </cell>
          <cell r="AU93">
            <v>0</v>
          </cell>
          <cell r="AV93">
            <v>0</v>
          </cell>
          <cell r="AW93">
            <v>0</v>
          </cell>
          <cell r="AX93">
            <v>0</v>
          </cell>
          <cell r="AY93" t="str">
            <v>480x850</v>
          </cell>
          <cell r="AZ93" t="str">
            <v>N1</v>
          </cell>
          <cell r="BA93">
            <v>6000</v>
          </cell>
          <cell r="BB93" t="str">
            <v>Thùng 5 lớp 42x34x36</v>
          </cell>
          <cell r="BC93">
            <v>0</v>
          </cell>
          <cell r="BD93">
            <v>0</v>
          </cell>
        </row>
        <row r="94">
          <cell r="A94" t="str">
            <v>sp 348</v>
          </cell>
          <cell r="B94" t="str">
            <v>Cuộn thức ăn cosvit 10g Đất Việt</v>
          </cell>
          <cell r="C94">
            <v>0</v>
          </cell>
          <cell r="D94">
            <v>4</v>
          </cell>
          <cell r="E94" t="str">
            <v>OPP 20 x 700</v>
          </cell>
          <cell r="F94">
            <v>2</v>
          </cell>
          <cell r="G94" t="str">
            <v>OPP</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t="str">
            <v>Al 6x700</v>
          </cell>
          <cell r="AF94" t="str">
            <v>PE 70x710</v>
          </cell>
          <cell r="AG94">
            <v>6.9405000000000008E-2</v>
          </cell>
          <cell r="AH94">
            <v>1.0579999999999998</v>
          </cell>
          <cell r="AI94">
            <v>1.38</v>
          </cell>
          <cell r="AJ94">
            <v>9530</v>
          </cell>
          <cell r="AK94">
            <v>9530</v>
          </cell>
          <cell r="AL94" t="str">
            <v>0,0053(0,0023;0,003)</v>
          </cell>
          <cell r="AM94" t="str">
            <v>dạng cuộn 500m</v>
          </cell>
          <cell r="AN94">
            <v>170</v>
          </cell>
          <cell r="AO94" t="str">
            <v>Công ty Đất Việt</v>
          </cell>
          <cell r="AP94" t="str">
            <v>1505772-1</v>
          </cell>
          <cell r="AQ94" t="str">
            <v>1505772-2</v>
          </cell>
          <cell r="AR94">
            <v>0</v>
          </cell>
          <cell r="AS94">
            <v>0</v>
          </cell>
          <cell r="AT94">
            <v>0</v>
          </cell>
          <cell r="AU94">
            <v>0</v>
          </cell>
          <cell r="AV94">
            <v>0</v>
          </cell>
          <cell r="AW94">
            <v>0</v>
          </cell>
          <cell r="AX94">
            <v>0</v>
          </cell>
          <cell r="AY94" t="str">
            <v>480x850</v>
          </cell>
          <cell r="AZ94" t="str">
            <v>N1</v>
          </cell>
          <cell r="BA94" t="str">
            <v>3c</v>
          </cell>
          <cell r="BB94" t="str">
            <v>giấy cartoon K600</v>
          </cell>
          <cell r="BC94">
            <v>0</v>
          </cell>
          <cell r="BD94">
            <v>0</v>
          </cell>
        </row>
        <row r="95">
          <cell r="A95" t="str">
            <v>sp 351</v>
          </cell>
          <cell r="B95" t="str">
            <v>Túi thuốc menbio vietvet 500g Đất Việt</v>
          </cell>
          <cell r="C95">
            <v>6.5100000000000016</v>
          </cell>
          <cell r="D95">
            <v>2</v>
          </cell>
          <cell r="E95" t="str">
            <v>OPP 20x780</v>
          </cell>
          <cell r="F95">
            <v>3</v>
          </cell>
          <cell r="G95" t="str">
            <v>OPP</v>
          </cell>
          <cell r="H95">
            <v>0.23</v>
          </cell>
          <cell r="I95">
            <v>4.49</v>
          </cell>
          <cell r="J95">
            <v>0</v>
          </cell>
          <cell r="K95">
            <v>0</v>
          </cell>
          <cell r="L95">
            <v>0</v>
          </cell>
          <cell r="M95">
            <v>0</v>
          </cell>
          <cell r="N95">
            <v>0</v>
          </cell>
          <cell r="O95">
            <v>0</v>
          </cell>
          <cell r="P95">
            <v>0.81</v>
          </cell>
          <cell r="Q95">
            <v>0</v>
          </cell>
          <cell r="R95">
            <v>0.98</v>
          </cell>
          <cell r="S95">
            <v>0</v>
          </cell>
          <cell r="T95">
            <v>0</v>
          </cell>
          <cell r="U95">
            <v>0</v>
          </cell>
          <cell r="V95">
            <v>0</v>
          </cell>
          <cell r="W95">
            <v>0</v>
          </cell>
          <cell r="X95">
            <v>0</v>
          </cell>
          <cell r="Y95">
            <v>0</v>
          </cell>
          <cell r="Z95">
            <v>0</v>
          </cell>
          <cell r="AA95">
            <v>0</v>
          </cell>
          <cell r="AB95">
            <v>0</v>
          </cell>
          <cell r="AC95">
            <v>0</v>
          </cell>
          <cell r="AD95">
            <v>0</v>
          </cell>
          <cell r="AE95" t="str">
            <v>MPET 12x780</v>
          </cell>
          <cell r="AF95" t="str">
            <v>PE 65x780</v>
          </cell>
          <cell r="AG95">
            <v>7.4197500000000013E-2</v>
          </cell>
          <cell r="AH95">
            <v>1.1806666666666665</v>
          </cell>
          <cell r="AI95">
            <v>1.54</v>
          </cell>
          <cell r="AJ95">
            <v>9530</v>
          </cell>
          <cell r="AK95">
            <v>9530</v>
          </cell>
          <cell r="AL95" t="str">
            <v>0,0053(0,0023;0,003)</v>
          </cell>
          <cell r="AM95" t="str">
            <v>túi ba biên</v>
          </cell>
          <cell r="AN95">
            <v>220</v>
          </cell>
          <cell r="AO95" t="str">
            <v>Công ty Đất Việt</v>
          </cell>
          <cell r="AP95" t="str">
            <v>20080781-1</v>
          </cell>
          <cell r="AQ95" t="str">
            <v>20080781-2</v>
          </cell>
          <cell r="AR95" t="str">
            <v>1506198-3</v>
          </cell>
          <cell r="AS95">
            <v>0</v>
          </cell>
          <cell r="AT95">
            <v>0</v>
          </cell>
          <cell r="AU95">
            <v>0</v>
          </cell>
          <cell r="AV95">
            <v>0</v>
          </cell>
          <cell r="AW95">
            <v>0</v>
          </cell>
          <cell r="AX95">
            <v>0</v>
          </cell>
          <cell r="AY95" t="str">
            <v>440x870</v>
          </cell>
          <cell r="AZ95" t="str">
            <v>N1</v>
          </cell>
          <cell r="BA95">
            <v>4000</v>
          </cell>
          <cell r="BB95" t="str">
            <v>Thùng 5 lớp 42x34x36</v>
          </cell>
          <cell r="BC95">
            <v>0</v>
          </cell>
          <cell r="BD95" t="str">
            <v xml:space="preserve">trục xanh 3 in vs sp 469 </v>
          </cell>
        </row>
        <row r="96">
          <cell r="A96" t="str">
            <v>sp 351a</v>
          </cell>
          <cell r="B96" t="str">
            <v>Túi thuốc menbio vietvet 500g Đất Việt</v>
          </cell>
          <cell r="C96">
            <v>8.41</v>
          </cell>
          <cell r="D96">
            <v>2</v>
          </cell>
          <cell r="E96" t="str">
            <v>PET 12x780</v>
          </cell>
          <cell r="F96">
            <v>3</v>
          </cell>
          <cell r="G96" t="str">
            <v>PET</v>
          </cell>
          <cell r="H96">
            <v>0.437</v>
          </cell>
          <cell r="I96">
            <v>4.915</v>
          </cell>
          <cell r="J96">
            <v>0</v>
          </cell>
          <cell r="K96">
            <v>0</v>
          </cell>
          <cell r="L96">
            <v>0.65500000000000003</v>
          </cell>
          <cell r="M96">
            <v>0</v>
          </cell>
          <cell r="N96">
            <v>0</v>
          </cell>
          <cell r="O96">
            <v>0</v>
          </cell>
          <cell r="P96">
            <v>0.98299999999999998</v>
          </cell>
          <cell r="Q96">
            <v>0.874</v>
          </cell>
          <cell r="R96">
            <v>0.54600000000000004</v>
          </cell>
          <cell r="S96">
            <v>0</v>
          </cell>
          <cell r="T96">
            <v>0</v>
          </cell>
          <cell r="U96">
            <v>0</v>
          </cell>
          <cell r="V96">
            <v>0</v>
          </cell>
          <cell r="W96">
            <v>0</v>
          </cell>
          <cell r="X96">
            <v>0</v>
          </cell>
          <cell r="Y96">
            <v>0</v>
          </cell>
          <cell r="Z96">
            <v>0</v>
          </cell>
          <cell r="AA96">
            <v>0</v>
          </cell>
          <cell r="AB96">
            <v>0</v>
          </cell>
          <cell r="AC96">
            <v>0</v>
          </cell>
          <cell r="AD96">
            <v>0</v>
          </cell>
          <cell r="AE96" t="str">
            <v>MPET 12x780</v>
          </cell>
          <cell r="AF96" t="str">
            <v>PE 70x780</v>
          </cell>
          <cell r="AG96">
            <v>7.6713000000000017E-2</v>
          </cell>
          <cell r="AH96">
            <v>1.1806666666666665</v>
          </cell>
          <cell r="AI96">
            <v>1.2833333333333334</v>
          </cell>
          <cell r="AJ96">
            <v>9530</v>
          </cell>
          <cell r="AK96">
            <v>9530</v>
          </cell>
          <cell r="AL96" t="str">
            <v>0,0048(0,0023;0,0025)</v>
          </cell>
          <cell r="AM96" t="str">
            <v>túi ba biên</v>
          </cell>
          <cell r="AN96">
            <v>220</v>
          </cell>
          <cell r="AO96" t="str">
            <v>Công ty Đất Việt</v>
          </cell>
          <cell r="AP96" t="e">
            <v>#N/A</v>
          </cell>
          <cell r="AQ96" t="e">
            <v>#N/A</v>
          </cell>
          <cell r="AR96" t="e">
            <v>#N/A</v>
          </cell>
          <cell r="AS96" t="e">
            <v>#N/A</v>
          </cell>
          <cell r="AT96" t="e">
            <v>#N/A</v>
          </cell>
          <cell r="AU96" t="e">
            <v>#N/A</v>
          </cell>
          <cell r="AV96" t="e">
            <v>#N/A</v>
          </cell>
          <cell r="AW96" t="e">
            <v>#N/A</v>
          </cell>
          <cell r="AX96" t="e">
            <v>#N/A</v>
          </cell>
          <cell r="AY96" t="e">
            <v>#N/A</v>
          </cell>
          <cell r="AZ96" t="e">
            <v>#N/A</v>
          </cell>
          <cell r="BA96">
            <v>4000</v>
          </cell>
          <cell r="BB96" t="str">
            <v>Thùng 5 lớp 42x34x36</v>
          </cell>
          <cell r="BC96">
            <v>0</v>
          </cell>
          <cell r="BD96" t="e">
            <v>#N/A</v>
          </cell>
        </row>
        <row r="97">
          <cell r="A97" t="str">
            <v>sp 352</v>
          </cell>
          <cell r="B97" t="str">
            <v>Cuộn thuốc trừ sâu bafurit 5gr Đa Quốc Gia</v>
          </cell>
          <cell r="C97">
            <v>4.5</v>
          </cell>
          <cell r="D97">
            <v>4</v>
          </cell>
          <cell r="E97" t="str">
            <v>PET 12x740</v>
          </cell>
          <cell r="F97">
            <v>5</v>
          </cell>
          <cell r="G97" t="str">
            <v>PET</v>
          </cell>
          <cell r="H97">
            <v>0.3</v>
          </cell>
          <cell r="I97">
            <v>3.2</v>
          </cell>
          <cell r="J97">
            <v>0.1</v>
          </cell>
          <cell r="K97">
            <v>0.1</v>
          </cell>
          <cell r="L97">
            <v>0.1</v>
          </cell>
          <cell r="M97">
            <v>0.7</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t="str">
            <v>MPET 12x740</v>
          </cell>
          <cell r="AF97" t="str">
            <v>PE 75x740</v>
          </cell>
          <cell r="AG97">
            <v>7.6201500000000005E-2</v>
          </cell>
          <cell r="AH97">
            <v>1.1193333333333333</v>
          </cell>
          <cell r="AI97">
            <v>1.1193333333333333</v>
          </cell>
          <cell r="AJ97">
            <v>9530</v>
          </cell>
          <cell r="AK97">
            <v>0</v>
          </cell>
          <cell r="AL97" t="str">
            <v>0,0046(0,0023;0,0023)</v>
          </cell>
          <cell r="AM97" t="str">
            <v>dạng cuộn 500m</v>
          </cell>
          <cell r="AN97">
            <v>180</v>
          </cell>
          <cell r="AO97" t="str">
            <v>Công ty Đa Quốc Gia</v>
          </cell>
          <cell r="AP97" t="e">
            <v>#N/A</v>
          </cell>
          <cell r="AQ97" t="e">
            <v>#N/A</v>
          </cell>
          <cell r="AR97" t="e">
            <v>#N/A</v>
          </cell>
          <cell r="AS97" t="e">
            <v>#N/A</v>
          </cell>
          <cell r="AT97" t="e">
            <v>#N/A</v>
          </cell>
          <cell r="AU97" t="e">
            <v>#N/A</v>
          </cell>
          <cell r="AV97" t="e">
            <v>#N/A</v>
          </cell>
          <cell r="AW97" t="e">
            <v>#N/A</v>
          </cell>
          <cell r="AX97" t="e">
            <v>#N/A</v>
          </cell>
          <cell r="AY97" t="e">
            <v>#N/A</v>
          </cell>
          <cell r="AZ97" t="e">
            <v>#N/A</v>
          </cell>
          <cell r="BA97" t="str">
            <v>3c</v>
          </cell>
          <cell r="BB97" t="str">
            <v>giấy cartoon K600</v>
          </cell>
          <cell r="BC97">
            <v>0</v>
          </cell>
          <cell r="BD97" t="e">
            <v>#N/A</v>
          </cell>
        </row>
        <row r="98">
          <cell r="A98" t="str">
            <v>sp 353</v>
          </cell>
          <cell r="B98" t="str">
            <v>Túi muối biển xanh 500gr hanufood KT 310 x 215</v>
          </cell>
          <cell r="C98">
            <v>2.71</v>
          </cell>
          <cell r="D98">
            <v>2</v>
          </cell>
          <cell r="E98" t="str">
            <v>OPP 20x640</v>
          </cell>
          <cell r="F98">
            <v>5</v>
          </cell>
          <cell r="G98" t="str">
            <v>OPP</v>
          </cell>
          <cell r="H98">
            <v>0.05</v>
          </cell>
          <cell r="I98">
            <v>1.04</v>
          </cell>
          <cell r="J98">
            <v>0.91</v>
          </cell>
          <cell r="K98">
            <v>0</v>
          </cell>
          <cell r="L98">
            <v>0.45</v>
          </cell>
          <cell r="M98">
            <v>0.25</v>
          </cell>
          <cell r="N98">
            <v>0</v>
          </cell>
          <cell r="O98">
            <v>0</v>
          </cell>
          <cell r="P98">
            <v>0.01</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t="str">
            <v>PE 65x640</v>
          </cell>
          <cell r="AF98">
            <v>0</v>
          </cell>
          <cell r="AG98">
            <v>5.0128000000000006E-2</v>
          </cell>
          <cell r="AH98">
            <v>1.05</v>
          </cell>
          <cell r="AI98">
            <v>0</v>
          </cell>
          <cell r="AJ98">
            <v>9530</v>
          </cell>
          <cell r="AK98">
            <v>0</v>
          </cell>
          <cell r="AL98">
            <v>2.5000000000000001E-3</v>
          </cell>
          <cell r="AM98" t="str">
            <v>túi ba biên</v>
          </cell>
          <cell r="AN98">
            <v>215</v>
          </cell>
          <cell r="AO98" t="str">
            <v>Công ty Hanufood</v>
          </cell>
          <cell r="AP98" t="str">
            <v>20100916-1</v>
          </cell>
          <cell r="AQ98" t="str">
            <v>20100916-2</v>
          </cell>
          <cell r="AR98" t="str">
            <v>1909397-3</v>
          </cell>
          <cell r="AS98" t="str">
            <v>1909397-4</v>
          </cell>
          <cell r="AT98" t="str">
            <v>21040352-5</v>
          </cell>
          <cell r="AU98">
            <v>0</v>
          </cell>
          <cell r="AV98">
            <v>0</v>
          </cell>
          <cell r="AW98">
            <v>0</v>
          </cell>
          <cell r="AX98">
            <v>0</v>
          </cell>
          <cell r="AY98" t="str">
            <v>430x750</v>
          </cell>
          <cell r="AZ98" t="str">
            <v>N1</v>
          </cell>
          <cell r="BA98">
            <v>6000</v>
          </cell>
          <cell r="BB98" t="str">
            <v>Thùng 5 lớp 42x34x36</v>
          </cell>
          <cell r="BC98">
            <v>0</v>
          </cell>
          <cell r="BD98">
            <v>0</v>
          </cell>
        </row>
        <row r="99">
          <cell r="A99" t="str">
            <v>sp 359</v>
          </cell>
          <cell r="B99" t="str">
            <v>Cuộn thuốc trừ sâu Danobull 50WG - 10gr viet duc</v>
          </cell>
          <cell r="C99">
            <v>3.9000000000000004</v>
          </cell>
          <cell r="D99">
            <v>3</v>
          </cell>
          <cell r="E99" t="str">
            <v>PET 12x680</v>
          </cell>
          <cell r="F99">
            <v>5</v>
          </cell>
          <cell r="G99" t="str">
            <v>PET</v>
          </cell>
          <cell r="H99">
            <v>0.1</v>
          </cell>
          <cell r="I99">
            <v>2.2000000000000002</v>
          </cell>
          <cell r="J99">
            <v>0.2</v>
          </cell>
          <cell r="K99">
            <v>0.5</v>
          </cell>
          <cell r="L99">
            <v>0.2</v>
          </cell>
          <cell r="M99">
            <v>0.7</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t="str">
            <v>MPET 12x680</v>
          </cell>
          <cell r="AF99" t="str">
            <v>PE 70x685</v>
          </cell>
          <cell r="AG99">
            <v>6.6878000000000021E-2</v>
          </cell>
          <cell r="AH99">
            <v>1.0273333333333332</v>
          </cell>
          <cell r="AI99">
            <v>1.0273333333333332</v>
          </cell>
          <cell r="AJ99">
            <v>9530</v>
          </cell>
          <cell r="AK99">
            <v>9530</v>
          </cell>
          <cell r="AL99" t="str">
            <v>0,0046(0,0023;0,0023)</v>
          </cell>
          <cell r="AM99" t="str">
            <v>dạng cuộn 500m</v>
          </cell>
          <cell r="AN99">
            <v>220</v>
          </cell>
          <cell r="AO99" t="str">
            <v>Công ty Việt Đức</v>
          </cell>
          <cell r="AP99" t="e">
            <v>#N/A</v>
          </cell>
          <cell r="AQ99" t="e">
            <v>#N/A</v>
          </cell>
          <cell r="AR99" t="e">
            <v>#N/A</v>
          </cell>
          <cell r="AS99" t="e">
            <v>#N/A</v>
          </cell>
          <cell r="AT99" t="e">
            <v>#N/A</v>
          </cell>
          <cell r="AU99" t="e">
            <v>#N/A</v>
          </cell>
          <cell r="AV99" t="e">
            <v>#N/A</v>
          </cell>
          <cell r="AW99" t="e">
            <v>#N/A</v>
          </cell>
          <cell r="AX99" t="e">
            <v>#N/A</v>
          </cell>
          <cell r="AY99" t="e">
            <v>#N/A</v>
          </cell>
          <cell r="AZ99" t="e">
            <v>#N/A</v>
          </cell>
          <cell r="BA99" t="str">
            <v>2c</v>
          </cell>
          <cell r="BB99" t="str">
            <v>giấy cartoon K600</v>
          </cell>
          <cell r="BC99">
            <v>0</v>
          </cell>
          <cell r="BD99" t="e">
            <v>#N/A</v>
          </cell>
        </row>
        <row r="100">
          <cell r="A100" t="str">
            <v>sp 360</v>
          </cell>
          <cell r="B100" t="str">
            <v>Cuộn bánh bao sữa dừa 200gr phú mỹ</v>
          </cell>
          <cell r="C100">
            <v>4.0299999999999994</v>
          </cell>
          <cell r="D100">
            <v>2</v>
          </cell>
          <cell r="E100" t="str">
            <v>OPP 20x730</v>
          </cell>
          <cell r="F100">
            <v>7</v>
          </cell>
          <cell r="G100" t="str">
            <v>OPP</v>
          </cell>
          <cell r="H100">
            <v>0.01</v>
          </cell>
          <cell r="I100">
            <v>2.33</v>
          </cell>
          <cell r="J100">
            <v>0.01</v>
          </cell>
          <cell r="K100">
            <v>0.21</v>
          </cell>
          <cell r="L100">
            <v>1.17</v>
          </cell>
          <cell r="M100">
            <v>0.25</v>
          </cell>
          <cell r="N100">
            <v>0</v>
          </cell>
          <cell r="O100">
            <v>0.01</v>
          </cell>
          <cell r="P100">
            <v>0</v>
          </cell>
          <cell r="Q100">
            <v>0.03</v>
          </cell>
          <cell r="R100">
            <v>0</v>
          </cell>
          <cell r="S100">
            <v>0.01</v>
          </cell>
          <cell r="T100">
            <v>0</v>
          </cell>
          <cell r="U100">
            <v>0</v>
          </cell>
          <cell r="V100">
            <v>0</v>
          </cell>
          <cell r="W100">
            <v>0</v>
          </cell>
          <cell r="X100">
            <v>0</v>
          </cell>
          <cell r="Y100">
            <v>0</v>
          </cell>
          <cell r="Z100">
            <v>0</v>
          </cell>
          <cell r="AA100">
            <v>0</v>
          </cell>
          <cell r="AB100">
            <v>0</v>
          </cell>
          <cell r="AC100">
            <v>0</v>
          </cell>
          <cell r="AD100">
            <v>0</v>
          </cell>
          <cell r="AE100" t="str">
            <v>PE 55x730</v>
          </cell>
          <cell r="AF100">
            <v>0</v>
          </cell>
          <cell r="AG100">
            <v>5.0424749999999997E-2</v>
          </cell>
          <cell r="AH100">
            <v>0.96</v>
          </cell>
          <cell r="AI100">
            <v>0</v>
          </cell>
          <cell r="AJ100">
            <v>9530</v>
          </cell>
          <cell r="AK100">
            <v>0</v>
          </cell>
          <cell r="AL100">
            <v>2E-3</v>
          </cell>
          <cell r="AM100" t="str">
            <v>dạng cuộn 500m</v>
          </cell>
          <cell r="AN100">
            <v>355</v>
          </cell>
          <cell r="AO100" t="str">
            <v>Công ty Phú Mỹ</v>
          </cell>
          <cell r="AP100" t="e">
            <v>#N/A</v>
          </cell>
          <cell r="AQ100" t="e">
            <v>#N/A</v>
          </cell>
          <cell r="AR100" t="e">
            <v>#N/A</v>
          </cell>
          <cell r="AS100" t="e">
            <v>#N/A</v>
          </cell>
          <cell r="AT100" t="e">
            <v>#N/A</v>
          </cell>
          <cell r="AU100" t="e">
            <v>#N/A</v>
          </cell>
          <cell r="AV100" t="e">
            <v>#N/A</v>
          </cell>
          <cell r="AW100" t="e">
            <v>#N/A</v>
          </cell>
          <cell r="AX100" t="e">
            <v>#N/A</v>
          </cell>
          <cell r="AY100" t="e">
            <v>#N/A</v>
          </cell>
          <cell r="AZ100" t="e">
            <v>#N/A</v>
          </cell>
          <cell r="BA100" t="str">
            <v>1c</v>
          </cell>
          <cell r="BB100" t="str">
            <v>giấy cartoon K500</v>
          </cell>
          <cell r="BC100">
            <v>0</v>
          </cell>
          <cell r="BD100" t="e">
            <v>#N/A</v>
          </cell>
        </row>
        <row r="101">
          <cell r="A101" t="str">
            <v>sp 361</v>
          </cell>
          <cell r="B101" t="str">
            <v>Cuộn bánh bao xá xíu 300gr phú mỹ</v>
          </cell>
          <cell r="C101">
            <v>5.0600000000000005</v>
          </cell>
          <cell r="D101">
            <v>2</v>
          </cell>
          <cell r="E101" t="str">
            <v>OPP 20x730</v>
          </cell>
          <cell r="F101">
            <v>6</v>
          </cell>
          <cell r="G101" t="str">
            <v>OPP</v>
          </cell>
          <cell r="H101">
            <v>0.02</v>
          </cell>
          <cell r="I101">
            <v>2.99</v>
          </cell>
          <cell r="J101">
            <v>0.15</v>
          </cell>
          <cell r="K101">
            <v>0.67</v>
          </cell>
          <cell r="L101">
            <v>0.01</v>
          </cell>
          <cell r="M101">
            <v>0.91</v>
          </cell>
          <cell r="N101">
            <v>0</v>
          </cell>
          <cell r="O101">
            <v>0</v>
          </cell>
          <cell r="P101">
            <v>0.15</v>
          </cell>
          <cell r="Q101">
            <v>0</v>
          </cell>
          <cell r="R101">
            <v>0</v>
          </cell>
          <cell r="S101">
            <v>0</v>
          </cell>
          <cell r="T101">
            <v>0</v>
          </cell>
          <cell r="U101">
            <v>0</v>
          </cell>
          <cell r="V101">
            <v>0.16</v>
          </cell>
          <cell r="W101">
            <v>0</v>
          </cell>
          <cell r="X101">
            <v>0</v>
          </cell>
          <cell r="Y101">
            <v>0</v>
          </cell>
          <cell r="Z101">
            <v>0</v>
          </cell>
          <cell r="AA101">
            <v>0</v>
          </cell>
          <cell r="AB101">
            <v>0</v>
          </cell>
          <cell r="AC101">
            <v>0</v>
          </cell>
          <cell r="AD101">
            <v>0</v>
          </cell>
          <cell r="AE101" t="str">
            <v>PE 55x730</v>
          </cell>
          <cell r="AF101">
            <v>0</v>
          </cell>
          <cell r="AG101">
            <v>5.0424749999999997E-2</v>
          </cell>
          <cell r="AH101">
            <v>0.96</v>
          </cell>
          <cell r="AI101">
            <v>0</v>
          </cell>
          <cell r="AJ101">
            <v>9530</v>
          </cell>
          <cell r="AK101">
            <v>0</v>
          </cell>
          <cell r="AL101">
            <v>2E-3</v>
          </cell>
          <cell r="AM101" t="str">
            <v>dạng cuộn 500m</v>
          </cell>
          <cell r="AN101">
            <v>355</v>
          </cell>
          <cell r="AO101" t="str">
            <v>Công ty Phú Mỹ</v>
          </cell>
          <cell r="AP101" t="str">
            <v>21030934-1</v>
          </cell>
          <cell r="AQ101" t="str">
            <v>21030934-2</v>
          </cell>
          <cell r="AR101" t="str">
            <v>20081393-3</v>
          </cell>
          <cell r="AS101" t="str">
            <v>1508114-4</v>
          </cell>
          <cell r="AT101" t="str">
            <v>1209324-5</v>
          </cell>
          <cell r="AU101" t="str">
            <v>1412194-6</v>
          </cell>
          <cell r="AV101">
            <v>0</v>
          </cell>
          <cell r="AW101">
            <v>0</v>
          </cell>
          <cell r="AX101">
            <v>0</v>
          </cell>
          <cell r="AY101" t="str">
            <v>532x1000</v>
          </cell>
          <cell r="AZ101" t="str">
            <v>V1</v>
          </cell>
          <cell r="BA101" t="str">
            <v>1c</v>
          </cell>
          <cell r="BB101" t="str">
            <v>giấy cartoon K500</v>
          </cell>
          <cell r="BC101">
            <v>0</v>
          </cell>
          <cell r="BD101">
            <v>0</v>
          </cell>
        </row>
        <row r="102">
          <cell r="A102" t="str">
            <v>sp 362</v>
          </cell>
          <cell r="B102" t="str">
            <v>Cuộn bánh bao chay khoai môn 200gr phú mỹ</v>
          </cell>
          <cell r="C102">
            <v>6.74</v>
          </cell>
          <cell r="D102">
            <v>2</v>
          </cell>
          <cell r="E102" t="str">
            <v>OPP 20x730</v>
          </cell>
          <cell r="F102">
            <v>7</v>
          </cell>
          <cell r="G102" t="str">
            <v>OPP</v>
          </cell>
          <cell r="H102">
            <v>0.12</v>
          </cell>
          <cell r="I102">
            <v>3.37</v>
          </cell>
          <cell r="J102">
            <v>0.12</v>
          </cell>
          <cell r="K102">
            <v>0.72</v>
          </cell>
          <cell r="L102">
            <v>0.12</v>
          </cell>
          <cell r="M102">
            <v>1.08</v>
          </cell>
          <cell r="N102">
            <v>0</v>
          </cell>
          <cell r="O102">
            <v>0</v>
          </cell>
          <cell r="P102">
            <v>0.96</v>
          </cell>
          <cell r="Q102">
            <v>0.24</v>
          </cell>
          <cell r="R102">
            <v>0</v>
          </cell>
          <cell r="S102">
            <v>0</v>
          </cell>
          <cell r="T102">
            <v>0.01</v>
          </cell>
          <cell r="U102">
            <v>0</v>
          </cell>
          <cell r="V102">
            <v>0</v>
          </cell>
          <cell r="W102">
            <v>0</v>
          </cell>
          <cell r="X102">
            <v>0</v>
          </cell>
          <cell r="Y102">
            <v>0</v>
          </cell>
          <cell r="Z102">
            <v>0</v>
          </cell>
          <cell r="AA102">
            <v>0</v>
          </cell>
          <cell r="AB102">
            <v>0</v>
          </cell>
          <cell r="AC102">
            <v>0</v>
          </cell>
          <cell r="AD102">
            <v>0</v>
          </cell>
          <cell r="AE102" t="str">
            <v>PE 55x730</v>
          </cell>
          <cell r="AF102">
            <v>0</v>
          </cell>
          <cell r="AG102">
            <v>6.0553500000000017E-2</v>
          </cell>
          <cell r="AH102">
            <v>0.96</v>
          </cell>
          <cell r="AI102">
            <v>0</v>
          </cell>
          <cell r="AJ102">
            <v>9530</v>
          </cell>
          <cell r="AK102">
            <v>0</v>
          </cell>
          <cell r="AL102">
            <v>2E-3</v>
          </cell>
          <cell r="AM102" t="str">
            <v>dạng cuộn 500m</v>
          </cell>
          <cell r="AN102">
            <v>355</v>
          </cell>
          <cell r="AO102" t="str">
            <v>Công ty Phú Mỹ</v>
          </cell>
          <cell r="AP102" t="str">
            <v>1804075-1</v>
          </cell>
          <cell r="AQ102" t="str">
            <v>1804075-2</v>
          </cell>
          <cell r="AR102" t="str">
            <v>20081391-3</v>
          </cell>
          <cell r="AS102" t="str">
            <v>1406289-4</v>
          </cell>
          <cell r="AT102" t="str">
            <v>1510074-5</v>
          </cell>
          <cell r="AU102" t="str">
            <v>1412799-6</v>
          </cell>
          <cell r="AV102" t="str">
            <v>1711334-7</v>
          </cell>
          <cell r="AW102">
            <v>0</v>
          </cell>
          <cell r="AX102">
            <v>0</v>
          </cell>
          <cell r="AY102" t="str">
            <v>462x1000</v>
          </cell>
          <cell r="AZ102" t="str">
            <v>V1</v>
          </cell>
          <cell r="BA102" t="str">
            <v>1c</v>
          </cell>
          <cell r="BB102" t="str">
            <v>giấy cartoon K500</v>
          </cell>
          <cell r="BC102">
            <v>0</v>
          </cell>
          <cell r="BD102">
            <v>0</v>
          </cell>
        </row>
        <row r="103">
          <cell r="A103" t="str">
            <v>sp 363</v>
          </cell>
          <cell r="B103" t="str">
            <v>Cuộn bánh bao chay chiên 180gr phú mỹ</v>
          </cell>
          <cell r="C103">
            <v>6.629999999999999</v>
          </cell>
          <cell r="D103">
            <v>2</v>
          </cell>
          <cell r="E103" t="str">
            <v>OPP 20x730</v>
          </cell>
          <cell r="F103">
            <v>6</v>
          </cell>
          <cell r="G103" t="str">
            <v>OPP</v>
          </cell>
          <cell r="H103">
            <v>0.19</v>
          </cell>
          <cell r="I103">
            <v>3.58</v>
          </cell>
          <cell r="J103">
            <v>0.01</v>
          </cell>
          <cell r="K103">
            <v>0.01</v>
          </cell>
          <cell r="L103">
            <v>2.16</v>
          </cell>
          <cell r="M103">
            <v>0.56999999999999995</v>
          </cell>
          <cell r="N103">
            <v>0</v>
          </cell>
          <cell r="O103">
            <v>0</v>
          </cell>
          <cell r="P103">
            <v>0.1</v>
          </cell>
          <cell r="Q103">
            <v>0.01</v>
          </cell>
          <cell r="R103">
            <v>0</v>
          </cell>
          <cell r="S103">
            <v>0</v>
          </cell>
          <cell r="T103" t="str">
            <v xml:space="preserve"> </v>
          </cell>
          <cell r="U103">
            <v>0</v>
          </cell>
          <cell r="V103">
            <v>0</v>
          </cell>
          <cell r="W103">
            <v>0</v>
          </cell>
          <cell r="X103">
            <v>0</v>
          </cell>
          <cell r="Y103">
            <v>0</v>
          </cell>
          <cell r="Z103">
            <v>0</v>
          </cell>
          <cell r="AA103">
            <v>0</v>
          </cell>
          <cell r="AB103">
            <v>0</v>
          </cell>
          <cell r="AC103">
            <v>0</v>
          </cell>
          <cell r="AD103">
            <v>0</v>
          </cell>
          <cell r="AE103" t="str">
            <v>PE 55x730</v>
          </cell>
          <cell r="AF103">
            <v>0</v>
          </cell>
          <cell r="AG103">
            <v>5.0424749999999997E-2</v>
          </cell>
          <cell r="AH103">
            <v>0.96</v>
          </cell>
          <cell r="AI103">
            <v>0</v>
          </cell>
          <cell r="AJ103">
            <v>9530</v>
          </cell>
          <cell r="AK103">
            <v>0</v>
          </cell>
          <cell r="AL103">
            <v>2E-3</v>
          </cell>
          <cell r="AM103" t="str">
            <v>dạng cuộn 500m</v>
          </cell>
          <cell r="AN103">
            <v>355</v>
          </cell>
          <cell r="AO103" t="str">
            <v>Công ty Phú Mỹ</v>
          </cell>
          <cell r="AP103" t="str">
            <v>18071153-1</v>
          </cell>
          <cell r="AQ103" t="str">
            <v>18071153-2</v>
          </cell>
          <cell r="AR103" t="str">
            <v>20081392-3</v>
          </cell>
          <cell r="AS103" t="str">
            <v>20121252-4</v>
          </cell>
          <cell r="AT103" t="str">
            <v>20121252-5</v>
          </cell>
          <cell r="AU103" t="str">
            <v>18071153-6</v>
          </cell>
          <cell r="AV103">
            <v>0</v>
          </cell>
          <cell r="AW103">
            <v>0</v>
          </cell>
          <cell r="AX103">
            <v>0</v>
          </cell>
          <cell r="AY103" t="str">
            <v>536x1000</v>
          </cell>
          <cell r="AZ103" t="str">
            <v>V1</v>
          </cell>
          <cell r="BA103" t="str">
            <v>1c</v>
          </cell>
          <cell r="BB103" t="str">
            <v>giấy cartoon K500</v>
          </cell>
          <cell r="BC103">
            <v>0</v>
          </cell>
          <cell r="BD103">
            <v>0</v>
          </cell>
        </row>
        <row r="104">
          <cell r="A104" t="str">
            <v>sp 366</v>
          </cell>
          <cell r="B104" t="str">
            <v>Cuộn thuốc trừ sâu Danobull 50WG - 13gr viet duc</v>
          </cell>
          <cell r="C104">
            <v>4.7</v>
          </cell>
          <cell r="D104">
            <v>3</v>
          </cell>
          <cell r="E104" t="str">
            <v>PET 12x638</v>
          </cell>
          <cell r="F104">
            <v>6</v>
          </cell>
          <cell r="G104" t="str">
            <v>PET</v>
          </cell>
          <cell r="H104">
            <v>0.3</v>
          </cell>
          <cell r="I104">
            <v>2</v>
          </cell>
          <cell r="J104">
            <v>0.1</v>
          </cell>
          <cell r="K104">
            <v>0.2</v>
          </cell>
          <cell r="L104">
            <v>0.1</v>
          </cell>
          <cell r="M104">
            <v>0.5</v>
          </cell>
          <cell r="N104">
            <v>0</v>
          </cell>
          <cell r="O104">
            <v>1.5</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t="str">
            <v>MPET 12x638</v>
          </cell>
          <cell r="AF104" t="str">
            <v>PE 70x638</v>
          </cell>
          <cell r="AG104">
            <v>6.274730000000002E-2</v>
          </cell>
          <cell r="AH104">
            <v>0.96293333333333331</v>
          </cell>
          <cell r="AI104">
            <v>0.96293333333333331</v>
          </cell>
          <cell r="AJ104">
            <v>9530</v>
          </cell>
          <cell r="AK104">
            <v>9530</v>
          </cell>
          <cell r="AL104" t="str">
            <v>0,0046(0,0023;0,0023)</v>
          </cell>
          <cell r="AM104" t="str">
            <v>dạng cuộn 500m</v>
          </cell>
          <cell r="AN104">
            <v>206</v>
          </cell>
          <cell r="AO104" t="str">
            <v>Công ty Việt Đức</v>
          </cell>
          <cell r="AP104" t="str">
            <v>F415073-1</v>
          </cell>
          <cell r="AQ104" t="str">
            <v>F415073-2</v>
          </cell>
          <cell r="AR104" t="str">
            <v>F415073-3</v>
          </cell>
          <cell r="AS104" t="str">
            <v>F415073-4</v>
          </cell>
          <cell r="AT104" t="str">
            <v>F415073-5</v>
          </cell>
          <cell r="AU104" t="str">
            <v>F415073-6</v>
          </cell>
          <cell r="AV104">
            <v>0</v>
          </cell>
          <cell r="AW104">
            <v>0</v>
          </cell>
          <cell r="AX104">
            <v>0</v>
          </cell>
          <cell r="AY104" t="str">
            <v>750x417</v>
          </cell>
          <cell r="AZ104" t="str">
            <v>N2</v>
          </cell>
          <cell r="BA104" t="str">
            <v>3c</v>
          </cell>
          <cell r="BB104" t="str">
            <v>giấy cartoon K600</v>
          </cell>
          <cell r="BC104">
            <v>0</v>
          </cell>
          <cell r="BD104">
            <v>0</v>
          </cell>
        </row>
        <row r="105">
          <cell r="A105" t="str">
            <v>sp 367</v>
          </cell>
          <cell r="B105" t="str">
            <v>Cuộn thuốc diệt chuột rat - kill 2% DP 10gr agricare</v>
          </cell>
          <cell r="C105">
            <v>5.5349999999999993</v>
          </cell>
          <cell r="D105">
            <v>5</v>
          </cell>
          <cell r="E105" t="str">
            <v>PET 12x770</v>
          </cell>
          <cell r="F105">
            <v>7</v>
          </cell>
          <cell r="G105" t="str">
            <v>PET</v>
          </cell>
          <cell r="H105">
            <v>0.15</v>
          </cell>
          <cell r="I105">
            <v>2.85</v>
          </cell>
          <cell r="J105">
            <v>0.01</v>
          </cell>
          <cell r="K105">
            <v>0.01</v>
          </cell>
          <cell r="L105">
            <v>0.8</v>
          </cell>
          <cell r="M105">
            <v>1.2350000000000001</v>
          </cell>
          <cell r="N105">
            <v>0</v>
          </cell>
          <cell r="O105">
            <v>0</v>
          </cell>
          <cell r="P105">
            <v>0.27</v>
          </cell>
          <cell r="Q105">
            <v>0</v>
          </cell>
          <cell r="R105">
            <v>0.21</v>
          </cell>
          <cell r="S105">
            <v>0</v>
          </cell>
          <cell r="T105">
            <v>0</v>
          </cell>
          <cell r="U105">
            <v>0</v>
          </cell>
          <cell r="V105">
            <v>0</v>
          </cell>
          <cell r="W105">
            <v>0</v>
          </cell>
          <cell r="X105">
            <v>0</v>
          </cell>
          <cell r="Y105">
            <v>0</v>
          </cell>
          <cell r="Z105">
            <v>0</v>
          </cell>
          <cell r="AA105">
            <v>0</v>
          </cell>
          <cell r="AB105">
            <v>0</v>
          </cell>
          <cell r="AC105">
            <v>0</v>
          </cell>
          <cell r="AD105">
            <v>0</v>
          </cell>
          <cell r="AE105" t="str">
            <v>MPET 12x770</v>
          </cell>
          <cell r="AF105" t="str">
            <v>PE 75x770</v>
          </cell>
          <cell r="AG105">
            <v>7.9290750000000007E-2</v>
          </cell>
          <cell r="AH105">
            <v>1.1653333333333333</v>
          </cell>
          <cell r="AI105">
            <v>1.1653333333333333</v>
          </cell>
          <cell r="AJ105">
            <v>9530</v>
          </cell>
          <cell r="AK105">
            <v>9530</v>
          </cell>
          <cell r="AL105" t="str">
            <v>0,0046(0,0023;0,0023)</v>
          </cell>
          <cell r="AM105" t="str">
            <v>dạng cuộn 500m</v>
          </cell>
          <cell r="AN105">
            <v>150</v>
          </cell>
          <cell r="AO105" t="str">
            <v>Công ty TNHH AgricareViệt Nam</v>
          </cell>
          <cell r="AP105" t="str">
            <v>1507601-1</v>
          </cell>
          <cell r="AQ105" t="str">
            <v>1507601-2</v>
          </cell>
          <cell r="AR105" t="str">
            <v>1507601-3</v>
          </cell>
          <cell r="AS105" t="str">
            <v>1507601-4</v>
          </cell>
          <cell r="AT105" t="str">
            <v>1507601-5</v>
          </cell>
          <cell r="AU105" t="str">
            <v>1507601-6</v>
          </cell>
          <cell r="AV105" t="str">
            <v>1507601-7</v>
          </cell>
          <cell r="AW105">
            <v>0</v>
          </cell>
          <cell r="AX105">
            <v>0</v>
          </cell>
          <cell r="AY105" t="str">
            <v>480x850</v>
          </cell>
          <cell r="AZ105" t="str">
            <v>N2</v>
          </cell>
          <cell r="BA105" t="str">
            <v>3c</v>
          </cell>
          <cell r="BB105" t="str">
            <v>giấy cartoon K600</v>
          </cell>
          <cell r="BC105">
            <v>0</v>
          </cell>
          <cell r="BD105">
            <v>0</v>
          </cell>
        </row>
        <row r="106">
          <cell r="A106" t="str">
            <v>sp 372</v>
          </cell>
          <cell r="B106" t="str">
            <v>Túi thuốc trừ cỏ mía amet super 80WP -50gr hòa bình</v>
          </cell>
          <cell r="C106">
            <v>0</v>
          </cell>
          <cell r="D106">
            <v>10</v>
          </cell>
          <cell r="E106" t="str">
            <v>PET 12x740</v>
          </cell>
          <cell r="F106">
            <v>7</v>
          </cell>
          <cell r="G106" t="str">
            <v>PET</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t="str">
            <v>MPET 12x740</v>
          </cell>
          <cell r="AF106" t="str">
            <v>PE 75x740</v>
          </cell>
          <cell r="AG106">
            <v>7.6201500000000005E-2</v>
          </cell>
          <cell r="AH106">
            <v>1.1193333333333333</v>
          </cell>
          <cell r="AI106">
            <v>1.1193333333333333</v>
          </cell>
          <cell r="AJ106">
            <v>9530</v>
          </cell>
          <cell r="AK106">
            <v>9530</v>
          </cell>
          <cell r="AL106" t="str">
            <v>0,0046(0,0023;0,0023)</v>
          </cell>
          <cell r="AM106" t="str">
            <v>túi ba biên</v>
          </cell>
          <cell r="AN106">
            <v>135</v>
          </cell>
          <cell r="AO106" t="str">
            <v>Công ty CP Quốc Tế Hòa Bình</v>
          </cell>
          <cell r="AP106" t="str">
            <v>1507713-1</v>
          </cell>
          <cell r="AQ106" t="str">
            <v>1507713-2</v>
          </cell>
          <cell r="AR106" t="str">
            <v>1507713-3</v>
          </cell>
          <cell r="AS106" t="str">
            <v>1507713-4</v>
          </cell>
          <cell r="AT106" t="str">
            <v>1507713-5</v>
          </cell>
          <cell r="AU106" t="str">
            <v>1507713-6</v>
          </cell>
          <cell r="AV106" t="str">
            <v>1507713-7</v>
          </cell>
          <cell r="AW106">
            <v>0</v>
          </cell>
          <cell r="AX106">
            <v>0</v>
          </cell>
          <cell r="AY106" t="str">
            <v>540x850</v>
          </cell>
          <cell r="AZ106" t="str">
            <v>T1</v>
          </cell>
          <cell r="BA106">
            <v>7000</v>
          </cell>
          <cell r="BB106" t="str">
            <v>Thùng 5 lớp 42x34x36</v>
          </cell>
          <cell r="BC106">
            <v>0</v>
          </cell>
          <cell r="BD106">
            <v>0</v>
          </cell>
        </row>
        <row r="107">
          <cell r="A107" t="str">
            <v>sp 383</v>
          </cell>
          <cell r="B107" t="str">
            <v>Túi thuốc trừ sâu Goldan 750WP loại 20gr USA</v>
          </cell>
          <cell r="C107">
            <v>0</v>
          </cell>
          <cell r="D107">
            <v>3</v>
          </cell>
          <cell r="E107" t="str">
            <v>PET 12 x 680</v>
          </cell>
          <cell r="F107">
            <v>7</v>
          </cell>
          <cell r="G107" t="str">
            <v>PET</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t="str">
            <v>MPET 12x680</v>
          </cell>
          <cell r="AF107" t="str">
            <v>PE 75x680</v>
          </cell>
          <cell r="AG107">
            <v>7.0023000000000016E-2</v>
          </cell>
          <cell r="AH107">
            <v>1.0273333333333332</v>
          </cell>
          <cell r="AI107">
            <v>1.0273333333333332</v>
          </cell>
          <cell r="AJ107">
            <v>9530</v>
          </cell>
          <cell r="AK107">
            <v>9530</v>
          </cell>
          <cell r="AL107" t="str">
            <v>0,0046(0,0023;0,0023)</v>
          </cell>
          <cell r="AM107" t="str">
            <v>túi ba biên</v>
          </cell>
          <cell r="AN107">
            <v>145</v>
          </cell>
          <cell r="AO107" t="str">
            <v>Công ty công nghệ cao USA</v>
          </cell>
          <cell r="AP107" t="str">
            <v>1503625-1</v>
          </cell>
          <cell r="AQ107" t="str">
            <v>1503625-2</v>
          </cell>
          <cell r="AR107" t="str">
            <v>1503625-3</v>
          </cell>
          <cell r="AS107" t="str">
            <v>1503625-4</v>
          </cell>
          <cell r="AT107" t="str">
            <v>1503625-5</v>
          </cell>
          <cell r="AU107" t="str">
            <v>1503625-6</v>
          </cell>
          <cell r="AV107" t="str">
            <v>1503625-7</v>
          </cell>
          <cell r="AW107">
            <v>0</v>
          </cell>
          <cell r="AX107">
            <v>0</v>
          </cell>
          <cell r="AY107" t="str">
            <v>435x750</v>
          </cell>
          <cell r="AZ107" t="str">
            <v>N2</v>
          </cell>
          <cell r="BA107">
            <v>9000</v>
          </cell>
          <cell r="BB107" t="str">
            <v>Thùng 5 lớp 42x34x36</v>
          </cell>
          <cell r="BC107">
            <v>0</v>
          </cell>
          <cell r="BD107">
            <v>0</v>
          </cell>
        </row>
        <row r="108">
          <cell r="A108" t="str">
            <v>sp 384</v>
          </cell>
          <cell r="B108" t="str">
            <v>Túi bánh trứng lipo M100gr alpha</v>
          </cell>
          <cell r="C108">
            <v>10.6</v>
          </cell>
          <cell r="D108">
            <v>2</v>
          </cell>
          <cell r="E108" t="str">
            <v>OPP 20x680</v>
          </cell>
          <cell r="F108">
            <v>7</v>
          </cell>
          <cell r="G108" t="str">
            <v>OPP</v>
          </cell>
          <cell r="H108">
            <v>0.2</v>
          </cell>
          <cell r="I108">
            <v>2.5</v>
          </cell>
          <cell r="J108">
            <v>0.1</v>
          </cell>
          <cell r="K108">
            <v>0.9</v>
          </cell>
          <cell r="L108">
            <v>3.2</v>
          </cell>
          <cell r="M108">
            <v>3.4</v>
          </cell>
          <cell r="N108">
            <v>0</v>
          </cell>
          <cell r="O108">
            <v>0</v>
          </cell>
          <cell r="P108">
            <v>0.2</v>
          </cell>
          <cell r="Q108">
            <v>0</v>
          </cell>
          <cell r="R108">
            <v>0.1</v>
          </cell>
          <cell r="S108">
            <v>0</v>
          </cell>
          <cell r="T108">
            <v>0</v>
          </cell>
          <cell r="U108">
            <v>0</v>
          </cell>
          <cell r="V108">
            <v>0</v>
          </cell>
          <cell r="W108">
            <v>0</v>
          </cell>
          <cell r="X108">
            <v>0</v>
          </cell>
          <cell r="Y108">
            <v>0</v>
          </cell>
          <cell r="Z108">
            <v>0</v>
          </cell>
          <cell r="AA108">
            <v>0</v>
          </cell>
          <cell r="AB108">
            <v>0</v>
          </cell>
          <cell r="AC108">
            <v>0</v>
          </cell>
          <cell r="AD108">
            <v>0</v>
          </cell>
          <cell r="AE108" t="str">
            <v>MPET 12x680</v>
          </cell>
          <cell r="AF108" t="str">
            <v>CPP 30x680</v>
          </cell>
          <cell r="AG108">
            <v>4.2364000000000006E-2</v>
          </cell>
          <cell r="AH108">
            <v>1.0273333333333332</v>
          </cell>
          <cell r="AI108">
            <v>1.5410000000000001</v>
          </cell>
          <cell r="AJ108">
            <v>9530</v>
          </cell>
          <cell r="AK108">
            <v>9690</v>
          </cell>
          <cell r="AL108" t="str">
            <v>0,0023; 9690 (0,0023)</v>
          </cell>
          <cell r="AM108" t="str">
            <v>túi hàn lưng xếp hông</v>
          </cell>
          <cell r="AN108">
            <v>260</v>
          </cell>
          <cell r="AO108" t="str">
            <v>Công ty Quốc tế Alpha</v>
          </cell>
          <cell r="AP108" t="e">
            <v>#N/A</v>
          </cell>
          <cell r="AQ108" t="e">
            <v>#N/A</v>
          </cell>
          <cell r="AR108" t="e">
            <v>#N/A</v>
          </cell>
          <cell r="AS108" t="e">
            <v>#N/A</v>
          </cell>
          <cell r="AT108" t="e">
            <v>#N/A</v>
          </cell>
          <cell r="AU108" t="e">
            <v>#N/A</v>
          </cell>
          <cell r="AV108" t="e">
            <v>#N/A</v>
          </cell>
          <cell r="AW108" t="e">
            <v>#N/A</v>
          </cell>
          <cell r="AX108" t="e">
            <v>#N/A</v>
          </cell>
          <cell r="AY108" t="e">
            <v>#N/A</v>
          </cell>
          <cell r="AZ108" t="e">
            <v>#N/A</v>
          </cell>
          <cell r="BA108">
            <v>4000</v>
          </cell>
          <cell r="BB108" t="str">
            <v>Thùng 5 lớp 42x34x36</v>
          </cell>
          <cell r="BC108">
            <v>0</v>
          </cell>
          <cell r="BD108" t="e">
            <v>#N/A</v>
          </cell>
        </row>
        <row r="109">
          <cell r="A109" t="str">
            <v>sp 389</v>
          </cell>
          <cell r="B109" t="str">
            <v>Túi thạch đông 50gr hải long</v>
          </cell>
          <cell r="C109">
            <v>1.4400000000000002</v>
          </cell>
          <cell r="D109">
            <v>2</v>
          </cell>
          <cell r="E109" t="str">
            <v>BOPP 30x580</v>
          </cell>
          <cell r="F109">
            <v>1</v>
          </cell>
          <cell r="G109" t="str">
            <v>BOP</v>
          </cell>
          <cell r="H109">
            <v>0.22</v>
          </cell>
          <cell r="I109">
            <v>0</v>
          </cell>
          <cell r="J109">
            <v>0.32</v>
          </cell>
          <cell r="K109">
            <v>0</v>
          </cell>
          <cell r="L109">
            <v>0.89</v>
          </cell>
          <cell r="M109">
            <v>0</v>
          </cell>
          <cell r="N109">
            <v>0</v>
          </cell>
          <cell r="O109">
            <v>0.01</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t="str">
            <v>CPP 25x580</v>
          </cell>
          <cell r="AF109">
            <v>0</v>
          </cell>
          <cell r="AG109">
            <v>2.9028999999999999E-2</v>
          </cell>
          <cell r="AH109">
            <v>0.7599999999999999</v>
          </cell>
          <cell r="AI109">
            <v>0</v>
          </cell>
          <cell r="AJ109">
            <v>9530</v>
          </cell>
          <cell r="AK109">
            <v>0</v>
          </cell>
          <cell r="AL109">
            <v>2E-3</v>
          </cell>
          <cell r="AM109" t="str">
            <v>túi ba biên</v>
          </cell>
          <cell r="AN109">
            <v>100</v>
          </cell>
          <cell r="AO109" t="str">
            <v>Công ty Hải Long</v>
          </cell>
          <cell r="AP109" t="str">
            <v>F111915G2-1</v>
          </cell>
          <cell r="AQ109">
            <v>0</v>
          </cell>
          <cell r="AR109">
            <v>0</v>
          </cell>
          <cell r="AS109">
            <v>0</v>
          </cell>
          <cell r="AT109">
            <v>0</v>
          </cell>
          <cell r="AU109">
            <v>0</v>
          </cell>
          <cell r="AV109">
            <v>0</v>
          </cell>
          <cell r="AW109">
            <v>0</v>
          </cell>
          <cell r="AX109">
            <v>0</v>
          </cell>
          <cell r="AY109" t="str">
            <v>400x750</v>
          </cell>
          <cell r="AZ109" t="str">
            <v>N2</v>
          </cell>
          <cell r="BA109">
            <v>18000</v>
          </cell>
          <cell r="BB109" t="str">
            <v>Thùng 5 lớp 42x34x36</v>
          </cell>
          <cell r="BC109">
            <v>0</v>
          </cell>
          <cell r="BD109">
            <v>0</v>
          </cell>
        </row>
        <row r="110">
          <cell r="A110" t="str">
            <v>sp 390</v>
          </cell>
          <cell r="B110" t="str">
            <v>Túi chè đặc sản 100gr loại 4</v>
          </cell>
          <cell r="C110">
            <v>4.9800000000000004</v>
          </cell>
          <cell r="D110">
            <v>3</v>
          </cell>
          <cell r="E110" t="str">
            <v>PET 12x740</v>
          </cell>
          <cell r="F110">
            <v>6</v>
          </cell>
          <cell r="G110" t="str">
            <v>PET</v>
          </cell>
          <cell r="H110">
            <v>0.1</v>
          </cell>
          <cell r="I110">
            <v>1.5</v>
          </cell>
          <cell r="J110">
            <v>0.4</v>
          </cell>
          <cell r="K110">
            <v>0.28000000000000003</v>
          </cell>
          <cell r="L110">
            <v>2.7</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t="str">
            <v>MPET 12x740</v>
          </cell>
          <cell r="AF110" t="str">
            <v>PE 75x740</v>
          </cell>
          <cell r="AG110">
            <v>7.6201500000000005E-2</v>
          </cell>
          <cell r="AH110">
            <v>1.1193333333333333</v>
          </cell>
          <cell r="AI110">
            <v>1.46</v>
          </cell>
          <cell r="AJ110">
            <v>9530</v>
          </cell>
          <cell r="AK110">
            <v>9530</v>
          </cell>
          <cell r="AL110" t="str">
            <v>0,0053(0,0023;0,003)</v>
          </cell>
          <cell r="AM110" t="str">
            <v>túi hàn lưng xếp hông</v>
          </cell>
          <cell r="AN110">
            <v>270</v>
          </cell>
          <cell r="AO110" t="str">
            <v>Khách hàng lẻ</v>
          </cell>
          <cell r="AP110" t="e">
            <v>#N/A</v>
          </cell>
          <cell r="AQ110" t="e">
            <v>#N/A</v>
          </cell>
          <cell r="AR110" t="e">
            <v>#N/A</v>
          </cell>
          <cell r="AS110" t="e">
            <v>#N/A</v>
          </cell>
          <cell r="AT110" t="e">
            <v>#N/A</v>
          </cell>
          <cell r="AU110" t="e">
            <v>#N/A</v>
          </cell>
          <cell r="AV110" t="e">
            <v>#N/A</v>
          </cell>
          <cell r="AW110" t="e">
            <v>#N/A</v>
          </cell>
          <cell r="AX110" t="e">
            <v>#N/A</v>
          </cell>
          <cell r="AY110" t="e">
            <v>#N/A</v>
          </cell>
          <cell r="AZ110" t="e">
            <v>#N/A</v>
          </cell>
          <cell r="BA110">
            <v>3500</v>
          </cell>
          <cell r="BB110" t="str">
            <v>Thùng 5 lớp 42x34x33</v>
          </cell>
          <cell r="BC110">
            <v>0</v>
          </cell>
          <cell r="BD110" t="e">
            <v>#N/A</v>
          </cell>
        </row>
        <row r="111">
          <cell r="A111" t="str">
            <v>sp 390a</v>
          </cell>
          <cell r="B111" t="str">
            <v>Túi chè tân cương 100gr loại 4</v>
          </cell>
          <cell r="C111">
            <v>5.4</v>
          </cell>
          <cell r="D111">
            <v>3</v>
          </cell>
          <cell r="E111" t="str">
            <v>PET 12x740</v>
          </cell>
          <cell r="F111">
            <v>6</v>
          </cell>
          <cell r="G111" t="str">
            <v>PET</v>
          </cell>
          <cell r="H111">
            <v>0.1</v>
          </cell>
          <cell r="I111">
            <v>1.5</v>
          </cell>
          <cell r="J111">
            <v>0.4</v>
          </cell>
          <cell r="K111">
            <v>0.2</v>
          </cell>
          <cell r="L111">
            <v>3.2</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t="str">
            <v>MPET 12x740</v>
          </cell>
          <cell r="AF111" t="str">
            <v>PE 75x740</v>
          </cell>
          <cell r="AG111">
            <v>7.6201500000000005E-2</v>
          </cell>
          <cell r="AH111">
            <v>1.1193333333333333</v>
          </cell>
          <cell r="AI111">
            <v>1.46</v>
          </cell>
          <cell r="AJ111">
            <v>9530</v>
          </cell>
          <cell r="AK111">
            <v>9530</v>
          </cell>
          <cell r="AL111" t="str">
            <v>0,0053(0,0023;0,003)</v>
          </cell>
          <cell r="AM111" t="str">
            <v>túi hàn lưng xếp hông</v>
          </cell>
          <cell r="AN111">
            <v>270</v>
          </cell>
          <cell r="AO111" t="str">
            <v>Khách hàng lẻ</v>
          </cell>
          <cell r="AP111" t="e">
            <v>#N/A</v>
          </cell>
          <cell r="AQ111" t="e">
            <v>#N/A</v>
          </cell>
          <cell r="AR111" t="e">
            <v>#N/A</v>
          </cell>
          <cell r="AS111" t="e">
            <v>#N/A</v>
          </cell>
          <cell r="AT111" t="e">
            <v>#N/A</v>
          </cell>
          <cell r="AU111" t="e">
            <v>#N/A</v>
          </cell>
          <cell r="AV111" t="e">
            <v>#N/A</v>
          </cell>
          <cell r="AW111" t="e">
            <v>#N/A</v>
          </cell>
          <cell r="AX111" t="e">
            <v>#N/A</v>
          </cell>
          <cell r="AY111" t="e">
            <v>#N/A</v>
          </cell>
          <cell r="AZ111" t="e">
            <v>#N/A</v>
          </cell>
          <cell r="BA111">
            <v>3500</v>
          </cell>
          <cell r="BB111" t="str">
            <v>Thùng 5 lớp 42x34x33</v>
          </cell>
          <cell r="BC111">
            <v>0</v>
          </cell>
          <cell r="BD111" t="e">
            <v>#N/A</v>
          </cell>
        </row>
        <row r="112">
          <cell r="A112" t="str">
            <v>sp 391</v>
          </cell>
          <cell r="B112" t="str">
            <v>Túi chè đăc sản 200gr loại 4</v>
          </cell>
          <cell r="C112">
            <v>6</v>
          </cell>
          <cell r="D112">
            <v>2</v>
          </cell>
          <cell r="E112" t="str">
            <v>PET 12x620</v>
          </cell>
          <cell r="F112">
            <v>6</v>
          </cell>
          <cell r="G112" t="str">
            <v>PET</v>
          </cell>
          <cell r="H112">
            <v>0.1</v>
          </cell>
          <cell r="I112">
            <v>3</v>
          </cell>
          <cell r="J112">
            <v>0.1</v>
          </cell>
          <cell r="K112">
            <v>0.1</v>
          </cell>
          <cell r="L112">
            <v>2.7</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t="str">
            <v>MPET 12x620</v>
          </cell>
          <cell r="AF112" t="str">
            <v>PE 75x620</v>
          </cell>
          <cell r="AG112">
            <v>6.3844500000000012E-2</v>
          </cell>
          <cell r="AH112">
            <v>0.93533333333333324</v>
          </cell>
          <cell r="AI112">
            <v>1.22</v>
          </cell>
          <cell r="AJ112">
            <v>9530</v>
          </cell>
          <cell r="AK112">
            <v>9530</v>
          </cell>
          <cell r="AL112" t="str">
            <v>0,0053(0,0023;0,003)</v>
          </cell>
          <cell r="AM112" t="str">
            <v>túi hàn lưng xếp hông</v>
          </cell>
          <cell r="AN112">
            <v>340</v>
          </cell>
          <cell r="AO112" t="str">
            <v>Khách hàng lẻ</v>
          </cell>
          <cell r="AP112" t="e">
            <v>#N/A</v>
          </cell>
          <cell r="AQ112" t="e">
            <v>#N/A</v>
          </cell>
          <cell r="AR112" t="e">
            <v>#N/A</v>
          </cell>
          <cell r="AS112" t="e">
            <v>#N/A</v>
          </cell>
          <cell r="AT112" t="e">
            <v>#N/A</v>
          </cell>
          <cell r="AU112" t="e">
            <v>#N/A</v>
          </cell>
          <cell r="AV112" t="e">
            <v>#N/A</v>
          </cell>
          <cell r="AW112" t="e">
            <v>#N/A</v>
          </cell>
          <cell r="AX112" t="e">
            <v>#N/A</v>
          </cell>
          <cell r="AY112" t="e">
            <v>#N/A</v>
          </cell>
          <cell r="AZ112" t="e">
            <v>#N/A</v>
          </cell>
          <cell r="BA112">
            <v>2500</v>
          </cell>
          <cell r="BB112" t="str">
            <v>Thùng 5 lớp 42x34x33</v>
          </cell>
          <cell r="BC112">
            <v>0</v>
          </cell>
          <cell r="BD112" t="e">
            <v>#N/A</v>
          </cell>
        </row>
        <row r="113">
          <cell r="A113" t="str">
            <v>sp 391a</v>
          </cell>
          <cell r="B113" t="str">
            <v>Túi chè tân cương 200gr loại 4</v>
          </cell>
          <cell r="C113">
            <v>6</v>
          </cell>
          <cell r="D113">
            <v>2</v>
          </cell>
          <cell r="E113" t="str">
            <v>PET 12x620</v>
          </cell>
          <cell r="F113">
            <v>6</v>
          </cell>
          <cell r="G113" t="str">
            <v>PET</v>
          </cell>
          <cell r="H113">
            <v>0.1</v>
          </cell>
          <cell r="I113">
            <v>3</v>
          </cell>
          <cell r="J113">
            <v>0.1</v>
          </cell>
          <cell r="K113">
            <v>0.1</v>
          </cell>
          <cell r="L113">
            <v>2.7</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t="str">
            <v>MPET 12x620</v>
          </cell>
          <cell r="AF113" t="str">
            <v>PE 75x620</v>
          </cell>
          <cell r="AG113">
            <v>6.3844500000000012E-2</v>
          </cell>
          <cell r="AH113">
            <v>0.93533333333333324</v>
          </cell>
          <cell r="AI113">
            <v>1.22</v>
          </cell>
          <cell r="AJ113">
            <v>9530</v>
          </cell>
          <cell r="AK113">
            <v>9530</v>
          </cell>
          <cell r="AL113" t="str">
            <v>0,0053(0,0023;0,003)</v>
          </cell>
          <cell r="AM113" t="str">
            <v>túi hàn lưng xếp hông</v>
          </cell>
          <cell r="AN113">
            <v>340</v>
          </cell>
          <cell r="AO113" t="str">
            <v>Khách hàng lẻ</v>
          </cell>
          <cell r="AP113" t="e">
            <v>#N/A</v>
          </cell>
          <cell r="AQ113" t="e">
            <v>#N/A</v>
          </cell>
          <cell r="AR113" t="e">
            <v>#N/A</v>
          </cell>
          <cell r="AS113" t="e">
            <v>#N/A</v>
          </cell>
          <cell r="AT113" t="e">
            <v>#N/A</v>
          </cell>
          <cell r="AU113" t="e">
            <v>#N/A</v>
          </cell>
          <cell r="AV113" t="e">
            <v>#N/A</v>
          </cell>
          <cell r="AW113" t="e">
            <v>#N/A</v>
          </cell>
          <cell r="AX113" t="e">
            <v>#N/A</v>
          </cell>
          <cell r="AY113" t="e">
            <v>#N/A</v>
          </cell>
          <cell r="AZ113" t="e">
            <v>#N/A</v>
          </cell>
          <cell r="BA113">
            <v>2500</v>
          </cell>
          <cell r="BB113" t="str">
            <v>Thùng 5 lớp 42x34x33</v>
          </cell>
          <cell r="BC113">
            <v>0</v>
          </cell>
          <cell r="BD113" t="e">
            <v>#N/A</v>
          </cell>
        </row>
        <row r="114">
          <cell r="A114" t="str">
            <v>sp 392</v>
          </cell>
          <cell r="B114" t="str">
            <v>Túi chè đăc sản 500gr loại 4</v>
          </cell>
          <cell r="C114">
            <v>5.3999999999999995</v>
          </cell>
          <cell r="D114">
            <v>2</v>
          </cell>
          <cell r="E114" t="str">
            <v>PET 12x760</v>
          </cell>
          <cell r="F114">
            <v>6</v>
          </cell>
          <cell r="G114" t="str">
            <v>PET</v>
          </cell>
          <cell r="H114">
            <v>0.2</v>
          </cell>
          <cell r="I114">
            <v>1.2</v>
          </cell>
          <cell r="J114">
            <v>0.6</v>
          </cell>
          <cell r="K114">
            <v>0.1</v>
          </cell>
          <cell r="L114">
            <v>3</v>
          </cell>
          <cell r="M114">
            <v>0.3</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t="str">
            <v>MPET 12x760</v>
          </cell>
          <cell r="AF114" t="str">
            <v>PE 80x760</v>
          </cell>
          <cell r="AG114">
            <v>8.1776000000000001E-2</v>
          </cell>
          <cell r="AH114">
            <v>1.1499999999999999</v>
          </cell>
          <cell r="AI114">
            <v>1.5</v>
          </cell>
          <cell r="AJ114">
            <v>9530</v>
          </cell>
          <cell r="AK114">
            <v>9530</v>
          </cell>
          <cell r="AL114" t="str">
            <v>0,0053(0,0023;0,003)</v>
          </cell>
          <cell r="AM114" t="str">
            <v>túi hàn lưng xếp hông</v>
          </cell>
          <cell r="AN114">
            <v>420</v>
          </cell>
          <cell r="AO114" t="str">
            <v>Khách hàng lẻ</v>
          </cell>
          <cell r="AP114" t="e">
            <v>#N/A</v>
          </cell>
          <cell r="AQ114" t="e">
            <v>#N/A</v>
          </cell>
          <cell r="AR114" t="e">
            <v>#N/A</v>
          </cell>
          <cell r="AS114" t="e">
            <v>#N/A</v>
          </cell>
          <cell r="AT114" t="e">
            <v>#N/A</v>
          </cell>
          <cell r="AU114" t="e">
            <v>#N/A</v>
          </cell>
          <cell r="AV114" t="e">
            <v>#N/A</v>
          </cell>
          <cell r="AW114" t="e">
            <v>#N/A</v>
          </cell>
          <cell r="AX114" t="e">
            <v>#N/A</v>
          </cell>
          <cell r="AY114" t="e">
            <v>#N/A</v>
          </cell>
          <cell r="AZ114" t="e">
            <v>#N/A</v>
          </cell>
          <cell r="BA114">
            <v>1500</v>
          </cell>
          <cell r="BB114" t="str">
            <v>Thùng 5 lớp 42x34x33</v>
          </cell>
          <cell r="BC114">
            <v>0</v>
          </cell>
          <cell r="BD114" t="e">
            <v>#N/A</v>
          </cell>
        </row>
        <row r="115">
          <cell r="A115" t="str">
            <v>sp 392a</v>
          </cell>
          <cell r="B115" t="str">
            <v>Túi chè tân cương 500gr loại 4</v>
          </cell>
          <cell r="C115">
            <v>4.9000000000000004</v>
          </cell>
          <cell r="D115">
            <v>2</v>
          </cell>
          <cell r="E115" t="str">
            <v>PET 12x760</v>
          </cell>
          <cell r="F115">
            <v>6</v>
          </cell>
          <cell r="G115" t="str">
            <v>PET</v>
          </cell>
          <cell r="H115">
            <v>0.2</v>
          </cell>
          <cell r="I115">
            <v>1.2</v>
          </cell>
          <cell r="J115">
            <v>0.6</v>
          </cell>
          <cell r="K115">
            <v>0.1</v>
          </cell>
          <cell r="L115">
            <v>2.8</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t="str">
            <v>MPET 12x760</v>
          </cell>
          <cell r="AF115" t="str">
            <v>PE 80x760</v>
          </cell>
          <cell r="AG115">
            <v>8.1776000000000001E-2</v>
          </cell>
          <cell r="AH115">
            <v>1.1499999999999999</v>
          </cell>
          <cell r="AI115">
            <v>1.5</v>
          </cell>
          <cell r="AJ115">
            <v>9530</v>
          </cell>
          <cell r="AK115">
            <v>9530</v>
          </cell>
          <cell r="AL115" t="str">
            <v>0,0053(0,0023;0,003)</v>
          </cell>
          <cell r="AM115" t="str">
            <v>túi hàn lưng xếp hông</v>
          </cell>
          <cell r="AN115">
            <v>420</v>
          </cell>
          <cell r="AO115" t="str">
            <v>Khách hàng lẻ</v>
          </cell>
          <cell r="AP115" t="e">
            <v>#N/A</v>
          </cell>
          <cell r="AQ115" t="e">
            <v>#N/A</v>
          </cell>
          <cell r="AR115" t="e">
            <v>#N/A</v>
          </cell>
          <cell r="AS115" t="e">
            <v>#N/A</v>
          </cell>
          <cell r="AT115" t="e">
            <v>#N/A</v>
          </cell>
          <cell r="AU115" t="e">
            <v>#N/A</v>
          </cell>
          <cell r="AV115" t="e">
            <v>#N/A</v>
          </cell>
          <cell r="AW115" t="e">
            <v>#N/A</v>
          </cell>
          <cell r="AX115" t="e">
            <v>#N/A</v>
          </cell>
          <cell r="AY115" t="e">
            <v>#N/A</v>
          </cell>
          <cell r="AZ115" t="e">
            <v>#N/A</v>
          </cell>
          <cell r="BA115">
            <v>1500</v>
          </cell>
          <cell r="BB115" t="str">
            <v>Thùng 5 lớp 42x34x33</v>
          </cell>
          <cell r="BC115">
            <v>0</v>
          </cell>
          <cell r="BD115" t="e">
            <v>#N/A</v>
          </cell>
        </row>
        <row r="116">
          <cell r="A116" t="str">
            <v>sp 401</v>
          </cell>
          <cell r="B116" t="str">
            <v>Túi thuốc trừ sâu Sectox 100WP - 25gr hòa bình</v>
          </cell>
          <cell r="C116">
            <v>0</v>
          </cell>
          <cell r="D116">
            <v>5</v>
          </cell>
          <cell r="E116" t="str">
            <v>PET 12x620</v>
          </cell>
          <cell r="F116">
            <v>6</v>
          </cell>
          <cell r="G116" t="str">
            <v>PET</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t="str">
            <v>MPET 12x620</v>
          </cell>
          <cell r="AF116" t="str">
            <v>PE 75x620</v>
          </cell>
          <cell r="AG116">
            <v>6.3844500000000012E-2</v>
          </cell>
          <cell r="AH116">
            <v>0.93533333333333324</v>
          </cell>
          <cell r="AI116">
            <v>0.93533333333333324</v>
          </cell>
          <cell r="AJ116">
            <v>9530</v>
          </cell>
          <cell r="AK116">
            <v>9530</v>
          </cell>
          <cell r="AL116" t="str">
            <v>0,0046(0,0023;0,0023)</v>
          </cell>
          <cell r="AM116" t="str">
            <v>túi ba biên</v>
          </cell>
          <cell r="AN116">
            <v>118</v>
          </cell>
          <cell r="AO116" t="str">
            <v>Công ty CP Quốc Tế Hòa Bình</v>
          </cell>
          <cell r="AP116" t="e">
            <v>#N/A</v>
          </cell>
          <cell r="AQ116" t="e">
            <v>#N/A</v>
          </cell>
          <cell r="AR116" t="e">
            <v>#N/A</v>
          </cell>
          <cell r="AS116" t="e">
            <v>#N/A</v>
          </cell>
          <cell r="AT116" t="e">
            <v>#N/A</v>
          </cell>
          <cell r="AU116" t="e">
            <v>#N/A</v>
          </cell>
          <cell r="AV116" t="e">
            <v>#N/A</v>
          </cell>
          <cell r="AW116" t="e">
            <v>#N/A</v>
          </cell>
          <cell r="AX116" t="e">
            <v>#N/A</v>
          </cell>
          <cell r="AY116" t="e">
            <v>#N/A</v>
          </cell>
          <cell r="AZ116" t="e">
            <v>#N/A</v>
          </cell>
          <cell r="BA116">
            <v>10000</v>
          </cell>
          <cell r="BB116" t="str">
            <v>Thùng 5 lớp 42x34x36</v>
          </cell>
          <cell r="BC116">
            <v>0</v>
          </cell>
          <cell r="BD116" t="e">
            <v>#N/A</v>
          </cell>
        </row>
        <row r="117">
          <cell r="A117" t="str">
            <v>sp 403</v>
          </cell>
          <cell r="B117" t="str">
            <v>Túi muối thượng hạng 200gr hanufood</v>
          </cell>
          <cell r="C117">
            <v>5</v>
          </cell>
          <cell r="D117">
            <v>2</v>
          </cell>
          <cell r="E117" t="str">
            <v>OPP 20x470</v>
          </cell>
          <cell r="F117">
            <v>5</v>
          </cell>
          <cell r="G117" t="str">
            <v>OPP</v>
          </cell>
          <cell r="H117">
            <v>0.1</v>
          </cell>
          <cell r="I117">
            <v>1.3</v>
          </cell>
          <cell r="J117">
            <v>0.3</v>
          </cell>
          <cell r="K117">
            <v>0.1</v>
          </cell>
          <cell r="L117">
            <v>1.9</v>
          </cell>
          <cell r="M117">
            <v>1.2</v>
          </cell>
          <cell r="N117">
            <v>0</v>
          </cell>
          <cell r="O117">
            <v>0</v>
          </cell>
          <cell r="P117">
            <v>0.1</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t="str">
            <v>PE 65x470</v>
          </cell>
          <cell r="AF117">
            <v>0</v>
          </cell>
          <cell r="AG117">
            <v>3.6812749999999998E-2</v>
          </cell>
          <cell r="AH117">
            <v>0.61333333333333329</v>
          </cell>
          <cell r="AI117">
            <v>0</v>
          </cell>
          <cell r="AJ117">
            <v>9530</v>
          </cell>
          <cell r="AK117">
            <v>0</v>
          </cell>
          <cell r="AL117">
            <v>2E-3</v>
          </cell>
          <cell r="AM117" t="str">
            <v>túi ba biên</v>
          </cell>
          <cell r="AN117">
            <v>160</v>
          </cell>
          <cell r="AO117" t="str">
            <v>Công ty Hanufood</v>
          </cell>
          <cell r="AP117" t="str">
            <v>1711194-1</v>
          </cell>
          <cell r="AQ117" t="str">
            <v>1308276-2</v>
          </cell>
          <cell r="AR117" t="str">
            <v>1505019-3</v>
          </cell>
          <cell r="AS117" t="str">
            <v>1308276-4</v>
          </cell>
          <cell r="AT117" t="str">
            <v>1308276-5</v>
          </cell>
          <cell r="AU117">
            <v>0</v>
          </cell>
          <cell r="AV117">
            <v>0</v>
          </cell>
          <cell r="AW117">
            <v>0</v>
          </cell>
          <cell r="AX117">
            <v>0</v>
          </cell>
          <cell r="AY117" t="str">
            <v>480x740</v>
          </cell>
          <cell r="AZ117" t="str">
            <v>N2</v>
          </cell>
          <cell r="BA117">
            <v>10000</v>
          </cell>
          <cell r="BB117" t="str">
            <v>Thùng 5 lớp 42x34x36</v>
          </cell>
          <cell r="BC117">
            <v>0</v>
          </cell>
          <cell r="BD117" t="str">
            <v>in chung sp 148+336</v>
          </cell>
        </row>
        <row r="118">
          <cell r="A118" t="str">
            <v>sp 404</v>
          </cell>
          <cell r="B118" t="str">
            <v>Cuộn bánh bao liên tục Phú mỹ</v>
          </cell>
          <cell r="C118">
            <v>0.67</v>
          </cell>
          <cell r="D118">
            <v>2</v>
          </cell>
          <cell r="E118" t="str">
            <v>OPP 20x660</v>
          </cell>
          <cell r="F118">
            <v>2</v>
          </cell>
          <cell r="G118" t="str">
            <v>OPP</v>
          </cell>
          <cell r="H118">
            <v>0</v>
          </cell>
          <cell r="I118">
            <v>0.1</v>
          </cell>
          <cell r="J118">
            <v>0.01</v>
          </cell>
          <cell r="K118">
            <v>0</v>
          </cell>
          <cell r="L118">
            <v>0.51</v>
          </cell>
          <cell r="M118">
            <v>0.03</v>
          </cell>
          <cell r="N118">
            <v>0</v>
          </cell>
          <cell r="O118">
            <v>0.01</v>
          </cell>
          <cell r="P118">
            <v>0</v>
          </cell>
          <cell r="Q118">
            <v>0.01</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t="str">
            <v>CPP 20x660</v>
          </cell>
          <cell r="AF118">
            <v>0</v>
          </cell>
          <cell r="AG118">
            <v>2.4024000000000004E-2</v>
          </cell>
          <cell r="AH118">
            <v>0.8666666666666667</v>
          </cell>
          <cell r="AI118">
            <v>0</v>
          </cell>
          <cell r="AJ118">
            <v>9530</v>
          </cell>
          <cell r="AK118">
            <v>0</v>
          </cell>
          <cell r="AL118">
            <v>2E-3</v>
          </cell>
          <cell r="AM118" t="str">
            <v>dạng cuộn 1000m</v>
          </cell>
          <cell r="AN118">
            <v>320</v>
          </cell>
          <cell r="AO118" t="str">
            <v>Công ty Phú Mỹ</v>
          </cell>
          <cell r="AP118" t="e">
            <v>#N/A</v>
          </cell>
          <cell r="AQ118" t="e">
            <v>#N/A</v>
          </cell>
          <cell r="AR118" t="e">
            <v>#N/A</v>
          </cell>
          <cell r="AS118" t="e">
            <v>#N/A</v>
          </cell>
          <cell r="AT118" t="e">
            <v>#N/A</v>
          </cell>
          <cell r="AU118" t="e">
            <v>#N/A</v>
          </cell>
          <cell r="AV118" t="e">
            <v>#N/A</v>
          </cell>
          <cell r="AW118" t="e">
            <v>#N/A</v>
          </cell>
          <cell r="AX118" t="e">
            <v>#N/A</v>
          </cell>
          <cell r="AY118" t="e">
            <v>#N/A</v>
          </cell>
          <cell r="AZ118" t="e">
            <v>#N/A</v>
          </cell>
          <cell r="BA118" t="str">
            <v>1c</v>
          </cell>
          <cell r="BB118" t="str">
            <v>giấy cartoon K500</v>
          </cell>
          <cell r="BC118">
            <v>0</v>
          </cell>
          <cell r="BD118" t="e">
            <v>#N/A</v>
          </cell>
        </row>
        <row r="119">
          <cell r="A119" t="str">
            <v>sp 416</v>
          </cell>
          <cell r="B119" t="str">
            <v>Cuộn trà cozy ice tea hương đào vĩnh phúc</v>
          </cell>
          <cell r="C119">
            <v>5.2</v>
          </cell>
          <cell r="D119">
            <v>6</v>
          </cell>
          <cell r="E119" t="str">
            <v>PET 12x800</v>
          </cell>
          <cell r="F119">
            <v>7</v>
          </cell>
          <cell r="G119" t="str">
            <v>PET</v>
          </cell>
          <cell r="H119">
            <v>0.3</v>
          </cell>
          <cell r="I119">
            <v>1.8</v>
          </cell>
          <cell r="J119">
            <v>0.1</v>
          </cell>
          <cell r="K119">
            <v>0.6</v>
          </cell>
          <cell r="L119">
            <v>0.5</v>
          </cell>
          <cell r="M119">
            <v>0.5</v>
          </cell>
          <cell r="N119">
            <v>0</v>
          </cell>
          <cell r="O119">
            <v>0</v>
          </cell>
          <cell r="P119">
            <v>0.1</v>
          </cell>
          <cell r="Q119">
            <v>1.2</v>
          </cell>
          <cell r="R119">
            <v>0.1</v>
          </cell>
          <cell r="S119">
            <v>0</v>
          </cell>
          <cell r="T119">
            <v>0</v>
          </cell>
          <cell r="U119">
            <v>0</v>
          </cell>
          <cell r="V119">
            <v>0</v>
          </cell>
          <cell r="W119">
            <v>0</v>
          </cell>
          <cell r="X119">
            <v>0</v>
          </cell>
          <cell r="Y119">
            <v>0</v>
          </cell>
          <cell r="Z119">
            <v>0</v>
          </cell>
          <cell r="AA119">
            <v>0</v>
          </cell>
          <cell r="AB119">
            <v>0</v>
          </cell>
          <cell r="AC119">
            <v>0</v>
          </cell>
          <cell r="AD119">
            <v>0</v>
          </cell>
          <cell r="AE119" t="str">
            <v>Al 6x800</v>
          </cell>
          <cell r="AF119" t="str">
            <v>PE 60x810</v>
          </cell>
          <cell r="AG119">
            <v>7.0848000000000008E-2</v>
          </cell>
          <cell r="AH119">
            <v>1.3166666666666669</v>
          </cell>
          <cell r="AI119">
            <v>1.58</v>
          </cell>
          <cell r="AJ119">
            <v>9530</v>
          </cell>
          <cell r="AK119">
            <v>9530</v>
          </cell>
          <cell r="AL119" t="str">
            <v>0,0055(0,0025;0,003)</v>
          </cell>
          <cell r="AM119" t="str">
            <v>dạng cuộn 1000m</v>
          </cell>
          <cell r="AN119">
            <v>130</v>
          </cell>
          <cell r="AO119" t="str">
            <v>Công ty TNHH Thế hệ mới Vĩnh Phúc</v>
          </cell>
          <cell r="AP119" t="e">
            <v>#N/A</v>
          </cell>
          <cell r="AQ119" t="e">
            <v>#N/A</v>
          </cell>
          <cell r="AR119" t="e">
            <v>#N/A</v>
          </cell>
          <cell r="AS119" t="e">
            <v>#N/A</v>
          </cell>
          <cell r="AT119" t="e">
            <v>#N/A</v>
          </cell>
          <cell r="AU119" t="e">
            <v>#N/A</v>
          </cell>
          <cell r="AV119" t="e">
            <v>#N/A</v>
          </cell>
          <cell r="AW119" t="e">
            <v>#N/A</v>
          </cell>
          <cell r="AX119" t="e">
            <v>#N/A</v>
          </cell>
          <cell r="AY119" t="e">
            <v>#N/A</v>
          </cell>
          <cell r="AZ119" t="e">
            <v>#N/A</v>
          </cell>
          <cell r="BA119" t="str">
            <v>4c</v>
          </cell>
          <cell r="BB119" t="str">
            <v>giấy cartoon K600</v>
          </cell>
          <cell r="BC119">
            <v>0</v>
          </cell>
          <cell r="BD119" t="e">
            <v>#N/A</v>
          </cell>
        </row>
        <row r="120">
          <cell r="A120" t="str">
            <v>sp 417</v>
          </cell>
          <cell r="B120" t="str">
            <v>Cuộn  trà cozy ice tea hương chanh vĩnh phúc</v>
          </cell>
          <cell r="C120">
            <v>4.3</v>
          </cell>
          <cell r="D120">
            <v>6</v>
          </cell>
          <cell r="E120" t="str">
            <v>PET 12x800</v>
          </cell>
          <cell r="F120">
            <v>7</v>
          </cell>
          <cell r="G120" t="str">
            <v>PET</v>
          </cell>
          <cell r="H120">
            <v>0.1</v>
          </cell>
          <cell r="I120">
            <v>2</v>
          </cell>
          <cell r="J120">
            <v>0.1</v>
          </cell>
          <cell r="K120">
            <v>0.1</v>
          </cell>
          <cell r="L120">
            <v>0.5</v>
          </cell>
          <cell r="M120">
            <v>0.5</v>
          </cell>
          <cell r="N120">
            <v>0</v>
          </cell>
          <cell r="O120">
            <v>0.9</v>
          </cell>
          <cell r="P120">
            <v>0</v>
          </cell>
          <cell r="Q120">
            <v>0</v>
          </cell>
          <cell r="R120">
            <v>0.1</v>
          </cell>
          <cell r="S120">
            <v>0</v>
          </cell>
          <cell r="T120">
            <v>0</v>
          </cell>
          <cell r="U120">
            <v>0</v>
          </cell>
          <cell r="V120">
            <v>0</v>
          </cell>
          <cell r="W120">
            <v>0</v>
          </cell>
          <cell r="X120">
            <v>0</v>
          </cell>
          <cell r="Y120">
            <v>0</v>
          </cell>
          <cell r="Z120">
            <v>0</v>
          </cell>
          <cell r="AA120">
            <v>0</v>
          </cell>
          <cell r="AB120">
            <v>0</v>
          </cell>
          <cell r="AC120">
            <v>0</v>
          </cell>
          <cell r="AD120">
            <v>0</v>
          </cell>
          <cell r="AE120" t="str">
            <v>Al 6x800</v>
          </cell>
          <cell r="AF120" t="str">
            <v>PE 60x810</v>
          </cell>
          <cell r="AG120">
            <v>7.0848000000000008E-2</v>
          </cell>
          <cell r="AH120">
            <v>1.3166666666666669</v>
          </cell>
          <cell r="AI120">
            <v>1.58</v>
          </cell>
          <cell r="AJ120">
            <v>9530</v>
          </cell>
          <cell r="AK120">
            <v>9530</v>
          </cell>
          <cell r="AL120" t="str">
            <v>0,0055(0,0025;0,003)</v>
          </cell>
          <cell r="AM120" t="str">
            <v>dạng cuộn 1000m</v>
          </cell>
          <cell r="AN120">
            <v>130</v>
          </cell>
          <cell r="AO120" t="str">
            <v>Công ty TNHH Thế hệ mới Vĩnh Phúc</v>
          </cell>
          <cell r="AP120" t="e">
            <v>#N/A</v>
          </cell>
          <cell r="AQ120" t="e">
            <v>#N/A</v>
          </cell>
          <cell r="AR120" t="e">
            <v>#N/A</v>
          </cell>
          <cell r="AS120" t="e">
            <v>#N/A</v>
          </cell>
          <cell r="AT120" t="e">
            <v>#N/A</v>
          </cell>
          <cell r="AU120" t="e">
            <v>#N/A</v>
          </cell>
          <cell r="AV120" t="e">
            <v>#N/A</v>
          </cell>
          <cell r="AW120" t="e">
            <v>#N/A</v>
          </cell>
          <cell r="AX120" t="e">
            <v>#N/A</v>
          </cell>
          <cell r="AY120" t="e">
            <v>#N/A</v>
          </cell>
          <cell r="AZ120" t="e">
            <v>#N/A</v>
          </cell>
          <cell r="BA120" t="str">
            <v>4c</v>
          </cell>
          <cell r="BB120" t="str">
            <v>giấy cartoon K600</v>
          </cell>
          <cell r="BC120">
            <v>0</v>
          </cell>
          <cell r="BD120" t="e">
            <v>#N/A</v>
          </cell>
        </row>
        <row r="121">
          <cell r="A121" t="str">
            <v>sp 419</v>
          </cell>
          <cell r="B121" t="str">
            <v>Túi agar thượng hạng 25gr hải long</v>
          </cell>
          <cell r="C121">
            <v>7.6100000000000012</v>
          </cell>
          <cell r="D121">
            <v>3</v>
          </cell>
          <cell r="E121" t="str">
            <v>OPP 20x760</v>
          </cell>
          <cell r="F121">
            <v>5</v>
          </cell>
          <cell r="G121" t="str">
            <v>OPP</v>
          </cell>
          <cell r="H121">
            <v>0.44</v>
          </cell>
          <cell r="I121">
            <v>4.1900000000000004</v>
          </cell>
          <cell r="J121">
            <v>0.46</v>
          </cell>
          <cell r="K121">
            <v>0.06</v>
          </cell>
          <cell r="L121">
            <v>0.82</v>
          </cell>
          <cell r="M121">
            <v>0.48</v>
          </cell>
          <cell r="N121">
            <v>0</v>
          </cell>
          <cell r="O121">
            <v>0.01</v>
          </cell>
          <cell r="P121">
            <v>0.24</v>
          </cell>
          <cell r="Q121">
            <v>0.88</v>
          </cell>
          <cell r="R121">
            <v>0.03</v>
          </cell>
          <cell r="S121">
            <v>0</v>
          </cell>
          <cell r="T121">
            <v>0</v>
          </cell>
          <cell r="U121">
            <v>0</v>
          </cell>
          <cell r="V121">
            <v>0</v>
          </cell>
          <cell r="W121">
            <v>0</v>
          </cell>
          <cell r="X121">
            <v>0</v>
          </cell>
          <cell r="Y121">
            <v>0</v>
          </cell>
          <cell r="Z121">
            <v>0</v>
          </cell>
          <cell r="AA121">
            <v>0</v>
          </cell>
          <cell r="AB121">
            <v>0</v>
          </cell>
          <cell r="AC121">
            <v>0</v>
          </cell>
          <cell r="AD121">
            <v>0</v>
          </cell>
          <cell r="AE121" t="str">
            <v>PET/MPET 12x760</v>
          </cell>
          <cell r="AF121" t="str">
            <v>PE 45x760</v>
          </cell>
          <cell r="AG121">
            <v>5.8235000000000002E-2</v>
          </cell>
          <cell r="AH121">
            <v>1.1499999999999999</v>
          </cell>
          <cell r="AI121">
            <v>1.1499999999999999</v>
          </cell>
          <cell r="AJ121">
            <v>9530</v>
          </cell>
          <cell r="AK121">
            <v>9530</v>
          </cell>
          <cell r="AL121" t="str">
            <v>0,0046(0,0023;0,0023)</v>
          </cell>
          <cell r="AM121" t="str">
            <v xml:space="preserve">túi ba biên </v>
          </cell>
          <cell r="AN121">
            <v>95</v>
          </cell>
          <cell r="AO121" t="str">
            <v>Công ty Hải Long</v>
          </cell>
          <cell r="AP121" t="str">
            <v>F114068G3-1</v>
          </cell>
          <cell r="AQ121" t="str">
            <v>F114068G1-2</v>
          </cell>
          <cell r="AR121" t="str">
            <v>F114068-3</v>
          </cell>
          <cell r="AS121" t="str">
            <v>F114068-4</v>
          </cell>
          <cell r="AT121" t="str">
            <v>F11468-5</v>
          </cell>
          <cell r="AU121">
            <v>0</v>
          </cell>
          <cell r="AV121">
            <v>0</v>
          </cell>
          <cell r="AW121">
            <v>0</v>
          </cell>
          <cell r="AX121">
            <v>0</v>
          </cell>
          <cell r="AY121" t="str">
            <v>475x840</v>
          </cell>
          <cell r="AZ121" t="str">
            <v>N2</v>
          </cell>
          <cell r="BA121">
            <v>28800</v>
          </cell>
          <cell r="BB121" t="str">
            <v>bao dứa</v>
          </cell>
          <cell r="BC121">
            <v>0</v>
          </cell>
          <cell r="BD121">
            <v>0</v>
          </cell>
        </row>
        <row r="122">
          <cell r="A122" t="str">
            <v>sp 420</v>
          </cell>
          <cell r="B122" t="str">
            <v>Túi agar thượng hạng 50gr hải long</v>
          </cell>
          <cell r="C122">
            <v>4.620000000000001</v>
          </cell>
          <cell r="D122">
            <v>3</v>
          </cell>
          <cell r="E122" t="str">
            <v>OPP 20x660</v>
          </cell>
          <cell r="F122">
            <v>5</v>
          </cell>
          <cell r="G122" t="str">
            <v>OPP</v>
          </cell>
          <cell r="H122">
            <v>0</v>
          </cell>
          <cell r="I122">
            <v>2.6</v>
          </cell>
          <cell r="J122">
            <v>0.48</v>
          </cell>
          <cell r="K122">
            <v>0</v>
          </cell>
          <cell r="L122">
            <v>0.53</v>
          </cell>
          <cell r="M122">
            <v>0</v>
          </cell>
          <cell r="N122">
            <v>0</v>
          </cell>
          <cell r="O122">
            <v>0.24</v>
          </cell>
          <cell r="P122">
            <v>0.19</v>
          </cell>
          <cell r="Q122">
            <v>0.48</v>
          </cell>
          <cell r="R122">
            <v>0.1</v>
          </cell>
          <cell r="S122">
            <v>0</v>
          </cell>
          <cell r="T122">
            <v>0</v>
          </cell>
          <cell r="U122">
            <v>0</v>
          </cell>
          <cell r="V122">
            <v>0</v>
          </cell>
          <cell r="W122">
            <v>0</v>
          </cell>
          <cell r="X122">
            <v>0</v>
          </cell>
          <cell r="Y122">
            <v>0</v>
          </cell>
          <cell r="Z122">
            <v>0</v>
          </cell>
          <cell r="AA122">
            <v>0</v>
          </cell>
          <cell r="AB122">
            <v>0</v>
          </cell>
          <cell r="AC122">
            <v>0</v>
          </cell>
          <cell r="AD122">
            <v>0</v>
          </cell>
          <cell r="AE122" t="str">
            <v>PET/MPET 12x660</v>
          </cell>
          <cell r="AF122" t="str">
            <v xml:space="preserve">CPP 45x660 </v>
          </cell>
          <cell r="AG122">
            <v>5.0127000000000005E-2</v>
          </cell>
          <cell r="AH122">
            <v>0.99666666666666659</v>
          </cell>
          <cell r="AI122">
            <v>0.99666666666666659</v>
          </cell>
          <cell r="AJ122">
            <v>9530</v>
          </cell>
          <cell r="AK122">
            <v>9530</v>
          </cell>
          <cell r="AL122" t="str">
            <v>0,0046(0,0023;0,0023)</v>
          </cell>
          <cell r="AM122" t="str">
            <v>túi ba biên</v>
          </cell>
          <cell r="AN122">
            <v>145</v>
          </cell>
          <cell r="AO122" t="str">
            <v>Công ty Hải Long</v>
          </cell>
          <cell r="AP122" t="str">
            <v>F112128G3-1</v>
          </cell>
          <cell r="AQ122" t="str">
            <v>F112128-2</v>
          </cell>
          <cell r="AR122" t="str">
            <v>F112128-3</v>
          </cell>
          <cell r="AS122" t="str">
            <v>F112128-4</v>
          </cell>
          <cell r="AT122" t="str">
            <v>F112128-5</v>
          </cell>
          <cell r="AU122">
            <v>0</v>
          </cell>
          <cell r="AV122">
            <v>0</v>
          </cell>
          <cell r="AW122">
            <v>0</v>
          </cell>
          <cell r="AX122">
            <v>0</v>
          </cell>
          <cell r="AY122" t="str">
            <v>440x750</v>
          </cell>
          <cell r="AZ122" t="str">
            <v>N2</v>
          </cell>
          <cell r="BA122">
            <v>22500</v>
          </cell>
          <cell r="BB122" t="str">
            <v>bao dứa</v>
          </cell>
          <cell r="BC122">
            <v>0</v>
          </cell>
          <cell r="BD122">
            <v>0</v>
          </cell>
        </row>
        <row r="123">
          <cell r="A123" t="str">
            <v>sp 421</v>
          </cell>
          <cell r="B123" t="str">
            <v>Cuộn bánh korky chocolate diamond food</v>
          </cell>
          <cell r="C123">
            <v>4.9000000000000004</v>
          </cell>
          <cell r="D123">
            <v>5</v>
          </cell>
          <cell r="E123" t="str">
            <v>OPP 20x720</v>
          </cell>
          <cell r="F123">
            <v>6</v>
          </cell>
          <cell r="G123" t="str">
            <v>OPP</v>
          </cell>
          <cell r="H123">
            <v>0.2</v>
          </cell>
          <cell r="I123">
            <v>1.8</v>
          </cell>
          <cell r="J123">
            <v>0.2</v>
          </cell>
          <cell r="K123">
            <v>0.5</v>
          </cell>
          <cell r="L123">
            <v>1</v>
          </cell>
          <cell r="M123">
            <v>0.9</v>
          </cell>
          <cell r="N123">
            <v>0</v>
          </cell>
          <cell r="O123">
            <v>0</v>
          </cell>
          <cell r="P123">
            <v>0</v>
          </cell>
          <cell r="Q123">
            <v>0.3</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t="str">
            <v>MCPP 25x720</v>
          </cell>
          <cell r="AF123">
            <v>0</v>
          </cell>
          <cell r="AG123">
            <v>2.9484E-2</v>
          </cell>
          <cell r="AH123">
            <v>0.85199999999999998</v>
          </cell>
          <cell r="AI123">
            <v>0</v>
          </cell>
          <cell r="AJ123">
            <v>9530</v>
          </cell>
          <cell r="AK123">
            <v>0</v>
          </cell>
          <cell r="AL123">
            <v>1.8E-3</v>
          </cell>
          <cell r="AM123" t="str">
            <v>dạng cuộn 1000m</v>
          </cell>
          <cell r="AN123">
            <v>140</v>
          </cell>
          <cell r="AO123" t="str">
            <v>Công ty Diamond food</v>
          </cell>
          <cell r="AP123" t="str">
            <v>F112125-1</v>
          </cell>
          <cell r="AQ123" t="str">
            <v>F112125-2</v>
          </cell>
          <cell r="AR123" t="str">
            <v>F112125-3</v>
          </cell>
          <cell r="AS123" t="str">
            <v>F112125-4</v>
          </cell>
          <cell r="AT123" t="str">
            <v>F112125-5</v>
          </cell>
          <cell r="AU123" t="str">
            <v>F112125-6</v>
          </cell>
          <cell r="AV123">
            <v>0</v>
          </cell>
          <cell r="AW123">
            <v>0</v>
          </cell>
          <cell r="AX123">
            <v>0</v>
          </cell>
          <cell r="AY123" t="str">
            <v>840x450</v>
          </cell>
          <cell r="AZ123" t="str">
            <v>N2</v>
          </cell>
          <cell r="BA123" t="str">
            <v>5c</v>
          </cell>
          <cell r="BB123" t="str">
            <v>giấy cartoon</v>
          </cell>
          <cell r="BC123">
            <v>0</v>
          </cell>
          <cell r="BD123">
            <v>0</v>
          </cell>
        </row>
        <row r="124">
          <cell r="A124" t="str">
            <v>sp 424</v>
          </cell>
          <cell r="B124" t="str">
            <v>Túi thuốc trừ bệnh Jzomil 720WP loại 1kg USA</v>
          </cell>
          <cell r="C124">
            <v>0</v>
          </cell>
          <cell r="D124">
            <v>2</v>
          </cell>
          <cell r="E124" t="str">
            <v>PET 12x760</v>
          </cell>
          <cell r="F124">
            <v>7</v>
          </cell>
          <cell r="G124" t="str">
            <v>PET</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t="str">
            <v>MPET 12x760</v>
          </cell>
          <cell r="AF124" t="str">
            <v>PE 100x760</v>
          </cell>
          <cell r="AG124">
            <v>9.5836000000000018E-2</v>
          </cell>
          <cell r="AH124">
            <v>1.1499999999999999</v>
          </cell>
          <cell r="AI124">
            <v>0.59338377095386441</v>
          </cell>
          <cell r="AJ124">
            <v>9530</v>
          </cell>
          <cell r="AK124" t="str">
            <v>811A</v>
          </cell>
          <cell r="AL124" t="str">
            <v>0.0023 (9530); 0.035 (811A)</v>
          </cell>
          <cell r="AM124" t="str">
            <v>túi ba biên</v>
          </cell>
          <cell r="AN124">
            <v>255</v>
          </cell>
          <cell r="AO124" t="str">
            <v>Công ty công nghệ cao USA</v>
          </cell>
          <cell r="AP124" t="str">
            <v>1510103-1</v>
          </cell>
          <cell r="AQ124" t="str">
            <v>1510103-2</v>
          </cell>
          <cell r="AR124" t="str">
            <v>1510103-3</v>
          </cell>
          <cell r="AS124" t="str">
            <v>1510103-4</v>
          </cell>
          <cell r="AT124" t="str">
            <v>1510103-5</v>
          </cell>
          <cell r="AU124" t="str">
            <v>1510103-6</v>
          </cell>
          <cell r="AV124" t="str">
            <v>1510103-7</v>
          </cell>
          <cell r="AW124">
            <v>0</v>
          </cell>
          <cell r="AX124">
            <v>0</v>
          </cell>
          <cell r="AY124" t="str">
            <v>510x820</v>
          </cell>
          <cell r="AZ124" t="str">
            <v>N2</v>
          </cell>
          <cell r="BA124">
            <v>0</v>
          </cell>
          <cell r="BB124" t="str">
            <v>bao dứa</v>
          </cell>
          <cell r="BC124">
            <v>0</v>
          </cell>
          <cell r="BD124">
            <v>0</v>
          </cell>
        </row>
        <row r="125">
          <cell r="A125" t="str">
            <v>sp 425</v>
          </cell>
          <cell r="B125" t="str">
            <v>Túi ngô VS 36 - 1kg Thái Bình</v>
          </cell>
          <cell r="C125">
            <v>7.8999999999999986</v>
          </cell>
          <cell r="D125">
            <v>2</v>
          </cell>
          <cell r="E125" t="str">
            <v>PET 12x820</v>
          </cell>
          <cell r="F125">
            <v>7</v>
          </cell>
          <cell r="G125" t="str">
            <v>PET</v>
          </cell>
          <cell r="H125">
            <v>0.01</v>
          </cell>
          <cell r="I125">
            <v>2</v>
          </cell>
          <cell r="J125">
            <v>0.01</v>
          </cell>
          <cell r="K125">
            <v>0.01</v>
          </cell>
          <cell r="L125">
            <v>1.67</v>
          </cell>
          <cell r="M125">
            <v>2.8</v>
          </cell>
          <cell r="N125">
            <v>0</v>
          </cell>
          <cell r="O125">
            <v>0.11</v>
          </cell>
          <cell r="P125">
            <v>0.22</v>
          </cell>
          <cell r="Q125">
            <v>1.06</v>
          </cell>
          <cell r="R125">
            <v>0</v>
          </cell>
          <cell r="S125">
            <v>0</v>
          </cell>
          <cell r="T125">
            <v>0.01</v>
          </cell>
          <cell r="U125">
            <v>0</v>
          </cell>
          <cell r="V125">
            <v>0</v>
          </cell>
          <cell r="W125">
            <v>0</v>
          </cell>
          <cell r="X125">
            <v>0</v>
          </cell>
          <cell r="Y125">
            <v>0</v>
          </cell>
          <cell r="Z125">
            <v>0</v>
          </cell>
          <cell r="AA125">
            <v>0</v>
          </cell>
          <cell r="AB125">
            <v>0</v>
          </cell>
          <cell r="AC125">
            <v>0</v>
          </cell>
          <cell r="AD125">
            <v>0</v>
          </cell>
          <cell r="AE125" t="str">
            <v>MPET 12x820</v>
          </cell>
          <cell r="AF125" t="str">
            <v>PE 85x820</v>
          </cell>
          <cell r="AG125">
            <v>9.2024500000000009E-2</v>
          </cell>
          <cell r="AH125">
            <v>1.242</v>
          </cell>
          <cell r="AI125">
            <v>1.62</v>
          </cell>
          <cell r="AJ125">
            <v>9530</v>
          </cell>
          <cell r="AK125">
            <v>9530</v>
          </cell>
          <cell r="AL125" t="str">
            <v>0,0046(0,0023;0,0023)</v>
          </cell>
          <cell r="AM125" t="str">
            <v>túi ba biên</v>
          </cell>
          <cell r="AN125">
            <v>285</v>
          </cell>
          <cell r="AO125" t="str">
            <v>Công ty Thái Bình</v>
          </cell>
          <cell r="AP125" t="str">
            <v>1710093-1</v>
          </cell>
          <cell r="AQ125" t="str">
            <v>1710093-2</v>
          </cell>
          <cell r="AR125" t="str">
            <v>1710093-3</v>
          </cell>
          <cell r="AS125" t="str">
            <v>1710093-4</v>
          </cell>
          <cell r="AT125" t="str">
            <v>1903481-5</v>
          </cell>
          <cell r="AU125" t="str">
            <v>1903481-6</v>
          </cell>
          <cell r="AV125" t="str">
            <v>1710093-7</v>
          </cell>
          <cell r="AW125" t="str">
            <v>1710093-8</v>
          </cell>
          <cell r="AX125">
            <v>0</v>
          </cell>
          <cell r="AY125" t="str">
            <v>670x870</v>
          </cell>
          <cell r="AZ125" t="str">
            <v>I1</v>
          </cell>
          <cell r="BA125">
            <v>4500</v>
          </cell>
          <cell r="BB125" t="str">
            <v>Thùng 5 lớp 42x34x36</v>
          </cell>
          <cell r="BC125">
            <v>0</v>
          </cell>
          <cell r="BD125">
            <v>0</v>
          </cell>
        </row>
        <row r="126">
          <cell r="A126" t="str">
            <v>sp 426</v>
          </cell>
          <cell r="B126" t="str">
            <v>Túi ngô VS 36 - 20kg Thái Bình</v>
          </cell>
          <cell r="C126">
            <v>6.51</v>
          </cell>
          <cell r="D126">
            <v>1</v>
          </cell>
          <cell r="E126" t="str">
            <v>OPP 20x520</v>
          </cell>
          <cell r="F126">
            <v>7</v>
          </cell>
          <cell r="G126" t="str">
            <v>OPP</v>
          </cell>
          <cell r="H126">
            <v>0</v>
          </cell>
          <cell r="I126">
            <v>0</v>
          </cell>
          <cell r="J126">
            <v>7.0000000000000007E-2</v>
          </cell>
          <cell r="K126">
            <v>0.01</v>
          </cell>
          <cell r="L126">
            <v>2.94</v>
          </cell>
          <cell r="M126">
            <v>1.78</v>
          </cell>
          <cell r="N126">
            <v>0</v>
          </cell>
          <cell r="O126">
            <v>1.02</v>
          </cell>
          <cell r="P126">
            <v>0</v>
          </cell>
          <cell r="Q126">
            <v>0.68</v>
          </cell>
          <cell r="R126">
            <v>0</v>
          </cell>
          <cell r="S126">
            <v>0</v>
          </cell>
          <cell r="T126">
            <v>0.01</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t="str">
            <v xml:space="preserve">dạng cuộn </v>
          </cell>
          <cell r="AN126">
            <v>500</v>
          </cell>
          <cell r="AO126" t="str">
            <v>Công ty Thái Bình</v>
          </cell>
          <cell r="AP126" t="str">
            <v>1903480-1</v>
          </cell>
          <cell r="AQ126" t="str">
            <v>1903480-2</v>
          </cell>
          <cell r="AR126" t="str">
            <v>1903480-3</v>
          </cell>
          <cell r="AS126" t="str">
            <v>1603346-4</v>
          </cell>
          <cell r="AT126" t="str">
            <v>1903480-5</v>
          </cell>
          <cell r="AU126" t="str">
            <v>1903480-6</v>
          </cell>
          <cell r="AV126" t="str">
            <v>1510425-7</v>
          </cell>
          <cell r="AW126">
            <v>0</v>
          </cell>
          <cell r="AX126">
            <v>0</v>
          </cell>
          <cell r="AY126" t="str">
            <v>770x750</v>
          </cell>
          <cell r="AZ126" t="str">
            <v>J1</v>
          </cell>
          <cell r="BA126" t="str">
            <v>1c</v>
          </cell>
          <cell r="BB126" t="str">
            <v>giấy cartoon</v>
          </cell>
          <cell r="BC126">
            <v>0</v>
          </cell>
          <cell r="BD126">
            <v>0</v>
          </cell>
        </row>
        <row r="127">
          <cell r="A127" t="str">
            <v>sp 436</v>
          </cell>
          <cell r="B127" t="str">
            <v>Túi chè HCK 50gr loại 1</v>
          </cell>
          <cell r="C127">
            <v>0</v>
          </cell>
          <cell r="D127">
            <v>0</v>
          </cell>
          <cell r="E127" t="str">
            <v>PET 12x680</v>
          </cell>
          <cell r="F127">
            <v>1</v>
          </cell>
          <cell r="G127" t="str">
            <v>PET</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t="str">
            <v>MPET 12x680</v>
          </cell>
          <cell r="AF127" t="str">
            <v>PE 40x680</v>
          </cell>
          <cell r="AG127">
            <v>4.8008000000000002E-2</v>
          </cell>
          <cell r="AH127">
            <v>1.0273333333333332</v>
          </cell>
          <cell r="AI127">
            <v>1.34</v>
          </cell>
          <cell r="AJ127">
            <v>9530</v>
          </cell>
          <cell r="AK127">
            <v>9530</v>
          </cell>
          <cell r="AL127" t="str">
            <v>0,0053(0,0023;0,003)</v>
          </cell>
          <cell r="AM127" t="str">
            <v>túi hàn lưng xếp hông</v>
          </cell>
          <cell r="AN127">
            <v>180</v>
          </cell>
          <cell r="AO127" t="str">
            <v>Khách hàng lẻ</v>
          </cell>
          <cell r="AP127" t="e">
            <v>#N/A</v>
          </cell>
          <cell r="AQ127" t="e">
            <v>#N/A</v>
          </cell>
          <cell r="AR127" t="e">
            <v>#N/A</v>
          </cell>
          <cell r="AS127" t="e">
            <v>#N/A</v>
          </cell>
          <cell r="AT127" t="e">
            <v>#N/A</v>
          </cell>
          <cell r="AU127" t="e">
            <v>#N/A</v>
          </cell>
          <cell r="AV127" t="e">
            <v>#N/A</v>
          </cell>
          <cell r="AW127" t="e">
            <v>#N/A</v>
          </cell>
          <cell r="AX127" t="e">
            <v>#N/A</v>
          </cell>
          <cell r="AY127" t="e">
            <v>#N/A</v>
          </cell>
          <cell r="AZ127" t="e">
            <v>#N/A</v>
          </cell>
          <cell r="BA127">
            <v>0</v>
          </cell>
          <cell r="BB127" t="str">
            <v>Thùng 5 lớp 42x34x36</v>
          </cell>
          <cell r="BC127">
            <v>0</v>
          </cell>
          <cell r="BD127" t="e">
            <v>#N/A</v>
          </cell>
        </row>
        <row r="128">
          <cell r="A128" t="str">
            <v>sp 437</v>
          </cell>
          <cell r="B128" t="str">
            <v>Cuộn màng Stargold 5SL loại 20ml Việt Đức</v>
          </cell>
          <cell r="C128">
            <v>0</v>
          </cell>
          <cell r="D128">
            <v>4</v>
          </cell>
          <cell r="E128" t="str">
            <v>PET 12x740</v>
          </cell>
          <cell r="F128">
            <v>5</v>
          </cell>
          <cell r="G128" t="str">
            <v>PET</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t="str">
            <v>MPET 12x740</v>
          </cell>
          <cell r="AF128" t="str">
            <v>PEDB005 70x740</v>
          </cell>
          <cell r="AG128">
            <v>7.6201500000000005E-2</v>
          </cell>
          <cell r="AH128">
            <v>1.1193333333333333</v>
          </cell>
          <cell r="AI128">
            <v>4.331701527963209</v>
          </cell>
          <cell r="AJ128">
            <v>9530</v>
          </cell>
          <cell r="AK128" t="str">
            <v>811A</v>
          </cell>
          <cell r="AL128" t="str">
            <v>0.0023 (9530); 0.004 (811A)</v>
          </cell>
          <cell r="AM128" t="str">
            <v>dạng cuộn 500m</v>
          </cell>
          <cell r="AN128">
            <v>180</v>
          </cell>
          <cell r="AO128" t="str">
            <v>Công ty Việt Đức</v>
          </cell>
          <cell r="AP128" t="e">
            <v>#N/A</v>
          </cell>
          <cell r="AQ128" t="e">
            <v>#N/A</v>
          </cell>
          <cell r="AR128" t="e">
            <v>#N/A</v>
          </cell>
          <cell r="AS128" t="e">
            <v>#N/A</v>
          </cell>
          <cell r="AT128" t="e">
            <v>#N/A</v>
          </cell>
          <cell r="AU128" t="e">
            <v>#N/A</v>
          </cell>
          <cell r="AV128" t="e">
            <v>#N/A</v>
          </cell>
          <cell r="AW128" t="e">
            <v>#N/A</v>
          </cell>
          <cell r="AX128" t="e">
            <v>#N/A</v>
          </cell>
          <cell r="AY128" t="e">
            <v>#N/A</v>
          </cell>
          <cell r="AZ128" t="e">
            <v>#N/A</v>
          </cell>
          <cell r="BA128" t="str">
            <v>3c</v>
          </cell>
          <cell r="BB128" t="str">
            <v>giấy cartoon K800</v>
          </cell>
          <cell r="BC128">
            <v>0</v>
          </cell>
          <cell r="BD128" t="e">
            <v>#N/A</v>
          </cell>
        </row>
        <row r="129">
          <cell r="A129" t="str">
            <v>sp 451</v>
          </cell>
          <cell r="B129" t="str">
            <v>Túi kẹo socola 400gr việt nga</v>
          </cell>
          <cell r="C129">
            <v>6.4</v>
          </cell>
          <cell r="D129">
            <v>1</v>
          </cell>
          <cell r="E129" t="str">
            <v>PET 12x570</v>
          </cell>
          <cell r="F129">
            <v>6</v>
          </cell>
          <cell r="G129" t="str">
            <v>PET</v>
          </cell>
          <cell r="H129">
            <v>0.4</v>
          </cell>
          <cell r="I129">
            <v>4.5</v>
          </cell>
          <cell r="J129">
            <v>0</v>
          </cell>
          <cell r="K129">
            <v>0.4</v>
          </cell>
          <cell r="L129">
            <v>1</v>
          </cell>
          <cell r="M129">
            <v>0</v>
          </cell>
          <cell r="N129">
            <v>0</v>
          </cell>
          <cell r="O129">
            <v>0</v>
          </cell>
          <cell r="P129">
            <v>0</v>
          </cell>
          <cell r="Q129">
            <v>0</v>
          </cell>
          <cell r="R129">
            <v>0</v>
          </cell>
          <cell r="S129">
            <v>0.1</v>
          </cell>
          <cell r="T129">
            <v>0</v>
          </cell>
          <cell r="U129">
            <v>0</v>
          </cell>
          <cell r="V129">
            <v>0</v>
          </cell>
          <cell r="W129">
            <v>0</v>
          </cell>
          <cell r="X129">
            <v>0</v>
          </cell>
          <cell r="Y129">
            <v>0</v>
          </cell>
          <cell r="Z129">
            <v>0</v>
          </cell>
          <cell r="AA129">
            <v>0</v>
          </cell>
          <cell r="AB129">
            <v>0</v>
          </cell>
          <cell r="AC129">
            <v>0</v>
          </cell>
          <cell r="AD129">
            <v>0</v>
          </cell>
          <cell r="AE129" t="str">
            <v>MPET 12x570</v>
          </cell>
          <cell r="AF129" t="str">
            <v>PE 85x570</v>
          </cell>
          <cell r="AG129">
            <v>5.8695749999999998E-2</v>
          </cell>
          <cell r="AH129">
            <v>0.85866666666666669</v>
          </cell>
          <cell r="AI129">
            <v>1.1200000000000001</v>
          </cell>
          <cell r="AJ129">
            <v>9530</v>
          </cell>
          <cell r="AK129">
            <v>9530</v>
          </cell>
          <cell r="AL129" t="str">
            <v>0,0053(0,0023;0,003)</v>
          </cell>
          <cell r="AM129" t="str">
            <v>túi đáy đứng</v>
          </cell>
          <cell r="AN129">
            <v>160</v>
          </cell>
          <cell r="AO129" t="str">
            <v>Công ty Việt Nga</v>
          </cell>
          <cell r="AP129" t="e">
            <v>#N/A</v>
          </cell>
          <cell r="AQ129" t="e">
            <v>#N/A</v>
          </cell>
          <cell r="AR129" t="e">
            <v>#N/A</v>
          </cell>
          <cell r="AS129" t="e">
            <v>#N/A</v>
          </cell>
          <cell r="AT129" t="e">
            <v>#N/A</v>
          </cell>
          <cell r="AU129" t="e">
            <v>#N/A</v>
          </cell>
          <cell r="AV129" t="e">
            <v>#N/A</v>
          </cell>
          <cell r="AW129" t="e">
            <v>#N/A</v>
          </cell>
          <cell r="AX129" t="e">
            <v>#N/A</v>
          </cell>
          <cell r="AY129" t="e">
            <v>#N/A</v>
          </cell>
          <cell r="AZ129" t="e">
            <v>#N/A</v>
          </cell>
          <cell r="BA129">
            <v>0</v>
          </cell>
          <cell r="BB129" t="str">
            <v>Thùng 5 lớp 42x34x36, bọc nilong</v>
          </cell>
          <cell r="BC129">
            <v>0</v>
          </cell>
          <cell r="BD129" t="e">
            <v>#N/A</v>
          </cell>
        </row>
        <row r="130">
          <cell r="A130" t="str">
            <v>sp 452</v>
          </cell>
          <cell r="B130" t="str">
            <v>Túi thuốc trừ bệnh Trizim 868WP loại 13.5gr Hà Thái</v>
          </cell>
          <cell r="C130">
            <v>6.7</v>
          </cell>
          <cell r="D130">
            <v>3</v>
          </cell>
          <cell r="E130" t="str">
            <v>PET 12x710</v>
          </cell>
          <cell r="F130">
            <v>6</v>
          </cell>
          <cell r="G130" t="str">
            <v>PET</v>
          </cell>
          <cell r="H130">
            <v>0.6</v>
          </cell>
          <cell r="I130">
            <v>2.9</v>
          </cell>
          <cell r="J130">
            <v>0.1</v>
          </cell>
          <cell r="K130">
            <v>0.1</v>
          </cell>
          <cell r="L130">
            <v>2</v>
          </cell>
          <cell r="M130">
            <v>0.9</v>
          </cell>
          <cell r="N130">
            <v>0</v>
          </cell>
          <cell r="O130">
            <v>0.1</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t="str">
            <v>MPET 12x710</v>
          </cell>
          <cell r="AF130" t="str">
            <v>PE 75x710</v>
          </cell>
          <cell r="AG130">
            <v>7.3112250000000004E-2</v>
          </cell>
          <cell r="AH130">
            <v>1.0733333333333333</v>
          </cell>
          <cell r="AI130">
            <v>1.0733333333333333</v>
          </cell>
          <cell r="AJ130">
            <v>9530</v>
          </cell>
          <cell r="AK130">
            <v>9530</v>
          </cell>
          <cell r="AL130" t="str">
            <v>0,0046(0,0023;0,0023)</v>
          </cell>
          <cell r="AM130" t="str">
            <v>túi ba biên</v>
          </cell>
          <cell r="AN130">
            <v>170</v>
          </cell>
          <cell r="AO130" t="str">
            <v>Công ty Hà Thái</v>
          </cell>
          <cell r="AP130" t="str">
            <v>1511021-1</v>
          </cell>
          <cell r="AQ130" t="str">
            <v>1511021-2</v>
          </cell>
          <cell r="AR130" t="str">
            <v>1511021-3</v>
          </cell>
          <cell r="AS130" t="str">
            <v>1511021-4</v>
          </cell>
          <cell r="AT130" t="str">
            <v>1511021-5</v>
          </cell>
          <cell r="AU130" t="str">
            <v>1511021-6</v>
          </cell>
          <cell r="AV130">
            <v>0</v>
          </cell>
          <cell r="AW130">
            <v>0</v>
          </cell>
          <cell r="AX130">
            <v>0</v>
          </cell>
          <cell r="AY130" t="str">
            <v>500x860</v>
          </cell>
          <cell r="AZ130" t="str">
            <v>N2</v>
          </cell>
          <cell r="BA130">
            <v>9000</v>
          </cell>
          <cell r="BB130" t="str">
            <v>Thùng 5 lớp 42x34x36, bọc nilong</v>
          </cell>
          <cell r="BC130">
            <v>0</v>
          </cell>
          <cell r="BD130">
            <v>0</v>
          </cell>
        </row>
        <row r="131">
          <cell r="A131" t="str">
            <v>sp 453</v>
          </cell>
          <cell r="B131" t="str">
            <v>Cuộn màng thuốc trừ sâu Sirafb 100 WP loại 7.5gr American</v>
          </cell>
          <cell r="C131">
            <v>6.1499999999999995</v>
          </cell>
          <cell r="D131">
            <v>3</v>
          </cell>
          <cell r="E131" t="str">
            <v>PET 12x620</v>
          </cell>
          <cell r="F131">
            <v>7</v>
          </cell>
          <cell r="G131" t="str">
            <v>PET</v>
          </cell>
          <cell r="H131">
            <v>0.3</v>
          </cell>
          <cell r="I131">
            <v>3</v>
          </cell>
          <cell r="J131">
            <v>0.2</v>
          </cell>
          <cell r="K131">
            <v>0.7</v>
          </cell>
          <cell r="L131">
            <v>1.75</v>
          </cell>
          <cell r="M131">
            <v>0</v>
          </cell>
          <cell r="N131">
            <v>0</v>
          </cell>
          <cell r="O131">
            <v>0</v>
          </cell>
          <cell r="P131">
            <v>0.1</v>
          </cell>
          <cell r="Q131">
            <v>0</v>
          </cell>
          <cell r="R131">
            <v>0.1</v>
          </cell>
          <cell r="S131">
            <v>0</v>
          </cell>
          <cell r="T131">
            <v>0</v>
          </cell>
          <cell r="U131">
            <v>0</v>
          </cell>
          <cell r="V131">
            <v>0</v>
          </cell>
          <cell r="W131">
            <v>0</v>
          </cell>
          <cell r="X131">
            <v>0</v>
          </cell>
          <cell r="Y131">
            <v>0</v>
          </cell>
          <cell r="Z131">
            <v>0</v>
          </cell>
          <cell r="AA131">
            <v>0</v>
          </cell>
          <cell r="AB131">
            <v>0</v>
          </cell>
          <cell r="AC131">
            <v>0</v>
          </cell>
          <cell r="AD131">
            <v>0</v>
          </cell>
          <cell r="AE131" t="str">
            <v>MPET 12x620</v>
          </cell>
          <cell r="AF131" t="str">
            <v>PE 75x620</v>
          </cell>
          <cell r="AG131">
            <v>6.3844500000000012E-2</v>
          </cell>
          <cell r="AH131">
            <v>0.93533333333333324</v>
          </cell>
          <cell r="AI131">
            <v>0.93533333333333324</v>
          </cell>
          <cell r="AJ131">
            <v>9530</v>
          </cell>
          <cell r="AK131">
            <v>9530</v>
          </cell>
          <cell r="AL131" t="str">
            <v>0,0046(0,0023;0,0023)</v>
          </cell>
          <cell r="AM131" t="str">
            <v>dạng cuộn 500m</v>
          </cell>
          <cell r="AN131">
            <v>200</v>
          </cell>
          <cell r="AO131" t="str">
            <v>Công ty American</v>
          </cell>
          <cell r="AP131" t="str">
            <v>18091249-1</v>
          </cell>
          <cell r="AQ131" t="str">
            <v>1512088-2</v>
          </cell>
          <cell r="AR131" t="str">
            <v>1512088-3</v>
          </cell>
          <cell r="AS131" t="str">
            <v>1512088-4</v>
          </cell>
          <cell r="AT131" t="str">
            <v>18091249-5</v>
          </cell>
          <cell r="AU131" t="str">
            <v>1512088-6</v>
          </cell>
          <cell r="AV131" t="str">
            <v>1512088-7</v>
          </cell>
          <cell r="AW131">
            <v>0</v>
          </cell>
          <cell r="AX131">
            <v>0</v>
          </cell>
          <cell r="AY131" t="str">
            <v>405x750</v>
          </cell>
          <cell r="AZ131" t="str">
            <v>N3</v>
          </cell>
          <cell r="BA131" t="str">
            <v>2c</v>
          </cell>
          <cell r="BB131" t="str">
            <v>giấy cartoon K600</v>
          </cell>
          <cell r="BC131">
            <v>0</v>
          </cell>
          <cell r="BD131">
            <v>0</v>
          </cell>
        </row>
        <row r="132">
          <cell r="A132" t="str">
            <v>sp 456</v>
          </cell>
          <cell r="B132" t="str">
            <v>Túi chè 500gr một màu vàng loại 5</v>
          </cell>
          <cell r="C132">
            <v>0</v>
          </cell>
          <cell r="D132">
            <v>2</v>
          </cell>
          <cell r="E132" t="str">
            <v>PET 12x760</v>
          </cell>
          <cell r="F132">
            <v>1</v>
          </cell>
          <cell r="G132" t="str">
            <v>PET</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t="str">
            <v>MPET 12x760</v>
          </cell>
          <cell r="AF132" t="str">
            <v>PE 80x760</v>
          </cell>
          <cell r="AG132">
            <v>8.1776000000000001E-2</v>
          </cell>
          <cell r="AH132">
            <v>1.1499999999999999</v>
          </cell>
          <cell r="AI132">
            <v>1.5</v>
          </cell>
          <cell r="AJ132">
            <v>9530</v>
          </cell>
          <cell r="AK132">
            <v>9530</v>
          </cell>
          <cell r="AL132" t="str">
            <v>0,0053(0,0023;0,003)</v>
          </cell>
          <cell r="AM132" t="str">
            <v>túi hàn lưng xếp hông</v>
          </cell>
          <cell r="AN132">
            <v>420</v>
          </cell>
          <cell r="AO132" t="str">
            <v>Khách hàng lẻ</v>
          </cell>
          <cell r="AP132" t="e">
            <v>#N/A</v>
          </cell>
          <cell r="AQ132" t="e">
            <v>#N/A</v>
          </cell>
          <cell r="AR132" t="e">
            <v>#N/A</v>
          </cell>
          <cell r="AS132" t="e">
            <v>#N/A</v>
          </cell>
          <cell r="AT132" t="e">
            <v>#N/A</v>
          </cell>
          <cell r="AU132" t="e">
            <v>#N/A</v>
          </cell>
          <cell r="AV132" t="e">
            <v>#N/A</v>
          </cell>
          <cell r="AW132" t="e">
            <v>#N/A</v>
          </cell>
          <cell r="AX132" t="e">
            <v>#N/A</v>
          </cell>
          <cell r="AY132" t="e">
            <v>#N/A</v>
          </cell>
          <cell r="AZ132" t="e">
            <v>#N/A</v>
          </cell>
          <cell r="BA132">
            <v>1500</v>
          </cell>
          <cell r="BB132" t="str">
            <v>Thùng 5 lớp 42x34x36</v>
          </cell>
          <cell r="BC132">
            <v>0</v>
          </cell>
          <cell r="BD132" t="e">
            <v>#N/A</v>
          </cell>
        </row>
        <row r="133">
          <cell r="A133" t="str">
            <v>sp 463</v>
          </cell>
          <cell r="B133" t="str">
            <v>Túi miến đao đặc sản 500gr thanh sơn</v>
          </cell>
          <cell r="C133">
            <v>2</v>
          </cell>
          <cell r="D133">
            <v>1</v>
          </cell>
          <cell r="E133" t="str">
            <v>PA 15x540</v>
          </cell>
          <cell r="F133">
            <v>5</v>
          </cell>
          <cell r="G133" t="str">
            <v xml:space="preserve">PA </v>
          </cell>
          <cell r="H133">
            <v>0</v>
          </cell>
          <cell r="I133">
            <v>2</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t="str">
            <v>PE 80x540</v>
          </cell>
          <cell r="AF133">
            <v>0</v>
          </cell>
          <cell r="AG133">
            <v>4.9275000000000006E-2</v>
          </cell>
          <cell r="AH133">
            <v>1.06</v>
          </cell>
          <cell r="AI133">
            <v>0</v>
          </cell>
          <cell r="AJ133">
            <v>9530</v>
          </cell>
          <cell r="AK133">
            <v>9530</v>
          </cell>
          <cell r="AL133">
            <v>3.0000000000000001E-3</v>
          </cell>
          <cell r="AM133" t="str">
            <v>túi hàn lưng xếp hông</v>
          </cell>
          <cell r="AN133">
            <v>550</v>
          </cell>
          <cell r="AO133" t="str">
            <v>Công ty Thanh Sơn</v>
          </cell>
          <cell r="AP133" t="str">
            <v>1701143-1</v>
          </cell>
          <cell r="AQ133" t="str">
            <v>1701143-2</v>
          </cell>
          <cell r="AR133" t="str">
            <v>1701143-3</v>
          </cell>
          <cell r="AS133" t="str">
            <v>1701143-4</v>
          </cell>
          <cell r="AT133" t="str">
            <v>1701143-5</v>
          </cell>
          <cell r="AU133" t="str">
            <v>1701143-6</v>
          </cell>
          <cell r="AV133">
            <v>0</v>
          </cell>
          <cell r="AW133">
            <v>0</v>
          </cell>
          <cell r="AX133">
            <v>0</v>
          </cell>
          <cell r="AY133" t="str">
            <v>550x750</v>
          </cell>
          <cell r="AZ133" t="str">
            <v>N3</v>
          </cell>
          <cell r="BA133">
            <v>1000</v>
          </cell>
          <cell r="BB133" t="str">
            <v>bao dứa bọc nilong</v>
          </cell>
          <cell r="BC133">
            <v>0</v>
          </cell>
          <cell r="BD133">
            <v>0</v>
          </cell>
        </row>
        <row r="134">
          <cell r="A134" t="str">
            <v>sp 469</v>
          </cell>
          <cell r="B134" t="str">
            <v>Túi một màu KT 290x595x70 vĩnh phúc</v>
          </cell>
          <cell r="C134">
            <v>6.02</v>
          </cell>
          <cell r="D134">
            <v>1</v>
          </cell>
          <cell r="E134" t="str">
            <v>OPP 20x760</v>
          </cell>
          <cell r="F134">
            <v>1</v>
          </cell>
          <cell r="G134" t="str">
            <v>OPP</v>
          </cell>
          <cell r="H134">
            <v>0</v>
          </cell>
          <cell r="I134">
            <v>0</v>
          </cell>
          <cell r="J134">
            <v>0.03</v>
          </cell>
          <cell r="K134">
            <v>0</v>
          </cell>
          <cell r="L134">
            <v>5.85</v>
          </cell>
          <cell r="M134">
            <v>0</v>
          </cell>
          <cell r="N134">
            <v>0</v>
          </cell>
          <cell r="O134">
            <v>0.01</v>
          </cell>
          <cell r="P134">
            <v>0</v>
          </cell>
          <cell r="Q134">
            <v>0.13</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t="str">
            <v>MPET 12x760</v>
          </cell>
          <cell r="AF134" t="str">
            <v>PE 65x760</v>
          </cell>
          <cell r="AG134">
            <v>7.2295000000000012E-2</v>
          </cell>
          <cell r="AH134">
            <v>1.1499999999999999</v>
          </cell>
          <cell r="AI134">
            <v>1.5</v>
          </cell>
          <cell r="AJ134">
            <v>9530</v>
          </cell>
          <cell r="AK134">
            <v>9530</v>
          </cell>
          <cell r="AL134" t="str">
            <v>0,0053(0,0023;0,003)</v>
          </cell>
          <cell r="AM134" t="str">
            <v>túi hàn lưng xếp hông</v>
          </cell>
          <cell r="AN134">
            <v>595</v>
          </cell>
          <cell r="AO134" t="str">
            <v>Công ty TNHH Thế hệ mới Vĩnh Phúc</v>
          </cell>
          <cell r="AP134">
            <v>0</v>
          </cell>
          <cell r="AQ134">
            <v>0</v>
          </cell>
          <cell r="AR134" t="str">
            <v>1506198-3</v>
          </cell>
          <cell r="AS134">
            <v>0</v>
          </cell>
          <cell r="AT134">
            <v>0</v>
          </cell>
          <cell r="AU134">
            <v>0</v>
          </cell>
          <cell r="AV134">
            <v>0</v>
          </cell>
          <cell r="AW134">
            <v>0</v>
          </cell>
          <cell r="AX134">
            <v>0</v>
          </cell>
          <cell r="AY134" t="str">
            <v>440x870</v>
          </cell>
          <cell r="AZ134" t="str">
            <v>N1</v>
          </cell>
          <cell r="BA134">
            <v>800</v>
          </cell>
          <cell r="BB134" t="str">
            <v>bao dứa</v>
          </cell>
          <cell r="BC134">
            <v>0</v>
          </cell>
          <cell r="BD134" t="str">
            <v>in chung trục xanh sp 351</v>
          </cell>
        </row>
        <row r="135">
          <cell r="A135" t="str">
            <v>sp 475</v>
          </cell>
          <cell r="B135" t="str">
            <v>Túi bánh trứng lipo 200gr BC tiếng trung alpha</v>
          </cell>
          <cell r="C135">
            <v>7.1</v>
          </cell>
          <cell r="D135">
            <v>1</v>
          </cell>
          <cell r="E135" t="str">
            <v>PET 12x550</v>
          </cell>
          <cell r="F135">
            <v>7</v>
          </cell>
          <cell r="G135" t="str">
            <v>PET</v>
          </cell>
          <cell r="H135">
            <v>0.04</v>
          </cell>
          <cell r="I135">
            <v>2.91</v>
          </cell>
          <cell r="J135">
            <v>0.03</v>
          </cell>
          <cell r="K135">
            <v>0.47</v>
          </cell>
          <cell r="L135">
            <v>2.97</v>
          </cell>
          <cell r="M135">
            <v>0.66</v>
          </cell>
          <cell r="N135">
            <v>0</v>
          </cell>
          <cell r="O135">
            <v>0</v>
          </cell>
          <cell r="P135">
            <v>0</v>
          </cell>
          <cell r="Q135">
            <v>0.01</v>
          </cell>
          <cell r="R135">
            <v>0.01</v>
          </cell>
          <cell r="S135">
            <v>0</v>
          </cell>
          <cell r="T135">
            <v>0</v>
          </cell>
          <cell r="U135">
            <v>0</v>
          </cell>
          <cell r="V135">
            <v>0</v>
          </cell>
          <cell r="W135">
            <v>0</v>
          </cell>
          <cell r="X135">
            <v>0</v>
          </cell>
          <cell r="Y135">
            <v>0</v>
          </cell>
          <cell r="Z135">
            <v>0</v>
          </cell>
          <cell r="AA135">
            <v>0</v>
          </cell>
          <cell r="AB135">
            <v>0</v>
          </cell>
          <cell r="AC135">
            <v>0</v>
          </cell>
          <cell r="AD135">
            <v>0</v>
          </cell>
          <cell r="AE135" t="str">
            <v>PE 65x550</v>
          </cell>
          <cell r="AF135">
            <v>0</v>
          </cell>
          <cell r="AG135">
            <v>4.2308750000000006E-2</v>
          </cell>
          <cell r="AH135">
            <v>1.242</v>
          </cell>
          <cell r="AI135">
            <v>0</v>
          </cell>
          <cell r="AJ135">
            <v>9690</v>
          </cell>
          <cell r="AK135">
            <v>0</v>
          </cell>
          <cell r="AL135">
            <v>2.3E-2</v>
          </cell>
          <cell r="AM135" t="str">
            <v xml:space="preserve">túi ba biên </v>
          </cell>
          <cell r="AN135">
            <v>300</v>
          </cell>
          <cell r="AO135" t="str">
            <v>Công ty Quốc tế Alpha</v>
          </cell>
          <cell r="AP135" t="str">
            <v>22040748-1</v>
          </cell>
          <cell r="AQ135" t="str">
            <v>22040748-2</v>
          </cell>
          <cell r="AR135" t="str">
            <v>22040748-3</v>
          </cell>
          <cell r="AS135" t="str">
            <v>22040748-4</v>
          </cell>
          <cell r="AT135" t="str">
            <v>22040748-5</v>
          </cell>
          <cell r="AU135" t="str">
            <v>22040748-6</v>
          </cell>
          <cell r="AV135" t="str">
            <v>22040748-7</v>
          </cell>
          <cell r="AW135" t="str">
            <v>22040748-8</v>
          </cell>
          <cell r="AX135">
            <v>0</v>
          </cell>
          <cell r="AY135" t="str">
            <v>600x750</v>
          </cell>
          <cell r="AZ135" t="str">
            <v>C1</v>
          </cell>
          <cell r="BA135">
            <v>2500</v>
          </cell>
          <cell r="BB135" t="str">
            <v>Thùng 5 lớp 42x34x36</v>
          </cell>
          <cell r="BC135">
            <v>0</v>
          </cell>
          <cell r="BD135">
            <v>0</v>
          </cell>
        </row>
        <row r="136">
          <cell r="A136" t="str">
            <v>sp 476</v>
          </cell>
          <cell r="B136" t="str">
            <v>Túi thuốc trừ sâu Bemgold 750 WP loại 18gr USA</v>
          </cell>
          <cell r="C136">
            <v>0</v>
          </cell>
          <cell r="D136">
            <v>2</v>
          </cell>
          <cell r="E136" t="str">
            <v>PET 12x700</v>
          </cell>
          <cell r="F136">
            <v>7</v>
          </cell>
          <cell r="G136" t="str">
            <v>PET</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t="str">
            <v>MPET 12x700</v>
          </cell>
          <cell r="AF136" t="str">
            <v>PE 75x700</v>
          </cell>
          <cell r="AG136">
            <v>7.2082500000000008E-2</v>
          </cell>
          <cell r="AH136">
            <v>1.0579999999999998</v>
          </cell>
          <cell r="AI136">
            <v>1.0579999999999998</v>
          </cell>
          <cell r="AJ136">
            <v>9530</v>
          </cell>
          <cell r="AK136">
            <v>9530</v>
          </cell>
          <cell r="AL136" t="str">
            <v>0,0046(0,0023;0,0023)</v>
          </cell>
          <cell r="AM136" t="str">
            <v>túi ba biên</v>
          </cell>
          <cell r="AN136">
            <v>120</v>
          </cell>
          <cell r="AO136" t="str">
            <v>Công ty công nghệ cao USA</v>
          </cell>
          <cell r="AP136" t="str">
            <v>1601834-1</v>
          </cell>
          <cell r="AQ136" t="str">
            <v>1601834-2</v>
          </cell>
          <cell r="AR136" t="str">
            <v>1601834-3</v>
          </cell>
          <cell r="AS136" t="str">
            <v>1601834-4</v>
          </cell>
          <cell r="AT136" t="str">
            <v>1601834-5</v>
          </cell>
          <cell r="AU136" t="str">
            <v>1601834-6</v>
          </cell>
          <cell r="AV136" t="str">
            <v>1601834-7</v>
          </cell>
          <cell r="AW136">
            <v>0</v>
          </cell>
          <cell r="AX136">
            <v>0</v>
          </cell>
          <cell r="AY136">
            <v>0</v>
          </cell>
          <cell r="AZ136" t="str">
            <v>N3</v>
          </cell>
          <cell r="BA136">
            <v>0</v>
          </cell>
          <cell r="BB136" t="str">
            <v>Thùng 5 lớp 42x34x36</v>
          </cell>
          <cell r="BC136">
            <v>0</v>
          </cell>
          <cell r="BD136">
            <v>0</v>
          </cell>
        </row>
        <row r="137">
          <cell r="A137" t="str">
            <v>sp 477</v>
          </cell>
          <cell r="B137" t="str">
            <v>Túi thuốc T.T.S 50gr vietvet</v>
          </cell>
          <cell r="C137">
            <v>9.1999999999999993</v>
          </cell>
          <cell r="D137">
            <v>2</v>
          </cell>
          <cell r="E137" t="str">
            <v>OPP 20x680</v>
          </cell>
          <cell r="F137">
            <v>3</v>
          </cell>
          <cell r="G137" t="str">
            <v>OPP</v>
          </cell>
          <cell r="H137">
            <v>0.25</v>
          </cell>
          <cell r="I137">
            <v>0</v>
          </cell>
          <cell r="J137">
            <v>0</v>
          </cell>
          <cell r="K137">
            <v>0</v>
          </cell>
          <cell r="L137">
            <v>5</v>
          </cell>
          <cell r="M137">
            <v>2</v>
          </cell>
          <cell r="N137">
            <v>0</v>
          </cell>
          <cell r="O137">
            <v>0</v>
          </cell>
          <cell r="P137">
            <v>1.94</v>
          </cell>
          <cell r="Q137">
            <v>0.01</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t="str">
            <v xml:space="preserve">AL 6x680 </v>
          </cell>
          <cell r="AF137" t="str">
            <v>PE 75x690</v>
          </cell>
          <cell r="AG137">
            <v>7.0607800000000012E-2</v>
          </cell>
          <cell r="AH137">
            <v>1.0273333333333332</v>
          </cell>
          <cell r="AI137">
            <v>1.0273333333333332</v>
          </cell>
          <cell r="AJ137">
            <v>9530</v>
          </cell>
          <cell r="AK137">
            <v>9530</v>
          </cell>
          <cell r="AL137" t="str">
            <v>0,0046(0,0023;0,0023)</v>
          </cell>
          <cell r="AM137" t="str">
            <v>túi ba biên</v>
          </cell>
          <cell r="AN137">
            <v>130</v>
          </cell>
          <cell r="AO137" t="str">
            <v>Công ty Đất Việt</v>
          </cell>
          <cell r="AP137" t="str">
            <v>1602031-1</v>
          </cell>
          <cell r="AQ137" t="str">
            <v>1602031-2</v>
          </cell>
          <cell r="AR137" t="str">
            <v>1602031-3</v>
          </cell>
          <cell r="AS137">
            <v>0</v>
          </cell>
          <cell r="AT137">
            <v>0</v>
          </cell>
          <cell r="AU137">
            <v>0</v>
          </cell>
          <cell r="AV137">
            <v>0</v>
          </cell>
          <cell r="AW137">
            <v>0</v>
          </cell>
          <cell r="AX137">
            <v>0</v>
          </cell>
          <cell r="AY137" t="str">
            <v>520x750</v>
          </cell>
          <cell r="AZ137" t="str">
            <v>N3</v>
          </cell>
          <cell r="BA137">
            <v>8000</v>
          </cell>
          <cell r="BB137" t="str">
            <v>Thùng 5 lớp 42x34x36</v>
          </cell>
          <cell r="BC137">
            <v>0</v>
          </cell>
          <cell r="BD137">
            <v>0</v>
          </cell>
        </row>
        <row r="138">
          <cell r="A138" t="str">
            <v>sp 478</v>
          </cell>
          <cell r="B138" t="str">
            <v>Túi thuốc Bcomplex Super 100gr vietvet</v>
          </cell>
          <cell r="C138">
            <v>5.0999999999999996</v>
          </cell>
          <cell r="D138">
            <v>2</v>
          </cell>
          <cell r="E138" t="str">
            <v>OPP 20x720</v>
          </cell>
          <cell r="F138">
            <v>3</v>
          </cell>
          <cell r="G138" t="str">
            <v>OPP</v>
          </cell>
          <cell r="H138">
            <v>0</v>
          </cell>
          <cell r="I138">
            <v>3.4</v>
          </cell>
          <cell r="J138">
            <v>0</v>
          </cell>
          <cell r="K138">
            <v>0</v>
          </cell>
          <cell r="L138">
            <v>0.9</v>
          </cell>
          <cell r="M138">
            <v>0</v>
          </cell>
          <cell r="N138">
            <v>0</v>
          </cell>
          <cell r="O138">
            <v>0</v>
          </cell>
          <cell r="P138">
            <v>0</v>
          </cell>
          <cell r="Q138">
            <v>0.1</v>
          </cell>
          <cell r="R138">
            <v>0.7</v>
          </cell>
          <cell r="S138">
            <v>0</v>
          </cell>
          <cell r="T138">
            <v>0</v>
          </cell>
          <cell r="U138">
            <v>0</v>
          </cell>
          <cell r="V138">
            <v>0</v>
          </cell>
          <cell r="W138">
            <v>0</v>
          </cell>
          <cell r="X138">
            <v>0</v>
          </cell>
          <cell r="Y138">
            <v>0</v>
          </cell>
          <cell r="Z138">
            <v>0</v>
          </cell>
          <cell r="AA138">
            <v>0</v>
          </cell>
          <cell r="AB138">
            <v>0</v>
          </cell>
          <cell r="AC138">
            <v>0</v>
          </cell>
          <cell r="AD138">
            <v>0</v>
          </cell>
          <cell r="AE138" t="str">
            <v>Al 6x720</v>
          </cell>
          <cell r="AF138" t="str">
            <v>PE 75x730</v>
          </cell>
          <cell r="AG138">
            <v>7.47612E-2</v>
          </cell>
          <cell r="AH138">
            <v>1.0886666666666664</v>
          </cell>
          <cell r="AI138">
            <v>1.0886666666666664</v>
          </cell>
          <cell r="AJ138">
            <v>9530</v>
          </cell>
          <cell r="AK138">
            <v>9530</v>
          </cell>
          <cell r="AL138" t="str">
            <v>0,0046(0,0023;0,0023)</v>
          </cell>
          <cell r="AM138" t="str">
            <v>túi ba biên</v>
          </cell>
          <cell r="AN138">
            <v>150</v>
          </cell>
          <cell r="AO138" t="str">
            <v>Công ty Đất Việt</v>
          </cell>
          <cell r="AP138" t="e">
            <v>#N/A</v>
          </cell>
          <cell r="AQ138" t="e">
            <v>#N/A</v>
          </cell>
          <cell r="AR138" t="e">
            <v>#N/A</v>
          </cell>
          <cell r="AS138" t="e">
            <v>#N/A</v>
          </cell>
          <cell r="AT138" t="e">
            <v>#N/A</v>
          </cell>
          <cell r="AU138" t="e">
            <v>#N/A</v>
          </cell>
          <cell r="AV138" t="e">
            <v>#N/A</v>
          </cell>
          <cell r="AW138" t="e">
            <v>#N/A</v>
          </cell>
          <cell r="AX138" t="e">
            <v>#N/A</v>
          </cell>
          <cell r="AY138" t="e">
            <v>#N/A</v>
          </cell>
          <cell r="AZ138" t="e">
            <v>#N/A</v>
          </cell>
          <cell r="BA138">
            <v>7000</v>
          </cell>
          <cell r="BB138" t="str">
            <v>Thùng 5 lớp 42x34x36, bọc nilong</v>
          </cell>
          <cell r="BC138">
            <v>0</v>
          </cell>
          <cell r="BD138" t="e">
            <v>#N/A</v>
          </cell>
        </row>
        <row r="139">
          <cell r="A139" t="str">
            <v>sp 479</v>
          </cell>
          <cell r="B139" t="str">
            <v>Cuộn màng T.Cocid 10gr vietvet</v>
          </cell>
          <cell r="C139">
            <v>2.2000000000000002</v>
          </cell>
          <cell r="D139">
            <v>4</v>
          </cell>
          <cell r="E139" t="str">
            <v>OPP 20x700</v>
          </cell>
          <cell r="F139">
            <v>2</v>
          </cell>
          <cell r="G139" t="str">
            <v>OPP</v>
          </cell>
          <cell r="H139">
            <v>0</v>
          </cell>
          <cell r="I139">
            <v>0</v>
          </cell>
          <cell r="J139">
            <v>0</v>
          </cell>
          <cell r="K139">
            <v>0</v>
          </cell>
          <cell r="L139">
            <v>0</v>
          </cell>
          <cell r="M139">
            <v>0</v>
          </cell>
          <cell r="N139">
            <v>0</v>
          </cell>
          <cell r="O139">
            <v>0</v>
          </cell>
          <cell r="P139">
            <v>1.1000000000000001</v>
          </cell>
          <cell r="Q139">
            <v>0</v>
          </cell>
          <cell r="R139">
            <v>1.1000000000000001</v>
          </cell>
          <cell r="S139">
            <v>0</v>
          </cell>
          <cell r="T139">
            <v>0</v>
          </cell>
          <cell r="U139">
            <v>0</v>
          </cell>
          <cell r="V139">
            <v>0</v>
          </cell>
          <cell r="W139">
            <v>0</v>
          </cell>
          <cell r="X139">
            <v>0</v>
          </cell>
          <cell r="Y139">
            <v>0</v>
          </cell>
          <cell r="Z139">
            <v>0</v>
          </cell>
          <cell r="AA139">
            <v>0</v>
          </cell>
          <cell r="AB139">
            <v>0</v>
          </cell>
          <cell r="AC139">
            <v>0</v>
          </cell>
          <cell r="AD139">
            <v>0</v>
          </cell>
          <cell r="AE139" t="str">
            <v>Al 6x700</v>
          </cell>
          <cell r="AF139" t="str">
            <v xml:space="preserve">PE 75x710 </v>
          </cell>
          <cell r="AG139">
            <v>7.2684499999999999E-2</v>
          </cell>
          <cell r="AH139">
            <v>1.0579999999999998</v>
          </cell>
          <cell r="AI139">
            <v>1.0579999999999998</v>
          </cell>
          <cell r="AJ139">
            <v>9530</v>
          </cell>
          <cell r="AK139">
            <v>9530</v>
          </cell>
          <cell r="AL139" t="str">
            <v>0,0046(0,0023;0,0023)</v>
          </cell>
          <cell r="AM139" t="str">
            <v>dạng cuộn 500m</v>
          </cell>
          <cell r="AN139">
            <v>170</v>
          </cell>
          <cell r="AO139" t="str">
            <v>Công ty Đất Việt</v>
          </cell>
          <cell r="AP139" t="e">
            <v>#N/A</v>
          </cell>
          <cell r="AQ139" t="e">
            <v>#N/A</v>
          </cell>
          <cell r="AR139" t="e">
            <v>#N/A</v>
          </cell>
          <cell r="AS139" t="e">
            <v>#N/A</v>
          </cell>
          <cell r="AT139" t="e">
            <v>#N/A</v>
          </cell>
          <cell r="AU139" t="e">
            <v>#N/A</v>
          </cell>
          <cell r="AV139" t="e">
            <v>#N/A</v>
          </cell>
          <cell r="AW139" t="e">
            <v>#N/A</v>
          </cell>
          <cell r="AX139" t="e">
            <v>#N/A</v>
          </cell>
          <cell r="AY139" t="e">
            <v>#N/A</v>
          </cell>
          <cell r="AZ139" t="e">
            <v>#N/A</v>
          </cell>
          <cell r="BA139" t="str">
            <v>4c</v>
          </cell>
          <cell r="BB139" t="str">
            <v>giấy cartoon, bọc nilong</v>
          </cell>
          <cell r="BC139">
            <v>0</v>
          </cell>
          <cell r="BD139" t="e">
            <v>#N/A</v>
          </cell>
        </row>
        <row r="140">
          <cell r="A140" t="str">
            <v>sp 486</v>
          </cell>
          <cell r="B140" t="str">
            <v>Cuộn bánh bao phumy bakery phú mỹ</v>
          </cell>
          <cell r="C140">
            <v>1.9</v>
          </cell>
          <cell r="D140">
            <v>2</v>
          </cell>
          <cell r="E140" t="str">
            <v>OPP mờ 20x600</v>
          </cell>
          <cell r="F140">
            <v>1</v>
          </cell>
          <cell r="G140" t="str">
            <v>OPP</v>
          </cell>
          <cell r="H140">
            <v>0</v>
          </cell>
          <cell r="I140">
            <v>1.9</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t="str">
            <v>CPP 20x600</v>
          </cell>
          <cell r="AF140">
            <v>0</v>
          </cell>
          <cell r="AG140">
            <v>2.1840000000000002E-2</v>
          </cell>
          <cell r="AH140">
            <v>0.78666666666666663</v>
          </cell>
          <cell r="AI140">
            <v>0</v>
          </cell>
          <cell r="AJ140">
            <v>9530</v>
          </cell>
          <cell r="AK140">
            <v>0</v>
          </cell>
          <cell r="AL140">
            <v>2E-3</v>
          </cell>
          <cell r="AM140" t="str">
            <v>dạng cuộn 1000m</v>
          </cell>
          <cell r="AN140">
            <v>290</v>
          </cell>
          <cell r="AO140" t="str">
            <v>Công ty Phú Mỹ</v>
          </cell>
          <cell r="AP140" t="str">
            <v>1603030-1</v>
          </cell>
          <cell r="AQ140">
            <v>0</v>
          </cell>
          <cell r="AR140">
            <v>0</v>
          </cell>
          <cell r="AS140">
            <v>0</v>
          </cell>
          <cell r="AT140">
            <v>0</v>
          </cell>
          <cell r="AU140">
            <v>0</v>
          </cell>
          <cell r="AV140">
            <v>0</v>
          </cell>
          <cell r="AW140">
            <v>0</v>
          </cell>
          <cell r="AX140">
            <v>0</v>
          </cell>
          <cell r="AY140" t="str">
            <v>525x750</v>
          </cell>
          <cell r="AZ140" t="str">
            <v>V1</v>
          </cell>
          <cell r="BA140" t="str">
            <v>1c</v>
          </cell>
          <cell r="BB140" t="str">
            <v>giấy cartoon</v>
          </cell>
          <cell r="BC140">
            <v>0</v>
          </cell>
          <cell r="BD140">
            <v>0</v>
          </cell>
        </row>
        <row r="141">
          <cell r="A141" t="str">
            <v>sp 504</v>
          </cell>
          <cell r="B141" t="str">
            <v>Túi thuốc trừ sâu Jzomil 720WP loại 100g USD</v>
          </cell>
          <cell r="C141">
            <v>8.1999999999999993</v>
          </cell>
          <cell r="D141">
            <v>2</v>
          </cell>
          <cell r="E141" t="str">
            <v>PET 12x640</v>
          </cell>
          <cell r="F141">
            <v>7</v>
          </cell>
          <cell r="G141" t="str">
            <v>PET</v>
          </cell>
          <cell r="H141">
            <v>0.1</v>
          </cell>
          <cell r="I141">
            <v>3.5</v>
          </cell>
          <cell r="J141">
            <v>0.1</v>
          </cell>
          <cell r="K141">
            <v>0.3</v>
          </cell>
          <cell r="L141">
            <v>3.5</v>
          </cell>
          <cell r="M141">
            <v>0.5</v>
          </cell>
          <cell r="N141">
            <v>0</v>
          </cell>
          <cell r="O141">
            <v>0.1</v>
          </cell>
          <cell r="P141">
            <v>0.1</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t="str">
            <v xml:space="preserve"> MPET 12x640</v>
          </cell>
          <cell r="AF141" t="str">
            <v>PE 75x640</v>
          </cell>
          <cell r="AG141">
            <v>6.5904000000000004E-2</v>
          </cell>
          <cell r="AH141">
            <v>0.96599999999999997</v>
          </cell>
          <cell r="AI141">
            <v>0.96599999999999997</v>
          </cell>
          <cell r="AJ141">
            <v>9530</v>
          </cell>
          <cell r="AK141">
            <v>9530</v>
          </cell>
          <cell r="AL141" t="str">
            <v>0,0046(0,0023;0,0023)</v>
          </cell>
          <cell r="AM141" t="str">
            <v>túi ba biên</v>
          </cell>
          <cell r="AN141">
            <v>225</v>
          </cell>
          <cell r="AO141" t="str">
            <v>Công ty công nghệ cao USA</v>
          </cell>
          <cell r="AP141" t="e">
            <v>#N/A</v>
          </cell>
          <cell r="AQ141" t="e">
            <v>#N/A</v>
          </cell>
          <cell r="AR141" t="e">
            <v>#N/A</v>
          </cell>
          <cell r="AS141" t="e">
            <v>#N/A</v>
          </cell>
          <cell r="AT141" t="e">
            <v>#N/A</v>
          </cell>
          <cell r="AU141" t="e">
            <v>#N/A</v>
          </cell>
          <cell r="AV141" t="e">
            <v>#N/A</v>
          </cell>
          <cell r="AW141" t="e">
            <v>#N/A</v>
          </cell>
          <cell r="AX141" t="e">
            <v>#N/A</v>
          </cell>
          <cell r="AY141" t="e">
            <v>#N/A</v>
          </cell>
          <cell r="AZ141" t="e">
            <v>#N/A</v>
          </cell>
          <cell r="BA141">
            <v>5000</v>
          </cell>
          <cell r="BB141" t="str">
            <v>Thùng 5 lớp 42x34x36</v>
          </cell>
          <cell r="BC141">
            <v>0</v>
          </cell>
          <cell r="BD141" t="e">
            <v>#N/A</v>
          </cell>
        </row>
        <row r="142">
          <cell r="A142" t="str">
            <v>sp 505</v>
          </cell>
          <cell r="B142" t="str">
            <v>Cuộn thuốc trừ sâu Actamec 36EC loại 9ml USA</v>
          </cell>
          <cell r="C142">
            <v>0</v>
          </cell>
          <cell r="D142">
            <v>5</v>
          </cell>
          <cell r="E142" t="str">
            <v>PET 12x730</v>
          </cell>
          <cell r="F142">
            <v>7</v>
          </cell>
          <cell r="G142" t="str">
            <v>PET</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t="str">
            <v>MPET 12x730</v>
          </cell>
          <cell r="AF142" t="str">
            <v>PEDB012 70x730</v>
          </cell>
          <cell r="AG142">
            <v>7.1795500000000012E-2</v>
          </cell>
          <cell r="AH142">
            <v>1.1039999999999999</v>
          </cell>
          <cell r="AI142">
            <v>4.2723631508678226</v>
          </cell>
          <cell r="AJ142">
            <v>9530</v>
          </cell>
          <cell r="AK142" t="str">
            <v>811A</v>
          </cell>
          <cell r="AL142" t="str">
            <v>0.0023 (9530); 0.004 (811A)</v>
          </cell>
          <cell r="AM142" t="str">
            <v>dạng cuộn 500m</v>
          </cell>
          <cell r="AN142">
            <v>142</v>
          </cell>
          <cell r="AO142" t="str">
            <v>Công ty công nghệ cao USA</v>
          </cell>
          <cell r="AP142" t="e">
            <v>#N/A</v>
          </cell>
          <cell r="AQ142" t="e">
            <v>#N/A</v>
          </cell>
          <cell r="AR142" t="e">
            <v>#N/A</v>
          </cell>
          <cell r="AS142" t="e">
            <v>#N/A</v>
          </cell>
          <cell r="AT142" t="e">
            <v>#N/A</v>
          </cell>
          <cell r="AU142" t="e">
            <v>#N/A</v>
          </cell>
          <cell r="AV142" t="e">
            <v>#N/A</v>
          </cell>
          <cell r="AW142" t="e">
            <v>#N/A</v>
          </cell>
          <cell r="AX142" t="e">
            <v>#N/A</v>
          </cell>
          <cell r="AY142" t="e">
            <v>#N/A</v>
          </cell>
          <cell r="AZ142" t="e">
            <v>#N/A</v>
          </cell>
          <cell r="BA142" t="str">
            <v>3c</v>
          </cell>
          <cell r="BB142" t="str">
            <v>giấy cartoon K600</v>
          </cell>
          <cell r="BC142">
            <v>0</v>
          </cell>
          <cell r="BD142" t="e">
            <v>#N/A</v>
          </cell>
        </row>
        <row r="143">
          <cell r="A143" t="str">
            <v>sp 509</v>
          </cell>
          <cell r="B143" t="str">
            <v>Túi chè tân cương Phúc Linh 100gr</v>
          </cell>
          <cell r="C143">
            <v>10.129999999999999</v>
          </cell>
          <cell r="D143">
            <v>2</v>
          </cell>
          <cell r="E143" t="str">
            <v>OPP 20x540</v>
          </cell>
          <cell r="F143">
            <v>5</v>
          </cell>
          <cell r="G143" t="str">
            <v>OPP</v>
          </cell>
          <cell r="H143">
            <v>0</v>
          </cell>
          <cell r="I143">
            <v>2.86</v>
          </cell>
          <cell r="J143">
            <v>0.52</v>
          </cell>
          <cell r="K143">
            <v>0.26</v>
          </cell>
          <cell r="L143">
            <v>2.86</v>
          </cell>
          <cell r="M143">
            <v>3.63</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t="str">
            <v xml:space="preserve">CPP/PE 40x540 </v>
          </cell>
          <cell r="AF143">
            <v>0</v>
          </cell>
          <cell r="AG143">
            <v>2.4570000000000002E-2</v>
          </cell>
          <cell r="AH143">
            <v>0.72</v>
          </cell>
          <cell r="AI143">
            <v>0</v>
          </cell>
          <cell r="AJ143">
            <v>9530</v>
          </cell>
          <cell r="AK143">
            <v>0</v>
          </cell>
          <cell r="AL143">
            <v>2E-3</v>
          </cell>
          <cell r="AM143" t="str">
            <v>túi hàn lưng, xếp hông lệch</v>
          </cell>
          <cell r="AN143">
            <v>215</v>
          </cell>
          <cell r="AO143" t="str">
            <v>Công ty Phúc Linh</v>
          </cell>
          <cell r="AP143" t="str">
            <v>1604095-1</v>
          </cell>
          <cell r="AQ143" t="str">
            <v>1604095-2</v>
          </cell>
          <cell r="AR143" t="str">
            <v>1604095-3</v>
          </cell>
          <cell r="AS143" t="str">
            <v>1604095-4</v>
          </cell>
          <cell r="AT143" t="str">
            <v>1604095-5</v>
          </cell>
          <cell r="AU143">
            <v>0</v>
          </cell>
          <cell r="AV143">
            <v>0</v>
          </cell>
          <cell r="AW143">
            <v>0</v>
          </cell>
          <cell r="AX143">
            <v>0</v>
          </cell>
          <cell r="AY143" t="str">
            <v>430x750</v>
          </cell>
          <cell r="AZ143" t="str">
            <v>N3</v>
          </cell>
          <cell r="BA143">
            <v>5000</v>
          </cell>
          <cell r="BB143" t="str">
            <v>Thùng 5 lớp 42x34x36</v>
          </cell>
          <cell r="BC143">
            <v>0</v>
          </cell>
          <cell r="BD143">
            <v>0</v>
          </cell>
        </row>
        <row r="144">
          <cell r="A144" t="str">
            <v>sp 521</v>
          </cell>
          <cell r="B144" t="str">
            <v>Túi hương thơm KT 240 x 490 liên đức</v>
          </cell>
          <cell r="C144">
            <v>3.1799999999999997</v>
          </cell>
          <cell r="D144">
            <v>1</v>
          </cell>
          <cell r="E144" t="str">
            <v>OPP 20x500</v>
          </cell>
          <cell r="F144">
            <v>2</v>
          </cell>
          <cell r="G144" t="str">
            <v>OPP</v>
          </cell>
          <cell r="H144">
            <v>0</v>
          </cell>
          <cell r="I144">
            <v>0</v>
          </cell>
          <cell r="J144">
            <v>0</v>
          </cell>
          <cell r="K144">
            <v>0</v>
          </cell>
          <cell r="L144">
            <v>0.7</v>
          </cell>
          <cell r="M144">
            <v>1.27</v>
          </cell>
          <cell r="N144">
            <v>0</v>
          </cell>
          <cell r="O144">
            <v>0</v>
          </cell>
          <cell r="P144">
            <v>1.08</v>
          </cell>
          <cell r="Q144">
            <v>0.13</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t="str">
            <v>CPP 30x500</v>
          </cell>
          <cell r="AF144">
            <v>0</v>
          </cell>
          <cell r="AG144">
            <v>2.2749999999999999E-2</v>
          </cell>
          <cell r="AH144">
            <v>0.65333333333333332</v>
          </cell>
          <cell r="AI144">
            <v>0</v>
          </cell>
          <cell r="AJ144">
            <v>9530</v>
          </cell>
          <cell r="AK144">
            <v>0</v>
          </cell>
          <cell r="AL144">
            <v>2E-3</v>
          </cell>
          <cell r="AM144" t="str">
            <v>túi ba biên</v>
          </cell>
          <cell r="AN144">
            <v>490</v>
          </cell>
          <cell r="AO144" t="str">
            <v>Doanh nghiệp tư nhân Bảy Lương</v>
          </cell>
          <cell r="AP144" t="str">
            <v>1604778-1</v>
          </cell>
          <cell r="AQ144" t="str">
            <v>1604778-2</v>
          </cell>
          <cell r="AR144">
            <v>0</v>
          </cell>
          <cell r="AS144">
            <v>0</v>
          </cell>
          <cell r="AT144">
            <v>0</v>
          </cell>
          <cell r="AU144">
            <v>0</v>
          </cell>
          <cell r="AV144">
            <v>0</v>
          </cell>
          <cell r="AW144">
            <v>0</v>
          </cell>
          <cell r="AX144">
            <v>0</v>
          </cell>
          <cell r="AY144" t="str">
            <v>490x750</v>
          </cell>
          <cell r="AZ144" t="str">
            <v>N3</v>
          </cell>
          <cell r="BA144">
            <v>0</v>
          </cell>
          <cell r="BB144" t="str">
            <v>bao dứa</v>
          </cell>
          <cell r="BC144">
            <v>0</v>
          </cell>
          <cell r="BD144">
            <v>0</v>
          </cell>
        </row>
        <row r="145">
          <cell r="A145" t="str">
            <v>sp 537</v>
          </cell>
          <cell r="B145" t="str">
            <v>Cuộn thức trừ sâu Stargold 5SL loại 20ml việt đức mới ( không có hình ảnh bác sỹ)</v>
          </cell>
          <cell r="C145">
            <v>0</v>
          </cell>
          <cell r="D145">
            <v>4</v>
          </cell>
          <cell r="E145" t="str">
            <v>PET 12x740</v>
          </cell>
          <cell r="F145">
            <v>6</v>
          </cell>
          <cell r="G145" t="str">
            <v>PET</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t="str">
            <v>MPET 12x740</v>
          </cell>
          <cell r="AF145" t="str">
            <v>PEDB005 70x740</v>
          </cell>
          <cell r="AG145">
            <v>7.277900000000001E-2</v>
          </cell>
          <cell r="AH145">
            <v>1.1193333333333333</v>
          </cell>
          <cell r="AI145">
            <v>4.331701527963209</v>
          </cell>
          <cell r="AJ145">
            <v>9530</v>
          </cell>
          <cell r="AK145" t="str">
            <v>811A</v>
          </cell>
          <cell r="AL145" t="str">
            <v>0.0023 (9530); 0.004 (811A)</v>
          </cell>
          <cell r="AM145" t="str">
            <v>dạng cuộn 500m</v>
          </cell>
          <cell r="AN145">
            <v>180</v>
          </cell>
          <cell r="AO145" t="str">
            <v>Công ty Việt Đức</v>
          </cell>
          <cell r="AP145" t="e">
            <v>#N/A</v>
          </cell>
          <cell r="AQ145" t="e">
            <v>#N/A</v>
          </cell>
          <cell r="AR145" t="e">
            <v>#N/A</v>
          </cell>
          <cell r="AS145" t="e">
            <v>#N/A</v>
          </cell>
          <cell r="AT145" t="e">
            <v>#N/A</v>
          </cell>
          <cell r="AU145" t="e">
            <v>#N/A</v>
          </cell>
          <cell r="AV145" t="e">
            <v>#N/A</v>
          </cell>
          <cell r="AW145" t="e">
            <v>#N/A</v>
          </cell>
          <cell r="AX145" t="e">
            <v>#N/A</v>
          </cell>
          <cell r="AY145" t="e">
            <v>#N/A</v>
          </cell>
          <cell r="AZ145" t="e">
            <v>#N/A</v>
          </cell>
          <cell r="BA145" t="str">
            <v>3c</v>
          </cell>
          <cell r="BB145" t="str">
            <v>giấy cartoon</v>
          </cell>
          <cell r="BC145">
            <v>0</v>
          </cell>
          <cell r="BD145" t="e">
            <v>#N/A</v>
          </cell>
        </row>
        <row r="146">
          <cell r="A146" t="str">
            <v>sp 550</v>
          </cell>
          <cell r="B146" t="str">
            <v>Cuộn thuốc diệt cỏ rorax 10 WP loai 5gr Việt Thắng</v>
          </cell>
          <cell r="C146">
            <v>3.504</v>
          </cell>
          <cell r="D146">
            <v>3</v>
          </cell>
          <cell r="E146" t="str">
            <v>PET 12x800</v>
          </cell>
          <cell r="F146">
            <v>8</v>
          </cell>
          <cell r="G146" t="str">
            <v>PET</v>
          </cell>
          <cell r="H146">
            <v>0.11</v>
          </cell>
          <cell r="I146">
            <v>1.8</v>
          </cell>
          <cell r="J146">
            <v>0.43</v>
          </cell>
          <cell r="K146">
            <v>0.04</v>
          </cell>
          <cell r="L146">
            <v>0.52</v>
          </cell>
          <cell r="M146">
            <v>0.46400000000000002</v>
          </cell>
          <cell r="N146">
            <v>0</v>
          </cell>
          <cell r="O146">
            <v>0</v>
          </cell>
          <cell r="P146">
            <v>0.13</v>
          </cell>
          <cell r="Q146">
            <v>0</v>
          </cell>
          <cell r="R146">
            <v>0.01</v>
          </cell>
          <cell r="S146">
            <v>0</v>
          </cell>
          <cell r="T146">
            <v>0</v>
          </cell>
          <cell r="U146">
            <v>0</v>
          </cell>
          <cell r="V146">
            <v>0</v>
          </cell>
          <cell r="W146">
            <v>0</v>
          </cell>
          <cell r="X146">
            <v>0</v>
          </cell>
          <cell r="Y146">
            <v>0</v>
          </cell>
          <cell r="Z146">
            <v>0</v>
          </cell>
          <cell r="AA146">
            <v>0</v>
          </cell>
          <cell r="AB146">
            <v>0</v>
          </cell>
          <cell r="AC146">
            <v>0</v>
          </cell>
          <cell r="AD146">
            <v>0</v>
          </cell>
          <cell r="AE146" t="str">
            <v>Al 6x800</v>
          </cell>
          <cell r="AF146" t="str">
            <v>PE 80x810</v>
          </cell>
          <cell r="AG146">
            <v>8.5648000000000016E-2</v>
          </cell>
          <cell r="AH146">
            <v>1.2113333333333334</v>
          </cell>
          <cell r="AI146">
            <v>1.2113333333333334</v>
          </cell>
          <cell r="AJ146">
            <v>9530</v>
          </cell>
          <cell r="AK146">
            <v>9530</v>
          </cell>
          <cell r="AL146" t="str">
            <v>0,0046(0,0023;0,0023)</v>
          </cell>
          <cell r="AM146" t="str">
            <v>dạng cuộn 700m</v>
          </cell>
          <cell r="AN146">
            <v>260</v>
          </cell>
          <cell r="AO146" t="str">
            <v>Công ty Việt Thắng</v>
          </cell>
          <cell r="AP146" t="str">
            <v>22050972-1</v>
          </cell>
          <cell r="AQ146" t="str">
            <v>17111056-2</v>
          </cell>
          <cell r="AR146" t="str">
            <v>19101151-3</v>
          </cell>
          <cell r="AS146" t="str">
            <v>1606159-4</v>
          </cell>
          <cell r="AT146" t="str">
            <v>1606159-5</v>
          </cell>
          <cell r="AU146" t="str">
            <v>22050972-6</v>
          </cell>
          <cell r="AV146" t="str">
            <v>1606159-7</v>
          </cell>
          <cell r="AW146" t="str">
            <v>1606159-8</v>
          </cell>
          <cell r="AX146">
            <v>0</v>
          </cell>
          <cell r="AY146" t="str">
            <v>450x850</v>
          </cell>
          <cell r="AZ146" t="str">
            <v>D1</v>
          </cell>
          <cell r="BA146" t="str">
            <v>1c</v>
          </cell>
          <cell r="BB146" t="str">
            <v>giấy cartoon K300</v>
          </cell>
          <cell r="BC146">
            <v>0</v>
          </cell>
          <cell r="BD146">
            <v>0</v>
          </cell>
        </row>
        <row r="147">
          <cell r="A147" t="str">
            <v>sp 552</v>
          </cell>
          <cell r="B147" t="str">
            <v>Túi thuốc trừ cỏ mía Wamrincomnbi 800WP loại 1kg Việt Thắng</v>
          </cell>
          <cell r="C147">
            <v>7.0790000000000015</v>
          </cell>
          <cell r="D147">
            <v>1</v>
          </cell>
          <cell r="E147" t="str">
            <v>PET 12x760</v>
          </cell>
          <cell r="F147">
            <v>6</v>
          </cell>
          <cell r="G147" t="str">
            <v>PET</v>
          </cell>
          <cell r="H147">
            <v>0.53</v>
          </cell>
          <cell r="I147">
            <v>3.8</v>
          </cell>
          <cell r="J147">
            <v>0.53</v>
          </cell>
          <cell r="K147">
            <v>0.23</v>
          </cell>
          <cell r="L147">
            <v>0.7</v>
          </cell>
          <cell r="M147">
            <v>1.169</v>
          </cell>
          <cell r="N147">
            <v>0</v>
          </cell>
          <cell r="O147">
            <v>0</v>
          </cell>
          <cell r="P147">
            <v>0</v>
          </cell>
          <cell r="Q147">
            <v>0</v>
          </cell>
          <cell r="R147">
            <v>0.12</v>
          </cell>
          <cell r="S147">
            <v>0</v>
          </cell>
          <cell r="T147">
            <v>0</v>
          </cell>
          <cell r="U147">
            <v>0</v>
          </cell>
          <cell r="V147">
            <v>0</v>
          </cell>
          <cell r="W147">
            <v>0</v>
          </cell>
          <cell r="X147">
            <v>0</v>
          </cell>
          <cell r="Y147">
            <v>0</v>
          </cell>
          <cell r="Z147">
            <v>0</v>
          </cell>
          <cell r="AA147">
            <v>0</v>
          </cell>
          <cell r="AB147">
            <v>0</v>
          </cell>
          <cell r="AC147">
            <v>0</v>
          </cell>
          <cell r="AD147">
            <v>0</v>
          </cell>
          <cell r="AE147" t="str">
            <v>Al 6x760</v>
          </cell>
          <cell r="AF147" t="str">
            <v>PE 80x760</v>
          </cell>
          <cell r="AG147">
            <v>8.136560000000001E-2</v>
          </cell>
          <cell r="AH147">
            <v>1.1499999999999999</v>
          </cell>
          <cell r="AI147">
            <v>1.1499999999999999</v>
          </cell>
          <cell r="AJ147">
            <v>9530</v>
          </cell>
          <cell r="AK147">
            <v>9530</v>
          </cell>
          <cell r="AL147" t="str">
            <v>0,0046(0,0023;0,0023)</v>
          </cell>
          <cell r="AM147" t="str">
            <v>túi ba biên</v>
          </cell>
          <cell r="AN147">
            <v>275</v>
          </cell>
          <cell r="AO147" t="str">
            <v>Công ty Việt Thắng</v>
          </cell>
          <cell r="AP147" t="str">
            <v>21050949-1</v>
          </cell>
          <cell r="AQ147" t="str">
            <v>1803821-2</v>
          </cell>
          <cell r="AR147" t="str">
            <v>21050949-3</v>
          </cell>
          <cell r="AS147" t="str">
            <v>21050949-4</v>
          </cell>
          <cell r="AT147" t="str">
            <v>21050949-5</v>
          </cell>
          <cell r="AU147" t="str">
            <v>1606574-6</v>
          </cell>
          <cell r="AV147">
            <v>0</v>
          </cell>
          <cell r="AW147">
            <v>0</v>
          </cell>
          <cell r="AX147">
            <v>0</v>
          </cell>
          <cell r="AY147" t="str">
            <v>550x850</v>
          </cell>
          <cell r="AZ147" t="str">
            <v>D1</v>
          </cell>
          <cell r="BA147">
            <v>1500</v>
          </cell>
          <cell r="BB147" t="str">
            <v>Thùng 5 lớp 42x34x36</v>
          </cell>
          <cell r="BC147">
            <v>0</v>
          </cell>
          <cell r="BD147">
            <v>0</v>
          </cell>
        </row>
        <row r="148">
          <cell r="A148" t="str">
            <v>sp 553</v>
          </cell>
          <cell r="B148" t="str">
            <v>Túi thuốc trừ cỏ mía Wamrincomnbi 800WP loại 500gr Việt Thắng</v>
          </cell>
          <cell r="C148">
            <v>2.7</v>
          </cell>
          <cell r="D148">
            <v>1</v>
          </cell>
          <cell r="E148" t="str">
            <v>PET 12x760</v>
          </cell>
          <cell r="F148">
            <v>6</v>
          </cell>
          <cell r="G148" t="str">
            <v>PET</v>
          </cell>
          <cell r="H148">
            <v>0.2</v>
          </cell>
          <cell r="I148">
            <v>1.2</v>
          </cell>
          <cell r="J148">
            <v>0.4</v>
          </cell>
          <cell r="K148">
            <v>0.2</v>
          </cell>
          <cell r="L148">
            <v>0.5</v>
          </cell>
          <cell r="M148">
            <v>0</v>
          </cell>
          <cell r="N148">
            <v>0</v>
          </cell>
          <cell r="O148">
            <v>0</v>
          </cell>
          <cell r="P148">
            <v>0</v>
          </cell>
          <cell r="Q148">
            <v>0</v>
          </cell>
          <cell r="R148">
            <v>0.2</v>
          </cell>
          <cell r="S148">
            <v>0</v>
          </cell>
          <cell r="T148">
            <v>0</v>
          </cell>
          <cell r="U148">
            <v>0</v>
          </cell>
          <cell r="V148">
            <v>0</v>
          </cell>
          <cell r="W148">
            <v>0</v>
          </cell>
          <cell r="X148">
            <v>0</v>
          </cell>
          <cell r="Y148">
            <v>0</v>
          </cell>
          <cell r="Z148">
            <v>0</v>
          </cell>
          <cell r="AA148">
            <v>0</v>
          </cell>
          <cell r="AB148">
            <v>0</v>
          </cell>
          <cell r="AC148">
            <v>0</v>
          </cell>
          <cell r="AD148">
            <v>0</v>
          </cell>
          <cell r="AE148" t="str">
            <v>Al 6x760</v>
          </cell>
          <cell r="AF148" t="str">
            <v>PE 95x770</v>
          </cell>
          <cell r="AG148">
            <v>9.1910600000000009E-2</v>
          </cell>
          <cell r="AH148">
            <v>1.25</v>
          </cell>
          <cell r="AI148">
            <v>1.75</v>
          </cell>
          <cell r="AJ148">
            <v>9530</v>
          </cell>
          <cell r="AK148">
            <v>9530</v>
          </cell>
          <cell r="AL148" t="str">
            <v>0.006(0.0025;0.0035)</v>
          </cell>
          <cell r="AM148" t="str">
            <v>túi ba biên</v>
          </cell>
          <cell r="AN148">
            <v>275</v>
          </cell>
          <cell r="AO148" t="str">
            <v>Công ty Việt Thắng</v>
          </cell>
          <cell r="AP148" t="str">
            <v>1803821-1</v>
          </cell>
          <cell r="AQ148" t="str">
            <v>1803821-2</v>
          </cell>
          <cell r="AR148" t="str">
            <v>1803821-3</v>
          </cell>
          <cell r="AS148" t="str">
            <v>1606575-4</v>
          </cell>
          <cell r="AT148" t="str">
            <v>1803821-5</v>
          </cell>
          <cell r="AU148" t="str">
            <v>1606574-6</v>
          </cell>
          <cell r="AV148">
            <v>0</v>
          </cell>
          <cell r="AW148">
            <v>0</v>
          </cell>
          <cell r="AX148">
            <v>0</v>
          </cell>
          <cell r="AY148" t="str">
            <v>550x850</v>
          </cell>
          <cell r="AZ148" t="str">
            <v>D1</v>
          </cell>
          <cell r="BA148">
            <v>4500</v>
          </cell>
          <cell r="BB148" t="str">
            <v>Thùng 5 lớp 42x34x36</v>
          </cell>
          <cell r="BC148">
            <v>0</v>
          </cell>
          <cell r="BD148" t="str">
            <v>chung bộ sp 552 trừ cây đỏ sen/cờ</v>
          </cell>
        </row>
        <row r="149">
          <cell r="A149" t="str">
            <v>sp 554</v>
          </cell>
          <cell r="B149" t="str">
            <v>Cuộn thuốc trừ sâu cao cấp Reagt 800WP loại 0,8g Việt Thắng</v>
          </cell>
          <cell r="C149">
            <v>3.9</v>
          </cell>
          <cell r="D149">
            <v>7</v>
          </cell>
          <cell r="E149" t="str">
            <v>PET 12x690</v>
          </cell>
          <cell r="F149">
            <v>6</v>
          </cell>
          <cell r="G149" t="str">
            <v>PET</v>
          </cell>
          <cell r="H149">
            <v>0.1</v>
          </cell>
          <cell r="I149">
            <v>1.7</v>
          </cell>
          <cell r="J149">
            <v>0.3</v>
          </cell>
          <cell r="K149">
            <v>0.3</v>
          </cell>
          <cell r="L149">
            <v>0.2</v>
          </cell>
          <cell r="M149">
            <v>1.2</v>
          </cell>
          <cell r="N149">
            <v>0</v>
          </cell>
          <cell r="O149">
            <v>0.1</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t="str">
            <v>Al 6x690</v>
          </cell>
          <cell r="AF149" t="str">
            <v>PE 95x700</v>
          </cell>
          <cell r="AG149">
            <v>8.344515000000001E-2</v>
          </cell>
          <cell r="AH149">
            <v>1.0426666666666666</v>
          </cell>
          <cell r="AI149">
            <v>1.0426666666666666</v>
          </cell>
          <cell r="AJ149">
            <v>9530</v>
          </cell>
          <cell r="AK149">
            <v>9530</v>
          </cell>
          <cell r="AL149" t="str">
            <v>0,0046(0,0023;0,0023)</v>
          </cell>
          <cell r="AM149" t="str">
            <v>dạng cuộn 700m</v>
          </cell>
          <cell r="AN149">
            <v>96</v>
          </cell>
          <cell r="AO149" t="str">
            <v>Công ty Việt Thắng</v>
          </cell>
          <cell r="AP149" t="e">
            <v>#N/A</v>
          </cell>
          <cell r="AQ149" t="e">
            <v>#N/A</v>
          </cell>
          <cell r="AR149" t="e">
            <v>#N/A</v>
          </cell>
          <cell r="AS149" t="e">
            <v>#N/A</v>
          </cell>
          <cell r="AT149" t="e">
            <v>#N/A</v>
          </cell>
          <cell r="AU149" t="e">
            <v>#N/A</v>
          </cell>
          <cell r="AV149" t="e">
            <v>#N/A</v>
          </cell>
          <cell r="AW149" t="e">
            <v>#N/A</v>
          </cell>
          <cell r="AX149" t="e">
            <v>#N/A</v>
          </cell>
          <cell r="AY149" t="e">
            <v>#N/A</v>
          </cell>
          <cell r="AZ149" t="e">
            <v>#N/A</v>
          </cell>
          <cell r="BA149" t="str">
            <v>3c</v>
          </cell>
          <cell r="BB149" t="str">
            <v>giấy cartoon K500</v>
          </cell>
          <cell r="BC149">
            <v>0</v>
          </cell>
          <cell r="BD149" t="e">
            <v>#N/A</v>
          </cell>
        </row>
        <row r="150">
          <cell r="A150" t="str">
            <v>sp 557</v>
          </cell>
          <cell r="B150" t="str">
            <v>Cuộn  thuốc trừ sâu Tasieu 5WG loại 5g Việt Thắng</v>
          </cell>
          <cell r="C150">
            <v>4.2699999999999996</v>
          </cell>
          <cell r="D150">
            <v>4</v>
          </cell>
          <cell r="E150" t="str">
            <v>PET 12x740</v>
          </cell>
          <cell r="F150">
            <v>7</v>
          </cell>
          <cell r="G150" t="str">
            <v>PET</v>
          </cell>
          <cell r="H150">
            <v>0.21</v>
          </cell>
          <cell r="I150">
            <v>2.6</v>
          </cell>
          <cell r="J150">
            <v>0.17</v>
          </cell>
          <cell r="K150">
            <v>0.17</v>
          </cell>
          <cell r="L150">
            <v>0.32</v>
          </cell>
          <cell r="M150">
            <v>0.3</v>
          </cell>
          <cell r="N150">
            <v>0</v>
          </cell>
          <cell r="O150">
            <v>0</v>
          </cell>
          <cell r="P150">
            <v>0.27</v>
          </cell>
          <cell r="Q150">
            <v>0</v>
          </cell>
          <cell r="R150">
            <v>0.23</v>
          </cell>
          <cell r="S150">
            <v>0</v>
          </cell>
          <cell r="T150">
            <v>0</v>
          </cell>
          <cell r="U150">
            <v>0</v>
          </cell>
          <cell r="V150">
            <v>0</v>
          </cell>
          <cell r="W150">
            <v>0</v>
          </cell>
          <cell r="X150">
            <v>0</v>
          </cell>
          <cell r="Y150">
            <v>0</v>
          </cell>
          <cell r="Z150">
            <v>0</v>
          </cell>
          <cell r="AA150">
            <v>0</v>
          </cell>
          <cell r="AB150">
            <v>0</v>
          </cell>
          <cell r="AC150">
            <v>0</v>
          </cell>
          <cell r="AD150">
            <v>0</v>
          </cell>
          <cell r="AE150" t="str">
            <v>Al 6x740</v>
          </cell>
          <cell r="AF150" t="str">
            <v>PE 90x740</v>
          </cell>
          <cell r="AG150">
            <v>8.606939999999999E-2</v>
          </cell>
          <cell r="AH150">
            <v>1.1193333333333333</v>
          </cell>
          <cell r="AI150">
            <v>1.1193333333333333</v>
          </cell>
          <cell r="AJ150">
            <v>9530</v>
          </cell>
          <cell r="AK150">
            <v>9530</v>
          </cell>
          <cell r="AL150" t="str">
            <v>0,0046(0,0023;0,0023)</v>
          </cell>
          <cell r="AM150" t="str">
            <v>dạng cuộn 700m</v>
          </cell>
          <cell r="AN150">
            <v>180</v>
          </cell>
          <cell r="AO150" t="str">
            <v>Công ty Việt Thắng</v>
          </cell>
          <cell r="AP150" t="str">
            <v>F114487G9-1</v>
          </cell>
          <cell r="AQ150" t="str">
            <v>F114487G10-2</v>
          </cell>
          <cell r="AR150" t="str">
            <v>F114487-3</v>
          </cell>
          <cell r="AS150" t="str">
            <v>F114487G8-4</v>
          </cell>
          <cell r="AT150" t="str">
            <v>F114487-5</v>
          </cell>
          <cell r="AU150" t="str">
            <v>F114487-6</v>
          </cell>
          <cell r="AV150" t="str">
            <v>F114487-7</v>
          </cell>
          <cell r="AW150">
            <v>0</v>
          </cell>
          <cell r="AX150">
            <v>0</v>
          </cell>
          <cell r="AY150" t="str">
            <v>456x840</v>
          </cell>
          <cell r="AZ150" t="str">
            <v>D1</v>
          </cell>
          <cell r="BA150" t="str">
            <v>2c</v>
          </cell>
          <cell r="BB150" t="str">
            <v>giấy cartoon K500</v>
          </cell>
          <cell r="BC150">
            <v>0</v>
          </cell>
          <cell r="BD150">
            <v>0</v>
          </cell>
        </row>
        <row r="151">
          <cell r="A151" t="str">
            <v>sp 558</v>
          </cell>
          <cell r="B151" t="str">
            <v>Cuộn thuốc trừ sâu cao cấp Reagt 800WP loại 1gr Việt Thắng</v>
          </cell>
          <cell r="C151">
            <v>3.1169999999999995</v>
          </cell>
          <cell r="D151">
            <v>7</v>
          </cell>
          <cell r="E151" t="str">
            <v>PET 12x690</v>
          </cell>
          <cell r="F151">
            <v>6</v>
          </cell>
          <cell r="G151" t="str">
            <v>PET</v>
          </cell>
          <cell r="H151">
            <v>0.14000000000000001</v>
          </cell>
          <cell r="I151">
            <v>1.84</v>
          </cell>
          <cell r="J151">
            <v>0.38</v>
          </cell>
          <cell r="K151">
            <v>0.01</v>
          </cell>
          <cell r="L151">
            <v>0.31</v>
          </cell>
          <cell r="M151">
            <v>0.20699999999999999</v>
          </cell>
          <cell r="N151">
            <v>0</v>
          </cell>
          <cell r="O151">
            <v>0.23</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t="str">
            <v>Al 6x690</v>
          </cell>
          <cell r="AF151" t="str">
            <v>PE 95x700</v>
          </cell>
          <cell r="AG151">
            <v>8.3117400000000008E-2</v>
          </cell>
          <cell r="AH151">
            <v>1.0426666666666666</v>
          </cell>
          <cell r="AI151">
            <v>1.0426666666666666</v>
          </cell>
          <cell r="AJ151">
            <v>9530</v>
          </cell>
          <cell r="AK151">
            <v>9530</v>
          </cell>
          <cell r="AL151" t="str">
            <v>0,0046(0,0023;0,0023)</v>
          </cell>
          <cell r="AM151" t="str">
            <v>dạng cuộn 700m</v>
          </cell>
          <cell r="AN151">
            <v>96</v>
          </cell>
          <cell r="AO151" t="str">
            <v>Công ty Việt Thắng</v>
          </cell>
          <cell r="AP151" t="e">
            <v>#N/A</v>
          </cell>
          <cell r="AQ151" t="e">
            <v>#N/A</v>
          </cell>
          <cell r="AR151" t="e">
            <v>#N/A</v>
          </cell>
          <cell r="AS151" t="e">
            <v>#N/A</v>
          </cell>
          <cell r="AT151" t="e">
            <v>#N/A</v>
          </cell>
          <cell r="AU151" t="e">
            <v>#N/A</v>
          </cell>
          <cell r="AV151" t="e">
            <v>#N/A</v>
          </cell>
          <cell r="AW151" t="e">
            <v>#N/A</v>
          </cell>
          <cell r="AX151" t="e">
            <v>#N/A</v>
          </cell>
          <cell r="AY151" t="e">
            <v>#N/A</v>
          </cell>
          <cell r="AZ151" t="e">
            <v>#N/A</v>
          </cell>
          <cell r="BA151" t="str">
            <v>3c</v>
          </cell>
          <cell r="BB151" t="str">
            <v>giấy cartoon K500</v>
          </cell>
          <cell r="BC151">
            <v>0</v>
          </cell>
          <cell r="BD151" t="e">
            <v>#N/A</v>
          </cell>
        </row>
        <row r="152">
          <cell r="A152" t="str">
            <v>sp 559</v>
          </cell>
          <cell r="B152" t="str">
            <v>Cuộn thuốc trừ sâu cao cấp Reagt 800WP loại 1,6g Việt Thắng</v>
          </cell>
          <cell r="C152">
            <v>4.0649999999999995</v>
          </cell>
          <cell r="D152">
            <v>7</v>
          </cell>
          <cell r="E152" t="str">
            <v>PET 12x690</v>
          </cell>
          <cell r="F152">
            <v>6</v>
          </cell>
          <cell r="G152" t="str">
            <v>PET</v>
          </cell>
          <cell r="H152">
            <v>0.11</v>
          </cell>
          <cell r="I152">
            <v>1.59</v>
          </cell>
          <cell r="J152">
            <v>0.51</v>
          </cell>
          <cell r="K152">
            <v>0.34</v>
          </cell>
          <cell r="L152">
            <v>1.01</v>
          </cell>
          <cell r="M152">
            <v>0.495</v>
          </cell>
          <cell r="N152">
            <v>0</v>
          </cell>
          <cell r="O152">
            <v>0.01</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t="str">
            <v>Al 6x690</v>
          </cell>
          <cell r="AF152" t="str">
            <v>PE 95x700</v>
          </cell>
          <cell r="AG152">
            <v>8.3117400000000008E-2</v>
          </cell>
          <cell r="AH152">
            <v>1.0426666666666666</v>
          </cell>
          <cell r="AI152">
            <v>1.0426666666666666</v>
          </cell>
          <cell r="AJ152">
            <v>9530</v>
          </cell>
          <cell r="AK152">
            <v>9530</v>
          </cell>
          <cell r="AL152" t="str">
            <v>0,0046(0,0023;0,0023)</v>
          </cell>
          <cell r="AM152" t="str">
            <v>dạng cuộn 700m</v>
          </cell>
          <cell r="AN152">
            <v>96</v>
          </cell>
          <cell r="AO152" t="str">
            <v>Công ty Việt Thắng</v>
          </cell>
          <cell r="AP152" t="e">
            <v>#N/A</v>
          </cell>
          <cell r="AQ152" t="e">
            <v>#N/A</v>
          </cell>
          <cell r="AR152" t="e">
            <v>#N/A</v>
          </cell>
          <cell r="AS152" t="e">
            <v>#N/A</v>
          </cell>
          <cell r="AT152" t="e">
            <v>#N/A</v>
          </cell>
          <cell r="AU152" t="e">
            <v>#N/A</v>
          </cell>
          <cell r="AV152" t="e">
            <v>#N/A</v>
          </cell>
          <cell r="AW152" t="e">
            <v>#N/A</v>
          </cell>
          <cell r="AX152" t="e">
            <v>#N/A</v>
          </cell>
          <cell r="AY152" t="e">
            <v>#N/A</v>
          </cell>
          <cell r="AZ152" t="e">
            <v>#N/A</v>
          </cell>
          <cell r="BA152" t="str">
            <v>3c</v>
          </cell>
          <cell r="BB152" t="str">
            <v>giấy cartoon K500</v>
          </cell>
          <cell r="BC152">
            <v>0</v>
          </cell>
          <cell r="BD152" t="e">
            <v>#N/A</v>
          </cell>
        </row>
        <row r="153">
          <cell r="A153" t="str">
            <v>sp 560</v>
          </cell>
          <cell r="B153" t="str">
            <v>túi chè tân cương một màu đen 100gr</v>
          </cell>
          <cell r="C153">
            <v>0.1</v>
          </cell>
          <cell r="D153">
            <v>3</v>
          </cell>
          <cell r="E153" t="str">
            <v>PET12x740</v>
          </cell>
          <cell r="F153">
            <v>1</v>
          </cell>
          <cell r="G153" t="str">
            <v>PET</v>
          </cell>
          <cell r="H153">
            <v>0.1</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t="str">
            <v>MPET 12x740</v>
          </cell>
          <cell r="AF153" t="str">
            <v>PE 75x740</v>
          </cell>
          <cell r="AG153">
            <v>7.6201500000000005E-2</v>
          </cell>
          <cell r="AH153">
            <v>1.2166666666666668</v>
          </cell>
          <cell r="AI153">
            <v>1.46</v>
          </cell>
          <cell r="AJ153">
            <v>9530</v>
          </cell>
          <cell r="AK153">
            <v>9530</v>
          </cell>
          <cell r="AL153" t="str">
            <v>0,0053(0,0023;0,003)</v>
          </cell>
          <cell r="AM153" t="str">
            <v>túi hàn lưng xếp hông</v>
          </cell>
          <cell r="AN153">
            <v>270</v>
          </cell>
          <cell r="AO153" t="str">
            <v>Khách hàng lẻ</v>
          </cell>
          <cell r="AP153" t="e">
            <v>#N/A</v>
          </cell>
          <cell r="AQ153" t="e">
            <v>#N/A</v>
          </cell>
          <cell r="AR153" t="e">
            <v>#N/A</v>
          </cell>
          <cell r="AS153" t="e">
            <v>#N/A</v>
          </cell>
          <cell r="AT153" t="e">
            <v>#N/A</v>
          </cell>
          <cell r="AU153" t="e">
            <v>#N/A</v>
          </cell>
          <cell r="AV153" t="e">
            <v>#N/A</v>
          </cell>
          <cell r="AW153" t="e">
            <v>#N/A</v>
          </cell>
          <cell r="AX153" t="e">
            <v>#N/A</v>
          </cell>
          <cell r="AY153" t="e">
            <v>#N/A</v>
          </cell>
          <cell r="AZ153" t="e">
            <v>#N/A</v>
          </cell>
          <cell r="BA153">
            <v>3500</v>
          </cell>
          <cell r="BB153" t="str">
            <v>Thùng 5 lớp 42x34x33</v>
          </cell>
          <cell r="BC153">
            <v>0</v>
          </cell>
          <cell r="BD153" t="e">
            <v>#N/A</v>
          </cell>
        </row>
        <row r="154">
          <cell r="A154" t="str">
            <v>sp 561</v>
          </cell>
          <cell r="B154" t="str">
            <v>Túi thuốc trừ sâu shepatoc 250WP loại 18g USA</v>
          </cell>
          <cell r="C154">
            <v>4.5999999999999996</v>
          </cell>
          <cell r="D154">
            <v>3</v>
          </cell>
          <cell r="E154" t="str">
            <v>PET 12x680</v>
          </cell>
          <cell r="F154">
            <v>7</v>
          </cell>
          <cell r="G154" t="str">
            <v>PET</v>
          </cell>
          <cell r="H154">
            <v>0.1</v>
          </cell>
          <cell r="I154">
            <v>3.5</v>
          </cell>
          <cell r="J154">
            <v>0.1</v>
          </cell>
          <cell r="K154">
            <v>0.1</v>
          </cell>
          <cell r="L154">
            <v>0.2</v>
          </cell>
          <cell r="M154">
            <v>0.5</v>
          </cell>
          <cell r="N154">
            <v>0</v>
          </cell>
          <cell r="O154">
            <v>0</v>
          </cell>
          <cell r="P154">
            <v>0.1</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t="str">
            <v>MPET 12x680</v>
          </cell>
          <cell r="AF154" t="str">
            <v>PE 75x680</v>
          </cell>
          <cell r="AG154">
            <v>7.0023000000000016E-2</v>
          </cell>
          <cell r="AH154">
            <v>1.0273333333333332</v>
          </cell>
          <cell r="AI154">
            <v>1.0273333333333332</v>
          </cell>
          <cell r="AJ154">
            <v>9530</v>
          </cell>
          <cell r="AK154">
            <v>9530</v>
          </cell>
          <cell r="AL154" t="str">
            <v>0,0046(0,0023;0,0023)</v>
          </cell>
          <cell r="AM154" t="str">
            <v>túi ba biên</v>
          </cell>
          <cell r="AN154">
            <v>145</v>
          </cell>
          <cell r="AO154" t="str">
            <v>Công ty công nghệ cao USA</v>
          </cell>
          <cell r="AP154" t="e">
            <v>#N/A</v>
          </cell>
          <cell r="AQ154" t="e">
            <v>#N/A</v>
          </cell>
          <cell r="AR154" t="e">
            <v>#N/A</v>
          </cell>
          <cell r="AS154" t="e">
            <v>#N/A</v>
          </cell>
          <cell r="AT154" t="e">
            <v>#N/A</v>
          </cell>
          <cell r="AU154" t="e">
            <v>#N/A</v>
          </cell>
          <cell r="AV154" t="e">
            <v>#N/A</v>
          </cell>
          <cell r="AW154" t="e">
            <v>#N/A</v>
          </cell>
          <cell r="AX154" t="e">
            <v>#N/A</v>
          </cell>
          <cell r="AY154" t="e">
            <v>#N/A</v>
          </cell>
          <cell r="AZ154" t="e">
            <v>#N/A</v>
          </cell>
          <cell r="BA154">
            <v>12000</v>
          </cell>
          <cell r="BB154" t="str">
            <v>Thùng 5 lớp 42x34x36</v>
          </cell>
          <cell r="BC154">
            <v>0</v>
          </cell>
          <cell r="BD154" t="e">
            <v>#N/A</v>
          </cell>
        </row>
        <row r="155">
          <cell r="A155" t="str">
            <v>sp 566</v>
          </cell>
          <cell r="B155" t="str">
            <v>Túi chè lụa màu vàng tân cương và đặc sản 100g loại 5</v>
          </cell>
          <cell r="C155">
            <v>7.79</v>
          </cell>
          <cell r="D155">
            <v>3</v>
          </cell>
          <cell r="E155" t="str">
            <v>OPP mờ 20x740</v>
          </cell>
          <cell r="F155">
            <v>7</v>
          </cell>
          <cell r="G155" t="str">
            <v>OPP</v>
          </cell>
          <cell r="H155">
            <v>0</v>
          </cell>
          <cell r="I155">
            <v>4.51</v>
          </cell>
          <cell r="J155">
            <v>0.33</v>
          </cell>
          <cell r="K155">
            <v>0.01</v>
          </cell>
          <cell r="L155">
            <v>2.0699999999999998</v>
          </cell>
          <cell r="M155">
            <v>0.63</v>
          </cell>
          <cell r="N155">
            <v>0</v>
          </cell>
          <cell r="O155">
            <v>0</v>
          </cell>
          <cell r="P155">
            <v>0.09</v>
          </cell>
          <cell r="Q155">
            <v>0</v>
          </cell>
          <cell r="R155">
            <v>0</v>
          </cell>
          <cell r="S155">
            <v>0.15</v>
          </cell>
          <cell r="T155">
            <v>0</v>
          </cell>
          <cell r="U155">
            <v>0</v>
          </cell>
          <cell r="V155">
            <v>0</v>
          </cell>
          <cell r="W155">
            <v>0</v>
          </cell>
          <cell r="X155">
            <v>0</v>
          </cell>
          <cell r="Y155">
            <v>0</v>
          </cell>
          <cell r="Z155">
            <v>0</v>
          </cell>
          <cell r="AA155">
            <v>0</v>
          </cell>
          <cell r="AB155">
            <v>0</v>
          </cell>
          <cell r="AC155">
            <v>0</v>
          </cell>
          <cell r="AD155">
            <v>0</v>
          </cell>
          <cell r="AE155" t="str">
            <v>MPET 12x740</v>
          </cell>
          <cell r="AF155" t="str">
            <v>PE 70x740</v>
          </cell>
          <cell r="AG155">
            <v>7.3815000000000019E-2</v>
          </cell>
          <cell r="AH155">
            <v>1.2166666666666668</v>
          </cell>
          <cell r="AI155">
            <v>1.46</v>
          </cell>
          <cell r="AJ155">
            <v>9530</v>
          </cell>
          <cell r="AK155">
            <v>9530</v>
          </cell>
          <cell r="AL155" t="str">
            <v>0,0055(0,0025;0,003)</v>
          </cell>
          <cell r="AM155" t="str">
            <v>túi hàn lưng xếp hông</v>
          </cell>
          <cell r="AN155">
            <v>270</v>
          </cell>
          <cell r="AO155" t="str">
            <v>Khách hàng lẻ</v>
          </cell>
          <cell r="AP155" t="str">
            <v>1607495-1</v>
          </cell>
          <cell r="AQ155" t="str">
            <v>1812617-2-2</v>
          </cell>
          <cell r="AR155" t="str">
            <v>1607495-3</v>
          </cell>
          <cell r="AS155" t="str">
            <v>1607495-4</v>
          </cell>
          <cell r="AT155" t="str">
            <v>1607495-5</v>
          </cell>
          <cell r="AU155" t="str">
            <v>1607495-6</v>
          </cell>
          <cell r="AV155" t="str">
            <v>1607495-7</v>
          </cell>
          <cell r="AW155">
            <v>0</v>
          </cell>
          <cell r="AX155">
            <v>0</v>
          </cell>
          <cell r="AY155" t="str">
            <v>540x850</v>
          </cell>
          <cell r="AZ155" t="str">
            <v>F1</v>
          </cell>
          <cell r="BA155">
            <v>3500</v>
          </cell>
          <cell r="BB155" t="str">
            <v>Thùng 5 lớp 42x34x33</v>
          </cell>
          <cell r="BC155">
            <v>0</v>
          </cell>
          <cell r="BD155" t="str">
            <v>in chung sp 663+794</v>
          </cell>
        </row>
        <row r="156">
          <cell r="A156" t="str">
            <v>sp 567</v>
          </cell>
          <cell r="B156" t="str">
            <v>Túi chè lụa màu vàng tân cương và đặc sản 200g loại 5</v>
          </cell>
          <cell r="C156">
            <v>6.6</v>
          </cell>
          <cell r="D156">
            <v>3</v>
          </cell>
          <cell r="E156" t="str">
            <v>OPP mờ 20x920</v>
          </cell>
          <cell r="F156">
            <v>7</v>
          </cell>
          <cell r="G156" t="str">
            <v>OPP</v>
          </cell>
          <cell r="H156">
            <v>0</v>
          </cell>
          <cell r="I156">
            <v>2.78</v>
          </cell>
          <cell r="J156">
            <v>0.36</v>
          </cell>
          <cell r="K156">
            <v>0.02</v>
          </cell>
          <cell r="L156">
            <v>2.98</v>
          </cell>
          <cell r="M156">
            <v>0.42</v>
          </cell>
          <cell r="N156">
            <v>0</v>
          </cell>
          <cell r="O156">
            <v>0</v>
          </cell>
          <cell r="P156">
            <v>0</v>
          </cell>
          <cell r="Q156">
            <v>0</v>
          </cell>
          <cell r="R156">
            <v>0</v>
          </cell>
          <cell r="S156">
            <v>0.04</v>
          </cell>
          <cell r="T156">
            <v>0</v>
          </cell>
          <cell r="U156">
            <v>0</v>
          </cell>
          <cell r="V156">
            <v>0</v>
          </cell>
          <cell r="W156">
            <v>0</v>
          </cell>
          <cell r="X156">
            <v>0</v>
          </cell>
          <cell r="Y156">
            <v>0</v>
          </cell>
          <cell r="Z156">
            <v>0</v>
          </cell>
          <cell r="AA156">
            <v>0</v>
          </cell>
          <cell r="AB156">
            <v>0</v>
          </cell>
          <cell r="AC156">
            <v>0</v>
          </cell>
          <cell r="AD156">
            <v>0</v>
          </cell>
          <cell r="AE156" t="str">
            <v>MPET 12x920</v>
          </cell>
          <cell r="AF156" t="str">
            <v>PE 70x920</v>
          </cell>
          <cell r="AG156">
            <v>9.1770000000000018E-2</v>
          </cell>
          <cell r="AH156">
            <v>1.3953333333333333</v>
          </cell>
          <cell r="AI156">
            <v>1.82</v>
          </cell>
          <cell r="AJ156">
            <v>9530</v>
          </cell>
          <cell r="AK156">
            <v>9530</v>
          </cell>
          <cell r="AL156" t="str">
            <v>0,0053(0,0023;0,003)</v>
          </cell>
          <cell r="AM156" t="str">
            <v>túi hàn lưng xếp hông</v>
          </cell>
          <cell r="AN156">
            <v>340</v>
          </cell>
          <cell r="AO156" t="str">
            <v>Khách hàng lẻ</v>
          </cell>
          <cell r="AP156" t="str">
            <v>1607496-1</v>
          </cell>
          <cell r="AQ156" t="str">
            <v>1607496-2</v>
          </cell>
          <cell r="AR156" t="str">
            <v>1607496-3</v>
          </cell>
          <cell r="AS156" t="str">
            <v>1607496-4</v>
          </cell>
          <cell r="AT156" t="str">
            <v>1607496-5</v>
          </cell>
          <cell r="AU156" t="str">
            <v>1607496-6</v>
          </cell>
          <cell r="AV156" t="str">
            <v>1607496-7</v>
          </cell>
          <cell r="AW156">
            <v>0</v>
          </cell>
          <cell r="AX156">
            <v>0</v>
          </cell>
          <cell r="AY156" t="str">
            <v>680x1100</v>
          </cell>
          <cell r="AZ156" t="str">
            <v>F1</v>
          </cell>
          <cell r="BA156">
            <v>2500</v>
          </cell>
          <cell r="BB156" t="str">
            <v>Thùng 5 lớp 42x34x33</v>
          </cell>
          <cell r="BC156">
            <v>0</v>
          </cell>
          <cell r="BD156" t="str">
            <v>in chung sp 626</v>
          </cell>
        </row>
        <row r="157">
          <cell r="A157" t="str">
            <v>sp 568</v>
          </cell>
          <cell r="B157" t="str">
            <v>Túi chè lụa màu vàng tân cương và đặc sản 500g</v>
          </cell>
          <cell r="C157">
            <v>7.6899999999999986</v>
          </cell>
          <cell r="D157">
            <v>2</v>
          </cell>
          <cell r="E157" t="str">
            <v>OPP mờ 20x760</v>
          </cell>
          <cell r="F157">
            <v>7</v>
          </cell>
          <cell r="G157" t="str">
            <v>OPP</v>
          </cell>
          <cell r="H157">
            <v>0.01</v>
          </cell>
          <cell r="I157">
            <v>3.31</v>
          </cell>
          <cell r="J157">
            <v>0.69</v>
          </cell>
          <cell r="K157">
            <v>0</v>
          </cell>
          <cell r="L157">
            <v>2.77</v>
          </cell>
          <cell r="M157">
            <v>0.69</v>
          </cell>
          <cell r="N157">
            <v>0</v>
          </cell>
          <cell r="O157">
            <v>0</v>
          </cell>
          <cell r="P157">
            <v>0</v>
          </cell>
          <cell r="Q157">
            <v>0</v>
          </cell>
          <cell r="R157">
            <v>0</v>
          </cell>
          <cell r="S157">
            <v>0.22</v>
          </cell>
          <cell r="T157">
            <v>0</v>
          </cell>
          <cell r="U157">
            <v>0</v>
          </cell>
          <cell r="V157">
            <v>0</v>
          </cell>
          <cell r="W157">
            <v>0</v>
          </cell>
          <cell r="X157">
            <v>0</v>
          </cell>
          <cell r="Y157">
            <v>0</v>
          </cell>
          <cell r="Z157">
            <v>0</v>
          </cell>
          <cell r="AA157">
            <v>0</v>
          </cell>
          <cell r="AB157">
            <v>0</v>
          </cell>
          <cell r="AC157">
            <v>0</v>
          </cell>
          <cell r="AD157">
            <v>0</v>
          </cell>
          <cell r="AE157" t="str">
            <v>MPET 12x760</v>
          </cell>
          <cell r="AF157" t="str">
            <v>PE 70x760</v>
          </cell>
          <cell r="AG157">
            <v>7.5810000000000016E-2</v>
          </cell>
          <cell r="AH157">
            <v>1.1499999999999999</v>
          </cell>
          <cell r="AI157">
            <v>1.5</v>
          </cell>
          <cell r="AJ157">
            <v>9530</v>
          </cell>
          <cell r="AK157">
            <v>9530</v>
          </cell>
          <cell r="AL157" t="str">
            <v>0,0053(0,0023;0,003)</v>
          </cell>
          <cell r="AM157" t="str">
            <v>túi hàn lưng xếp hông</v>
          </cell>
          <cell r="AN157">
            <v>420</v>
          </cell>
          <cell r="AO157" t="str">
            <v>Khách hàng lẻ</v>
          </cell>
          <cell r="AP157" t="str">
            <v>1801664-1</v>
          </cell>
          <cell r="AQ157" t="str">
            <v>1801664-2</v>
          </cell>
          <cell r="AR157" t="str">
            <v>1607497-3</v>
          </cell>
          <cell r="AS157" t="str">
            <v>1801664-4</v>
          </cell>
          <cell r="AT157" t="str">
            <v>1607497-5</v>
          </cell>
          <cell r="AU157" t="str">
            <v>1607497-6</v>
          </cell>
          <cell r="AV157" t="str">
            <v>1607497-7</v>
          </cell>
          <cell r="AW157">
            <v>0</v>
          </cell>
          <cell r="AX157">
            <v>0</v>
          </cell>
          <cell r="AY157" t="str">
            <v>420x850</v>
          </cell>
          <cell r="AZ157" t="str">
            <v>F1</v>
          </cell>
          <cell r="BA157">
            <v>1500</v>
          </cell>
          <cell r="BB157" t="str">
            <v>Thùng 5 lớp 42x34x33</v>
          </cell>
          <cell r="BC157">
            <v>0</v>
          </cell>
          <cell r="BD157" t="str">
            <v>in chung bộ sp 608 ; chung cây trắng với sp 808+832</v>
          </cell>
        </row>
        <row r="158">
          <cell r="A158" t="str">
            <v>sp 569</v>
          </cell>
          <cell r="B158" t="str">
            <v>Túi trà tan không in HCK 500g Vĩnh Phúc</v>
          </cell>
          <cell r="C158">
            <v>0</v>
          </cell>
          <cell r="D158">
            <v>2</v>
          </cell>
          <cell r="E158" t="str">
            <v>PET 12x620</v>
          </cell>
          <cell r="F158">
            <v>0</v>
          </cell>
          <cell r="G158" t="str">
            <v>PET</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t="str">
            <v>MPET 12x620</v>
          </cell>
          <cell r="AF158" t="str">
            <v>PE 75x620</v>
          </cell>
          <cell r="AG158">
            <v>6.3844500000000012E-2</v>
          </cell>
          <cell r="AH158">
            <v>0.93533333333333324</v>
          </cell>
          <cell r="AI158">
            <v>1.22</v>
          </cell>
          <cell r="AJ158">
            <v>9530</v>
          </cell>
          <cell r="AK158">
            <v>9530</v>
          </cell>
          <cell r="AL158" t="str">
            <v>0,0053(0,0023;0,003)</v>
          </cell>
          <cell r="AM158" t="str">
            <v>túi hàn lưng xếp hông</v>
          </cell>
          <cell r="AN158">
            <v>250</v>
          </cell>
          <cell r="AO158" t="str">
            <v>Công ty TNHH Thế hệ mới Vĩnh Phúc</v>
          </cell>
          <cell r="AP158" t="e">
            <v>#N/A</v>
          </cell>
          <cell r="AQ158" t="e">
            <v>#N/A</v>
          </cell>
          <cell r="AR158" t="e">
            <v>#N/A</v>
          </cell>
          <cell r="AS158" t="e">
            <v>#N/A</v>
          </cell>
          <cell r="AT158" t="e">
            <v>#N/A</v>
          </cell>
          <cell r="AU158" t="e">
            <v>#N/A</v>
          </cell>
          <cell r="AV158" t="e">
            <v>#N/A</v>
          </cell>
          <cell r="AW158" t="e">
            <v>#N/A</v>
          </cell>
          <cell r="AX158" t="e">
            <v>#N/A</v>
          </cell>
          <cell r="AY158" t="e">
            <v>#N/A</v>
          </cell>
          <cell r="AZ158" t="e">
            <v>#N/A</v>
          </cell>
          <cell r="BA158">
            <v>3000</v>
          </cell>
          <cell r="BB158" t="str">
            <v>Thùng 5 lớp 42x34x33</v>
          </cell>
          <cell r="BC158">
            <v>0</v>
          </cell>
          <cell r="BD158" t="e">
            <v>#N/A</v>
          </cell>
        </row>
        <row r="159">
          <cell r="A159" t="str">
            <v>sp 570</v>
          </cell>
          <cell r="B159" t="str">
            <v>Cuộn ngô DT 6869 1kg Đại Thành</v>
          </cell>
          <cell r="C159">
            <v>3.0000000000000004</v>
          </cell>
          <cell r="D159">
            <v>2</v>
          </cell>
          <cell r="E159" t="str">
            <v>PA 15x820</v>
          </cell>
          <cell r="F159">
            <v>6</v>
          </cell>
          <cell r="G159" t="str">
            <v xml:space="preserve">PA </v>
          </cell>
          <cell r="H159">
            <v>0.1</v>
          </cell>
          <cell r="I159">
            <v>0</v>
          </cell>
          <cell r="J159">
            <v>0.1</v>
          </cell>
          <cell r="K159">
            <v>0.3</v>
          </cell>
          <cell r="L159">
            <v>0.2</v>
          </cell>
          <cell r="M159">
            <v>2</v>
          </cell>
          <cell r="N159">
            <v>0</v>
          </cell>
          <cell r="O159">
            <v>0.2</v>
          </cell>
          <cell r="P159">
            <v>0</v>
          </cell>
          <cell r="Q159">
            <v>0</v>
          </cell>
          <cell r="R159">
            <v>0.1</v>
          </cell>
          <cell r="S159">
            <v>0</v>
          </cell>
          <cell r="T159">
            <v>0</v>
          </cell>
          <cell r="U159">
            <v>0</v>
          </cell>
          <cell r="V159">
            <v>0</v>
          </cell>
          <cell r="W159">
            <v>0</v>
          </cell>
          <cell r="X159">
            <v>0</v>
          </cell>
          <cell r="Y159">
            <v>0</v>
          </cell>
          <cell r="Z159">
            <v>0</v>
          </cell>
          <cell r="AA159">
            <v>0</v>
          </cell>
          <cell r="AB159">
            <v>0</v>
          </cell>
          <cell r="AC159">
            <v>0</v>
          </cell>
          <cell r="AD159">
            <v>0</v>
          </cell>
          <cell r="AE159" t="str">
            <v>PE sứ 95x820</v>
          </cell>
          <cell r="AF159">
            <v>0</v>
          </cell>
          <cell r="AG159">
            <v>8.6202500000000001E-2</v>
          </cell>
          <cell r="AH159">
            <v>1.35</v>
          </cell>
          <cell r="AI159">
            <v>0</v>
          </cell>
          <cell r="AJ159">
            <v>9530</v>
          </cell>
          <cell r="AK159">
            <v>0</v>
          </cell>
          <cell r="AL159">
            <v>2.5000000000000001E-3</v>
          </cell>
          <cell r="AM159" t="str">
            <v>dạng cuộn 500m</v>
          </cell>
          <cell r="AN159">
            <v>400</v>
          </cell>
          <cell r="AO159" t="str">
            <v>Công ty Đại Thành</v>
          </cell>
          <cell r="AP159" t="str">
            <v>16071384-1</v>
          </cell>
          <cell r="AQ159" t="str">
            <v>16071384-2</v>
          </cell>
          <cell r="AR159" t="str">
            <v>16071384-3</v>
          </cell>
          <cell r="AS159" t="str">
            <v>16071384-4</v>
          </cell>
          <cell r="AT159" t="str">
            <v>16071384-5</v>
          </cell>
          <cell r="AU159" t="str">
            <v>16071384-6</v>
          </cell>
          <cell r="AV159" t="str">
            <v>16071384-7</v>
          </cell>
          <cell r="AW159">
            <v>0</v>
          </cell>
          <cell r="AX159">
            <v>0</v>
          </cell>
          <cell r="AY159" t="str">
            <v>580x900</v>
          </cell>
          <cell r="AZ159" t="str">
            <v>N3</v>
          </cell>
          <cell r="BA159" t="str">
            <v>1c</v>
          </cell>
          <cell r="BB159" t="str">
            <v>giấy cartoon K600</v>
          </cell>
          <cell r="BC159">
            <v>0</v>
          </cell>
          <cell r="BD159">
            <v>0</v>
          </cell>
        </row>
        <row r="160">
          <cell r="A160" t="str">
            <v>sp 573</v>
          </cell>
          <cell r="B160" t="str">
            <v>Túi chè màu xanh 100g loại 1</v>
          </cell>
          <cell r="C160">
            <v>5.8999999999999995</v>
          </cell>
          <cell r="D160">
            <v>3</v>
          </cell>
          <cell r="E160" t="str">
            <v>PET 12x740</v>
          </cell>
          <cell r="F160">
            <v>1</v>
          </cell>
          <cell r="G160" t="str">
            <v>PET</v>
          </cell>
          <cell r="H160">
            <v>0</v>
          </cell>
          <cell r="I160">
            <v>0</v>
          </cell>
          <cell r="J160">
            <v>1.2</v>
          </cell>
          <cell r="K160">
            <v>0</v>
          </cell>
          <cell r="L160">
            <v>4.5999999999999996</v>
          </cell>
          <cell r="M160">
            <v>0</v>
          </cell>
          <cell r="N160">
            <v>0</v>
          </cell>
          <cell r="O160">
            <v>0.1</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t="str">
            <v>MPET 12x740</v>
          </cell>
          <cell r="AF160" t="str">
            <v>PE 75x740</v>
          </cell>
          <cell r="AG160">
            <v>7.6201500000000005E-2</v>
          </cell>
          <cell r="AH160">
            <v>1.1193333333333333</v>
          </cell>
          <cell r="AI160">
            <v>1.46</v>
          </cell>
          <cell r="AJ160">
            <v>9530</v>
          </cell>
          <cell r="AK160">
            <v>9530</v>
          </cell>
          <cell r="AL160" t="str">
            <v>0,0053(0,0023;0,003)</v>
          </cell>
          <cell r="AM160" t="str">
            <v>túi hàn lưng xếp hông</v>
          </cell>
          <cell r="AN160">
            <v>270</v>
          </cell>
          <cell r="AO160" t="str">
            <v>Khách hàng lẻ</v>
          </cell>
          <cell r="AP160" t="e">
            <v>#N/A</v>
          </cell>
          <cell r="AQ160" t="e">
            <v>#N/A</v>
          </cell>
          <cell r="AR160" t="e">
            <v>#N/A</v>
          </cell>
          <cell r="AS160" t="e">
            <v>#N/A</v>
          </cell>
          <cell r="AT160" t="e">
            <v>#N/A</v>
          </cell>
          <cell r="AU160" t="e">
            <v>#N/A</v>
          </cell>
          <cell r="AV160" t="e">
            <v>#N/A</v>
          </cell>
          <cell r="AW160" t="e">
            <v>#N/A</v>
          </cell>
          <cell r="AX160" t="e">
            <v>#N/A</v>
          </cell>
          <cell r="AY160" t="e">
            <v>#N/A</v>
          </cell>
          <cell r="AZ160" t="e">
            <v>#N/A</v>
          </cell>
          <cell r="BA160">
            <v>3500</v>
          </cell>
          <cell r="BB160" t="str">
            <v>Thùng 5 lớp 42x34x33</v>
          </cell>
          <cell r="BC160">
            <v>0</v>
          </cell>
          <cell r="BD160" t="e">
            <v>#N/A</v>
          </cell>
        </row>
        <row r="161">
          <cell r="A161" t="str">
            <v>sp 574</v>
          </cell>
          <cell r="B161" t="str">
            <v>Túi chè màu đỏ 100g loại 1</v>
          </cell>
          <cell r="C161">
            <v>7</v>
          </cell>
          <cell r="D161">
            <v>3</v>
          </cell>
          <cell r="E161" t="str">
            <v>PET 12x740</v>
          </cell>
          <cell r="F161">
            <v>1</v>
          </cell>
          <cell r="G161" t="str">
            <v>PET</v>
          </cell>
          <cell r="H161">
            <v>0</v>
          </cell>
          <cell r="I161">
            <v>0</v>
          </cell>
          <cell r="J161">
            <v>0</v>
          </cell>
          <cell r="K161">
            <v>0.1</v>
          </cell>
          <cell r="L161">
            <v>1.6</v>
          </cell>
          <cell r="M161">
            <v>0</v>
          </cell>
          <cell r="N161">
            <v>0</v>
          </cell>
          <cell r="O161">
            <v>0</v>
          </cell>
          <cell r="P161">
            <v>5.3</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t="str">
            <v>MPET 12x740</v>
          </cell>
          <cell r="AF161" t="str">
            <v>PE 75x740</v>
          </cell>
          <cell r="AG161">
            <v>7.6201500000000005E-2</v>
          </cell>
          <cell r="AH161">
            <v>1.1193333333333333</v>
          </cell>
          <cell r="AI161">
            <v>1.46</v>
          </cell>
          <cell r="AJ161">
            <v>9530</v>
          </cell>
          <cell r="AK161">
            <v>9530</v>
          </cell>
          <cell r="AL161" t="str">
            <v>0,0053(0,0023;0,003)</v>
          </cell>
          <cell r="AM161" t="str">
            <v>túi hàn lưng xếp hông</v>
          </cell>
          <cell r="AN161">
            <v>270</v>
          </cell>
          <cell r="AO161" t="str">
            <v>Khách hàng lẻ</v>
          </cell>
          <cell r="AP161" t="e">
            <v>#N/A</v>
          </cell>
          <cell r="AQ161" t="e">
            <v>#N/A</v>
          </cell>
          <cell r="AR161" t="e">
            <v>#N/A</v>
          </cell>
          <cell r="AS161" t="e">
            <v>#N/A</v>
          </cell>
          <cell r="AT161" t="e">
            <v>#N/A</v>
          </cell>
          <cell r="AU161" t="e">
            <v>#N/A</v>
          </cell>
          <cell r="AV161" t="e">
            <v>#N/A</v>
          </cell>
          <cell r="AW161" t="e">
            <v>#N/A</v>
          </cell>
          <cell r="AX161" t="e">
            <v>#N/A</v>
          </cell>
          <cell r="AY161" t="e">
            <v>#N/A</v>
          </cell>
          <cell r="AZ161" t="e">
            <v>#N/A</v>
          </cell>
          <cell r="BA161">
            <v>3500</v>
          </cell>
          <cell r="BB161" t="str">
            <v>Thùng 5 lớp 42x34x33</v>
          </cell>
          <cell r="BC161">
            <v>0</v>
          </cell>
          <cell r="BD161" t="e">
            <v>#N/A</v>
          </cell>
        </row>
        <row r="162">
          <cell r="A162" t="str">
            <v>sp 575</v>
          </cell>
          <cell r="B162" t="str">
            <v>Túi chè màu tím 100g loại 1</v>
          </cell>
          <cell r="C162">
            <v>4</v>
          </cell>
          <cell r="D162">
            <v>3</v>
          </cell>
          <cell r="E162" t="str">
            <v>PET 12x740</v>
          </cell>
          <cell r="F162">
            <v>1</v>
          </cell>
          <cell r="G162" t="str">
            <v>PET</v>
          </cell>
          <cell r="H162">
            <v>0</v>
          </cell>
          <cell r="I162">
            <v>0</v>
          </cell>
          <cell r="J162">
            <v>0</v>
          </cell>
          <cell r="K162">
            <v>0</v>
          </cell>
          <cell r="L162">
            <v>0</v>
          </cell>
          <cell r="M162">
            <v>0</v>
          </cell>
          <cell r="N162">
            <v>0</v>
          </cell>
          <cell r="O162">
            <v>0</v>
          </cell>
          <cell r="P162">
            <v>0</v>
          </cell>
          <cell r="Q162">
            <v>0</v>
          </cell>
          <cell r="R162">
            <v>4</v>
          </cell>
          <cell r="S162">
            <v>0</v>
          </cell>
          <cell r="T162">
            <v>0</v>
          </cell>
          <cell r="U162">
            <v>0</v>
          </cell>
          <cell r="V162">
            <v>0</v>
          </cell>
          <cell r="W162">
            <v>0</v>
          </cell>
          <cell r="X162">
            <v>0</v>
          </cell>
          <cell r="Y162">
            <v>0</v>
          </cell>
          <cell r="Z162">
            <v>0</v>
          </cell>
          <cell r="AA162">
            <v>0</v>
          </cell>
          <cell r="AB162">
            <v>0</v>
          </cell>
          <cell r="AC162">
            <v>0</v>
          </cell>
          <cell r="AD162">
            <v>0</v>
          </cell>
          <cell r="AE162" t="str">
            <v>MPET 12x740</v>
          </cell>
          <cell r="AF162" t="str">
            <v>PE 75x740</v>
          </cell>
          <cell r="AG162">
            <v>7.6201500000000005E-2</v>
          </cell>
          <cell r="AH162">
            <v>1.1193333333333333</v>
          </cell>
          <cell r="AI162">
            <v>1.46</v>
          </cell>
          <cell r="AJ162">
            <v>9530</v>
          </cell>
          <cell r="AK162">
            <v>9530</v>
          </cell>
          <cell r="AL162" t="str">
            <v>0,0053(0,0023;0,003)</v>
          </cell>
          <cell r="AM162" t="str">
            <v>túi hàn lưng xếp hông</v>
          </cell>
          <cell r="AN162">
            <v>270</v>
          </cell>
          <cell r="AO162" t="str">
            <v>Khách hàng lẻ</v>
          </cell>
          <cell r="AP162" t="e">
            <v>#N/A</v>
          </cell>
          <cell r="AQ162" t="e">
            <v>#N/A</v>
          </cell>
          <cell r="AR162" t="e">
            <v>#N/A</v>
          </cell>
          <cell r="AS162" t="e">
            <v>#N/A</v>
          </cell>
          <cell r="AT162" t="e">
            <v>#N/A</v>
          </cell>
          <cell r="AU162" t="e">
            <v>#N/A</v>
          </cell>
          <cell r="AV162" t="e">
            <v>#N/A</v>
          </cell>
          <cell r="AW162" t="e">
            <v>#N/A</v>
          </cell>
          <cell r="AX162" t="e">
            <v>#N/A</v>
          </cell>
          <cell r="AY162" t="e">
            <v>#N/A</v>
          </cell>
          <cell r="AZ162" t="e">
            <v>#N/A</v>
          </cell>
          <cell r="BA162">
            <v>3500</v>
          </cell>
          <cell r="BB162" t="str">
            <v>Thùng 5 lớp 42x34x33</v>
          </cell>
          <cell r="BC162">
            <v>0</v>
          </cell>
          <cell r="BD162" t="e">
            <v>#N/A</v>
          </cell>
        </row>
        <row r="163">
          <cell r="A163" t="str">
            <v>sp 576</v>
          </cell>
          <cell r="B163" t="str">
            <v>Túi chè không in 100g loại 1</v>
          </cell>
          <cell r="C163">
            <v>0</v>
          </cell>
          <cell r="D163">
            <v>3</v>
          </cell>
          <cell r="E163" t="str">
            <v>PET 12x740</v>
          </cell>
          <cell r="F163">
            <v>0</v>
          </cell>
          <cell r="G163" t="str">
            <v>PET</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t="str">
            <v>MPET 12x740</v>
          </cell>
          <cell r="AF163" t="str">
            <v>PE 75x740</v>
          </cell>
          <cell r="AG163">
            <v>7.6201500000000005E-2</v>
          </cell>
          <cell r="AH163">
            <v>1.1193333333333333</v>
          </cell>
          <cell r="AI163">
            <v>1.46</v>
          </cell>
          <cell r="AJ163">
            <v>9530</v>
          </cell>
          <cell r="AK163">
            <v>9530</v>
          </cell>
          <cell r="AL163" t="str">
            <v>0,0053(0,0023;0,003)</v>
          </cell>
          <cell r="AM163" t="str">
            <v>túi hàn lưng xếp hông</v>
          </cell>
          <cell r="AN163">
            <v>270</v>
          </cell>
          <cell r="AO163" t="str">
            <v>Khách hàng lẻ</v>
          </cell>
          <cell r="AP163" t="e">
            <v>#N/A</v>
          </cell>
          <cell r="AQ163" t="e">
            <v>#N/A</v>
          </cell>
          <cell r="AR163" t="e">
            <v>#N/A</v>
          </cell>
          <cell r="AS163" t="e">
            <v>#N/A</v>
          </cell>
          <cell r="AT163" t="e">
            <v>#N/A</v>
          </cell>
          <cell r="AU163" t="e">
            <v>#N/A</v>
          </cell>
          <cell r="AV163" t="e">
            <v>#N/A</v>
          </cell>
          <cell r="AW163" t="e">
            <v>#N/A</v>
          </cell>
          <cell r="AX163" t="e">
            <v>#N/A</v>
          </cell>
          <cell r="AY163" t="e">
            <v>#N/A</v>
          </cell>
          <cell r="AZ163" t="e">
            <v>#N/A</v>
          </cell>
          <cell r="BA163">
            <v>3500</v>
          </cell>
          <cell r="BB163" t="str">
            <v>Thùng 5 lớp 42x34x33</v>
          </cell>
          <cell r="BC163">
            <v>0</v>
          </cell>
          <cell r="BD163" t="e">
            <v>#N/A</v>
          </cell>
        </row>
        <row r="164">
          <cell r="A164" t="str">
            <v>sp 577</v>
          </cell>
          <cell r="B164" t="str">
            <v>Túi chè màu xanh 200g loại 1</v>
          </cell>
          <cell r="C164">
            <v>2.9</v>
          </cell>
          <cell r="D164">
            <v>2</v>
          </cell>
          <cell r="E164" t="str">
            <v>PET 12x620</v>
          </cell>
          <cell r="F164">
            <v>1</v>
          </cell>
          <cell r="G164" t="str">
            <v>PET</v>
          </cell>
          <cell r="H164">
            <v>0</v>
          </cell>
          <cell r="I164">
            <v>0</v>
          </cell>
          <cell r="J164">
            <v>0</v>
          </cell>
          <cell r="K164">
            <v>0</v>
          </cell>
          <cell r="L164">
            <v>0</v>
          </cell>
          <cell r="M164">
            <v>0</v>
          </cell>
          <cell r="N164">
            <v>0</v>
          </cell>
          <cell r="O164">
            <v>2.9</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t="str">
            <v>MPET 12x620</v>
          </cell>
          <cell r="AF164" t="str">
            <v>PE 75x620</v>
          </cell>
          <cell r="AG164">
            <v>6.3844500000000012E-2</v>
          </cell>
          <cell r="AH164">
            <v>0.93533333333333324</v>
          </cell>
          <cell r="AI164">
            <v>1.22</v>
          </cell>
          <cell r="AJ164">
            <v>9530</v>
          </cell>
          <cell r="AK164">
            <v>9530</v>
          </cell>
          <cell r="AL164" t="str">
            <v>0,0053(0,0023;0,003)</v>
          </cell>
          <cell r="AM164" t="str">
            <v>túi hàn lưng xếp hông</v>
          </cell>
          <cell r="AN164">
            <v>340</v>
          </cell>
          <cell r="AO164" t="str">
            <v>Khách hàng lẻ</v>
          </cell>
          <cell r="AP164" t="e">
            <v>#N/A</v>
          </cell>
          <cell r="AQ164" t="e">
            <v>#N/A</v>
          </cell>
          <cell r="AR164" t="e">
            <v>#N/A</v>
          </cell>
          <cell r="AS164" t="e">
            <v>#N/A</v>
          </cell>
          <cell r="AT164" t="e">
            <v>#N/A</v>
          </cell>
          <cell r="AU164" t="e">
            <v>#N/A</v>
          </cell>
          <cell r="AV164" t="e">
            <v>#N/A</v>
          </cell>
          <cell r="AW164" t="e">
            <v>#N/A</v>
          </cell>
          <cell r="AX164" t="e">
            <v>#N/A</v>
          </cell>
          <cell r="AY164" t="e">
            <v>#N/A</v>
          </cell>
          <cell r="AZ164" t="e">
            <v>#N/A</v>
          </cell>
          <cell r="BA164">
            <v>2500</v>
          </cell>
          <cell r="BB164" t="str">
            <v>Thùng 5 lớp 42x34x33</v>
          </cell>
          <cell r="BC164">
            <v>0</v>
          </cell>
          <cell r="BD164" t="e">
            <v>#N/A</v>
          </cell>
        </row>
        <row r="165">
          <cell r="A165" t="str">
            <v>sp 578</v>
          </cell>
          <cell r="B165" t="str">
            <v>Túi chè màu đỏ 200g loại 1</v>
          </cell>
          <cell r="C165">
            <v>2.9</v>
          </cell>
          <cell r="D165">
            <v>2</v>
          </cell>
          <cell r="E165" t="str">
            <v>PET 12x620</v>
          </cell>
          <cell r="F165">
            <v>1</v>
          </cell>
          <cell r="G165" t="str">
            <v>PET</v>
          </cell>
          <cell r="H165">
            <v>0</v>
          </cell>
          <cell r="I165">
            <v>0</v>
          </cell>
          <cell r="J165">
            <v>0</v>
          </cell>
          <cell r="K165">
            <v>2.9</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t="str">
            <v>MPET 12x620</v>
          </cell>
          <cell r="AF165" t="str">
            <v>PE 75x620</v>
          </cell>
          <cell r="AG165">
            <v>6.3844500000000012E-2</v>
          </cell>
          <cell r="AH165">
            <v>0.93533333333333324</v>
          </cell>
          <cell r="AI165">
            <v>1.22</v>
          </cell>
          <cell r="AJ165">
            <v>9530</v>
          </cell>
          <cell r="AK165">
            <v>9530</v>
          </cell>
          <cell r="AL165" t="str">
            <v>0,0053(0,0023;0,003)</v>
          </cell>
          <cell r="AM165" t="str">
            <v>túi hàn lưng xếp hông</v>
          </cell>
          <cell r="AN165">
            <v>340</v>
          </cell>
          <cell r="AO165" t="str">
            <v>Khách hàng lẻ</v>
          </cell>
          <cell r="AP165" t="e">
            <v>#N/A</v>
          </cell>
          <cell r="AQ165" t="e">
            <v>#N/A</v>
          </cell>
          <cell r="AR165" t="e">
            <v>#N/A</v>
          </cell>
          <cell r="AS165" t="e">
            <v>#N/A</v>
          </cell>
          <cell r="AT165" t="e">
            <v>#N/A</v>
          </cell>
          <cell r="AU165" t="e">
            <v>#N/A</v>
          </cell>
          <cell r="AV165" t="e">
            <v>#N/A</v>
          </cell>
          <cell r="AW165" t="e">
            <v>#N/A</v>
          </cell>
          <cell r="AX165" t="e">
            <v>#N/A</v>
          </cell>
          <cell r="AY165" t="e">
            <v>#N/A</v>
          </cell>
          <cell r="AZ165" t="e">
            <v>#N/A</v>
          </cell>
          <cell r="BA165">
            <v>2500</v>
          </cell>
          <cell r="BB165" t="str">
            <v>Thùng 5 lớp 42x34x33</v>
          </cell>
          <cell r="BC165">
            <v>0</v>
          </cell>
          <cell r="BD165" t="e">
            <v>#N/A</v>
          </cell>
        </row>
        <row r="166">
          <cell r="A166" t="str">
            <v>sp 579</v>
          </cell>
          <cell r="B166" t="str">
            <v>Túi chè màu tím 200g loại 1</v>
          </cell>
          <cell r="C166">
            <v>2.7</v>
          </cell>
          <cell r="D166">
            <v>2</v>
          </cell>
          <cell r="E166" t="str">
            <v>PET 12x620</v>
          </cell>
          <cell r="F166">
            <v>1</v>
          </cell>
          <cell r="G166" t="str">
            <v>PET</v>
          </cell>
          <cell r="H166">
            <v>0</v>
          </cell>
          <cell r="I166">
            <v>0</v>
          </cell>
          <cell r="J166">
            <v>0</v>
          </cell>
          <cell r="K166">
            <v>0</v>
          </cell>
          <cell r="L166">
            <v>0</v>
          </cell>
          <cell r="M166">
            <v>0</v>
          </cell>
          <cell r="N166">
            <v>0</v>
          </cell>
          <cell r="O166">
            <v>0</v>
          </cell>
          <cell r="P166">
            <v>0</v>
          </cell>
          <cell r="Q166">
            <v>0</v>
          </cell>
          <cell r="R166">
            <v>2.7</v>
          </cell>
          <cell r="S166">
            <v>0</v>
          </cell>
          <cell r="T166">
            <v>0</v>
          </cell>
          <cell r="U166">
            <v>0</v>
          </cell>
          <cell r="V166">
            <v>0</v>
          </cell>
          <cell r="W166">
            <v>0</v>
          </cell>
          <cell r="X166">
            <v>0</v>
          </cell>
          <cell r="Y166">
            <v>0</v>
          </cell>
          <cell r="Z166">
            <v>0</v>
          </cell>
          <cell r="AA166">
            <v>0</v>
          </cell>
          <cell r="AB166">
            <v>0</v>
          </cell>
          <cell r="AC166">
            <v>0</v>
          </cell>
          <cell r="AD166">
            <v>0</v>
          </cell>
          <cell r="AE166" t="str">
            <v>MPET 12x620</v>
          </cell>
          <cell r="AF166" t="str">
            <v>PE 75x620</v>
          </cell>
          <cell r="AG166">
            <v>6.3844500000000012E-2</v>
          </cell>
          <cell r="AH166">
            <v>0.93533333333333324</v>
          </cell>
          <cell r="AI166">
            <v>1.22</v>
          </cell>
          <cell r="AJ166">
            <v>9530</v>
          </cell>
          <cell r="AK166">
            <v>9530</v>
          </cell>
          <cell r="AL166" t="str">
            <v>0,0053(0,0023;0,003)</v>
          </cell>
          <cell r="AM166" t="str">
            <v>túi hàn lưng xếp hông</v>
          </cell>
          <cell r="AN166">
            <v>340</v>
          </cell>
          <cell r="AO166" t="str">
            <v>Khách hàng lẻ</v>
          </cell>
          <cell r="AP166" t="e">
            <v>#N/A</v>
          </cell>
          <cell r="AQ166" t="e">
            <v>#N/A</v>
          </cell>
          <cell r="AR166" t="e">
            <v>#N/A</v>
          </cell>
          <cell r="AS166" t="e">
            <v>#N/A</v>
          </cell>
          <cell r="AT166" t="e">
            <v>#N/A</v>
          </cell>
          <cell r="AU166" t="e">
            <v>#N/A</v>
          </cell>
          <cell r="AV166" t="e">
            <v>#N/A</v>
          </cell>
          <cell r="AW166" t="e">
            <v>#N/A</v>
          </cell>
          <cell r="AX166" t="e">
            <v>#N/A</v>
          </cell>
          <cell r="AY166" t="e">
            <v>#N/A</v>
          </cell>
          <cell r="AZ166" t="e">
            <v>#N/A</v>
          </cell>
          <cell r="BA166">
            <v>2500</v>
          </cell>
          <cell r="BB166" t="str">
            <v>Thùng 5 lớp 42x34x33</v>
          </cell>
          <cell r="BC166">
            <v>0</v>
          </cell>
          <cell r="BD166" t="e">
            <v>#N/A</v>
          </cell>
        </row>
        <row r="167">
          <cell r="A167" t="str">
            <v>sp 580</v>
          </cell>
          <cell r="B167" t="str">
            <v>Túi chè không in 200g loại 1</v>
          </cell>
          <cell r="C167">
            <v>0</v>
          </cell>
          <cell r="D167">
            <v>2</v>
          </cell>
          <cell r="E167" t="str">
            <v>PET 12x620</v>
          </cell>
          <cell r="F167">
            <v>0</v>
          </cell>
          <cell r="G167" t="str">
            <v>PET</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t="str">
            <v>MPET 12x620</v>
          </cell>
          <cell r="AF167" t="str">
            <v>PE 75x620</v>
          </cell>
          <cell r="AG167">
            <v>6.3844500000000012E-2</v>
          </cell>
          <cell r="AH167">
            <v>0.93533333333333324</v>
          </cell>
          <cell r="AI167">
            <v>1.22</v>
          </cell>
          <cell r="AJ167">
            <v>9530</v>
          </cell>
          <cell r="AK167">
            <v>9530</v>
          </cell>
          <cell r="AL167" t="str">
            <v>0,0053(0,0023;0,003)</v>
          </cell>
          <cell r="AM167" t="str">
            <v>túi hàn lưng xếp hông</v>
          </cell>
          <cell r="AN167">
            <v>340</v>
          </cell>
          <cell r="AO167" t="str">
            <v>Khách hàng lẻ</v>
          </cell>
          <cell r="AP167" t="e">
            <v>#N/A</v>
          </cell>
          <cell r="AQ167" t="e">
            <v>#N/A</v>
          </cell>
          <cell r="AR167" t="e">
            <v>#N/A</v>
          </cell>
          <cell r="AS167" t="e">
            <v>#N/A</v>
          </cell>
          <cell r="AT167" t="e">
            <v>#N/A</v>
          </cell>
          <cell r="AU167" t="e">
            <v>#N/A</v>
          </cell>
          <cell r="AV167" t="e">
            <v>#N/A</v>
          </cell>
          <cell r="AW167" t="e">
            <v>#N/A</v>
          </cell>
          <cell r="AX167" t="e">
            <v>#N/A</v>
          </cell>
          <cell r="AY167" t="e">
            <v>#N/A</v>
          </cell>
          <cell r="AZ167" t="e">
            <v>#N/A</v>
          </cell>
          <cell r="BA167">
            <v>2500</v>
          </cell>
          <cell r="BB167" t="str">
            <v>Thùng 5 lớp 42x34x33</v>
          </cell>
          <cell r="BC167">
            <v>0</v>
          </cell>
          <cell r="BD167" t="e">
            <v>#N/A</v>
          </cell>
        </row>
        <row r="168">
          <cell r="A168" t="str">
            <v>sp 581</v>
          </cell>
          <cell r="B168" t="str">
            <v>Túi chè màu xanh 500g loại 1</v>
          </cell>
          <cell r="C168">
            <v>4.8000000000000007</v>
          </cell>
          <cell r="D168">
            <v>2</v>
          </cell>
          <cell r="E168" t="str">
            <v>PET 12x760</v>
          </cell>
          <cell r="F168">
            <v>1</v>
          </cell>
          <cell r="G168" t="str">
            <v>PET</v>
          </cell>
          <cell r="H168">
            <v>0</v>
          </cell>
          <cell r="I168">
            <v>0</v>
          </cell>
          <cell r="J168">
            <v>0</v>
          </cell>
          <cell r="K168">
            <v>0</v>
          </cell>
          <cell r="L168">
            <v>2.7</v>
          </cell>
          <cell r="M168">
            <v>0</v>
          </cell>
          <cell r="N168">
            <v>0</v>
          </cell>
          <cell r="O168">
            <v>2.1</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t="str">
            <v>MPET 12x760</v>
          </cell>
          <cell r="AF168" t="str">
            <v>PE 80x760</v>
          </cell>
          <cell r="AG168">
            <v>8.1776000000000001E-2</v>
          </cell>
          <cell r="AH168">
            <v>1.1499999999999999</v>
          </cell>
          <cell r="AI168">
            <v>1.5</v>
          </cell>
          <cell r="AJ168">
            <v>9530</v>
          </cell>
          <cell r="AK168">
            <v>9530</v>
          </cell>
          <cell r="AL168" t="str">
            <v>0,0053(0,0023;0,003)</v>
          </cell>
          <cell r="AM168" t="str">
            <v>túi hàn lưng xếp hông</v>
          </cell>
          <cell r="AN168">
            <v>420</v>
          </cell>
          <cell r="AO168" t="str">
            <v>Khách hàng lẻ</v>
          </cell>
          <cell r="AP168" t="e">
            <v>#N/A</v>
          </cell>
          <cell r="AQ168" t="e">
            <v>#N/A</v>
          </cell>
          <cell r="AR168" t="e">
            <v>#N/A</v>
          </cell>
          <cell r="AS168" t="e">
            <v>#N/A</v>
          </cell>
          <cell r="AT168" t="e">
            <v>#N/A</v>
          </cell>
          <cell r="AU168" t="e">
            <v>#N/A</v>
          </cell>
          <cell r="AV168" t="e">
            <v>#N/A</v>
          </cell>
          <cell r="AW168" t="e">
            <v>#N/A</v>
          </cell>
          <cell r="AX168" t="e">
            <v>#N/A</v>
          </cell>
          <cell r="AY168" t="e">
            <v>#N/A</v>
          </cell>
          <cell r="AZ168" t="e">
            <v>#N/A</v>
          </cell>
          <cell r="BA168">
            <v>1500</v>
          </cell>
          <cell r="BB168" t="str">
            <v>Thùng 5 lớp 42x34x33</v>
          </cell>
          <cell r="BC168">
            <v>0</v>
          </cell>
          <cell r="BD168" t="e">
            <v>#N/A</v>
          </cell>
        </row>
        <row r="169">
          <cell r="A169" t="str">
            <v>sp 582</v>
          </cell>
          <cell r="B169" t="str">
            <v>Túi chè màu đỏ 500g loại 1</v>
          </cell>
          <cell r="C169">
            <v>3.5</v>
          </cell>
          <cell r="D169">
            <v>2</v>
          </cell>
          <cell r="E169" t="str">
            <v>PET 12x760</v>
          </cell>
          <cell r="F169">
            <v>1</v>
          </cell>
          <cell r="G169" t="str">
            <v>PET</v>
          </cell>
          <cell r="H169">
            <v>0</v>
          </cell>
          <cell r="I169">
            <v>0</v>
          </cell>
          <cell r="J169">
            <v>0</v>
          </cell>
          <cell r="K169">
            <v>2.4</v>
          </cell>
          <cell r="L169">
            <v>0</v>
          </cell>
          <cell r="M169">
            <v>0</v>
          </cell>
          <cell r="N169">
            <v>0</v>
          </cell>
          <cell r="O169">
            <v>0</v>
          </cell>
          <cell r="P169">
            <v>1.1000000000000001</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t="str">
            <v>MPET 12x760</v>
          </cell>
          <cell r="AF169" t="str">
            <v>PE 80x760</v>
          </cell>
          <cell r="AG169">
            <v>8.1776000000000001E-2</v>
          </cell>
          <cell r="AH169">
            <v>1.1499999999999999</v>
          </cell>
          <cell r="AI169">
            <v>1.5</v>
          </cell>
          <cell r="AJ169">
            <v>9530</v>
          </cell>
          <cell r="AK169">
            <v>9530</v>
          </cell>
          <cell r="AL169" t="str">
            <v>0,0053(0,0023;0,003)</v>
          </cell>
          <cell r="AM169" t="str">
            <v>túi hàn lưng xếp hông</v>
          </cell>
          <cell r="AN169">
            <v>420</v>
          </cell>
          <cell r="AO169" t="str">
            <v>Khách hàng lẻ</v>
          </cell>
          <cell r="AP169" t="e">
            <v>#N/A</v>
          </cell>
          <cell r="AQ169" t="e">
            <v>#N/A</v>
          </cell>
          <cell r="AR169" t="e">
            <v>#N/A</v>
          </cell>
          <cell r="AS169" t="e">
            <v>#N/A</v>
          </cell>
          <cell r="AT169" t="e">
            <v>#N/A</v>
          </cell>
          <cell r="AU169" t="e">
            <v>#N/A</v>
          </cell>
          <cell r="AV169" t="e">
            <v>#N/A</v>
          </cell>
          <cell r="AW169" t="e">
            <v>#N/A</v>
          </cell>
          <cell r="AX169" t="e">
            <v>#N/A</v>
          </cell>
          <cell r="AY169" t="e">
            <v>#N/A</v>
          </cell>
          <cell r="AZ169" t="e">
            <v>#N/A</v>
          </cell>
          <cell r="BA169">
            <v>1500</v>
          </cell>
          <cell r="BB169" t="str">
            <v>Thùng 5 lớp 42x34x33</v>
          </cell>
          <cell r="BC169">
            <v>0</v>
          </cell>
          <cell r="BD169" t="e">
            <v>#N/A</v>
          </cell>
        </row>
        <row r="170">
          <cell r="A170" t="str">
            <v>sp 583</v>
          </cell>
          <cell r="B170" t="str">
            <v>Túi chè màu tím 500g loại 1</v>
          </cell>
          <cell r="C170">
            <v>4.0999999999999996</v>
          </cell>
          <cell r="D170">
            <v>2</v>
          </cell>
          <cell r="E170" t="str">
            <v>PET 12x760</v>
          </cell>
          <cell r="F170">
            <v>1</v>
          </cell>
          <cell r="G170" t="str">
            <v>PET</v>
          </cell>
          <cell r="H170">
            <v>0</v>
          </cell>
          <cell r="I170">
            <v>0</v>
          </cell>
          <cell r="J170">
            <v>0</v>
          </cell>
          <cell r="K170">
            <v>0.5</v>
          </cell>
          <cell r="L170">
            <v>0</v>
          </cell>
          <cell r="M170">
            <v>0</v>
          </cell>
          <cell r="N170">
            <v>0</v>
          </cell>
          <cell r="O170">
            <v>0</v>
          </cell>
          <cell r="P170">
            <v>0</v>
          </cell>
          <cell r="Q170">
            <v>0</v>
          </cell>
          <cell r="R170">
            <v>3.6</v>
          </cell>
          <cell r="S170">
            <v>0</v>
          </cell>
          <cell r="T170">
            <v>0</v>
          </cell>
          <cell r="U170">
            <v>0</v>
          </cell>
          <cell r="V170">
            <v>0</v>
          </cell>
          <cell r="W170">
            <v>0</v>
          </cell>
          <cell r="X170">
            <v>0</v>
          </cell>
          <cell r="Y170">
            <v>0</v>
          </cell>
          <cell r="Z170">
            <v>0</v>
          </cell>
          <cell r="AA170">
            <v>0</v>
          </cell>
          <cell r="AB170">
            <v>0</v>
          </cell>
          <cell r="AC170">
            <v>0</v>
          </cell>
          <cell r="AD170">
            <v>0</v>
          </cell>
          <cell r="AE170" t="str">
            <v>MPET 12x760</v>
          </cell>
          <cell r="AF170" t="str">
            <v>PE 80x760</v>
          </cell>
          <cell r="AG170">
            <v>8.1776000000000001E-2</v>
          </cell>
          <cell r="AH170">
            <v>1.1499999999999999</v>
          </cell>
          <cell r="AI170">
            <v>1.5</v>
          </cell>
          <cell r="AJ170">
            <v>9530</v>
          </cell>
          <cell r="AK170">
            <v>9530</v>
          </cell>
          <cell r="AL170" t="str">
            <v>0,0053(0,0023;0,003)</v>
          </cell>
          <cell r="AM170" t="str">
            <v>túi hàn lưng xếp hông</v>
          </cell>
          <cell r="AN170">
            <v>420</v>
          </cell>
          <cell r="AO170" t="str">
            <v>Khách hàng lẻ</v>
          </cell>
          <cell r="AP170" t="e">
            <v>#N/A</v>
          </cell>
          <cell r="AQ170" t="e">
            <v>#N/A</v>
          </cell>
          <cell r="AR170" t="e">
            <v>#N/A</v>
          </cell>
          <cell r="AS170" t="e">
            <v>#N/A</v>
          </cell>
          <cell r="AT170" t="e">
            <v>#N/A</v>
          </cell>
          <cell r="AU170" t="e">
            <v>#N/A</v>
          </cell>
          <cell r="AV170" t="e">
            <v>#N/A</v>
          </cell>
          <cell r="AW170" t="e">
            <v>#N/A</v>
          </cell>
          <cell r="AX170" t="e">
            <v>#N/A</v>
          </cell>
          <cell r="AY170" t="e">
            <v>#N/A</v>
          </cell>
          <cell r="AZ170" t="e">
            <v>#N/A</v>
          </cell>
          <cell r="BA170">
            <v>1500</v>
          </cell>
          <cell r="BB170" t="str">
            <v>Thùng 5 lớp 42x34x33</v>
          </cell>
          <cell r="BC170">
            <v>0</v>
          </cell>
          <cell r="BD170" t="e">
            <v>#N/A</v>
          </cell>
        </row>
        <row r="171">
          <cell r="A171" t="str">
            <v>sp 584</v>
          </cell>
          <cell r="B171" t="str">
            <v>Túi chè không in 500g loại 1</v>
          </cell>
          <cell r="C171">
            <v>0</v>
          </cell>
          <cell r="D171">
            <v>2</v>
          </cell>
          <cell r="E171" t="str">
            <v>PET 12x760</v>
          </cell>
          <cell r="F171">
            <v>0</v>
          </cell>
          <cell r="G171" t="str">
            <v>PET</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t="str">
            <v>MPET 12x760</v>
          </cell>
          <cell r="AF171" t="str">
            <v>PE 80x760</v>
          </cell>
          <cell r="AG171">
            <v>8.1776000000000001E-2</v>
          </cell>
          <cell r="AH171">
            <v>1.1499999999999999</v>
          </cell>
          <cell r="AI171">
            <v>1.5</v>
          </cell>
          <cell r="AJ171">
            <v>9530</v>
          </cell>
          <cell r="AK171">
            <v>9530</v>
          </cell>
          <cell r="AL171" t="str">
            <v>0,0053(0,0023;0,003)</v>
          </cell>
          <cell r="AM171" t="str">
            <v>túi hàn lưng xếp hông</v>
          </cell>
          <cell r="AN171">
            <v>420</v>
          </cell>
          <cell r="AO171" t="str">
            <v>Khách hàng lẻ</v>
          </cell>
          <cell r="AP171" t="e">
            <v>#N/A</v>
          </cell>
          <cell r="AQ171" t="e">
            <v>#N/A</v>
          </cell>
          <cell r="AR171" t="e">
            <v>#N/A</v>
          </cell>
          <cell r="AS171" t="e">
            <v>#N/A</v>
          </cell>
          <cell r="AT171" t="e">
            <v>#N/A</v>
          </cell>
          <cell r="AU171" t="e">
            <v>#N/A</v>
          </cell>
          <cell r="AV171" t="e">
            <v>#N/A</v>
          </cell>
          <cell r="AW171" t="e">
            <v>#N/A</v>
          </cell>
          <cell r="AX171" t="e">
            <v>#N/A</v>
          </cell>
          <cell r="AY171" t="e">
            <v>#N/A</v>
          </cell>
          <cell r="AZ171" t="e">
            <v>#N/A</v>
          </cell>
          <cell r="BA171">
            <v>1500</v>
          </cell>
          <cell r="BB171" t="str">
            <v>Thùng 5 lớp 42x34x33</v>
          </cell>
          <cell r="BC171">
            <v>0</v>
          </cell>
          <cell r="BD171" t="e">
            <v>#N/A</v>
          </cell>
        </row>
        <row r="172">
          <cell r="A172" t="str">
            <v>sp 585</v>
          </cell>
          <cell r="B172" t="str">
            <v>Túi chè tân cương màu xanh in đen 100g loại 2</v>
          </cell>
          <cell r="C172">
            <v>4.5</v>
          </cell>
          <cell r="D172">
            <v>3</v>
          </cell>
          <cell r="E172" t="str">
            <v>PET 12x740</v>
          </cell>
          <cell r="F172">
            <v>2</v>
          </cell>
          <cell r="G172" t="str">
            <v>PET</v>
          </cell>
          <cell r="H172">
            <v>0.9</v>
          </cell>
          <cell r="I172">
            <v>0</v>
          </cell>
          <cell r="J172">
            <v>0</v>
          </cell>
          <cell r="K172">
            <v>0</v>
          </cell>
          <cell r="L172">
            <v>0</v>
          </cell>
          <cell r="M172">
            <v>0</v>
          </cell>
          <cell r="N172">
            <v>0</v>
          </cell>
          <cell r="O172">
            <v>3.6</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t="str">
            <v>MPET 12x740</v>
          </cell>
          <cell r="AF172" t="str">
            <v>PE 75x740</v>
          </cell>
          <cell r="AG172">
            <v>7.6201500000000005E-2</v>
          </cell>
          <cell r="AH172">
            <v>1.1193333333333333</v>
          </cell>
          <cell r="AI172">
            <v>1.46</v>
          </cell>
          <cell r="AJ172">
            <v>9530</v>
          </cell>
          <cell r="AK172">
            <v>9530</v>
          </cell>
          <cell r="AL172" t="str">
            <v>0,0053(0,0023;0,003)</v>
          </cell>
          <cell r="AM172" t="str">
            <v>túi hàn lưng xếp hông</v>
          </cell>
          <cell r="AN172">
            <v>270</v>
          </cell>
          <cell r="AO172" t="str">
            <v>Khách hàng lẻ</v>
          </cell>
          <cell r="AP172" t="e">
            <v>#N/A</v>
          </cell>
          <cell r="AQ172" t="e">
            <v>#N/A</v>
          </cell>
          <cell r="AR172" t="e">
            <v>#N/A</v>
          </cell>
          <cell r="AS172" t="e">
            <v>#N/A</v>
          </cell>
          <cell r="AT172" t="e">
            <v>#N/A</v>
          </cell>
          <cell r="AU172" t="e">
            <v>#N/A</v>
          </cell>
          <cell r="AV172" t="e">
            <v>#N/A</v>
          </cell>
          <cell r="AW172" t="e">
            <v>#N/A</v>
          </cell>
          <cell r="AX172" t="e">
            <v>#N/A</v>
          </cell>
          <cell r="AY172" t="e">
            <v>#N/A</v>
          </cell>
          <cell r="AZ172" t="e">
            <v>#N/A</v>
          </cell>
          <cell r="BA172">
            <v>3500</v>
          </cell>
          <cell r="BB172" t="str">
            <v>Thùng 5 lớp 42x34x33</v>
          </cell>
          <cell r="BC172">
            <v>0</v>
          </cell>
          <cell r="BD172" t="e">
            <v>#N/A</v>
          </cell>
        </row>
        <row r="173">
          <cell r="A173" t="str">
            <v>sp 586</v>
          </cell>
          <cell r="B173" t="str">
            <v>Túi chè tân cương màu đỏ in trắng 100g loại 2</v>
          </cell>
          <cell r="C173">
            <v>5.3</v>
          </cell>
          <cell r="D173">
            <v>3</v>
          </cell>
          <cell r="E173" t="str">
            <v>PET 12x740</v>
          </cell>
          <cell r="F173">
            <v>2</v>
          </cell>
          <cell r="G173" t="str">
            <v>PET</v>
          </cell>
          <cell r="H173">
            <v>0</v>
          </cell>
          <cell r="I173">
            <v>0.1</v>
          </cell>
          <cell r="J173">
            <v>0</v>
          </cell>
          <cell r="K173">
            <v>3.5</v>
          </cell>
          <cell r="L173">
            <v>0</v>
          </cell>
          <cell r="M173">
            <v>0</v>
          </cell>
          <cell r="N173">
            <v>0</v>
          </cell>
          <cell r="O173">
            <v>0</v>
          </cell>
          <cell r="P173">
            <v>1.7</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t="str">
            <v>MPET 12x740</v>
          </cell>
          <cell r="AF173" t="str">
            <v>PE 75x740</v>
          </cell>
          <cell r="AG173">
            <v>7.6201500000000005E-2</v>
          </cell>
          <cell r="AH173">
            <v>1.1193333333333333</v>
          </cell>
          <cell r="AI173">
            <v>1.46</v>
          </cell>
          <cell r="AJ173">
            <v>9530</v>
          </cell>
          <cell r="AK173">
            <v>9530</v>
          </cell>
          <cell r="AL173" t="str">
            <v>0,0053(0,0023;0,003)</v>
          </cell>
          <cell r="AM173" t="str">
            <v>túi hàn lưng xếp hông</v>
          </cell>
          <cell r="AN173">
            <v>270</v>
          </cell>
          <cell r="AO173" t="str">
            <v>Khách hàng lẻ</v>
          </cell>
          <cell r="AP173" t="e">
            <v>#N/A</v>
          </cell>
          <cell r="AQ173" t="e">
            <v>#N/A</v>
          </cell>
          <cell r="AR173" t="e">
            <v>#N/A</v>
          </cell>
          <cell r="AS173" t="e">
            <v>#N/A</v>
          </cell>
          <cell r="AT173" t="e">
            <v>#N/A</v>
          </cell>
          <cell r="AU173" t="e">
            <v>#N/A</v>
          </cell>
          <cell r="AV173" t="e">
            <v>#N/A</v>
          </cell>
          <cell r="AW173" t="e">
            <v>#N/A</v>
          </cell>
          <cell r="AX173" t="e">
            <v>#N/A</v>
          </cell>
          <cell r="AY173" t="e">
            <v>#N/A</v>
          </cell>
          <cell r="AZ173" t="e">
            <v>#N/A</v>
          </cell>
          <cell r="BA173">
            <v>3500</v>
          </cell>
          <cell r="BB173" t="str">
            <v>Thùng 5 lớp 42x34x33</v>
          </cell>
          <cell r="BC173">
            <v>0</v>
          </cell>
          <cell r="BD173" t="e">
            <v>#N/A</v>
          </cell>
        </row>
        <row r="174">
          <cell r="A174" t="str">
            <v>sp 587</v>
          </cell>
          <cell r="B174" t="str">
            <v>Túi chè tân cương màu tím in trắng 100g loại 2</v>
          </cell>
          <cell r="C174">
            <v>2.8000000000000003</v>
          </cell>
          <cell r="D174">
            <v>3</v>
          </cell>
          <cell r="E174" t="str">
            <v>PET 12x740</v>
          </cell>
          <cell r="F174">
            <v>2</v>
          </cell>
          <cell r="G174" t="str">
            <v>PET</v>
          </cell>
          <cell r="H174">
            <v>0</v>
          </cell>
          <cell r="I174">
            <v>0.1</v>
          </cell>
          <cell r="J174">
            <v>0</v>
          </cell>
          <cell r="K174">
            <v>0</v>
          </cell>
          <cell r="L174">
            <v>0</v>
          </cell>
          <cell r="M174">
            <v>0</v>
          </cell>
          <cell r="N174">
            <v>0</v>
          </cell>
          <cell r="O174">
            <v>0</v>
          </cell>
          <cell r="P174">
            <v>0</v>
          </cell>
          <cell r="Q174">
            <v>0</v>
          </cell>
          <cell r="R174">
            <v>2.7</v>
          </cell>
          <cell r="S174">
            <v>0</v>
          </cell>
          <cell r="T174">
            <v>0</v>
          </cell>
          <cell r="U174">
            <v>0</v>
          </cell>
          <cell r="V174">
            <v>0</v>
          </cell>
          <cell r="W174">
            <v>0</v>
          </cell>
          <cell r="X174">
            <v>0</v>
          </cell>
          <cell r="Y174">
            <v>0</v>
          </cell>
          <cell r="Z174">
            <v>0</v>
          </cell>
          <cell r="AA174">
            <v>0</v>
          </cell>
          <cell r="AB174">
            <v>0</v>
          </cell>
          <cell r="AC174">
            <v>0</v>
          </cell>
          <cell r="AD174">
            <v>0</v>
          </cell>
          <cell r="AE174" t="str">
            <v>MPET 12x740</v>
          </cell>
          <cell r="AF174" t="str">
            <v>PE 75x740</v>
          </cell>
          <cell r="AG174">
            <v>7.6201500000000005E-2</v>
          </cell>
          <cell r="AH174">
            <v>1.1193333333333333</v>
          </cell>
          <cell r="AI174">
            <v>1.46</v>
          </cell>
          <cell r="AJ174">
            <v>9530</v>
          </cell>
          <cell r="AK174">
            <v>9530</v>
          </cell>
          <cell r="AL174" t="str">
            <v>0,0053(0,0023;0,003)</v>
          </cell>
          <cell r="AM174" t="str">
            <v>túi hàn lưng xếp hông</v>
          </cell>
          <cell r="AN174">
            <v>270</v>
          </cell>
          <cell r="AO174" t="str">
            <v>Khách hàng lẻ</v>
          </cell>
          <cell r="AP174" t="e">
            <v>#N/A</v>
          </cell>
          <cell r="AQ174" t="e">
            <v>#N/A</v>
          </cell>
          <cell r="AR174" t="e">
            <v>#N/A</v>
          </cell>
          <cell r="AS174" t="e">
            <v>#N/A</v>
          </cell>
          <cell r="AT174" t="e">
            <v>#N/A</v>
          </cell>
          <cell r="AU174" t="e">
            <v>#N/A</v>
          </cell>
          <cell r="AV174" t="e">
            <v>#N/A</v>
          </cell>
          <cell r="AW174" t="e">
            <v>#N/A</v>
          </cell>
          <cell r="AX174" t="e">
            <v>#N/A</v>
          </cell>
          <cell r="AY174" t="e">
            <v>#N/A</v>
          </cell>
          <cell r="AZ174" t="e">
            <v>#N/A</v>
          </cell>
          <cell r="BA174">
            <v>3500</v>
          </cell>
          <cell r="BB174" t="str">
            <v>Thùng 5 lớp 42x34x33</v>
          </cell>
          <cell r="BC174">
            <v>0</v>
          </cell>
          <cell r="BD174" t="e">
            <v>#N/A</v>
          </cell>
        </row>
        <row r="175">
          <cell r="A175" t="str">
            <v>sp 588</v>
          </cell>
          <cell r="B175" t="str">
            <v>Túi chè tân cương màu xanh in đen 200g loại 2</v>
          </cell>
          <cell r="C175">
            <v>0</v>
          </cell>
          <cell r="D175">
            <v>3</v>
          </cell>
          <cell r="E175" t="str">
            <v>PET 12x920</v>
          </cell>
          <cell r="F175">
            <v>2</v>
          </cell>
          <cell r="G175" t="str">
            <v>PET</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t="str">
            <v>MPET 12x920</v>
          </cell>
          <cell r="AF175" t="str">
            <v>PE 75x920</v>
          </cell>
          <cell r="AG175">
            <v>9.4737000000000016E-2</v>
          </cell>
          <cell r="AH175">
            <v>1.3953333333333333</v>
          </cell>
          <cell r="AI175">
            <v>1.82</v>
          </cell>
          <cell r="AJ175">
            <v>9530</v>
          </cell>
          <cell r="AK175">
            <v>9530</v>
          </cell>
          <cell r="AL175" t="str">
            <v>0,0053(0,0023;0,003)</v>
          </cell>
          <cell r="AM175" t="str">
            <v>túi hàn lưng xếp hông</v>
          </cell>
          <cell r="AN175">
            <v>340</v>
          </cell>
          <cell r="AO175" t="str">
            <v>Khách hàng lẻ</v>
          </cell>
          <cell r="AP175" t="e">
            <v>#N/A</v>
          </cell>
          <cell r="AQ175" t="e">
            <v>#N/A</v>
          </cell>
          <cell r="AR175" t="e">
            <v>#N/A</v>
          </cell>
          <cell r="AS175" t="e">
            <v>#N/A</v>
          </cell>
          <cell r="AT175" t="e">
            <v>#N/A</v>
          </cell>
          <cell r="AU175" t="e">
            <v>#N/A</v>
          </cell>
          <cell r="AV175" t="e">
            <v>#N/A</v>
          </cell>
          <cell r="AW175" t="e">
            <v>#N/A</v>
          </cell>
          <cell r="AX175" t="e">
            <v>#N/A</v>
          </cell>
          <cell r="AY175" t="e">
            <v>#N/A</v>
          </cell>
          <cell r="AZ175" t="e">
            <v>#N/A</v>
          </cell>
          <cell r="BA175">
            <v>2500</v>
          </cell>
          <cell r="BB175" t="str">
            <v>Thùng 5 lớp 42x34x33</v>
          </cell>
          <cell r="BC175">
            <v>0</v>
          </cell>
          <cell r="BD175" t="e">
            <v>#N/A</v>
          </cell>
        </row>
        <row r="176">
          <cell r="A176" t="str">
            <v>sp 589</v>
          </cell>
          <cell r="B176" t="str">
            <v>Túi chè tân cương màu đỏ in trắng 200g loại 2</v>
          </cell>
          <cell r="C176">
            <v>3.1</v>
          </cell>
          <cell r="D176">
            <v>3</v>
          </cell>
          <cell r="E176" t="str">
            <v>PET 12x920</v>
          </cell>
          <cell r="F176">
            <v>2</v>
          </cell>
          <cell r="G176" t="str">
            <v>PET</v>
          </cell>
          <cell r="H176">
            <v>0</v>
          </cell>
          <cell r="I176">
            <v>0.1</v>
          </cell>
          <cell r="J176">
            <v>0</v>
          </cell>
          <cell r="K176">
            <v>0</v>
          </cell>
          <cell r="L176">
            <v>0</v>
          </cell>
          <cell r="M176">
            <v>0</v>
          </cell>
          <cell r="N176">
            <v>0</v>
          </cell>
          <cell r="O176">
            <v>0</v>
          </cell>
          <cell r="P176">
            <v>3</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t="str">
            <v>MPET 12x920</v>
          </cell>
          <cell r="AF176" t="str">
            <v>PE 75x920</v>
          </cell>
          <cell r="AG176">
            <v>9.4737000000000016E-2</v>
          </cell>
          <cell r="AH176">
            <v>1.3953333333333333</v>
          </cell>
          <cell r="AI176">
            <v>1.82</v>
          </cell>
          <cell r="AJ176">
            <v>9530</v>
          </cell>
          <cell r="AK176">
            <v>9530</v>
          </cell>
          <cell r="AL176" t="str">
            <v>0,0053(0,0023;0,003)</v>
          </cell>
          <cell r="AM176" t="str">
            <v>túi hàn lưng xếp hông</v>
          </cell>
          <cell r="AN176">
            <v>340</v>
          </cell>
          <cell r="AO176" t="str">
            <v>Khách hàng lẻ</v>
          </cell>
          <cell r="AP176" t="e">
            <v>#N/A</v>
          </cell>
          <cell r="AQ176" t="e">
            <v>#N/A</v>
          </cell>
          <cell r="AR176" t="e">
            <v>#N/A</v>
          </cell>
          <cell r="AS176" t="e">
            <v>#N/A</v>
          </cell>
          <cell r="AT176" t="e">
            <v>#N/A</v>
          </cell>
          <cell r="AU176" t="e">
            <v>#N/A</v>
          </cell>
          <cell r="AV176" t="e">
            <v>#N/A</v>
          </cell>
          <cell r="AW176" t="e">
            <v>#N/A</v>
          </cell>
          <cell r="AX176" t="e">
            <v>#N/A</v>
          </cell>
          <cell r="AY176" t="e">
            <v>#N/A</v>
          </cell>
          <cell r="AZ176" t="e">
            <v>#N/A</v>
          </cell>
          <cell r="BA176">
            <v>2500</v>
          </cell>
          <cell r="BB176" t="str">
            <v>Thùng 5 lớp 42x34x33</v>
          </cell>
          <cell r="BC176">
            <v>0</v>
          </cell>
          <cell r="BD176" t="e">
            <v>#N/A</v>
          </cell>
        </row>
        <row r="177">
          <cell r="A177" t="str">
            <v>sp 590</v>
          </cell>
          <cell r="B177" t="str">
            <v>Túi chè tân cương màu tím in trắng 200g loại 2</v>
          </cell>
          <cell r="C177">
            <v>3</v>
          </cell>
          <cell r="D177">
            <v>3</v>
          </cell>
          <cell r="E177" t="str">
            <v>PET 12x920</v>
          </cell>
          <cell r="F177">
            <v>2</v>
          </cell>
          <cell r="G177" t="str">
            <v>PET</v>
          </cell>
          <cell r="H177">
            <v>0</v>
          </cell>
          <cell r="I177">
            <v>0.1</v>
          </cell>
          <cell r="J177">
            <v>0.9</v>
          </cell>
          <cell r="K177">
            <v>0</v>
          </cell>
          <cell r="L177">
            <v>0</v>
          </cell>
          <cell r="M177">
            <v>0</v>
          </cell>
          <cell r="N177">
            <v>0</v>
          </cell>
          <cell r="O177">
            <v>0</v>
          </cell>
          <cell r="P177">
            <v>0</v>
          </cell>
          <cell r="Q177">
            <v>0</v>
          </cell>
          <cell r="R177">
            <v>2</v>
          </cell>
          <cell r="S177">
            <v>0</v>
          </cell>
          <cell r="T177">
            <v>0</v>
          </cell>
          <cell r="U177">
            <v>0</v>
          </cell>
          <cell r="V177">
            <v>0</v>
          </cell>
          <cell r="W177">
            <v>0</v>
          </cell>
          <cell r="X177">
            <v>0</v>
          </cell>
          <cell r="Y177">
            <v>0</v>
          </cell>
          <cell r="Z177">
            <v>0</v>
          </cell>
          <cell r="AA177">
            <v>0</v>
          </cell>
          <cell r="AB177">
            <v>0</v>
          </cell>
          <cell r="AC177">
            <v>0</v>
          </cell>
          <cell r="AD177">
            <v>0</v>
          </cell>
          <cell r="AE177" t="str">
            <v>MPET 12x920</v>
          </cell>
          <cell r="AF177" t="str">
            <v>PE 75x920</v>
          </cell>
          <cell r="AG177">
            <v>9.4737000000000016E-2</v>
          </cell>
          <cell r="AH177">
            <v>1.3953333333333333</v>
          </cell>
          <cell r="AI177">
            <v>1.82</v>
          </cell>
          <cell r="AJ177">
            <v>9530</v>
          </cell>
          <cell r="AK177">
            <v>9530</v>
          </cell>
          <cell r="AL177" t="str">
            <v>0,0053(0,0023;0,003)</v>
          </cell>
          <cell r="AM177" t="str">
            <v>túi hàn lưng xếp hông</v>
          </cell>
          <cell r="AN177">
            <v>340</v>
          </cell>
          <cell r="AO177" t="str">
            <v>Khách hàng lẻ</v>
          </cell>
          <cell r="AP177" t="e">
            <v>#N/A</v>
          </cell>
          <cell r="AQ177" t="e">
            <v>#N/A</v>
          </cell>
          <cell r="AR177" t="e">
            <v>#N/A</v>
          </cell>
          <cell r="AS177" t="e">
            <v>#N/A</v>
          </cell>
          <cell r="AT177" t="e">
            <v>#N/A</v>
          </cell>
          <cell r="AU177" t="e">
            <v>#N/A</v>
          </cell>
          <cell r="AV177" t="e">
            <v>#N/A</v>
          </cell>
          <cell r="AW177" t="e">
            <v>#N/A</v>
          </cell>
          <cell r="AX177" t="e">
            <v>#N/A</v>
          </cell>
          <cell r="AY177" t="e">
            <v>#N/A</v>
          </cell>
          <cell r="AZ177" t="e">
            <v>#N/A</v>
          </cell>
          <cell r="BA177">
            <v>2500</v>
          </cell>
          <cell r="BB177" t="str">
            <v>Thùng 5 lớp 42x34x33</v>
          </cell>
          <cell r="BC177">
            <v>0</v>
          </cell>
          <cell r="BD177" t="e">
            <v>#N/A</v>
          </cell>
        </row>
        <row r="178">
          <cell r="A178" t="str">
            <v>sp 591</v>
          </cell>
          <cell r="B178" t="str">
            <v>Túi chè tân cương màu bạc in đen 200g loại 2</v>
          </cell>
          <cell r="C178">
            <v>0</v>
          </cell>
          <cell r="D178">
            <v>3</v>
          </cell>
          <cell r="E178" t="str">
            <v>PET 12x920</v>
          </cell>
          <cell r="F178">
            <v>2</v>
          </cell>
          <cell r="G178" t="str">
            <v>PET</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t="str">
            <v>MPET 12x920</v>
          </cell>
          <cell r="AF178" t="str">
            <v>PE 75x920</v>
          </cell>
          <cell r="AG178">
            <v>9.4737000000000016E-2</v>
          </cell>
          <cell r="AH178">
            <v>1.3953333333333333</v>
          </cell>
          <cell r="AI178">
            <v>1.82</v>
          </cell>
          <cell r="AJ178">
            <v>9530</v>
          </cell>
          <cell r="AK178">
            <v>9530</v>
          </cell>
          <cell r="AL178" t="str">
            <v>0,0053(0,0023;0,003)</v>
          </cell>
          <cell r="AM178" t="str">
            <v>túi hàn lưng xếp hông</v>
          </cell>
          <cell r="AN178">
            <v>340</v>
          </cell>
          <cell r="AO178" t="str">
            <v>Khách hàng lẻ</v>
          </cell>
          <cell r="AP178" t="e">
            <v>#N/A</v>
          </cell>
          <cell r="AQ178" t="e">
            <v>#N/A</v>
          </cell>
          <cell r="AR178" t="e">
            <v>#N/A</v>
          </cell>
          <cell r="AS178" t="e">
            <v>#N/A</v>
          </cell>
          <cell r="AT178" t="e">
            <v>#N/A</v>
          </cell>
          <cell r="AU178" t="e">
            <v>#N/A</v>
          </cell>
          <cell r="AV178" t="e">
            <v>#N/A</v>
          </cell>
          <cell r="AW178" t="e">
            <v>#N/A</v>
          </cell>
          <cell r="AX178" t="e">
            <v>#N/A</v>
          </cell>
          <cell r="AY178" t="e">
            <v>#N/A</v>
          </cell>
          <cell r="AZ178" t="e">
            <v>#N/A</v>
          </cell>
          <cell r="BA178">
            <v>2500</v>
          </cell>
          <cell r="BB178" t="str">
            <v>Thùng 5 lớp 42x34x33</v>
          </cell>
          <cell r="BC178">
            <v>0</v>
          </cell>
          <cell r="BD178" t="e">
            <v>#N/A</v>
          </cell>
        </row>
        <row r="179">
          <cell r="A179" t="str">
            <v>sp 592</v>
          </cell>
          <cell r="B179" t="str">
            <v>Túi chè tân cương màu xanh in đen 500g loại 2</v>
          </cell>
          <cell r="C179">
            <v>3.8000000000000003</v>
          </cell>
          <cell r="D179">
            <v>2</v>
          </cell>
          <cell r="E179" t="str">
            <v>PET 12x760</v>
          </cell>
          <cell r="F179">
            <v>2</v>
          </cell>
          <cell r="G179" t="str">
            <v>PET</v>
          </cell>
          <cell r="H179">
            <v>0</v>
          </cell>
          <cell r="I179">
            <v>0.1</v>
          </cell>
          <cell r="J179">
            <v>0</v>
          </cell>
          <cell r="K179">
            <v>3.7</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t="str">
            <v>MPET 12x760</v>
          </cell>
          <cell r="AF179" t="str">
            <v>PE 80x760</v>
          </cell>
          <cell r="AG179">
            <v>8.1776000000000001E-2</v>
          </cell>
          <cell r="AH179">
            <v>1.1499999999999999</v>
          </cell>
          <cell r="AI179">
            <v>1.5</v>
          </cell>
          <cell r="AJ179">
            <v>9530</v>
          </cell>
          <cell r="AK179">
            <v>0</v>
          </cell>
          <cell r="AL179" t="str">
            <v>0,0053(0,0023;0,003)</v>
          </cell>
          <cell r="AM179" t="str">
            <v>túi hàn lưng xếp hông</v>
          </cell>
          <cell r="AN179">
            <v>420</v>
          </cell>
          <cell r="AO179" t="str">
            <v>Khách hàng lẻ</v>
          </cell>
          <cell r="AP179" t="e">
            <v>#N/A</v>
          </cell>
          <cell r="AQ179" t="e">
            <v>#N/A</v>
          </cell>
          <cell r="AR179" t="e">
            <v>#N/A</v>
          </cell>
          <cell r="AS179" t="e">
            <v>#N/A</v>
          </cell>
          <cell r="AT179" t="e">
            <v>#N/A</v>
          </cell>
          <cell r="AU179" t="e">
            <v>#N/A</v>
          </cell>
          <cell r="AV179" t="e">
            <v>#N/A</v>
          </cell>
          <cell r="AW179" t="e">
            <v>#N/A</v>
          </cell>
          <cell r="AX179" t="e">
            <v>#N/A</v>
          </cell>
          <cell r="AY179" t="e">
            <v>#N/A</v>
          </cell>
          <cell r="AZ179" t="e">
            <v>#N/A</v>
          </cell>
          <cell r="BA179">
            <v>1500</v>
          </cell>
          <cell r="BB179" t="str">
            <v>Thùng 5 lớp 42x34x33</v>
          </cell>
          <cell r="BC179">
            <v>0</v>
          </cell>
          <cell r="BD179" t="e">
            <v>#N/A</v>
          </cell>
        </row>
        <row r="180">
          <cell r="A180" t="str">
            <v>sp 593</v>
          </cell>
          <cell r="B180" t="str">
            <v>Túi chè tân cương màu đỏ in trắng 500g loại 2</v>
          </cell>
          <cell r="C180">
            <v>2.9</v>
          </cell>
          <cell r="D180">
            <v>2</v>
          </cell>
          <cell r="E180" t="str">
            <v>PET 12x760</v>
          </cell>
          <cell r="F180">
            <v>2</v>
          </cell>
          <cell r="G180" t="str">
            <v>PET</v>
          </cell>
          <cell r="H180">
            <v>0.1</v>
          </cell>
          <cell r="I180">
            <v>0</v>
          </cell>
          <cell r="J180">
            <v>0</v>
          </cell>
          <cell r="K180">
            <v>0</v>
          </cell>
          <cell r="L180">
            <v>0</v>
          </cell>
          <cell r="M180">
            <v>0</v>
          </cell>
          <cell r="N180">
            <v>0</v>
          </cell>
          <cell r="O180">
            <v>2.8</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t="str">
            <v>MPET 12x760</v>
          </cell>
          <cell r="AF180" t="str">
            <v>PE 80x760</v>
          </cell>
          <cell r="AG180">
            <v>8.1776000000000001E-2</v>
          </cell>
          <cell r="AH180">
            <v>1.1499999999999999</v>
          </cell>
          <cell r="AI180">
            <v>1.5</v>
          </cell>
          <cell r="AJ180">
            <v>9530</v>
          </cell>
          <cell r="AK180">
            <v>9530</v>
          </cell>
          <cell r="AL180" t="str">
            <v>0,0053(0,0023;0,003)</v>
          </cell>
          <cell r="AM180" t="str">
            <v>túi hàn lưng xếp hông</v>
          </cell>
          <cell r="AN180">
            <v>420</v>
          </cell>
          <cell r="AO180" t="str">
            <v>Khách hàng lẻ</v>
          </cell>
          <cell r="AP180" t="e">
            <v>#N/A</v>
          </cell>
          <cell r="AQ180" t="e">
            <v>#N/A</v>
          </cell>
          <cell r="AR180" t="e">
            <v>#N/A</v>
          </cell>
          <cell r="AS180" t="e">
            <v>#N/A</v>
          </cell>
          <cell r="AT180" t="e">
            <v>#N/A</v>
          </cell>
          <cell r="AU180" t="e">
            <v>#N/A</v>
          </cell>
          <cell r="AV180" t="e">
            <v>#N/A</v>
          </cell>
          <cell r="AW180" t="e">
            <v>#N/A</v>
          </cell>
          <cell r="AX180" t="e">
            <v>#N/A</v>
          </cell>
          <cell r="AY180" t="e">
            <v>#N/A</v>
          </cell>
          <cell r="AZ180" t="e">
            <v>#N/A</v>
          </cell>
          <cell r="BA180">
            <v>1500</v>
          </cell>
          <cell r="BB180" t="str">
            <v>Thùng 5 lớp 42x34x33</v>
          </cell>
          <cell r="BC180">
            <v>0</v>
          </cell>
          <cell r="BD180" t="e">
            <v>#N/A</v>
          </cell>
        </row>
        <row r="181">
          <cell r="A181" t="str">
            <v>sp 594</v>
          </cell>
          <cell r="B181" t="str">
            <v>Túi chè tân cương màu tím in trắng 500g loại 2</v>
          </cell>
          <cell r="C181">
            <v>5.3</v>
          </cell>
          <cell r="D181">
            <v>2</v>
          </cell>
          <cell r="E181" t="str">
            <v>PET 12x760</v>
          </cell>
          <cell r="F181">
            <v>2</v>
          </cell>
          <cell r="G181" t="str">
            <v>PET</v>
          </cell>
          <cell r="H181">
            <v>0</v>
          </cell>
          <cell r="I181">
            <v>0.1</v>
          </cell>
          <cell r="J181">
            <v>3.3</v>
          </cell>
          <cell r="K181">
            <v>0.7</v>
          </cell>
          <cell r="L181">
            <v>0</v>
          </cell>
          <cell r="M181">
            <v>0</v>
          </cell>
          <cell r="N181">
            <v>0</v>
          </cell>
          <cell r="O181">
            <v>0</v>
          </cell>
          <cell r="P181">
            <v>0</v>
          </cell>
          <cell r="Q181">
            <v>0</v>
          </cell>
          <cell r="R181">
            <v>1.2</v>
          </cell>
          <cell r="S181">
            <v>0</v>
          </cell>
          <cell r="T181">
            <v>0</v>
          </cell>
          <cell r="U181">
            <v>0</v>
          </cell>
          <cell r="V181">
            <v>0</v>
          </cell>
          <cell r="W181">
            <v>0</v>
          </cell>
          <cell r="X181">
            <v>0</v>
          </cell>
          <cell r="Y181">
            <v>0</v>
          </cell>
          <cell r="Z181">
            <v>0</v>
          </cell>
          <cell r="AA181">
            <v>0</v>
          </cell>
          <cell r="AB181">
            <v>0</v>
          </cell>
          <cell r="AC181">
            <v>0</v>
          </cell>
          <cell r="AD181">
            <v>0</v>
          </cell>
          <cell r="AE181" t="str">
            <v>MPET 12x760</v>
          </cell>
          <cell r="AF181" t="str">
            <v>PE 80x760</v>
          </cell>
          <cell r="AG181">
            <v>8.1776000000000001E-2</v>
          </cell>
          <cell r="AH181">
            <v>1.1499999999999999</v>
          </cell>
          <cell r="AI181">
            <v>1.5</v>
          </cell>
          <cell r="AJ181">
            <v>9530</v>
          </cell>
          <cell r="AK181">
            <v>0</v>
          </cell>
          <cell r="AL181" t="str">
            <v>0,0053(0,0023;0,003)</v>
          </cell>
          <cell r="AM181" t="str">
            <v>túi hàn lưng xếp hông</v>
          </cell>
          <cell r="AN181">
            <v>420</v>
          </cell>
          <cell r="AO181" t="str">
            <v>Khách hàng lẻ</v>
          </cell>
          <cell r="AP181" t="e">
            <v>#N/A</v>
          </cell>
          <cell r="AQ181" t="e">
            <v>#N/A</v>
          </cell>
          <cell r="AR181" t="e">
            <v>#N/A</v>
          </cell>
          <cell r="AS181" t="e">
            <v>#N/A</v>
          </cell>
          <cell r="AT181" t="e">
            <v>#N/A</v>
          </cell>
          <cell r="AU181" t="e">
            <v>#N/A</v>
          </cell>
          <cell r="AV181" t="e">
            <v>#N/A</v>
          </cell>
          <cell r="AW181" t="e">
            <v>#N/A</v>
          </cell>
          <cell r="AX181" t="e">
            <v>#N/A</v>
          </cell>
          <cell r="AY181" t="e">
            <v>#N/A</v>
          </cell>
          <cell r="AZ181" t="e">
            <v>#N/A</v>
          </cell>
          <cell r="BA181">
            <v>1500</v>
          </cell>
          <cell r="BB181" t="str">
            <v>Thùng 5 lớp 42x34x33</v>
          </cell>
          <cell r="BC181">
            <v>0</v>
          </cell>
          <cell r="BD181" t="e">
            <v>#N/A</v>
          </cell>
        </row>
        <row r="182">
          <cell r="A182" t="str">
            <v>sp 595</v>
          </cell>
          <cell r="B182" t="str">
            <v>Túi chè tân cương màu bạc in đen 500g loại 2</v>
          </cell>
          <cell r="C182">
            <v>0.1</v>
          </cell>
          <cell r="D182">
            <v>2</v>
          </cell>
          <cell r="E182" t="str">
            <v>PET 12x760</v>
          </cell>
          <cell r="F182">
            <v>1</v>
          </cell>
          <cell r="G182" t="str">
            <v>PET</v>
          </cell>
          <cell r="H182">
            <v>0.1</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t="str">
            <v>MPET 12x760</v>
          </cell>
          <cell r="AF182" t="str">
            <v>PE 80x760</v>
          </cell>
          <cell r="AG182">
            <v>8.1776000000000001E-2</v>
          </cell>
          <cell r="AH182">
            <v>1.1499999999999999</v>
          </cell>
          <cell r="AI182">
            <v>1.5</v>
          </cell>
          <cell r="AJ182">
            <v>9530</v>
          </cell>
          <cell r="AK182">
            <v>0</v>
          </cell>
          <cell r="AL182" t="str">
            <v>0,0053(0,0023;0,003)</v>
          </cell>
          <cell r="AM182" t="str">
            <v>túi hàn lưng xếp hông</v>
          </cell>
          <cell r="AN182">
            <v>420</v>
          </cell>
          <cell r="AO182" t="str">
            <v>Khách hàng lẻ</v>
          </cell>
          <cell r="AP182" t="e">
            <v>#N/A</v>
          </cell>
          <cell r="AQ182" t="e">
            <v>#N/A</v>
          </cell>
          <cell r="AR182" t="e">
            <v>#N/A</v>
          </cell>
          <cell r="AS182" t="e">
            <v>#N/A</v>
          </cell>
          <cell r="AT182" t="e">
            <v>#N/A</v>
          </cell>
          <cell r="AU182" t="e">
            <v>#N/A</v>
          </cell>
          <cell r="AV182" t="e">
            <v>#N/A</v>
          </cell>
          <cell r="AW182" t="e">
            <v>#N/A</v>
          </cell>
          <cell r="AX182" t="e">
            <v>#N/A</v>
          </cell>
          <cell r="AY182" t="e">
            <v>#N/A</v>
          </cell>
          <cell r="AZ182" t="e">
            <v>#N/A</v>
          </cell>
          <cell r="BA182">
            <v>1500</v>
          </cell>
          <cell r="BB182" t="str">
            <v>Thùng 5 lớp 42x34x33</v>
          </cell>
          <cell r="BC182">
            <v>0</v>
          </cell>
          <cell r="BD182" t="e">
            <v>#N/A</v>
          </cell>
        </row>
        <row r="183">
          <cell r="A183" t="str">
            <v>sp 596</v>
          </cell>
          <cell r="B183" t="str">
            <v>Cuộn thuốc trừ sâu aceny 4,2 EC loại 15ml mekong</v>
          </cell>
          <cell r="C183">
            <v>7.2</v>
          </cell>
          <cell r="D183">
            <v>4</v>
          </cell>
          <cell r="E183" t="str">
            <v>PET 12x700</v>
          </cell>
          <cell r="F183">
            <v>5</v>
          </cell>
          <cell r="G183" t="str">
            <v>PET</v>
          </cell>
          <cell r="H183">
            <v>0.1</v>
          </cell>
          <cell r="I183">
            <v>2.6</v>
          </cell>
          <cell r="J183">
            <v>0.1</v>
          </cell>
          <cell r="K183">
            <v>0.1</v>
          </cell>
          <cell r="L183">
            <v>1.6</v>
          </cell>
          <cell r="M183">
            <v>2.7</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t="str">
            <v>MPET 12x700</v>
          </cell>
          <cell r="AF183" t="str">
            <v>PEDB 70x700</v>
          </cell>
          <cell r="AG183">
            <v>6.8845000000000003E-2</v>
          </cell>
          <cell r="AH183">
            <v>1.012</v>
          </cell>
          <cell r="AI183">
            <v>4.0943480195816635</v>
          </cell>
          <cell r="AJ183">
            <v>9530</v>
          </cell>
          <cell r="AK183" t="str">
            <v>811A</v>
          </cell>
          <cell r="AL183" t="str">
            <v>0,0023;811A (0,004)</v>
          </cell>
          <cell r="AM183" t="str">
            <v>dạng cuộn 500m</v>
          </cell>
          <cell r="AN183">
            <v>160</v>
          </cell>
          <cell r="AO183" t="str">
            <v>Công ty CP Green Mekong</v>
          </cell>
          <cell r="AP183" t="str">
            <v>1607595-1</v>
          </cell>
          <cell r="AQ183" t="str">
            <v>1607595-2</v>
          </cell>
          <cell r="AR183" t="str">
            <v>1607595-3</v>
          </cell>
          <cell r="AS183" t="str">
            <v>1607595-4</v>
          </cell>
          <cell r="AT183" t="str">
            <v>1607595-5</v>
          </cell>
          <cell r="AU183">
            <v>0</v>
          </cell>
          <cell r="AV183">
            <v>0</v>
          </cell>
          <cell r="AW183">
            <v>0</v>
          </cell>
          <cell r="AX183">
            <v>0</v>
          </cell>
          <cell r="AY183" t="str">
            <v>500x750</v>
          </cell>
          <cell r="AZ183" t="str">
            <v>O1</v>
          </cell>
          <cell r="BA183" t="str">
            <v>3c</v>
          </cell>
          <cell r="BB183" t="str">
            <v>giấy cartoon K600</v>
          </cell>
          <cell r="BC183">
            <v>0</v>
          </cell>
          <cell r="BD183">
            <v>0</v>
          </cell>
        </row>
        <row r="184">
          <cell r="A184" t="str">
            <v>sp 599</v>
          </cell>
          <cell r="B184" t="str">
            <v xml:space="preserve">Túi bánh trung thu nhật nguyệt </v>
          </cell>
          <cell r="C184">
            <v>1.7</v>
          </cell>
          <cell r="D184">
            <v>2</v>
          </cell>
          <cell r="E184" t="str">
            <v>OPP mờ 20x580</v>
          </cell>
          <cell r="F184">
            <v>2</v>
          </cell>
          <cell r="G184" t="str">
            <v>OPP</v>
          </cell>
          <cell r="H184">
            <v>0</v>
          </cell>
          <cell r="I184">
            <v>0</v>
          </cell>
          <cell r="J184">
            <v>0</v>
          </cell>
          <cell r="K184">
            <v>0</v>
          </cell>
          <cell r="L184">
            <v>0</v>
          </cell>
          <cell r="M184">
            <v>0</v>
          </cell>
          <cell r="N184">
            <v>0</v>
          </cell>
          <cell r="O184">
            <v>0</v>
          </cell>
          <cell r="P184">
            <v>0</v>
          </cell>
          <cell r="Q184">
            <v>0</v>
          </cell>
          <cell r="R184">
            <v>0</v>
          </cell>
          <cell r="S184">
            <v>0.7</v>
          </cell>
          <cell r="T184">
            <v>1</v>
          </cell>
          <cell r="U184">
            <v>0</v>
          </cell>
          <cell r="V184">
            <v>0</v>
          </cell>
          <cell r="W184">
            <v>0</v>
          </cell>
          <cell r="X184">
            <v>0</v>
          </cell>
          <cell r="Y184">
            <v>0</v>
          </cell>
          <cell r="Z184">
            <v>0</v>
          </cell>
          <cell r="AA184">
            <v>0</v>
          </cell>
          <cell r="AB184">
            <v>0</v>
          </cell>
          <cell r="AC184">
            <v>0</v>
          </cell>
          <cell r="AD184">
            <v>0</v>
          </cell>
          <cell r="AE184" t="str">
            <v>PE 50x580</v>
          </cell>
          <cell r="AF184">
            <v>0</v>
          </cell>
          <cell r="AG184">
            <v>3.7381000000000005E-2</v>
          </cell>
          <cell r="AH184">
            <v>0.87399999999999989</v>
          </cell>
          <cell r="AI184">
            <v>0</v>
          </cell>
          <cell r="AJ184">
            <v>9530</v>
          </cell>
          <cell r="AK184">
            <v>0</v>
          </cell>
          <cell r="AL184">
            <v>2.3E-3</v>
          </cell>
          <cell r="AM184" t="str">
            <v>túi hàn lưng xếp hông</v>
          </cell>
          <cell r="AN184">
            <v>150</v>
          </cell>
          <cell r="AO184" t="str">
            <v>Công ty CP DVTM&amp;ĐT Nhật Nguyệt</v>
          </cell>
          <cell r="AP184" t="str">
            <v>1601320-1</v>
          </cell>
          <cell r="AQ184" t="str">
            <v>1601320-2</v>
          </cell>
          <cell r="AR184">
            <v>0</v>
          </cell>
          <cell r="AS184">
            <v>0</v>
          </cell>
          <cell r="AT184">
            <v>0</v>
          </cell>
          <cell r="AU184">
            <v>0</v>
          </cell>
          <cell r="AV184">
            <v>0</v>
          </cell>
          <cell r="AW184">
            <v>0</v>
          </cell>
          <cell r="AX184">
            <v>0</v>
          </cell>
          <cell r="AY184" t="str">
            <v>450x750</v>
          </cell>
          <cell r="AZ184" t="str">
            <v>O1</v>
          </cell>
          <cell r="BA184">
            <v>6500</v>
          </cell>
          <cell r="BB184" t="str">
            <v>Thùng 5 lớp 42x34x36</v>
          </cell>
          <cell r="BC184">
            <v>0</v>
          </cell>
          <cell r="BD184">
            <v>0</v>
          </cell>
        </row>
        <row r="185">
          <cell r="A185" t="str">
            <v>sp 605</v>
          </cell>
          <cell r="B185" t="str">
            <v>Cuộn tasieu khủng long 5WG F1000 loại 15g Việt Thắng</v>
          </cell>
          <cell r="C185">
            <v>4.05</v>
          </cell>
          <cell r="D185">
            <v>3</v>
          </cell>
          <cell r="E185" t="str">
            <v>PET 12x620</v>
          </cell>
          <cell r="F185">
            <v>7</v>
          </cell>
          <cell r="G185" t="str">
            <v>PET</v>
          </cell>
          <cell r="H185">
            <v>0.14000000000000001</v>
          </cell>
          <cell r="I185">
            <v>1.84</v>
          </cell>
          <cell r="J185">
            <v>0.09</v>
          </cell>
          <cell r="K185">
            <v>0.09</v>
          </cell>
          <cell r="L185">
            <v>0.19</v>
          </cell>
          <cell r="M185">
            <v>1.4</v>
          </cell>
          <cell r="N185">
            <v>0</v>
          </cell>
          <cell r="O185">
            <v>0</v>
          </cell>
          <cell r="P185">
            <v>0.14000000000000001</v>
          </cell>
          <cell r="Q185">
            <v>0</v>
          </cell>
          <cell r="R185">
            <v>0.16</v>
          </cell>
          <cell r="S185">
            <v>0</v>
          </cell>
          <cell r="T185">
            <v>0</v>
          </cell>
          <cell r="U185">
            <v>0</v>
          </cell>
          <cell r="V185">
            <v>0</v>
          </cell>
          <cell r="W185">
            <v>0</v>
          </cell>
          <cell r="X185">
            <v>0</v>
          </cell>
          <cell r="Y185">
            <v>0</v>
          </cell>
          <cell r="Z185">
            <v>0</v>
          </cell>
          <cell r="AA185">
            <v>0</v>
          </cell>
          <cell r="AB185">
            <v>0</v>
          </cell>
          <cell r="AC185">
            <v>0</v>
          </cell>
          <cell r="AD185">
            <v>0</v>
          </cell>
          <cell r="AE185" t="str">
            <v>Al 6x620</v>
          </cell>
          <cell r="AF185" t="str">
            <v>PE 90x630</v>
          </cell>
          <cell r="AG185">
            <v>7.2112200000000001E-2</v>
          </cell>
          <cell r="AH185">
            <v>0.93533333333333324</v>
          </cell>
          <cell r="AI185">
            <v>1.22</v>
          </cell>
          <cell r="AJ185">
            <v>9530</v>
          </cell>
          <cell r="AK185">
            <v>9530</v>
          </cell>
          <cell r="AL185" t="str">
            <v>0,0046(0,0023;0,0023)</v>
          </cell>
          <cell r="AM185" t="str">
            <v>dạng cuộn 700m</v>
          </cell>
          <cell r="AN185">
            <v>200</v>
          </cell>
          <cell r="AO185" t="str">
            <v>Công ty Việt Thắng</v>
          </cell>
          <cell r="AP185" t="str">
            <v>F114908G3-1</v>
          </cell>
          <cell r="AQ185" t="str">
            <v>F114908-2</v>
          </cell>
          <cell r="AR185" t="str">
            <v>F114908-3</v>
          </cell>
          <cell r="AS185" t="str">
            <v>F114908-4</v>
          </cell>
          <cell r="AT185" t="str">
            <v>F114908-5</v>
          </cell>
          <cell r="AU185" t="str">
            <v>F114908-6</v>
          </cell>
          <cell r="AV185" t="str">
            <v>F114908-7</v>
          </cell>
          <cell r="AW185">
            <v>0</v>
          </cell>
          <cell r="AX185">
            <v>0</v>
          </cell>
          <cell r="AY185" t="str">
            <v>450x750</v>
          </cell>
          <cell r="AZ185" t="str">
            <v>D1</v>
          </cell>
          <cell r="BA185" t="str">
            <v>2c</v>
          </cell>
          <cell r="BB185" t="str">
            <v>giấy cartoon K600</v>
          </cell>
          <cell r="BC185">
            <v>0</v>
          </cell>
          <cell r="BD185" t="str">
            <v>in chung sp 606 trừ Đỏ cờ và Đen</v>
          </cell>
        </row>
        <row r="186">
          <cell r="A186" t="str">
            <v>sp 606</v>
          </cell>
          <cell r="B186" t="str">
            <v>Cuộn Túi tasieu khủng long 5WG F900 loại 10g Việt Thắng</v>
          </cell>
          <cell r="C186">
            <v>2.9699999999999993</v>
          </cell>
          <cell r="D186">
            <v>3</v>
          </cell>
          <cell r="E186" t="str">
            <v>PET 12x620</v>
          </cell>
          <cell r="F186">
            <v>7</v>
          </cell>
          <cell r="G186" t="str">
            <v>PET</v>
          </cell>
          <cell r="H186">
            <v>0.1</v>
          </cell>
          <cell r="I186">
            <v>2.0099999999999998</v>
          </cell>
          <cell r="J186">
            <v>0.3</v>
          </cell>
          <cell r="K186">
            <v>0.1</v>
          </cell>
          <cell r="L186">
            <v>0.23</v>
          </cell>
          <cell r="M186">
            <v>0.03</v>
          </cell>
          <cell r="N186">
            <v>0</v>
          </cell>
          <cell r="O186">
            <v>0</v>
          </cell>
          <cell r="P186">
            <v>0.01</v>
          </cell>
          <cell r="Q186">
            <v>0</v>
          </cell>
          <cell r="R186">
            <v>0.19</v>
          </cell>
          <cell r="S186">
            <v>0</v>
          </cell>
          <cell r="T186">
            <v>0</v>
          </cell>
          <cell r="U186">
            <v>0</v>
          </cell>
          <cell r="V186">
            <v>0</v>
          </cell>
          <cell r="W186">
            <v>0</v>
          </cell>
          <cell r="X186">
            <v>0</v>
          </cell>
          <cell r="Y186">
            <v>0</v>
          </cell>
          <cell r="Z186">
            <v>0</v>
          </cell>
          <cell r="AA186">
            <v>0</v>
          </cell>
          <cell r="AB186">
            <v>0</v>
          </cell>
          <cell r="AC186">
            <v>0</v>
          </cell>
          <cell r="AD186">
            <v>0</v>
          </cell>
          <cell r="AE186" t="str">
            <v>Al 6x620</v>
          </cell>
          <cell r="AF186" t="str">
            <v>PE 90x630</v>
          </cell>
          <cell r="AG186">
            <v>7.2112200000000001E-2</v>
          </cell>
          <cell r="AH186">
            <v>0.93533333333333324</v>
          </cell>
          <cell r="AI186">
            <v>1.22</v>
          </cell>
          <cell r="AJ186">
            <v>9530</v>
          </cell>
          <cell r="AK186">
            <v>9530</v>
          </cell>
          <cell r="AL186" t="str">
            <v>0,0046(0,0023;0,0023)</v>
          </cell>
          <cell r="AM186" t="str">
            <v>dạng cuộn 700m</v>
          </cell>
          <cell r="AN186">
            <v>200</v>
          </cell>
          <cell r="AO186" t="str">
            <v>Công ty Việt Thắng</v>
          </cell>
          <cell r="AP186" t="str">
            <v>F114911-1</v>
          </cell>
          <cell r="AQ186" t="str">
            <v>F114911-2</v>
          </cell>
          <cell r="AR186" t="str">
            <v>F114908-3</v>
          </cell>
          <cell r="AS186" t="str">
            <v>F114908-4</v>
          </cell>
          <cell r="AT186" t="str">
            <v>F114908-5</v>
          </cell>
          <cell r="AU186" t="str">
            <v>F114908-6</v>
          </cell>
          <cell r="AV186" t="str">
            <v>F114908-7</v>
          </cell>
          <cell r="AW186">
            <v>0</v>
          </cell>
          <cell r="AX186">
            <v>0</v>
          </cell>
          <cell r="AY186" t="str">
            <v>450x750</v>
          </cell>
          <cell r="AZ186" t="str">
            <v>D1</v>
          </cell>
          <cell r="BA186" t="str">
            <v>2c</v>
          </cell>
          <cell r="BB186" t="str">
            <v>giấy cartoon K600</v>
          </cell>
          <cell r="BC186">
            <v>0</v>
          </cell>
          <cell r="BD186" t="str">
            <v>in chung sp 605 trừ Đỏ cờ và Đen</v>
          </cell>
        </row>
        <row r="187">
          <cell r="A187" t="str">
            <v>sp 607</v>
          </cell>
          <cell r="B187" t="str">
            <v>Cuộn thuốc trừ sâu otoxes 200 SP màu vàng loại 10g Việt Thắng</v>
          </cell>
          <cell r="C187">
            <v>7.1999999999999993</v>
          </cell>
          <cell r="D187">
            <v>2</v>
          </cell>
          <cell r="E187" t="str">
            <v>PET 12x560</v>
          </cell>
          <cell r="F187">
            <v>8</v>
          </cell>
          <cell r="G187" t="str">
            <v>PET</v>
          </cell>
          <cell r="H187">
            <v>0.1</v>
          </cell>
          <cell r="I187">
            <v>0.8</v>
          </cell>
          <cell r="J187">
            <v>0.7</v>
          </cell>
          <cell r="K187">
            <v>0.1</v>
          </cell>
          <cell r="L187">
            <v>4.3</v>
          </cell>
          <cell r="M187">
            <v>0</v>
          </cell>
          <cell r="N187">
            <v>0</v>
          </cell>
          <cell r="O187">
            <v>0</v>
          </cell>
          <cell r="P187">
            <v>1.1000000000000001</v>
          </cell>
          <cell r="Q187">
            <v>0</v>
          </cell>
          <cell r="R187">
            <v>0.1</v>
          </cell>
          <cell r="S187">
            <v>0</v>
          </cell>
          <cell r="T187">
            <v>0</v>
          </cell>
          <cell r="U187">
            <v>0</v>
          </cell>
          <cell r="V187">
            <v>0</v>
          </cell>
          <cell r="W187">
            <v>0</v>
          </cell>
          <cell r="X187">
            <v>0</v>
          </cell>
          <cell r="Y187">
            <v>0</v>
          </cell>
          <cell r="Z187">
            <v>0</v>
          </cell>
          <cell r="AA187">
            <v>0</v>
          </cell>
          <cell r="AB187">
            <v>0</v>
          </cell>
          <cell r="AC187">
            <v>0</v>
          </cell>
          <cell r="AD187">
            <v>0</v>
          </cell>
          <cell r="AE187" t="str">
            <v>Al 6x560</v>
          </cell>
          <cell r="AF187" t="str">
            <v>PE 90x570</v>
          </cell>
          <cell r="AG187">
            <v>6.51336E-2</v>
          </cell>
          <cell r="AH187">
            <v>0.84333333333333338</v>
          </cell>
          <cell r="AI187">
            <v>1.1000000000000001</v>
          </cell>
          <cell r="AJ187">
            <v>9530</v>
          </cell>
          <cell r="AK187">
            <v>9530</v>
          </cell>
          <cell r="AL187" t="str">
            <v>0,0046(0,0023;0,0023)</v>
          </cell>
          <cell r="AM187" t="str">
            <v>dạng cuộn 700m</v>
          </cell>
          <cell r="AN187">
            <v>270</v>
          </cell>
          <cell r="AO187" t="str">
            <v>Công ty Việt Thắng</v>
          </cell>
          <cell r="AP187" t="str">
            <v>F114912-1</v>
          </cell>
          <cell r="AQ187" t="str">
            <v>F114912-2</v>
          </cell>
          <cell r="AR187" t="str">
            <v>F114912-3</v>
          </cell>
          <cell r="AS187" t="str">
            <v>F114912-4</v>
          </cell>
          <cell r="AT187" t="str">
            <v>F114912-5</v>
          </cell>
          <cell r="AU187" t="str">
            <v>F114912-6</v>
          </cell>
          <cell r="AV187" t="str">
            <v>F114912-7</v>
          </cell>
          <cell r="AW187" t="str">
            <v>F114912-8</v>
          </cell>
          <cell r="AX187">
            <v>0</v>
          </cell>
          <cell r="AY187" t="str">
            <v>450x750</v>
          </cell>
          <cell r="AZ187" t="str">
            <v>D1</v>
          </cell>
          <cell r="BA187" t="str">
            <v>1c</v>
          </cell>
          <cell r="BB187" t="str">
            <v>giấy cartoon 300</v>
          </cell>
          <cell r="BC187">
            <v>0</v>
          </cell>
          <cell r="BD187">
            <v>0</v>
          </cell>
        </row>
        <row r="188">
          <cell r="A188" t="str">
            <v>sp 608</v>
          </cell>
          <cell r="B188" t="str">
            <v>Túi chè lụa màu xanh tân cương và đặc sản 500g</v>
          </cell>
          <cell r="C188">
            <v>8.0299999999999994</v>
          </cell>
          <cell r="D188">
            <v>2</v>
          </cell>
          <cell r="E188" t="str">
            <v>OPP mờ 20x760</v>
          </cell>
          <cell r="F188">
            <v>7</v>
          </cell>
          <cell r="G188" t="str">
            <v>OPP</v>
          </cell>
          <cell r="H188">
            <v>0.27</v>
          </cell>
          <cell r="I188">
            <v>3.94</v>
          </cell>
          <cell r="J188">
            <v>0.61</v>
          </cell>
          <cell r="K188">
            <v>0.01</v>
          </cell>
          <cell r="L188">
            <v>1.9</v>
          </cell>
          <cell r="M188">
            <v>0.67</v>
          </cell>
          <cell r="N188">
            <v>0.09</v>
          </cell>
          <cell r="O188">
            <v>0.25</v>
          </cell>
          <cell r="P188">
            <v>0.06</v>
          </cell>
          <cell r="Q188">
            <v>0.22</v>
          </cell>
          <cell r="R188">
            <v>0</v>
          </cell>
          <cell r="S188">
            <v>0.01</v>
          </cell>
          <cell r="T188">
            <v>0</v>
          </cell>
          <cell r="U188">
            <v>0</v>
          </cell>
          <cell r="V188">
            <v>0</v>
          </cell>
          <cell r="W188">
            <v>0</v>
          </cell>
          <cell r="X188">
            <v>0</v>
          </cell>
          <cell r="Y188">
            <v>0</v>
          </cell>
          <cell r="Z188">
            <v>0</v>
          </cell>
          <cell r="AA188">
            <v>0</v>
          </cell>
          <cell r="AB188">
            <v>0</v>
          </cell>
          <cell r="AC188">
            <v>0</v>
          </cell>
          <cell r="AD188">
            <v>0</v>
          </cell>
          <cell r="AE188" t="str">
            <v>MPET 12x760</v>
          </cell>
          <cell r="AF188" t="str">
            <v>PE 70x760</v>
          </cell>
          <cell r="AG188">
            <v>7.5810000000000016E-2</v>
          </cell>
          <cell r="AH188">
            <v>1.25</v>
          </cell>
          <cell r="AI188">
            <v>1.5</v>
          </cell>
          <cell r="AJ188">
            <v>9530</v>
          </cell>
          <cell r="AK188">
            <v>9530</v>
          </cell>
          <cell r="AL188" t="str">
            <v>0,0053(0,0023;0,003)</v>
          </cell>
          <cell r="AM188" t="str">
            <v>túi hàn lưng xếp hông</v>
          </cell>
          <cell r="AN188">
            <v>420</v>
          </cell>
          <cell r="AO188" t="str">
            <v>Khách hàng lẻ</v>
          </cell>
          <cell r="AP188" t="str">
            <v>1801664-1</v>
          </cell>
          <cell r="AQ188" t="str">
            <v>1801664-2</v>
          </cell>
          <cell r="AR188" t="str">
            <v>1607497-3</v>
          </cell>
          <cell r="AS188" t="str">
            <v>1801664-4</v>
          </cell>
          <cell r="AT188" t="str">
            <v>1607497-5</v>
          </cell>
          <cell r="AU188" t="str">
            <v>1607497-6</v>
          </cell>
          <cell r="AV188" t="str">
            <v>1607497-7</v>
          </cell>
          <cell r="AW188">
            <v>0</v>
          </cell>
          <cell r="AX188">
            <v>0</v>
          </cell>
          <cell r="AY188" t="str">
            <v>420x850</v>
          </cell>
          <cell r="AZ188" t="str">
            <v>F1</v>
          </cell>
          <cell r="BA188">
            <v>1500</v>
          </cell>
          <cell r="BB188" t="str">
            <v>Thùng 5 lớp 42x34x36</v>
          </cell>
          <cell r="BC188">
            <v>0</v>
          </cell>
          <cell r="BD188" t="str">
            <v>in chung sp 568</v>
          </cell>
        </row>
        <row r="189">
          <cell r="A189" t="str">
            <v>sp 610</v>
          </cell>
          <cell r="B189" t="str">
            <v>Cuộn bánh trứng lipo bơ 2,5kg Alpha</v>
          </cell>
          <cell r="C189">
            <v>7.1400000000000006</v>
          </cell>
          <cell r="D189">
            <v>5</v>
          </cell>
          <cell r="E189" t="str">
            <v>OPP 20x720</v>
          </cell>
          <cell r="F189">
            <v>7</v>
          </cell>
          <cell r="G189" t="str">
            <v>OPP</v>
          </cell>
          <cell r="H189">
            <v>0.1</v>
          </cell>
          <cell r="I189">
            <v>3</v>
          </cell>
          <cell r="J189">
            <v>0.1</v>
          </cell>
          <cell r="K189">
            <v>0.14000000000000001</v>
          </cell>
          <cell r="L189">
            <v>2.4</v>
          </cell>
          <cell r="M189">
            <v>0.9</v>
          </cell>
          <cell r="N189">
            <v>0</v>
          </cell>
          <cell r="O189">
            <v>0</v>
          </cell>
          <cell r="P189">
            <v>0.2</v>
          </cell>
          <cell r="Q189">
            <v>0.3</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t="str">
            <v>MCPP 25x720</v>
          </cell>
          <cell r="AF189">
            <v>0</v>
          </cell>
          <cell r="AG189">
            <v>2.9484E-2</v>
          </cell>
          <cell r="AH189">
            <v>1.0413333333333334</v>
          </cell>
          <cell r="AI189">
            <v>0</v>
          </cell>
          <cell r="AJ189">
            <v>9530</v>
          </cell>
          <cell r="AK189">
            <v>0</v>
          </cell>
          <cell r="AL189">
            <v>2.2000000000000001E-3</v>
          </cell>
          <cell r="AM189" t="str">
            <v>dạng cuộn 1000m</v>
          </cell>
          <cell r="AN189">
            <v>140</v>
          </cell>
          <cell r="AO189" t="str">
            <v>Công ty Quốc tế Alpha</v>
          </cell>
          <cell r="AP189" t="str">
            <v>1608428-1</v>
          </cell>
          <cell r="AQ189" t="str">
            <v>1608428-2</v>
          </cell>
          <cell r="AR189" t="str">
            <v>1608428-3</v>
          </cell>
          <cell r="AS189" t="str">
            <v>1608428-4</v>
          </cell>
          <cell r="AT189" t="str">
            <v>1608428-5</v>
          </cell>
          <cell r="AU189" t="str">
            <v>1608428-6</v>
          </cell>
          <cell r="AV189" t="str">
            <v>1608428-7</v>
          </cell>
          <cell r="AW189">
            <v>0</v>
          </cell>
          <cell r="AX189">
            <v>0</v>
          </cell>
          <cell r="AY189" t="str">
            <v>460x850</v>
          </cell>
          <cell r="AZ189" t="str">
            <v>C1</v>
          </cell>
          <cell r="BA189" t="str">
            <v>2c</v>
          </cell>
          <cell r="BB189" t="str">
            <v>Thùng 3 lớp 55x28x16</v>
          </cell>
          <cell r="BC189">
            <v>0</v>
          </cell>
          <cell r="BD189">
            <v>0</v>
          </cell>
        </row>
        <row r="190">
          <cell r="A190" t="str">
            <v>sp 611</v>
          </cell>
          <cell r="B190" t="str">
            <v>Cuộn màng otoxes 200SP cậu bé bắn cung 18g  Việt Thắng</v>
          </cell>
          <cell r="C190">
            <v>4.7399999999999993</v>
          </cell>
          <cell r="D190">
            <v>2</v>
          </cell>
          <cell r="E190" t="str">
            <v>PET 12x580</v>
          </cell>
          <cell r="F190">
            <v>7</v>
          </cell>
          <cell r="G190" t="str">
            <v>PET</v>
          </cell>
          <cell r="H190">
            <v>0.1</v>
          </cell>
          <cell r="I190">
            <v>3.6</v>
          </cell>
          <cell r="J190">
            <v>0.5</v>
          </cell>
          <cell r="K190">
            <v>0.14000000000000001</v>
          </cell>
          <cell r="L190">
            <v>0.2</v>
          </cell>
          <cell r="M190">
            <v>0</v>
          </cell>
          <cell r="N190">
            <v>0</v>
          </cell>
          <cell r="O190">
            <v>0.1</v>
          </cell>
          <cell r="P190">
            <v>0</v>
          </cell>
          <cell r="Q190">
            <v>0</v>
          </cell>
          <cell r="R190">
            <v>0.1</v>
          </cell>
          <cell r="S190">
            <v>0</v>
          </cell>
          <cell r="T190">
            <v>0</v>
          </cell>
          <cell r="U190">
            <v>0</v>
          </cell>
          <cell r="V190">
            <v>0</v>
          </cell>
          <cell r="W190">
            <v>0</v>
          </cell>
          <cell r="X190">
            <v>0</v>
          </cell>
          <cell r="Y190">
            <v>0</v>
          </cell>
          <cell r="Z190">
            <v>0</v>
          </cell>
          <cell r="AA190">
            <v>0</v>
          </cell>
          <cell r="AB190">
            <v>0</v>
          </cell>
          <cell r="AC190">
            <v>0</v>
          </cell>
          <cell r="AD190">
            <v>0</v>
          </cell>
          <cell r="AE190" t="str">
            <v>Al 6x580</v>
          </cell>
          <cell r="AF190" t="str">
            <v>PE 95x590</v>
          </cell>
          <cell r="AG190">
            <v>7.0142300000000005E-2</v>
          </cell>
          <cell r="AH190">
            <v>0.87399999999999989</v>
          </cell>
          <cell r="AI190">
            <v>0.87399999999999989</v>
          </cell>
          <cell r="AJ190">
            <v>9530</v>
          </cell>
          <cell r="AK190">
            <v>9530</v>
          </cell>
          <cell r="AL190" t="str">
            <v>0,0046(0,0023;0,0023)</v>
          </cell>
          <cell r="AM190" t="str">
            <v>dạng cuộn 700m</v>
          </cell>
          <cell r="AN190">
            <v>280</v>
          </cell>
          <cell r="AO190" t="str">
            <v>Công ty Việt Thắng</v>
          </cell>
          <cell r="AP190" t="str">
            <v>F115206-1</v>
          </cell>
          <cell r="AQ190" t="str">
            <v>F115206-2</v>
          </cell>
          <cell r="AR190" t="str">
            <v>F115206-3</v>
          </cell>
          <cell r="AS190" t="str">
            <v>F115206-4</v>
          </cell>
          <cell r="AT190" t="str">
            <v>F115206-5</v>
          </cell>
          <cell r="AU190" t="str">
            <v>F115206-6</v>
          </cell>
          <cell r="AV190" t="str">
            <v>F115206-7</v>
          </cell>
          <cell r="AW190">
            <v>0</v>
          </cell>
          <cell r="AX190">
            <v>0</v>
          </cell>
          <cell r="AY190" t="str">
            <v>750x450</v>
          </cell>
          <cell r="AZ190" t="str">
            <v>D1</v>
          </cell>
          <cell r="BA190" t="str">
            <v>1c</v>
          </cell>
          <cell r="BB190" t="str">
            <v>giấy cartoon 300</v>
          </cell>
          <cell r="BC190">
            <v>0</v>
          </cell>
          <cell r="BD190">
            <v>0</v>
          </cell>
        </row>
        <row r="191">
          <cell r="A191" t="str">
            <v>sp 612</v>
          </cell>
          <cell r="B191" t="str">
            <v>Cuộn màng otoxes 200SP cậu bé bắn cung 10g  Việt Thắng</v>
          </cell>
          <cell r="C191">
            <v>4.7399999999999993</v>
          </cell>
          <cell r="D191">
            <v>2</v>
          </cell>
          <cell r="E191" t="str">
            <v>PET 12x580</v>
          </cell>
          <cell r="F191">
            <v>7</v>
          </cell>
          <cell r="G191" t="str">
            <v>PET</v>
          </cell>
          <cell r="H191">
            <v>0.1</v>
          </cell>
          <cell r="I191">
            <v>3.6</v>
          </cell>
          <cell r="J191">
            <v>0.5</v>
          </cell>
          <cell r="K191">
            <v>0.14000000000000001</v>
          </cell>
          <cell r="L191">
            <v>0.2</v>
          </cell>
          <cell r="M191">
            <v>0</v>
          </cell>
          <cell r="N191">
            <v>0</v>
          </cell>
          <cell r="O191">
            <v>0.1</v>
          </cell>
          <cell r="P191">
            <v>0</v>
          </cell>
          <cell r="Q191">
            <v>0</v>
          </cell>
          <cell r="R191">
            <v>0.1</v>
          </cell>
          <cell r="S191">
            <v>0</v>
          </cell>
          <cell r="T191">
            <v>0</v>
          </cell>
          <cell r="U191">
            <v>0</v>
          </cell>
          <cell r="V191">
            <v>0</v>
          </cell>
          <cell r="W191">
            <v>0</v>
          </cell>
          <cell r="X191">
            <v>0</v>
          </cell>
          <cell r="Y191">
            <v>0</v>
          </cell>
          <cell r="Z191">
            <v>0</v>
          </cell>
          <cell r="AA191">
            <v>0</v>
          </cell>
          <cell r="AB191">
            <v>0</v>
          </cell>
          <cell r="AC191">
            <v>0</v>
          </cell>
          <cell r="AD191">
            <v>0</v>
          </cell>
          <cell r="AE191" t="str">
            <v>Al 6x580</v>
          </cell>
          <cell r="AF191" t="str">
            <v>PE 95x590</v>
          </cell>
          <cell r="AG191">
            <v>7.0142300000000005E-2</v>
          </cell>
          <cell r="AH191">
            <v>0.87399999999999989</v>
          </cell>
          <cell r="AI191">
            <v>0.87399999999999989</v>
          </cell>
          <cell r="AJ191">
            <v>9530</v>
          </cell>
          <cell r="AK191">
            <v>9530</v>
          </cell>
          <cell r="AL191" t="str">
            <v>0,0046(0,0023;0,0023)</v>
          </cell>
          <cell r="AM191" t="str">
            <v>dạng cuộn 700m</v>
          </cell>
          <cell r="AN191">
            <v>280</v>
          </cell>
          <cell r="AO191" t="str">
            <v>Công ty Việt Thắng</v>
          </cell>
          <cell r="AP191" t="str">
            <v>F115206-1</v>
          </cell>
          <cell r="AQ191" t="str">
            <v>F115208-2</v>
          </cell>
          <cell r="AR191" t="str">
            <v>F115208-3</v>
          </cell>
          <cell r="AS191" t="str">
            <v>F115208-4</v>
          </cell>
          <cell r="AT191" t="str">
            <v>F115208-5</v>
          </cell>
          <cell r="AU191" t="str">
            <v>F115208-6</v>
          </cell>
          <cell r="AV191" t="str">
            <v>F115208-7</v>
          </cell>
          <cell r="AW191">
            <v>0</v>
          </cell>
          <cell r="AX191">
            <v>0</v>
          </cell>
          <cell r="AY191" t="str">
            <v>450x750</v>
          </cell>
          <cell r="AZ191" t="str">
            <v>D1</v>
          </cell>
          <cell r="BA191" t="str">
            <v>1c</v>
          </cell>
          <cell r="BB191" t="str">
            <v>giấy cartoon 300</v>
          </cell>
          <cell r="BC191">
            <v>0</v>
          </cell>
          <cell r="BD191">
            <v>0</v>
          </cell>
        </row>
        <row r="192">
          <cell r="A192" t="str">
            <v>sp 613</v>
          </cell>
          <cell r="B192" t="str">
            <v>Túi thuốc trừ bệnh Ajily 77WP 100g Việt Thắng</v>
          </cell>
          <cell r="C192">
            <v>8.1999999999999993</v>
          </cell>
          <cell r="D192">
            <v>2</v>
          </cell>
          <cell r="E192" t="str">
            <v>PET 12x660</v>
          </cell>
          <cell r="F192">
            <v>6</v>
          </cell>
          <cell r="G192" t="str">
            <v>PET</v>
          </cell>
          <cell r="H192">
            <v>0.1</v>
          </cell>
          <cell r="I192">
            <v>5.4</v>
          </cell>
          <cell r="J192">
            <v>0.2</v>
          </cell>
          <cell r="K192">
            <v>0.1</v>
          </cell>
          <cell r="L192">
            <v>0.2</v>
          </cell>
          <cell r="M192">
            <v>1.3</v>
          </cell>
          <cell r="N192">
            <v>0</v>
          </cell>
          <cell r="O192">
            <v>0</v>
          </cell>
          <cell r="P192">
            <v>0</v>
          </cell>
          <cell r="Q192">
            <v>0</v>
          </cell>
          <cell r="R192">
            <v>0.9</v>
          </cell>
          <cell r="S192">
            <v>0</v>
          </cell>
          <cell r="T192">
            <v>0</v>
          </cell>
          <cell r="U192">
            <v>0</v>
          </cell>
          <cell r="V192">
            <v>0</v>
          </cell>
          <cell r="W192">
            <v>0</v>
          </cell>
          <cell r="X192">
            <v>0</v>
          </cell>
          <cell r="Y192">
            <v>0</v>
          </cell>
          <cell r="Z192">
            <v>0</v>
          </cell>
          <cell r="AA192">
            <v>0</v>
          </cell>
          <cell r="AB192">
            <v>0</v>
          </cell>
          <cell r="AC192">
            <v>0</v>
          </cell>
          <cell r="AD192">
            <v>0</v>
          </cell>
          <cell r="AE192" t="str">
            <v>AL 6x660</v>
          </cell>
          <cell r="AF192" t="str">
            <v>PE 95x670</v>
          </cell>
          <cell r="AG192">
            <v>7.9817100000000016E-2</v>
          </cell>
          <cell r="AH192">
            <v>0.99666666666666659</v>
          </cell>
          <cell r="AI192">
            <v>0.99666666666666659</v>
          </cell>
          <cell r="AJ192">
            <v>9530</v>
          </cell>
          <cell r="AK192">
            <v>9530</v>
          </cell>
          <cell r="AL192" t="str">
            <v>0,0046(0,0023;0,0023)</v>
          </cell>
          <cell r="AM192" t="str">
            <v>túi ba biên</v>
          </cell>
          <cell r="AN192">
            <v>220</v>
          </cell>
          <cell r="AO192" t="str">
            <v>Công ty Việt Thắng</v>
          </cell>
          <cell r="AP192" t="str">
            <v>16081472-1</v>
          </cell>
          <cell r="AQ192" t="str">
            <v>16081472-2</v>
          </cell>
          <cell r="AR192" t="str">
            <v>16081472-3</v>
          </cell>
          <cell r="AS192" t="str">
            <v>16081472-4</v>
          </cell>
          <cell r="AT192" t="str">
            <v>16081472-5</v>
          </cell>
          <cell r="AU192" t="str">
            <v>16081472-6</v>
          </cell>
          <cell r="AV192">
            <v>0</v>
          </cell>
          <cell r="AW192">
            <v>0</v>
          </cell>
          <cell r="AX192">
            <v>0</v>
          </cell>
          <cell r="AY192" t="str">
            <v>440x780</v>
          </cell>
          <cell r="AZ192" t="str">
            <v>D2</v>
          </cell>
          <cell r="BA192">
            <v>0</v>
          </cell>
          <cell r="BB192" t="str">
            <v>Thùng 5 lớp 42x34x36</v>
          </cell>
          <cell r="BC192">
            <v>0</v>
          </cell>
          <cell r="BD192">
            <v>0</v>
          </cell>
        </row>
        <row r="193">
          <cell r="A193" t="str">
            <v>sp 626</v>
          </cell>
          <cell r="B193" t="str">
            <v>Túi chè lụa màu xanh tân cương và đặc sản 200g loại 5</v>
          </cell>
          <cell r="C193">
            <v>8.5499999999999972</v>
          </cell>
          <cell r="D193">
            <v>3</v>
          </cell>
          <cell r="E193" t="str">
            <v>OPP mờ 20x920</v>
          </cell>
          <cell r="F193">
            <v>7</v>
          </cell>
          <cell r="G193" t="str">
            <v>OPP</v>
          </cell>
          <cell r="H193">
            <v>0.13</v>
          </cell>
          <cell r="I193">
            <v>3.57</v>
          </cell>
          <cell r="J193">
            <v>0.3</v>
          </cell>
          <cell r="K193">
            <v>0.01</v>
          </cell>
          <cell r="L193">
            <v>2.2000000000000002</v>
          </cell>
          <cell r="M193">
            <v>1.17</v>
          </cell>
          <cell r="N193">
            <v>0</v>
          </cell>
          <cell r="O193">
            <v>0.99</v>
          </cell>
          <cell r="P193">
            <v>0.04</v>
          </cell>
          <cell r="Q193">
            <v>0.04</v>
          </cell>
          <cell r="R193">
            <v>0</v>
          </cell>
          <cell r="S193">
            <v>0.1</v>
          </cell>
          <cell r="T193">
            <v>0</v>
          </cell>
          <cell r="U193">
            <v>0</v>
          </cell>
          <cell r="V193">
            <v>0</v>
          </cell>
          <cell r="W193">
            <v>0</v>
          </cell>
          <cell r="X193">
            <v>0</v>
          </cell>
          <cell r="Y193">
            <v>0</v>
          </cell>
          <cell r="Z193">
            <v>0</v>
          </cell>
          <cell r="AA193">
            <v>0</v>
          </cell>
          <cell r="AB193">
            <v>0</v>
          </cell>
          <cell r="AC193">
            <v>0</v>
          </cell>
          <cell r="AD193">
            <v>0</v>
          </cell>
          <cell r="AE193" t="str">
            <v>MPET 12x920</v>
          </cell>
          <cell r="AF193" t="str">
            <v>PE 70x920</v>
          </cell>
          <cell r="AG193">
            <v>9.1770000000000018E-2</v>
          </cell>
          <cell r="AH193">
            <v>1.5166666666666668</v>
          </cell>
          <cell r="AI193">
            <v>1.82</v>
          </cell>
          <cell r="AJ193">
            <v>9530</v>
          </cell>
          <cell r="AK193">
            <v>9530</v>
          </cell>
          <cell r="AL193" t="str">
            <v>0,0053(0,0023;0,003)</v>
          </cell>
          <cell r="AM193" t="str">
            <v>túi hàn lưng xếp hông</v>
          </cell>
          <cell r="AN193">
            <v>340</v>
          </cell>
          <cell r="AO193" t="str">
            <v>Khách hàng lẻ</v>
          </cell>
          <cell r="AP193" t="str">
            <v>1607496-1</v>
          </cell>
          <cell r="AQ193" t="str">
            <v>1607496-2</v>
          </cell>
          <cell r="AR193" t="str">
            <v>1607496-3</v>
          </cell>
          <cell r="AS193" t="str">
            <v>1607496-4</v>
          </cell>
          <cell r="AT193" t="str">
            <v>1607496-5</v>
          </cell>
          <cell r="AU193" t="str">
            <v>1607496-6</v>
          </cell>
          <cell r="AV193" t="str">
            <v>1607496-7</v>
          </cell>
          <cell r="AW193">
            <v>0</v>
          </cell>
          <cell r="AX193">
            <v>0</v>
          </cell>
          <cell r="AY193" t="str">
            <v>680x1100</v>
          </cell>
          <cell r="AZ193" t="str">
            <v>F1</v>
          </cell>
          <cell r="BA193">
            <v>2500</v>
          </cell>
          <cell r="BB193" t="str">
            <v>Thùng 5 lớp 42x34x33</v>
          </cell>
          <cell r="BC193">
            <v>0</v>
          </cell>
          <cell r="BD193" t="str">
            <v>in chung sp 567</v>
          </cell>
        </row>
        <row r="194">
          <cell r="A194" t="str">
            <v>sp 628</v>
          </cell>
          <cell r="B194" t="str">
            <v>Túi chè màu đỏ 50g loại 1</v>
          </cell>
          <cell r="C194">
            <v>3.7</v>
          </cell>
          <cell r="D194">
            <v>3</v>
          </cell>
          <cell r="E194" t="str">
            <v>PET 12x680</v>
          </cell>
          <cell r="F194">
            <v>1</v>
          </cell>
          <cell r="G194" t="str">
            <v>PET</v>
          </cell>
          <cell r="H194">
            <v>0</v>
          </cell>
          <cell r="I194">
            <v>0</v>
          </cell>
          <cell r="J194">
            <v>0</v>
          </cell>
          <cell r="K194">
            <v>3.7</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t="str">
            <v>MPET 12x680</v>
          </cell>
          <cell r="AF194" t="str">
            <v>PE 40x680</v>
          </cell>
          <cell r="AG194">
            <v>4.8008000000000002E-2</v>
          </cell>
          <cell r="AH194">
            <v>4.8008000000000002E-2</v>
          </cell>
          <cell r="AI194">
            <v>1.0273333333333332</v>
          </cell>
          <cell r="AJ194">
            <v>1.34</v>
          </cell>
          <cell r="AK194">
            <v>9530</v>
          </cell>
          <cell r="AL194" t="str">
            <v>0,0053(0,0023;0,003)</v>
          </cell>
          <cell r="AM194" t="str">
            <v>túi hàn lưng xếp hông</v>
          </cell>
          <cell r="AN194">
            <v>180</v>
          </cell>
          <cell r="AO194" t="str">
            <v>Khách hàng lẻ</v>
          </cell>
          <cell r="AP194" t="e">
            <v>#N/A</v>
          </cell>
          <cell r="AQ194" t="e">
            <v>#N/A</v>
          </cell>
          <cell r="AR194" t="e">
            <v>#N/A</v>
          </cell>
          <cell r="AS194" t="e">
            <v>#N/A</v>
          </cell>
          <cell r="AT194" t="e">
            <v>#N/A</v>
          </cell>
          <cell r="AU194" t="e">
            <v>#N/A</v>
          </cell>
          <cell r="AV194" t="e">
            <v>#N/A</v>
          </cell>
          <cell r="AW194" t="e">
            <v>#N/A</v>
          </cell>
          <cell r="AX194" t="e">
            <v>#N/A</v>
          </cell>
          <cell r="AY194" t="e">
            <v>#N/A</v>
          </cell>
          <cell r="AZ194" t="e">
            <v>#N/A</v>
          </cell>
          <cell r="BA194">
            <v>0</v>
          </cell>
          <cell r="BB194" t="str">
            <v>Thùng 5 lớp 42x34x33</v>
          </cell>
          <cell r="BC194">
            <v>0</v>
          </cell>
          <cell r="BD194" t="e">
            <v>#N/A</v>
          </cell>
        </row>
        <row r="195">
          <cell r="A195" t="str">
            <v>sp 629</v>
          </cell>
          <cell r="B195" t="str">
            <v>Túi chè màu đỏ 25g loại 1</v>
          </cell>
          <cell r="C195">
            <v>3.7</v>
          </cell>
          <cell r="D195">
            <v>0</v>
          </cell>
          <cell r="E195" t="str">
            <v>PET 12x680</v>
          </cell>
          <cell r="F195">
            <v>1</v>
          </cell>
          <cell r="G195" t="str">
            <v>PET</v>
          </cell>
          <cell r="H195">
            <v>0</v>
          </cell>
          <cell r="I195">
            <v>0</v>
          </cell>
          <cell r="J195">
            <v>0</v>
          </cell>
          <cell r="K195">
            <v>3.7</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t="str">
            <v>MPET 12x680</v>
          </cell>
          <cell r="AF195" t="str">
            <v>PE 40x680</v>
          </cell>
          <cell r="AG195">
            <v>4.8008000000000002E-2</v>
          </cell>
          <cell r="AH195">
            <v>4.8008000000000002E-2</v>
          </cell>
          <cell r="AI195">
            <v>1.0273333333333332</v>
          </cell>
          <cell r="AJ195">
            <v>1.34</v>
          </cell>
          <cell r="AK195">
            <v>9530</v>
          </cell>
          <cell r="AL195" t="str">
            <v>0,0053(0,0023;0,003)</v>
          </cell>
          <cell r="AM195" t="str">
            <v>túi hàn lưng xếp hông</v>
          </cell>
          <cell r="AN195">
            <v>140</v>
          </cell>
          <cell r="AO195" t="str">
            <v>Khách hàng lẻ</v>
          </cell>
          <cell r="AP195" t="e">
            <v>#N/A</v>
          </cell>
          <cell r="AQ195" t="e">
            <v>#N/A</v>
          </cell>
          <cell r="AR195" t="e">
            <v>#N/A</v>
          </cell>
          <cell r="AS195" t="e">
            <v>#N/A</v>
          </cell>
          <cell r="AT195" t="e">
            <v>#N/A</v>
          </cell>
          <cell r="AU195" t="e">
            <v>#N/A</v>
          </cell>
          <cell r="AV195" t="e">
            <v>#N/A</v>
          </cell>
          <cell r="AW195" t="e">
            <v>#N/A</v>
          </cell>
          <cell r="AX195" t="e">
            <v>#N/A</v>
          </cell>
          <cell r="AY195" t="e">
            <v>#N/A</v>
          </cell>
          <cell r="AZ195" t="e">
            <v>#N/A</v>
          </cell>
          <cell r="BA195">
            <v>0</v>
          </cell>
          <cell r="BB195" t="str">
            <v>Thùng 5 lớp 42x34x33</v>
          </cell>
          <cell r="BC195">
            <v>0</v>
          </cell>
          <cell r="BD195" t="e">
            <v>#N/A</v>
          </cell>
        </row>
        <row r="196">
          <cell r="A196" t="str">
            <v>sp 630</v>
          </cell>
          <cell r="B196" t="str">
            <v>Túi lúa mới TBR225XN1 1kg Thái Bình</v>
          </cell>
          <cell r="C196">
            <v>5.5399999999999991</v>
          </cell>
          <cell r="D196">
            <v>2</v>
          </cell>
          <cell r="E196" t="str">
            <v>PET 12x900</v>
          </cell>
          <cell r="F196">
            <v>8</v>
          </cell>
          <cell r="G196" t="str">
            <v>PET</v>
          </cell>
          <cell r="H196">
            <v>0.15</v>
          </cell>
          <cell r="I196">
            <v>3</v>
          </cell>
          <cell r="J196">
            <v>0.32</v>
          </cell>
          <cell r="K196">
            <v>0.06</v>
          </cell>
          <cell r="L196">
            <v>1.1200000000000001</v>
          </cell>
          <cell r="M196">
            <v>0.43</v>
          </cell>
          <cell r="N196">
            <v>0</v>
          </cell>
          <cell r="O196">
            <v>0.3</v>
          </cell>
          <cell r="P196">
            <v>0.04</v>
          </cell>
          <cell r="Q196">
            <v>0.09</v>
          </cell>
          <cell r="R196">
            <v>0</v>
          </cell>
          <cell r="S196">
            <v>0</v>
          </cell>
          <cell r="T196">
            <v>0.02</v>
          </cell>
          <cell r="U196">
            <v>0.01</v>
          </cell>
          <cell r="V196">
            <v>0</v>
          </cell>
          <cell r="W196">
            <v>0</v>
          </cell>
          <cell r="X196">
            <v>0</v>
          </cell>
          <cell r="Y196">
            <v>0</v>
          </cell>
          <cell r="Z196">
            <v>0</v>
          </cell>
          <cell r="AA196">
            <v>0</v>
          </cell>
          <cell r="AB196">
            <v>0</v>
          </cell>
          <cell r="AC196">
            <v>0</v>
          </cell>
          <cell r="AD196">
            <v>0</v>
          </cell>
          <cell r="AE196" t="str">
            <v>PE 82x900</v>
          </cell>
          <cell r="AF196">
            <v>0</v>
          </cell>
          <cell r="AG196">
            <v>8.3385000000000001E-2</v>
          </cell>
          <cell r="AH196">
            <v>1.3646666666666665</v>
          </cell>
          <cell r="AI196">
            <v>0</v>
          </cell>
          <cell r="AJ196">
            <v>9530</v>
          </cell>
          <cell r="AK196">
            <v>0</v>
          </cell>
          <cell r="AL196">
            <v>2.3E-3</v>
          </cell>
          <cell r="AM196" t="str">
            <v>túi ba biên hoặc cuộn 800m</v>
          </cell>
          <cell r="AN196">
            <v>310</v>
          </cell>
          <cell r="AO196" t="str">
            <v>Công ty Thái Bình</v>
          </cell>
          <cell r="AP196" t="str">
            <v>1710841-1</v>
          </cell>
          <cell r="AQ196" t="str">
            <v>1903063-2</v>
          </cell>
          <cell r="AR196" t="str">
            <v>1609240-3</v>
          </cell>
          <cell r="AS196" t="str">
            <v>1903063-4</v>
          </cell>
          <cell r="AT196" t="str">
            <v>1911489-5</v>
          </cell>
          <cell r="AU196" t="str">
            <v>19121037-6</v>
          </cell>
          <cell r="AV196" t="str">
            <v>20110138-7</v>
          </cell>
          <cell r="AW196" t="str">
            <v>20110138-8</v>
          </cell>
          <cell r="AX196">
            <v>0</v>
          </cell>
          <cell r="AY196" t="str">
            <v>620x1100</v>
          </cell>
          <cell r="AZ196" t="str">
            <v>I1</v>
          </cell>
          <cell r="BA196" t="str">
            <v>4000t/bao or 800m/cuộn</v>
          </cell>
          <cell r="BB196" t="str">
            <v>bao dứa or giấy carton K600</v>
          </cell>
          <cell r="BC196">
            <v>0</v>
          </cell>
          <cell r="BD196">
            <v>0</v>
          </cell>
        </row>
        <row r="197">
          <cell r="A197" t="str">
            <v>sp 631</v>
          </cell>
          <cell r="B197" t="str">
            <v>Túi lúa mới TBR225XN2 1kg Thái Bình</v>
          </cell>
          <cell r="C197">
            <v>5.25</v>
          </cell>
          <cell r="D197">
            <v>2</v>
          </cell>
          <cell r="E197" t="str">
            <v>PET 12x900</v>
          </cell>
          <cell r="F197">
            <v>8</v>
          </cell>
          <cell r="G197" t="str">
            <v>PET</v>
          </cell>
          <cell r="H197">
            <v>0.1</v>
          </cell>
          <cell r="I197">
            <v>2.5</v>
          </cell>
          <cell r="J197">
            <v>0.2</v>
          </cell>
          <cell r="K197">
            <v>0.2</v>
          </cell>
          <cell r="L197">
            <v>0.9</v>
          </cell>
          <cell r="M197">
            <v>0.5</v>
          </cell>
          <cell r="N197">
            <v>0</v>
          </cell>
          <cell r="O197">
            <v>0.2</v>
          </cell>
          <cell r="P197">
            <v>0</v>
          </cell>
          <cell r="Q197">
            <v>0.05</v>
          </cell>
          <cell r="R197">
            <v>0.1</v>
          </cell>
          <cell r="S197">
            <v>0</v>
          </cell>
          <cell r="T197">
            <v>0.5</v>
          </cell>
          <cell r="U197">
            <v>0</v>
          </cell>
          <cell r="V197">
            <v>0</v>
          </cell>
          <cell r="W197">
            <v>0</v>
          </cell>
          <cell r="X197">
            <v>0</v>
          </cell>
          <cell r="Y197">
            <v>0</v>
          </cell>
          <cell r="Z197">
            <v>0</v>
          </cell>
          <cell r="AA197">
            <v>0</v>
          </cell>
          <cell r="AB197">
            <v>0</v>
          </cell>
          <cell r="AC197">
            <v>0</v>
          </cell>
          <cell r="AD197">
            <v>0</v>
          </cell>
          <cell r="AE197" t="str">
            <v>PE 82x900</v>
          </cell>
          <cell r="AF197">
            <v>0</v>
          </cell>
          <cell r="AG197">
            <v>8.3385000000000001E-2</v>
          </cell>
          <cell r="AH197">
            <v>1.3646666666666665</v>
          </cell>
          <cell r="AI197">
            <v>0</v>
          </cell>
          <cell r="AJ197">
            <v>9530</v>
          </cell>
          <cell r="AK197">
            <v>0</v>
          </cell>
          <cell r="AL197">
            <v>2.3E-3</v>
          </cell>
          <cell r="AM197" t="str">
            <v>túi ba biên hoặc cuộn 800m</v>
          </cell>
          <cell r="AN197">
            <v>310</v>
          </cell>
          <cell r="AO197" t="str">
            <v>Công ty Thái Bình</v>
          </cell>
          <cell r="AP197" t="e">
            <v>#N/A</v>
          </cell>
          <cell r="AQ197" t="e">
            <v>#N/A</v>
          </cell>
          <cell r="AR197" t="e">
            <v>#N/A</v>
          </cell>
          <cell r="AS197" t="e">
            <v>#N/A</v>
          </cell>
          <cell r="AT197" t="e">
            <v>#N/A</v>
          </cell>
          <cell r="AU197" t="e">
            <v>#N/A</v>
          </cell>
          <cell r="AV197" t="e">
            <v>#N/A</v>
          </cell>
          <cell r="AW197" t="e">
            <v>#N/A</v>
          </cell>
          <cell r="AX197" t="e">
            <v>#N/A</v>
          </cell>
          <cell r="AY197" t="e">
            <v>#N/A</v>
          </cell>
          <cell r="AZ197" t="e">
            <v>#N/A</v>
          </cell>
          <cell r="BA197" t="str">
            <v>4000t/bao or 800m/cuộn</v>
          </cell>
          <cell r="BB197" t="str">
            <v>bao dứa or giấy carton K600</v>
          </cell>
          <cell r="BC197">
            <v>0</v>
          </cell>
          <cell r="BD197" t="e">
            <v>#N/A</v>
          </cell>
        </row>
        <row r="198">
          <cell r="A198" t="str">
            <v>sp 632</v>
          </cell>
          <cell r="B198" t="str">
            <v>Túi lúa mới TBR225XN2 40kg Thái Bình</v>
          </cell>
          <cell r="C198">
            <v>6.3999999999999995</v>
          </cell>
          <cell r="D198">
            <v>1</v>
          </cell>
          <cell r="E198" t="str">
            <v>OPP 18x690</v>
          </cell>
          <cell r="F198">
            <v>7</v>
          </cell>
          <cell r="G198" t="str">
            <v>OPP</v>
          </cell>
          <cell r="H198">
            <v>1.1000000000000001</v>
          </cell>
          <cell r="I198">
            <v>0</v>
          </cell>
          <cell r="J198">
            <v>1</v>
          </cell>
          <cell r="K198">
            <v>1</v>
          </cell>
          <cell r="L198">
            <v>2</v>
          </cell>
          <cell r="M198">
            <v>0.5</v>
          </cell>
          <cell r="N198">
            <v>0</v>
          </cell>
          <cell r="O198">
            <v>0</v>
          </cell>
          <cell r="P198">
            <v>0</v>
          </cell>
          <cell r="Q198">
            <v>0.5</v>
          </cell>
          <cell r="R198">
            <v>0.1</v>
          </cell>
          <cell r="S198">
            <v>0</v>
          </cell>
          <cell r="T198">
            <v>0.2</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t="str">
            <v>dạng cuộn 6000m</v>
          </cell>
          <cell r="AN198">
            <v>690</v>
          </cell>
          <cell r="AO198" t="str">
            <v>Công ty Thái Bình</v>
          </cell>
          <cell r="AP198" t="e">
            <v>#N/A</v>
          </cell>
          <cell r="AQ198" t="e">
            <v>#N/A</v>
          </cell>
          <cell r="AR198" t="e">
            <v>#N/A</v>
          </cell>
          <cell r="AS198" t="e">
            <v>#N/A</v>
          </cell>
          <cell r="AT198" t="e">
            <v>#N/A</v>
          </cell>
          <cell r="AU198" t="e">
            <v>#N/A</v>
          </cell>
          <cell r="AV198" t="e">
            <v>#N/A</v>
          </cell>
          <cell r="AW198" t="e">
            <v>#N/A</v>
          </cell>
          <cell r="AX198" t="e">
            <v>#N/A</v>
          </cell>
          <cell r="AY198" t="e">
            <v>#N/A</v>
          </cell>
          <cell r="AZ198" t="e">
            <v>#N/A</v>
          </cell>
          <cell r="BA198" t="str">
            <v>1c</v>
          </cell>
          <cell r="BB198" t="str">
            <v>giấy cartoon K800</v>
          </cell>
          <cell r="BC198">
            <v>0</v>
          </cell>
          <cell r="BD198" t="e">
            <v>#N/A</v>
          </cell>
        </row>
        <row r="199">
          <cell r="A199" t="str">
            <v>sp 634</v>
          </cell>
          <cell r="B199" t="str">
            <v>Túi lúa mới TBR225XN1 40kg Thái Bình</v>
          </cell>
          <cell r="C199">
            <v>3.67</v>
          </cell>
          <cell r="D199">
            <v>1</v>
          </cell>
          <cell r="E199" t="str">
            <v>OPP 18x690</v>
          </cell>
          <cell r="F199">
            <v>7</v>
          </cell>
          <cell r="G199" t="str">
            <v>OPP</v>
          </cell>
          <cell r="H199">
            <v>0.5</v>
          </cell>
          <cell r="I199">
            <v>0</v>
          </cell>
          <cell r="J199">
            <v>0.38</v>
          </cell>
          <cell r="K199">
            <v>0.22</v>
          </cell>
          <cell r="L199">
            <v>1.85</v>
          </cell>
          <cell r="M199">
            <v>0.06</v>
          </cell>
          <cell r="N199">
            <v>0</v>
          </cell>
          <cell r="O199">
            <v>0.28999999999999998</v>
          </cell>
          <cell r="P199">
            <v>0.01</v>
          </cell>
          <cell r="Q199">
            <v>0.34</v>
          </cell>
          <cell r="R199">
            <v>0</v>
          </cell>
          <cell r="S199">
            <v>0</v>
          </cell>
          <cell r="T199">
            <v>0.02</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t="str">
            <v>dạng cuộn 6000m</v>
          </cell>
          <cell r="AN199">
            <v>690</v>
          </cell>
          <cell r="AO199" t="str">
            <v>Công ty Thái Bình</v>
          </cell>
          <cell r="AP199" t="str">
            <v>17101029-1</v>
          </cell>
          <cell r="AQ199" t="str">
            <v>1609242-2</v>
          </cell>
          <cell r="AR199" t="str">
            <v>17101029-3</v>
          </cell>
          <cell r="AS199" t="str">
            <v>1710745-4</v>
          </cell>
          <cell r="AT199" t="str">
            <v>17101029-5</v>
          </cell>
          <cell r="AU199" t="str">
            <v>1609242-6</v>
          </cell>
          <cell r="AV199" t="str">
            <v>1903062-7</v>
          </cell>
          <cell r="AW199" t="str">
            <v>1609242-8</v>
          </cell>
          <cell r="AX199">
            <v>0</v>
          </cell>
          <cell r="AY199" t="str">
            <v>1100x850</v>
          </cell>
          <cell r="AZ199" t="str">
            <v>K1</v>
          </cell>
          <cell r="BA199" t="str">
            <v>1c</v>
          </cell>
          <cell r="BB199" t="str">
            <v>giấy cartoon K800</v>
          </cell>
          <cell r="BC199">
            <v>0</v>
          </cell>
          <cell r="BD199">
            <v>0</v>
          </cell>
        </row>
        <row r="200">
          <cell r="A200" t="str">
            <v>sp 636</v>
          </cell>
          <cell r="B200" t="str">
            <v>Túi bánh trứng lipo bơ H 300g Alpha</v>
          </cell>
          <cell r="C200">
            <v>7.1000000000000005</v>
          </cell>
          <cell r="D200">
            <v>1</v>
          </cell>
          <cell r="E200" t="str">
            <v>OPP mờ 20x660</v>
          </cell>
          <cell r="F200">
            <v>7</v>
          </cell>
          <cell r="G200" t="str">
            <v>OPP</v>
          </cell>
          <cell r="H200">
            <v>0.1</v>
          </cell>
          <cell r="I200">
            <v>2.4</v>
          </cell>
          <cell r="J200">
            <v>0.1</v>
          </cell>
          <cell r="K200">
            <v>0.5</v>
          </cell>
          <cell r="L200">
            <v>1.3</v>
          </cell>
          <cell r="M200">
            <v>1.3</v>
          </cell>
          <cell r="N200">
            <v>0</v>
          </cell>
          <cell r="O200">
            <v>0</v>
          </cell>
          <cell r="P200">
            <v>0.2</v>
          </cell>
          <cell r="Q200">
            <v>1.2</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t="str">
            <v>MPET 12x660</v>
          </cell>
          <cell r="AF200" t="str">
            <v>PE 30x660</v>
          </cell>
          <cell r="AG200">
            <v>4.1415E-2</v>
          </cell>
          <cell r="AH200">
            <v>0.99666666666666659</v>
          </cell>
          <cell r="AI200">
            <v>1.6250000000000004</v>
          </cell>
          <cell r="AJ200">
            <v>9530</v>
          </cell>
          <cell r="AK200">
            <v>9690</v>
          </cell>
          <cell r="AL200" t="str">
            <v>0,0023; 9690 (0,0025)</v>
          </cell>
          <cell r="AM200" t="str">
            <v>túi ba biên</v>
          </cell>
          <cell r="AN200">
            <v>350</v>
          </cell>
          <cell r="AO200" t="str">
            <v>Công ty Quốc tế Alpha</v>
          </cell>
          <cell r="AP200" t="e">
            <v>#N/A</v>
          </cell>
          <cell r="AQ200" t="e">
            <v>#N/A</v>
          </cell>
          <cell r="AR200" t="e">
            <v>#N/A</v>
          </cell>
          <cell r="AS200" t="e">
            <v>#N/A</v>
          </cell>
          <cell r="AT200" t="e">
            <v>#N/A</v>
          </cell>
          <cell r="AU200" t="e">
            <v>#N/A</v>
          </cell>
          <cell r="AV200" t="e">
            <v>#N/A</v>
          </cell>
          <cell r="AW200" t="e">
            <v>#N/A</v>
          </cell>
          <cell r="AX200" t="e">
            <v>#N/A</v>
          </cell>
          <cell r="AY200" t="e">
            <v>#N/A</v>
          </cell>
          <cell r="AZ200" t="e">
            <v>#N/A</v>
          </cell>
          <cell r="BA200">
            <v>2500</v>
          </cell>
          <cell r="BB200" t="str">
            <v>Thùng 5 lớp 42x34x36</v>
          </cell>
          <cell r="BC200">
            <v>0</v>
          </cell>
          <cell r="BD200" t="e">
            <v>#N/A</v>
          </cell>
        </row>
        <row r="201">
          <cell r="A201" t="str">
            <v>sp 637</v>
          </cell>
          <cell r="B201" t="str">
            <v>Túi bánh trứng lipo sầu riêng 300g Alpha</v>
          </cell>
          <cell r="C201">
            <v>7.0000000000000009</v>
          </cell>
          <cell r="D201">
            <v>1</v>
          </cell>
          <cell r="E201" t="str">
            <v>OPP mờ 20x660</v>
          </cell>
          <cell r="F201">
            <v>7</v>
          </cell>
          <cell r="G201" t="str">
            <v>OPP</v>
          </cell>
          <cell r="H201">
            <v>0.1</v>
          </cell>
          <cell r="I201">
            <v>3.1</v>
          </cell>
          <cell r="J201">
            <v>0.1</v>
          </cell>
          <cell r="K201">
            <v>0.2</v>
          </cell>
          <cell r="L201">
            <v>1.3</v>
          </cell>
          <cell r="M201">
            <v>0.6</v>
          </cell>
          <cell r="N201">
            <v>0</v>
          </cell>
          <cell r="O201">
            <v>0</v>
          </cell>
          <cell r="P201">
            <v>0.2</v>
          </cell>
          <cell r="Q201">
            <v>1.1000000000000001</v>
          </cell>
          <cell r="R201">
            <v>0</v>
          </cell>
          <cell r="S201">
            <v>0</v>
          </cell>
          <cell r="T201">
            <v>0</v>
          </cell>
          <cell r="U201">
            <v>0</v>
          </cell>
          <cell r="V201">
            <v>0.3</v>
          </cell>
          <cell r="W201">
            <v>0</v>
          </cell>
          <cell r="X201">
            <v>0</v>
          </cell>
          <cell r="Y201">
            <v>0</v>
          </cell>
          <cell r="Z201">
            <v>0</v>
          </cell>
          <cell r="AA201">
            <v>0</v>
          </cell>
          <cell r="AB201">
            <v>0</v>
          </cell>
          <cell r="AC201">
            <v>0</v>
          </cell>
          <cell r="AD201">
            <v>0</v>
          </cell>
          <cell r="AE201" t="str">
            <v>MPET 12x660</v>
          </cell>
          <cell r="AF201" t="str">
            <v>PE 30x660</v>
          </cell>
          <cell r="AG201">
            <v>4.1415E-2</v>
          </cell>
          <cell r="AH201">
            <v>0.99666666666666659</v>
          </cell>
          <cell r="AI201">
            <v>1.6250000000000004</v>
          </cell>
          <cell r="AJ201">
            <v>9530</v>
          </cell>
          <cell r="AK201">
            <v>9690</v>
          </cell>
          <cell r="AL201" t="str">
            <v>0,0023; 9690 (0,0025)</v>
          </cell>
          <cell r="AM201" t="str">
            <v>túi ba biên</v>
          </cell>
          <cell r="AN201">
            <v>350</v>
          </cell>
          <cell r="AO201" t="str">
            <v>Công ty Quốc tế Alpha</v>
          </cell>
          <cell r="AP201" t="e">
            <v>#N/A</v>
          </cell>
          <cell r="AQ201" t="e">
            <v>#N/A</v>
          </cell>
          <cell r="AR201" t="e">
            <v>#N/A</v>
          </cell>
          <cell r="AS201" t="e">
            <v>#N/A</v>
          </cell>
          <cell r="AT201" t="e">
            <v>#N/A</v>
          </cell>
          <cell r="AU201" t="e">
            <v>#N/A</v>
          </cell>
          <cell r="AV201" t="e">
            <v>#N/A</v>
          </cell>
          <cell r="AW201" t="e">
            <v>#N/A</v>
          </cell>
          <cell r="AX201" t="e">
            <v>#N/A</v>
          </cell>
          <cell r="AY201" t="e">
            <v>#N/A</v>
          </cell>
          <cell r="AZ201" t="e">
            <v>#N/A</v>
          </cell>
          <cell r="BA201">
            <v>2500</v>
          </cell>
          <cell r="BB201" t="str">
            <v>Thùng 5 lớp 42x34x36</v>
          </cell>
          <cell r="BC201">
            <v>0</v>
          </cell>
          <cell r="BD201" t="e">
            <v>#N/A</v>
          </cell>
        </row>
        <row r="202">
          <cell r="A202" t="str">
            <v>sp 638</v>
          </cell>
          <cell r="B202" t="str">
            <v>Túi lúa mới TBR1 XN1 1kg Thái Bình</v>
          </cell>
          <cell r="C202">
            <v>6.9300000000000006</v>
          </cell>
          <cell r="D202">
            <v>2</v>
          </cell>
          <cell r="E202" t="str">
            <v>PET 12x900</v>
          </cell>
          <cell r="F202">
            <v>8</v>
          </cell>
          <cell r="G202" t="str">
            <v>PET</v>
          </cell>
          <cell r="H202">
            <v>0.21</v>
          </cell>
          <cell r="I202">
            <v>3.31</v>
          </cell>
          <cell r="J202">
            <v>0.32</v>
          </cell>
          <cell r="K202">
            <v>0.28999999999999998</v>
          </cell>
          <cell r="L202">
            <v>1.1599999999999999</v>
          </cell>
          <cell r="M202">
            <v>0.66</v>
          </cell>
          <cell r="N202">
            <v>0</v>
          </cell>
          <cell r="O202">
            <v>0.83</v>
          </cell>
          <cell r="P202">
            <v>0.03</v>
          </cell>
          <cell r="Q202">
            <v>0.03</v>
          </cell>
          <cell r="R202">
            <v>0</v>
          </cell>
          <cell r="S202">
            <v>0</v>
          </cell>
          <cell r="T202">
            <v>0.09</v>
          </cell>
          <cell r="U202">
            <v>0</v>
          </cell>
          <cell r="V202">
            <v>0</v>
          </cell>
          <cell r="W202">
            <v>0</v>
          </cell>
          <cell r="X202">
            <v>0</v>
          </cell>
          <cell r="Y202">
            <v>0</v>
          </cell>
          <cell r="Z202">
            <v>0</v>
          </cell>
          <cell r="AA202">
            <v>0</v>
          </cell>
          <cell r="AB202">
            <v>0</v>
          </cell>
          <cell r="AC202">
            <v>0</v>
          </cell>
          <cell r="AD202">
            <v>0</v>
          </cell>
          <cell r="AE202" t="str">
            <v>PE 82x900</v>
          </cell>
          <cell r="AF202">
            <v>0</v>
          </cell>
          <cell r="AG202">
            <v>8.3385000000000001E-2</v>
          </cell>
          <cell r="AH202">
            <v>1.3646666666666665</v>
          </cell>
          <cell r="AI202">
            <v>0</v>
          </cell>
          <cell r="AJ202">
            <v>9530</v>
          </cell>
          <cell r="AK202">
            <v>0</v>
          </cell>
          <cell r="AL202">
            <v>2.3E-3</v>
          </cell>
          <cell r="AM202" t="str">
            <v>túi ba biên hoặc cuộn 800m</v>
          </cell>
          <cell r="AN202">
            <v>310</v>
          </cell>
          <cell r="AO202" t="str">
            <v>Công ty Thái Bình</v>
          </cell>
          <cell r="AP202" t="str">
            <v>1710841-1</v>
          </cell>
          <cell r="AQ202" t="str">
            <v>1903063-2</v>
          </cell>
          <cell r="AR202" t="str">
            <v>1609240-3</v>
          </cell>
          <cell r="AS202" t="str">
            <v>1903063-4</v>
          </cell>
          <cell r="AT202" t="str">
            <v>1609518-5</v>
          </cell>
          <cell r="AU202" t="str">
            <v>1609518-6</v>
          </cell>
          <cell r="AV202" t="str">
            <v>1902522-7</v>
          </cell>
          <cell r="AW202" t="str">
            <v>20110138-8</v>
          </cell>
          <cell r="AX202">
            <v>0</v>
          </cell>
          <cell r="AY202" t="str">
            <v>620x1100</v>
          </cell>
          <cell r="AZ202" t="str">
            <v>I1</v>
          </cell>
          <cell r="BA202" t="str">
            <v>4000t/bao or 800m/cuộn</v>
          </cell>
          <cell r="BB202" t="str">
            <v>bao dứa or giấy carton K600</v>
          </cell>
          <cell r="BC202">
            <v>0</v>
          </cell>
          <cell r="BD202" t="str">
            <v xml:space="preserve">in chung với bộ 630 khác cây số 5,6,7 </v>
          </cell>
        </row>
        <row r="203">
          <cell r="A203" t="str">
            <v>sp 639</v>
          </cell>
          <cell r="B203" t="str">
            <v>Túi lúa mới BC15XN1 1kg Thái Bình</v>
          </cell>
          <cell r="C203">
            <v>6.2099999999999991</v>
          </cell>
          <cell r="D203">
            <v>2</v>
          </cell>
          <cell r="E203" t="str">
            <v>PET 12x900</v>
          </cell>
          <cell r="F203">
            <v>8</v>
          </cell>
          <cell r="G203" t="str">
            <v>PET</v>
          </cell>
          <cell r="H203">
            <v>0.09</v>
          </cell>
          <cell r="I203">
            <v>3.62</v>
          </cell>
          <cell r="J203">
            <v>0.13</v>
          </cell>
          <cell r="K203">
            <v>0.06</v>
          </cell>
          <cell r="L203">
            <v>1.22</v>
          </cell>
          <cell r="M203">
            <v>0.76</v>
          </cell>
          <cell r="N203">
            <v>0</v>
          </cell>
          <cell r="O203">
            <v>0.27</v>
          </cell>
          <cell r="P203">
            <v>0.01</v>
          </cell>
          <cell r="Q203">
            <v>0.02</v>
          </cell>
          <cell r="R203">
            <v>0</v>
          </cell>
          <cell r="S203">
            <v>0</v>
          </cell>
          <cell r="T203">
            <v>0.01</v>
          </cell>
          <cell r="U203">
            <v>0.01</v>
          </cell>
          <cell r="V203">
            <v>0.01</v>
          </cell>
          <cell r="W203">
            <v>0</v>
          </cell>
          <cell r="X203">
            <v>0</v>
          </cell>
          <cell r="Y203">
            <v>0</v>
          </cell>
          <cell r="Z203">
            <v>0</v>
          </cell>
          <cell r="AA203">
            <v>0</v>
          </cell>
          <cell r="AB203">
            <v>0</v>
          </cell>
          <cell r="AC203">
            <v>0</v>
          </cell>
          <cell r="AD203">
            <v>0</v>
          </cell>
          <cell r="AE203" t="str">
            <v>PE 82x900</v>
          </cell>
          <cell r="AF203">
            <v>0</v>
          </cell>
          <cell r="AG203">
            <v>8.3385000000000001E-2</v>
          </cell>
          <cell r="AH203">
            <v>1.3646666666666665</v>
          </cell>
          <cell r="AI203">
            <v>0</v>
          </cell>
          <cell r="AJ203">
            <v>9530</v>
          </cell>
          <cell r="AK203">
            <v>0</v>
          </cell>
          <cell r="AL203">
            <v>2.3E-3</v>
          </cell>
          <cell r="AM203" t="str">
            <v>túi ba biên hoặc cuộn 800m</v>
          </cell>
          <cell r="AN203">
            <v>310</v>
          </cell>
          <cell r="AO203" t="str">
            <v>Công ty Thái Bình</v>
          </cell>
          <cell r="AP203" t="str">
            <v>1902520-1</v>
          </cell>
          <cell r="AQ203" t="str">
            <v>1903063-2</v>
          </cell>
          <cell r="AR203" t="str">
            <v>1609240-3</v>
          </cell>
          <cell r="AS203" t="str">
            <v>1903063-4</v>
          </cell>
          <cell r="AT203" t="str">
            <v>1902520-5</v>
          </cell>
          <cell r="AU203" t="str">
            <v>1609519-6</v>
          </cell>
          <cell r="AV203" t="str">
            <v>1902520-7</v>
          </cell>
          <cell r="AW203" t="str">
            <v>20110138-8</v>
          </cell>
          <cell r="AX203">
            <v>0</v>
          </cell>
          <cell r="AY203" t="str">
            <v>620x1100</v>
          </cell>
          <cell r="AZ203" t="str">
            <v>I1</v>
          </cell>
          <cell r="BA203" t="str">
            <v>4000t/bao or 800m/cuộn</v>
          </cell>
          <cell r="BB203" t="str">
            <v>bao dứa or giấy carton K600</v>
          </cell>
          <cell r="BC203">
            <v>0</v>
          </cell>
          <cell r="BD203" t="str">
            <v>in chung sp 630 khác cây số 1,5,6,7</v>
          </cell>
        </row>
        <row r="204">
          <cell r="A204" t="str">
            <v>sp 640</v>
          </cell>
          <cell r="B204" t="str">
            <v>Túi lúa mới TBR36XN1 1kg Thái Bình</v>
          </cell>
          <cell r="C204">
            <v>7.870000000000001</v>
          </cell>
          <cell r="D204">
            <v>2</v>
          </cell>
          <cell r="E204" t="str">
            <v>PET 12x900</v>
          </cell>
          <cell r="F204">
            <v>8</v>
          </cell>
          <cell r="G204" t="str">
            <v>PET</v>
          </cell>
          <cell r="H204">
            <v>0.15</v>
          </cell>
          <cell r="I204">
            <v>3.54</v>
          </cell>
          <cell r="J204">
            <v>0.24</v>
          </cell>
          <cell r="K204">
            <v>0.44</v>
          </cell>
          <cell r="L204">
            <v>1.99</v>
          </cell>
          <cell r="M204">
            <v>0.78</v>
          </cell>
          <cell r="N204">
            <v>0</v>
          </cell>
          <cell r="O204">
            <v>0.49</v>
          </cell>
          <cell r="P204">
            <v>0</v>
          </cell>
          <cell r="Q204">
            <v>0.19</v>
          </cell>
          <cell r="R204">
            <v>0</v>
          </cell>
          <cell r="S204">
            <v>0</v>
          </cell>
          <cell r="T204">
            <v>0.05</v>
          </cell>
          <cell r="U204">
            <v>0</v>
          </cell>
          <cell r="V204">
            <v>0</v>
          </cell>
          <cell r="W204">
            <v>0</v>
          </cell>
          <cell r="X204">
            <v>0</v>
          </cell>
          <cell r="Y204">
            <v>0</v>
          </cell>
          <cell r="Z204">
            <v>0</v>
          </cell>
          <cell r="AA204">
            <v>0</v>
          </cell>
          <cell r="AB204">
            <v>0</v>
          </cell>
          <cell r="AC204">
            <v>0</v>
          </cell>
          <cell r="AD204">
            <v>0</v>
          </cell>
          <cell r="AE204" t="str">
            <v>PE 82x900</v>
          </cell>
          <cell r="AF204">
            <v>0</v>
          </cell>
          <cell r="AG204">
            <v>8.3385000000000001E-2</v>
          </cell>
          <cell r="AH204">
            <v>1.3646666666666665</v>
          </cell>
          <cell r="AI204">
            <v>0</v>
          </cell>
          <cell r="AJ204">
            <v>9530</v>
          </cell>
          <cell r="AK204">
            <v>0</v>
          </cell>
          <cell r="AL204">
            <v>2.3E-3</v>
          </cell>
          <cell r="AM204" t="str">
            <v>túi ba biên hoặc cuộn 800m</v>
          </cell>
          <cell r="AN204">
            <v>310</v>
          </cell>
          <cell r="AO204" t="str">
            <v>Công ty Thái Bình</v>
          </cell>
          <cell r="AP204" t="str">
            <v>1902523-1</v>
          </cell>
          <cell r="AQ204" t="str">
            <v>1903063-2</v>
          </cell>
          <cell r="AR204" t="str">
            <v>1609240-3</v>
          </cell>
          <cell r="AS204" t="str">
            <v>1903063-4</v>
          </cell>
          <cell r="AT204" t="str">
            <v>1902523-5</v>
          </cell>
          <cell r="AU204" t="str">
            <v>1609520-6</v>
          </cell>
          <cell r="AV204" t="str">
            <v>1902520-7</v>
          </cell>
          <cell r="AW204" t="str">
            <v>20110138-8</v>
          </cell>
          <cell r="AX204">
            <v>0</v>
          </cell>
          <cell r="AY204" t="str">
            <v>620x1100</v>
          </cell>
          <cell r="AZ204" t="str">
            <v>I1</v>
          </cell>
          <cell r="BA204" t="str">
            <v>4000t/bao or 800m/cuộn</v>
          </cell>
          <cell r="BB204" t="str">
            <v>bao dứa or giấy carton K600</v>
          </cell>
          <cell r="BC204">
            <v>0</v>
          </cell>
          <cell r="BD204" t="str">
            <v>in chung (2,3.4) với sp 630; nền với sp 639</v>
          </cell>
        </row>
        <row r="205">
          <cell r="A205" t="str">
            <v>sp 641</v>
          </cell>
          <cell r="B205" t="str">
            <v>Túi lúa mới TBR45 XN1 1kg Thái Bình</v>
          </cell>
          <cell r="C205">
            <v>8.59</v>
          </cell>
          <cell r="D205">
            <v>2</v>
          </cell>
          <cell r="E205" t="str">
            <v>PET 12x900</v>
          </cell>
          <cell r="F205">
            <v>8</v>
          </cell>
          <cell r="G205" t="str">
            <v>PET</v>
          </cell>
          <cell r="H205">
            <v>7.0000000000000007E-2</v>
          </cell>
          <cell r="I205">
            <v>3.92</v>
          </cell>
          <cell r="J205">
            <v>0.31</v>
          </cell>
          <cell r="K205">
            <v>0.03</v>
          </cell>
          <cell r="L205">
            <v>3.46</v>
          </cell>
          <cell r="M205">
            <v>0.69</v>
          </cell>
          <cell r="N205">
            <v>0</v>
          </cell>
          <cell r="O205">
            <v>0.01</v>
          </cell>
          <cell r="P205">
            <v>0</v>
          </cell>
          <cell r="Q205">
            <v>0.09</v>
          </cell>
          <cell r="R205">
            <v>0</v>
          </cell>
          <cell r="S205">
            <v>0</v>
          </cell>
          <cell r="T205">
            <v>0.01</v>
          </cell>
          <cell r="U205">
            <v>0</v>
          </cell>
          <cell r="V205">
            <v>0</v>
          </cell>
          <cell r="W205">
            <v>0</v>
          </cell>
          <cell r="X205">
            <v>0</v>
          </cell>
          <cell r="Y205">
            <v>0</v>
          </cell>
          <cell r="Z205">
            <v>0</v>
          </cell>
          <cell r="AA205">
            <v>0</v>
          </cell>
          <cell r="AB205">
            <v>0</v>
          </cell>
          <cell r="AC205">
            <v>0</v>
          </cell>
          <cell r="AD205">
            <v>0</v>
          </cell>
          <cell r="AE205" t="str">
            <v>PE 82x900</v>
          </cell>
          <cell r="AF205">
            <v>0</v>
          </cell>
          <cell r="AG205">
            <v>8.3385000000000001E-2</v>
          </cell>
          <cell r="AH205">
            <v>1.3646666666666665</v>
          </cell>
          <cell r="AI205">
            <v>0</v>
          </cell>
          <cell r="AJ205">
            <v>9530</v>
          </cell>
          <cell r="AK205">
            <v>0</v>
          </cell>
          <cell r="AL205">
            <v>2.3E-3</v>
          </cell>
          <cell r="AM205" t="str">
            <v>túi ba biên hoặc cuộn 800m</v>
          </cell>
          <cell r="AN205">
            <v>310</v>
          </cell>
          <cell r="AO205" t="str">
            <v>Công ty Thái Bình</v>
          </cell>
          <cell r="AP205" t="str">
            <v>1902524-1</v>
          </cell>
          <cell r="AQ205" t="str">
            <v>1903063-2</v>
          </cell>
          <cell r="AR205" t="str">
            <v>1609240-3</v>
          </cell>
          <cell r="AS205" t="str">
            <v>1903063-4</v>
          </cell>
          <cell r="AT205" t="str">
            <v>1902523-5</v>
          </cell>
          <cell r="AU205" t="str">
            <v>1609521-6</v>
          </cell>
          <cell r="AV205" t="str">
            <v>1902520-7</v>
          </cell>
          <cell r="AW205" t="str">
            <v>20110138-8</v>
          </cell>
          <cell r="AX205">
            <v>0</v>
          </cell>
          <cell r="AY205" t="str">
            <v>620x1100</v>
          </cell>
          <cell r="AZ205" t="str">
            <v>I1</v>
          </cell>
          <cell r="BA205" t="str">
            <v>4000t/bao or 800m/cuộn</v>
          </cell>
          <cell r="BB205" t="str">
            <v>bao dứa or giấy carton K600</v>
          </cell>
          <cell r="BC205">
            <v>0</v>
          </cell>
          <cell r="BD205" t="str">
            <v xml:space="preserve">in chung với sp 630; 641 </v>
          </cell>
        </row>
        <row r="206">
          <cell r="A206" t="str">
            <v>sp 642</v>
          </cell>
          <cell r="B206" t="str">
            <v>Túi lúa mới BC15XN1 40kg Thái Bình</v>
          </cell>
          <cell r="C206">
            <v>3.0800000000000005</v>
          </cell>
          <cell r="D206">
            <v>1</v>
          </cell>
          <cell r="E206" t="str">
            <v>OPP 18x690</v>
          </cell>
          <cell r="F206">
            <v>7</v>
          </cell>
          <cell r="G206" t="str">
            <v>OPP</v>
          </cell>
          <cell r="H206">
            <v>0.09</v>
          </cell>
          <cell r="I206">
            <v>0.15</v>
          </cell>
          <cell r="J206">
            <v>0.24</v>
          </cell>
          <cell r="K206">
            <v>0.12</v>
          </cell>
          <cell r="L206">
            <v>1.56</v>
          </cell>
          <cell r="M206">
            <v>0.28000000000000003</v>
          </cell>
          <cell r="N206">
            <v>0</v>
          </cell>
          <cell r="O206">
            <v>0.49</v>
          </cell>
          <cell r="P206">
            <v>0</v>
          </cell>
          <cell r="Q206">
            <v>0.06</v>
          </cell>
          <cell r="R206">
            <v>0</v>
          </cell>
          <cell r="S206">
            <v>0</v>
          </cell>
          <cell r="T206">
            <v>0.09</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t="str">
            <v>dạng cuộn 6000m</v>
          </cell>
          <cell r="AN206">
            <v>690</v>
          </cell>
          <cell r="AO206" t="str">
            <v>Công ty Thái Bình</v>
          </cell>
          <cell r="AP206" t="str">
            <v>1903035-1</v>
          </cell>
          <cell r="AQ206" t="str">
            <v>1609242-2</v>
          </cell>
          <cell r="AR206" t="str">
            <v>17101029-3</v>
          </cell>
          <cell r="AS206" t="str">
            <v>1710745-4</v>
          </cell>
          <cell r="AT206" t="str">
            <v>1903035-5</v>
          </cell>
          <cell r="AU206" t="str">
            <v>17101030-6</v>
          </cell>
          <cell r="AV206" t="str">
            <v>1903035-7</v>
          </cell>
          <cell r="AW206">
            <v>0</v>
          </cell>
          <cell r="AX206">
            <v>0</v>
          </cell>
          <cell r="AY206" t="str">
            <v>1100x850</v>
          </cell>
          <cell r="AZ206" t="str">
            <v>K1</v>
          </cell>
          <cell r="BA206" t="str">
            <v>1c</v>
          </cell>
          <cell r="BB206" t="str">
            <v>giấy cartoon K800</v>
          </cell>
          <cell r="BC206">
            <v>0</v>
          </cell>
          <cell r="BD206" t="str">
            <v>in chung  đs,xd,vàng với sp 634</v>
          </cell>
        </row>
        <row r="207">
          <cell r="A207" t="str">
            <v>sp 643</v>
          </cell>
          <cell r="B207" t="str">
            <v>Túi lúa mới Bắc thơm 7 NC 40kg Thái Bình</v>
          </cell>
          <cell r="C207">
            <v>5.12</v>
          </cell>
          <cell r="D207">
            <v>1</v>
          </cell>
          <cell r="E207" t="str">
            <v>OPP 18x690</v>
          </cell>
          <cell r="F207">
            <v>7</v>
          </cell>
          <cell r="G207" t="str">
            <v>OPP</v>
          </cell>
          <cell r="H207">
            <v>0.46</v>
          </cell>
          <cell r="I207">
            <v>0</v>
          </cell>
          <cell r="J207">
            <v>0.13</v>
          </cell>
          <cell r="K207">
            <v>0.66</v>
          </cell>
          <cell r="L207">
            <v>2.36</v>
          </cell>
          <cell r="M207">
            <v>0.46</v>
          </cell>
          <cell r="N207">
            <v>0</v>
          </cell>
          <cell r="O207">
            <v>0.03</v>
          </cell>
          <cell r="P207">
            <v>0.63</v>
          </cell>
          <cell r="Q207">
            <v>0</v>
          </cell>
          <cell r="R207">
            <v>0</v>
          </cell>
          <cell r="S207">
            <v>0</v>
          </cell>
          <cell r="T207">
            <v>0.39</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t="str">
            <v>dạng cuộn 6000m</v>
          </cell>
          <cell r="AN207">
            <v>690</v>
          </cell>
          <cell r="AO207" t="str">
            <v>Công ty Thái Bình</v>
          </cell>
          <cell r="AP207" t="str">
            <v>1609553-1</v>
          </cell>
          <cell r="AQ207" t="str">
            <v>1609553-2</v>
          </cell>
          <cell r="AR207" t="str">
            <v>1609553-3</v>
          </cell>
          <cell r="AS207" t="str">
            <v>1609553-4</v>
          </cell>
          <cell r="AT207" t="str">
            <v>1609553-5</v>
          </cell>
          <cell r="AU207" t="str">
            <v>1609553-6</v>
          </cell>
          <cell r="AV207" t="str">
            <v>1903065-7</v>
          </cell>
          <cell r="AW207">
            <v>0</v>
          </cell>
          <cell r="AX207">
            <v>0</v>
          </cell>
          <cell r="AY207" t="str">
            <v>1100x850</v>
          </cell>
          <cell r="AZ207" t="str">
            <v>K2</v>
          </cell>
          <cell r="BA207" t="str">
            <v>1c</v>
          </cell>
          <cell r="BB207" t="str">
            <v>giấy cartoon K800</v>
          </cell>
          <cell r="BC207">
            <v>0</v>
          </cell>
          <cell r="BD207">
            <v>0</v>
          </cell>
        </row>
        <row r="208">
          <cell r="A208" t="str">
            <v>sp 644</v>
          </cell>
          <cell r="B208" t="str">
            <v>Túi lúa mới N97NC 40kg Thái Bình</v>
          </cell>
          <cell r="C208">
            <v>5.4099999999999993</v>
          </cell>
          <cell r="D208">
            <v>1</v>
          </cell>
          <cell r="E208" t="str">
            <v>OPP 18x690</v>
          </cell>
          <cell r="F208">
            <v>7</v>
          </cell>
          <cell r="G208" t="str">
            <v>OPP</v>
          </cell>
          <cell r="H208">
            <v>0.1</v>
          </cell>
          <cell r="I208">
            <v>2.5</v>
          </cell>
          <cell r="J208">
            <v>0.86</v>
          </cell>
          <cell r="K208">
            <v>0.01</v>
          </cell>
          <cell r="L208">
            <v>0.38</v>
          </cell>
          <cell r="M208">
            <v>1.35</v>
          </cell>
          <cell r="N208">
            <v>0</v>
          </cell>
          <cell r="O208">
            <v>0.01</v>
          </cell>
          <cell r="P208">
            <v>0.19</v>
          </cell>
          <cell r="Q208">
            <v>0</v>
          </cell>
          <cell r="R208">
            <v>0</v>
          </cell>
          <cell r="S208">
            <v>0</v>
          </cell>
          <cell r="T208">
            <v>0.01</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t="str">
            <v>dạng cuộn 6000m</v>
          </cell>
          <cell r="AN208">
            <v>690</v>
          </cell>
          <cell r="AO208" t="str">
            <v>Công ty Thái Bình</v>
          </cell>
          <cell r="AP208" t="str">
            <v>1903066-1</v>
          </cell>
          <cell r="AQ208" t="str">
            <v>1609553-2</v>
          </cell>
          <cell r="AR208" t="str">
            <v>1609553-3</v>
          </cell>
          <cell r="AS208" t="str">
            <v>1609553-4</v>
          </cell>
          <cell r="AT208" t="str">
            <v>1903066-5</v>
          </cell>
          <cell r="AU208" t="str">
            <v>1609554-6</v>
          </cell>
          <cell r="AV208" t="str">
            <v>1903066-7</v>
          </cell>
          <cell r="AW208">
            <v>0</v>
          </cell>
          <cell r="AX208">
            <v>0</v>
          </cell>
          <cell r="AY208" t="str">
            <v>1100x850</v>
          </cell>
          <cell r="AZ208" t="str">
            <v>K2</v>
          </cell>
          <cell r="BA208" t="str">
            <v>1c</v>
          </cell>
          <cell r="BB208" t="str">
            <v>giấy cartoon K800</v>
          </cell>
          <cell r="BC208">
            <v>0</v>
          </cell>
          <cell r="BD208" t="str">
            <v>in chung cây XD,ĐS,V, với sp 643</v>
          </cell>
        </row>
        <row r="209">
          <cell r="A209" t="str">
            <v>sp 645</v>
          </cell>
          <cell r="B209" t="str">
            <v>Túi lúa mới hương thơm 1 40kg Thái Bình</v>
          </cell>
          <cell r="C209">
            <v>5.4099999999999993</v>
          </cell>
          <cell r="D209">
            <v>1</v>
          </cell>
          <cell r="E209" t="str">
            <v>OPP 18x690</v>
          </cell>
          <cell r="F209">
            <v>7</v>
          </cell>
          <cell r="G209" t="str">
            <v>OPP</v>
          </cell>
          <cell r="H209">
            <v>0.1</v>
          </cell>
          <cell r="I209">
            <v>2.5</v>
          </cell>
          <cell r="J209">
            <v>0.86</v>
          </cell>
          <cell r="K209">
            <v>0.01</v>
          </cell>
          <cell r="L209">
            <v>0.38</v>
          </cell>
          <cell r="M209">
            <v>1.35</v>
          </cell>
          <cell r="N209">
            <v>0</v>
          </cell>
          <cell r="O209">
            <v>0.01</v>
          </cell>
          <cell r="P209">
            <v>0.19</v>
          </cell>
          <cell r="Q209">
            <v>0</v>
          </cell>
          <cell r="R209">
            <v>0</v>
          </cell>
          <cell r="S209">
            <v>0</v>
          </cell>
          <cell r="T209">
            <v>0.01</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t="str">
            <v>dạng cuộn 6000m</v>
          </cell>
          <cell r="AN209">
            <v>690</v>
          </cell>
          <cell r="AO209" t="str">
            <v>Công ty Thái Bình</v>
          </cell>
          <cell r="AP209" t="str">
            <v>1903066-1</v>
          </cell>
          <cell r="AQ209" t="str">
            <v>1609553-2</v>
          </cell>
          <cell r="AR209" t="str">
            <v>1609553-3</v>
          </cell>
          <cell r="AS209" t="str">
            <v>1609553-4</v>
          </cell>
          <cell r="AT209" t="str">
            <v>1903066-5</v>
          </cell>
          <cell r="AU209" t="str">
            <v>1609555-6</v>
          </cell>
          <cell r="AV209" t="str">
            <v>1903066-7</v>
          </cell>
          <cell r="AW209">
            <v>0</v>
          </cell>
          <cell r="AX209">
            <v>0</v>
          </cell>
          <cell r="AY209" t="str">
            <v>1100x850</v>
          </cell>
          <cell r="AZ209" t="str">
            <v>K2</v>
          </cell>
          <cell r="BA209" t="str">
            <v>1c</v>
          </cell>
          <cell r="BB209" t="str">
            <v>giấy cartoon K800</v>
          </cell>
          <cell r="BC209">
            <v>0</v>
          </cell>
          <cell r="BD209" t="str">
            <v>in chung (2,3,4) với sp 643;  (1,5,7) với sp 644</v>
          </cell>
        </row>
        <row r="210">
          <cell r="A210" t="str">
            <v>sp 646</v>
          </cell>
          <cell r="B210" t="str">
            <v>Túi lúa mới Q5 NC 40kg Thái Bình</v>
          </cell>
          <cell r="C210">
            <v>4.5</v>
          </cell>
          <cell r="D210">
            <v>1</v>
          </cell>
          <cell r="E210" t="str">
            <v>OPP 18x690</v>
          </cell>
          <cell r="F210">
            <v>7</v>
          </cell>
          <cell r="G210" t="str">
            <v>OPP</v>
          </cell>
          <cell r="H210">
            <v>0.1</v>
          </cell>
          <cell r="I210">
            <v>0</v>
          </cell>
          <cell r="J210">
            <v>0.1</v>
          </cell>
          <cell r="K210">
            <v>0.3</v>
          </cell>
          <cell r="L210">
            <v>0.5</v>
          </cell>
          <cell r="M210">
            <v>1.5</v>
          </cell>
          <cell r="N210">
            <v>0</v>
          </cell>
          <cell r="O210">
            <v>0.1</v>
          </cell>
          <cell r="P210">
            <v>0</v>
          </cell>
          <cell r="Q210">
            <v>0</v>
          </cell>
          <cell r="R210">
            <v>0</v>
          </cell>
          <cell r="S210">
            <v>0</v>
          </cell>
          <cell r="T210">
            <v>0.1</v>
          </cell>
          <cell r="U210">
            <v>0</v>
          </cell>
          <cell r="V210">
            <v>0</v>
          </cell>
          <cell r="W210">
            <v>1.8</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t="str">
            <v>dạng cuộn 6000m</v>
          </cell>
          <cell r="AN210">
            <v>690</v>
          </cell>
          <cell r="AO210" t="str">
            <v>Công ty Thái Bình</v>
          </cell>
          <cell r="AP210" t="str">
            <v>1903066-1</v>
          </cell>
          <cell r="AQ210" t="str">
            <v>1609553-2</v>
          </cell>
          <cell r="AR210" t="str">
            <v>1609553-3</v>
          </cell>
          <cell r="AS210" t="str">
            <v>1609553-4</v>
          </cell>
          <cell r="AT210" t="str">
            <v>1903066-5</v>
          </cell>
          <cell r="AU210" t="str">
            <v>1609556-6</v>
          </cell>
          <cell r="AV210" t="str">
            <v>1903066-7</v>
          </cell>
          <cell r="AW210">
            <v>0</v>
          </cell>
          <cell r="AX210">
            <v>0</v>
          </cell>
          <cell r="AY210" t="str">
            <v>1100x850</v>
          </cell>
          <cell r="AZ210" t="str">
            <v>K3</v>
          </cell>
          <cell r="BA210" t="str">
            <v>1c</v>
          </cell>
          <cell r="BB210" t="str">
            <v>giấy cartoon K800</v>
          </cell>
          <cell r="BC210">
            <v>0</v>
          </cell>
          <cell r="BD210" t="str">
            <v>in chung  với sp 644</v>
          </cell>
        </row>
        <row r="211">
          <cell r="A211" t="str">
            <v>sp 647</v>
          </cell>
          <cell r="B211" t="str">
            <v>Túi lúa mới KD18 NC 40kg Thái Bình</v>
          </cell>
          <cell r="C211">
            <v>6.3999999999999986</v>
          </cell>
          <cell r="D211">
            <v>1</v>
          </cell>
          <cell r="E211" t="str">
            <v>OPP 18x690</v>
          </cell>
          <cell r="F211">
            <v>7</v>
          </cell>
          <cell r="G211" t="str">
            <v>OPP</v>
          </cell>
          <cell r="H211">
            <v>7.0000000000000007E-2</v>
          </cell>
          <cell r="I211">
            <v>3.09</v>
          </cell>
          <cell r="J211">
            <v>0.47</v>
          </cell>
          <cell r="K211">
            <v>0.32</v>
          </cell>
          <cell r="L211">
            <v>1.57</v>
          </cell>
          <cell r="M211">
            <v>0.66</v>
          </cell>
          <cell r="N211">
            <v>0</v>
          </cell>
          <cell r="O211">
            <v>0.01</v>
          </cell>
          <cell r="P211">
            <v>0.06</v>
          </cell>
          <cell r="Q211">
            <v>0.02</v>
          </cell>
          <cell r="R211">
            <v>0</v>
          </cell>
          <cell r="S211">
            <v>0</v>
          </cell>
          <cell r="T211">
            <v>0.01</v>
          </cell>
          <cell r="U211">
            <v>0.11</v>
          </cell>
          <cell r="V211">
            <v>0.01</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t="str">
            <v>dạng cuộn 6000m</v>
          </cell>
          <cell r="AN211">
            <v>690</v>
          </cell>
          <cell r="AO211" t="str">
            <v>Công ty Thái Bình</v>
          </cell>
          <cell r="AP211" t="str">
            <v>1903066-1</v>
          </cell>
          <cell r="AQ211" t="str">
            <v>1609553-2</v>
          </cell>
          <cell r="AR211" t="str">
            <v>1609553-3</v>
          </cell>
          <cell r="AS211" t="str">
            <v>1609553-4</v>
          </cell>
          <cell r="AT211" t="str">
            <v>1903066-5</v>
          </cell>
          <cell r="AU211" t="str">
            <v>1609557-6</v>
          </cell>
          <cell r="AV211" t="str">
            <v>1903066-7</v>
          </cell>
          <cell r="AW211">
            <v>0</v>
          </cell>
          <cell r="AX211">
            <v>0</v>
          </cell>
          <cell r="AY211" t="str">
            <v>1100x850</v>
          </cell>
          <cell r="AZ211" t="str">
            <v>K3</v>
          </cell>
          <cell r="BA211" t="str">
            <v>1c</v>
          </cell>
          <cell r="BB211" t="str">
            <v>giấy cartoon K800</v>
          </cell>
          <cell r="BC211">
            <v>0</v>
          </cell>
          <cell r="BD211" t="str">
            <v>in chung sp 644:( 1,5,7);chung sp 643:( 2,3,4)</v>
          </cell>
        </row>
        <row r="212">
          <cell r="A212" t="str">
            <v>sp 648</v>
          </cell>
          <cell r="B212" t="str">
            <v>Túi lúa mới Q5 nguyên chủng 1kg Thái Bình</v>
          </cell>
          <cell r="C212">
            <v>7.3400000000000007</v>
          </cell>
          <cell r="D212">
            <v>2</v>
          </cell>
          <cell r="E212" t="str">
            <v>PET 12x900</v>
          </cell>
          <cell r="F212">
            <v>8</v>
          </cell>
          <cell r="G212" t="str">
            <v>PET</v>
          </cell>
          <cell r="H212">
            <v>0.13</v>
          </cell>
          <cell r="I212">
            <v>4.32</v>
          </cell>
          <cell r="J212">
            <v>0.05</v>
          </cell>
          <cell r="K212">
            <v>0.03</v>
          </cell>
          <cell r="L212">
            <v>1.1299999999999999</v>
          </cell>
          <cell r="M212">
            <v>1.48</v>
          </cell>
          <cell r="N212">
            <v>0</v>
          </cell>
          <cell r="O212">
            <v>0.01</v>
          </cell>
          <cell r="P212">
            <v>0.03</v>
          </cell>
          <cell r="Q212">
            <v>0.03</v>
          </cell>
          <cell r="R212">
            <v>0</v>
          </cell>
          <cell r="S212">
            <v>0</v>
          </cell>
          <cell r="T212">
            <v>0.01</v>
          </cell>
          <cell r="U212">
            <v>0.12</v>
          </cell>
          <cell r="V212">
            <v>0</v>
          </cell>
          <cell r="W212">
            <v>0</v>
          </cell>
          <cell r="X212">
            <v>0</v>
          </cell>
          <cell r="Y212">
            <v>0</v>
          </cell>
          <cell r="Z212">
            <v>0</v>
          </cell>
          <cell r="AA212">
            <v>0</v>
          </cell>
          <cell r="AB212">
            <v>0</v>
          </cell>
          <cell r="AC212">
            <v>0</v>
          </cell>
          <cell r="AD212">
            <v>0</v>
          </cell>
          <cell r="AE212" t="str">
            <v>PE 82x900</v>
          </cell>
          <cell r="AF212">
            <v>0</v>
          </cell>
          <cell r="AG212">
            <v>8.3385000000000001E-2</v>
          </cell>
          <cell r="AH212">
            <v>1.3646666666666665</v>
          </cell>
          <cell r="AI212">
            <v>0</v>
          </cell>
          <cell r="AJ212">
            <v>9530</v>
          </cell>
          <cell r="AK212">
            <v>0</v>
          </cell>
          <cell r="AL212">
            <v>2.3E-3</v>
          </cell>
          <cell r="AM212" t="str">
            <v>túi ba biên hoặc cuộn 800m</v>
          </cell>
          <cell r="AN212">
            <v>310</v>
          </cell>
          <cell r="AO212" t="str">
            <v>Công ty Thái Bình</v>
          </cell>
          <cell r="AP212" t="str">
            <v>1902526-1</v>
          </cell>
          <cell r="AQ212" t="str">
            <v>19041070-2</v>
          </cell>
          <cell r="AR212" t="str">
            <v>1609558-3</v>
          </cell>
          <cell r="AS212" t="str">
            <v>1609558-4</v>
          </cell>
          <cell r="AT212" t="str">
            <v>1902526-5</v>
          </cell>
          <cell r="AU212" t="str">
            <v>1609558-6</v>
          </cell>
          <cell r="AV212" t="str">
            <v>1902526-7</v>
          </cell>
          <cell r="AW212" t="str">
            <v>21030918-8</v>
          </cell>
          <cell r="AX212">
            <v>0</v>
          </cell>
          <cell r="AY212" t="str">
            <v>620x1100</v>
          </cell>
          <cell r="AZ212" t="str">
            <v>I1</v>
          </cell>
          <cell r="BA212" t="str">
            <v>4000t/bao or 800m/cuộn</v>
          </cell>
          <cell r="BB212" t="str">
            <v>bao dứa or giấy carton K600</v>
          </cell>
          <cell r="BC212">
            <v>0</v>
          </cell>
          <cell r="BD212">
            <v>0</v>
          </cell>
        </row>
        <row r="213">
          <cell r="A213" t="str">
            <v>sp 649</v>
          </cell>
          <cell r="B213" t="str">
            <v>Túi lúa mới khang dân 18 NC 1kg Thái Bình</v>
          </cell>
          <cell r="C213">
            <v>6.37</v>
          </cell>
          <cell r="D213">
            <v>2</v>
          </cell>
          <cell r="E213" t="str">
            <v>PET 12x900</v>
          </cell>
          <cell r="F213">
            <v>8</v>
          </cell>
          <cell r="G213" t="str">
            <v>PET</v>
          </cell>
          <cell r="H213">
            <v>0.15</v>
          </cell>
          <cell r="I213">
            <v>3.4</v>
          </cell>
          <cell r="J213">
            <v>0.15</v>
          </cell>
          <cell r="K213">
            <v>0.05</v>
          </cell>
          <cell r="L213">
            <v>0.9</v>
          </cell>
          <cell r="M213">
            <v>0.6</v>
          </cell>
          <cell r="N213">
            <v>0</v>
          </cell>
          <cell r="O213">
            <v>0.15</v>
          </cell>
          <cell r="P213">
            <v>0.03</v>
          </cell>
          <cell r="Q213">
            <v>0.03</v>
          </cell>
          <cell r="R213">
            <v>0</v>
          </cell>
          <cell r="S213">
            <v>0</v>
          </cell>
          <cell r="T213">
            <v>0.01</v>
          </cell>
          <cell r="U213">
            <v>0.9</v>
          </cell>
          <cell r="V213">
            <v>0</v>
          </cell>
          <cell r="W213">
            <v>0</v>
          </cell>
          <cell r="X213">
            <v>0</v>
          </cell>
          <cell r="Y213">
            <v>0</v>
          </cell>
          <cell r="Z213">
            <v>0</v>
          </cell>
          <cell r="AA213">
            <v>0</v>
          </cell>
          <cell r="AB213">
            <v>0</v>
          </cell>
          <cell r="AC213">
            <v>0</v>
          </cell>
          <cell r="AD213">
            <v>0</v>
          </cell>
          <cell r="AE213" t="str">
            <v>PE 82x900</v>
          </cell>
          <cell r="AF213">
            <v>0</v>
          </cell>
          <cell r="AG213">
            <v>8.3385000000000001E-2</v>
          </cell>
          <cell r="AH213">
            <v>1.3646666666666665</v>
          </cell>
          <cell r="AI213">
            <v>0</v>
          </cell>
          <cell r="AJ213">
            <v>9530</v>
          </cell>
          <cell r="AK213">
            <v>0</v>
          </cell>
          <cell r="AL213">
            <v>2.3E-3</v>
          </cell>
          <cell r="AM213" t="str">
            <v>túi ba biên hoặc cuộn 800m</v>
          </cell>
          <cell r="AN213">
            <v>310</v>
          </cell>
          <cell r="AO213" t="str">
            <v>Công ty Thái Bình</v>
          </cell>
          <cell r="AP213" t="str">
            <v>1902527-1</v>
          </cell>
          <cell r="AQ213" t="str">
            <v>19041070-2</v>
          </cell>
          <cell r="AR213" t="str">
            <v>1609558-3</v>
          </cell>
          <cell r="AS213" t="str">
            <v>1609558-4</v>
          </cell>
          <cell r="AT213" t="str">
            <v>1902526-5</v>
          </cell>
          <cell r="AU213" t="str">
            <v>1609559-6</v>
          </cell>
          <cell r="AV213" t="str">
            <v>1902526-7</v>
          </cell>
          <cell r="AW213" t="str">
            <v>21030918-8</v>
          </cell>
          <cell r="AX213">
            <v>0</v>
          </cell>
          <cell r="AY213" t="str">
            <v>620x1100</v>
          </cell>
          <cell r="AZ213" t="str">
            <v>I2</v>
          </cell>
          <cell r="BA213" t="str">
            <v>4000t/bao or 800m/cuộn</v>
          </cell>
          <cell r="BB213" t="str">
            <v>bao dứa or giấy carton K600</v>
          </cell>
          <cell r="BC213">
            <v>0</v>
          </cell>
          <cell r="BD213" t="str">
            <v>in chung  cây sp 648 (2,3,4;5,7)</v>
          </cell>
        </row>
        <row r="214">
          <cell r="A214" t="str">
            <v>sp 650</v>
          </cell>
          <cell r="B214" t="str">
            <v>Túi lúa mới Bắc thơm 7 nguyên chủng 1kg Thái Bình</v>
          </cell>
          <cell r="C214">
            <v>6.15</v>
          </cell>
          <cell r="D214">
            <v>2</v>
          </cell>
          <cell r="E214" t="str">
            <v>PET 12x900</v>
          </cell>
          <cell r="F214">
            <v>8</v>
          </cell>
          <cell r="G214" t="str">
            <v>PET</v>
          </cell>
          <cell r="H214">
            <v>0.22</v>
          </cell>
          <cell r="I214">
            <v>3.49</v>
          </cell>
          <cell r="J214">
            <v>0.08</v>
          </cell>
          <cell r="K214">
            <v>0.16</v>
          </cell>
          <cell r="L214">
            <v>1.19</v>
          </cell>
          <cell r="M214">
            <v>0.46</v>
          </cell>
          <cell r="N214">
            <v>0</v>
          </cell>
          <cell r="O214">
            <v>0.01</v>
          </cell>
          <cell r="P214">
            <v>0.1</v>
          </cell>
          <cell r="Q214">
            <v>0.03</v>
          </cell>
          <cell r="R214">
            <v>0</v>
          </cell>
          <cell r="S214">
            <v>0</v>
          </cell>
          <cell r="T214">
            <v>0.41</v>
          </cell>
          <cell r="U214">
            <v>0</v>
          </cell>
          <cell r="V214">
            <v>0</v>
          </cell>
          <cell r="W214">
            <v>0</v>
          </cell>
          <cell r="X214">
            <v>0</v>
          </cell>
          <cell r="Y214">
            <v>0</v>
          </cell>
          <cell r="Z214">
            <v>0</v>
          </cell>
          <cell r="AA214">
            <v>0</v>
          </cell>
          <cell r="AB214">
            <v>0</v>
          </cell>
          <cell r="AC214">
            <v>0</v>
          </cell>
          <cell r="AD214">
            <v>0</v>
          </cell>
          <cell r="AE214" t="str">
            <v>PE 82x900</v>
          </cell>
          <cell r="AF214">
            <v>0</v>
          </cell>
          <cell r="AG214">
            <v>8.3385000000000001E-2</v>
          </cell>
          <cell r="AH214">
            <v>1.3646666666666665</v>
          </cell>
          <cell r="AI214">
            <v>0</v>
          </cell>
          <cell r="AJ214">
            <v>9530</v>
          </cell>
          <cell r="AK214">
            <v>0</v>
          </cell>
          <cell r="AL214">
            <v>2.3E-3</v>
          </cell>
          <cell r="AM214" t="str">
            <v>túi ba biên hoặc cuộn 800m</v>
          </cell>
          <cell r="AN214">
            <v>310</v>
          </cell>
          <cell r="AO214" t="str">
            <v>Công ty Thái Bình</v>
          </cell>
          <cell r="AP214" t="str">
            <v>1609560-1</v>
          </cell>
          <cell r="AQ214" t="str">
            <v>19041070-2</v>
          </cell>
          <cell r="AR214" t="str">
            <v>1609558-3</v>
          </cell>
          <cell r="AS214" t="str">
            <v>1609558-4</v>
          </cell>
          <cell r="AT214" t="str">
            <v>1609560-5</v>
          </cell>
          <cell r="AU214" t="str">
            <v>1609560-6</v>
          </cell>
          <cell r="AV214" t="str">
            <v>1902529-7</v>
          </cell>
          <cell r="AW214" t="str">
            <v>21030918-8</v>
          </cell>
          <cell r="AX214">
            <v>0</v>
          </cell>
          <cell r="AY214" t="str">
            <v>620x1100</v>
          </cell>
          <cell r="AZ214" t="str">
            <v>I2</v>
          </cell>
          <cell r="BA214" t="str">
            <v>4000t/bao or 800m/cuộn</v>
          </cell>
          <cell r="BB214" t="str">
            <v>bao dứa or giấy carton K600</v>
          </cell>
          <cell r="BC214">
            <v>0</v>
          </cell>
          <cell r="BD214" t="str">
            <v>in chung sp 648 :(đs,xd,vàng )</v>
          </cell>
        </row>
        <row r="215">
          <cell r="A215" t="str">
            <v>sp 651</v>
          </cell>
          <cell r="B215" t="str">
            <v>Túi lúa mới hương thơm 1 nguyên chủng 1kg Thái Bình</v>
          </cell>
          <cell r="C215">
            <v>4.58</v>
          </cell>
          <cell r="D215">
            <v>2</v>
          </cell>
          <cell r="E215" t="str">
            <v>PET 12x900</v>
          </cell>
          <cell r="F215">
            <v>8</v>
          </cell>
          <cell r="G215" t="str">
            <v>PET</v>
          </cell>
          <cell r="H215">
            <v>0.14000000000000001</v>
          </cell>
          <cell r="I215">
            <v>2.7</v>
          </cell>
          <cell r="J215">
            <v>0.2</v>
          </cell>
          <cell r="K215">
            <v>0.14000000000000001</v>
          </cell>
          <cell r="L215">
            <v>0.3</v>
          </cell>
          <cell r="M215">
            <v>0.7</v>
          </cell>
          <cell r="N215">
            <v>0</v>
          </cell>
          <cell r="O215">
            <v>0.1</v>
          </cell>
          <cell r="P215">
            <v>0</v>
          </cell>
          <cell r="Q215">
            <v>0.1</v>
          </cell>
          <cell r="R215">
            <v>0</v>
          </cell>
          <cell r="S215">
            <v>0</v>
          </cell>
          <cell r="T215">
            <v>0.2</v>
          </cell>
          <cell r="U215">
            <v>0</v>
          </cell>
          <cell r="V215">
            <v>0</v>
          </cell>
          <cell r="W215">
            <v>0</v>
          </cell>
          <cell r="X215">
            <v>0</v>
          </cell>
          <cell r="Y215">
            <v>0</v>
          </cell>
          <cell r="Z215">
            <v>0</v>
          </cell>
          <cell r="AA215">
            <v>0</v>
          </cell>
          <cell r="AB215">
            <v>0</v>
          </cell>
          <cell r="AC215">
            <v>0</v>
          </cell>
          <cell r="AD215">
            <v>0</v>
          </cell>
          <cell r="AE215" t="str">
            <v>PE 82x900</v>
          </cell>
          <cell r="AF215">
            <v>0</v>
          </cell>
          <cell r="AG215">
            <v>8.3385000000000001E-2</v>
          </cell>
          <cell r="AH215">
            <v>1.3646666666666665</v>
          </cell>
          <cell r="AI215">
            <v>0</v>
          </cell>
          <cell r="AJ215">
            <v>9530</v>
          </cell>
          <cell r="AK215">
            <v>0</v>
          </cell>
          <cell r="AL215">
            <v>2.3E-3</v>
          </cell>
          <cell r="AM215" t="str">
            <v>túi ba biên hoặc cuộn 800m</v>
          </cell>
          <cell r="AN215">
            <v>310</v>
          </cell>
          <cell r="AO215" t="str">
            <v>Công ty Thái Bình</v>
          </cell>
          <cell r="AP215" t="str">
            <v>1902528-1</v>
          </cell>
          <cell r="AQ215" t="str">
            <v>19041070-2</v>
          </cell>
          <cell r="AR215" t="str">
            <v>1609558-3</v>
          </cell>
          <cell r="AS215" t="str">
            <v>1609558-4</v>
          </cell>
          <cell r="AT215" t="str">
            <v>1902526-5</v>
          </cell>
          <cell r="AU215" t="str">
            <v>1609561-6</v>
          </cell>
          <cell r="AV215" t="str">
            <v>1902526-7</v>
          </cell>
          <cell r="AW215" t="str">
            <v>21030918-8</v>
          </cell>
          <cell r="AX215">
            <v>0</v>
          </cell>
          <cell r="AY215" t="str">
            <v>620x1100</v>
          </cell>
          <cell r="AZ215" t="str">
            <v>I2</v>
          </cell>
          <cell r="BA215" t="str">
            <v>4000t/bao or 800m/cuộn</v>
          </cell>
          <cell r="BB215" t="str">
            <v>bao dứa or giấy carton K600</v>
          </cell>
          <cell r="BC215">
            <v>0</v>
          </cell>
          <cell r="BD215" t="str">
            <v xml:space="preserve">in chung với bộ sp 648: trừ  Đen+ Nâu </v>
          </cell>
        </row>
        <row r="216">
          <cell r="A216" t="str">
            <v>sp 652</v>
          </cell>
          <cell r="B216" t="str">
            <v>Túi lúa mới N97 nguyên chủng 1kg Thái Bình</v>
          </cell>
          <cell r="C216">
            <v>5.66</v>
          </cell>
          <cell r="D216">
            <v>2</v>
          </cell>
          <cell r="E216" t="str">
            <v>PET 12x900</v>
          </cell>
          <cell r="F216">
            <v>8</v>
          </cell>
          <cell r="G216" t="str">
            <v>PET</v>
          </cell>
          <cell r="H216">
            <v>0.12</v>
          </cell>
          <cell r="I216">
            <v>3.24</v>
          </cell>
          <cell r="J216">
            <v>7.0000000000000007E-2</v>
          </cell>
          <cell r="K216">
            <v>0.13</v>
          </cell>
          <cell r="L216">
            <v>0.59</v>
          </cell>
          <cell r="M216">
            <v>0.74</v>
          </cell>
          <cell r="N216">
            <v>0</v>
          </cell>
          <cell r="O216">
            <v>0.67</v>
          </cell>
          <cell r="P216">
            <v>0</v>
          </cell>
          <cell r="Q216">
            <v>0.09</v>
          </cell>
          <cell r="R216">
            <v>0</v>
          </cell>
          <cell r="S216">
            <v>0</v>
          </cell>
          <cell r="T216">
            <v>0.01</v>
          </cell>
          <cell r="U216">
            <v>0</v>
          </cell>
          <cell r="V216">
            <v>0</v>
          </cell>
          <cell r="W216">
            <v>0</v>
          </cell>
          <cell r="X216">
            <v>0</v>
          </cell>
          <cell r="Y216">
            <v>0</v>
          </cell>
          <cell r="Z216">
            <v>0</v>
          </cell>
          <cell r="AA216">
            <v>0</v>
          </cell>
          <cell r="AB216">
            <v>0</v>
          </cell>
          <cell r="AC216">
            <v>0</v>
          </cell>
          <cell r="AD216">
            <v>0</v>
          </cell>
          <cell r="AE216" t="str">
            <v>PE 82x900</v>
          </cell>
          <cell r="AF216">
            <v>0</v>
          </cell>
          <cell r="AG216">
            <v>8.3385000000000001E-2</v>
          </cell>
          <cell r="AH216">
            <v>1.3646666666666665</v>
          </cell>
          <cell r="AI216">
            <v>0</v>
          </cell>
          <cell r="AJ216">
            <v>9530</v>
          </cell>
          <cell r="AK216">
            <v>0</v>
          </cell>
          <cell r="AL216">
            <v>2.3E-3</v>
          </cell>
          <cell r="AM216" t="str">
            <v>túi ba biên hoặc cuộn 800m</v>
          </cell>
          <cell r="AN216">
            <v>310</v>
          </cell>
          <cell r="AO216" t="str">
            <v>Công ty Thái Bình</v>
          </cell>
          <cell r="AP216" t="str">
            <v>1902570-1</v>
          </cell>
          <cell r="AQ216" t="str">
            <v>19041070-2</v>
          </cell>
          <cell r="AR216" t="str">
            <v>1609558-3</v>
          </cell>
          <cell r="AS216" t="str">
            <v>1609558-4</v>
          </cell>
          <cell r="AT216" t="str">
            <v>1902526-5</v>
          </cell>
          <cell r="AU216" t="str">
            <v>1609562-6</v>
          </cell>
          <cell r="AV216" t="str">
            <v>1902526-7</v>
          </cell>
          <cell r="AW216" t="str">
            <v>21030918-8</v>
          </cell>
          <cell r="AX216">
            <v>0</v>
          </cell>
          <cell r="AY216" t="str">
            <v>620x1100</v>
          </cell>
          <cell r="AZ216" t="str">
            <v>I2</v>
          </cell>
          <cell r="BA216" t="str">
            <v>4000t/bao or 800m/cuộn</v>
          </cell>
          <cell r="BB216" t="str">
            <v>bao dứa or giấy carton K600</v>
          </cell>
          <cell r="BC216">
            <v>0</v>
          </cell>
          <cell r="BD216" t="str">
            <v>in chung 6 cây sp  648:</v>
          </cell>
        </row>
        <row r="217">
          <cell r="A217" t="str">
            <v>sp 661</v>
          </cell>
          <cell r="B217" t="str">
            <v>Cuộn bánh bao màu nâu barkey Phú Mỹ KT 270x130</v>
          </cell>
          <cell r="C217">
            <v>2.1</v>
          </cell>
          <cell r="D217">
            <v>2</v>
          </cell>
          <cell r="E217" t="str">
            <v>OPP 20x560</v>
          </cell>
          <cell r="F217">
            <v>2</v>
          </cell>
          <cell r="G217" t="str">
            <v>OPP</v>
          </cell>
          <cell r="H217">
            <v>0</v>
          </cell>
          <cell r="I217">
            <v>1.1000000000000001</v>
          </cell>
          <cell r="J217">
            <v>0</v>
          </cell>
          <cell r="K217">
            <v>0</v>
          </cell>
          <cell r="L217">
            <v>0</v>
          </cell>
          <cell r="M217">
            <v>0</v>
          </cell>
          <cell r="N217">
            <v>0</v>
          </cell>
          <cell r="O217">
            <v>0</v>
          </cell>
          <cell r="P217">
            <v>0.5</v>
          </cell>
          <cell r="Q217">
            <v>0</v>
          </cell>
          <cell r="R217">
            <v>0</v>
          </cell>
          <cell r="S217">
            <v>0</v>
          </cell>
          <cell r="T217">
            <v>0.5</v>
          </cell>
          <cell r="U217">
            <v>0</v>
          </cell>
          <cell r="V217">
            <v>0</v>
          </cell>
          <cell r="W217">
            <v>0</v>
          </cell>
          <cell r="X217">
            <v>0</v>
          </cell>
          <cell r="Y217">
            <v>0</v>
          </cell>
          <cell r="Z217">
            <v>0</v>
          </cell>
          <cell r="AA217">
            <v>0</v>
          </cell>
          <cell r="AB217">
            <v>0</v>
          </cell>
          <cell r="AC217">
            <v>0</v>
          </cell>
          <cell r="AD217">
            <v>0</v>
          </cell>
          <cell r="AE217" t="str">
            <v>CPP20x560</v>
          </cell>
          <cell r="AF217">
            <v>0</v>
          </cell>
          <cell r="AG217">
            <v>2.0384000000000003E-2</v>
          </cell>
          <cell r="AH217">
            <v>0.73333333333333339</v>
          </cell>
          <cell r="AI217">
            <v>0</v>
          </cell>
          <cell r="AJ217">
            <v>9530</v>
          </cell>
          <cell r="AK217">
            <v>0</v>
          </cell>
          <cell r="AL217">
            <v>2E-3</v>
          </cell>
          <cell r="AM217" t="str">
            <v>dạng cuộn 1000m</v>
          </cell>
          <cell r="AN217">
            <v>270</v>
          </cell>
          <cell r="AO217" t="str">
            <v>Công ty Phú Mỹ</v>
          </cell>
          <cell r="AP217" t="str">
            <v>16101152-1</v>
          </cell>
          <cell r="AQ217" t="str">
            <v>16101152-2</v>
          </cell>
          <cell r="AR217">
            <v>0</v>
          </cell>
          <cell r="AS217">
            <v>0</v>
          </cell>
          <cell r="AT217">
            <v>0</v>
          </cell>
          <cell r="AU217">
            <v>0</v>
          </cell>
          <cell r="AV217">
            <v>0</v>
          </cell>
          <cell r="AW217">
            <v>0</v>
          </cell>
          <cell r="AX217">
            <v>0</v>
          </cell>
          <cell r="AY217" t="str">
            <v>520x750</v>
          </cell>
          <cell r="AZ217" t="str">
            <v>V2</v>
          </cell>
          <cell r="BA217" t="str">
            <v>1c</v>
          </cell>
          <cell r="BB217" t="str">
            <v>giấy cartoon K400</v>
          </cell>
          <cell r="BC217">
            <v>0</v>
          </cell>
          <cell r="BD217">
            <v>0</v>
          </cell>
        </row>
        <row r="218">
          <cell r="A218" t="str">
            <v>sp 662</v>
          </cell>
          <cell r="B218" t="str">
            <v>Túi lúa mới bao chung NC 10kg Thái Bình</v>
          </cell>
          <cell r="C218">
            <v>2.8799999999999994</v>
          </cell>
          <cell r="D218">
            <v>1</v>
          </cell>
          <cell r="E218" t="str">
            <v>OPP 20x840</v>
          </cell>
          <cell r="F218">
            <v>7</v>
          </cell>
          <cell r="G218" t="str">
            <v>OPP</v>
          </cell>
          <cell r="H218">
            <v>0.05</v>
          </cell>
          <cell r="I218">
            <v>0.28999999999999998</v>
          </cell>
          <cell r="J218">
            <v>0.21</v>
          </cell>
          <cell r="K218">
            <v>0.13</v>
          </cell>
          <cell r="L218">
            <v>1.17</v>
          </cell>
          <cell r="M218">
            <v>0.43</v>
          </cell>
          <cell r="N218">
            <v>0</v>
          </cell>
          <cell r="O218">
            <v>0.51</v>
          </cell>
          <cell r="P218">
            <v>0.01</v>
          </cell>
          <cell r="Q218">
            <v>0.03</v>
          </cell>
          <cell r="R218">
            <v>0</v>
          </cell>
          <cell r="S218">
            <v>0</v>
          </cell>
          <cell r="T218">
            <v>0.05</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t="str">
            <v>dạng cuộn 6000m</v>
          </cell>
          <cell r="AN218">
            <v>420</v>
          </cell>
          <cell r="AO218" t="str">
            <v>Công ty Thái Bình</v>
          </cell>
          <cell r="AP218" t="str">
            <v>1803915-1</v>
          </cell>
          <cell r="AQ218" t="str">
            <v>16100638-2</v>
          </cell>
          <cell r="AR218" t="str">
            <v>1610638-3</v>
          </cell>
          <cell r="AS218" t="str">
            <v>1610638-4</v>
          </cell>
          <cell r="AT218" t="str">
            <v>19031105-5</v>
          </cell>
          <cell r="AU218" t="str">
            <v>1610638-6</v>
          </cell>
          <cell r="AV218" t="str">
            <v>19031031-7</v>
          </cell>
          <cell r="AW218">
            <v>0</v>
          </cell>
          <cell r="AX218">
            <v>0</v>
          </cell>
          <cell r="AY218" t="str">
            <v>670x1100</v>
          </cell>
          <cell r="AZ218" t="str">
            <v>J1</v>
          </cell>
          <cell r="BA218" t="str">
            <v>1c</v>
          </cell>
          <cell r="BB218" t="str">
            <v>giấy cartoon K600</v>
          </cell>
          <cell r="BC218">
            <v>0</v>
          </cell>
          <cell r="BD218" t="str">
            <v>cây nền chung sp 1022</v>
          </cell>
        </row>
        <row r="219">
          <cell r="A219" t="str">
            <v>sp 663</v>
          </cell>
          <cell r="B219" t="str">
            <v>Túi chè lụa màu xanh tân cương và đặc sản 100g loại 5</v>
          </cell>
          <cell r="C219">
            <v>6.48</v>
          </cell>
          <cell r="D219">
            <v>3</v>
          </cell>
          <cell r="E219" t="str">
            <v>OPP mờ 20x740</v>
          </cell>
          <cell r="F219">
            <v>7</v>
          </cell>
          <cell r="G219" t="str">
            <v>OPP</v>
          </cell>
          <cell r="H219">
            <v>0.03</v>
          </cell>
          <cell r="I219">
            <v>2.56</v>
          </cell>
          <cell r="J219">
            <v>0.39</v>
          </cell>
          <cell r="K219">
            <v>0</v>
          </cell>
          <cell r="L219">
            <v>1.9</v>
          </cell>
          <cell r="M219">
            <v>0.8</v>
          </cell>
          <cell r="N219">
            <v>0</v>
          </cell>
          <cell r="O219">
            <v>0.73</v>
          </cell>
          <cell r="P219">
            <v>0.03</v>
          </cell>
          <cell r="Q219">
            <v>0.03</v>
          </cell>
          <cell r="R219">
            <v>0</v>
          </cell>
          <cell r="S219">
            <v>0.01</v>
          </cell>
          <cell r="T219">
            <v>0</v>
          </cell>
          <cell r="U219" t="str">
            <v xml:space="preserve"> </v>
          </cell>
          <cell r="V219">
            <v>0</v>
          </cell>
          <cell r="W219">
            <v>0</v>
          </cell>
          <cell r="X219">
            <v>0</v>
          </cell>
          <cell r="Y219">
            <v>0</v>
          </cell>
          <cell r="Z219">
            <v>0</v>
          </cell>
          <cell r="AA219">
            <v>0</v>
          </cell>
          <cell r="AB219">
            <v>0</v>
          </cell>
          <cell r="AC219">
            <v>0</v>
          </cell>
          <cell r="AD219">
            <v>0</v>
          </cell>
          <cell r="AE219" t="str">
            <v>MPET 12x740</v>
          </cell>
          <cell r="AF219" t="str">
            <v>PE 70x740</v>
          </cell>
          <cell r="AG219">
            <v>7.3815000000000019E-2</v>
          </cell>
          <cell r="AH219">
            <v>1.2166666666666668</v>
          </cell>
          <cell r="AI219">
            <v>1.46</v>
          </cell>
          <cell r="AJ219">
            <v>9530</v>
          </cell>
          <cell r="AK219">
            <v>9530</v>
          </cell>
          <cell r="AL219" t="str">
            <v>0,0055(0,0025;0,003)</v>
          </cell>
          <cell r="AM219" t="str">
            <v>túi hàn lưng xếp hông</v>
          </cell>
          <cell r="AN219">
            <v>270</v>
          </cell>
          <cell r="AO219" t="str">
            <v>Khách hàng lẻ</v>
          </cell>
          <cell r="AP219" t="str">
            <v>1607495-1</v>
          </cell>
          <cell r="AQ219" t="str">
            <v>1812617-2</v>
          </cell>
          <cell r="AR219" t="str">
            <v>1607495-3</v>
          </cell>
          <cell r="AS219" t="str">
            <v>1607495-4</v>
          </cell>
          <cell r="AT219" t="str">
            <v>1607495-5</v>
          </cell>
          <cell r="AU219" t="str">
            <v>1607495-6</v>
          </cell>
          <cell r="AV219" t="str">
            <v>1607495-7</v>
          </cell>
          <cell r="AW219">
            <v>0</v>
          </cell>
          <cell r="AX219">
            <v>0</v>
          </cell>
          <cell r="AY219" t="str">
            <v>540x850</v>
          </cell>
          <cell r="AZ219" t="str">
            <v>F1</v>
          </cell>
          <cell r="BA219">
            <v>3500</v>
          </cell>
          <cell r="BB219" t="str">
            <v>Thùng 5 lớp 42x34x36</v>
          </cell>
          <cell r="BC219">
            <v>0</v>
          </cell>
          <cell r="BD219" t="str">
            <v>in chung sp 566+794</v>
          </cell>
        </row>
        <row r="220">
          <cell r="A220" t="str">
            <v>sp 664</v>
          </cell>
          <cell r="B220" t="str">
            <v>Túi ngô LVN10 cấp giống lai F1 1kg Thái Bình</v>
          </cell>
          <cell r="C220">
            <v>6.6999999999999993</v>
          </cell>
          <cell r="D220">
            <v>2</v>
          </cell>
          <cell r="E220" t="str">
            <v>PET 12x820</v>
          </cell>
          <cell r="F220">
            <v>7</v>
          </cell>
          <cell r="G220" t="str">
            <v>PET</v>
          </cell>
          <cell r="H220">
            <v>0.1</v>
          </cell>
          <cell r="I220">
            <v>2.7</v>
          </cell>
          <cell r="J220">
            <v>0.1</v>
          </cell>
          <cell r="K220">
            <v>0.1</v>
          </cell>
          <cell r="L220">
            <v>2.5</v>
          </cell>
          <cell r="M220">
            <v>0.8</v>
          </cell>
          <cell r="N220">
            <v>0</v>
          </cell>
          <cell r="O220">
            <v>0.1</v>
          </cell>
          <cell r="P220">
            <v>0.2</v>
          </cell>
          <cell r="Q220">
            <v>0</v>
          </cell>
          <cell r="R220">
            <v>0</v>
          </cell>
          <cell r="S220">
            <v>0</v>
          </cell>
          <cell r="T220">
            <v>0.1</v>
          </cell>
          <cell r="U220">
            <v>0</v>
          </cell>
          <cell r="V220">
            <v>0</v>
          </cell>
          <cell r="W220">
            <v>0</v>
          </cell>
          <cell r="X220">
            <v>0</v>
          </cell>
          <cell r="Y220">
            <v>0</v>
          </cell>
          <cell r="Z220">
            <v>0</v>
          </cell>
          <cell r="AA220">
            <v>0</v>
          </cell>
          <cell r="AB220">
            <v>0</v>
          </cell>
          <cell r="AC220">
            <v>0</v>
          </cell>
          <cell r="AD220">
            <v>0</v>
          </cell>
          <cell r="AE220" t="str">
            <v>MPET 12x820</v>
          </cell>
          <cell r="AF220" t="str">
            <v>PE 85x820</v>
          </cell>
          <cell r="AG220">
            <v>9.2024500000000009E-2</v>
          </cell>
          <cell r="AH220">
            <v>1.242</v>
          </cell>
          <cell r="AI220">
            <v>1.64</v>
          </cell>
          <cell r="AJ220">
            <v>9530</v>
          </cell>
          <cell r="AK220">
            <v>9530</v>
          </cell>
          <cell r="AL220" t="str">
            <v>0,0053(0,0023;0,003)</v>
          </cell>
          <cell r="AM220" t="str">
            <v>túi ba biên</v>
          </cell>
          <cell r="AN220">
            <v>285</v>
          </cell>
          <cell r="AO220" t="str">
            <v>Công ty Thái Bình</v>
          </cell>
          <cell r="AP220" t="str">
            <v>1903483-1</v>
          </cell>
          <cell r="AQ220" t="str">
            <v>1610846-2</v>
          </cell>
          <cell r="AR220" t="str">
            <v>1610846-3</v>
          </cell>
          <cell r="AS220" t="str">
            <v>1610846-4</v>
          </cell>
          <cell r="AT220" t="str">
            <v>1903483-5</v>
          </cell>
          <cell r="AU220" t="str">
            <v>1610846-6</v>
          </cell>
          <cell r="AV220" t="str">
            <v>1610846-7</v>
          </cell>
          <cell r="AW220" t="str">
            <v>1610846-5 củ</v>
          </cell>
          <cell r="AX220">
            <v>0</v>
          </cell>
          <cell r="AY220" t="str">
            <v>570x1100</v>
          </cell>
          <cell r="AZ220" t="str">
            <v>I2</v>
          </cell>
          <cell r="BA220">
            <v>3000</v>
          </cell>
          <cell r="BB220" t="str">
            <v>Thùng 5 lớp 42x34x36</v>
          </cell>
          <cell r="BC220">
            <v>0</v>
          </cell>
          <cell r="BD220">
            <v>0</v>
          </cell>
        </row>
        <row r="221">
          <cell r="A221" t="str">
            <v>sp 665</v>
          </cell>
          <cell r="B221" t="str">
            <v>Túi ngô LVN10 cấp giống lai F1 20kg Thái Bình</v>
          </cell>
          <cell r="C221">
            <v>3.24</v>
          </cell>
          <cell r="D221">
            <v>1</v>
          </cell>
          <cell r="E221" t="str">
            <v>OPP 20x520</v>
          </cell>
          <cell r="F221">
            <v>7</v>
          </cell>
          <cell r="G221" t="str">
            <v>OPP</v>
          </cell>
          <cell r="H221">
            <v>0.3</v>
          </cell>
          <cell r="I221">
            <v>0</v>
          </cell>
          <cell r="J221">
            <v>0.24</v>
          </cell>
          <cell r="K221">
            <v>0.36</v>
          </cell>
          <cell r="L221">
            <v>0.84</v>
          </cell>
          <cell r="M221">
            <v>0.5</v>
          </cell>
          <cell r="N221">
            <v>0</v>
          </cell>
          <cell r="O221">
            <v>0.5</v>
          </cell>
          <cell r="P221">
            <v>0</v>
          </cell>
          <cell r="Q221">
            <v>0</v>
          </cell>
          <cell r="R221">
            <v>0</v>
          </cell>
          <cell r="S221">
            <v>0</v>
          </cell>
          <cell r="T221">
            <v>0.5</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t="str">
            <v>dạng cuộn 4000m</v>
          </cell>
          <cell r="AN221">
            <v>520</v>
          </cell>
          <cell r="AO221" t="str">
            <v>Công ty Thái Bình</v>
          </cell>
          <cell r="AP221" t="str">
            <v>1903482-1</v>
          </cell>
          <cell r="AQ221" t="str">
            <v>1610847-2</v>
          </cell>
          <cell r="AR221" t="str">
            <v>1610847-3</v>
          </cell>
          <cell r="AS221" t="str">
            <v>1610847-4</v>
          </cell>
          <cell r="AT221" t="str">
            <v>1903482-5</v>
          </cell>
          <cell r="AU221" t="str">
            <v>1610847-6</v>
          </cell>
          <cell r="AV221" t="str">
            <v>1610847-7</v>
          </cell>
          <cell r="AW221">
            <v>0</v>
          </cell>
          <cell r="AX221">
            <v>0</v>
          </cell>
          <cell r="AY221" t="str">
            <v>770x750</v>
          </cell>
          <cell r="AZ221" t="str">
            <v>J1</v>
          </cell>
          <cell r="BA221" t="str">
            <v>1c</v>
          </cell>
          <cell r="BB221" t="str">
            <v>giấy cartoon</v>
          </cell>
          <cell r="BC221">
            <v>0</v>
          </cell>
          <cell r="BD221">
            <v>0</v>
          </cell>
        </row>
        <row r="222">
          <cell r="A222" t="str">
            <v>sp 666</v>
          </cell>
          <cell r="B222" t="str">
            <v>Túi chè HCK 200g Hùng An</v>
          </cell>
          <cell r="C222">
            <v>10.100000000000001</v>
          </cell>
          <cell r="D222">
            <v>2</v>
          </cell>
          <cell r="E222" t="str">
            <v>PET 12x620</v>
          </cell>
          <cell r="F222">
            <v>6</v>
          </cell>
          <cell r="G222" t="str">
            <v>PET</v>
          </cell>
          <cell r="H222">
            <v>1.7</v>
          </cell>
          <cell r="I222">
            <v>2.2999999999999998</v>
          </cell>
          <cell r="J222">
            <v>0.9</v>
          </cell>
          <cell r="K222">
            <v>0.5</v>
          </cell>
          <cell r="L222">
            <v>2</v>
          </cell>
          <cell r="M222">
            <v>0.5</v>
          </cell>
          <cell r="N222">
            <v>2.2000000000000002</v>
          </cell>
          <cell r="O222">
            <v>0</v>
          </cell>
          <cell r="P222" t="str">
            <v xml:space="preserve"> </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t="str">
            <v>MPET 12x620</v>
          </cell>
          <cell r="AF222" t="str">
            <v>PE 75x620</v>
          </cell>
          <cell r="AG222">
            <v>2.5133249999999999E-2</v>
          </cell>
          <cell r="AH222">
            <v>0.93533333333333324</v>
          </cell>
          <cell r="AI222">
            <v>1.22</v>
          </cell>
          <cell r="AJ222">
            <v>9530</v>
          </cell>
          <cell r="AK222">
            <v>9530</v>
          </cell>
          <cell r="AL222" t="str">
            <v>0,0053(0,0023;0,003)</v>
          </cell>
          <cell r="AM222" t="str">
            <v>túi hàn lưng xếp hông</v>
          </cell>
          <cell r="AN222">
            <v>340</v>
          </cell>
          <cell r="AO222" t="str">
            <v>Công ty chè Hùng An</v>
          </cell>
          <cell r="AP222" t="str">
            <v>20110088-1</v>
          </cell>
          <cell r="AQ222" t="str">
            <v>1807146-2</v>
          </cell>
          <cell r="AR222" t="str">
            <v>1610805-3</v>
          </cell>
          <cell r="AS222" t="str">
            <v>1610805-4</v>
          </cell>
          <cell r="AT222" t="str">
            <v>20110088-5</v>
          </cell>
          <cell r="AU222" t="str">
            <v>20110088-6</v>
          </cell>
          <cell r="AV222">
            <v>0</v>
          </cell>
          <cell r="AW222">
            <v>0</v>
          </cell>
          <cell r="AX222">
            <v>0</v>
          </cell>
          <cell r="AY222" t="str">
            <v>680x750</v>
          </cell>
          <cell r="AZ222" t="str">
            <v>O1</v>
          </cell>
          <cell r="BA222">
            <v>5000</v>
          </cell>
          <cell r="BB222" t="str">
            <v>Thùng 5 lớp 42x34x36</v>
          </cell>
          <cell r="BC222">
            <v>0</v>
          </cell>
          <cell r="BD222">
            <v>0</v>
          </cell>
        </row>
        <row r="223">
          <cell r="A223" t="str">
            <v>sp 667</v>
          </cell>
          <cell r="B223" t="str">
            <v>Túi chè HCK 500g Hùng An</v>
          </cell>
          <cell r="C223">
            <v>5.1100000000000003</v>
          </cell>
          <cell r="D223">
            <v>2</v>
          </cell>
          <cell r="E223" t="str">
            <v>OPP mờ 20x760</v>
          </cell>
          <cell r="F223">
            <v>5</v>
          </cell>
          <cell r="G223" t="str">
            <v>OPP</v>
          </cell>
          <cell r="H223">
            <v>0.2</v>
          </cell>
          <cell r="I223">
            <v>2.2999999999999998</v>
          </cell>
          <cell r="J223">
            <v>0.1</v>
          </cell>
          <cell r="K223">
            <v>0.2</v>
          </cell>
          <cell r="L223">
            <v>1.81</v>
          </cell>
          <cell r="M223">
            <v>0.5</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t="str">
            <v>MPET 12x760</v>
          </cell>
          <cell r="AF223" t="str">
            <v>PE75x760</v>
          </cell>
          <cell r="AG223">
            <v>7.9325000000000007E-2</v>
          </cell>
          <cell r="AH223">
            <v>1.1499999999999999</v>
          </cell>
          <cell r="AI223">
            <v>1.5</v>
          </cell>
          <cell r="AJ223">
            <v>9530</v>
          </cell>
          <cell r="AK223">
            <v>9530</v>
          </cell>
          <cell r="AL223" t="str">
            <v>0,0053(0,0023;0,003)</v>
          </cell>
          <cell r="AM223" t="str">
            <v>túi hàn lưng xếp hông</v>
          </cell>
          <cell r="AN223">
            <v>420</v>
          </cell>
          <cell r="AO223" t="str">
            <v>Công ty chè Hùng An</v>
          </cell>
          <cell r="AP223" t="str">
            <v>1610804-1</v>
          </cell>
          <cell r="AQ223" t="str">
            <v>1610804-2</v>
          </cell>
          <cell r="AR223" t="str">
            <v>1610804-3</v>
          </cell>
          <cell r="AS223" t="str">
            <v>1610804-4</v>
          </cell>
          <cell r="AT223" t="str">
            <v>1610804-5</v>
          </cell>
          <cell r="AU223">
            <v>0</v>
          </cell>
          <cell r="AV223">
            <v>0</v>
          </cell>
          <cell r="AW223">
            <v>0</v>
          </cell>
          <cell r="AX223">
            <v>0</v>
          </cell>
          <cell r="AY223" t="str">
            <v>420x850</v>
          </cell>
          <cell r="AZ223" t="str">
            <v>O1</v>
          </cell>
          <cell r="BA223">
            <v>1500</v>
          </cell>
          <cell r="BB223" t="str">
            <v>Thùng 5 lớp 42x34x36</v>
          </cell>
          <cell r="BC223">
            <v>0</v>
          </cell>
          <cell r="BD223">
            <v>0</v>
          </cell>
        </row>
        <row r="224">
          <cell r="A224" t="str">
            <v>sp 668</v>
          </cell>
          <cell r="B224" t="str">
            <v>Túi chè thường 200g Hùng An</v>
          </cell>
          <cell r="C224">
            <v>5.0999999999999996</v>
          </cell>
          <cell r="D224">
            <v>2</v>
          </cell>
          <cell r="E224" t="str">
            <v>OPP 20x740</v>
          </cell>
          <cell r="F224">
            <v>5</v>
          </cell>
          <cell r="G224" t="str">
            <v>OPP</v>
          </cell>
          <cell r="H224">
            <v>0.7</v>
          </cell>
          <cell r="I224">
            <v>2.5</v>
          </cell>
          <cell r="J224">
            <v>0.3</v>
          </cell>
          <cell r="K224">
            <v>0.1</v>
          </cell>
          <cell r="L224">
            <v>0.5</v>
          </cell>
          <cell r="M224">
            <v>1</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t="str">
            <v>PE 60x740</v>
          </cell>
          <cell r="AF224">
            <v>0</v>
          </cell>
          <cell r="AG224">
            <v>5.4538000000000003E-2</v>
          </cell>
          <cell r="AH224">
            <v>0.97333333333333327</v>
          </cell>
          <cell r="AI224">
            <v>0</v>
          </cell>
          <cell r="AJ224">
            <v>9530</v>
          </cell>
          <cell r="AK224">
            <v>0</v>
          </cell>
          <cell r="AL224">
            <v>2E-3</v>
          </cell>
          <cell r="AM224" t="str">
            <v>túi hàn lưng xếp hông</v>
          </cell>
          <cell r="AN224">
            <v>250</v>
          </cell>
          <cell r="AO224" t="str">
            <v>Công ty chè Hùng An</v>
          </cell>
          <cell r="AP224" t="str">
            <v>1610806-1</v>
          </cell>
          <cell r="AQ224" t="str">
            <v>1610806-2</v>
          </cell>
          <cell r="AR224" t="str">
            <v>1610806-3</v>
          </cell>
          <cell r="AS224" t="str">
            <v>1610806-4</v>
          </cell>
          <cell r="AT224" t="str">
            <v>1610806-5</v>
          </cell>
          <cell r="AU224">
            <v>0</v>
          </cell>
          <cell r="AV224">
            <v>0</v>
          </cell>
          <cell r="AW224">
            <v>0</v>
          </cell>
          <cell r="AX224">
            <v>0</v>
          </cell>
          <cell r="AY224" t="str">
            <v>500x850</v>
          </cell>
          <cell r="AZ224" t="str">
            <v>O1</v>
          </cell>
          <cell r="BA224">
            <v>2500</v>
          </cell>
          <cell r="BB224" t="str">
            <v>Thùng 5 lớp 42x34x36</v>
          </cell>
          <cell r="BC224">
            <v>0</v>
          </cell>
          <cell r="BD224">
            <v>0</v>
          </cell>
        </row>
        <row r="225">
          <cell r="A225" t="str">
            <v>sp 673</v>
          </cell>
          <cell r="B225" t="str">
            <v>Cuộn lúa GS55 1kg Đại Thành</v>
          </cell>
          <cell r="C225">
            <v>5.75</v>
          </cell>
          <cell r="D225">
            <v>1</v>
          </cell>
          <cell r="E225" t="str">
            <v>OPP 20x460</v>
          </cell>
          <cell r="F225">
            <v>7</v>
          </cell>
          <cell r="G225" t="str">
            <v>OPP</v>
          </cell>
          <cell r="H225">
            <v>0.11</v>
          </cell>
          <cell r="I225">
            <v>3.77</v>
          </cell>
          <cell r="J225">
            <v>0.05</v>
          </cell>
          <cell r="K225">
            <v>0.22</v>
          </cell>
          <cell r="L225">
            <v>0.19</v>
          </cell>
          <cell r="M225">
            <v>0.71</v>
          </cell>
          <cell r="N225">
            <v>0</v>
          </cell>
          <cell r="O225">
            <v>0</v>
          </cell>
          <cell r="P225">
            <v>0.33</v>
          </cell>
          <cell r="Q225">
            <v>0.27</v>
          </cell>
          <cell r="R225">
            <v>0.1</v>
          </cell>
          <cell r="S225">
            <v>0</v>
          </cell>
          <cell r="T225">
            <v>0</v>
          </cell>
          <cell r="U225">
            <v>0</v>
          </cell>
          <cell r="V225">
            <v>0</v>
          </cell>
          <cell r="W225">
            <v>0</v>
          </cell>
          <cell r="X225">
            <v>0</v>
          </cell>
          <cell r="Y225">
            <v>0</v>
          </cell>
          <cell r="Z225">
            <v>0</v>
          </cell>
          <cell r="AA225">
            <v>0</v>
          </cell>
          <cell r="AB225">
            <v>0</v>
          </cell>
          <cell r="AC225">
            <v>0</v>
          </cell>
          <cell r="AD225">
            <v>0</v>
          </cell>
          <cell r="AE225" t="str">
            <v>PE 70x460</v>
          </cell>
          <cell r="AF225">
            <v>0</v>
          </cell>
          <cell r="AG225">
            <v>3.815700000000001E-2</v>
          </cell>
          <cell r="AH225">
            <v>0.69</v>
          </cell>
          <cell r="AI225">
            <v>0</v>
          </cell>
          <cell r="AJ225">
            <v>9530</v>
          </cell>
          <cell r="AK225">
            <v>0</v>
          </cell>
          <cell r="AL225">
            <v>2.3E-3</v>
          </cell>
          <cell r="AM225" t="str">
            <v>dạng cuộn 500m</v>
          </cell>
          <cell r="AN225">
            <v>440</v>
          </cell>
          <cell r="AO225" t="str">
            <v>Công ty Đại Thành</v>
          </cell>
          <cell r="AP225" t="str">
            <v>F115552G1-1</v>
          </cell>
          <cell r="AQ225" t="str">
            <v>F115552-2</v>
          </cell>
          <cell r="AR225" t="str">
            <v>F115552-3</v>
          </cell>
          <cell r="AS225" t="str">
            <v>F115552-4</v>
          </cell>
          <cell r="AT225" t="str">
            <v>F115552-5</v>
          </cell>
          <cell r="AU225" t="str">
            <v>F115552-6</v>
          </cell>
          <cell r="AV225" t="str">
            <v>F115552-7</v>
          </cell>
          <cell r="AW225">
            <v>0</v>
          </cell>
          <cell r="AX225">
            <v>0</v>
          </cell>
          <cell r="AY225" t="str">
            <v>750x610</v>
          </cell>
          <cell r="AZ225" t="str">
            <v>O1</v>
          </cell>
          <cell r="BA225" t="str">
            <v>1c</v>
          </cell>
          <cell r="BB225" t="str">
            <v>giấy cartoon K600</v>
          </cell>
          <cell r="BC225">
            <v>0</v>
          </cell>
          <cell r="BD225">
            <v>0</v>
          </cell>
        </row>
        <row r="226">
          <cell r="A226" t="str">
            <v>sp 674</v>
          </cell>
          <cell r="B226" t="str">
            <v>Túi chè hạnh phúc, phúc lộc thọ, đặc sản 10g</v>
          </cell>
          <cell r="C226">
            <v>6.2</v>
          </cell>
          <cell r="D226">
            <v>4</v>
          </cell>
          <cell r="E226" t="str">
            <v>PET 12x700</v>
          </cell>
          <cell r="F226">
            <v>8</v>
          </cell>
          <cell r="G226" t="str">
            <v>PET</v>
          </cell>
          <cell r="H226">
            <v>0.1</v>
          </cell>
          <cell r="I226">
            <v>2.1</v>
          </cell>
          <cell r="J226">
            <v>0.1</v>
          </cell>
          <cell r="K226">
            <v>0.1</v>
          </cell>
          <cell r="L226">
            <v>3</v>
          </cell>
          <cell r="M226">
            <v>0</v>
          </cell>
          <cell r="N226">
            <v>0</v>
          </cell>
          <cell r="O226">
            <v>0</v>
          </cell>
          <cell r="P226">
            <v>0.6</v>
          </cell>
          <cell r="Q226">
            <v>0</v>
          </cell>
          <cell r="R226">
            <v>0</v>
          </cell>
          <cell r="S226">
            <v>0.2</v>
          </cell>
          <cell r="T226">
            <v>0</v>
          </cell>
          <cell r="U226">
            <v>0</v>
          </cell>
          <cell r="V226">
            <v>0</v>
          </cell>
          <cell r="W226">
            <v>0</v>
          </cell>
          <cell r="X226">
            <v>0</v>
          </cell>
          <cell r="Y226">
            <v>0</v>
          </cell>
          <cell r="Z226">
            <v>0</v>
          </cell>
          <cell r="AA226">
            <v>0</v>
          </cell>
          <cell r="AB226">
            <v>0</v>
          </cell>
          <cell r="AC226">
            <v>0</v>
          </cell>
          <cell r="AD226">
            <v>0</v>
          </cell>
          <cell r="AE226" t="str">
            <v>MPET 12x700</v>
          </cell>
          <cell r="AF226" t="str">
            <v>PE 30x700</v>
          </cell>
          <cell r="AG226">
            <v>4.2944999999999997E-2</v>
          </cell>
          <cell r="AH226">
            <v>1.012</v>
          </cell>
          <cell r="AI226">
            <v>1.012</v>
          </cell>
          <cell r="AJ226">
            <v>9530</v>
          </cell>
          <cell r="AK226">
            <v>9530</v>
          </cell>
          <cell r="AL226" t="str">
            <v>0,0044(0,0022;0,0022)</v>
          </cell>
          <cell r="AM226" t="str">
            <v>túi hàn lưng xếp hông</v>
          </cell>
          <cell r="AN226">
            <v>115</v>
          </cell>
          <cell r="AO226" t="str">
            <v>Khách hàng lẻ</v>
          </cell>
          <cell r="AP226" t="str">
            <v>1611038-1</v>
          </cell>
          <cell r="AQ226" t="str">
            <v>1611038-2</v>
          </cell>
          <cell r="AR226" t="str">
            <v>1611038-3</v>
          </cell>
          <cell r="AS226" t="str">
            <v>1611038-4</v>
          </cell>
          <cell r="AT226" t="str">
            <v>1611038-5</v>
          </cell>
          <cell r="AU226" t="str">
            <v>1611038-6</v>
          </cell>
          <cell r="AV226" t="str">
            <v>1611038-7</v>
          </cell>
          <cell r="AW226">
            <v>0</v>
          </cell>
          <cell r="AX226">
            <v>0</v>
          </cell>
          <cell r="AY226" t="str">
            <v>460x750</v>
          </cell>
          <cell r="AZ226" t="str">
            <v>F2</v>
          </cell>
          <cell r="BA226">
            <v>24000</v>
          </cell>
          <cell r="BB226" t="str">
            <v>Thùng 5 lớp 42x34x36</v>
          </cell>
          <cell r="BC226">
            <v>0</v>
          </cell>
          <cell r="BD226">
            <v>0</v>
          </cell>
        </row>
        <row r="227">
          <cell r="A227" t="str">
            <v>sp 675</v>
          </cell>
          <cell r="B227" t="str">
            <v>Túi trà chúc mừng năm mới 100g</v>
          </cell>
          <cell r="C227">
            <v>4.5999999999999996</v>
          </cell>
          <cell r="D227">
            <v>3</v>
          </cell>
          <cell r="E227" t="str">
            <v>PET 12x740</v>
          </cell>
          <cell r="F227">
            <v>7</v>
          </cell>
          <cell r="G227" t="str">
            <v>PET</v>
          </cell>
          <cell r="H227">
            <v>0.1</v>
          </cell>
          <cell r="I227">
            <v>1.2</v>
          </cell>
          <cell r="J227">
            <v>0.2</v>
          </cell>
          <cell r="K227">
            <v>0.2</v>
          </cell>
          <cell r="L227">
            <v>1.5</v>
          </cell>
          <cell r="M227">
            <v>0</v>
          </cell>
          <cell r="N227">
            <v>0</v>
          </cell>
          <cell r="O227">
            <v>0</v>
          </cell>
          <cell r="P227">
            <v>0.4</v>
          </cell>
          <cell r="Q227">
            <v>0</v>
          </cell>
          <cell r="R227">
            <v>0</v>
          </cell>
          <cell r="S227">
            <v>0</v>
          </cell>
          <cell r="T227">
            <v>0</v>
          </cell>
          <cell r="U227">
            <v>1</v>
          </cell>
          <cell r="V227">
            <v>0</v>
          </cell>
          <cell r="W227">
            <v>0</v>
          </cell>
          <cell r="X227">
            <v>0</v>
          </cell>
          <cell r="Y227">
            <v>0</v>
          </cell>
          <cell r="Z227">
            <v>0</v>
          </cell>
          <cell r="AA227">
            <v>0</v>
          </cell>
          <cell r="AB227">
            <v>0</v>
          </cell>
          <cell r="AC227">
            <v>0</v>
          </cell>
          <cell r="AD227">
            <v>0</v>
          </cell>
          <cell r="AE227" t="str">
            <v>MPET 12x740</v>
          </cell>
          <cell r="AF227" t="str">
            <v>PE 75x740</v>
          </cell>
          <cell r="AG227">
            <v>7.6201500000000005E-2</v>
          </cell>
          <cell r="AH227">
            <v>1.1193333333333333</v>
          </cell>
          <cell r="AI227">
            <v>1.46</v>
          </cell>
          <cell r="AJ227">
            <v>9530</v>
          </cell>
          <cell r="AK227">
            <v>9530</v>
          </cell>
          <cell r="AL227" t="str">
            <v>0,0053(0,0023;0,003)</v>
          </cell>
          <cell r="AM227" t="str">
            <v>túi hàn lưng xếp hông</v>
          </cell>
          <cell r="AN227">
            <v>270</v>
          </cell>
          <cell r="AO227" t="str">
            <v>Khách hàng lẻ</v>
          </cell>
          <cell r="AP227" t="str">
            <v>16101031-1</v>
          </cell>
          <cell r="AQ227" t="str">
            <v>16101031-2</v>
          </cell>
          <cell r="AR227" t="str">
            <v>16101031-3</v>
          </cell>
          <cell r="AS227" t="str">
            <v>16101031-4</v>
          </cell>
          <cell r="AT227" t="str">
            <v>16101031-5</v>
          </cell>
          <cell r="AU227" t="str">
            <v>16101031-6</v>
          </cell>
          <cell r="AV227" t="str">
            <v>16101031-7</v>
          </cell>
          <cell r="AW227">
            <v>0</v>
          </cell>
          <cell r="AX227">
            <v>0</v>
          </cell>
          <cell r="AY227" t="str">
            <v>540x850</v>
          </cell>
          <cell r="AZ227" t="str">
            <v>F2</v>
          </cell>
          <cell r="BA227">
            <v>3500</v>
          </cell>
          <cell r="BB227" t="str">
            <v>Thùng 5 lớp 42x34x36</v>
          </cell>
          <cell r="BC227">
            <v>0</v>
          </cell>
          <cell r="BD227">
            <v>0</v>
          </cell>
        </row>
        <row r="228">
          <cell r="A228" t="str">
            <v>sp 676</v>
          </cell>
          <cell r="B228" t="str">
            <v>Túi trà đồi núi 100g</v>
          </cell>
          <cell r="C228">
            <v>6.6000000000000005</v>
          </cell>
          <cell r="D228">
            <v>3</v>
          </cell>
          <cell r="E228" t="str">
            <v>PET 12x740</v>
          </cell>
          <cell r="F228">
            <v>7</v>
          </cell>
          <cell r="G228" t="str">
            <v>PET</v>
          </cell>
          <cell r="H228">
            <v>0.2</v>
          </cell>
          <cell r="I228">
            <v>1.5</v>
          </cell>
          <cell r="J228">
            <v>1.2</v>
          </cell>
          <cell r="K228">
            <v>0.2</v>
          </cell>
          <cell r="L228">
            <v>2.7</v>
          </cell>
          <cell r="M228">
            <v>0.7</v>
          </cell>
          <cell r="N228">
            <v>0</v>
          </cell>
          <cell r="O228">
            <v>0</v>
          </cell>
          <cell r="P228">
            <v>0</v>
          </cell>
          <cell r="Q228">
            <v>0</v>
          </cell>
          <cell r="R228">
            <v>0</v>
          </cell>
          <cell r="S228">
            <v>0.1</v>
          </cell>
          <cell r="T228">
            <v>0</v>
          </cell>
          <cell r="U228">
            <v>0</v>
          </cell>
          <cell r="V228">
            <v>0</v>
          </cell>
          <cell r="W228">
            <v>0</v>
          </cell>
          <cell r="X228">
            <v>0</v>
          </cell>
          <cell r="Y228">
            <v>0</v>
          </cell>
          <cell r="Z228">
            <v>0</v>
          </cell>
          <cell r="AA228">
            <v>0</v>
          </cell>
          <cell r="AB228">
            <v>0</v>
          </cell>
          <cell r="AC228">
            <v>0</v>
          </cell>
          <cell r="AD228">
            <v>0</v>
          </cell>
          <cell r="AE228" t="str">
            <v>MPET 12x740</v>
          </cell>
          <cell r="AF228" t="str">
            <v>PE 75x740</v>
          </cell>
          <cell r="AG228">
            <v>7.6201500000000005E-2</v>
          </cell>
          <cell r="AH228">
            <v>1.1193333333333333</v>
          </cell>
          <cell r="AI228">
            <v>1.46</v>
          </cell>
          <cell r="AJ228">
            <v>9530</v>
          </cell>
          <cell r="AK228">
            <v>9530</v>
          </cell>
          <cell r="AL228" t="str">
            <v>0,0053(0,0023;0,003)</v>
          </cell>
          <cell r="AM228" t="str">
            <v>túi hàn lưng xếp hông</v>
          </cell>
          <cell r="AN228">
            <v>270</v>
          </cell>
          <cell r="AO228" t="str">
            <v>Khách hàng lẻ</v>
          </cell>
          <cell r="AP228" t="e">
            <v>#N/A</v>
          </cell>
          <cell r="AQ228" t="e">
            <v>#N/A</v>
          </cell>
          <cell r="AR228" t="e">
            <v>#N/A</v>
          </cell>
          <cell r="AS228" t="e">
            <v>#N/A</v>
          </cell>
          <cell r="AT228" t="e">
            <v>#N/A</v>
          </cell>
          <cell r="AU228" t="e">
            <v>#N/A</v>
          </cell>
          <cell r="AV228" t="e">
            <v>#N/A</v>
          </cell>
          <cell r="AW228" t="e">
            <v>#N/A</v>
          </cell>
          <cell r="AX228" t="e">
            <v>#N/A</v>
          </cell>
          <cell r="AY228" t="e">
            <v>#N/A</v>
          </cell>
          <cell r="AZ228" t="e">
            <v>#N/A</v>
          </cell>
          <cell r="BA228">
            <v>3500</v>
          </cell>
          <cell r="BB228" t="str">
            <v>Thùng 5 lớp 42x34x36</v>
          </cell>
          <cell r="BC228">
            <v>0</v>
          </cell>
          <cell r="BD228" t="e">
            <v>#N/A</v>
          </cell>
        </row>
        <row r="229">
          <cell r="A229" t="str">
            <v>sp 678</v>
          </cell>
          <cell r="B229" t="str">
            <v>Túi thuốc trị nấm fovathane 80WP loại 90g Việt Thắng</v>
          </cell>
          <cell r="C229">
            <v>1.9</v>
          </cell>
          <cell r="D229">
            <v>2</v>
          </cell>
          <cell r="E229" t="str">
            <v>PET 12x640</v>
          </cell>
          <cell r="F229">
            <v>6</v>
          </cell>
          <cell r="G229" t="str">
            <v>PET</v>
          </cell>
          <cell r="H229">
            <v>0.1</v>
          </cell>
          <cell r="I229">
            <v>0.4</v>
          </cell>
          <cell r="J229">
            <v>0.1</v>
          </cell>
          <cell r="K229">
            <v>0.1</v>
          </cell>
          <cell r="L229">
            <v>0.2</v>
          </cell>
          <cell r="M229">
            <v>0.9</v>
          </cell>
          <cell r="N229">
            <v>0</v>
          </cell>
          <cell r="O229">
            <v>0</v>
          </cell>
          <cell r="P229">
            <v>0</v>
          </cell>
          <cell r="Q229">
            <v>0</v>
          </cell>
          <cell r="R229">
            <v>0.1</v>
          </cell>
          <cell r="S229">
            <v>0</v>
          </cell>
          <cell r="T229">
            <v>0</v>
          </cell>
          <cell r="U229">
            <v>0</v>
          </cell>
          <cell r="V229">
            <v>0</v>
          </cell>
          <cell r="W229">
            <v>0</v>
          </cell>
          <cell r="X229">
            <v>0</v>
          </cell>
          <cell r="Y229">
            <v>0</v>
          </cell>
          <cell r="Z229">
            <v>0</v>
          </cell>
          <cell r="AA229">
            <v>0</v>
          </cell>
          <cell r="AB229">
            <v>0</v>
          </cell>
          <cell r="AC229">
            <v>0</v>
          </cell>
          <cell r="AD229">
            <v>0</v>
          </cell>
          <cell r="AE229" t="str">
            <v>Al 6x640</v>
          </cell>
          <cell r="AF229" t="str">
            <v>PE 95x650</v>
          </cell>
          <cell r="AG229">
            <v>7.7398400000000006E-2</v>
          </cell>
          <cell r="AH229">
            <v>0.96599999999999997</v>
          </cell>
          <cell r="AI229">
            <v>0.96599999999999997</v>
          </cell>
          <cell r="AJ229">
            <v>9530</v>
          </cell>
          <cell r="AK229">
            <v>9530</v>
          </cell>
          <cell r="AL229" t="str">
            <v>0,0046(0,0023;0,0023)</v>
          </cell>
          <cell r="AM229" t="str">
            <v>túi ba biên</v>
          </cell>
          <cell r="AN229">
            <v>210</v>
          </cell>
          <cell r="AO229" t="str">
            <v>Công ty Việt Thắng</v>
          </cell>
          <cell r="AP229" t="str">
            <v>F115666G2-1</v>
          </cell>
          <cell r="AQ229" t="str">
            <v>F115666-2</v>
          </cell>
          <cell r="AR229" t="str">
            <v>F115666-3</v>
          </cell>
          <cell r="AS229" t="str">
            <v>F115666-4</v>
          </cell>
          <cell r="AT229" t="str">
            <v>F115666-5</v>
          </cell>
          <cell r="AU229" t="str">
            <v>F115666-6</v>
          </cell>
          <cell r="AV229">
            <v>0</v>
          </cell>
          <cell r="AW229">
            <v>0</v>
          </cell>
          <cell r="AX229">
            <v>0</v>
          </cell>
          <cell r="AY229" t="str">
            <v>420x750</v>
          </cell>
          <cell r="AZ229" t="str">
            <v>D2</v>
          </cell>
          <cell r="BA229">
            <v>0</v>
          </cell>
          <cell r="BB229" t="str">
            <v>Thùng 5 lớp 42x34x36</v>
          </cell>
          <cell r="BC229">
            <v>0</v>
          </cell>
          <cell r="BD229">
            <v>0</v>
          </cell>
        </row>
        <row r="230">
          <cell r="A230" t="str">
            <v>sp 679</v>
          </cell>
          <cell r="B230" t="str">
            <v>Túi thuốc trị nấm fovanthane 80WP loại 450g Việt Thắng</v>
          </cell>
          <cell r="C230">
            <v>2.8000000000000003</v>
          </cell>
          <cell r="D230">
            <v>1</v>
          </cell>
          <cell r="E230" t="str">
            <v>PET 12x620</v>
          </cell>
          <cell r="F230">
            <v>6</v>
          </cell>
          <cell r="G230" t="str">
            <v>PET</v>
          </cell>
          <cell r="H230">
            <v>0.1</v>
          </cell>
          <cell r="I230">
            <v>0.7</v>
          </cell>
          <cell r="J230">
            <v>0.2</v>
          </cell>
          <cell r="K230">
            <v>0.1</v>
          </cell>
          <cell r="L230">
            <v>0.3</v>
          </cell>
          <cell r="M230">
            <v>1.3</v>
          </cell>
          <cell r="N230">
            <v>0</v>
          </cell>
          <cell r="O230">
            <v>0</v>
          </cell>
          <cell r="P230">
            <v>0</v>
          </cell>
          <cell r="Q230">
            <v>0</v>
          </cell>
          <cell r="R230">
            <v>0.1</v>
          </cell>
          <cell r="S230">
            <v>0</v>
          </cell>
          <cell r="T230">
            <v>0</v>
          </cell>
          <cell r="U230">
            <v>0</v>
          </cell>
          <cell r="V230">
            <v>0</v>
          </cell>
          <cell r="W230">
            <v>0</v>
          </cell>
          <cell r="X230">
            <v>0</v>
          </cell>
          <cell r="Y230">
            <v>0</v>
          </cell>
          <cell r="Z230">
            <v>0</v>
          </cell>
          <cell r="AA230">
            <v>0</v>
          </cell>
          <cell r="AB230">
            <v>0</v>
          </cell>
          <cell r="AC230">
            <v>0</v>
          </cell>
          <cell r="AD230">
            <v>0</v>
          </cell>
          <cell r="AE230" t="str">
            <v>Al 6x620</v>
          </cell>
          <cell r="AF230" t="str">
            <v>PE 95x630</v>
          </cell>
          <cell r="AG230">
            <v>7.497970000000001E-2</v>
          </cell>
          <cell r="AH230">
            <v>0.93533333333333324</v>
          </cell>
          <cell r="AI230">
            <v>0.93533333333333324</v>
          </cell>
          <cell r="AJ230">
            <v>9530</v>
          </cell>
          <cell r="AK230">
            <v>9530</v>
          </cell>
          <cell r="AL230" t="str">
            <v>0,0046(0,0023;0,0023)</v>
          </cell>
          <cell r="AM230" t="str">
            <v>túi ba biên</v>
          </cell>
          <cell r="AN230">
            <v>210</v>
          </cell>
          <cell r="AO230" t="str">
            <v>Công ty Việt Thắng</v>
          </cell>
          <cell r="AP230" t="str">
            <v>F115667-1</v>
          </cell>
          <cell r="AQ230" t="str">
            <v>F115667-2</v>
          </cell>
          <cell r="AR230" t="str">
            <v>F115667-3</v>
          </cell>
          <cell r="AS230" t="str">
            <v>F115667-4</v>
          </cell>
          <cell r="AT230" t="str">
            <v>F115667-5</v>
          </cell>
          <cell r="AU230" t="str">
            <v>F115667-6</v>
          </cell>
          <cell r="AV230">
            <v>0</v>
          </cell>
          <cell r="AW230">
            <v>0</v>
          </cell>
          <cell r="AX230">
            <v>0</v>
          </cell>
          <cell r="AY230" t="str">
            <v>420x750</v>
          </cell>
          <cell r="AZ230" t="str">
            <v>D2</v>
          </cell>
          <cell r="BA230">
            <v>2500</v>
          </cell>
          <cell r="BB230" t="str">
            <v>Thùng 5 lớp 42x34x36</v>
          </cell>
          <cell r="BC230">
            <v>0</v>
          </cell>
          <cell r="BD230">
            <v>0</v>
          </cell>
        </row>
        <row r="231">
          <cell r="A231" t="str">
            <v>sp 680</v>
          </cell>
          <cell r="B231" t="str">
            <v>Túi thuốc trị nấm fovathane 80WP loại 900g Việt Thắng</v>
          </cell>
          <cell r="C231">
            <v>2.9</v>
          </cell>
          <cell r="D231">
            <v>1</v>
          </cell>
          <cell r="E231" t="str">
            <v>PET 12x740</v>
          </cell>
          <cell r="F231">
            <v>6</v>
          </cell>
          <cell r="G231" t="str">
            <v>PET</v>
          </cell>
          <cell r="H231">
            <v>0.2</v>
          </cell>
          <cell r="I231">
            <v>0.7</v>
          </cell>
          <cell r="J231">
            <v>0.2</v>
          </cell>
          <cell r="K231">
            <v>0.1</v>
          </cell>
          <cell r="L231">
            <v>0.3</v>
          </cell>
          <cell r="M231">
            <v>1.3</v>
          </cell>
          <cell r="N231">
            <v>0</v>
          </cell>
          <cell r="O231">
            <v>0</v>
          </cell>
          <cell r="P231">
            <v>0</v>
          </cell>
          <cell r="Q231">
            <v>0</v>
          </cell>
          <cell r="R231">
            <v>0.1</v>
          </cell>
          <cell r="S231">
            <v>0</v>
          </cell>
          <cell r="T231">
            <v>0</v>
          </cell>
          <cell r="U231">
            <v>0</v>
          </cell>
          <cell r="V231">
            <v>0</v>
          </cell>
          <cell r="W231">
            <v>0</v>
          </cell>
          <cell r="X231">
            <v>0</v>
          </cell>
          <cell r="Y231">
            <v>0</v>
          </cell>
          <cell r="Z231">
            <v>0</v>
          </cell>
          <cell r="AA231">
            <v>0</v>
          </cell>
          <cell r="AB231">
            <v>0</v>
          </cell>
          <cell r="AC231">
            <v>0</v>
          </cell>
          <cell r="AD231">
            <v>0</v>
          </cell>
          <cell r="AE231" t="str">
            <v>Al 6x740</v>
          </cell>
          <cell r="AF231" t="str">
            <v>PE 95x750</v>
          </cell>
          <cell r="AG231">
            <v>8.9491900000000013E-2</v>
          </cell>
          <cell r="AH231">
            <v>1.1193333333333333</v>
          </cell>
          <cell r="AI231">
            <v>1.1193333333333333</v>
          </cell>
          <cell r="AJ231">
            <v>9530</v>
          </cell>
          <cell r="AK231">
            <v>9530</v>
          </cell>
          <cell r="AL231" t="str">
            <v>0,0046(0,0023;0,0023)</v>
          </cell>
          <cell r="AM231" t="str">
            <v>túi ba biên</v>
          </cell>
          <cell r="AN231">
            <v>240</v>
          </cell>
          <cell r="AO231" t="str">
            <v>Công ty Việt Thắng</v>
          </cell>
          <cell r="AP231" t="str">
            <v>F115668-1</v>
          </cell>
          <cell r="AQ231" t="str">
            <v>F115668-2</v>
          </cell>
          <cell r="AR231" t="str">
            <v>F115668-3</v>
          </cell>
          <cell r="AS231" t="str">
            <v>F115668-4</v>
          </cell>
          <cell r="AT231" t="str">
            <v>F115668-5</v>
          </cell>
          <cell r="AU231" t="str">
            <v>F115668-6</v>
          </cell>
          <cell r="AV231">
            <v>0</v>
          </cell>
          <cell r="AW231">
            <v>0</v>
          </cell>
          <cell r="AX231">
            <v>0</v>
          </cell>
          <cell r="AY231" t="str">
            <v>480x850</v>
          </cell>
          <cell r="AZ231" t="str">
            <v>D2</v>
          </cell>
          <cell r="BA231">
            <v>0</v>
          </cell>
          <cell r="BB231" t="str">
            <v>Thùng 5 lớp 42x34x36</v>
          </cell>
          <cell r="BC231">
            <v>0</v>
          </cell>
          <cell r="BD231">
            <v>0</v>
          </cell>
        </row>
        <row r="232">
          <cell r="A232" t="str">
            <v>sp 681</v>
          </cell>
          <cell r="B232" t="str">
            <v>Túi trà quả táo đỏ Vĩnh Phúc</v>
          </cell>
          <cell r="C232">
            <v>3.7</v>
          </cell>
          <cell r="D232">
            <v>2</v>
          </cell>
          <cell r="E232" t="str">
            <v>OPP 30x740</v>
          </cell>
          <cell r="F232">
            <v>1</v>
          </cell>
          <cell r="G232" t="str">
            <v>OPP</v>
          </cell>
          <cell r="H232" t="str">
            <v xml:space="preserve"> </v>
          </cell>
          <cell r="I232">
            <v>0</v>
          </cell>
          <cell r="J232">
            <v>0</v>
          </cell>
          <cell r="K232">
            <v>0</v>
          </cell>
          <cell r="L232">
            <v>1.3</v>
          </cell>
          <cell r="M232">
            <v>0</v>
          </cell>
          <cell r="N232">
            <v>0</v>
          </cell>
          <cell r="O232">
            <v>0</v>
          </cell>
          <cell r="P232">
            <v>2.2000000000000002</v>
          </cell>
          <cell r="Q232">
            <v>0.2</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t="str">
            <v>MCPP 25x740</v>
          </cell>
          <cell r="AF232">
            <v>0</v>
          </cell>
          <cell r="AG232">
            <v>3.7037E-2</v>
          </cell>
          <cell r="AH232">
            <v>0.97333333333333327</v>
          </cell>
          <cell r="AI232">
            <v>0</v>
          </cell>
          <cell r="AJ232">
            <v>9530</v>
          </cell>
          <cell r="AK232">
            <v>0</v>
          </cell>
          <cell r="AL232">
            <v>2E-3</v>
          </cell>
          <cell r="AM232" t="str">
            <v>túi hàn lưng xếp hông</v>
          </cell>
          <cell r="AN232">
            <v>350</v>
          </cell>
          <cell r="AO232" t="str">
            <v>Công ty TNHH Thế hệ mới Vĩnh Phúc</v>
          </cell>
          <cell r="AP232">
            <v>16110495</v>
          </cell>
          <cell r="AQ232">
            <v>0</v>
          </cell>
          <cell r="AR232">
            <v>0</v>
          </cell>
          <cell r="AS232">
            <v>0</v>
          </cell>
          <cell r="AT232">
            <v>0</v>
          </cell>
          <cell r="AU232">
            <v>0</v>
          </cell>
          <cell r="AV232">
            <v>0</v>
          </cell>
          <cell r="AW232">
            <v>0</v>
          </cell>
          <cell r="AX232">
            <v>0</v>
          </cell>
          <cell r="AY232" t="str">
            <v xml:space="preserve"> 400x850</v>
          </cell>
          <cell r="AZ232" t="str">
            <v>A1</v>
          </cell>
          <cell r="BA232">
            <v>0</v>
          </cell>
          <cell r="BB232" t="str">
            <v>bao dứa bọc nilong</v>
          </cell>
          <cell r="BC232">
            <v>0</v>
          </cell>
          <cell r="BD232">
            <v>0</v>
          </cell>
        </row>
        <row r="233">
          <cell r="A233" t="str">
            <v>sp 682</v>
          </cell>
          <cell r="B233" t="str">
            <v>Túi lúa mới TBR45XN1 40kg Thái Bình</v>
          </cell>
          <cell r="C233">
            <v>8.82</v>
          </cell>
          <cell r="D233">
            <v>1</v>
          </cell>
          <cell r="E233" t="str">
            <v>OPP 18x690</v>
          </cell>
          <cell r="F233">
            <v>7</v>
          </cell>
          <cell r="G233" t="str">
            <v>OPP</v>
          </cell>
          <cell r="H233">
            <v>0.36</v>
          </cell>
          <cell r="I233">
            <v>0.18</v>
          </cell>
          <cell r="J233">
            <v>0.36</v>
          </cell>
          <cell r="K233">
            <v>0.14000000000000001</v>
          </cell>
          <cell r="L233">
            <v>5.19</v>
          </cell>
          <cell r="M233">
            <v>2</v>
          </cell>
          <cell r="N233">
            <v>0</v>
          </cell>
          <cell r="O233">
            <v>0.41</v>
          </cell>
          <cell r="P233">
            <v>0</v>
          </cell>
          <cell r="Q233">
            <v>0</v>
          </cell>
          <cell r="R233">
            <v>0</v>
          </cell>
          <cell r="S233">
            <v>0</v>
          </cell>
          <cell r="T233">
            <v>0.18</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2E-3</v>
          </cell>
          <cell r="AM233" t="str">
            <v>dạng cuộn 6000m</v>
          </cell>
          <cell r="AN233">
            <v>690</v>
          </cell>
          <cell r="AO233" t="str">
            <v>Công ty Thái Bình</v>
          </cell>
          <cell r="AP233" t="str">
            <v>1903035-1</v>
          </cell>
          <cell r="AQ233" t="str">
            <v>1609242-2</v>
          </cell>
          <cell r="AR233" t="str">
            <v>17101029-3</v>
          </cell>
          <cell r="AS233" t="str">
            <v>1710745-4</v>
          </cell>
          <cell r="AT233" t="str">
            <v>1903484-5</v>
          </cell>
          <cell r="AU233" t="str">
            <v>1703398-6</v>
          </cell>
          <cell r="AV233" t="str">
            <v>1903035-7</v>
          </cell>
          <cell r="AW233">
            <v>0</v>
          </cell>
          <cell r="AX233">
            <v>0</v>
          </cell>
          <cell r="AY233" t="str">
            <v>1100x850</v>
          </cell>
          <cell r="AZ233" t="str">
            <v>K3</v>
          </cell>
          <cell r="BA233" t="str">
            <v>1c</v>
          </cell>
          <cell r="BB233" t="str">
            <v>giấy cartoon K800</v>
          </cell>
          <cell r="BC233">
            <v>0</v>
          </cell>
          <cell r="BD233" t="str">
            <v xml:space="preserve">in chung sp 634(2,3,4):;với sp 642: (1,7) </v>
          </cell>
        </row>
        <row r="234">
          <cell r="A234" t="str">
            <v>sp 683</v>
          </cell>
          <cell r="B234" t="str">
            <v>Túi lúa mới bao chung nguyên chủng 1kg Thái Bình</v>
          </cell>
          <cell r="C234">
            <v>5.8500000000000005</v>
          </cell>
          <cell r="D234">
            <v>2</v>
          </cell>
          <cell r="E234" t="str">
            <v>PET 12x900</v>
          </cell>
          <cell r="F234">
            <v>8</v>
          </cell>
          <cell r="G234" t="str">
            <v>PET</v>
          </cell>
          <cell r="H234">
            <v>0.03</v>
          </cell>
          <cell r="I234">
            <v>3.73</v>
          </cell>
          <cell r="J234">
            <v>0.26</v>
          </cell>
          <cell r="K234">
            <v>7.0000000000000007E-2</v>
          </cell>
          <cell r="L234">
            <v>0.42</v>
          </cell>
          <cell r="M234">
            <v>1.07</v>
          </cell>
          <cell r="N234">
            <v>0</v>
          </cell>
          <cell r="O234">
            <v>0.23</v>
          </cell>
          <cell r="P234">
            <v>0</v>
          </cell>
          <cell r="Q234">
            <v>0.03</v>
          </cell>
          <cell r="R234">
            <v>0</v>
          </cell>
          <cell r="S234">
            <v>0</v>
          </cell>
          <cell r="T234">
            <v>0.01</v>
          </cell>
          <cell r="U234">
            <v>0</v>
          </cell>
          <cell r="V234">
            <v>0</v>
          </cell>
          <cell r="W234">
            <v>0</v>
          </cell>
          <cell r="X234">
            <v>0</v>
          </cell>
          <cell r="Y234">
            <v>0</v>
          </cell>
          <cell r="Z234">
            <v>0</v>
          </cell>
          <cell r="AA234">
            <v>0</v>
          </cell>
          <cell r="AB234">
            <v>0</v>
          </cell>
          <cell r="AC234">
            <v>0</v>
          </cell>
          <cell r="AD234">
            <v>0</v>
          </cell>
          <cell r="AE234" t="str">
            <v>PE 82x900</v>
          </cell>
          <cell r="AF234">
            <v>0</v>
          </cell>
          <cell r="AG234">
            <v>8.3385000000000001E-2</v>
          </cell>
          <cell r="AH234">
            <v>1.3646666666666665</v>
          </cell>
          <cell r="AI234">
            <v>0</v>
          </cell>
          <cell r="AJ234">
            <v>9530</v>
          </cell>
          <cell r="AK234">
            <v>0</v>
          </cell>
          <cell r="AL234">
            <v>2.3E-3</v>
          </cell>
          <cell r="AM234" t="str">
            <v>túi ba biên</v>
          </cell>
          <cell r="AN234">
            <v>310</v>
          </cell>
          <cell r="AO234" t="str">
            <v>Công ty Thái Bình</v>
          </cell>
          <cell r="AP234" t="str">
            <v>1903696-1</v>
          </cell>
          <cell r="AQ234" t="str">
            <v>19041070-2</v>
          </cell>
          <cell r="AR234" t="str">
            <v>1611196-3</v>
          </cell>
          <cell r="AS234" t="str">
            <v>1611196-4</v>
          </cell>
          <cell r="AT234" t="str">
            <v>1903696-5</v>
          </cell>
          <cell r="AU234" t="str">
            <v>1611196-6</v>
          </cell>
          <cell r="AV234" t="str">
            <v>1903696-7</v>
          </cell>
          <cell r="AW234" t="str">
            <v>21030918-8</v>
          </cell>
          <cell r="AX234">
            <v>0</v>
          </cell>
          <cell r="AY234" t="str">
            <v>620x1100</v>
          </cell>
          <cell r="AZ234" t="str">
            <v>I2</v>
          </cell>
          <cell r="BA234" t="str">
            <v>4000t/bao or 800m/cuộn</v>
          </cell>
          <cell r="BB234" t="str">
            <v>bao dứa or giấy carton K600</v>
          </cell>
          <cell r="BC234">
            <v>0</v>
          </cell>
          <cell r="BD234" t="str">
            <v>in chung (2)với sp 648: 1609558</v>
          </cell>
        </row>
        <row r="235">
          <cell r="A235" t="str">
            <v>sp 684</v>
          </cell>
          <cell r="B235" t="str">
            <v>Túi lúa mới TBR36XN1 40kg Thái Bình</v>
          </cell>
          <cell r="C235">
            <v>9.68</v>
          </cell>
          <cell r="D235">
            <v>1</v>
          </cell>
          <cell r="E235" t="str">
            <v>OPP 18x690</v>
          </cell>
          <cell r="F235">
            <v>7</v>
          </cell>
          <cell r="G235" t="str">
            <v>OPP</v>
          </cell>
          <cell r="H235">
            <v>0.32</v>
          </cell>
          <cell r="I235">
            <v>0</v>
          </cell>
          <cell r="J235">
            <v>0.43</v>
          </cell>
          <cell r="K235">
            <v>0.21</v>
          </cell>
          <cell r="L235">
            <v>5.85</v>
          </cell>
          <cell r="M235">
            <v>2.13</v>
          </cell>
          <cell r="N235">
            <v>0</v>
          </cell>
          <cell r="O235">
            <v>0.53</v>
          </cell>
          <cell r="P235">
            <v>0</v>
          </cell>
          <cell r="Q235">
            <v>0</v>
          </cell>
          <cell r="R235">
            <v>0</v>
          </cell>
          <cell r="S235">
            <v>0</v>
          </cell>
          <cell r="T235">
            <v>0.21</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t="str">
            <v>dạng cuộn 6000m</v>
          </cell>
          <cell r="AN235">
            <v>670</v>
          </cell>
          <cell r="AO235" t="str">
            <v>Công ty Thái Bình</v>
          </cell>
          <cell r="AP235" t="str">
            <v>1903035-1</v>
          </cell>
          <cell r="AQ235" t="str">
            <v>1609242-2</v>
          </cell>
          <cell r="AR235" t="str">
            <v>17101029-3</v>
          </cell>
          <cell r="AS235" t="str">
            <v>1710745-4</v>
          </cell>
          <cell r="AT235" t="str">
            <v>19031034-5</v>
          </cell>
          <cell r="AU235" t="str">
            <v>1703399-6</v>
          </cell>
          <cell r="AV235" t="str">
            <v>1903035-7</v>
          </cell>
          <cell r="AW235">
            <v>0</v>
          </cell>
          <cell r="AX235">
            <v>0</v>
          </cell>
          <cell r="AY235" t="str">
            <v>1100x850</v>
          </cell>
          <cell r="AZ235" t="str">
            <v>K3</v>
          </cell>
          <cell r="BA235" t="str">
            <v>1c</v>
          </cell>
          <cell r="BB235" t="str">
            <v>giấy cartoon K800</v>
          </cell>
          <cell r="BC235">
            <v>0</v>
          </cell>
          <cell r="BD235" t="str">
            <v>in chung sp 634(2,3,4):;với sp 642: (1,7) ,(5) với sp 682</v>
          </cell>
        </row>
        <row r="236">
          <cell r="A236" t="str">
            <v>sp 685</v>
          </cell>
          <cell r="B236" t="str">
            <v>Túi lúa mới bao chung NC 40kg Thái Bình</v>
          </cell>
          <cell r="C236">
            <v>6.3699999999999992</v>
          </cell>
          <cell r="D236">
            <v>1</v>
          </cell>
          <cell r="E236" t="str">
            <v>OPP 18x690</v>
          </cell>
          <cell r="F236">
            <v>7</v>
          </cell>
          <cell r="G236" t="str">
            <v>OPP</v>
          </cell>
          <cell r="H236">
            <v>0.17</v>
          </cell>
          <cell r="I236">
            <v>1.63</v>
          </cell>
          <cell r="J236">
            <v>0.54</v>
          </cell>
          <cell r="K236">
            <v>0.25</v>
          </cell>
          <cell r="L236">
            <v>2.09</v>
          </cell>
          <cell r="M236">
            <v>1.1399999999999999</v>
          </cell>
          <cell r="N236">
            <v>0</v>
          </cell>
          <cell r="O236">
            <v>0.01</v>
          </cell>
          <cell r="P236">
            <v>0</v>
          </cell>
          <cell r="Q236">
            <v>0</v>
          </cell>
          <cell r="R236">
            <v>0</v>
          </cell>
          <cell r="S236">
            <v>0</v>
          </cell>
          <cell r="T236">
            <v>0.54</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M236" t="str">
            <v>dạng cuộn 6000m</v>
          </cell>
          <cell r="AN236">
            <v>670</v>
          </cell>
          <cell r="AO236" t="str">
            <v>Công ty Thái Bình</v>
          </cell>
          <cell r="AP236" t="str">
            <v>1903066-1</v>
          </cell>
          <cell r="AQ236" t="str">
            <v>1609553-2</v>
          </cell>
          <cell r="AR236" t="str">
            <v>1609553-3</v>
          </cell>
          <cell r="AS236" t="str">
            <v>1609553-4</v>
          </cell>
          <cell r="AT236" t="str">
            <v>19031034-5</v>
          </cell>
          <cell r="AU236" t="str">
            <v>1611200-6</v>
          </cell>
          <cell r="AV236" t="str">
            <v>1903066-7</v>
          </cell>
          <cell r="AW236">
            <v>0</v>
          </cell>
          <cell r="AX236">
            <v>0</v>
          </cell>
          <cell r="AY236" t="str">
            <v>1100x850</v>
          </cell>
          <cell r="AZ236" t="str">
            <v>K3</v>
          </cell>
          <cell r="BA236" t="str">
            <v>1c</v>
          </cell>
          <cell r="BB236" t="str">
            <v>giấy cartoon K800</v>
          </cell>
          <cell r="BC236">
            <v>0</v>
          </cell>
          <cell r="BD236" t="str">
            <v>in chung với sp 644 : (1,7);với sp 643: (2,3,4)</v>
          </cell>
        </row>
        <row r="237">
          <cell r="A237" t="str">
            <v>sp 686</v>
          </cell>
          <cell r="B237" t="str">
            <v>Túi lúa mới TBR1 XN1 40kg Thái Bình</v>
          </cell>
          <cell r="C237">
            <v>7.13</v>
          </cell>
          <cell r="D237">
            <v>1</v>
          </cell>
          <cell r="E237" t="str">
            <v>OPP 18x690</v>
          </cell>
          <cell r="F237">
            <v>7</v>
          </cell>
          <cell r="G237" t="str">
            <v>OPP</v>
          </cell>
          <cell r="H237">
            <v>0.95</v>
          </cell>
          <cell r="I237">
            <v>0</v>
          </cell>
          <cell r="J237">
            <v>0.56999999999999995</v>
          </cell>
          <cell r="K237">
            <v>0.56999999999999995</v>
          </cell>
          <cell r="L237">
            <v>4.37</v>
          </cell>
          <cell r="M237">
            <v>0</v>
          </cell>
          <cell r="N237">
            <v>0</v>
          </cell>
          <cell r="O237">
            <v>0.28999999999999998</v>
          </cell>
          <cell r="P237">
            <v>0</v>
          </cell>
          <cell r="Q237">
            <v>0</v>
          </cell>
          <cell r="R237">
            <v>0</v>
          </cell>
          <cell r="S237">
            <v>0</v>
          </cell>
          <cell r="T237">
            <v>0.38</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I237">
            <v>0</v>
          </cell>
          <cell r="AJ237">
            <v>0</v>
          </cell>
          <cell r="AK237">
            <v>0</v>
          </cell>
          <cell r="AL237">
            <v>0</v>
          </cell>
          <cell r="AM237" t="str">
            <v>dạng cuộn 6000m</v>
          </cell>
          <cell r="AN237">
            <v>670</v>
          </cell>
          <cell r="AO237" t="str">
            <v>Công ty Thái Bình</v>
          </cell>
          <cell r="AP237" t="str">
            <v>17101029-1</v>
          </cell>
          <cell r="AQ237" t="str">
            <v>1609242-2</v>
          </cell>
          <cell r="AR237" t="str">
            <v>17101029-3</v>
          </cell>
          <cell r="AS237" t="str">
            <v>1710745-4</v>
          </cell>
          <cell r="AT237" t="str">
            <v>1611199-5</v>
          </cell>
          <cell r="AU237" t="str">
            <v>1611199-6</v>
          </cell>
          <cell r="AV237" t="str">
            <v>1903062-7</v>
          </cell>
          <cell r="AW237">
            <v>0</v>
          </cell>
          <cell r="AX237">
            <v>0</v>
          </cell>
          <cell r="AY237" t="str">
            <v>1100x850</v>
          </cell>
          <cell r="AZ237" t="str">
            <v>K3</v>
          </cell>
          <cell r="BA237" t="str">
            <v>1c</v>
          </cell>
          <cell r="BB237" t="str">
            <v>giấy cartoon K800</v>
          </cell>
          <cell r="BC237">
            <v>0</v>
          </cell>
          <cell r="BD237" t="str">
            <v>in chung 5 cây :với sp 634:(1,3,7);(2);(4)</v>
          </cell>
        </row>
        <row r="238">
          <cell r="A238" t="str">
            <v>sp 689</v>
          </cell>
          <cell r="B238" t="str">
            <v>Túi trà trong albee tea 200g Vĩnh Phúc</v>
          </cell>
          <cell r="C238">
            <v>2.0499999999999998</v>
          </cell>
          <cell r="D238">
            <v>2</v>
          </cell>
          <cell r="E238" t="str">
            <v>OPP 30x660</v>
          </cell>
          <cell r="F238">
            <v>1</v>
          </cell>
          <cell r="G238" t="str">
            <v>OPP</v>
          </cell>
          <cell r="H238">
            <v>0</v>
          </cell>
          <cell r="I238">
            <v>0</v>
          </cell>
          <cell r="J238">
            <v>0.1</v>
          </cell>
          <cell r="K238">
            <v>0</v>
          </cell>
          <cell r="L238">
            <v>0.6</v>
          </cell>
          <cell r="M238">
            <v>0.8</v>
          </cell>
          <cell r="N238">
            <v>0</v>
          </cell>
          <cell r="O238">
            <v>0.05</v>
          </cell>
          <cell r="P238">
            <v>0</v>
          </cell>
          <cell r="Q238">
            <v>0.5</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t="str">
            <v>MCPP 25x660</v>
          </cell>
          <cell r="AF238">
            <v>0</v>
          </cell>
          <cell r="AG238">
            <v>3.3033000000000007E-2</v>
          </cell>
          <cell r="AH238">
            <v>0.8666666666666667</v>
          </cell>
          <cell r="AI238">
            <v>0</v>
          </cell>
          <cell r="AJ238">
            <v>9530</v>
          </cell>
          <cell r="AK238">
            <v>0</v>
          </cell>
          <cell r="AL238">
            <v>2E-3</v>
          </cell>
          <cell r="AM238" t="str">
            <v>túi hàn lưng xếp hông</v>
          </cell>
          <cell r="AN238">
            <v>260</v>
          </cell>
          <cell r="AO238" t="str">
            <v>Công ty TNHH Thế hệ mới Vĩnh Phúc</v>
          </cell>
          <cell r="AP238" t="str">
            <v>16110494</v>
          </cell>
          <cell r="AQ238">
            <v>0</v>
          </cell>
          <cell r="AR238">
            <v>0</v>
          </cell>
          <cell r="AS238">
            <v>0</v>
          </cell>
          <cell r="AT238">
            <v>0</v>
          </cell>
          <cell r="AU238">
            <v>0</v>
          </cell>
          <cell r="AV238">
            <v>0</v>
          </cell>
          <cell r="AW238">
            <v>0</v>
          </cell>
          <cell r="AX238">
            <v>0</v>
          </cell>
          <cell r="AY238" t="str">
            <v>400x850</v>
          </cell>
          <cell r="AZ238" t="str">
            <v>A1</v>
          </cell>
          <cell r="BA238">
            <v>6000</v>
          </cell>
          <cell r="BB238" t="str">
            <v>bao dứa</v>
          </cell>
          <cell r="BC238">
            <v>0</v>
          </cell>
          <cell r="BD238">
            <v>0</v>
          </cell>
        </row>
        <row r="239">
          <cell r="A239" t="str">
            <v>sp 690</v>
          </cell>
          <cell r="B239" t="str">
            <v>Túi trà ngoài albee tea 200g Vĩnh Phúc</v>
          </cell>
          <cell r="C239">
            <v>4.3</v>
          </cell>
          <cell r="D239">
            <v>2</v>
          </cell>
          <cell r="E239" t="str">
            <v>OPP 20x660</v>
          </cell>
          <cell r="F239">
            <v>5</v>
          </cell>
          <cell r="G239" t="str">
            <v>OPP</v>
          </cell>
          <cell r="H239">
            <v>0.2</v>
          </cell>
          <cell r="I239">
            <v>0</v>
          </cell>
          <cell r="J239">
            <v>2.1</v>
          </cell>
          <cell r="K239">
            <v>0.5</v>
          </cell>
          <cell r="L239">
            <v>0.6</v>
          </cell>
          <cell r="M239">
            <v>0.8</v>
          </cell>
          <cell r="N239">
            <v>0</v>
          </cell>
          <cell r="O239">
            <v>0</v>
          </cell>
          <cell r="P239">
            <v>0</v>
          </cell>
          <cell r="Q239">
            <v>0</v>
          </cell>
          <cell r="R239">
            <v>0</v>
          </cell>
          <cell r="S239">
            <v>0.1</v>
          </cell>
          <cell r="T239">
            <v>0</v>
          </cell>
          <cell r="U239">
            <v>0</v>
          </cell>
          <cell r="V239">
            <v>0</v>
          </cell>
          <cell r="W239">
            <v>0</v>
          </cell>
          <cell r="X239">
            <v>0</v>
          </cell>
          <cell r="Y239">
            <v>0</v>
          </cell>
          <cell r="Z239">
            <v>0</v>
          </cell>
          <cell r="AA239">
            <v>0</v>
          </cell>
          <cell r="AB239">
            <v>0</v>
          </cell>
          <cell r="AC239">
            <v>0</v>
          </cell>
          <cell r="AD239">
            <v>0</v>
          </cell>
          <cell r="AE239" t="str">
            <v>PE sứ 60x660</v>
          </cell>
          <cell r="AF239">
            <v>0</v>
          </cell>
          <cell r="AG239">
            <v>4.8642000000000005E-2</v>
          </cell>
          <cell r="AH239">
            <v>0.99666666666666659</v>
          </cell>
          <cell r="AI239">
            <v>0</v>
          </cell>
          <cell r="AJ239">
            <v>9530</v>
          </cell>
          <cell r="AK239">
            <v>0</v>
          </cell>
          <cell r="AL239">
            <v>2.3E-3</v>
          </cell>
          <cell r="AM239" t="str">
            <v>túi hàn lưng xếp hông</v>
          </cell>
          <cell r="AN239">
            <v>260</v>
          </cell>
          <cell r="AO239" t="str">
            <v>Công ty TNHH Thế hệ mới Vĩnh Phúc</v>
          </cell>
          <cell r="AP239" t="str">
            <v>1611757-1</v>
          </cell>
          <cell r="AQ239" t="str">
            <v>1611757-2</v>
          </cell>
          <cell r="AR239" t="str">
            <v>1611757-3</v>
          </cell>
          <cell r="AS239" t="str">
            <v>1611757-4</v>
          </cell>
          <cell r="AT239" t="str">
            <v>1611757-5</v>
          </cell>
          <cell r="AU239">
            <v>0</v>
          </cell>
          <cell r="AV239">
            <v>0</v>
          </cell>
          <cell r="AW239">
            <v>0</v>
          </cell>
          <cell r="AX239">
            <v>0</v>
          </cell>
          <cell r="AY239" t="str">
            <v>520x750</v>
          </cell>
          <cell r="AZ239" t="str">
            <v>A1</v>
          </cell>
          <cell r="BA239">
            <v>6000</v>
          </cell>
          <cell r="BB239" t="str">
            <v>bao dứa</v>
          </cell>
          <cell r="BC239">
            <v>0</v>
          </cell>
          <cell r="BD239">
            <v>0</v>
          </cell>
        </row>
        <row r="240">
          <cell r="A240" t="str">
            <v>sp 695</v>
          </cell>
          <cell r="B240" t="str">
            <v>Túi thuốc trừ ốc clodan super 700WP loại 12g</v>
          </cell>
          <cell r="C240">
            <v>4.13</v>
          </cell>
          <cell r="D240">
            <v>3</v>
          </cell>
          <cell r="E240" t="str">
            <v>PET 12x680</v>
          </cell>
          <cell r="F240">
            <v>7</v>
          </cell>
          <cell r="G240" t="str">
            <v>PET</v>
          </cell>
          <cell r="H240">
            <v>0.2</v>
          </cell>
          <cell r="I240">
            <v>1</v>
          </cell>
          <cell r="J240">
            <v>0.01</v>
          </cell>
          <cell r="K240">
            <v>0.01</v>
          </cell>
          <cell r="L240">
            <v>0.41</v>
          </cell>
          <cell r="M240">
            <v>2.0299999999999998</v>
          </cell>
          <cell r="N240">
            <v>0</v>
          </cell>
          <cell r="O240">
            <v>0.46</v>
          </cell>
          <cell r="P240">
            <v>0.01</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t="str">
            <v>MPET 12x680</v>
          </cell>
          <cell r="AF240" t="str">
            <v>PE 75x680</v>
          </cell>
          <cell r="AG240">
            <v>7.0023000000000016E-2</v>
          </cell>
          <cell r="AH240">
            <v>1.0273333333333332</v>
          </cell>
          <cell r="AI240">
            <v>1.0273333333333332</v>
          </cell>
          <cell r="AJ240">
            <v>9530</v>
          </cell>
          <cell r="AK240">
            <v>9530</v>
          </cell>
          <cell r="AL240" t="str">
            <v>0,0046(0,0023;0,0023)</v>
          </cell>
          <cell r="AM240" t="str">
            <v>túi ba biên</v>
          </cell>
          <cell r="AN240">
            <v>135</v>
          </cell>
          <cell r="AO240" t="str">
            <v>Công ty CP Quốc Tế Hòa Bình</v>
          </cell>
          <cell r="AP240" t="e">
            <v>#N/A</v>
          </cell>
          <cell r="AQ240" t="e">
            <v>#N/A</v>
          </cell>
          <cell r="AR240" t="e">
            <v>#N/A</v>
          </cell>
          <cell r="AS240" t="e">
            <v>#N/A</v>
          </cell>
          <cell r="AT240" t="e">
            <v>#N/A</v>
          </cell>
          <cell r="AU240" t="e">
            <v>#N/A</v>
          </cell>
          <cell r="AV240" t="e">
            <v>#N/A</v>
          </cell>
          <cell r="AW240" t="e">
            <v>#N/A</v>
          </cell>
          <cell r="AX240" t="e">
            <v>#N/A</v>
          </cell>
          <cell r="AY240" t="e">
            <v>#N/A</v>
          </cell>
          <cell r="AZ240" t="e">
            <v>#N/A</v>
          </cell>
          <cell r="BA240">
            <v>12000</v>
          </cell>
          <cell r="BB240" t="str">
            <v>Thùng 5 lớp 42x34x36</v>
          </cell>
          <cell r="BC240">
            <v>0</v>
          </cell>
          <cell r="BD240" t="e">
            <v>#N/A</v>
          </cell>
        </row>
        <row r="241">
          <cell r="A241" t="str">
            <v>sp 696</v>
          </cell>
          <cell r="B241" t="str">
            <v>Túi địch bách trùng 90SP loại 20g Việt Thắng</v>
          </cell>
          <cell r="C241">
            <v>2.8</v>
          </cell>
          <cell r="D241">
            <v>3</v>
          </cell>
          <cell r="E241" t="str">
            <v>OPP 20x710</v>
          </cell>
          <cell r="F241">
            <v>5</v>
          </cell>
          <cell r="G241" t="str">
            <v>OPP</v>
          </cell>
          <cell r="H241">
            <v>0.2</v>
          </cell>
          <cell r="I241">
            <v>0</v>
          </cell>
          <cell r="J241">
            <v>0.2</v>
          </cell>
          <cell r="K241">
            <v>0.4</v>
          </cell>
          <cell r="L241">
            <v>1.7</v>
          </cell>
          <cell r="M241">
            <v>0</v>
          </cell>
          <cell r="N241">
            <v>0</v>
          </cell>
          <cell r="O241">
            <v>0</v>
          </cell>
          <cell r="P241">
            <v>0</v>
          </cell>
          <cell r="Q241">
            <v>0</v>
          </cell>
          <cell r="R241">
            <v>0.3</v>
          </cell>
          <cell r="S241">
            <v>0</v>
          </cell>
          <cell r="T241">
            <v>0</v>
          </cell>
          <cell r="U241">
            <v>0</v>
          </cell>
          <cell r="V241">
            <v>0</v>
          </cell>
          <cell r="W241">
            <v>0</v>
          </cell>
          <cell r="X241">
            <v>0</v>
          </cell>
          <cell r="Y241">
            <v>0</v>
          </cell>
          <cell r="Z241">
            <v>0</v>
          </cell>
          <cell r="AA241">
            <v>0</v>
          </cell>
          <cell r="AB241">
            <v>0</v>
          </cell>
          <cell r="AC241">
            <v>0</v>
          </cell>
          <cell r="AD241">
            <v>0</v>
          </cell>
          <cell r="AE241" t="str">
            <v>PE sứ 65x710</v>
          </cell>
          <cell r="AF241">
            <v>0</v>
          </cell>
          <cell r="AG241">
            <v>5.561075E-2</v>
          </cell>
          <cell r="AH241">
            <v>1.0733333333333333</v>
          </cell>
          <cell r="AI241">
            <v>0</v>
          </cell>
          <cell r="AJ241">
            <v>9530</v>
          </cell>
          <cell r="AK241">
            <v>0</v>
          </cell>
          <cell r="AL241">
            <v>2.3E-3</v>
          </cell>
          <cell r="AM241" t="str">
            <v>túi ba biên</v>
          </cell>
          <cell r="AN241">
            <v>85</v>
          </cell>
          <cell r="AO241" t="str">
            <v>Công ty Việt Thắng</v>
          </cell>
          <cell r="AP241" t="e">
            <v>#N/A</v>
          </cell>
          <cell r="AQ241" t="e">
            <v>#N/A</v>
          </cell>
          <cell r="AR241" t="e">
            <v>#N/A</v>
          </cell>
          <cell r="AS241" t="e">
            <v>#N/A</v>
          </cell>
          <cell r="AT241" t="e">
            <v>#N/A</v>
          </cell>
          <cell r="AU241" t="e">
            <v>#N/A</v>
          </cell>
          <cell r="AV241" t="e">
            <v>#N/A</v>
          </cell>
          <cell r="AW241" t="e">
            <v>#N/A</v>
          </cell>
          <cell r="AX241" t="e">
            <v>#N/A</v>
          </cell>
          <cell r="AY241" t="e">
            <v>#N/A</v>
          </cell>
          <cell r="AZ241" t="e">
            <v>#N/A</v>
          </cell>
          <cell r="BA241">
            <v>21000</v>
          </cell>
          <cell r="BB241" t="str">
            <v>Thùng 5 lớp 42x34x36</v>
          </cell>
          <cell r="BC241">
            <v>0</v>
          </cell>
          <cell r="BD241" t="e">
            <v>#N/A</v>
          </cell>
        </row>
        <row r="242">
          <cell r="A242" t="str">
            <v>sp 699</v>
          </cell>
          <cell r="B242" t="str">
            <v>Túi thuốc trừ ốc clodan super 700WP loại 10g</v>
          </cell>
          <cell r="C242">
            <v>5.6</v>
          </cell>
          <cell r="D242">
            <v>3</v>
          </cell>
          <cell r="E242" t="str">
            <v>PET 12x620</v>
          </cell>
          <cell r="F242">
            <v>7</v>
          </cell>
          <cell r="G242" t="str">
            <v>PET</v>
          </cell>
          <cell r="H242">
            <v>0.1</v>
          </cell>
          <cell r="I242">
            <v>3.6</v>
          </cell>
          <cell r="J242">
            <v>0.2</v>
          </cell>
          <cell r="K242">
            <v>0.1</v>
          </cell>
          <cell r="L242">
            <v>0.4</v>
          </cell>
          <cell r="M242">
            <v>1.1000000000000001</v>
          </cell>
          <cell r="N242">
            <v>0</v>
          </cell>
          <cell r="O242">
            <v>0</v>
          </cell>
          <cell r="P242">
            <v>0.1</v>
          </cell>
          <cell r="Q242" t="str">
            <v xml:space="preserve"> </v>
          </cell>
          <cell r="R242" t="str">
            <v xml:space="preserve"> </v>
          </cell>
          <cell r="S242">
            <v>0</v>
          </cell>
          <cell r="T242">
            <v>0</v>
          </cell>
          <cell r="U242">
            <v>0</v>
          </cell>
          <cell r="V242">
            <v>0</v>
          </cell>
          <cell r="W242">
            <v>0</v>
          </cell>
          <cell r="X242">
            <v>0</v>
          </cell>
          <cell r="Y242">
            <v>0</v>
          </cell>
          <cell r="Z242">
            <v>0</v>
          </cell>
          <cell r="AA242">
            <v>0</v>
          </cell>
          <cell r="AB242">
            <v>0</v>
          </cell>
          <cell r="AC242">
            <v>0</v>
          </cell>
          <cell r="AD242">
            <v>0</v>
          </cell>
          <cell r="AE242" t="str">
            <v>MPET 12x620</v>
          </cell>
          <cell r="AF242" t="str">
            <v>PE 75x620</v>
          </cell>
          <cell r="AG242">
            <v>6.3844500000000012E-2</v>
          </cell>
          <cell r="AH242">
            <v>0.93533333333333324</v>
          </cell>
          <cell r="AI242">
            <v>0.93533333333333324</v>
          </cell>
          <cell r="AJ242">
            <v>9530</v>
          </cell>
          <cell r="AK242">
            <v>9530</v>
          </cell>
          <cell r="AL242" t="str">
            <v>0,0046(0,0023;0,0023)</v>
          </cell>
          <cell r="AM242" t="str">
            <v>túi ba biên</v>
          </cell>
          <cell r="AN242">
            <v>125</v>
          </cell>
          <cell r="AO242" t="str">
            <v>Công ty CP Quốc Tế Hòa Bình</v>
          </cell>
          <cell r="AP242" t="str">
            <v>1612235-1</v>
          </cell>
          <cell r="AQ242" t="str">
            <v>1612235-2</v>
          </cell>
          <cell r="AR242" t="str">
            <v>1612235-3</v>
          </cell>
          <cell r="AS242" t="str">
            <v>1612235-4</v>
          </cell>
          <cell r="AT242" t="str">
            <v>1612235-5</v>
          </cell>
          <cell r="AU242" t="str">
            <v>1612235-6</v>
          </cell>
          <cell r="AV242" t="str">
            <v>1612235-7</v>
          </cell>
          <cell r="AW242">
            <v>0</v>
          </cell>
          <cell r="AX242">
            <v>0</v>
          </cell>
          <cell r="AY242" t="str">
            <v>500x750</v>
          </cell>
          <cell r="AZ242" t="str">
            <v>T1</v>
          </cell>
          <cell r="BA242">
            <v>15000</v>
          </cell>
          <cell r="BB242" t="str">
            <v>Thùng 5 lớp 42x34x36</v>
          </cell>
          <cell r="BC242">
            <v>0</v>
          </cell>
          <cell r="BD242">
            <v>0</v>
          </cell>
        </row>
        <row r="243">
          <cell r="A243" t="str">
            <v>sp 701</v>
          </cell>
          <cell r="B243" t="str">
            <v>Túi trà phúc lộc thọ 10g</v>
          </cell>
          <cell r="C243">
            <v>4.2</v>
          </cell>
          <cell r="D243">
            <v>4</v>
          </cell>
          <cell r="E243" t="str">
            <v>PET 12x700</v>
          </cell>
          <cell r="F243">
            <v>7</v>
          </cell>
          <cell r="G243" t="str">
            <v>PET</v>
          </cell>
          <cell r="H243">
            <v>0.3</v>
          </cell>
          <cell r="I243">
            <v>2.1</v>
          </cell>
          <cell r="J243">
            <v>0.1</v>
          </cell>
          <cell r="K243">
            <v>0.1</v>
          </cell>
          <cell r="L243">
            <v>0.8</v>
          </cell>
          <cell r="M243">
            <v>0.7</v>
          </cell>
          <cell r="N243">
            <v>0</v>
          </cell>
          <cell r="O243">
            <v>0</v>
          </cell>
          <cell r="P243">
            <v>0.1</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t="str">
            <v>MPET 12x700</v>
          </cell>
          <cell r="AF243" t="str">
            <v>PE 30x700</v>
          </cell>
          <cell r="AG243">
            <v>3.2568E-2</v>
          </cell>
          <cell r="AH243">
            <v>1.0579999999999998</v>
          </cell>
          <cell r="AI243">
            <v>1.0579999999999998</v>
          </cell>
          <cell r="AJ243">
            <v>9530</v>
          </cell>
          <cell r="AK243">
            <v>9530</v>
          </cell>
          <cell r="AL243" t="str">
            <v>0,0046(0,0023;0,0023)</v>
          </cell>
          <cell r="AM243" t="str">
            <v>túi hàn lưng xếp hông</v>
          </cell>
          <cell r="AN243">
            <v>115</v>
          </cell>
          <cell r="AO243" t="str">
            <v>Khách hàng lẻ</v>
          </cell>
          <cell r="AP243" t="str">
            <v>1612405-1</v>
          </cell>
          <cell r="AQ243" t="str">
            <v>1612405-2</v>
          </cell>
          <cell r="AR243" t="str">
            <v>1612405-3</v>
          </cell>
          <cell r="AS243" t="str">
            <v>1612405-4</v>
          </cell>
          <cell r="AT243" t="str">
            <v>1612405-5</v>
          </cell>
          <cell r="AU243" t="str">
            <v>1612405-6</v>
          </cell>
          <cell r="AV243" t="str">
            <v>1612405-7</v>
          </cell>
          <cell r="AW243">
            <v>0</v>
          </cell>
          <cell r="AX243">
            <v>0</v>
          </cell>
          <cell r="AY243" t="str">
            <v>460x750</v>
          </cell>
          <cell r="AZ243" t="str">
            <v>F2</v>
          </cell>
          <cell r="BA243">
            <v>18000</v>
          </cell>
          <cell r="BB243" t="str">
            <v>Thùng 5 lớp 42x34x36</v>
          </cell>
          <cell r="BC243">
            <v>0</v>
          </cell>
          <cell r="BD243">
            <v>0</v>
          </cell>
        </row>
        <row r="244">
          <cell r="A244" t="str">
            <v>sp 702</v>
          </cell>
          <cell r="B244" t="str">
            <v>Túi gạo HCK 1kg Thái Bình</v>
          </cell>
          <cell r="C244">
            <v>10.462</v>
          </cell>
          <cell r="D244">
            <v>1</v>
          </cell>
          <cell r="E244" t="str">
            <v>PA 15x580</v>
          </cell>
          <cell r="F244">
            <v>7</v>
          </cell>
          <cell r="G244" t="str">
            <v xml:space="preserve">PA </v>
          </cell>
          <cell r="H244">
            <v>0.38</v>
          </cell>
          <cell r="I244">
            <v>3.66</v>
          </cell>
          <cell r="J244">
            <v>0.46</v>
          </cell>
          <cell r="K244">
            <v>0.15</v>
          </cell>
          <cell r="L244">
            <v>3.81</v>
          </cell>
          <cell r="M244">
            <v>1.982</v>
          </cell>
          <cell r="N244">
            <v>0</v>
          </cell>
          <cell r="O244">
            <v>0.01</v>
          </cell>
          <cell r="P244">
            <v>0</v>
          </cell>
          <cell r="Q244">
            <v>0</v>
          </cell>
          <cell r="R244">
            <v>0</v>
          </cell>
          <cell r="S244">
            <v>0</v>
          </cell>
          <cell r="T244">
            <v>0.01</v>
          </cell>
          <cell r="U244">
            <v>0</v>
          </cell>
          <cell r="V244">
            <v>0</v>
          </cell>
          <cell r="W244">
            <v>0</v>
          </cell>
          <cell r="X244">
            <v>0</v>
          </cell>
          <cell r="Y244">
            <v>0</v>
          </cell>
          <cell r="Z244">
            <v>0</v>
          </cell>
          <cell r="AA244">
            <v>0</v>
          </cell>
          <cell r="AB244">
            <v>0</v>
          </cell>
          <cell r="AC244">
            <v>0</v>
          </cell>
          <cell r="AD244">
            <v>0</v>
          </cell>
          <cell r="AE244" t="str">
            <v>PE 85x580</v>
          </cell>
          <cell r="AF244">
            <v>0</v>
          </cell>
          <cell r="AG244">
            <v>4.2944999999999997E-2</v>
          </cell>
          <cell r="AH244">
            <v>1.012</v>
          </cell>
          <cell r="AI244">
            <v>0</v>
          </cell>
          <cell r="AJ244">
            <v>9530</v>
          </cell>
          <cell r="AK244">
            <v>0</v>
          </cell>
          <cell r="AL244">
            <v>2.2000000000000001E-3</v>
          </cell>
          <cell r="AM244" t="str">
            <v>túi ba biên</v>
          </cell>
          <cell r="AN244">
            <v>200</v>
          </cell>
          <cell r="AO244" t="str">
            <v>Công ty Thái Bình</v>
          </cell>
          <cell r="AP244" t="str">
            <v>1612337-1</v>
          </cell>
          <cell r="AQ244" t="str">
            <v>1612337-2</v>
          </cell>
          <cell r="AR244" t="str">
            <v>1612337-3</v>
          </cell>
          <cell r="AS244" t="str">
            <v>1612337-4</v>
          </cell>
          <cell r="AT244" t="str">
            <v>1612337-5</v>
          </cell>
          <cell r="AU244" t="str">
            <v>1704431-6</v>
          </cell>
          <cell r="AV244" t="str">
            <v>1612337-7</v>
          </cell>
          <cell r="AW244">
            <v>0</v>
          </cell>
          <cell r="AX244">
            <v>0</v>
          </cell>
          <cell r="AY244" t="str">
            <v>400x750</v>
          </cell>
          <cell r="AZ244" t="str">
            <v>I2</v>
          </cell>
          <cell r="BA244">
            <v>0</v>
          </cell>
          <cell r="BB244" t="str">
            <v>bao dứa</v>
          </cell>
          <cell r="BC244">
            <v>0</v>
          </cell>
          <cell r="BD244">
            <v>0</v>
          </cell>
        </row>
        <row r="245">
          <cell r="A245" t="str">
            <v>sp 703</v>
          </cell>
          <cell r="B245" t="str">
            <v>Túi gạo HCK 3kg Thái Bình</v>
          </cell>
          <cell r="C245">
            <v>9.3000000000000025</v>
          </cell>
          <cell r="D245">
            <v>1</v>
          </cell>
          <cell r="E245" t="str">
            <v>PA 15x560</v>
          </cell>
          <cell r="F245">
            <v>7</v>
          </cell>
          <cell r="G245" t="str">
            <v xml:space="preserve">PA </v>
          </cell>
          <cell r="H245">
            <v>0.1</v>
          </cell>
          <cell r="I245">
            <v>3.2</v>
          </cell>
          <cell r="J245">
            <v>0.5</v>
          </cell>
          <cell r="K245">
            <v>1</v>
          </cell>
          <cell r="L245">
            <v>1.4</v>
          </cell>
          <cell r="M245">
            <v>1.9</v>
          </cell>
          <cell r="N245">
            <v>0</v>
          </cell>
          <cell r="O245">
            <v>0.9</v>
          </cell>
          <cell r="P245">
            <v>0</v>
          </cell>
          <cell r="Q245">
            <v>0</v>
          </cell>
          <cell r="R245">
            <v>0</v>
          </cell>
          <cell r="S245">
            <v>0</v>
          </cell>
          <cell r="T245">
            <v>0.3</v>
          </cell>
          <cell r="U245">
            <v>0</v>
          </cell>
          <cell r="V245">
            <v>0</v>
          </cell>
          <cell r="W245">
            <v>0</v>
          </cell>
          <cell r="X245">
            <v>0</v>
          </cell>
          <cell r="Y245">
            <v>0</v>
          </cell>
          <cell r="Z245">
            <v>0</v>
          </cell>
          <cell r="AA245">
            <v>0</v>
          </cell>
          <cell r="AB245">
            <v>0</v>
          </cell>
          <cell r="AC245">
            <v>0</v>
          </cell>
          <cell r="AD245">
            <v>0</v>
          </cell>
          <cell r="AE245" t="str">
            <v>PE 110x560</v>
          </cell>
          <cell r="AF245">
            <v>0</v>
          </cell>
          <cell r="AG245">
            <v>5.5607500000000004E-2</v>
          </cell>
          <cell r="AH245">
            <v>0.95</v>
          </cell>
          <cell r="AI245">
            <v>0</v>
          </cell>
          <cell r="AJ245">
            <v>9530</v>
          </cell>
          <cell r="AK245">
            <v>0</v>
          </cell>
          <cell r="AL245">
            <v>2.5000000000000001E-3</v>
          </cell>
          <cell r="AM245" t="str">
            <v>túi ba biên</v>
          </cell>
          <cell r="AN245">
            <v>410</v>
          </cell>
          <cell r="AO245" t="str">
            <v>Công ty Thái Bình</v>
          </cell>
          <cell r="AP245" t="str">
            <v>1612350-1</v>
          </cell>
          <cell r="AQ245" t="str">
            <v>1612350-2</v>
          </cell>
          <cell r="AR245" t="str">
            <v>1612350-3</v>
          </cell>
          <cell r="AS245" t="str">
            <v>1612350-4</v>
          </cell>
          <cell r="AT245" t="str">
            <v>1612350-5</v>
          </cell>
          <cell r="AU245" t="str">
            <v>1704432-6</v>
          </cell>
          <cell r="AV245" t="str">
            <v>1612350-7</v>
          </cell>
          <cell r="AW245">
            <v>0</v>
          </cell>
          <cell r="AX245">
            <v>0</v>
          </cell>
          <cell r="AY245" t="str">
            <v>410x750</v>
          </cell>
          <cell r="AZ245" t="str">
            <v>J1</v>
          </cell>
          <cell r="BA245">
            <v>2000</v>
          </cell>
          <cell r="BB245" t="str">
            <v>bao dứa</v>
          </cell>
          <cell r="BC245">
            <v>0</v>
          </cell>
          <cell r="BD245">
            <v>0</v>
          </cell>
        </row>
        <row r="246">
          <cell r="A246" t="str">
            <v>sp 707</v>
          </cell>
          <cell r="B246" t="str">
            <v>Cuộn màng thuốc trừ sâu Belazole 75WP loại 8g Việt Thắng</v>
          </cell>
          <cell r="C246">
            <v>3.5000000000000004</v>
          </cell>
          <cell r="D246">
            <v>3</v>
          </cell>
          <cell r="E246" t="str">
            <v>PET 12x800</v>
          </cell>
          <cell r="F246">
            <v>6</v>
          </cell>
          <cell r="G246" t="str">
            <v>PET</v>
          </cell>
          <cell r="H246">
            <v>0.1</v>
          </cell>
          <cell r="I246">
            <v>2.1</v>
          </cell>
          <cell r="J246">
            <v>0.2</v>
          </cell>
          <cell r="K246">
            <v>0</v>
          </cell>
          <cell r="L246">
            <v>0.5</v>
          </cell>
          <cell r="M246">
            <v>0.4</v>
          </cell>
          <cell r="N246">
            <v>0</v>
          </cell>
          <cell r="O246">
            <v>0</v>
          </cell>
          <cell r="P246">
            <v>0.1</v>
          </cell>
          <cell r="Q246">
            <v>0</v>
          </cell>
          <cell r="R246">
            <v>0.1</v>
          </cell>
          <cell r="S246">
            <v>0</v>
          </cell>
          <cell r="T246">
            <v>0</v>
          </cell>
          <cell r="U246">
            <v>0</v>
          </cell>
          <cell r="V246">
            <v>0</v>
          </cell>
          <cell r="W246">
            <v>0</v>
          </cell>
          <cell r="X246">
            <v>0</v>
          </cell>
          <cell r="Y246">
            <v>0</v>
          </cell>
          <cell r="Z246">
            <v>0</v>
          </cell>
          <cell r="AA246">
            <v>0</v>
          </cell>
          <cell r="AB246">
            <v>0</v>
          </cell>
          <cell r="AC246">
            <v>0</v>
          </cell>
          <cell r="AD246">
            <v>0</v>
          </cell>
          <cell r="AE246" t="str">
            <v>Al 6x800</v>
          </cell>
          <cell r="AF246" t="str">
            <v>PE 95x810</v>
          </cell>
          <cell r="AG246">
            <v>0.10975600000000002</v>
          </cell>
          <cell r="AH246">
            <v>1.2113333333333334</v>
          </cell>
          <cell r="AI246">
            <v>1.2113333333333334</v>
          </cell>
          <cell r="AJ246">
            <v>9530</v>
          </cell>
          <cell r="AK246">
            <v>9530</v>
          </cell>
          <cell r="AL246" t="str">
            <v>0,0046(0,0023;0,0023)</v>
          </cell>
          <cell r="AM246" t="str">
            <v>dạng cuộn 700m</v>
          </cell>
          <cell r="AN246">
            <v>260</v>
          </cell>
          <cell r="AO246" t="str">
            <v>Công ty Việt Thắng</v>
          </cell>
          <cell r="AP246" t="str">
            <v>F116232-1</v>
          </cell>
          <cell r="AQ246" t="str">
            <v>F116232-2</v>
          </cell>
          <cell r="AR246" t="str">
            <v>F116232-3</v>
          </cell>
          <cell r="AS246" t="str">
            <v>F116232-4</v>
          </cell>
          <cell r="AT246" t="str">
            <v>F116232-5</v>
          </cell>
          <cell r="AU246" t="str">
            <v>F116232-6</v>
          </cell>
          <cell r="AV246" t="str">
            <v>F116232-7</v>
          </cell>
          <cell r="AW246">
            <v>0</v>
          </cell>
          <cell r="AX246">
            <v>0</v>
          </cell>
          <cell r="AY246" t="str">
            <v>450x850</v>
          </cell>
          <cell r="AZ246" t="str">
            <v>D2</v>
          </cell>
          <cell r="BA246" t="str">
            <v>1c</v>
          </cell>
          <cell r="BB246" t="str">
            <v>giấy cartoon K300</v>
          </cell>
          <cell r="BC246">
            <v>0</v>
          </cell>
          <cell r="BD246">
            <v>0</v>
          </cell>
        </row>
        <row r="247">
          <cell r="A247" t="str">
            <v>sp 709</v>
          </cell>
          <cell r="B247" t="str">
            <v>Túi không in KT 120x170 Việt Thắng</v>
          </cell>
          <cell r="C247">
            <v>0</v>
          </cell>
          <cell r="D247">
            <v>3</v>
          </cell>
          <cell r="E247" t="str">
            <v>PET 12x740</v>
          </cell>
          <cell r="F247">
            <v>0</v>
          </cell>
          <cell r="G247" t="str">
            <v>PET</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t="str">
            <v>Al 6x740</v>
          </cell>
          <cell r="AF247" t="str">
            <v>PE 95x750</v>
          </cell>
          <cell r="AG247">
            <v>8.9491900000000013E-2</v>
          </cell>
          <cell r="AH247">
            <v>0.876</v>
          </cell>
          <cell r="AI247">
            <v>1.6059999999999999</v>
          </cell>
          <cell r="AJ247">
            <v>9530</v>
          </cell>
          <cell r="AK247">
            <v>9530</v>
          </cell>
          <cell r="AL247" t="str">
            <v>0,0051(0,0018;0,0033)</v>
          </cell>
          <cell r="AM247" t="str">
            <v>túi ba biên</v>
          </cell>
          <cell r="AN247">
            <v>170</v>
          </cell>
          <cell r="AO247" t="str">
            <v>Công ty Việt Thắng</v>
          </cell>
          <cell r="AP247" t="e">
            <v>#N/A</v>
          </cell>
          <cell r="AQ247" t="e">
            <v>#N/A</v>
          </cell>
          <cell r="AR247" t="e">
            <v>#N/A</v>
          </cell>
          <cell r="AS247" t="e">
            <v>#N/A</v>
          </cell>
          <cell r="AT247" t="e">
            <v>#N/A</v>
          </cell>
          <cell r="AU247" t="e">
            <v>#N/A</v>
          </cell>
          <cell r="AV247" t="e">
            <v>#N/A</v>
          </cell>
          <cell r="AW247" t="e">
            <v>#N/A</v>
          </cell>
          <cell r="AX247" t="e">
            <v>#N/A</v>
          </cell>
          <cell r="AY247" t="e">
            <v>#N/A</v>
          </cell>
          <cell r="AZ247" t="e">
            <v>#N/A</v>
          </cell>
          <cell r="BA247">
            <v>9000</v>
          </cell>
          <cell r="BB247" t="str">
            <v>Thùng 5 lớp 42x34x36</v>
          </cell>
          <cell r="BC247">
            <v>0</v>
          </cell>
          <cell r="BD247" t="e">
            <v>#N/A</v>
          </cell>
        </row>
        <row r="248">
          <cell r="A248" t="str">
            <v>sp 710</v>
          </cell>
          <cell r="B248" t="str">
            <v>Túi thuốc trừ bệnh Kanra 72WP loại 25g Việt Thắng</v>
          </cell>
          <cell r="C248">
            <v>6.4090000000000007</v>
          </cell>
          <cell r="D248">
            <v>2</v>
          </cell>
          <cell r="E248" t="str">
            <v>PET 12x600</v>
          </cell>
          <cell r="F248">
            <v>6</v>
          </cell>
          <cell r="G248" t="str">
            <v>PET</v>
          </cell>
          <cell r="H248">
            <v>0.16</v>
          </cell>
          <cell r="I248">
            <v>3.31</v>
          </cell>
          <cell r="J248">
            <v>0.63</v>
          </cell>
          <cell r="K248">
            <v>0.09</v>
          </cell>
          <cell r="L248">
            <v>0.61</v>
          </cell>
          <cell r="M248">
            <v>0.83899999999999997</v>
          </cell>
          <cell r="N248">
            <v>0</v>
          </cell>
          <cell r="O248">
            <v>0.77</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t="str">
            <v>Al 6x600</v>
          </cell>
          <cell r="AF248" t="str">
            <v>PE 95x610</v>
          </cell>
          <cell r="AG248">
            <v>7.2561E-2</v>
          </cell>
          <cell r="AH248">
            <v>0.90466666666666651</v>
          </cell>
          <cell r="AI248">
            <v>1.18</v>
          </cell>
          <cell r="AJ248">
            <v>9530</v>
          </cell>
          <cell r="AK248">
            <v>9530</v>
          </cell>
          <cell r="AL248" t="str">
            <v>0,0053(0,0023;0,003)</v>
          </cell>
          <cell r="AM248" t="str">
            <v>dạng cuộn 700m</v>
          </cell>
          <cell r="AN248">
            <v>290</v>
          </cell>
          <cell r="AO248" t="str">
            <v>Công ty Việt Thắng</v>
          </cell>
          <cell r="AP248" t="str">
            <v>F116420G1-1</v>
          </cell>
          <cell r="AQ248" t="str">
            <v>F116420-2</v>
          </cell>
          <cell r="AR248" t="str">
            <v>F116420-3</v>
          </cell>
          <cell r="AS248" t="str">
            <v>F116420-4</v>
          </cell>
          <cell r="AT248" t="str">
            <v>F116420-5</v>
          </cell>
          <cell r="AU248" t="str">
            <v>F116420-6</v>
          </cell>
          <cell r="AV248">
            <v>0</v>
          </cell>
          <cell r="AW248">
            <v>0</v>
          </cell>
          <cell r="AX248">
            <v>0</v>
          </cell>
          <cell r="AY248" t="str">
            <v>450x750</v>
          </cell>
          <cell r="AZ248" t="str">
            <v>D2</v>
          </cell>
          <cell r="BA248" t="str">
            <v>1c</v>
          </cell>
          <cell r="BB248" t="str">
            <v>giấy cartoon K300</v>
          </cell>
          <cell r="BC248">
            <v>0</v>
          </cell>
          <cell r="BD248">
            <v>0</v>
          </cell>
        </row>
        <row r="249">
          <cell r="A249" t="str">
            <v>sp 711</v>
          </cell>
          <cell r="B249" t="str">
            <v>Cuộn thuốc trừ sâu vithadan 95WP loại 30g Việt Thắng</v>
          </cell>
          <cell r="C249">
            <v>6</v>
          </cell>
          <cell r="D249">
            <v>2</v>
          </cell>
          <cell r="E249" t="str">
            <v>PET 12x600</v>
          </cell>
          <cell r="F249">
            <v>6</v>
          </cell>
          <cell r="G249" t="str">
            <v>PET</v>
          </cell>
          <cell r="H249">
            <v>0.1</v>
          </cell>
          <cell r="I249">
            <v>3.8</v>
          </cell>
          <cell r="J249">
            <v>0.1</v>
          </cell>
          <cell r="K249">
            <v>1.9</v>
          </cell>
          <cell r="L249">
            <v>0.1</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t="str">
            <v>Al 6x600</v>
          </cell>
          <cell r="AF249" t="str">
            <v>PE 95x610</v>
          </cell>
          <cell r="AG249">
            <v>7.2561E-2</v>
          </cell>
          <cell r="AH249">
            <v>0.90466666666666651</v>
          </cell>
          <cell r="AI249">
            <v>1.18</v>
          </cell>
          <cell r="AJ249">
            <v>9530</v>
          </cell>
          <cell r="AK249">
            <v>9530</v>
          </cell>
          <cell r="AL249" t="str">
            <v>0,0053(0,0023;0,003)</v>
          </cell>
          <cell r="AM249" t="str">
            <v>dạng cuộn 700m</v>
          </cell>
          <cell r="AN249">
            <v>290</v>
          </cell>
          <cell r="AO249" t="str">
            <v>Công ty Việt Thắng</v>
          </cell>
          <cell r="AP249" t="str">
            <v>F116421-1</v>
          </cell>
          <cell r="AQ249" t="str">
            <v>F116421-2</v>
          </cell>
          <cell r="AR249" t="str">
            <v>F116421-3</v>
          </cell>
          <cell r="AS249" t="str">
            <v>F116421-4</v>
          </cell>
          <cell r="AT249" t="str">
            <v>F116421-5</v>
          </cell>
          <cell r="AU249">
            <v>0</v>
          </cell>
          <cell r="AV249">
            <v>0</v>
          </cell>
          <cell r="AW249">
            <v>0</v>
          </cell>
          <cell r="AX249">
            <v>0</v>
          </cell>
          <cell r="AY249" t="str">
            <v>450x750</v>
          </cell>
          <cell r="AZ249" t="str">
            <v>D2</v>
          </cell>
          <cell r="BA249" t="str">
            <v>1c</v>
          </cell>
          <cell r="BB249" t="str">
            <v>giấy cartoon K300</v>
          </cell>
          <cell r="BC249">
            <v>0</v>
          </cell>
          <cell r="BD249">
            <v>0</v>
          </cell>
        </row>
        <row r="250">
          <cell r="A250" t="str">
            <v>sp 716</v>
          </cell>
          <cell r="B250" t="str">
            <v xml:space="preserve">Cuộn thuốc trừ sâu Danobull 50WG -8g </v>
          </cell>
          <cell r="C250">
            <v>3.9000000000000004</v>
          </cell>
          <cell r="D250">
            <v>3</v>
          </cell>
          <cell r="E250" t="str">
            <v>PET 12x680</v>
          </cell>
          <cell r="F250">
            <v>5</v>
          </cell>
          <cell r="G250" t="str">
            <v>PET</v>
          </cell>
          <cell r="H250">
            <v>0.1</v>
          </cell>
          <cell r="I250">
            <v>2.2000000000000002</v>
          </cell>
          <cell r="J250">
            <v>0.2</v>
          </cell>
          <cell r="K250">
            <v>0.5</v>
          </cell>
          <cell r="L250">
            <v>0.2</v>
          </cell>
          <cell r="M250">
            <v>0.7</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t="str">
            <v>MPET 12x680</v>
          </cell>
          <cell r="AF250" t="str">
            <v>PE 75x680</v>
          </cell>
          <cell r="AG250">
            <v>7.0023000000000016E-2</v>
          </cell>
          <cell r="AH250">
            <v>1.0273333333333332</v>
          </cell>
          <cell r="AI250">
            <v>1.0273333333333332</v>
          </cell>
          <cell r="AJ250">
            <v>9530</v>
          </cell>
          <cell r="AK250">
            <v>9530</v>
          </cell>
          <cell r="AL250" t="str">
            <v>0,0046(0,0023;0,0023)</v>
          </cell>
          <cell r="AM250" t="str">
            <v>dạng cuộn 500m</v>
          </cell>
          <cell r="AN250">
            <v>220</v>
          </cell>
          <cell r="AO250" t="str">
            <v>Công ty Việt Đức</v>
          </cell>
          <cell r="AP250" t="str">
            <v>F416293-1</v>
          </cell>
          <cell r="AQ250" t="str">
            <v>F416293-2</v>
          </cell>
          <cell r="AR250" t="str">
            <v>F416293-3</v>
          </cell>
          <cell r="AS250" t="str">
            <v>F416293-4</v>
          </cell>
          <cell r="AT250" t="str">
            <v>F416293-5</v>
          </cell>
          <cell r="AU250">
            <v>0</v>
          </cell>
          <cell r="AV250">
            <v>0</v>
          </cell>
          <cell r="AW250">
            <v>0</v>
          </cell>
          <cell r="AX250">
            <v>0</v>
          </cell>
          <cell r="AY250" t="str">
            <v xml:space="preserve"> 750x417</v>
          </cell>
          <cell r="AZ250" t="str">
            <v>O1</v>
          </cell>
          <cell r="BA250" t="str">
            <v>2c</v>
          </cell>
          <cell r="BB250" t="str">
            <v>giấy cartoon K600</v>
          </cell>
          <cell r="BC250">
            <v>0</v>
          </cell>
          <cell r="BD250">
            <v>0</v>
          </cell>
        </row>
        <row r="251">
          <cell r="A251" t="str">
            <v>sp 718</v>
          </cell>
          <cell r="B251" t="str">
            <v>Cuộn thuốc trừ sâu bác sỹ Javizole 777WP loại 18g Việt Đức</v>
          </cell>
          <cell r="C251">
            <v>6.8000000000000007</v>
          </cell>
          <cell r="D251">
            <v>3</v>
          </cell>
          <cell r="E251" t="str">
            <v>PET 12x740</v>
          </cell>
          <cell r="F251">
            <v>6</v>
          </cell>
          <cell r="G251" t="str">
            <v>PET</v>
          </cell>
          <cell r="H251">
            <v>0.1</v>
          </cell>
          <cell r="I251">
            <v>2.4</v>
          </cell>
          <cell r="J251">
            <v>0.1</v>
          </cell>
          <cell r="K251">
            <v>0.1</v>
          </cell>
          <cell r="L251">
            <v>1.7</v>
          </cell>
          <cell r="M251">
            <v>2</v>
          </cell>
          <cell r="N251">
            <v>0</v>
          </cell>
          <cell r="O251">
            <v>0</v>
          </cell>
          <cell r="P251">
            <v>0.4</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t="str">
            <v>MPET 12x740</v>
          </cell>
          <cell r="AF251" t="str">
            <v>PE 75x740</v>
          </cell>
          <cell r="AG251">
            <v>7.6201500000000005E-2</v>
          </cell>
          <cell r="AH251">
            <v>1.1193333333333333</v>
          </cell>
          <cell r="AI251">
            <v>1.1193333333333333</v>
          </cell>
          <cell r="AJ251">
            <v>9530</v>
          </cell>
          <cell r="AK251">
            <v>9530</v>
          </cell>
          <cell r="AL251" t="str">
            <v>0,0046(0,0023;0,0023)</v>
          </cell>
          <cell r="AM251" t="str">
            <v>dạng cuộn 500m</v>
          </cell>
          <cell r="AN251">
            <v>240</v>
          </cell>
          <cell r="AO251" t="str">
            <v>Công ty Việt Đức</v>
          </cell>
          <cell r="AP251" t="str">
            <v>1703542-1</v>
          </cell>
          <cell r="AQ251" t="str">
            <v>1703542-2</v>
          </cell>
          <cell r="AR251" t="str">
            <v>1703542-3</v>
          </cell>
          <cell r="AS251" t="str">
            <v>1703542-4</v>
          </cell>
          <cell r="AT251" t="str">
            <v>1703542-5</v>
          </cell>
          <cell r="AU251" t="str">
            <v>1703542-6</v>
          </cell>
          <cell r="AV251">
            <v>0</v>
          </cell>
          <cell r="AW251">
            <v>0</v>
          </cell>
          <cell r="AX251">
            <v>0</v>
          </cell>
          <cell r="AY251" t="str">
            <v>480x750</v>
          </cell>
          <cell r="AZ251" t="str">
            <v>O1</v>
          </cell>
          <cell r="BA251" t="str">
            <v>2c</v>
          </cell>
          <cell r="BB251" t="str">
            <v>giấy cartoon K600</v>
          </cell>
          <cell r="BC251">
            <v>0</v>
          </cell>
          <cell r="BD251">
            <v>0</v>
          </cell>
        </row>
        <row r="252">
          <cell r="A252" t="str">
            <v>sp 719</v>
          </cell>
          <cell r="B252" t="str">
            <v>Cuộn thuốc trừ sâu xài ong vàng Javizole 777WP loại 18gr Việt Đức</v>
          </cell>
          <cell r="C252">
            <v>4.4000000000000004</v>
          </cell>
          <cell r="D252">
            <v>3</v>
          </cell>
          <cell r="E252" t="str">
            <v>PET 12x740</v>
          </cell>
          <cell r="F252">
            <v>5</v>
          </cell>
          <cell r="G252" t="str">
            <v>PET</v>
          </cell>
          <cell r="H252">
            <v>0.1</v>
          </cell>
          <cell r="I252">
            <v>3.5</v>
          </cell>
          <cell r="J252">
            <v>0.2</v>
          </cell>
          <cell r="K252">
            <v>0.3</v>
          </cell>
          <cell r="L252">
            <v>0.3</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t="str">
            <v>MPET 12x740</v>
          </cell>
          <cell r="AF252" t="str">
            <v>PE 75x740</v>
          </cell>
          <cell r="AG252">
            <v>7.6201500000000005E-2</v>
          </cell>
          <cell r="AH252">
            <v>1.1193333333333333</v>
          </cell>
          <cell r="AI252">
            <v>1.1193333333333333</v>
          </cell>
          <cell r="AJ252">
            <v>9530</v>
          </cell>
          <cell r="AK252">
            <v>9530</v>
          </cell>
          <cell r="AL252" t="str">
            <v>0,0046(0,0023;0,0023)</v>
          </cell>
          <cell r="AM252" t="str">
            <v>dạng cuộn 500m</v>
          </cell>
          <cell r="AN252">
            <v>240</v>
          </cell>
          <cell r="AO252" t="str">
            <v>Công ty Việt Đức</v>
          </cell>
          <cell r="AP252" t="str">
            <v>1703541-1</v>
          </cell>
          <cell r="AQ252" t="str">
            <v>1703541-2</v>
          </cell>
          <cell r="AR252" t="str">
            <v>1703541-3</v>
          </cell>
          <cell r="AS252" t="str">
            <v>1703541-4</v>
          </cell>
          <cell r="AT252" t="str">
            <v>1703541-5</v>
          </cell>
          <cell r="AU252">
            <v>0</v>
          </cell>
          <cell r="AV252">
            <v>0</v>
          </cell>
          <cell r="AW252">
            <v>0</v>
          </cell>
          <cell r="AX252">
            <v>0</v>
          </cell>
          <cell r="AY252" t="str">
            <v>480x750</v>
          </cell>
          <cell r="AZ252" t="str">
            <v>O1</v>
          </cell>
          <cell r="BA252" t="str">
            <v>2c</v>
          </cell>
          <cell r="BB252" t="str">
            <v>giấy cartoon K600</v>
          </cell>
          <cell r="BC252">
            <v>0</v>
          </cell>
          <cell r="BD252">
            <v>0</v>
          </cell>
        </row>
        <row r="253">
          <cell r="A253" t="str">
            <v>sp 720</v>
          </cell>
          <cell r="B253" t="str">
            <v>Cuộn thuốc trừ sâu hiệu Bim 777 USA 20g Việt Đức</v>
          </cell>
          <cell r="C253">
            <v>7.1000000000000005</v>
          </cell>
          <cell r="D253">
            <v>3</v>
          </cell>
          <cell r="E253" t="str">
            <v>PET 12x740</v>
          </cell>
          <cell r="F253">
            <v>6</v>
          </cell>
          <cell r="G253" t="str">
            <v>PET</v>
          </cell>
          <cell r="H253">
            <v>0.1</v>
          </cell>
          <cell r="I253">
            <v>2.7</v>
          </cell>
          <cell r="J253">
            <v>0.1</v>
          </cell>
          <cell r="K253">
            <v>0.1</v>
          </cell>
          <cell r="L253">
            <v>1.8</v>
          </cell>
          <cell r="M253">
            <v>2</v>
          </cell>
          <cell r="N253">
            <v>0</v>
          </cell>
          <cell r="O253">
            <v>0</v>
          </cell>
          <cell r="P253">
            <v>0.3</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t="str">
            <v>MPET 12x740</v>
          </cell>
          <cell r="AF253" t="str">
            <v>PE 75x740</v>
          </cell>
          <cell r="AG253">
            <v>7.6201500000000005E-2</v>
          </cell>
          <cell r="AH253">
            <v>1.1193333333333333</v>
          </cell>
          <cell r="AI253">
            <v>1.1193333333333333</v>
          </cell>
          <cell r="AJ253">
            <v>9530</v>
          </cell>
          <cell r="AK253">
            <v>9530</v>
          </cell>
          <cell r="AL253" t="str">
            <v>0,0046(0,0023;0,0023)</v>
          </cell>
          <cell r="AM253" t="str">
            <v>dạng cuộn 500m</v>
          </cell>
          <cell r="AN253">
            <v>240</v>
          </cell>
          <cell r="AO253" t="str">
            <v>Công ty Việt Đức</v>
          </cell>
          <cell r="AP253" t="e">
            <v>#N/A</v>
          </cell>
          <cell r="AQ253" t="e">
            <v>#N/A</v>
          </cell>
          <cell r="AR253" t="e">
            <v>#N/A</v>
          </cell>
          <cell r="AS253" t="e">
            <v>#N/A</v>
          </cell>
          <cell r="AT253" t="e">
            <v>#N/A</v>
          </cell>
          <cell r="AU253" t="e">
            <v>#N/A</v>
          </cell>
          <cell r="AV253" t="e">
            <v>#N/A</v>
          </cell>
          <cell r="AW253" t="e">
            <v>#N/A</v>
          </cell>
          <cell r="AX253" t="e">
            <v>#N/A</v>
          </cell>
          <cell r="AY253" t="e">
            <v>#N/A</v>
          </cell>
          <cell r="AZ253" t="e">
            <v>#N/A</v>
          </cell>
          <cell r="BA253" t="str">
            <v>2c</v>
          </cell>
          <cell r="BB253" t="str">
            <v>giấy cartoon K600</v>
          </cell>
          <cell r="BC253">
            <v>0</v>
          </cell>
          <cell r="BD253" t="e">
            <v>#N/A</v>
          </cell>
        </row>
        <row r="254">
          <cell r="A254" t="str">
            <v>sp 721</v>
          </cell>
          <cell r="B254" t="str">
            <v>Túi thuốc trừ sâu starbem 500WP loại 15g Hòa bình</v>
          </cell>
          <cell r="C254">
            <v>5.8</v>
          </cell>
          <cell r="D254">
            <v>3</v>
          </cell>
          <cell r="E254" t="str">
            <v>PET 12x770</v>
          </cell>
          <cell r="F254">
            <v>7</v>
          </cell>
          <cell r="G254" t="str">
            <v>PET</v>
          </cell>
          <cell r="H254">
            <v>0.2</v>
          </cell>
          <cell r="I254">
            <v>3.2</v>
          </cell>
          <cell r="J254">
            <v>0.3</v>
          </cell>
          <cell r="K254">
            <v>0.1</v>
          </cell>
          <cell r="L254">
            <v>1.4</v>
          </cell>
          <cell r="M254">
            <v>0</v>
          </cell>
          <cell r="N254">
            <v>0</v>
          </cell>
          <cell r="O254">
            <v>0.1</v>
          </cell>
          <cell r="P254">
            <v>0.5</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t="str">
            <v>MPET 12x770</v>
          </cell>
          <cell r="AF254" t="str">
            <v>PE 75x770</v>
          </cell>
          <cell r="AG254">
            <v>7.9290750000000007E-2</v>
          </cell>
          <cell r="AH254">
            <v>1.1653333333333333</v>
          </cell>
          <cell r="AI254">
            <v>1.1653333333333333</v>
          </cell>
          <cell r="AJ254">
            <v>9530</v>
          </cell>
          <cell r="AK254">
            <v>9530</v>
          </cell>
          <cell r="AL254" t="str">
            <v>0,0046(0,0023;0,0023)</v>
          </cell>
          <cell r="AM254" t="str">
            <v>túi ba biên</v>
          </cell>
          <cell r="AN254">
            <v>100</v>
          </cell>
          <cell r="AO254" t="str">
            <v>Công ty Quốc tế Hòa Bình</v>
          </cell>
          <cell r="AP254" t="str">
            <v>1703749-1</v>
          </cell>
          <cell r="AQ254" t="str">
            <v>1703749-2</v>
          </cell>
          <cell r="AR254" t="str">
            <v>1703749-3</v>
          </cell>
          <cell r="AS254" t="str">
            <v>1703749-4</v>
          </cell>
          <cell r="AT254" t="str">
            <v>1703749-5</v>
          </cell>
          <cell r="AU254" t="str">
            <v>1703749-6</v>
          </cell>
          <cell r="AV254" t="str">
            <v>1703749-7</v>
          </cell>
          <cell r="AW254">
            <v>0</v>
          </cell>
          <cell r="AX254">
            <v>0</v>
          </cell>
          <cell r="AY254" t="str">
            <v>400x850</v>
          </cell>
          <cell r="AZ254" t="str">
            <v>T1</v>
          </cell>
          <cell r="BA254">
            <v>15000</v>
          </cell>
          <cell r="BB254" t="str">
            <v>Thùng 5 lớp 42x34x36</v>
          </cell>
          <cell r="BC254">
            <v>0</v>
          </cell>
          <cell r="BD254">
            <v>0</v>
          </cell>
        </row>
        <row r="255">
          <cell r="A255" t="str">
            <v>sp 722</v>
          </cell>
          <cell r="B255" t="str">
            <v>Túi thuốc trừ sâu Aperlaur hiệu dế mèn 100WP loại 50gr</v>
          </cell>
          <cell r="C255">
            <v>3.8000000000000003</v>
          </cell>
          <cell r="D255">
            <v>2</v>
          </cell>
          <cell r="E255" t="str">
            <v>PET 12x800</v>
          </cell>
          <cell r="F255">
            <v>7</v>
          </cell>
          <cell r="G255" t="str">
            <v>PET</v>
          </cell>
          <cell r="H255">
            <v>0.1</v>
          </cell>
          <cell r="I255">
            <v>2.5</v>
          </cell>
          <cell r="J255">
            <v>0.1</v>
          </cell>
          <cell r="K255">
            <v>0.1</v>
          </cell>
          <cell r="L255">
            <v>0.6</v>
          </cell>
          <cell r="M255">
            <v>0</v>
          </cell>
          <cell r="N255">
            <v>0</v>
          </cell>
          <cell r="O255">
            <v>0.3</v>
          </cell>
          <cell r="P255">
            <v>0.1</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t="str">
            <v>MPET 12x800</v>
          </cell>
          <cell r="AF255" t="str">
            <v>PE 75x800</v>
          </cell>
          <cell r="AG255">
            <v>8.2380000000000009E-2</v>
          </cell>
          <cell r="AH255">
            <v>1.2113333333333334</v>
          </cell>
          <cell r="AI255">
            <v>1.2113333333333334</v>
          </cell>
          <cell r="AJ255">
            <v>9530</v>
          </cell>
          <cell r="AK255">
            <v>9530</v>
          </cell>
          <cell r="AL255" t="str">
            <v>0,0046(0,0023;0,0023)</v>
          </cell>
          <cell r="AM255" t="str">
            <v>túi ba biên</v>
          </cell>
          <cell r="AN255">
            <v>135</v>
          </cell>
          <cell r="AO255" t="str">
            <v>Công ty Quốc tế Hòa Bình</v>
          </cell>
          <cell r="AP255" t="str">
            <v>17031055-1</v>
          </cell>
          <cell r="AQ255" t="str">
            <v>17031055-2</v>
          </cell>
          <cell r="AR255" t="str">
            <v>17031055-3</v>
          </cell>
          <cell r="AS255" t="str">
            <v>17031055-4</v>
          </cell>
          <cell r="AT255" t="str">
            <v>17031055-5</v>
          </cell>
          <cell r="AU255" t="str">
            <v>17031055-6</v>
          </cell>
          <cell r="AV255" t="str">
            <v>17031055-7</v>
          </cell>
          <cell r="AW255">
            <v>0</v>
          </cell>
          <cell r="AX255">
            <v>0</v>
          </cell>
          <cell r="AY255" t="str">
            <v>405x850</v>
          </cell>
          <cell r="AZ255" t="str">
            <v>T1</v>
          </cell>
          <cell r="BA255">
            <v>7000</v>
          </cell>
          <cell r="BB255" t="str">
            <v>Thùng 5 lớp 42x34x36</v>
          </cell>
          <cell r="BC255">
            <v>0</v>
          </cell>
          <cell r="BD255">
            <v>0</v>
          </cell>
        </row>
        <row r="256">
          <cell r="A256" t="str">
            <v>sp 723</v>
          </cell>
          <cell r="B256" t="str">
            <v>Túi thuốc trừ sâu Megazebusa 750WP loại 100g</v>
          </cell>
          <cell r="C256">
            <v>5.8</v>
          </cell>
          <cell r="D256">
            <v>2</v>
          </cell>
          <cell r="E256" t="str">
            <v>PET 12x660</v>
          </cell>
          <cell r="F256">
            <v>7</v>
          </cell>
          <cell r="G256" t="str">
            <v>PET</v>
          </cell>
          <cell r="H256">
            <v>0.1</v>
          </cell>
          <cell r="I256">
            <v>4</v>
          </cell>
          <cell r="J256">
            <v>0.2</v>
          </cell>
          <cell r="K256">
            <v>0.1</v>
          </cell>
          <cell r="L256">
            <v>0.2</v>
          </cell>
          <cell r="M256">
            <v>0</v>
          </cell>
          <cell r="N256">
            <v>0</v>
          </cell>
          <cell r="O256">
            <v>1</v>
          </cell>
          <cell r="P256">
            <v>0.2</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t="str">
            <v>MPET 12x660</v>
          </cell>
          <cell r="AF256" t="str">
            <v>PE 75x660</v>
          </cell>
          <cell r="AG256">
            <v>6.796350000000001E-2</v>
          </cell>
          <cell r="AH256">
            <v>0.99666666666666659</v>
          </cell>
          <cell r="AI256">
            <v>0.99666666666666659</v>
          </cell>
          <cell r="AJ256">
            <v>9530</v>
          </cell>
          <cell r="AK256">
            <v>9530</v>
          </cell>
          <cell r="AL256" t="str">
            <v>0,0046(0,0023;0,0023)</v>
          </cell>
          <cell r="AM256" t="str">
            <v>túi ba biên</v>
          </cell>
          <cell r="AN256">
            <v>210</v>
          </cell>
          <cell r="AO256" t="str">
            <v>Công ty Trần Vũ</v>
          </cell>
          <cell r="AP256" t="e">
            <v>#N/A</v>
          </cell>
          <cell r="AQ256" t="e">
            <v>#N/A</v>
          </cell>
          <cell r="AR256" t="e">
            <v>#N/A</v>
          </cell>
          <cell r="AS256" t="e">
            <v>#N/A</v>
          </cell>
          <cell r="AT256" t="e">
            <v>#N/A</v>
          </cell>
          <cell r="AU256" t="e">
            <v>#N/A</v>
          </cell>
          <cell r="AV256" t="e">
            <v>#N/A</v>
          </cell>
          <cell r="AW256" t="e">
            <v>#N/A</v>
          </cell>
          <cell r="AX256" t="e">
            <v>#N/A</v>
          </cell>
          <cell r="AY256" t="e">
            <v>#N/A</v>
          </cell>
          <cell r="AZ256" t="e">
            <v>#N/A</v>
          </cell>
          <cell r="BA256">
            <v>6000</v>
          </cell>
          <cell r="BB256" t="str">
            <v>Thùng 5 lớp 42x34x36</v>
          </cell>
          <cell r="BC256">
            <v>0</v>
          </cell>
          <cell r="BD256" t="e">
            <v>#N/A</v>
          </cell>
        </row>
        <row r="257">
          <cell r="A257" t="str">
            <v>sp 724</v>
          </cell>
          <cell r="B257" t="str">
            <v>Túi hạt giống lúa lai Mahyco TH 3-5 1kg mới</v>
          </cell>
          <cell r="C257">
            <v>6.53</v>
          </cell>
          <cell r="D257">
            <v>2</v>
          </cell>
          <cell r="E257" t="str">
            <v>OPP 20x900</v>
          </cell>
          <cell r="F257">
            <v>6</v>
          </cell>
          <cell r="G257" t="str">
            <v>OPP</v>
          </cell>
          <cell r="H257">
            <v>0.1</v>
          </cell>
          <cell r="I257">
            <v>3.26</v>
          </cell>
          <cell r="J257">
            <v>0.45</v>
          </cell>
          <cell r="K257">
            <v>0</v>
          </cell>
          <cell r="L257">
            <v>2.35</v>
          </cell>
          <cell r="M257">
            <v>0.15</v>
          </cell>
          <cell r="N257">
            <v>0</v>
          </cell>
          <cell r="O257">
            <v>0.01</v>
          </cell>
          <cell r="P257">
            <v>0.06</v>
          </cell>
          <cell r="Q257">
            <v>0.15</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t="str">
            <v>PE 90x900</v>
          </cell>
          <cell r="AF257">
            <v>0</v>
          </cell>
          <cell r="AG257">
            <v>9.1305000000000011E-2</v>
          </cell>
          <cell r="AH257">
            <v>1.4833333333333334</v>
          </cell>
          <cell r="AI257">
            <v>0</v>
          </cell>
          <cell r="AJ257">
            <v>9530</v>
          </cell>
          <cell r="AK257">
            <v>0</v>
          </cell>
          <cell r="AL257">
            <v>2.5000000000000001E-3</v>
          </cell>
          <cell r="AM257" t="str">
            <v>túi ba biên</v>
          </cell>
          <cell r="AN257">
            <v>310</v>
          </cell>
          <cell r="AO257" t="str">
            <v>Công ty TNHH Mahyco Việt Nam</v>
          </cell>
          <cell r="AP257" t="str">
            <v>22031034-1</v>
          </cell>
          <cell r="AQ257" t="str">
            <v>1704290-2</v>
          </cell>
          <cell r="AR257" t="str">
            <v>1704290-3</v>
          </cell>
          <cell r="AS257" t="str">
            <v>1704290-4</v>
          </cell>
          <cell r="AT257" t="str">
            <v>1704290-5</v>
          </cell>
          <cell r="AU257" t="str">
            <v>1704290-6</v>
          </cell>
          <cell r="AV257">
            <v>0</v>
          </cell>
          <cell r="AW257">
            <v>0</v>
          </cell>
          <cell r="AX257">
            <v>0</v>
          </cell>
          <cell r="AY257" t="str">
            <v>620x1100</v>
          </cell>
          <cell r="AZ257" t="str">
            <v>O1</v>
          </cell>
          <cell r="BA257">
            <v>3500</v>
          </cell>
          <cell r="BB257" t="str">
            <v>bao dứa</v>
          </cell>
          <cell r="BC257">
            <v>0</v>
          </cell>
          <cell r="BD257">
            <v>0</v>
          </cell>
        </row>
        <row r="258">
          <cell r="A258" t="str">
            <v>sp 763</v>
          </cell>
          <cell r="B258" t="str">
            <v>Túi thuốc trừ sâu techtimex 50WG hiệu chim sẻ loại 10g</v>
          </cell>
          <cell r="C258">
            <v>4.96</v>
          </cell>
          <cell r="D258">
            <v>3</v>
          </cell>
          <cell r="E258" t="str">
            <v>PET 12x770</v>
          </cell>
          <cell r="F258">
            <v>7</v>
          </cell>
          <cell r="G258" t="str">
            <v>PET</v>
          </cell>
          <cell r="H258">
            <v>0.1</v>
          </cell>
          <cell r="I258">
            <v>3</v>
          </cell>
          <cell r="J258">
            <v>0.1</v>
          </cell>
          <cell r="K258">
            <v>0.16</v>
          </cell>
          <cell r="L258">
            <v>1.3</v>
          </cell>
          <cell r="M258">
            <v>0</v>
          </cell>
          <cell r="N258">
            <v>0</v>
          </cell>
          <cell r="O258">
            <v>0</v>
          </cell>
          <cell r="P258">
            <v>0.2</v>
          </cell>
          <cell r="Q258">
            <v>0</v>
          </cell>
          <cell r="R258">
            <v>0.1</v>
          </cell>
          <cell r="S258">
            <v>0</v>
          </cell>
          <cell r="T258">
            <v>0</v>
          </cell>
          <cell r="U258">
            <v>0</v>
          </cell>
          <cell r="V258">
            <v>0</v>
          </cell>
          <cell r="W258">
            <v>0</v>
          </cell>
          <cell r="X258">
            <v>0</v>
          </cell>
          <cell r="Y258">
            <v>0</v>
          </cell>
          <cell r="Z258">
            <v>0</v>
          </cell>
          <cell r="AA258">
            <v>0</v>
          </cell>
          <cell r="AB258">
            <v>0</v>
          </cell>
          <cell r="AC258">
            <v>0</v>
          </cell>
          <cell r="AD258">
            <v>0</v>
          </cell>
          <cell r="AE258" t="str">
            <v>MPET 12x770</v>
          </cell>
          <cell r="AF258" t="str">
            <v>PE 75x770</v>
          </cell>
          <cell r="AG258">
            <v>7.9290750000000007E-2</v>
          </cell>
          <cell r="AH258">
            <v>1.1653333333333333</v>
          </cell>
          <cell r="AI258">
            <v>1.1653333333333333</v>
          </cell>
          <cell r="AJ258">
            <v>9530</v>
          </cell>
          <cell r="AK258">
            <v>9530</v>
          </cell>
          <cell r="AL258" t="str">
            <v>0,0046(0,0023;0,0023)</v>
          </cell>
          <cell r="AM258" t="str">
            <v>túi ba biên</v>
          </cell>
          <cell r="AN258">
            <v>97</v>
          </cell>
          <cell r="AO258" t="str">
            <v>Công ty American</v>
          </cell>
          <cell r="AP258" t="str">
            <v>18091255-1</v>
          </cell>
          <cell r="AQ258" t="str">
            <v>1705790-2</v>
          </cell>
          <cell r="AR258" t="str">
            <v>1705790-3</v>
          </cell>
          <cell r="AS258" t="str">
            <v>1705790-4</v>
          </cell>
          <cell r="AT258" t="str">
            <v>1705790-5</v>
          </cell>
          <cell r="AU258" t="str">
            <v>1705790-6</v>
          </cell>
          <cell r="AV258" t="str">
            <v>1705790-7</v>
          </cell>
          <cell r="AW258">
            <v>0</v>
          </cell>
          <cell r="AX258">
            <v>0</v>
          </cell>
          <cell r="AY258" t="str">
            <v>485x850</v>
          </cell>
          <cell r="AZ258" t="str">
            <v>O2</v>
          </cell>
          <cell r="BA258">
            <v>15000</v>
          </cell>
          <cell r="BB258" t="str">
            <v>Thùng 5 lớp 42x34x36</v>
          </cell>
          <cell r="BC258">
            <v>0</v>
          </cell>
          <cell r="BD258">
            <v>0</v>
          </cell>
        </row>
        <row r="259">
          <cell r="A259" t="str">
            <v>sp 766</v>
          </cell>
          <cell r="B259" t="str">
            <v>Túi trà chữ đỏ 100g loại 6 Thanh Minh</v>
          </cell>
          <cell r="C259">
            <v>1.262</v>
          </cell>
          <cell r="D259">
            <v>3</v>
          </cell>
          <cell r="E259" t="str">
            <v>PET 12x740</v>
          </cell>
          <cell r="F259">
            <v>5</v>
          </cell>
          <cell r="G259" t="str">
            <v>PET</v>
          </cell>
          <cell r="H259">
            <v>0</v>
          </cell>
          <cell r="I259">
            <v>0.08</v>
          </cell>
          <cell r="J259">
            <v>0.02</v>
          </cell>
          <cell r="K259">
            <v>0.11</v>
          </cell>
          <cell r="L259">
            <v>0.01</v>
          </cell>
          <cell r="M259">
            <v>7.1999999999999995E-2</v>
          </cell>
          <cell r="N259">
            <v>0.97</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t="str">
            <v>MPET 12x740</v>
          </cell>
          <cell r="AF259" t="str">
            <v>PE 75x740</v>
          </cell>
          <cell r="AG259">
            <v>7.6201500000000005E-2</v>
          </cell>
          <cell r="AH259">
            <v>1.1193333333333333</v>
          </cell>
          <cell r="AI259">
            <v>1.46</v>
          </cell>
          <cell r="AJ259">
            <v>9530</v>
          </cell>
          <cell r="AK259">
            <v>9530</v>
          </cell>
          <cell r="AL259" t="str">
            <v>0,0053(0,0023;0,003)</v>
          </cell>
          <cell r="AM259" t="str">
            <v>túi hàn lưng xếp hông</v>
          </cell>
          <cell r="AN259">
            <v>270</v>
          </cell>
          <cell r="AO259" t="str">
            <v>Công ty Thanh Minh</v>
          </cell>
          <cell r="AP259" t="e">
            <v>#N/A</v>
          </cell>
          <cell r="AQ259" t="e">
            <v>#N/A</v>
          </cell>
          <cell r="AR259" t="e">
            <v>#N/A</v>
          </cell>
          <cell r="AS259" t="e">
            <v>#N/A</v>
          </cell>
          <cell r="AT259" t="e">
            <v>#N/A</v>
          </cell>
          <cell r="AU259" t="e">
            <v>#N/A</v>
          </cell>
          <cell r="AV259" t="e">
            <v>#N/A</v>
          </cell>
          <cell r="AW259" t="e">
            <v>#N/A</v>
          </cell>
          <cell r="AX259" t="e">
            <v>#N/A</v>
          </cell>
          <cell r="AY259" t="e">
            <v>#N/A</v>
          </cell>
          <cell r="AZ259" t="e">
            <v>#N/A</v>
          </cell>
          <cell r="BA259">
            <v>3000</v>
          </cell>
          <cell r="BB259" t="str">
            <v>Thùng 5 lớp 43x35,5x25,5 Thanh Minh</v>
          </cell>
          <cell r="BC259">
            <v>0</v>
          </cell>
          <cell r="BD259" t="e">
            <v>#N/A</v>
          </cell>
        </row>
        <row r="260">
          <cell r="A260" t="str">
            <v>sp 767</v>
          </cell>
          <cell r="B260" t="str">
            <v>Túi trà chữ đỏ 200g loại 6 Thanh Minh</v>
          </cell>
          <cell r="C260">
            <v>5.7680000000000007</v>
          </cell>
          <cell r="D260">
            <v>3</v>
          </cell>
          <cell r="E260" t="str">
            <v>PET 12x920</v>
          </cell>
          <cell r="F260">
            <v>5</v>
          </cell>
          <cell r="G260" t="str">
            <v>PET</v>
          </cell>
          <cell r="H260">
            <v>0.01</v>
          </cell>
          <cell r="I260">
            <v>0.51</v>
          </cell>
          <cell r="J260">
            <v>0.26</v>
          </cell>
          <cell r="K260">
            <v>0.21</v>
          </cell>
          <cell r="L260">
            <v>0.01</v>
          </cell>
          <cell r="M260">
            <v>0.67800000000000005</v>
          </cell>
          <cell r="N260">
            <v>3.93</v>
          </cell>
          <cell r="O260">
            <v>0</v>
          </cell>
          <cell r="P260">
            <v>0.16</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t="str">
            <v>MPET 12x920</v>
          </cell>
          <cell r="AF260" t="str">
            <v>PE 75x920</v>
          </cell>
          <cell r="AG260">
            <v>9.4737000000000016E-2</v>
          </cell>
          <cell r="AH260">
            <v>1.3953333333333333</v>
          </cell>
          <cell r="AI260">
            <v>1.82</v>
          </cell>
          <cell r="AJ260">
            <v>9530</v>
          </cell>
          <cell r="AK260">
            <v>9530</v>
          </cell>
          <cell r="AL260" t="str">
            <v>0,0053(0,0023;0,003)</v>
          </cell>
          <cell r="AM260" t="str">
            <v>túi hàn lưng xếp hông</v>
          </cell>
          <cell r="AN260">
            <v>335</v>
          </cell>
          <cell r="AO260" t="str">
            <v>Công ty Thanh Minh</v>
          </cell>
          <cell r="AP260" t="e">
            <v>#N/A</v>
          </cell>
          <cell r="AQ260" t="e">
            <v>#N/A</v>
          </cell>
          <cell r="AR260" t="e">
            <v>#N/A</v>
          </cell>
          <cell r="AS260" t="e">
            <v>#N/A</v>
          </cell>
          <cell r="AT260" t="e">
            <v>#N/A</v>
          </cell>
          <cell r="AU260" t="e">
            <v>#N/A</v>
          </cell>
          <cell r="AV260" t="e">
            <v>#N/A</v>
          </cell>
          <cell r="AW260" t="e">
            <v>#N/A</v>
          </cell>
          <cell r="AX260" t="e">
            <v>#N/A</v>
          </cell>
          <cell r="AY260" t="e">
            <v>#N/A</v>
          </cell>
          <cell r="AZ260" t="e">
            <v>#N/A</v>
          </cell>
          <cell r="BA260">
            <v>2000</v>
          </cell>
          <cell r="BB260" t="str">
            <v>Thùng 5 lớp 43x35,5x29 Thanh Minh</v>
          </cell>
          <cell r="BC260">
            <v>0</v>
          </cell>
          <cell r="BD260" t="e">
            <v>#N/A</v>
          </cell>
        </row>
        <row r="261">
          <cell r="A261" t="str">
            <v>sp 768</v>
          </cell>
          <cell r="B261" t="str">
            <v>Túi trà chữ đỏ đặc sản 500g loại 6 Thanh Minh</v>
          </cell>
          <cell r="C261">
            <v>6.3579999999999997</v>
          </cell>
          <cell r="D261">
            <v>2</v>
          </cell>
          <cell r="E261" t="str">
            <v>PET 12x760</v>
          </cell>
          <cell r="F261">
            <v>5</v>
          </cell>
          <cell r="G261" t="str">
            <v>PET</v>
          </cell>
          <cell r="H261">
            <v>0.06</v>
          </cell>
          <cell r="I261">
            <v>1.02</v>
          </cell>
          <cell r="J261">
            <v>0.01</v>
          </cell>
          <cell r="K261">
            <v>0.56000000000000005</v>
          </cell>
          <cell r="L261">
            <v>0.06</v>
          </cell>
          <cell r="M261">
            <v>0.83799999999999997</v>
          </cell>
          <cell r="N261">
            <v>3.44</v>
          </cell>
          <cell r="O261">
            <v>0</v>
          </cell>
          <cell r="P261">
            <v>0.03</v>
          </cell>
          <cell r="Q261">
            <v>0</v>
          </cell>
          <cell r="R261">
            <v>0</v>
          </cell>
          <cell r="S261">
            <v>0</v>
          </cell>
          <cell r="T261">
            <v>0.34</v>
          </cell>
          <cell r="U261">
            <v>0</v>
          </cell>
          <cell r="V261">
            <v>0</v>
          </cell>
          <cell r="W261">
            <v>0</v>
          </cell>
          <cell r="X261">
            <v>0</v>
          </cell>
          <cell r="Y261">
            <v>0</v>
          </cell>
          <cell r="Z261">
            <v>0</v>
          </cell>
          <cell r="AA261">
            <v>0</v>
          </cell>
          <cell r="AB261">
            <v>0</v>
          </cell>
          <cell r="AC261">
            <v>0</v>
          </cell>
          <cell r="AD261">
            <v>0</v>
          </cell>
          <cell r="AE261" t="str">
            <v>MPET 12x760</v>
          </cell>
          <cell r="AF261" t="str">
            <v>PE 75x760</v>
          </cell>
          <cell r="AG261">
            <v>7.8261000000000011E-2</v>
          </cell>
          <cell r="AH261">
            <v>1.1499999999999999</v>
          </cell>
          <cell r="AI261">
            <v>1.5</v>
          </cell>
          <cell r="AJ261">
            <v>9530</v>
          </cell>
          <cell r="AK261">
            <v>9530</v>
          </cell>
          <cell r="AL261" t="str">
            <v>0,0053(0,0023;0,003)</v>
          </cell>
          <cell r="AM261" t="str">
            <v>túi hàn lưng xếp hông</v>
          </cell>
          <cell r="AN261">
            <v>420</v>
          </cell>
          <cell r="AO261" t="str">
            <v>Công ty Thanh Minh</v>
          </cell>
          <cell r="AP261" t="e">
            <v>#N/A</v>
          </cell>
          <cell r="AQ261" t="e">
            <v>#N/A</v>
          </cell>
          <cell r="AR261" t="e">
            <v>#N/A</v>
          </cell>
          <cell r="AS261" t="e">
            <v>#N/A</v>
          </cell>
          <cell r="AT261" t="e">
            <v>#N/A</v>
          </cell>
          <cell r="AU261" t="e">
            <v>#N/A</v>
          </cell>
          <cell r="AV261" t="e">
            <v>#N/A</v>
          </cell>
          <cell r="AW261" t="e">
            <v>#N/A</v>
          </cell>
          <cell r="AX261" t="e">
            <v>#N/A</v>
          </cell>
          <cell r="AY261" t="e">
            <v>#N/A</v>
          </cell>
          <cell r="AZ261" t="e">
            <v>#N/A</v>
          </cell>
          <cell r="BA261">
            <v>1500</v>
          </cell>
          <cell r="BB261" t="str">
            <v>Thùng 5 lớp 43x35,5x29 Thanh Minh</v>
          </cell>
          <cell r="BC261">
            <v>0</v>
          </cell>
          <cell r="BD261" t="e">
            <v>#N/A</v>
          </cell>
        </row>
        <row r="262">
          <cell r="A262" t="str">
            <v>sp 768a</v>
          </cell>
          <cell r="B262" t="str">
            <v>Túi trà chữ đỏ tân cương 500g loại 6 Thanh Minh</v>
          </cell>
          <cell r="C262">
            <v>4.3959999999999999</v>
          </cell>
          <cell r="D262">
            <v>2</v>
          </cell>
          <cell r="E262" t="str">
            <v>PET 12x760</v>
          </cell>
          <cell r="F262">
            <v>5</v>
          </cell>
          <cell r="G262" t="str">
            <v>PET</v>
          </cell>
          <cell r="H262">
            <v>0</v>
          </cell>
          <cell r="I262">
            <v>0.65</v>
          </cell>
          <cell r="J262">
            <v>0.02</v>
          </cell>
          <cell r="K262">
            <v>0.03</v>
          </cell>
          <cell r="L262">
            <v>0.02</v>
          </cell>
          <cell r="M262">
            <v>0.44600000000000001</v>
          </cell>
          <cell r="N262">
            <v>3.23</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t="str">
            <v>MPET 12x760</v>
          </cell>
          <cell r="AF262" t="str">
            <v>PE 75x760</v>
          </cell>
          <cell r="AG262">
            <v>7.8261000000000011E-2</v>
          </cell>
          <cell r="AH262">
            <v>1.1499999999999999</v>
          </cell>
          <cell r="AI262">
            <v>1.5</v>
          </cell>
          <cell r="AJ262">
            <v>9530</v>
          </cell>
          <cell r="AK262">
            <v>9530</v>
          </cell>
          <cell r="AL262" t="str">
            <v>0,0053(0,0023;0,003)</v>
          </cell>
          <cell r="AM262" t="str">
            <v>túi hàn lưng xếp hông</v>
          </cell>
          <cell r="AN262">
            <v>420</v>
          </cell>
          <cell r="AO262" t="str">
            <v>Công ty Thanh Minh</v>
          </cell>
          <cell r="AP262" t="e">
            <v>#N/A</v>
          </cell>
          <cell r="AQ262" t="e">
            <v>#N/A</v>
          </cell>
          <cell r="AR262" t="e">
            <v>#N/A</v>
          </cell>
          <cell r="AS262" t="e">
            <v>#N/A</v>
          </cell>
          <cell r="AT262" t="e">
            <v>#N/A</v>
          </cell>
          <cell r="AU262" t="e">
            <v>#N/A</v>
          </cell>
          <cell r="AV262" t="e">
            <v>#N/A</v>
          </cell>
          <cell r="AW262" t="e">
            <v>#N/A</v>
          </cell>
          <cell r="AX262" t="e">
            <v>#N/A</v>
          </cell>
          <cell r="AY262" t="e">
            <v>#N/A</v>
          </cell>
          <cell r="AZ262" t="e">
            <v>#N/A</v>
          </cell>
          <cell r="BA262">
            <v>1500</v>
          </cell>
          <cell r="BB262" t="str">
            <v>Thùng 5 lớp 43x35,5x29 Thanh Minh</v>
          </cell>
          <cell r="BC262">
            <v>0</v>
          </cell>
          <cell r="BD262" t="e">
            <v>#N/A</v>
          </cell>
        </row>
        <row r="263">
          <cell r="A263" t="str">
            <v>sp 769</v>
          </cell>
          <cell r="B263" t="str">
            <v>Túi thuốc trừ sâu techtimex 50WG hiệu siêu nhân mỹ lợi loại 12g</v>
          </cell>
          <cell r="C263">
            <v>6</v>
          </cell>
          <cell r="D263">
            <v>3</v>
          </cell>
          <cell r="E263" t="str">
            <v>PET 12x632</v>
          </cell>
          <cell r="F263">
            <v>7</v>
          </cell>
          <cell r="G263" t="str">
            <v>PET</v>
          </cell>
          <cell r="H263">
            <v>0.6</v>
          </cell>
          <cell r="I263">
            <v>3</v>
          </cell>
          <cell r="J263">
            <v>0.8</v>
          </cell>
          <cell r="K263">
            <v>0.4</v>
          </cell>
          <cell r="L263">
            <v>0.1</v>
          </cell>
          <cell r="M263">
            <v>0</v>
          </cell>
          <cell r="N263">
            <v>0</v>
          </cell>
          <cell r="O263">
            <v>0</v>
          </cell>
          <cell r="P263">
            <v>1</v>
          </cell>
          <cell r="Q263">
            <v>0</v>
          </cell>
          <cell r="R263">
            <v>0.1</v>
          </cell>
          <cell r="S263">
            <v>0</v>
          </cell>
          <cell r="T263">
            <v>0</v>
          </cell>
          <cell r="U263">
            <v>0</v>
          </cell>
          <cell r="V263">
            <v>0</v>
          </cell>
          <cell r="W263">
            <v>0</v>
          </cell>
          <cell r="X263">
            <v>0</v>
          </cell>
          <cell r="Y263">
            <v>0</v>
          </cell>
          <cell r="Z263">
            <v>0</v>
          </cell>
          <cell r="AA263">
            <v>0</v>
          </cell>
          <cell r="AB263">
            <v>0</v>
          </cell>
          <cell r="AC263">
            <v>0</v>
          </cell>
          <cell r="AD263">
            <v>0</v>
          </cell>
          <cell r="AE263" t="str">
            <v>MPET 12x632</v>
          </cell>
          <cell r="AF263" t="str">
            <v>PE 75x632</v>
          </cell>
          <cell r="AG263">
            <v>6.5080200000000005E-2</v>
          </cell>
          <cell r="AH263">
            <v>0.95373333333333321</v>
          </cell>
          <cell r="AI263">
            <v>0.95373333333333321</v>
          </cell>
          <cell r="AJ263">
            <v>9530</v>
          </cell>
          <cell r="AK263">
            <v>9530</v>
          </cell>
          <cell r="AL263" t="str">
            <v>0,0046(0,0023;0,0023)</v>
          </cell>
          <cell r="AM263" t="str">
            <v>túi ba biên</v>
          </cell>
          <cell r="AN263">
            <v>145</v>
          </cell>
          <cell r="AO263" t="str">
            <v>Công ty American</v>
          </cell>
          <cell r="AP263" t="str">
            <v>17051024-1</v>
          </cell>
          <cell r="AQ263" t="str">
            <v>17051024-2</v>
          </cell>
          <cell r="AR263" t="str">
            <v>17051024-3</v>
          </cell>
          <cell r="AS263" t="str">
            <v>17051024-4</v>
          </cell>
          <cell r="AT263" t="str">
            <v>17051024-5</v>
          </cell>
          <cell r="AU263" t="str">
            <v>17051024-6</v>
          </cell>
          <cell r="AV263" t="str">
            <v>17051024-7</v>
          </cell>
          <cell r="AW263">
            <v>0</v>
          </cell>
          <cell r="AX263">
            <v>0</v>
          </cell>
          <cell r="AY263" t="str">
            <v>435x750</v>
          </cell>
          <cell r="AZ263" t="str">
            <v>O2</v>
          </cell>
          <cell r="BA263">
            <v>12000</v>
          </cell>
          <cell r="BB263" t="str">
            <v>Thùng 5 lớp 42x34x36</v>
          </cell>
          <cell r="BC263">
            <v>0</v>
          </cell>
          <cell r="BD263">
            <v>0</v>
          </cell>
        </row>
        <row r="264">
          <cell r="A264" t="str">
            <v>sp 770</v>
          </cell>
          <cell r="B264" t="str">
            <v>Túi thuốc trừ sâu clodan super 700WP hiệu vua ốc loại 30g</v>
          </cell>
          <cell r="C264">
            <v>6.26</v>
          </cell>
          <cell r="D264">
            <v>2</v>
          </cell>
          <cell r="E264" t="str">
            <v>PET 12x680</v>
          </cell>
          <cell r="F264">
            <v>7</v>
          </cell>
          <cell r="G264" t="str">
            <v>PET</v>
          </cell>
          <cell r="H264">
            <v>0.18</v>
          </cell>
          <cell r="I264">
            <v>2.8</v>
          </cell>
          <cell r="J264">
            <v>0.1</v>
          </cell>
          <cell r="K264">
            <v>0.28000000000000003</v>
          </cell>
          <cell r="L264">
            <v>1</v>
          </cell>
          <cell r="M264">
            <v>0.7</v>
          </cell>
          <cell r="N264">
            <v>0</v>
          </cell>
          <cell r="O264">
            <v>0</v>
          </cell>
          <cell r="P264">
            <v>1.1000000000000001</v>
          </cell>
          <cell r="Q264">
            <v>0</v>
          </cell>
          <cell r="R264">
            <v>0.1</v>
          </cell>
          <cell r="S264">
            <v>0</v>
          </cell>
          <cell r="T264">
            <v>0</v>
          </cell>
          <cell r="U264">
            <v>0</v>
          </cell>
          <cell r="V264">
            <v>0</v>
          </cell>
          <cell r="W264">
            <v>0</v>
          </cell>
          <cell r="X264">
            <v>0</v>
          </cell>
          <cell r="Y264">
            <v>0</v>
          </cell>
          <cell r="Z264">
            <v>0</v>
          </cell>
          <cell r="AA264">
            <v>0</v>
          </cell>
          <cell r="AB264">
            <v>0</v>
          </cell>
          <cell r="AC264">
            <v>0</v>
          </cell>
          <cell r="AD264">
            <v>0</v>
          </cell>
          <cell r="AE264" t="str">
            <v>MPET 12x680</v>
          </cell>
          <cell r="AF264" t="str">
            <v>PE 75x680</v>
          </cell>
          <cell r="AG264">
            <v>7.0023000000000016E-2</v>
          </cell>
          <cell r="AH264">
            <v>1.0273333333333332</v>
          </cell>
          <cell r="AI264">
            <v>1.0273333333333332</v>
          </cell>
          <cell r="AJ264">
            <v>9530</v>
          </cell>
          <cell r="AK264">
            <v>9530</v>
          </cell>
          <cell r="AL264" t="str">
            <v>0,0046(0,0023;0,0023)</v>
          </cell>
          <cell r="AM264" t="str">
            <v>túi ba biên</v>
          </cell>
          <cell r="AN264">
            <v>115</v>
          </cell>
          <cell r="AO264" t="str">
            <v>Công ty American</v>
          </cell>
          <cell r="AP264" t="str">
            <v>20050199-1</v>
          </cell>
          <cell r="AQ264" t="str">
            <v>17051023-2</v>
          </cell>
          <cell r="AR264" t="str">
            <v>17051023-3</v>
          </cell>
          <cell r="AS264" t="str">
            <v>17051023-4</v>
          </cell>
          <cell r="AT264" t="str">
            <v>20050199-5</v>
          </cell>
          <cell r="AU264" t="str">
            <v>20050199-6</v>
          </cell>
          <cell r="AV264" t="str">
            <v>17051023-7</v>
          </cell>
          <cell r="AW264">
            <v>0</v>
          </cell>
          <cell r="AX264">
            <v>0</v>
          </cell>
          <cell r="AY264" t="str">
            <v>460x750</v>
          </cell>
          <cell r="AZ264" t="str">
            <v>O2</v>
          </cell>
          <cell r="BA264">
            <v>10000</v>
          </cell>
          <cell r="BB264" t="str">
            <v>Thùng 5 lớp 42x34x36</v>
          </cell>
          <cell r="BC264">
            <v>0</v>
          </cell>
          <cell r="BD264">
            <v>0</v>
          </cell>
        </row>
        <row r="265">
          <cell r="A265" t="str">
            <v>sp 771</v>
          </cell>
          <cell r="B265" t="str">
            <v>Túi trà chữ xanh 100g loại 6 Thanh Minh</v>
          </cell>
          <cell r="C265">
            <v>5.4189999999999996</v>
          </cell>
          <cell r="D265">
            <v>3</v>
          </cell>
          <cell r="E265" t="str">
            <v>PET 12x740</v>
          </cell>
          <cell r="F265">
            <v>5</v>
          </cell>
          <cell r="G265" t="str">
            <v>PET</v>
          </cell>
          <cell r="H265">
            <v>0.12</v>
          </cell>
          <cell r="I265">
            <v>0.7</v>
          </cell>
          <cell r="J265">
            <v>0.23</v>
          </cell>
          <cell r="K265">
            <v>0.23</v>
          </cell>
          <cell r="L265">
            <v>0.06</v>
          </cell>
          <cell r="M265">
            <v>0.34899999999999998</v>
          </cell>
          <cell r="N265">
            <v>3.61</v>
          </cell>
          <cell r="O265">
            <v>0.12</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t="str">
            <v>MPET 12x740</v>
          </cell>
          <cell r="AF265" t="str">
            <v>PE 75x740</v>
          </cell>
          <cell r="AG265">
            <v>7.6201500000000005E-2</v>
          </cell>
          <cell r="AH265">
            <v>1.1193333333333333</v>
          </cell>
          <cell r="AI265">
            <v>1.46</v>
          </cell>
          <cell r="AJ265">
            <v>9530</v>
          </cell>
          <cell r="AK265">
            <v>9530</v>
          </cell>
          <cell r="AL265" t="str">
            <v>0,0053(0,0023;0,003)</v>
          </cell>
          <cell r="AM265" t="str">
            <v>túi hàn lưng xếp hông</v>
          </cell>
          <cell r="AN265">
            <v>270</v>
          </cell>
          <cell r="AO265" t="str">
            <v>Công ty Thanh Minh</v>
          </cell>
          <cell r="AP265" t="e">
            <v>#N/A</v>
          </cell>
          <cell r="AQ265" t="e">
            <v>#N/A</v>
          </cell>
          <cell r="AR265" t="e">
            <v>#N/A</v>
          </cell>
          <cell r="AS265" t="e">
            <v>#N/A</v>
          </cell>
          <cell r="AT265" t="e">
            <v>#N/A</v>
          </cell>
          <cell r="AU265" t="e">
            <v>#N/A</v>
          </cell>
          <cell r="AV265" t="e">
            <v>#N/A</v>
          </cell>
          <cell r="AW265" t="e">
            <v>#N/A</v>
          </cell>
          <cell r="AX265" t="e">
            <v>#N/A</v>
          </cell>
          <cell r="AY265" t="e">
            <v>#N/A</v>
          </cell>
          <cell r="AZ265" t="e">
            <v>#N/A</v>
          </cell>
          <cell r="BA265">
            <v>3000</v>
          </cell>
          <cell r="BB265" t="str">
            <v>Thùng 5 lớp 43x35,5x29 Thanh Minh</v>
          </cell>
          <cell r="BC265">
            <v>0</v>
          </cell>
          <cell r="BD265" t="e">
            <v>#N/A</v>
          </cell>
        </row>
        <row r="266">
          <cell r="A266" t="str">
            <v>sp 772</v>
          </cell>
          <cell r="B266" t="str">
            <v>Túi trà chữ xanh 200g loại 6 Thanh Minh</v>
          </cell>
          <cell r="C266">
            <v>4.8170000000000002</v>
          </cell>
          <cell r="D266">
            <v>3</v>
          </cell>
          <cell r="E266" t="str">
            <v>PET 12x920</v>
          </cell>
          <cell r="F266">
            <v>5</v>
          </cell>
          <cell r="G266" t="str">
            <v>PET</v>
          </cell>
          <cell r="H266">
            <v>0</v>
          </cell>
          <cell r="I266">
            <v>0.24</v>
          </cell>
          <cell r="J266">
            <v>0.48</v>
          </cell>
          <cell r="K266">
            <v>0</v>
          </cell>
          <cell r="L266">
            <v>0.01</v>
          </cell>
          <cell r="M266">
            <v>0.76700000000000002</v>
          </cell>
          <cell r="N266">
            <v>3.31</v>
          </cell>
          <cell r="O266">
            <v>0.01</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t="str">
            <v>MPET 12x920</v>
          </cell>
          <cell r="AF266" t="str">
            <v>PE 75x920</v>
          </cell>
          <cell r="AG266">
            <v>9.4737000000000016E-2</v>
          </cell>
          <cell r="AH266">
            <v>1.3953333333333333</v>
          </cell>
          <cell r="AI266">
            <v>1.82</v>
          </cell>
          <cell r="AJ266">
            <v>9530</v>
          </cell>
          <cell r="AK266">
            <v>9530</v>
          </cell>
          <cell r="AL266" t="str">
            <v>0,0053(0,0023;0,003)</v>
          </cell>
          <cell r="AM266" t="str">
            <v>túi hàn lưng xếp hông</v>
          </cell>
          <cell r="AN266">
            <v>335</v>
          </cell>
          <cell r="AO266" t="str">
            <v>Công ty Thanh Minh</v>
          </cell>
          <cell r="AP266" t="e">
            <v>#N/A</v>
          </cell>
          <cell r="AQ266" t="e">
            <v>#N/A</v>
          </cell>
          <cell r="AR266" t="e">
            <v>#N/A</v>
          </cell>
          <cell r="AS266" t="e">
            <v>#N/A</v>
          </cell>
          <cell r="AT266" t="e">
            <v>#N/A</v>
          </cell>
          <cell r="AU266" t="e">
            <v>#N/A</v>
          </cell>
          <cell r="AV266" t="e">
            <v>#N/A</v>
          </cell>
          <cell r="AW266" t="e">
            <v>#N/A</v>
          </cell>
          <cell r="AX266" t="e">
            <v>#N/A</v>
          </cell>
          <cell r="AY266" t="e">
            <v>#N/A</v>
          </cell>
          <cell r="AZ266" t="e">
            <v>#N/A</v>
          </cell>
          <cell r="BA266">
            <v>2000</v>
          </cell>
          <cell r="BB266" t="str">
            <v>Thùng 5 lớp 43x35,5x29 Thanh Minh</v>
          </cell>
          <cell r="BC266">
            <v>0</v>
          </cell>
          <cell r="BD266" t="e">
            <v>#N/A</v>
          </cell>
        </row>
        <row r="267">
          <cell r="A267" t="str">
            <v>sp 773a</v>
          </cell>
          <cell r="B267" t="str">
            <v>Túi trà chữ xanh tân cương 500g loại 6 Thanh Minh</v>
          </cell>
          <cell r="C267">
            <v>5.1069999999999993</v>
          </cell>
          <cell r="D267">
            <v>2</v>
          </cell>
          <cell r="E267" t="str">
            <v>PET 12x760</v>
          </cell>
          <cell r="F267">
            <v>5</v>
          </cell>
          <cell r="G267" t="str">
            <v>PET</v>
          </cell>
          <cell r="H267">
            <v>0</v>
          </cell>
          <cell r="I267">
            <v>0.63</v>
          </cell>
          <cell r="J267">
            <v>0.28999999999999998</v>
          </cell>
          <cell r="K267">
            <v>0</v>
          </cell>
          <cell r="L267">
            <v>0.11</v>
          </cell>
          <cell r="M267">
            <v>0.68700000000000006</v>
          </cell>
          <cell r="N267">
            <v>3.38</v>
          </cell>
          <cell r="O267">
            <v>0.01</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t="str">
            <v>MPET 12x760</v>
          </cell>
          <cell r="AF267" t="str">
            <v>PE 75x760</v>
          </cell>
          <cell r="AG267">
            <v>7.8261000000000011E-2</v>
          </cell>
          <cell r="AH267">
            <v>1.1499999999999999</v>
          </cell>
          <cell r="AI267">
            <v>1.5</v>
          </cell>
          <cell r="AJ267">
            <v>9530</v>
          </cell>
          <cell r="AK267">
            <v>9530</v>
          </cell>
          <cell r="AL267" t="str">
            <v>0,0053(0,0023;0,003)</v>
          </cell>
          <cell r="AM267" t="str">
            <v>túi hàn lưng xếp hông</v>
          </cell>
          <cell r="AN267">
            <v>420</v>
          </cell>
          <cell r="AO267" t="str">
            <v>Công ty Thanh Minh</v>
          </cell>
          <cell r="AP267" t="e">
            <v>#N/A</v>
          </cell>
          <cell r="AQ267" t="e">
            <v>#N/A</v>
          </cell>
          <cell r="AR267" t="e">
            <v>#N/A</v>
          </cell>
          <cell r="AS267" t="e">
            <v>#N/A</v>
          </cell>
          <cell r="AT267" t="e">
            <v>#N/A</v>
          </cell>
          <cell r="AU267" t="e">
            <v>#N/A</v>
          </cell>
          <cell r="AV267" t="e">
            <v>#N/A</v>
          </cell>
          <cell r="AW267" t="e">
            <v>#N/A</v>
          </cell>
          <cell r="AX267" t="e">
            <v>#N/A</v>
          </cell>
          <cell r="AY267" t="e">
            <v>#N/A</v>
          </cell>
          <cell r="AZ267" t="e">
            <v>#N/A</v>
          </cell>
          <cell r="BA267">
            <v>1500</v>
          </cell>
          <cell r="BB267" t="str">
            <v>Thùng 5 lớp 43x35,5x29 Thanh Minh</v>
          </cell>
          <cell r="BC267">
            <v>0</v>
          </cell>
          <cell r="BD267" t="e">
            <v>#N/A</v>
          </cell>
        </row>
        <row r="268">
          <cell r="A268" t="str">
            <v>sp 773</v>
          </cell>
          <cell r="B268" t="str">
            <v>Túi trà chữ xanh đặc sản 500g loại 6 Thanh Minh</v>
          </cell>
          <cell r="C268">
            <v>6.7</v>
          </cell>
          <cell r="D268">
            <v>2</v>
          </cell>
          <cell r="E268" t="str">
            <v>PET 12x760</v>
          </cell>
          <cell r="F268">
            <v>5</v>
          </cell>
          <cell r="G268" t="str">
            <v>PET</v>
          </cell>
          <cell r="H268">
            <v>0.1</v>
          </cell>
          <cell r="I268">
            <v>0.6</v>
          </cell>
          <cell r="J268">
            <v>0.2</v>
          </cell>
          <cell r="K268">
            <v>0.9</v>
          </cell>
          <cell r="L268">
            <v>0.1</v>
          </cell>
          <cell r="M268">
            <v>0.5</v>
          </cell>
          <cell r="N268">
            <v>3.5</v>
          </cell>
          <cell r="O268">
            <v>0.8</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t="str">
            <v>MPET 12x760</v>
          </cell>
          <cell r="AF268" t="str">
            <v>PE 75x760</v>
          </cell>
          <cell r="AG268">
            <v>7.8261000000000011E-2</v>
          </cell>
          <cell r="AH268">
            <v>1.1499999999999999</v>
          </cell>
          <cell r="AI268">
            <v>1.5</v>
          </cell>
          <cell r="AJ268">
            <v>9530</v>
          </cell>
          <cell r="AK268">
            <v>9530</v>
          </cell>
          <cell r="AL268" t="str">
            <v>0,0053(0,0023;0,003)</v>
          </cell>
          <cell r="AM268" t="str">
            <v>túi hàn lưng xếp hông</v>
          </cell>
          <cell r="AN268">
            <v>420</v>
          </cell>
          <cell r="AO268" t="str">
            <v>Công ty Thanh Minh</v>
          </cell>
          <cell r="AP268" t="e">
            <v>#N/A</v>
          </cell>
          <cell r="AQ268" t="e">
            <v>#N/A</v>
          </cell>
          <cell r="AR268" t="e">
            <v>#N/A</v>
          </cell>
          <cell r="AS268" t="e">
            <v>#N/A</v>
          </cell>
          <cell r="AT268" t="e">
            <v>#N/A</v>
          </cell>
          <cell r="AU268" t="e">
            <v>#N/A</v>
          </cell>
          <cell r="AV268" t="e">
            <v>#N/A</v>
          </cell>
          <cell r="AW268" t="e">
            <v>#N/A</v>
          </cell>
          <cell r="AX268" t="e">
            <v>#N/A</v>
          </cell>
          <cell r="AY268" t="e">
            <v>#N/A</v>
          </cell>
          <cell r="AZ268" t="e">
            <v>#N/A</v>
          </cell>
          <cell r="BA268">
            <v>1500</v>
          </cell>
          <cell r="BB268" t="str">
            <v>Thùng 5 lớp 43x35,5x29 Thanh Minh</v>
          </cell>
          <cell r="BC268">
            <v>0</v>
          </cell>
          <cell r="BD268" t="e">
            <v>#N/A</v>
          </cell>
        </row>
        <row r="269">
          <cell r="A269" t="str">
            <v>sp 775</v>
          </cell>
          <cell r="B269" t="str">
            <v>Túi thuốc trừ sâu clodan super 700WP loại 25gr</v>
          </cell>
          <cell r="C269">
            <v>4.43</v>
          </cell>
          <cell r="D269">
            <v>3</v>
          </cell>
          <cell r="E269" t="str">
            <v>PET 12x740</v>
          </cell>
          <cell r="F269">
            <v>7</v>
          </cell>
          <cell r="G269" t="str">
            <v>PET</v>
          </cell>
          <cell r="H269">
            <v>0.23</v>
          </cell>
          <cell r="I269">
            <v>2</v>
          </cell>
          <cell r="J269">
            <v>0.1</v>
          </cell>
          <cell r="K269">
            <v>0.1</v>
          </cell>
          <cell r="L269">
            <v>0.4</v>
          </cell>
          <cell r="M269">
            <v>0.8</v>
          </cell>
          <cell r="N269">
            <v>0</v>
          </cell>
          <cell r="O269">
            <v>0.7</v>
          </cell>
          <cell r="P269">
            <v>0.1</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t="str">
            <v>MPET 12x740</v>
          </cell>
          <cell r="AF269" t="str">
            <v>PE 75x740</v>
          </cell>
          <cell r="AG269">
            <v>7.6201500000000005E-2</v>
          </cell>
          <cell r="AH269">
            <v>1.1193333333333333</v>
          </cell>
          <cell r="AI269">
            <v>1.46</v>
          </cell>
          <cell r="AJ269">
            <v>9530</v>
          </cell>
          <cell r="AK269">
            <v>9530</v>
          </cell>
          <cell r="AL269" t="str">
            <v>0,0053(0,0023;0,003)</v>
          </cell>
          <cell r="AM269" t="str">
            <v>túi ba biên</v>
          </cell>
          <cell r="AN269">
            <v>160</v>
          </cell>
          <cell r="AO269" t="str">
            <v>Công ty CP Quốc Tế Hòa Bình</v>
          </cell>
          <cell r="AP269" t="e">
            <v>#N/A</v>
          </cell>
          <cell r="AQ269" t="e">
            <v>#N/A</v>
          </cell>
          <cell r="AR269" t="e">
            <v>#N/A</v>
          </cell>
          <cell r="AS269" t="e">
            <v>#N/A</v>
          </cell>
          <cell r="AT269" t="e">
            <v>#N/A</v>
          </cell>
          <cell r="AU269" t="e">
            <v>#N/A</v>
          </cell>
          <cell r="AV269" t="e">
            <v>#N/A</v>
          </cell>
          <cell r="AW269" t="e">
            <v>#N/A</v>
          </cell>
          <cell r="AX269" t="e">
            <v>#N/A</v>
          </cell>
          <cell r="AY269" t="e">
            <v>#N/A</v>
          </cell>
          <cell r="AZ269" t="e">
            <v>#N/A</v>
          </cell>
          <cell r="BA269">
            <v>10000</v>
          </cell>
          <cell r="BB269" t="str">
            <v>Thùng 5 lớp 42x34x36</v>
          </cell>
          <cell r="BC269">
            <v>0</v>
          </cell>
          <cell r="BD269" t="e">
            <v>#N/A</v>
          </cell>
        </row>
        <row r="270">
          <cell r="A270" t="str">
            <v>sp 782</v>
          </cell>
          <cell r="B270" t="str">
            <v>Túi địch bách trùng 90SP loại 40g Việt Thắng</v>
          </cell>
          <cell r="C270">
            <v>2.3000000000000003</v>
          </cell>
          <cell r="D270">
            <v>3</v>
          </cell>
          <cell r="E270" t="str">
            <v>OPP 20x800</v>
          </cell>
          <cell r="F270">
            <v>5</v>
          </cell>
          <cell r="G270" t="str">
            <v>OPP</v>
          </cell>
          <cell r="H270">
            <v>0.3</v>
          </cell>
          <cell r="I270">
            <v>0</v>
          </cell>
          <cell r="J270">
            <v>0.1</v>
          </cell>
          <cell r="K270">
            <v>0.1</v>
          </cell>
          <cell r="L270">
            <v>1.2</v>
          </cell>
          <cell r="M270">
            <v>0.4</v>
          </cell>
          <cell r="N270">
            <v>0</v>
          </cell>
          <cell r="O270">
            <v>0</v>
          </cell>
          <cell r="P270">
            <v>0.1</v>
          </cell>
          <cell r="Q270">
            <v>0</v>
          </cell>
          <cell r="R270">
            <v>0.1</v>
          </cell>
          <cell r="S270">
            <v>0</v>
          </cell>
          <cell r="T270">
            <v>0</v>
          </cell>
          <cell r="U270">
            <v>0</v>
          </cell>
          <cell r="V270">
            <v>0</v>
          </cell>
          <cell r="W270">
            <v>0</v>
          </cell>
          <cell r="X270">
            <v>0</v>
          </cell>
          <cell r="Y270">
            <v>0</v>
          </cell>
          <cell r="Z270">
            <v>0</v>
          </cell>
          <cell r="AA270">
            <v>0</v>
          </cell>
          <cell r="AB270">
            <v>0</v>
          </cell>
          <cell r="AC270">
            <v>0</v>
          </cell>
          <cell r="AD270">
            <v>0</v>
          </cell>
          <cell r="AE270" t="str">
            <v>PE sứ 65x800</v>
          </cell>
          <cell r="AF270">
            <v>0</v>
          </cell>
          <cell r="AG270">
            <v>6.2660000000000007E-2</v>
          </cell>
          <cell r="AH270">
            <v>1.2113333333333334</v>
          </cell>
          <cell r="AI270">
            <v>0</v>
          </cell>
          <cell r="AJ270">
            <v>9530</v>
          </cell>
          <cell r="AK270">
            <v>0</v>
          </cell>
          <cell r="AL270">
            <v>2.3E-3</v>
          </cell>
          <cell r="AM270" t="str">
            <v>túi ba biên</v>
          </cell>
          <cell r="AN270">
            <v>90</v>
          </cell>
          <cell r="AO270" t="str">
            <v>Công ty Việt Thắng</v>
          </cell>
          <cell r="AP270" t="e">
            <v>#N/A</v>
          </cell>
          <cell r="AQ270" t="e">
            <v>#N/A</v>
          </cell>
          <cell r="AR270" t="e">
            <v>#N/A</v>
          </cell>
          <cell r="AS270" t="e">
            <v>#N/A</v>
          </cell>
          <cell r="AT270" t="e">
            <v>#N/A</v>
          </cell>
          <cell r="AU270" t="e">
            <v>#N/A</v>
          </cell>
          <cell r="AV270" t="e">
            <v>#N/A</v>
          </cell>
          <cell r="AW270" t="e">
            <v>#N/A</v>
          </cell>
          <cell r="AX270" t="e">
            <v>#N/A</v>
          </cell>
          <cell r="AY270" t="e">
            <v>#N/A</v>
          </cell>
          <cell r="AZ270" t="e">
            <v>#N/A</v>
          </cell>
          <cell r="BA270">
            <v>16800</v>
          </cell>
          <cell r="BB270" t="str">
            <v>Thùng 5 lớp 42x34x36</v>
          </cell>
          <cell r="BC270">
            <v>0</v>
          </cell>
          <cell r="BD270" t="e">
            <v>#N/A</v>
          </cell>
        </row>
        <row r="271">
          <cell r="A271" t="str">
            <v>sp 783</v>
          </cell>
          <cell r="B271" t="str">
            <v>Túi thuốc trừ cỏ A-zet 80WP loại 100gr redsun</v>
          </cell>
          <cell r="C271">
            <v>4.6000000000000005</v>
          </cell>
          <cell r="D271">
            <v>2</v>
          </cell>
          <cell r="E271" t="str">
            <v>PET 12x780</v>
          </cell>
          <cell r="F271">
            <v>6</v>
          </cell>
          <cell r="G271" t="str">
            <v>PET</v>
          </cell>
          <cell r="H271">
            <v>0.3</v>
          </cell>
          <cell r="I271">
            <v>2</v>
          </cell>
          <cell r="J271">
            <v>0.2</v>
          </cell>
          <cell r="K271">
            <v>0.1</v>
          </cell>
          <cell r="L271">
            <v>0.2</v>
          </cell>
          <cell r="M271">
            <v>1</v>
          </cell>
          <cell r="N271">
            <v>0</v>
          </cell>
          <cell r="O271">
            <v>0</v>
          </cell>
          <cell r="P271">
            <v>0.8</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t="str">
            <v>Al 6x780</v>
          </cell>
          <cell r="AF271" t="str">
            <v>PE 75x790</v>
          </cell>
          <cell r="AG271">
            <v>7.9899300000000006E-2</v>
          </cell>
          <cell r="AH271">
            <v>1.1806666666666665</v>
          </cell>
          <cell r="AI271">
            <v>1.1806666666666665</v>
          </cell>
          <cell r="AJ271">
            <v>9530</v>
          </cell>
          <cell r="AK271">
            <v>9530</v>
          </cell>
          <cell r="AL271" t="str">
            <v>0,0046(0,0023;0,0023)</v>
          </cell>
          <cell r="AM271" t="str">
            <v>túi ba biên</v>
          </cell>
          <cell r="AN271">
            <v>140</v>
          </cell>
          <cell r="AO271" t="str">
            <v>Công ty Redsun</v>
          </cell>
          <cell r="AP271" t="e">
            <v>#N/A</v>
          </cell>
          <cell r="AQ271" t="e">
            <v>#N/A</v>
          </cell>
          <cell r="AR271" t="e">
            <v>#N/A</v>
          </cell>
          <cell r="AS271" t="e">
            <v>#N/A</v>
          </cell>
          <cell r="AT271" t="e">
            <v>#N/A</v>
          </cell>
          <cell r="AU271" t="e">
            <v>#N/A</v>
          </cell>
          <cell r="AV271" t="e">
            <v>#N/A</v>
          </cell>
          <cell r="AW271" t="e">
            <v>#N/A</v>
          </cell>
          <cell r="AX271" t="e">
            <v>#N/A</v>
          </cell>
          <cell r="AY271" t="e">
            <v>#N/A</v>
          </cell>
          <cell r="AZ271" t="e">
            <v>#N/A</v>
          </cell>
          <cell r="BA271">
            <v>7000</v>
          </cell>
          <cell r="BB271" t="str">
            <v>Thùng 5 lớp 42x34x36</v>
          </cell>
          <cell r="BC271">
            <v>0</v>
          </cell>
          <cell r="BD271" t="e">
            <v>#N/A</v>
          </cell>
        </row>
        <row r="272">
          <cell r="A272" t="str">
            <v>sp 786</v>
          </cell>
          <cell r="B272" t="str">
            <v xml:space="preserve">Cuộn trà xanh Harada Vĩnh Phúc </v>
          </cell>
          <cell r="C272">
            <v>1.4360000000000002</v>
          </cell>
          <cell r="D272">
            <v>4</v>
          </cell>
          <cell r="E272" t="str">
            <v>OPP mờ 20x640</v>
          </cell>
          <cell r="F272">
            <v>3</v>
          </cell>
          <cell r="G272" t="str">
            <v>OPP</v>
          </cell>
          <cell r="H272">
            <v>0.10199999999999999</v>
          </cell>
          <cell r="I272">
            <v>1.3240000000000001</v>
          </cell>
          <cell r="J272">
            <v>0</v>
          </cell>
          <cell r="K272">
            <v>0</v>
          </cell>
          <cell r="L272">
            <v>0</v>
          </cell>
          <cell r="M272">
            <v>0</v>
          </cell>
          <cell r="N272">
            <v>0</v>
          </cell>
          <cell r="O272">
            <v>0.01</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t="str">
            <v>MCPP 35x640</v>
          </cell>
          <cell r="AF272">
            <v>0</v>
          </cell>
          <cell r="AG272">
            <v>3.2032000000000005E-2</v>
          </cell>
          <cell r="AH272">
            <v>0.84</v>
          </cell>
          <cell r="AI272">
            <v>0</v>
          </cell>
          <cell r="AJ272">
            <v>9530</v>
          </cell>
          <cell r="AK272">
            <v>0</v>
          </cell>
          <cell r="AL272">
            <v>2E-3</v>
          </cell>
          <cell r="AM272" t="str">
            <v>dạng cuộn 1,500m</v>
          </cell>
          <cell r="AN272">
            <v>155</v>
          </cell>
          <cell r="AO272" t="str">
            <v>Công ty TNHH Thế hệ mới Vĩnh Phúc</v>
          </cell>
          <cell r="AP272" t="str">
            <v>F118291-1</v>
          </cell>
          <cell r="AQ272" t="str">
            <v>F118291G1-2</v>
          </cell>
          <cell r="AR272" t="str">
            <v>F118291-3</v>
          </cell>
          <cell r="AS272">
            <v>0</v>
          </cell>
          <cell r="AT272">
            <v>0</v>
          </cell>
          <cell r="AU272">
            <v>0</v>
          </cell>
          <cell r="AV272">
            <v>0</v>
          </cell>
          <cell r="AW272">
            <v>0</v>
          </cell>
          <cell r="AX272">
            <v>0</v>
          </cell>
          <cell r="AY272" t="str">
            <v>462x750</v>
          </cell>
          <cell r="AZ272" t="str">
            <v>A1</v>
          </cell>
          <cell r="BA272">
            <v>0</v>
          </cell>
          <cell r="BB272">
            <v>0</v>
          </cell>
          <cell r="BC272">
            <v>0</v>
          </cell>
          <cell r="BD272">
            <v>0</v>
          </cell>
        </row>
        <row r="273">
          <cell r="A273" t="str">
            <v>sp 791</v>
          </cell>
          <cell r="B273" t="str">
            <v>Cuộn màng smartdoor 168 loại 1</v>
          </cell>
          <cell r="C273">
            <v>4.2</v>
          </cell>
          <cell r="D273">
            <v>1</v>
          </cell>
          <cell r="E273" t="str">
            <v>PE 40x1270</v>
          </cell>
          <cell r="F273">
            <v>3</v>
          </cell>
          <cell r="G273" t="str">
            <v xml:space="preserve">PE </v>
          </cell>
          <cell r="H273">
            <v>0</v>
          </cell>
          <cell r="I273">
            <v>0</v>
          </cell>
          <cell r="J273">
            <v>1.6</v>
          </cell>
          <cell r="K273">
            <v>0</v>
          </cell>
          <cell r="L273">
            <v>0.9</v>
          </cell>
          <cell r="M273">
            <v>0</v>
          </cell>
          <cell r="N273">
            <v>0</v>
          </cell>
          <cell r="O273">
            <v>0</v>
          </cell>
          <cell r="P273">
            <v>1.5</v>
          </cell>
          <cell r="Q273">
            <v>0.2</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t="str">
            <v>PE đen trắng 60x1270</v>
          </cell>
          <cell r="AF273">
            <v>0</v>
          </cell>
          <cell r="AG273">
            <v>0.117475</v>
          </cell>
          <cell r="AH273">
            <v>1.68</v>
          </cell>
          <cell r="AI273">
            <v>0</v>
          </cell>
          <cell r="AJ273">
            <v>9530</v>
          </cell>
          <cell r="AK273">
            <v>0</v>
          </cell>
          <cell r="AL273">
            <v>2E-3</v>
          </cell>
          <cell r="AM273" t="str">
            <v>dạng cuộn 2000m</v>
          </cell>
          <cell r="AN273">
            <v>1270</v>
          </cell>
          <cell r="AO273" t="str">
            <v>Công ty Đức Thiện</v>
          </cell>
          <cell r="AP273" t="e">
            <v>#N/A</v>
          </cell>
          <cell r="AQ273" t="e">
            <v>#N/A</v>
          </cell>
          <cell r="AR273" t="e">
            <v>#N/A</v>
          </cell>
          <cell r="AS273" t="e">
            <v>#N/A</v>
          </cell>
          <cell r="AT273" t="e">
            <v>#N/A</v>
          </cell>
          <cell r="AU273" t="e">
            <v>#N/A</v>
          </cell>
          <cell r="AV273" t="e">
            <v>#N/A</v>
          </cell>
          <cell r="AW273" t="e">
            <v>#N/A</v>
          </cell>
          <cell r="AX273" t="e">
            <v>#N/A</v>
          </cell>
          <cell r="AY273" t="e">
            <v>#N/A</v>
          </cell>
          <cell r="AZ273" t="e">
            <v>#N/A</v>
          </cell>
          <cell r="BA273" t="str">
            <v>1c</v>
          </cell>
          <cell r="BB273" t="str">
            <v>giấy cartoon K1400</v>
          </cell>
          <cell r="BC273">
            <v>0</v>
          </cell>
          <cell r="BD273" t="e">
            <v>#N/A</v>
          </cell>
        </row>
        <row r="274">
          <cell r="A274" t="str">
            <v>sp 792</v>
          </cell>
          <cell r="B274" t="str">
            <v>Cuộn màng không in KT 600</v>
          </cell>
          <cell r="C274">
            <v>0</v>
          </cell>
          <cell r="D274">
            <v>1</v>
          </cell>
          <cell r="E274" t="str">
            <v>PET 12x620</v>
          </cell>
          <cell r="F274">
            <v>0</v>
          </cell>
          <cell r="G274" t="str">
            <v>PET</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t="str">
            <v>PE 55x620</v>
          </cell>
          <cell r="AF274">
            <v>0</v>
          </cell>
          <cell r="AG274">
            <v>4.1958499999999996E-2</v>
          </cell>
          <cell r="AH274">
            <v>0.93533333333333324</v>
          </cell>
          <cell r="AI274">
            <v>0</v>
          </cell>
          <cell r="AJ274">
            <v>9530</v>
          </cell>
          <cell r="AK274">
            <v>0</v>
          </cell>
          <cell r="AL274">
            <v>2.3E-3</v>
          </cell>
          <cell r="AM274" t="str">
            <v>dạng cuộn 1500m</v>
          </cell>
          <cell r="AN274">
            <v>600</v>
          </cell>
          <cell r="AO274" t="str">
            <v>Công ty Proline</v>
          </cell>
          <cell r="AP274" t="e">
            <v>#N/A</v>
          </cell>
          <cell r="AQ274" t="e">
            <v>#N/A</v>
          </cell>
          <cell r="AR274" t="e">
            <v>#N/A</v>
          </cell>
          <cell r="AS274" t="e">
            <v>#N/A</v>
          </cell>
          <cell r="AT274" t="e">
            <v>#N/A</v>
          </cell>
          <cell r="AU274" t="e">
            <v>#N/A</v>
          </cell>
          <cell r="AV274" t="e">
            <v>#N/A</v>
          </cell>
          <cell r="AW274" t="e">
            <v>#N/A</v>
          </cell>
          <cell r="AX274" t="e">
            <v>#N/A</v>
          </cell>
          <cell r="AY274" t="e">
            <v>#N/A</v>
          </cell>
          <cell r="AZ274" t="e">
            <v>#N/A</v>
          </cell>
          <cell r="BA274" t="str">
            <v>1c</v>
          </cell>
          <cell r="BB274" t="str">
            <v>giấy cartoon bọc nilong K800</v>
          </cell>
          <cell r="BC274">
            <v>0</v>
          </cell>
          <cell r="BD274" t="e">
            <v>#N/A</v>
          </cell>
        </row>
        <row r="275">
          <cell r="A275" t="str">
            <v>sp 793</v>
          </cell>
          <cell r="B275" t="str">
            <v>Túi thuốc trừ bệnh number 1 trị loát 500g Việt Thắng</v>
          </cell>
          <cell r="C275">
            <v>5.7</v>
          </cell>
          <cell r="D275">
            <v>1</v>
          </cell>
          <cell r="E275" t="str">
            <v>PET 12x590</v>
          </cell>
          <cell r="F275">
            <v>6</v>
          </cell>
          <cell r="G275" t="str">
            <v>PET</v>
          </cell>
          <cell r="H275">
            <v>0.4</v>
          </cell>
          <cell r="I275">
            <v>3.4</v>
          </cell>
          <cell r="J275">
            <v>0.4</v>
          </cell>
          <cell r="K275">
            <v>0.4</v>
          </cell>
          <cell r="L275">
            <v>0.1</v>
          </cell>
          <cell r="M275">
            <v>0</v>
          </cell>
          <cell r="N275">
            <v>0</v>
          </cell>
          <cell r="O275">
            <v>1</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t="str">
            <v>Al 60x590</v>
          </cell>
          <cell r="AF275" t="str">
            <v>PE 95x600</v>
          </cell>
          <cell r="AG275">
            <v>7.1351650000000003E-2</v>
          </cell>
          <cell r="AH275">
            <v>0.8893333333333332</v>
          </cell>
          <cell r="AI275">
            <v>0.8893333333333332</v>
          </cell>
          <cell r="AJ275">
            <v>9530</v>
          </cell>
          <cell r="AK275">
            <v>9530</v>
          </cell>
          <cell r="AL275" t="str">
            <v>0,0046(0,0023;0,0023)</v>
          </cell>
          <cell r="AM275" t="str">
            <v>túi ba biên</v>
          </cell>
          <cell r="AN275">
            <v>225</v>
          </cell>
          <cell r="AO275" t="str">
            <v>Công ty Việt Thắng</v>
          </cell>
          <cell r="AP275" t="str">
            <v>F416562-1</v>
          </cell>
          <cell r="AQ275" t="str">
            <v>F416562-2</v>
          </cell>
          <cell r="AR275" t="str">
            <v>F416562-3</v>
          </cell>
          <cell r="AS275" t="str">
            <v>F416562-4</v>
          </cell>
          <cell r="AT275" t="str">
            <v>F416562-5</v>
          </cell>
          <cell r="AU275" t="str">
            <v>F416562-6</v>
          </cell>
          <cell r="AV275">
            <v>0</v>
          </cell>
          <cell r="AW275">
            <v>0</v>
          </cell>
          <cell r="AX275">
            <v>0</v>
          </cell>
          <cell r="AY275" t="str">
            <v>450x750</v>
          </cell>
          <cell r="AZ275" t="str">
            <v>D2</v>
          </cell>
          <cell r="BA275">
            <v>2700</v>
          </cell>
          <cell r="BB275" t="str">
            <v>Thùng 5 lớp 42x34x36</v>
          </cell>
          <cell r="BC275">
            <v>0</v>
          </cell>
          <cell r="BD275">
            <v>0</v>
          </cell>
        </row>
        <row r="276">
          <cell r="A276" t="str">
            <v>sp 794</v>
          </cell>
          <cell r="B276" t="str">
            <v>Túi chè lụa trắng tân cương và đặc sản 100g</v>
          </cell>
          <cell r="C276">
            <v>5.8</v>
          </cell>
          <cell r="D276">
            <v>3</v>
          </cell>
          <cell r="E276" t="str">
            <v>OPP mờ 20x740</v>
          </cell>
          <cell r="F276">
            <v>7</v>
          </cell>
          <cell r="G276" t="str">
            <v>OPP</v>
          </cell>
          <cell r="H276">
            <v>0.2</v>
          </cell>
          <cell r="I276">
            <v>3.4</v>
          </cell>
          <cell r="J276">
            <v>0.3</v>
          </cell>
          <cell r="K276">
            <v>0.6</v>
          </cell>
          <cell r="L276">
            <v>0.1</v>
          </cell>
          <cell r="M276">
            <v>0.9</v>
          </cell>
          <cell r="N276">
            <v>0</v>
          </cell>
          <cell r="O276">
            <v>0</v>
          </cell>
          <cell r="P276">
            <v>0</v>
          </cell>
          <cell r="Q276">
            <v>0</v>
          </cell>
          <cell r="R276">
            <v>0</v>
          </cell>
          <cell r="S276">
            <v>0.3</v>
          </cell>
          <cell r="T276">
            <v>0</v>
          </cell>
          <cell r="U276">
            <v>0</v>
          </cell>
          <cell r="V276">
            <v>0</v>
          </cell>
          <cell r="W276">
            <v>0</v>
          </cell>
          <cell r="X276">
            <v>0</v>
          </cell>
          <cell r="Y276">
            <v>0</v>
          </cell>
          <cell r="Z276">
            <v>0</v>
          </cell>
          <cell r="AA276">
            <v>0</v>
          </cell>
          <cell r="AB276">
            <v>0</v>
          </cell>
          <cell r="AC276">
            <v>0</v>
          </cell>
          <cell r="AD276">
            <v>0</v>
          </cell>
          <cell r="AE276" t="str">
            <v>MPET 12x740</v>
          </cell>
          <cell r="AF276" t="str">
            <v>PE 70x740</v>
          </cell>
          <cell r="AG276">
            <v>7.3815000000000019E-2</v>
          </cell>
          <cell r="AH276">
            <v>1.1193333333333333</v>
          </cell>
          <cell r="AI276">
            <v>1.46</v>
          </cell>
          <cell r="AJ276">
            <v>9530</v>
          </cell>
          <cell r="AK276">
            <v>9530</v>
          </cell>
          <cell r="AL276" t="str">
            <v>0,0053(0,0023;0,003)</v>
          </cell>
          <cell r="AM276" t="str">
            <v>túi hàn lưng xếp hông</v>
          </cell>
          <cell r="AN276">
            <v>270</v>
          </cell>
          <cell r="AO276" t="str">
            <v>Khách hàng lẻ</v>
          </cell>
          <cell r="AP276" t="str">
            <v>1607495-1</v>
          </cell>
          <cell r="AQ276" t="str">
            <v>1812617-2</v>
          </cell>
          <cell r="AR276" t="str">
            <v>1607495-3</v>
          </cell>
          <cell r="AS276" t="str">
            <v>1607495-4</v>
          </cell>
          <cell r="AT276" t="str">
            <v>1607495-5</v>
          </cell>
          <cell r="AU276" t="str">
            <v>1607495-6</v>
          </cell>
          <cell r="AV276" t="str">
            <v>1607495-7</v>
          </cell>
          <cell r="AW276">
            <v>0</v>
          </cell>
          <cell r="AX276">
            <v>0</v>
          </cell>
          <cell r="AY276" t="str">
            <v>540x850</v>
          </cell>
          <cell r="AZ276" t="str">
            <v>F1</v>
          </cell>
          <cell r="BA276">
            <v>3500</v>
          </cell>
          <cell r="BB276" t="str">
            <v>Thùng 5 lớp 42x34x36</v>
          </cell>
          <cell r="BC276">
            <v>0</v>
          </cell>
          <cell r="BD276" t="str">
            <v>in chung sp 566</v>
          </cell>
        </row>
        <row r="277">
          <cell r="A277" t="str">
            <v>sp 795</v>
          </cell>
          <cell r="B277" t="str">
            <v>Túi không in HCK KT 200x260</v>
          </cell>
          <cell r="C277">
            <v>0</v>
          </cell>
          <cell r="D277">
            <v>2</v>
          </cell>
          <cell r="E277" t="str">
            <v>PA 15x800</v>
          </cell>
          <cell r="F277">
            <v>0</v>
          </cell>
          <cell r="G277" t="str">
            <v xml:space="preserve">PA </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t="str">
            <v>PE 75x800</v>
          </cell>
          <cell r="AF277">
            <v>0</v>
          </cell>
          <cell r="AG277">
            <v>6.9300000000000014E-2</v>
          </cell>
          <cell r="AH277">
            <v>0.94799999999999995</v>
          </cell>
          <cell r="AI277">
            <v>0</v>
          </cell>
          <cell r="AJ277">
            <v>9530</v>
          </cell>
          <cell r="AK277">
            <v>0</v>
          </cell>
          <cell r="AL277">
            <v>1.8E-3</v>
          </cell>
          <cell r="AM277" t="str">
            <v>túi ba biên</v>
          </cell>
          <cell r="AN277">
            <v>260</v>
          </cell>
          <cell r="AO277" t="str">
            <v>Công ty Mặt Trời Đỏ</v>
          </cell>
          <cell r="AP277" t="e">
            <v>#N/A</v>
          </cell>
          <cell r="AQ277" t="e">
            <v>#N/A</v>
          </cell>
          <cell r="AR277" t="e">
            <v>#N/A</v>
          </cell>
          <cell r="AS277" t="e">
            <v>#N/A</v>
          </cell>
          <cell r="AT277" t="e">
            <v>#N/A</v>
          </cell>
          <cell r="AU277" t="e">
            <v>#N/A</v>
          </cell>
          <cell r="AV277" t="e">
            <v>#N/A</v>
          </cell>
          <cell r="AW277" t="e">
            <v>#N/A</v>
          </cell>
          <cell r="AX277" t="e">
            <v>#N/A</v>
          </cell>
          <cell r="AY277" t="e">
            <v>#N/A</v>
          </cell>
          <cell r="AZ277" t="e">
            <v>#N/A</v>
          </cell>
          <cell r="BA277">
            <v>4000</v>
          </cell>
          <cell r="BB277" t="str">
            <v>Thùng 5 lớp 42x34x36</v>
          </cell>
          <cell r="BC277">
            <v>0</v>
          </cell>
          <cell r="BD277" t="e">
            <v>#N/A</v>
          </cell>
        </row>
        <row r="278">
          <cell r="A278" t="str">
            <v>sp 796</v>
          </cell>
          <cell r="B278" t="str">
            <v>Túi gạo lứt đỏ KB333 1kg bản nội địa Đại Thành</v>
          </cell>
          <cell r="C278">
            <v>7.9999999999999991</v>
          </cell>
          <cell r="D278">
            <v>2</v>
          </cell>
          <cell r="E278" t="str">
            <v>PET 12x760</v>
          </cell>
          <cell r="F278">
            <v>7</v>
          </cell>
          <cell r="G278" t="str">
            <v>PET</v>
          </cell>
          <cell r="H278">
            <v>0.4</v>
          </cell>
          <cell r="I278">
            <v>3</v>
          </cell>
          <cell r="J278">
            <v>0.6</v>
          </cell>
          <cell r="K278">
            <v>2</v>
          </cell>
          <cell r="L278">
            <v>0.8</v>
          </cell>
          <cell r="M278">
            <v>1</v>
          </cell>
          <cell r="N278">
            <v>0</v>
          </cell>
          <cell r="O278">
            <v>0.1</v>
          </cell>
          <cell r="P278">
            <v>0</v>
          </cell>
          <cell r="Q278">
            <v>0</v>
          </cell>
          <cell r="R278">
            <v>0.1</v>
          </cell>
          <cell r="S278">
            <v>0</v>
          </cell>
          <cell r="T278">
            <v>0</v>
          </cell>
          <cell r="U278">
            <v>0</v>
          </cell>
          <cell r="V278">
            <v>0</v>
          </cell>
          <cell r="W278">
            <v>0</v>
          </cell>
          <cell r="X278">
            <v>0</v>
          </cell>
          <cell r="Y278">
            <v>0</v>
          </cell>
          <cell r="Z278">
            <v>0</v>
          </cell>
          <cell r="AA278">
            <v>0</v>
          </cell>
          <cell r="AB278">
            <v>0</v>
          </cell>
          <cell r="AC278">
            <v>0</v>
          </cell>
          <cell r="AD278">
            <v>0</v>
          </cell>
          <cell r="AE278" t="str">
            <v>PET12x380/MPET 12x380</v>
          </cell>
          <cell r="AF278" t="str">
            <v>PE 100x760</v>
          </cell>
          <cell r="AG278">
            <v>9.5836000000000005E-2</v>
          </cell>
          <cell r="AH278">
            <v>1.1499999999999999</v>
          </cell>
          <cell r="AI278">
            <v>1.5</v>
          </cell>
          <cell r="AJ278">
            <v>9530</v>
          </cell>
          <cell r="AK278">
            <v>9530</v>
          </cell>
          <cell r="AL278" t="str">
            <v>0,0053(0,0023;0,003)</v>
          </cell>
          <cell r="AM278" t="str">
            <v>túi ba biên</v>
          </cell>
          <cell r="AN278">
            <v>290</v>
          </cell>
          <cell r="AO278" t="str">
            <v>Công ty Đại Thành</v>
          </cell>
          <cell r="AP278" t="str">
            <v>F118475-1</v>
          </cell>
          <cell r="AQ278" t="str">
            <v>F118475-2</v>
          </cell>
          <cell r="AR278" t="str">
            <v>F118475-3</v>
          </cell>
          <cell r="AS278" t="str">
            <v>F118475-4</v>
          </cell>
          <cell r="AT278" t="str">
            <v>F118475-5</v>
          </cell>
          <cell r="AU278" t="str">
            <v>F118475-6</v>
          </cell>
          <cell r="AV278" t="str">
            <v>F118475-7</v>
          </cell>
          <cell r="AW278">
            <v>0</v>
          </cell>
          <cell r="AX278">
            <v>0</v>
          </cell>
          <cell r="AY278" t="str">
            <v>580x850</v>
          </cell>
          <cell r="AZ278" t="str">
            <v>O2</v>
          </cell>
          <cell r="BA278">
            <v>2500</v>
          </cell>
          <cell r="BB278" t="str">
            <v>Thùng 5 lớp 42x34x36</v>
          </cell>
          <cell r="BC278">
            <v>0</v>
          </cell>
          <cell r="BD278">
            <v>0</v>
          </cell>
        </row>
        <row r="279">
          <cell r="A279" t="str">
            <v>sp 797</v>
          </cell>
          <cell r="B279" t="str">
            <v>Túi gạo lứt đỏ KB333 1kg bản xuất khẩu Đại Thành</v>
          </cell>
          <cell r="C279">
            <v>0</v>
          </cell>
          <cell r="D279">
            <v>2</v>
          </cell>
          <cell r="E279" t="str">
            <v>PET 12x760</v>
          </cell>
          <cell r="F279">
            <v>7</v>
          </cell>
          <cell r="G279" t="str">
            <v>PET</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t="str">
            <v>PET12x380/MPET 12x380</v>
          </cell>
          <cell r="AF279" t="str">
            <v>PE 100x760</v>
          </cell>
          <cell r="AG279">
            <v>9.5836000000000005E-2</v>
          </cell>
          <cell r="AH279">
            <v>1.1499999999999999</v>
          </cell>
          <cell r="AI279">
            <v>1.5</v>
          </cell>
          <cell r="AJ279">
            <v>9530</v>
          </cell>
          <cell r="AK279">
            <v>9530</v>
          </cell>
          <cell r="AL279" t="str">
            <v>0,0053(0,0023;0,003)</v>
          </cell>
          <cell r="AM279" t="str">
            <v>túi ba biên</v>
          </cell>
          <cell r="AN279">
            <v>290</v>
          </cell>
          <cell r="AO279" t="str">
            <v>Công ty Đại Thành</v>
          </cell>
          <cell r="AP279" t="e">
            <v>#N/A</v>
          </cell>
          <cell r="AQ279" t="e">
            <v>#N/A</v>
          </cell>
          <cell r="AR279" t="e">
            <v>#N/A</v>
          </cell>
          <cell r="AS279" t="e">
            <v>#N/A</v>
          </cell>
          <cell r="AT279" t="e">
            <v>#N/A</v>
          </cell>
          <cell r="AU279" t="e">
            <v>#N/A</v>
          </cell>
          <cell r="AV279" t="e">
            <v>#N/A</v>
          </cell>
          <cell r="AW279" t="e">
            <v>#N/A</v>
          </cell>
          <cell r="AX279" t="e">
            <v>#N/A</v>
          </cell>
          <cell r="AY279" t="e">
            <v>#N/A</v>
          </cell>
          <cell r="AZ279" t="e">
            <v>#N/A</v>
          </cell>
          <cell r="BA279">
            <v>2500</v>
          </cell>
          <cell r="BB279" t="str">
            <v>Thùng 5 lớp 42x34x36</v>
          </cell>
          <cell r="BC279">
            <v>0</v>
          </cell>
          <cell r="BD279" t="e">
            <v>#N/A</v>
          </cell>
        </row>
        <row r="280">
          <cell r="A280" t="str">
            <v>sp 798</v>
          </cell>
          <cell r="B280" t="str">
            <v>Túi gạo trắng bani 999 2kg bản nội địa đại thành</v>
          </cell>
          <cell r="C280">
            <v>5.88</v>
          </cell>
          <cell r="D280">
            <v>1</v>
          </cell>
          <cell r="E280" t="str">
            <v>PA 15x480</v>
          </cell>
          <cell r="F280">
            <v>6</v>
          </cell>
          <cell r="G280" t="str">
            <v xml:space="preserve">PA </v>
          </cell>
          <cell r="H280">
            <v>0.5</v>
          </cell>
          <cell r="I280">
            <v>2.5</v>
          </cell>
          <cell r="J280">
            <v>0.35</v>
          </cell>
          <cell r="K280">
            <v>0.43</v>
          </cell>
          <cell r="L280">
            <v>2</v>
          </cell>
          <cell r="M280">
            <v>0</v>
          </cell>
          <cell r="N280">
            <v>0</v>
          </cell>
          <cell r="O280">
            <v>0.1</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t="str">
            <v>PE 100x480</v>
          </cell>
          <cell r="AF280">
            <v>0</v>
          </cell>
          <cell r="AG280">
            <v>5.2680000000000005E-2</v>
          </cell>
          <cell r="AH280">
            <v>0.78333333333333333</v>
          </cell>
          <cell r="AI280">
            <v>0</v>
          </cell>
          <cell r="AJ280">
            <v>9530</v>
          </cell>
          <cell r="AK280">
            <v>0</v>
          </cell>
          <cell r="AL280">
            <v>2.5000000000000001E-3</v>
          </cell>
          <cell r="AM280" t="str">
            <v>túi hàn lưng</v>
          </cell>
          <cell r="AN280">
            <v>350</v>
          </cell>
          <cell r="AO280" t="str">
            <v>Công ty Đại Thành</v>
          </cell>
          <cell r="AP280" t="str">
            <v>F118476-1</v>
          </cell>
          <cell r="AQ280" t="str">
            <v>F118476-2</v>
          </cell>
          <cell r="AR280" t="str">
            <v>F118476-3</v>
          </cell>
          <cell r="AS280" t="str">
            <v>F118476-4</v>
          </cell>
          <cell r="AT280" t="str">
            <v>F118476-5</v>
          </cell>
          <cell r="AU280" t="str">
            <v>F118476-6</v>
          </cell>
          <cell r="AV280">
            <v>0</v>
          </cell>
          <cell r="AW280">
            <v>0</v>
          </cell>
          <cell r="AX280">
            <v>0</v>
          </cell>
          <cell r="AY280" t="str">
            <v>700 x 750</v>
          </cell>
          <cell r="AZ280" t="str">
            <v>O2</v>
          </cell>
          <cell r="BA280">
            <v>1500</v>
          </cell>
          <cell r="BB280" t="str">
            <v>Thùng 5 lớp 42x34x36</v>
          </cell>
          <cell r="BC280">
            <v>0</v>
          </cell>
          <cell r="BD280">
            <v>0</v>
          </cell>
        </row>
        <row r="281">
          <cell r="A281" t="str">
            <v>sp 799</v>
          </cell>
          <cell r="B281" t="str">
            <v>Túi gạo trắng bani 999 2kg bản xuất khẩu Đại Thành</v>
          </cell>
          <cell r="C281">
            <v>0</v>
          </cell>
          <cell r="D281">
            <v>1</v>
          </cell>
          <cell r="E281" t="str">
            <v>PA 15x480</v>
          </cell>
          <cell r="F281">
            <v>6</v>
          </cell>
          <cell r="G281" t="str">
            <v xml:space="preserve">PA </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t="str">
            <v>PE 100x480</v>
          </cell>
          <cell r="AF281">
            <v>0</v>
          </cell>
          <cell r="AG281">
            <v>5.2680000000000005E-2</v>
          </cell>
          <cell r="AH281">
            <v>0.78333333333333333</v>
          </cell>
          <cell r="AI281">
            <v>0</v>
          </cell>
          <cell r="AJ281">
            <v>9530</v>
          </cell>
          <cell r="AK281">
            <v>0</v>
          </cell>
          <cell r="AL281">
            <v>2.5000000000000001E-3</v>
          </cell>
          <cell r="AM281" t="str">
            <v>túi hàn lưng</v>
          </cell>
          <cell r="AN281">
            <v>350</v>
          </cell>
          <cell r="AO281" t="str">
            <v>Công ty Đại Thành</v>
          </cell>
          <cell r="AP281" t="e">
            <v>#N/A</v>
          </cell>
          <cell r="AQ281" t="e">
            <v>#N/A</v>
          </cell>
          <cell r="AR281" t="e">
            <v>#N/A</v>
          </cell>
          <cell r="AS281" t="e">
            <v>#N/A</v>
          </cell>
          <cell r="AT281" t="e">
            <v>#N/A</v>
          </cell>
          <cell r="AU281" t="e">
            <v>#N/A</v>
          </cell>
          <cell r="AV281" t="e">
            <v>#N/A</v>
          </cell>
          <cell r="AW281" t="e">
            <v>#N/A</v>
          </cell>
          <cell r="AX281" t="e">
            <v>#N/A</v>
          </cell>
          <cell r="AY281" t="e">
            <v>#N/A</v>
          </cell>
          <cell r="AZ281" t="e">
            <v>#N/A</v>
          </cell>
          <cell r="BA281">
            <v>1500</v>
          </cell>
          <cell r="BB281" t="str">
            <v>Thùng 5 lớp 42x34x36</v>
          </cell>
          <cell r="BC281">
            <v>0</v>
          </cell>
          <cell r="BD281" t="e">
            <v>#N/A</v>
          </cell>
        </row>
        <row r="282">
          <cell r="A282" t="str">
            <v>sp 800</v>
          </cell>
          <cell r="B282" t="str">
            <v>Cuộn màng Bạch Đằng loại 1</v>
          </cell>
          <cell r="C282">
            <v>6</v>
          </cell>
          <cell r="D282">
            <v>1</v>
          </cell>
          <cell r="E282" t="str">
            <v xml:space="preserve">PE đt 60x1270 </v>
          </cell>
          <cell r="F282">
            <v>2</v>
          </cell>
          <cell r="G282" t="str">
            <v xml:space="preserve">PE </v>
          </cell>
          <cell r="H282">
            <v>0</v>
          </cell>
          <cell r="I282">
            <v>0</v>
          </cell>
          <cell r="J282">
            <v>2.2000000000000002</v>
          </cell>
          <cell r="K282">
            <v>0.6</v>
          </cell>
          <cell r="L282">
            <v>0</v>
          </cell>
          <cell r="M282">
            <v>1.4</v>
          </cell>
          <cell r="N282">
            <v>0</v>
          </cell>
          <cell r="O282">
            <v>0</v>
          </cell>
          <cell r="P282">
            <v>1.8</v>
          </cell>
          <cell r="Q282">
            <v>0</v>
          </cell>
          <cell r="R282">
            <v>0</v>
          </cell>
          <cell r="S282">
            <v>0</v>
          </cell>
          <cell r="T282">
            <v>0</v>
          </cell>
          <cell r="U282">
            <v>0</v>
          </cell>
          <cell r="V282">
            <v>0</v>
          </cell>
          <cell r="W282">
            <v>0</v>
          </cell>
          <cell r="X282">
            <v>0</v>
          </cell>
          <cell r="Y282">
            <v>0</v>
          </cell>
          <cell r="Z282">
            <v>0</v>
          </cell>
          <cell r="AA282">
            <v>0</v>
          </cell>
          <cell r="AB282">
            <v>0</v>
          </cell>
          <cell r="AC282">
            <v>0</v>
          </cell>
          <cell r="AD282">
            <v>0</v>
          </cell>
          <cell r="AE282" t="str">
            <v>PE 40x1270</v>
          </cell>
          <cell r="AF282">
            <v>0</v>
          </cell>
          <cell r="AG282">
            <v>0.117475</v>
          </cell>
          <cell r="AH282">
            <v>1.68</v>
          </cell>
          <cell r="AI282">
            <v>0</v>
          </cell>
          <cell r="AJ282">
            <v>9530</v>
          </cell>
          <cell r="AK282">
            <v>0</v>
          </cell>
          <cell r="AL282">
            <v>2E-3</v>
          </cell>
          <cell r="AM282" t="str">
            <v>dạng cuộn 2000m</v>
          </cell>
          <cell r="AN282">
            <v>1270</v>
          </cell>
          <cell r="AO282" t="str">
            <v>Công ty Đức Thiện</v>
          </cell>
          <cell r="AP282" t="e">
            <v>#N/A</v>
          </cell>
          <cell r="AQ282" t="e">
            <v>#N/A</v>
          </cell>
          <cell r="AR282" t="e">
            <v>#N/A</v>
          </cell>
          <cell r="AS282" t="e">
            <v>#N/A</v>
          </cell>
          <cell r="AT282" t="e">
            <v>#N/A</v>
          </cell>
          <cell r="AU282" t="e">
            <v>#N/A</v>
          </cell>
          <cell r="AV282" t="e">
            <v>#N/A</v>
          </cell>
          <cell r="AW282" t="e">
            <v>#N/A</v>
          </cell>
          <cell r="AX282" t="e">
            <v>#N/A</v>
          </cell>
          <cell r="AY282" t="e">
            <v>#N/A</v>
          </cell>
          <cell r="AZ282" t="e">
            <v>#N/A</v>
          </cell>
          <cell r="BA282" t="str">
            <v>1c</v>
          </cell>
          <cell r="BB282" t="str">
            <v>giấy cartoon K1400</v>
          </cell>
          <cell r="BC282">
            <v>0</v>
          </cell>
          <cell r="BD282" t="e">
            <v>#N/A</v>
          </cell>
        </row>
        <row r="283">
          <cell r="A283" t="str">
            <v>sp 801</v>
          </cell>
          <cell r="B283" t="str">
            <v>Cuộn màng nhôm cao cấp trường thành</v>
          </cell>
          <cell r="C283">
            <v>0</v>
          </cell>
          <cell r="D283">
            <v>1</v>
          </cell>
          <cell r="E283" t="str">
            <v xml:space="preserve">PE đt 60x1270 </v>
          </cell>
          <cell r="F283">
            <v>1</v>
          </cell>
          <cell r="G283" t="str">
            <v xml:space="preserve">PE </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t="str">
            <v>PE 40x1270</v>
          </cell>
          <cell r="AF283">
            <v>0</v>
          </cell>
          <cell r="AG283">
            <v>0.117475</v>
          </cell>
          <cell r="AH283">
            <v>1.68</v>
          </cell>
          <cell r="AI283">
            <v>0</v>
          </cell>
          <cell r="AJ283">
            <v>9530</v>
          </cell>
          <cell r="AK283">
            <v>0</v>
          </cell>
          <cell r="AL283">
            <v>2E-3</v>
          </cell>
          <cell r="AM283" t="str">
            <v>dạng cuộn 2000m</v>
          </cell>
          <cell r="AN283">
            <v>1270</v>
          </cell>
          <cell r="AO283" t="str">
            <v>Công ty Đức Thiện</v>
          </cell>
          <cell r="AP283" t="e">
            <v>#N/A</v>
          </cell>
          <cell r="AQ283" t="e">
            <v>#N/A</v>
          </cell>
          <cell r="AR283" t="e">
            <v>#N/A</v>
          </cell>
          <cell r="AS283" t="e">
            <v>#N/A</v>
          </cell>
          <cell r="AT283" t="e">
            <v>#N/A</v>
          </cell>
          <cell r="AU283" t="e">
            <v>#N/A</v>
          </cell>
          <cell r="AV283" t="e">
            <v>#N/A</v>
          </cell>
          <cell r="AW283" t="e">
            <v>#N/A</v>
          </cell>
          <cell r="AX283" t="e">
            <v>#N/A</v>
          </cell>
          <cell r="AY283" t="e">
            <v>#N/A</v>
          </cell>
          <cell r="AZ283" t="e">
            <v>#N/A</v>
          </cell>
          <cell r="BA283" t="str">
            <v>1c</v>
          </cell>
          <cell r="BB283" t="str">
            <v>giấy cartoon K1400</v>
          </cell>
          <cell r="BC283">
            <v>0</v>
          </cell>
          <cell r="BD283" t="e">
            <v>#N/A</v>
          </cell>
        </row>
        <row r="284">
          <cell r="A284" t="str">
            <v>sp 802</v>
          </cell>
          <cell r="B284" t="str">
            <v>Cuộn trà gừng mật ong dạng cốm 20g Sing Việt</v>
          </cell>
          <cell r="C284">
            <v>6.7640000000000002</v>
          </cell>
          <cell r="D284">
            <v>4</v>
          </cell>
          <cell r="E284" t="str">
            <v>PET 12x660</v>
          </cell>
          <cell r="F284">
            <v>5</v>
          </cell>
          <cell r="G284" t="str">
            <v>PET</v>
          </cell>
          <cell r="H284">
            <v>0.06</v>
          </cell>
          <cell r="I284">
            <v>3.51</v>
          </cell>
          <cell r="J284">
            <v>0.64</v>
          </cell>
          <cell r="K284">
            <v>0.56999999999999995</v>
          </cell>
          <cell r="L284">
            <v>1.0900000000000001</v>
          </cell>
          <cell r="M284">
            <v>0.89400000000000002</v>
          </cell>
          <cell r="AE284" t="str">
            <v>Al 6x660</v>
          </cell>
          <cell r="AF284" t="str">
            <v>PE 55x670</v>
          </cell>
          <cell r="AG284">
            <v>0.15198150000000002</v>
          </cell>
          <cell r="AH284">
            <v>0.99666666666666659</v>
          </cell>
          <cell r="AI284">
            <v>1.0833333333333335</v>
          </cell>
          <cell r="AJ284">
            <v>9530</v>
          </cell>
          <cell r="AK284">
            <v>9530</v>
          </cell>
          <cell r="AL284" t="str">
            <v>0,0048(0,0023;0,0025)</v>
          </cell>
          <cell r="AM284" t="str">
            <v>dạng cuộn 1000m</v>
          </cell>
          <cell r="AN284">
            <v>160</v>
          </cell>
          <cell r="AO284" t="str">
            <v>Công ty Sing Việt</v>
          </cell>
          <cell r="AP284" t="str">
            <v>F118539G2-1</v>
          </cell>
          <cell r="AQ284" t="str">
            <v>F118539-2</v>
          </cell>
          <cell r="AR284" t="str">
            <v>F118539-3</v>
          </cell>
          <cell r="AS284" t="str">
            <v>F118539-4</v>
          </cell>
          <cell r="AT284" t="str">
            <v>F118539-5</v>
          </cell>
          <cell r="AU284">
            <v>0</v>
          </cell>
          <cell r="AV284">
            <v>0</v>
          </cell>
          <cell r="AW284">
            <v>0</v>
          </cell>
          <cell r="AX284">
            <v>0</v>
          </cell>
          <cell r="AY284" t="str">
            <v>428x750</v>
          </cell>
          <cell r="AZ284" t="str">
            <v>O2</v>
          </cell>
          <cell r="BA284" t="str">
            <v>2c</v>
          </cell>
          <cell r="BB284" t="str">
            <v>giấy cartoon K400</v>
          </cell>
          <cell r="BC284">
            <v>0</v>
          </cell>
          <cell r="BD284">
            <v>0</v>
          </cell>
        </row>
        <row r="285">
          <cell r="A285" t="str">
            <v>sp 803</v>
          </cell>
          <cell r="B285" t="str">
            <v>Túi trà gừng mật ong dạng cốm 400g Sing Việt</v>
          </cell>
          <cell r="C285">
            <v>6.2260000000000009</v>
          </cell>
          <cell r="D285">
            <v>1</v>
          </cell>
          <cell r="E285" t="str">
            <v>PET 12x700</v>
          </cell>
          <cell r="F285">
            <v>4</v>
          </cell>
          <cell r="G285" t="str">
            <v>PET</v>
          </cell>
          <cell r="H285">
            <v>0.01</v>
          </cell>
          <cell r="J285">
            <v>1.37</v>
          </cell>
          <cell r="K285">
            <v>1.49</v>
          </cell>
          <cell r="L285">
            <v>2.36</v>
          </cell>
          <cell r="M285">
            <v>0.996</v>
          </cell>
          <cell r="AE285" t="str">
            <v>PE sứ 140x700</v>
          </cell>
          <cell r="AG285">
            <v>0.91825999999999985</v>
          </cell>
          <cell r="AH285">
            <v>1.4</v>
          </cell>
          <cell r="AI285">
            <v>0</v>
          </cell>
          <cell r="AJ285">
            <v>9530</v>
          </cell>
          <cell r="AL285">
            <v>3.0000000000000001E-3</v>
          </cell>
          <cell r="AM285" t="str">
            <v>túi ba biên đáy đứng zipper</v>
          </cell>
          <cell r="AN285">
            <v>230</v>
          </cell>
          <cell r="AO285" t="str">
            <v>Công ty Sing Việt</v>
          </cell>
          <cell r="AP285" t="str">
            <v>F118705G2-1</v>
          </cell>
          <cell r="AQ285" t="str">
            <v>F118705G1-2</v>
          </cell>
          <cell r="AR285" t="str">
            <v>F118705G1-3</v>
          </cell>
          <cell r="AS285" t="str">
            <v>F118705-4</v>
          </cell>
          <cell r="AT285">
            <v>0</v>
          </cell>
          <cell r="AU285">
            <v>0</v>
          </cell>
          <cell r="AV285">
            <v>0</v>
          </cell>
          <cell r="AW285">
            <v>0</v>
          </cell>
          <cell r="AX285">
            <v>0</v>
          </cell>
          <cell r="AY285" t="str">
            <v>460x750</v>
          </cell>
          <cell r="AZ285" t="str">
            <v>O2</v>
          </cell>
          <cell r="BA285">
            <v>900</v>
          </cell>
          <cell r="BB285" t="str">
            <v>Thùng 5 lớp 42x34x36</v>
          </cell>
          <cell r="BC285">
            <v>0</v>
          </cell>
          <cell r="BD285">
            <v>0</v>
          </cell>
        </row>
        <row r="286">
          <cell r="A286" t="str">
            <v>sp 804</v>
          </cell>
          <cell r="B286" t="str">
            <v>Cuộn oresol Zin C mới Hải Phòng</v>
          </cell>
          <cell r="C286">
            <v>3.9439999999999995</v>
          </cell>
          <cell r="D286">
            <v>5</v>
          </cell>
          <cell r="E286" t="str">
            <v>PET 12x620</v>
          </cell>
          <cell r="F286">
            <v>5</v>
          </cell>
          <cell r="G286" t="str">
            <v>PET</v>
          </cell>
          <cell r="H286">
            <v>0.13500000000000001</v>
          </cell>
          <cell r="I286">
            <v>1.8939999999999999</v>
          </cell>
          <cell r="J286">
            <v>1.218</v>
          </cell>
          <cell r="K286">
            <v>0.67700000000000005</v>
          </cell>
          <cell r="L286">
            <v>0.01</v>
          </cell>
          <cell r="M286">
            <v>0</v>
          </cell>
          <cell r="N286">
            <v>0</v>
          </cell>
          <cell r="O286">
            <v>0</v>
          </cell>
          <cell r="P286">
            <v>0</v>
          </cell>
          <cell r="Q286">
            <v>0</v>
          </cell>
          <cell r="R286">
            <v>0.01</v>
          </cell>
          <cell r="S286">
            <v>0</v>
          </cell>
          <cell r="T286">
            <v>0</v>
          </cell>
          <cell r="U286">
            <v>0</v>
          </cell>
          <cell r="V286">
            <v>0</v>
          </cell>
          <cell r="W286">
            <v>0</v>
          </cell>
          <cell r="X286">
            <v>0</v>
          </cell>
          <cell r="Y286">
            <v>0</v>
          </cell>
          <cell r="Z286">
            <v>0</v>
          </cell>
          <cell r="AA286">
            <v>0</v>
          </cell>
          <cell r="AB286">
            <v>0</v>
          </cell>
          <cell r="AC286">
            <v>0</v>
          </cell>
          <cell r="AD286">
            <v>0</v>
          </cell>
          <cell r="AE286" t="str">
            <v>Al 6x620</v>
          </cell>
          <cell r="AF286" t="str">
            <v>PE 75x630</v>
          </cell>
          <cell r="AG286">
            <v>6.3509700000000002E-2</v>
          </cell>
          <cell r="AH286">
            <v>0.93533333333333324</v>
          </cell>
          <cell r="AI286">
            <v>1.0166666666666666</v>
          </cell>
          <cell r="AJ286">
            <v>9530</v>
          </cell>
          <cell r="AK286">
            <v>9530</v>
          </cell>
          <cell r="AL286" t="str">
            <v>0,0048(0,0023;0,0025)</v>
          </cell>
          <cell r="AM286" t="str">
            <v>dạng cuộn 500m</v>
          </cell>
          <cell r="AN286">
            <v>120</v>
          </cell>
          <cell r="AO286" t="str">
            <v>Công ty  Dược Hải Phòng</v>
          </cell>
          <cell r="AP286" t="str">
            <v>1708889-1</v>
          </cell>
          <cell r="AQ286" t="str">
            <v>1708889-2</v>
          </cell>
          <cell r="AR286" t="str">
            <v>1708889-3</v>
          </cell>
          <cell r="AS286" t="str">
            <v>1708889-4</v>
          </cell>
          <cell r="AT286" t="str">
            <v>1708889-5</v>
          </cell>
          <cell r="AU286">
            <v>0</v>
          </cell>
          <cell r="AV286">
            <v>0</v>
          </cell>
          <cell r="AW286">
            <v>0</v>
          </cell>
          <cell r="AX286">
            <v>0</v>
          </cell>
          <cell r="AY286" t="str">
            <v>400x750</v>
          </cell>
          <cell r="AZ286" t="str">
            <v>O2</v>
          </cell>
          <cell r="BA286" t="str">
            <v>6c</v>
          </cell>
          <cell r="BB286" t="str">
            <v>giấy cartoon K800</v>
          </cell>
          <cell r="BC286">
            <v>0</v>
          </cell>
          <cell r="BD286">
            <v>0</v>
          </cell>
        </row>
        <row r="287">
          <cell r="A287" t="str">
            <v>sp 806</v>
          </cell>
          <cell r="B287" t="str">
            <v>Cuộn màng MPET/PE không in Proline K800</v>
          </cell>
          <cell r="C287">
            <v>0</v>
          </cell>
          <cell r="D287">
            <v>2</v>
          </cell>
          <cell r="E287" t="str">
            <v>MPET mt 12x800</v>
          </cell>
          <cell r="F287">
            <v>0</v>
          </cell>
          <cell r="G287" t="str">
            <v>MPE</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t="str">
            <v>PE 60x810</v>
          </cell>
          <cell r="AF287">
            <v>0</v>
          </cell>
          <cell r="AG287">
            <v>0.45744000000000007</v>
          </cell>
          <cell r="AH287">
            <v>1.2113333333333334</v>
          </cell>
          <cell r="AI287">
            <v>0</v>
          </cell>
          <cell r="AJ287">
            <v>9530</v>
          </cell>
          <cell r="AK287">
            <v>0</v>
          </cell>
          <cell r="AL287">
            <v>2.3E-3</v>
          </cell>
          <cell r="AM287" t="str">
            <v>dạng cuộn 2000m</v>
          </cell>
          <cell r="AN287">
            <v>400</v>
          </cell>
          <cell r="AO287" t="str">
            <v>Công ty Proline</v>
          </cell>
          <cell r="AP287" t="e">
            <v>#N/A</v>
          </cell>
          <cell r="AQ287" t="e">
            <v>#N/A</v>
          </cell>
          <cell r="AR287" t="e">
            <v>#N/A</v>
          </cell>
          <cell r="AS287" t="e">
            <v>#N/A</v>
          </cell>
          <cell r="AT287" t="e">
            <v>#N/A</v>
          </cell>
          <cell r="AU287" t="e">
            <v>#N/A</v>
          </cell>
          <cell r="AV287" t="e">
            <v>#N/A</v>
          </cell>
          <cell r="AW287" t="e">
            <v>#N/A</v>
          </cell>
          <cell r="AX287" t="e">
            <v>#N/A</v>
          </cell>
          <cell r="AY287" t="e">
            <v>#N/A</v>
          </cell>
          <cell r="AZ287" t="e">
            <v>#N/A</v>
          </cell>
          <cell r="BA287" t="str">
            <v>1c</v>
          </cell>
          <cell r="BB287" t="str">
            <v>giấy cartoon K600</v>
          </cell>
          <cell r="BC287">
            <v>0</v>
          </cell>
          <cell r="BD287" t="e">
            <v>#N/A</v>
          </cell>
        </row>
        <row r="288">
          <cell r="A288" t="str">
            <v>sp 807</v>
          </cell>
          <cell r="B288" t="str">
            <v>Cuộn màng Euro Window loại 1 Châu Âu</v>
          </cell>
          <cell r="C288">
            <v>0</v>
          </cell>
          <cell r="D288">
            <v>1</v>
          </cell>
          <cell r="E288" t="str">
            <v>PE đt 40x1270</v>
          </cell>
          <cell r="F288">
            <v>1</v>
          </cell>
          <cell r="G288" t="str">
            <v xml:space="preserve">PE </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t="str">
            <v>PE 25x1270</v>
          </cell>
          <cell r="AF288">
            <v>0</v>
          </cell>
          <cell r="AG288">
            <v>7.6358750000000017E-2</v>
          </cell>
          <cell r="AH288">
            <v>1.68</v>
          </cell>
          <cell r="AI288">
            <v>0</v>
          </cell>
          <cell r="AJ288">
            <v>9530</v>
          </cell>
          <cell r="AK288">
            <v>0</v>
          </cell>
          <cell r="AL288">
            <v>2E-3</v>
          </cell>
          <cell r="AM288" t="str">
            <v>dạng cuộn 2000m</v>
          </cell>
          <cell r="AN288">
            <v>1270</v>
          </cell>
          <cell r="AO288" t="str">
            <v>Công ty Đức Thiện</v>
          </cell>
          <cell r="AP288" t="e">
            <v>#N/A</v>
          </cell>
          <cell r="AQ288" t="e">
            <v>#N/A</v>
          </cell>
          <cell r="AR288" t="e">
            <v>#N/A</v>
          </cell>
          <cell r="AS288" t="e">
            <v>#N/A</v>
          </cell>
          <cell r="AT288" t="e">
            <v>#N/A</v>
          </cell>
          <cell r="AU288" t="e">
            <v>#N/A</v>
          </cell>
          <cell r="AV288" t="e">
            <v>#N/A</v>
          </cell>
          <cell r="AW288" t="e">
            <v>#N/A</v>
          </cell>
          <cell r="AX288" t="e">
            <v>#N/A</v>
          </cell>
          <cell r="AY288" t="e">
            <v>#N/A</v>
          </cell>
          <cell r="AZ288" t="e">
            <v>#N/A</v>
          </cell>
          <cell r="BA288" t="str">
            <v>1c</v>
          </cell>
          <cell r="BB288" t="str">
            <v>giấy cartoon K1400</v>
          </cell>
          <cell r="BC288">
            <v>0</v>
          </cell>
          <cell r="BD288" t="e">
            <v>#N/A</v>
          </cell>
        </row>
        <row r="289">
          <cell r="A289" t="str">
            <v>sp 808</v>
          </cell>
          <cell r="B289" t="str">
            <v>Túi chè lụa tân cương 500g loại 5</v>
          </cell>
          <cell r="C289">
            <v>9.1099999999999977</v>
          </cell>
          <cell r="D289">
            <v>2</v>
          </cell>
          <cell r="E289" t="str">
            <v>OPP mờ 20x760</v>
          </cell>
          <cell r="F289">
            <v>7</v>
          </cell>
          <cell r="G289" t="str">
            <v>OPP</v>
          </cell>
          <cell r="H289">
            <v>0.09</v>
          </cell>
          <cell r="I289">
            <v>4.3899999999999997</v>
          </cell>
          <cell r="J289">
            <v>0.89</v>
          </cell>
          <cell r="K289">
            <v>0.01</v>
          </cell>
          <cell r="L289">
            <v>2.09</v>
          </cell>
          <cell r="M289">
            <v>1.38</v>
          </cell>
          <cell r="N289">
            <v>0</v>
          </cell>
          <cell r="O289">
            <v>0.01</v>
          </cell>
          <cell r="P289">
            <v>0.03</v>
          </cell>
          <cell r="Q289">
            <v>0.06</v>
          </cell>
          <cell r="R289">
            <v>0</v>
          </cell>
          <cell r="S289">
            <v>0.16</v>
          </cell>
          <cell r="T289">
            <v>0</v>
          </cell>
          <cell r="U289">
            <v>0</v>
          </cell>
          <cell r="V289">
            <v>0</v>
          </cell>
          <cell r="W289">
            <v>0</v>
          </cell>
          <cell r="X289">
            <v>0</v>
          </cell>
          <cell r="Y289">
            <v>0</v>
          </cell>
          <cell r="Z289">
            <v>0</v>
          </cell>
          <cell r="AA289">
            <v>0</v>
          </cell>
          <cell r="AB289">
            <v>0</v>
          </cell>
          <cell r="AC289">
            <v>0</v>
          </cell>
          <cell r="AD289">
            <v>0</v>
          </cell>
          <cell r="AE289" t="str">
            <v>MPET 12x760</v>
          </cell>
          <cell r="AF289" t="str">
            <v>PE 70x760</v>
          </cell>
          <cell r="AG289">
            <v>7.5810000000000016E-2</v>
          </cell>
          <cell r="AH289">
            <v>1.1499999999999999</v>
          </cell>
          <cell r="AI289">
            <v>1.5</v>
          </cell>
          <cell r="AJ289">
            <v>9530</v>
          </cell>
          <cell r="AK289">
            <v>9530</v>
          </cell>
          <cell r="AL289" t="str">
            <v>0,0053(0,0023;0,003)</v>
          </cell>
          <cell r="AM289" t="str">
            <v>túi hàn lưng xếp hông</v>
          </cell>
          <cell r="AN289">
            <v>420</v>
          </cell>
          <cell r="AO289" t="str">
            <v>Khách hàng lẻ</v>
          </cell>
          <cell r="AP289" t="str">
            <v>1708584-1</v>
          </cell>
          <cell r="AQ289" t="str">
            <v>1708584-2</v>
          </cell>
          <cell r="AR289" t="str">
            <v>1708584-3</v>
          </cell>
          <cell r="AS289" t="str">
            <v>1708584-4</v>
          </cell>
          <cell r="AT289" t="str">
            <v>1708584-5</v>
          </cell>
          <cell r="AU289" t="str">
            <v>1708584-6</v>
          </cell>
          <cell r="AV289" t="str">
            <v>1607497-7</v>
          </cell>
          <cell r="AW289">
            <v>0</v>
          </cell>
          <cell r="AX289">
            <v>0</v>
          </cell>
          <cell r="AY289" t="str">
            <v>420x850</v>
          </cell>
          <cell r="AZ289" t="str">
            <v>F2</v>
          </cell>
          <cell r="BA289">
            <v>1500</v>
          </cell>
          <cell r="BB289" t="str">
            <v>Thùng 5 lớp 42x34x36</v>
          </cell>
          <cell r="BC289">
            <v>0</v>
          </cell>
          <cell r="BD289" t="str">
            <v>in chung bộ sp 832,cây trắng với sp 568</v>
          </cell>
        </row>
        <row r="290">
          <cell r="A290" t="str">
            <v>sp 809</v>
          </cell>
          <cell r="B290" t="str">
            <v>Cuộn bánh gạo sasaki Nhật Minh Phát</v>
          </cell>
          <cell r="C290">
            <v>1.55</v>
          </cell>
          <cell r="D290">
            <v>5</v>
          </cell>
          <cell r="E290" t="str">
            <v>OPP mờ 20x945</v>
          </cell>
          <cell r="F290">
            <v>3</v>
          </cell>
          <cell r="G290" t="str">
            <v>OPP</v>
          </cell>
          <cell r="H290">
            <v>0.11</v>
          </cell>
          <cell r="I290">
            <v>0</v>
          </cell>
          <cell r="J290">
            <v>0</v>
          </cell>
          <cell r="K290">
            <v>0.35</v>
          </cell>
          <cell r="L290">
            <v>0.73</v>
          </cell>
          <cell r="M290">
            <v>0</v>
          </cell>
          <cell r="N290">
            <v>0</v>
          </cell>
          <cell r="O290">
            <v>0</v>
          </cell>
          <cell r="P290">
            <v>0.1</v>
          </cell>
          <cell r="Q290">
            <v>0.25</v>
          </cell>
          <cell r="R290">
            <v>0</v>
          </cell>
          <cell r="S290">
            <v>0</v>
          </cell>
          <cell r="T290">
            <v>0.01</v>
          </cell>
          <cell r="U290">
            <v>0</v>
          </cell>
          <cell r="V290">
            <v>0</v>
          </cell>
          <cell r="W290">
            <v>0</v>
          </cell>
          <cell r="X290">
            <v>0</v>
          </cell>
          <cell r="Y290">
            <v>0</v>
          </cell>
          <cell r="Z290">
            <v>0</v>
          </cell>
          <cell r="AA290">
            <v>0</v>
          </cell>
          <cell r="AB290">
            <v>0</v>
          </cell>
          <cell r="AC290">
            <v>0</v>
          </cell>
          <cell r="AD290">
            <v>0</v>
          </cell>
          <cell r="AE290" t="str">
            <v>CPP 25x945</v>
          </cell>
          <cell r="AF290">
            <v>0</v>
          </cell>
          <cell r="AG290">
            <v>3.8697749999999996E-2</v>
          </cell>
          <cell r="AH290">
            <v>1.1220000000000001</v>
          </cell>
          <cell r="AI290">
            <v>0</v>
          </cell>
          <cell r="AJ290">
            <v>9530</v>
          </cell>
          <cell r="AK290">
            <v>0</v>
          </cell>
          <cell r="AL290">
            <v>1.8E-3</v>
          </cell>
          <cell r="AM290" t="str">
            <v>dạng cuộn 1000m</v>
          </cell>
          <cell r="AN290">
            <v>185</v>
          </cell>
          <cell r="AO290" t="str">
            <v>Công ty Minh Phát</v>
          </cell>
          <cell r="AP290" t="str">
            <v>F118711-1</v>
          </cell>
          <cell r="AQ290" t="str">
            <v>F118711-2</v>
          </cell>
          <cell r="AR290" t="str">
            <v>F118711-3</v>
          </cell>
          <cell r="AS290">
            <v>0</v>
          </cell>
          <cell r="AT290">
            <v>0</v>
          </cell>
          <cell r="AU290">
            <v>0</v>
          </cell>
          <cell r="AV290">
            <v>0</v>
          </cell>
          <cell r="AW290">
            <v>0</v>
          </cell>
          <cell r="AX290">
            <v>0</v>
          </cell>
          <cell r="AY290" t="str">
            <v>400x1100</v>
          </cell>
          <cell r="AZ290" t="str">
            <v>P1</v>
          </cell>
          <cell r="BA290" t="str">
            <v>3c</v>
          </cell>
          <cell r="BB290" t="str">
            <v>giấy cartoon</v>
          </cell>
          <cell r="BC290">
            <v>0</v>
          </cell>
          <cell r="BD290">
            <v>0</v>
          </cell>
        </row>
        <row r="291">
          <cell r="A291" t="str">
            <v>sp 810</v>
          </cell>
          <cell r="B291" t="str">
            <v>Túi bánh gạo nhật sasaki 100g Minh Phát</v>
          </cell>
          <cell r="C291">
            <v>9.7099999999999991</v>
          </cell>
          <cell r="D291">
            <v>2</v>
          </cell>
          <cell r="E291" t="str">
            <v>OPP 30x800</v>
          </cell>
          <cell r="F291">
            <v>7</v>
          </cell>
          <cell r="G291" t="str">
            <v>OPP</v>
          </cell>
          <cell r="H291">
            <v>0.08</v>
          </cell>
          <cell r="I291">
            <v>4.8099999999999996</v>
          </cell>
          <cell r="J291">
            <v>0</v>
          </cell>
          <cell r="K291">
            <v>0.04</v>
          </cell>
          <cell r="L291">
            <v>1.95</v>
          </cell>
          <cell r="M291">
            <v>0.8</v>
          </cell>
          <cell r="N291">
            <v>0</v>
          </cell>
          <cell r="O291">
            <v>0</v>
          </cell>
          <cell r="P291">
            <v>1.79</v>
          </cell>
          <cell r="Q291">
            <v>0.24</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t="str">
            <v>MCPP 25x800</v>
          </cell>
          <cell r="AF291">
            <v>0</v>
          </cell>
          <cell r="AG291">
            <v>3.2760000000000004E-2</v>
          </cell>
          <cell r="AH291">
            <v>1.196</v>
          </cell>
          <cell r="AI291">
            <v>0</v>
          </cell>
          <cell r="AJ291">
            <v>9530</v>
          </cell>
          <cell r="AK291">
            <v>9530</v>
          </cell>
          <cell r="AL291">
            <v>2.3E-3</v>
          </cell>
          <cell r="AM291" t="str">
            <v>túi hàn lưng</v>
          </cell>
          <cell r="AN291">
            <v>280</v>
          </cell>
          <cell r="AO291" t="str">
            <v>Công ty Minh Phát</v>
          </cell>
          <cell r="AP291" t="str">
            <v>F118710-1</v>
          </cell>
          <cell r="AQ291" t="str">
            <v>F118710-2</v>
          </cell>
          <cell r="AR291" t="str">
            <v>F118710-3</v>
          </cell>
          <cell r="AS291" t="str">
            <v>F118710-4</v>
          </cell>
          <cell r="AT291" t="str">
            <v>F118710-5</v>
          </cell>
          <cell r="AU291" t="str">
            <v>F118710-6</v>
          </cell>
          <cell r="AV291" t="str">
            <v>F118710-7</v>
          </cell>
          <cell r="AW291">
            <v>0</v>
          </cell>
          <cell r="AX291">
            <v>0</v>
          </cell>
          <cell r="AY291">
            <v>0</v>
          </cell>
          <cell r="AZ291" t="str">
            <v>P1</v>
          </cell>
          <cell r="BA291">
            <v>4000</v>
          </cell>
          <cell r="BB291" t="str">
            <v>Thùng 5 lớp 42x34x36</v>
          </cell>
          <cell r="BC291">
            <v>0</v>
          </cell>
          <cell r="BD291">
            <v>0</v>
          </cell>
        </row>
        <row r="292">
          <cell r="A292" t="str">
            <v>sp 811</v>
          </cell>
          <cell r="B292" t="str">
            <v>Túi đựng kẹo socola viên sọc nâu 350g Marika</v>
          </cell>
          <cell r="C292">
            <v>8.0500000000000007</v>
          </cell>
          <cell r="D292">
            <v>1</v>
          </cell>
          <cell r="E292" t="str">
            <v>OPP mờ 20x690</v>
          </cell>
          <cell r="F292">
            <v>5</v>
          </cell>
          <cell r="G292" t="str">
            <v>OPP</v>
          </cell>
          <cell r="H292">
            <v>0.35</v>
          </cell>
          <cell r="I292">
            <v>3</v>
          </cell>
          <cell r="J292">
            <v>1.8</v>
          </cell>
          <cell r="K292">
            <v>0.8</v>
          </cell>
          <cell r="L292">
            <v>0.4</v>
          </cell>
          <cell r="M292">
            <v>0.5</v>
          </cell>
          <cell r="N292">
            <v>0</v>
          </cell>
          <cell r="O292">
            <v>0</v>
          </cell>
          <cell r="P292">
            <v>0</v>
          </cell>
          <cell r="Q292">
            <v>0</v>
          </cell>
          <cell r="R292">
            <v>1.2</v>
          </cell>
          <cell r="S292">
            <v>0</v>
          </cell>
          <cell r="T292">
            <v>0</v>
          </cell>
          <cell r="U292">
            <v>0</v>
          </cell>
          <cell r="V292">
            <v>0</v>
          </cell>
          <cell r="W292">
            <v>0</v>
          </cell>
          <cell r="X292">
            <v>0</v>
          </cell>
          <cell r="Y292">
            <v>0</v>
          </cell>
          <cell r="Z292">
            <v>0</v>
          </cell>
          <cell r="AA292">
            <v>0</v>
          </cell>
          <cell r="AB292">
            <v>0</v>
          </cell>
          <cell r="AC292">
            <v>0</v>
          </cell>
          <cell r="AD292">
            <v>0</v>
          </cell>
          <cell r="AE292" t="str">
            <v>MPET 12x690</v>
          </cell>
          <cell r="AF292" t="str">
            <v>PE 90x690</v>
          </cell>
          <cell r="AG292">
            <v>8.1592499999999998E-2</v>
          </cell>
          <cell r="AH292">
            <v>1.0426666666666666</v>
          </cell>
          <cell r="AI292">
            <v>1.36</v>
          </cell>
          <cell r="AJ292">
            <v>9530</v>
          </cell>
          <cell r="AK292">
            <v>9530</v>
          </cell>
          <cell r="AL292" t="str">
            <v>0,0053(0,0023;0,003)</v>
          </cell>
          <cell r="AM292" t="str">
            <v>túi ba biên đáy đứng</v>
          </cell>
          <cell r="AN292">
            <v>180</v>
          </cell>
          <cell r="AO292" t="str">
            <v>Công ty Việt Nga</v>
          </cell>
          <cell r="AP292" t="str">
            <v>F118717-1</v>
          </cell>
          <cell r="AQ292" t="str">
            <v>F118717-2</v>
          </cell>
          <cell r="AR292" t="str">
            <v>F118717-3</v>
          </cell>
          <cell r="AS292" t="str">
            <v>F118717-4</v>
          </cell>
          <cell r="AT292" t="str">
            <v>F118717-5</v>
          </cell>
          <cell r="AU292" t="str">
            <v>F118715-6</v>
          </cell>
          <cell r="AV292">
            <v>0</v>
          </cell>
          <cell r="AW292">
            <v>0</v>
          </cell>
          <cell r="AX292">
            <v>0</v>
          </cell>
          <cell r="AY292" t="str">
            <v>540x750</v>
          </cell>
          <cell r="AZ292">
            <v>0</v>
          </cell>
          <cell r="BA292">
            <v>2000</v>
          </cell>
          <cell r="BB292" t="str">
            <v>Thùng 5 lớp 42x34x36</v>
          </cell>
          <cell r="BC292">
            <v>0</v>
          </cell>
          <cell r="BD292">
            <v>0</v>
          </cell>
        </row>
        <row r="293">
          <cell r="A293" t="str">
            <v>sp 812</v>
          </cell>
          <cell r="B293" t="str">
            <v>Túi đựng kẹo socola viên sọc trắng 350gr Marika</v>
          </cell>
          <cell r="C293">
            <v>8.0500000000000007</v>
          </cell>
          <cell r="D293">
            <v>1</v>
          </cell>
          <cell r="E293" t="str">
            <v>OPP mờ 20x690</v>
          </cell>
          <cell r="F293">
            <v>5</v>
          </cell>
          <cell r="G293" t="str">
            <v>OPP</v>
          </cell>
          <cell r="H293">
            <v>0.35</v>
          </cell>
          <cell r="I293">
            <v>3</v>
          </cell>
          <cell r="J293">
            <v>1.8</v>
          </cell>
          <cell r="K293">
            <v>0.8</v>
          </cell>
          <cell r="L293">
            <v>0.4</v>
          </cell>
          <cell r="M293">
            <v>0.5</v>
          </cell>
          <cell r="N293">
            <v>0</v>
          </cell>
          <cell r="O293">
            <v>0</v>
          </cell>
          <cell r="P293">
            <v>0</v>
          </cell>
          <cell r="Q293">
            <v>0</v>
          </cell>
          <cell r="R293">
            <v>1.2</v>
          </cell>
          <cell r="S293">
            <v>0</v>
          </cell>
          <cell r="T293">
            <v>0</v>
          </cell>
          <cell r="U293">
            <v>0</v>
          </cell>
          <cell r="V293">
            <v>0</v>
          </cell>
          <cell r="W293">
            <v>0</v>
          </cell>
          <cell r="X293">
            <v>0</v>
          </cell>
          <cell r="Y293">
            <v>0</v>
          </cell>
          <cell r="Z293">
            <v>0</v>
          </cell>
          <cell r="AA293">
            <v>0</v>
          </cell>
          <cell r="AB293">
            <v>0</v>
          </cell>
          <cell r="AC293">
            <v>0</v>
          </cell>
          <cell r="AD293">
            <v>0</v>
          </cell>
          <cell r="AE293" t="str">
            <v>MPET 12x690</v>
          </cell>
          <cell r="AF293" t="str">
            <v>PE 90x690</v>
          </cell>
          <cell r="AG293">
            <v>8.1592499999999998E-2</v>
          </cell>
          <cell r="AH293">
            <v>1.0426666666666666</v>
          </cell>
          <cell r="AI293">
            <v>1.36</v>
          </cell>
          <cell r="AJ293">
            <v>9530</v>
          </cell>
          <cell r="AK293">
            <v>9530</v>
          </cell>
          <cell r="AL293" t="str">
            <v>0,0053(0,0023;0,003)</v>
          </cell>
          <cell r="AM293" t="str">
            <v>túi ba biên đáy đứng</v>
          </cell>
          <cell r="AN293">
            <v>180</v>
          </cell>
          <cell r="AO293" t="str">
            <v>Công ty Việt Nga</v>
          </cell>
          <cell r="AP293" t="str">
            <v>F118715-1</v>
          </cell>
          <cell r="AQ293" t="str">
            <v>F118715-2</v>
          </cell>
          <cell r="AR293" t="str">
            <v>F118715-3</v>
          </cell>
          <cell r="AS293" t="str">
            <v>F118715-4</v>
          </cell>
          <cell r="AT293" t="str">
            <v>F118715-5</v>
          </cell>
          <cell r="AU293" t="str">
            <v>F118715-6</v>
          </cell>
          <cell r="AV293">
            <v>0</v>
          </cell>
          <cell r="AW293">
            <v>0</v>
          </cell>
          <cell r="AX293">
            <v>0</v>
          </cell>
          <cell r="AY293" t="str">
            <v>540x750</v>
          </cell>
          <cell r="AZ293">
            <v>0</v>
          </cell>
          <cell r="BA293">
            <v>2000</v>
          </cell>
          <cell r="BB293" t="str">
            <v>Thùng 5 lớp 42x34x36</v>
          </cell>
          <cell r="BC293">
            <v>0</v>
          </cell>
          <cell r="BD293">
            <v>0</v>
          </cell>
        </row>
        <row r="294">
          <cell r="A294" t="str">
            <v>sp 813</v>
          </cell>
          <cell r="B294" t="str">
            <v>Túi không in HCK KT 250x300mm</v>
          </cell>
          <cell r="C294">
            <v>0</v>
          </cell>
          <cell r="D294">
            <v>2</v>
          </cell>
          <cell r="E294" t="str">
            <v>PA 15x1000</v>
          </cell>
          <cell r="F294">
            <v>0</v>
          </cell>
          <cell r="G294" t="str">
            <v xml:space="preserve">PA </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t="str">
            <v>PE 75x1000</v>
          </cell>
          <cell r="AF294">
            <v>0</v>
          </cell>
          <cell r="AG294">
            <v>8.6625000000000008E-2</v>
          </cell>
          <cell r="AH294">
            <v>1.5179999999999998</v>
          </cell>
          <cell r="AI294">
            <v>0</v>
          </cell>
          <cell r="AJ294">
            <v>9530</v>
          </cell>
          <cell r="AK294">
            <v>0</v>
          </cell>
          <cell r="AL294">
            <v>2.3E-3</v>
          </cell>
          <cell r="AM294" t="str">
            <v>túi ba biên</v>
          </cell>
          <cell r="AN294">
            <v>300</v>
          </cell>
          <cell r="AO294" t="str">
            <v>Công ty Mặt trời đỏ</v>
          </cell>
          <cell r="AP294" t="e">
            <v>#N/A</v>
          </cell>
          <cell r="AQ294" t="e">
            <v>#N/A</v>
          </cell>
          <cell r="AR294" t="e">
            <v>#N/A</v>
          </cell>
          <cell r="AS294" t="e">
            <v>#N/A</v>
          </cell>
          <cell r="AT294" t="e">
            <v>#N/A</v>
          </cell>
          <cell r="AU294" t="e">
            <v>#N/A</v>
          </cell>
          <cell r="AV294" t="e">
            <v>#N/A</v>
          </cell>
          <cell r="AW294" t="e">
            <v>#N/A</v>
          </cell>
          <cell r="AX294" t="e">
            <v>#N/A</v>
          </cell>
          <cell r="AY294" t="e">
            <v>#N/A</v>
          </cell>
          <cell r="AZ294" t="e">
            <v>#N/A</v>
          </cell>
          <cell r="BA294">
            <v>2500</v>
          </cell>
          <cell r="BB294" t="str">
            <v>Thùng 5 lớp 42x34x36</v>
          </cell>
          <cell r="BC294">
            <v>0</v>
          </cell>
          <cell r="BD294" t="e">
            <v>#N/A</v>
          </cell>
        </row>
        <row r="295">
          <cell r="A295" t="str">
            <v>sp 814</v>
          </cell>
          <cell r="B295" t="str">
            <v>Túi không in HCK KT 250x350mm</v>
          </cell>
          <cell r="C295">
            <v>0</v>
          </cell>
          <cell r="D295">
            <v>2</v>
          </cell>
          <cell r="E295" t="str">
            <v>PA 15x1000</v>
          </cell>
          <cell r="F295">
            <v>0</v>
          </cell>
          <cell r="G295" t="str">
            <v xml:space="preserve">PA </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t="str">
            <v>PE 75x1000</v>
          </cell>
          <cell r="AF295">
            <v>0</v>
          </cell>
          <cell r="AG295">
            <v>8.6625000000000008E-2</v>
          </cell>
          <cell r="AH295">
            <v>1.5179999999999998</v>
          </cell>
          <cell r="AI295">
            <v>0</v>
          </cell>
          <cell r="AJ295">
            <v>9530</v>
          </cell>
          <cell r="AK295">
            <v>0</v>
          </cell>
          <cell r="AL295">
            <v>2.3E-3</v>
          </cell>
          <cell r="AM295" t="str">
            <v>túi ba biên</v>
          </cell>
          <cell r="AN295">
            <v>350</v>
          </cell>
          <cell r="AO295" t="str">
            <v>Công ty Mặt trời đỏ</v>
          </cell>
          <cell r="AP295" t="e">
            <v>#N/A</v>
          </cell>
          <cell r="AQ295" t="e">
            <v>#N/A</v>
          </cell>
          <cell r="AR295" t="e">
            <v>#N/A</v>
          </cell>
          <cell r="AS295" t="e">
            <v>#N/A</v>
          </cell>
          <cell r="AT295" t="e">
            <v>#N/A</v>
          </cell>
          <cell r="AU295" t="e">
            <v>#N/A</v>
          </cell>
          <cell r="AV295" t="e">
            <v>#N/A</v>
          </cell>
          <cell r="AW295" t="e">
            <v>#N/A</v>
          </cell>
          <cell r="AX295" t="e">
            <v>#N/A</v>
          </cell>
          <cell r="AY295" t="e">
            <v>#N/A</v>
          </cell>
          <cell r="AZ295" t="e">
            <v>#N/A</v>
          </cell>
          <cell r="BA295">
            <v>2500</v>
          </cell>
          <cell r="BB295" t="str">
            <v>Thùng 5 lớp 42x34x36</v>
          </cell>
          <cell r="BC295">
            <v>0</v>
          </cell>
          <cell r="BD295" t="e">
            <v>#N/A</v>
          </cell>
        </row>
        <row r="296">
          <cell r="A296" t="str">
            <v>sp 816</v>
          </cell>
          <cell r="B296" t="str">
            <v>Cuộn màng không in ghép nhôm K570</v>
          </cell>
          <cell r="C296">
            <v>0</v>
          </cell>
          <cell r="D296">
            <v>1</v>
          </cell>
          <cell r="E296" t="str">
            <v>PET 12x580</v>
          </cell>
          <cell r="F296">
            <v>0</v>
          </cell>
          <cell r="G296" t="str">
            <v>PET</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t="str">
            <v>Al 6x580</v>
          </cell>
          <cell r="AF296" t="str">
            <v>PE 75x590</v>
          </cell>
          <cell r="AG296">
            <v>5.9412299999999994E-2</v>
          </cell>
          <cell r="AH296">
            <v>0.87399999999999989</v>
          </cell>
          <cell r="AI296">
            <v>1.1399999999999999</v>
          </cell>
          <cell r="AJ296">
            <v>9530</v>
          </cell>
          <cell r="AK296">
            <v>9530</v>
          </cell>
          <cell r="AL296" t="str">
            <v>0,0053(0,0023;0,003)</v>
          </cell>
          <cell r="AM296" t="str">
            <v>dạng cuộn 2000m</v>
          </cell>
          <cell r="AN296">
            <v>570</v>
          </cell>
          <cell r="AO296" t="str">
            <v>Công ty Proline</v>
          </cell>
          <cell r="AP296" t="e">
            <v>#N/A</v>
          </cell>
          <cell r="AQ296" t="e">
            <v>#N/A</v>
          </cell>
          <cell r="AR296" t="e">
            <v>#N/A</v>
          </cell>
          <cell r="AS296" t="e">
            <v>#N/A</v>
          </cell>
          <cell r="AT296" t="e">
            <v>#N/A</v>
          </cell>
          <cell r="AU296" t="e">
            <v>#N/A</v>
          </cell>
          <cell r="AV296" t="e">
            <v>#N/A</v>
          </cell>
          <cell r="AW296" t="e">
            <v>#N/A</v>
          </cell>
          <cell r="AX296" t="e">
            <v>#N/A</v>
          </cell>
          <cell r="AY296" t="e">
            <v>#N/A</v>
          </cell>
          <cell r="AZ296" t="e">
            <v>#N/A</v>
          </cell>
          <cell r="BA296" t="str">
            <v>1c</v>
          </cell>
          <cell r="BB296" t="str">
            <v>giấy cartoon K800</v>
          </cell>
          <cell r="BC296">
            <v>0</v>
          </cell>
          <cell r="BD296" t="e">
            <v>#N/A</v>
          </cell>
        </row>
        <row r="297">
          <cell r="A297" t="str">
            <v>sp 817</v>
          </cell>
          <cell r="B297" t="str">
            <v>Cuộn màng MPET/PE không in K1000</v>
          </cell>
          <cell r="C297">
            <v>0</v>
          </cell>
          <cell r="D297">
            <v>1</v>
          </cell>
          <cell r="E297" t="str">
            <v>MPET mt 12x1000</v>
          </cell>
          <cell r="F297">
            <v>0</v>
          </cell>
          <cell r="G297" t="str">
            <v>MPE</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t="str">
            <v>PE 60x1000</v>
          </cell>
          <cell r="AF297">
            <v>0</v>
          </cell>
          <cell r="AG297">
            <v>7.2300000000000003E-2</v>
          </cell>
          <cell r="AH297">
            <v>1.5317999999999998</v>
          </cell>
          <cell r="AI297">
            <v>0</v>
          </cell>
          <cell r="AJ297">
            <v>9530</v>
          </cell>
          <cell r="AK297">
            <v>0</v>
          </cell>
          <cell r="AL297">
            <v>2.3E-3</v>
          </cell>
          <cell r="AM297" t="str">
            <v>dạng cuộn 2000m</v>
          </cell>
          <cell r="AN297">
            <v>1000</v>
          </cell>
          <cell r="AO297" t="str">
            <v>Công ty Proline</v>
          </cell>
          <cell r="AP297" t="e">
            <v>#N/A</v>
          </cell>
          <cell r="AQ297" t="e">
            <v>#N/A</v>
          </cell>
          <cell r="AR297" t="e">
            <v>#N/A</v>
          </cell>
          <cell r="AS297" t="e">
            <v>#N/A</v>
          </cell>
          <cell r="AT297" t="e">
            <v>#N/A</v>
          </cell>
          <cell r="AU297" t="e">
            <v>#N/A</v>
          </cell>
          <cell r="AV297" t="e">
            <v>#N/A</v>
          </cell>
          <cell r="AW297" t="e">
            <v>#N/A</v>
          </cell>
          <cell r="AX297" t="e">
            <v>#N/A</v>
          </cell>
          <cell r="AY297" t="e">
            <v>#N/A</v>
          </cell>
          <cell r="AZ297" t="e">
            <v>#N/A</v>
          </cell>
          <cell r="BA297" t="str">
            <v>1c</v>
          </cell>
          <cell r="BB297" t="str">
            <v>giấy cartoon K1200</v>
          </cell>
          <cell r="BC297">
            <v>0</v>
          </cell>
          <cell r="BD297" t="e">
            <v>#N/A</v>
          </cell>
        </row>
        <row r="298">
          <cell r="A298" t="str">
            <v>sp 818</v>
          </cell>
          <cell r="B298" t="str">
            <v>Cuộn màng Dmax loại 1 Sơn Việt</v>
          </cell>
          <cell r="C298">
            <v>0</v>
          </cell>
          <cell r="D298">
            <v>1</v>
          </cell>
          <cell r="E298" t="str">
            <v>PET đt 60x1270</v>
          </cell>
          <cell r="F298">
            <v>3</v>
          </cell>
          <cell r="G298" t="str">
            <v>PET</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t="str">
            <v>PE 30x1270</v>
          </cell>
          <cell r="AF298">
            <v>0</v>
          </cell>
          <cell r="AG298">
            <v>0.1057275</v>
          </cell>
          <cell r="AH298">
            <v>1.68</v>
          </cell>
          <cell r="AI298">
            <v>0</v>
          </cell>
          <cell r="AJ298">
            <v>9530</v>
          </cell>
          <cell r="AK298">
            <v>0</v>
          </cell>
          <cell r="AL298">
            <v>2E-3</v>
          </cell>
          <cell r="AM298" t="str">
            <v>dạng cuộn 2000m</v>
          </cell>
          <cell r="AN298">
            <v>1270</v>
          </cell>
          <cell r="AO298" t="str">
            <v>Công ty Đức Thiện</v>
          </cell>
          <cell r="AP298" t="e">
            <v>#N/A</v>
          </cell>
          <cell r="AQ298" t="e">
            <v>#N/A</v>
          </cell>
          <cell r="AR298" t="e">
            <v>#N/A</v>
          </cell>
          <cell r="AS298" t="e">
            <v>#N/A</v>
          </cell>
          <cell r="AT298" t="e">
            <v>#N/A</v>
          </cell>
          <cell r="AU298" t="e">
            <v>#N/A</v>
          </cell>
          <cell r="AV298" t="e">
            <v>#N/A</v>
          </cell>
          <cell r="AW298" t="e">
            <v>#N/A</v>
          </cell>
          <cell r="AX298" t="e">
            <v>#N/A</v>
          </cell>
          <cell r="AY298" t="e">
            <v>#N/A</v>
          </cell>
          <cell r="AZ298" t="e">
            <v>#N/A</v>
          </cell>
          <cell r="BA298" t="str">
            <v>1c</v>
          </cell>
          <cell r="BB298" t="str">
            <v>giấy cartoon K1400</v>
          </cell>
          <cell r="BC298">
            <v>0</v>
          </cell>
          <cell r="BD298" t="e">
            <v>#N/A</v>
          </cell>
        </row>
        <row r="299">
          <cell r="A299" t="str">
            <v>sp 819</v>
          </cell>
          <cell r="B299" t="str">
            <v>Cuộn màng XingFa loại 1 Sequana</v>
          </cell>
          <cell r="C299">
            <v>0</v>
          </cell>
          <cell r="D299">
            <v>1</v>
          </cell>
          <cell r="E299" t="str">
            <v xml:space="preserve">PE 30x1270 </v>
          </cell>
          <cell r="F299">
            <v>3</v>
          </cell>
          <cell r="G299" t="str">
            <v xml:space="preserve">PE </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t="str">
            <v>PE đt 60x1270</v>
          </cell>
          <cell r="AF299">
            <v>0</v>
          </cell>
          <cell r="AG299">
            <v>0.1057275</v>
          </cell>
          <cell r="AH299">
            <v>1.68</v>
          </cell>
          <cell r="AI299">
            <v>0</v>
          </cell>
          <cell r="AJ299">
            <v>9530</v>
          </cell>
          <cell r="AK299">
            <v>0</v>
          </cell>
          <cell r="AL299">
            <v>2E-3</v>
          </cell>
          <cell r="AM299" t="str">
            <v>dạng cuộn 2000m</v>
          </cell>
          <cell r="AN299">
            <v>1270</v>
          </cell>
          <cell r="AO299" t="str">
            <v>Công ty Đức Thiện</v>
          </cell>
          <cell r="AP299" t="e">
            <v>#N/A</v>
          </cell>
          <cell r="AQ299" t="e">
            <v>#N/A</v>
          </cell>
          <cell r="AR299" t="e">
            <v>#N/A</v>
          </cell>
          <cell r="AS299" t="e">
            <v>#N/A</v>
          </cell>
          <cell r="AT299" t="e">
            <v>#N/A</v>
          </cell>
          <cell r="AU299" t="e">
            <v>#N/A</v>
          </cell>
          <cell r="AV299" t="e">
            <v>#N/A</v>
          </cell>
          <cell r="AW299" t="e">
            <v>#N/A</v>
          </cell>
          <cell r="AX299" t="e">
            <v>#N/A</v>
          </cell>
          <cell r="AY299" t="e">
            <v>#N/A</v>
          </cell>
          <cell r="AZ299" t="e">
            <v>#N/A</v>
          </cell>
          <cell r="BA299" t="str">
            <v>1c</v>
          </cell>
          <cell r="BB299" t="str">
            <v>giấy cartoon K1400</v>
          </cell>
          <cell r="BC299">
            <v>0</v>
          </cell>
          <cell r="BD299" t="e">
            <v>#N/A</v>
          </cell>
        </row>
        <row r="300">
          <cell r="A300" t="str">
            <v>sp 820</v>
          </cell>
          <cell r="B300" t="str">
            <v>Cuộn màng không in HCK khổ 1100 độ dày 57mic - proline</v>
          </cell>
          <cell r="C300">
            <v>0</v>
          </cell>
          <cell r="D300">
            <v>1</v>
          </cell>
          <cell r="E300" t="str">
            <v>MPET mt 12x1100</v>
          </cell>
          <cell r="F300">
            <v>0</v>
          </cell>
          <cell r="G300" t="str">
            <v>MPE</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t="str">
            <v>PE 45x1100</v>
          </cell>
          <cell r="AF300">
            <v>0</v>
          </cell>
          <cell r="AG300">
            <v>6.4267500000000005E-2</v>
          </cell>
          <cell r="AH300">
            <v>1.6713333333333333</v>
          </cell>
          <cell r="AI300">
            <v>0</v>
          </cell>
          <cell r="AJ300">
            <v>9530</v>
          </cell>
          <cell r="AK300">
            <v>0</v>
          </cell>
          <cell r="AL300">
            <v>2.3E-3</v>
          </cell>
          <cell r="AM300" t="str">
            <v>dạng cuộn 2000m</v>
          </cell>
          <cell r="AN300">
            <v>1100</v>
          </cell>
          <cell r="AO300" t="str">
            <v>Công ty Proline</v>
          </cell>
          <cell r="AP300" t="e">
            <v>#N/A</v>
          </cell>
          <cell r="AQ300" t="e">
            <v>#N/A</v>
          </cell>
          <cell r="AR300" t="e">
            <v>#N/A</v>
          </cell>
          <cell r="AS300" t="e">
            <v>#N/A</v>
          </cell>
          <cell r="AT300" t="e">
            <v>#N/A</v>
          </cell>
          <cell r="AU300" t="e">
            <v>#N/A</v>
          </cell>
          <cell r="AV300" t="e">
            <v>#N/A</v>
          </cell>
          <cell r="AW300" t="e">
            <v>#N/A</v>
          </cell>
          <cell r="AX300" t="e">
            <v>#N/A</v>
          </cell>
          <cell r="AY300" t="e">
            <v>#N/A</v>
          </cell>
          <cell r="AZ300" t="e">
            <v>#N/A</v>
          </cell>
          <cell r="BA300" t="str">
            <v>1c</v>
          </cell>
          <cell r="BB300" t="str">
            <v>giấy cartoon K1400</v>
          </cell>
          <cell r="BC300">
            <v>0</v>
          </cell>
          <cell r="BD300" t="e">
            <v>#N/A</v>
          </cell>
        </row>
        <row r="301">
          <cell r="A301" t="str">
            <v>sp 821</v>
          </cell>
          <cell r="B301" t="str">
            <v>Cuộn màng Itabion loại 1 Đông Anh</v>
          </cell>
          <cell r="C301">
            <v>5</v>
          </cell>
          <cell r="D301">
            <v>1</v>
          </cell>
          <cell r="E301" t="str">
            <v>PE đt 60x1270</v>
          </cell>
          <cell r="F301">
            <v>1</v>
          </cell>
          <cell r="G301" t="str">
            <v xml:space="preserve">PE </v>
          </cell>
          <cell r="H301">
            <v>0</v>
          </cell>
          <cell r="I301">
            <v>0</v>
          </cell>
          <cell r="J301">
            <v>0</v>
          </cell>
          <cell r="K301">
            <v>0</v>
          </cell>
          <cell r="L301">
            <v>0</v>
          </cell>
          <cell r="M301">
            <v>0</v>
          </cell>
          <cell r="N301">
            <v>0</v>
          </cell>
          <cell r="O301">
            <v>0</v>
          </cell>
          <cell r="P301">
            <v>5</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t="str">
            <v>PE 30x1275</v>
          </cell>
          <cell r="AF301">
            <v>0</v>
          </cell>
          <cell r="AG301">
            <v>0.1057275</v>
          </cell>
          <cell r="AH301">
            <v>1.6866666666666665</v>
          </cell>
          <cell r="AI301">
            <v>0</v>
          </cell>
          <cell r="AJ301">
            <v>9530</v>
          </cell>
          <cell r="AK301">
            <v>0</v>
          </cell>
          <cell r="AL301">
            <v>2E-3</v>
          </cell>
          <cell r="AM301" t="str">
            <v>dạng cuộn 2000m</v>
          </cell>
          <cell r="AN301">
            <v>1270</v>
          </cell>
          <cell r="AO301" t="str">
            <v>Công ty Đức Thiện</v>
          </cell>
          <cell r="AP301" t="e">
            <v>#N/A</v>
          </cell>
          <cell r="AQ301" t="e">
            <v>#N/A</v>
          </cell>
          <cell r="AR301" t="e">
            <v>#N/A</v>
          </cell>
          <cell r="AS301" t="e">
            <v>#N/A</v>
          </cell>
          <cell r="AT301" t="e">
            <v>#N/A</v>
          </cell>
          <cell r="AU301" t="e">
            <v>#N/A</v>
          </cell>
          <cell r="AV301" t="e">
            <v>#N/A</v>
          </cell>
          <cell r="AW301" t="e">
            <v>#N/A</v>
          </cell>
          <cell r="AX301" t="e">
            <v>#N/A</v>
          </cell>
          <cell r="AY301" t="e">
            <v>#N/A</v>
          </cell>
          <cell r="AZ301" t="e">
            <v>#N/A</v>
          </cell>
          <cell r="BA301" t="str">
            <v>1c</v>
          </cell>
          <cell r="BB301" t="str">
            <v>giấy cartoon K1400</v>
          </cell>
          <cell r="BC301">
            <v>0</v>
          </cell>
          <cell r="BD301" t="e">
            <v>#N/A</v>
          </cell>
        </row>
        <row r="302">
          <cell r="A302" t="str">
            <v>sp 822</v>
          </cell>
          <cell r="B302" t="str">
            <v>Cuộn màng không in HCK khổ 1100 độ dày 72mic - proline</v>
          </cell>
          <cell r="C302">
            <v>0</v>
          </cell>
          <cell r="D302">
            <v>1</v>
          </cell>
          <cell r="E302" t="str">
            <v>MPET mt 12x1100</v>
          </cell>
          <cell r="F302">
            <v>0</v>
          </cell>
          <cell r="G302" t="str">
            <v>MPE</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t="str">
            <v>PE 60x1100</v>
          </cell>
          <cell r="AF302">
            <v>0</v>
          </cell>
          <cell r="AG302">
            <v>7.9530000000000003E-2</v>
          </cell>
          <cell r="AH302">
            <v>1.6713333333333333</v>
          </cell>
          <cell r="AI302">
            <v>0</v>
          </cell>
          <cell r="AJ302">
            <v>9530</v>
          </cell>
          <cell r="AK302">
            <v>0</v>
          </cell>
          <cell r="AL302">
            <v>2.3E-3</v>
          </cell>
          <cell r="AM302" t="str">
            <v>dạng cuộn 2000m</v>
          </cell>
          <cell r="AN302">
            <v>1100</v>
          </cell>
          <cell r="AO302" t="str">
            <v>Công ty Proline</v>
          </cell>
          <cell r="AP302" t="e">
            <v>#N/A</v>
          </cell>
          <cell r="AQ302" t="e">
            <v>#N/A</v>
          </cell>
          <cell r="AR302" t="e">
            <v>#N/A</v>
          </cell>
          <cell r="AS302" t="e">
            <v>#N/A</v>
          </cell>
          <cell r="AT302" t="e">
            <v>#N/A</v>
          </cell>
          <cell r="AU302" t="e">
            <v>#N/A</v>
          </cell>
          <cell r="AV302" t="e">
            <v>#N/A</v>
          </cell>
          <cell r="AW302" t="e">
            <v>#N/A</v>
          </cell>
          <cell r="AX302" t="e">
            <v>#N/A</v>
          </cell>
          <cell r="AY302" t="e">
            <v>#N/A</v>
          </cell>
          <cell r="AZ302" t="e">
            <v>#N/A</v>
          </cell>
          <cell r="BA302" t="str">
            <v>1c</v>
          </cell>
          <cell r="BB302" t="str">
            <v>giấy cartoon K1200</v>
          </cell>
          <cell r="BC302">
            <v>0</v>
          </cell>
          <cell r="BD302" t="e">
            <v>#N/A</v>
          </cell>
        </row>
        <row r="303">
          <cell r="A303" t="str">
            <v>sp 823</v>
          </cell>
          <cell r="B303" t="str">
            <v>Túi in thú y KT 220x310 redfood</v>
          </cell>
          <cell r="C303">
            <v>1.6</v>
          </cell>
          <cell r="D303">
            <v>1</v>
          </cell>
          <cell r="E303" t="str">
            <v>PA 15x640</v>
          </cell>
          <cell r="F303">
            <v>3</v>
          </cell>
          <cell r="G303" t="str">
            <v xml:space="preserve">PA </v>
          </cell>
          <cell r="H303">
            <v>0</v>
          </cell>
          <cell r="I303">
            <v>0.5</v>
          </cell>
          <cell r="J303">
            <v>0</v>
          </cell>
          <cell r="K303">
            <v>0</v>
          </cell>
          <cell r="L303">
            <v>0.7</v>
          </cell>
          <cell r="M303">
            <v>0</v>
          </cell>
          <cell r="N303">
            <v>0</v>
          </cell>
          <cell r="O303">
            <v>0</v>
          </cell>
          <cell r="P303">
            <v>0.4</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t="str">
            <v>PE 75x640</v>
          </cell>
          <cell r="AF303">
            <v>0</v>
          </cell>
          <cell r="AG303">
            <v>5.5440000000000003E-2</v>
          </cell>
          <cell r="AH303">
            <v>0.84</v>
          </cell>
          <cell r="AI303">
            <v>0</v>
          </cell>
          <cell r="AJ303">
            <v>9530</v>
          </cell>
          <cell r="AK303">
            <v>0</v>
          </cell>
          <cell r="AL303">
            <v>2E-3</v>
          </cell>
          <cell r="AM303" t="str">
            <v>túi ba biên</v>
          </cell>
          <cell r="AN303">
            <v>220</v>
          </cell>
          <cell r="AO303" t="str">
            <v>Công ty Redfood</v>
          </cell>
          <cell r="AP303" t="str">
            <v>1710415-1</v>
          </cell>
          <cell r="AQ303" t="str">
            <v>1710415-2</v>
          </cell>
          <cell r="AR303" t="str">
            <v>1710415-3</v>
          </cell>
          <cell r="AS303">
            <v>0</v>
          </cell>
          <cell r="AT303">
            <v>0</v>
          </cell>
          <cell r="AU303">
            <v>0</v>
          </cell>
          <cell r="AV303">
            <v>0</v>
          </cell>
          <cell r="AW303">
            <v>0</v>
          </cell>
          <cell r="AX303">
            <v>0</v>
          </cell>
          <cell r="AY303" t="str">
            <v>440x750</v>
          </cell>
          <cell r="AZ303" t="str">
            <v>P1</v>
          </cell>
          <cell r="BA303">
            <v>3000</v>
          </cell>
          <cell r="BB303" t="str">
            <v>Thùng 5 lớp 42x34x36</v>
          </cell>
          <cell r="BC303">
            <v>0</v>
          </cell>
          <cell r="BD303">
            <v>0</v>
          </cell>
        </row>
        <row r="304">
          <cell r="A304" t="str">
            <v>sp 824</v>
          </cell>
          <cell r="B304" t="str">
            <v>Cuộn bánh trứng lipo hương bơ hàng cân 3000g dải cam Alpha</v>
          </cell>
          <cell r="C304">
            <v>6.8299999999999992</v>
          </cell>
          <cell r="D304">
            <v>4</v>
          </cell>
          <cell r="E304" t="str">
            <v>OPP 20x700</v>
          </cell>
          <cell r="F304">
            <v>8</v>
          </cell>
          <cell r="G304" t="str">
            <v>OPP</v>
          </cell>
          <cell r="H304">
            <v>0.28000000000000003</v>
          </cell>
          <cell r="I304">
            <v>3.73</v>
          </cell>
          <cell r="J304">
            <v>0.01</v>
          </cell>
          <cell r="K304">
            <v>0.17</v>
          </cell>
          <cell r="L304">
            <v>1.07</v>
          </cell>
          <cell r="M304">
            <v>0.97</v>
          </cell>
          <cell r="N304">
            <v>0</v>
          </cell>
          <cell r="O304">
            <v>0.04</v>
          </cell>
          <cell r="P304">
            <v>0.1</v>
          </cell>
          <cell r="Q304">
            <v>0.46</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t="str">
            <v>MCPP 25x700</v>
          </cell>
          <cell r="AF304">
            <v>0</v>
          </cell>
          <cell r="AG304">
            <v>2.4275999999999999E-2</v>
          </cell>
          <cell r="AH304">
            <v>1.0579999999999998</v>
          </cell>
          <cell r="AI304">
            <v>0</v>
          </cell>
          <cell r="AJ304">
            <v>9530</v>
          </cell>
          <cell r="AK304">
            <v>0</v>
          </cell>
          <cell r="AL304">
            <v>2.3E-3</v>
          </cell>
          <cell r="AM304" t="str">
            <v>dạng cuộn 1000m</v>
          </cell>
          <cell r="AN304">
            <v>170</v>
          </cell>
          <cell r="AO304" t="str">
            <v>Công ty Quốc tế Alpha</v>
          </cell>
          <cell r="AP304" t="str">
            <v>F119027G2-1</v>
          </cell>
          <cell r="AQ304" t="str">
            <v>F119025 -2</v>
          </cell>
          <cell r="AR304" t="str">
            <v>F119025 -3</v>
          </cell>
          <cell r="AS304" t="str">
            <v>F119025G3-4</v>
          </cell>
          <cell r="AT304" t="str">
            <v>F119027-5</v>
          </cell>
          <cell r="AU304" t="str">
            <v>F119027-6</v>
          </cell>
          <cell r="AV304" t="str">
            <v>F119027G1NG1-7</v>
          </cell>
          <cell r="AW304" t="str">
            <v>F119025 -8</v>
          </cell>
          <cell r="AX304">
            <v>0</v>
          </cell>
          <cell r="AY304" t="str">
            <v>500x850</v>
          </cell>
          <cell r="AZ304" t="str">
            <v>C1</v>
          </cell>
          <cell r="BA304" t="str">
            <v>2c</v>
          </cell>
          <cell r="BB304" t="str">
            <v>Thùng 3 lớp 55x28x18</v>
          </cell>
          <cell r="BC304">
            <v>0</v>
          </cell>
          <cell r="BD304" t="str">
            <v>in chung 2,3,4,8 vơi sp 825</v>
          </cell>
        </row>
        <row r="305">
          <cell r="A305" t="str">
            <v>sp 825</v>
          </cell>
          <cell r="B305" t="str">
            <v>Cuộn bánh trứng lipo hương sữa hàng cân 3000g dải đỏ Alpha</v>
          </cell>
          <cell r="C305">
            <v>6.78</v>
          </cell>
          <cell r="D305">
            <v>4</v>
          </cell>
          <cell r="E305" t="str">
            <v>OPP 20x700</v>
          </cell>
          <cell r="F305">
            <v>8</v>
          </cell>
          <cell r="G305" t="str">
            <v>OPP</v>
          </cell>
          <cell r="H305">
            <v>0.27</v>
          </cell>
          <cell r="I305">
            <v>3.48</v>
          </cell>
          <cell r="J305">
            <v>0</v>
          </cell>
          <cell r="K305">
            <v>0.17</v>
          </cell>
          <cell r="L305">
            <v>1.1200000000000001</v>
          </cell>
          <cell r="M305">
            <v>0.97</v>
          </cell>
          <cell r="N305">
            <v>0</v>
          </cell>
          <cell r="O305">
            <v>0.03</v>
          </cell>
          <cell r="P305">
            <v>0.46</v>
          </cell>
          <cell r="Q305">
            <v>0.28000000000000003</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t="str">
            <v>MCPP 25x700</v>
          </cell>
          <cell r="AF305">
            <v>0</v>
          </cell>
          <cell r="AG305">
            <v>2.4275999999999999E-2</v>
          </cell>
          <cell r="AH305">
            <v>1.0579999999999998</v>
          </cell>
          <cell r="AI305">
            <v>0</v>
          </cell>
          <cell r="AJ305">
            <v>9530</v>
          </cell>
          <cell r="AK305">
            <v>0</v>
          </cell>
          <cell r="AL305">
            <v>2.3E-3</v>
          </cell>
          <cell r="AM305" t="str">
            <v>dạng cuộn 1000m</v>
          </cell>
          <cell r="AN305">
            <v>170</v>
          </cell>
          <cell r="AO305" t="str">
            <v>Công ty Quốc tế Alpha</v>
          </cell>
          <cell r="AP305" t="str">
            <v>F119025 -1</v>
          </cell>
          <cell r="AQ305" t="str">
            <v>F119025 -2</v>
          </cell>
          <cell r="AR305" t="str">
            <v>F119025 -3</v>
          </cell>
          <cell r="AS305" t="str">
            <v>F119025G3NG1-4</v>
          </cell>
          <cell r="AT305" t="str">
            <v>F119025 -5</v>
          </cell>
          <cell r="AU305" t="str">
            <v>F119025-6</v>
          </cell>
          <cell r="AV305" t="str">
            <v>F119025 -7</v>
          </cell>
          <cell r="AW305" t="str">
            <v>F119025 -8</v>
          </cell>
          <cell r="AX305">
            <v>0</v>
          </cell>
          <cell r="AY305">
            <v>0</v>
          </cell>
          <cell r="AZ305" t="str">
            <v>C2</v>
          </cell>
          <cell r="BA305" t="str">
            <v>2c</v>
          </cell>
          <cell r="BB305" t="str">
            <v>Thùng 3 lớp 55x28x18</v>
          </cell>
          <cell r="BC305">
            <v>0</v>
          </cell>
          <cell r="BD305" t="str">
            <v>in chung 2,3,4,8 vơi sp 824</v>
          </cell>
        </row>
        <row r="306">
          <cell r="A306" t="str">
            <v>sp 826</v>
          </cell>
          <cell r="B306" t="str">
            <v>Cuộn bột giặt Đức Giang siêu sạch 250gr</v>
          </cell>
          <cell r="C306">
            <v>6.4</v>
          </cell>
          <cell r="D306">
            <v>2</v>
          </cell>
          <cell r="E306" t="str">
            <v>PET 12x680</v>
          </cell>
          <cell r="F306">
            <v>6</v>
          </cell>
          <cell r="G306" t="str">
            <v>PET</v>
          </cell>
          <cell r="H306">
            <v>0.1</v>
          </cell>
          <cell r="I306">
            <v>2.6</v>
          </cell>
          <cell r="J306">
            <v>0.4</v>
          </cell>
          <cell r="K306">
            <v>1.3</v>
          </cell>
          <cell r="L306">
            <v>0.7</v>
          </cell>
          <cell r="M306">
            <v>0</v>
          </cell>
          <cell r="N306">
            <v>0</v>
          </cell>
          <cell r="O306">
            <v>0</v>
          </cell>
          <cell r="P306">
            <v>1.2</v>
          </cell>
          <cell r="Q306">
            <v>0</v>
          </cell>
          <cell r="R306">
            <v>0.1</v>
          </cell>
          <cell r="S306">
            <v>0</v>
          </cell>
          <cell r="T306">
            <v>0</v>
          </cell>
          <cell r="U306">
            <v>0</v>
          </cell>
          <cell r="V306">
            <v>0</v>
          </cell>
          <cell r="W306">
            <v>0</v>
          </cell>
          <cell r="X306">
            <v>0</v>
          </cell>
          <cell r="Y306">
            <v>0</v>
          </cell>
          <cell r="Z306">
            <v>0</v>
          </cell>
          <cell r="AA306">
            <v>0</v>
          </cell>
          <cell r="AB306">
            <v>0</v>
          </cell>
          <cell r="AC306">
            <v>0</v>
          </cell>
          <cell r="AD306">
            <v>0</v>
          </cell>
          <cell r="AE306" t="str">
            <v>PE sứ 60x680</v>
          </cell>
          <cell r="AF306">
            <v>0</v>
          </cell>
          <cell r="AG306">
            <v>4.9164000000000006E-2</v>
          </cell>
          <cell r="AH306">
            <v>1.34</v>
          </cell>
          <cell r="AI306">
            <v>0</v>
          </cell>
          <cell r="AJ306">
            <v>9530</v>
          </cell>
          <cell r="AK306">
            <v>0</v>
          </cell>
          <cell r="AL306">
            <v>3.0000000000000001E-3</v>
          </cell>
          <cell r="AM306" t="str">
            <v>dạng cuộn 1000m</v>
          </cell>
          <cell r="AN306">
            <v>330</v>
          </cell>
          <cell r="AO306" t="str">
            <v>Công ty Cổ Phần Tập Đoàn Hóa Chất Đức Giang</v>
          </cell>
          <cell r="AP306" t="str">
            <v>1710303-1</v>
          </cell>
          <cell r="AQ306" t="str">
            <v>20081310-2</v>
          </cell>
          <cell r="AR306" t="str">
            <v>20081310-3</v>
          </cell>
          <cell r="AS306" t="str">
            <v>1710303-4</v>
          </cell>
          <cell r="AT306" t="str">
            <v>1710303-5</v>
          </cell>
          <cell r="AU306" t="str">
            <v>1710303-6</v>
          </cell>
          <cell r="AV306">
            <v>0</v>
          </cell>
          <cell r="AW306">
            <v>0</v>
          </cell>
          <cell r="AX306">
            <v>0</v>
          </cell>
          <cell r="AY306" t="str">
            <v>430x750</v>
          </cell>
          <cell r="AZ306" t="str">
            <v>U1</v>
          </cell>
          <cell r="BA306" t="str">
            <v>1c</v>
          </cell>
          <cell r="BB306" t="str">
            <v>giấy cartoon K400</v>
          </cell>
          <cell r="BC306">
            <v>0</v>
          </cell>
          <cell r="BD306">
            <v>0</v>
          </cell>
        </row>
        <row r="307">
          <cell r="A307" t="str">
            <v>sp 827</v>
          </cell>
          <cell r="B307" t="str">
            <v>Cuộn màng MPET/PE không in HCK khổ 480</v>
          </cell>
          <cell r="C307">
            <v>0</v>
          </cell>
          <cell r="D307">
            <v>2</v>
          </cell>
          <cell r="E307" t="str">
            <v>MPET mt 12x970</v>
          </cell>
          <cell r="F307">
            <v>0</v>
          </cell>
          <cell r="G307" t="str">
            <v>MPE</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t="str">
            <v>PE 60x970</v>
          </cell>
          <cell r="AF307">
            <v>0</v>
          </cell>
          <cell r="AG307">
            <v>7.0130999999999999E-2</v>
          </cell>
          <cell r="AH307">
            <v>1.4719999999999998</v>
          </cell>
          <cell r="AI307">
            <v>0</v>
          </cell>
          <cell r="AJ307">
            <v>9530</v>
          </cell>
          <cell r="AK307">
            <v>0</v>
          </cell>
          <cell r="AL307">
            <v>2.3E-3</v>
          </cell>
          <cell r="AM307" t="str">
            <v>dạng cuộn 2000m</v>
          </cell>
          <cell r="AN307">
            <v>480</v>
          </cell>
          <cell r="AO307" t="str">
            <v>Công ty Proline</v>
          </cell>
          <cell r="AP307" t="e">
            <v>#N/A</v>
          </cell>
          <cell r="AQ307" t="e">
            <v>#N/A</v>
          </cell>
          <cell r="AR307" t="e">
            <v>#N/A</v>
          </cell>
          <cell r="AS307" t="e">
            <v>#N/A</v>
          </cell>
          <cell r="AT307" t="e">
            <v>#N/A</v>
          </cell>
          <cell r="AU307" t="e">
            <v>#N/A</v>
          </cell>
          <cell r="AV307" t="e">
            <v>#N/A</v>
          </cell>
          <cell r="AW307" t="e">
            <v>#N/A</v>
          </cell>
          <cell r="AX307" t="e">
            <v>#N/A</v>
          </cell>
          <cell r="AY307" t="e">
            <v>#N/A</v>
          </cell>
          <cell r="AZ307" t="e">
            <v>#N/A</v>
          </cell>
          <cell r="BA307" t="str">
            <v>1c</v>
          </cell>
          <cell r="BB307" t="str">
            <v>giấy cartoon K600</v>
          </cell>
          <cell r="BC307">
            <v>0</v>
          </cell>
          <cell r="BD307" t="e">
            <v>#N/A</v>
          </cell>
        </row>
        <row r="308">
          <cell r="A308" t="str">
            <v>sp 828</v>
          </cell>
          <cell r="B308" t="str">
            <v>Cuộn màng MPET/PE không in HCK khổ 510</v>
          </cell>
          <cell r="C308">
            <v>0</v>
          </cell>
          <cell r="D308">
            <v>1</v>
          </cell>
          <cell r="E308" t="str">
            <v>MPET mt 12x520</v>
          </cell>
          <cell r="F308">
            <v>0</v>
          </cell>
          <cell r="G308" t="str">
            <v>MPE</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t="str">
            <v>PE 60x520</v>
          </cell>
          <cell r="AF308">
            <v>0</v>
          </cell>
          <cell r="AG308">
            <v>3.7596000000000004E-2</v>
          </cell>
          <cell r="AH308">
            <v>0.78199999999999992</v>
          </cell>
          <cell r="AI308">
            <v>0</v>
          </cell>
          <cell r="AJ308">
            <v>9530</v>
          </cell>
          <cell r="AK308">
            <v>0</v>
          </cell>
          <cell r="AL308">
            <v>2.3E-3</v>
          </cell>
          <cell r="AM308" t="str">
            <v>dạng cuộn 2000m</v>
          </cell>
          <cell r="AN308">
            <v>510</v>
          </cell>
          <cell r="AO308" t="str">
            <v>Công ty Proline</v>
          </cell>
          <cell r="AP308" t="e">
            <v>#N/A</v>
          </cell>
          <cell r="AQ308" t="e">
            <v>#N/A</v>
          </cell>
          <cell r="AR308" t="e">
            <v>#N/A</v>
          </cell>
          <cell r="AS308" t="e">
            <v>#N/A</v>
          </cell>
          <cell r="AT308" t="e">
            <v>#N/A</v>
          </cell>
          <cell r="AU308" t="e">
            <v>#N/A</v>
          </cell>
          <cell r="AV308" t="e">
            <v>#N/A</v>
          </cell>
          <cell r="AW308" t="e">
            <v>#N/A</v>
          </cell>
          <cell r="AX308" t="e">
            <v>#N/A</v>
          </cell>
          <cell r="AY308" t="e">
            <v>#N/A</v>
          </cell>
          <cell r="AZ308" t="e">
            <v>#N/A</v>
          </cell>
          <cell r="BA308" t="str">
            <v>1c</v>
          </cell>
          <cell r="BB308" t="str">
            <v>giấy cartoon K600</v>
          </cell>
          <cell r="BC308">
            <v>0</v>
          </cell>
          <cell r="BD308" t="e">
            <v>#N/A</v>
          </cell>
        </row>
        <row r="309">
          <cell r="A309" t="str">
            <v>sp 829</v>
          </cell>
          <cell r="B309" t="str">
            <v>Cuộn màng MPET/PE không in HCK khổ 950</v>
          </cell>
          <cell r="C309">
            <v>0</v>
          </cell>
          <cell r="D309">
            <v>1</v>
          </cell>
          <cell r="E309" t="str">
            <v>MPET mt 12x950</v>
          </cell>
          <cell r="F309">
            <v>0</v>
          </cell>
          <cell r="G309" t="str">
            <v>MPE</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t="str">
            <v>PE 60x950</v>
          </cell>
          <cell r="AF309">
            <v>0</v>
          </cell>
          <cell r="AG309">
            <v>6.8684999999999996E-2</v>
          </cell>
          <cell r="AH309">
            <v>1.4413333333333331</v>
          </cell>
          <cell r="AI309">
            <v>0</v>
          </cell>
          <cell r="AJ309">
            <v>9530</v>
          </cell>
          <cell r="AK309">
            <v>0</v>
          </cell>
          <cell r="AL309">
            <v>2.3E-3</v>
          </cell>
          <cell r="AM309" t="str">
            <v>dạng cuộn 2000m</v>
          </cell>
          <cell r="AN309">
            <v>950</v>
          </cell>
          <cell r="AO309" t="str">
            <v>Công ty Proline</v>
          </cell>
          <cell r="AP309" t="e">
            <v>#N/A</v>
          </cell>
          <cell r="AQ309" t="e">
            <v>#N/A</v>
          </cell>
          <cell r="AR309" t="e">
            <v>#N/A</v>
          </cell>
          <cell r="AS309" t="e">
            <v>#N/A</v>
          </cell>
          <cell r="AT309" t="e">
            <v>#N/A</v>
          </cell>
          <cell r="AU309" t="e">
            <v>#N/A</v>
          </cell>
          <cell r="AV309" t="e">
            <v>#N/A</v>
          </cell>
          <cell r="AW309" t="e">
            <v>#N/A</v>
          </cell>
          <cell r="AX309" t="e">
            <v>#N/A</v>
          </cell>
          <cell r="AY309" t="e">
            <v>#N/A</v>
          </cell>
          <cell r="AZ309" t="e">
            <v>#N/A</v>
          </cell>
          <cell r="BA309" t="str">
            <v>1c</v>
          </cell>
          <cell r="BB309" t="str">
            <v>giấy cartoon K1200</v>
          </cell>
          <cell r="BC309">
            <v>0</v>
          </cell>
          <cell r="BD309" t="e">
            <v>#N/A</v>
          </cell>
        </row>
        <row r="310">
          <cell r="A310" t="str">
            <v>sp 830</v>
          </cell>
          <cell r="B310" t="str">
            <v>Cuộn bánh bao nhân thập cẩm finefood dumping 300g</v>
          </cell>
          <cell r="C310">
            <v>0</v>
          </cell>
          <cell r="D310">
            <v>2</v>
          </cell>
          <cell r="E310" t="str">
            <v>OPP 20x730</v>
          </cell>
          <cell r="F310">
            <v>6</v>
          </cell>
          <cell r="G310" t="str">
            <v>OPP</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t="str">
            <v>PE 55x730</v>
          </cell>
          <cell r="AF310">
            <v>0</v>
          </cell>
          <cell r="AG310">
            <v>5.0424749999999997E-2</v>
          </cell>
          <cell r="AH310">
            <v>0.96</v>
          </cell>
          <cell r="AI310">
            <v>0</v>
          </cell>
          <cell r="AJ310">
            <v>9530</v>
          </cell>
          <cell r="AK310">
            <v>0</v>
          </cell>
          <cell r="AL310">
            <v>2E-3</v>
          </cell>
          <cell r="AM310" t="str">
            <v>dạng cuộn 500m</v>
          </cell>
          <cell r="AN310">
            <v>354</v>
          </cell>
          <cell r="AO310" t="str">
            <v>Công ty Phú Mỹ</v>
          </cell>
          <cell r="AP310" t="str">
            <v>1710373-1</v>
          </cell>
          <cell r="AQ310" t="str">
            <v>1710373-2</v>
          </cell>
          <cell r="AR310" t="str">
            <v>1710373-3</v>
          </cell>
          <cell r="AS310" t="str">
            <v>1710373-4</v>
          </cell>
          <cell r="AT310" t="str">
            <v>1710373-5</v>
          </cell>
          <cell r="AU310" t="str">
            <v>1710373-6</v>
          </cell>
          <cell r="AV310">
            <v>0</v>
          </cell>
          <cell r="AW310">
            <v>0</v>
          </cell>
          <cell r="AX310">
            <v>0</v>
          </cell>
          <cell r="AY310" t="str">
            <v>532x850</v>
          </cell>
          <cell r="AZ310" t="str">
            <v>V2</v>
          </cell>
          <cell r="BA310" t="str">
            <v>1c</v>
          </cell>
          <cell r="BB310" t="str">
            <v>giấy cartoon K500</v>
          </cell>
          <cell r="BC310">
            <v>0</v>
          </cell>
          <cell r="BD310">
            <v>0</v>
          </cell>
        </row>
        <row r="311">
          <cell r="A311" t="str">
            <v>sp 831</v>
          </cell>
          <cell r="B311" t="str">
            <v>Cuộn bánh bao nhân thập cẩm sữa dừa fine food dumping 300g</v>
          </cell>
          <cell r="C311">
            <v>0</v>
          </cell>
          <cell r="D311">
            <v>2</v>
          </cell>
          <cell r="E311" t="str">
            <v>OPP 20x730</v>
          </cell>
          <cell r="F311">
            <v>6</v>
          </cell>
          <cell r="G311" t="str">
            <v>OPP</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t="str">
            <v>PE 55x730</v>
          </cell>
          <cell r="AF311">
            <v>0</v>
          </cell>
          <cell r="AG311">
            <v>5.0424749999999997E-2</v>
          </cell>
          <cell r="AH311">
            <v>0.96</v>
          </cell>
          <cell r="AI311">
            <v>0</v>
          </cell>
          <cell r="AJ311">
            <v>9530</v>
          </cell>
          <cell r="AK311">
            <v>0</v>
          </cell>
          <cell r="AL311">
            <v>2E-3</v>
          </cell>
          <cell r="AM311" t="str">
            <v>dạng cuộn 500m</v>
          </cell>
          <cell r="AN311">
            <v>354</v>
          </cell>
          <cell r="AO311" t="str">
            <v>Công ty Phú Mỹ</v>
          </cell>
          <cell r="AP311" t="str">
            <v>1710374-1</v>
          </cell>
          <cell r="AQ311" t="str">
            <v>1710374-2</v>
          </cell>
          <cell r="AR311" t="str">
            <v>1710374-3</v>
          </cell>
          <cell r="AS311" t="str">
            <v>1710374-4</v>
          </cell>
          <cell r="AT311" t="str">
            <v>1710374-5</v>
          </cell>
          <cell r="AU311" t="str">
            <v>1710373-6</v>
          </cell>
          <cell r="AV311">
            <v>0</v>
          </cell>
          <cell r="AW311">
            <v>0</v>
          </cell>
          <cell r="AX311">
            <v>0</v>
          </cell>
          <cell r="AY311" t="str">
            <v>532x850</v>
          </cell>
          <cell r="AZ311" t="str">
            <v>V2</v>
          </cell>
          <cell r="BA311" t="str">
            <v>1c</v>
          </cell>
          <cell r="BB311" t="str">
            <v>giấy cartoon K500</v>
          </cell>
          <cell r="BC311">
            <v>0</v>
          </cell>
          <cell r="BD311" t="str">
            <v>in chung cây Trắng vs sp 830</v>
          </cell>
        </row>
        <row r="312">
          <cell r="A312" t="str">
            <v>sp 832</v>
          </cell>
          <cell r="B312" t="str">
            <v>Túi trà chữ đỏ tân cương 500g loại 7</v>
          </cell>
          <cell r="C312">
            <v>0</v>
          </cell>
          <cell r="D312">
            <v>2</v>
          </cell>
          <cell r="E312" t="str">
            <v>PET 12x760</v>
          </cell>
          <cell r="F312">
            <v>7</v>
          </cell>
          <cell r="G312" t="str">
            <v>PET</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t="str">
            <v>MPET 12x760</v>
          </cell>
          <cell r="AF312" t="str">
            <v>PE 80x760</v>
          </cell>
          <cell r="AG312">
            <v>8.1776000000000001E-2</v>
          </cell>
          <cell r="AH312">
            <v>1.1499999999999999</v>
          </cell>
          <cell r="AI312">
            <v>1.5</v>
          </cell>
          <cell r="AJ312">
            <v>9530</v>
          </cell>
          <cell r="AK312">
            <v>9530</v>
          </cell>
          <cell r="AL312" t="str">
            <v>0,0053(0,0023;0,003)</v>
          </cell>
          <cell r="AM312" t="str">
            <v>hàn lưng xếp hông</v>
          </cell>
          <cell r="AN312">
            <v>420</v>
          </cell>
          <cell r="AO312" t="str">
            <v>Khách hàng lẻ</v>
          </cell>
          <cell r="AP312" t="str">
            <v>1708584-1</v>
          </cell>
          <cell r="AQ312" t="str">
            <v>1708584-2</v>
          </cell>
          <cell r="AR312" t="str">
            <v>1708584-3</v>
          </cell>
          <cell r="AS312" t="str">
            <v>1708584-4</v>
          </cell>
          <cell r="AT312" t="str">
            <v>1708584-5</v>
          </cell>
          <cell r="AU312" t="str">
            <v>1708584-6</v>
          </cell>
          <cell r="AV312" t="str">
            <v>1607497-7</v>
          </cell>
          <cell r="AW312">
            <v>0</v>
          </cell>
          <cell r="AX312">
            <v>0</v>
          </cell>
          <cell r="AY312" t="str">
            <v>420x850</v>
          </cell>
          <cell r="AZ312" t="str">
            <v>F2+ F1</v>
          </cell>
          <cell r="BA312">
            <v>2000</v>
          </cell>
          <cell r="BB312" t="str">
            <v>Thùng 5 lớp 42x34x36</v>
          </cell>
          <cell r="BC312">
            <v>0</v>
          </cell>
          <cell r="BD312" t="str">
            <v>in chung sp 808;cây trắng với sp 568</v>
          </cell>
        </row>
        <row r="313">
          <cell r="A313" t="str">
            <v>sp 833</v>
          </cell>
          <cell r="B313" t="str">
            <v>Cuộn màng không in khổ 220 Nhật Nguyên</v>
          </cell>
          <cell r="C313">
            <v>0</v>
          </cell>
          <cell r="D313">
            <v>3</v>
          </cell>
          <cell r="E313" t="str">
            <v>PET 12x670</v>
          </cell>
          <cell r="F313">
            <v>0</v>
          </cell>
          <cell r="G313" t="str">
            <v>PET</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t="str">
            <v>CPP 35x670</v>
          </cell>
          <cell r="AF313">
            <v>0</v>
          </cell>
          <cell r="AG313">
            <v>3.2595499999999999E-2</v>
          </cell>
          <cell r="AH313">
            <v>1.012</v>
          </cell>
          <cell r="AI313">
            <v>0</v>
          </cell>
          <cell r="AJ313">
            <v>9530</v>
          </cell>
          <cell r="AK313">
            <v>0</v>
          </cell>
          <cell r="AL313">
            <v>2.3E-3</v>
          </cell>
          <cell r="AM313" t="str">
            <v xml:space="preserve">dạng cuộn </v>
          </cell>
          <cell r="AN313">
            <v>220</v>
          </cell>
          <cell r="AO313" t="str">
            <v>Công ty Nhật Nguyên</v>
          </cell>
          <cell r="AP313" t="e">
            <v>#N/A</v>
          </cell>
          <cell r="AQ313" t="e">
            <v>#N/A</v>
          </cell>
          <cell r="AR313" t="e">
            <v>#N/A</v>
          </cell>
          <cell r="AS313" t="e">
            <v>#N/A</v>
          </cell>
          <cell r="AT313" t="e">
            <v>#N/A</v>
          </cell>
          <cell r="AU313" t="e">
            <v>#N/A</v>
          </cell>
          <cell r="AV313" t="e">
            <v>#N/A</v>
          </cell>
          <cell r="AW313" t="e">
            <v>#N/A</v>
          </cell>
          <cell r="AX313" t="e">
            <v>#N/A</v>
          </cell>
          <cell r="AY313" t="e">
            <v>#N/A</v>
          </cell>
          <cell r="AZ313" t="e">
            <v>#N/A</v>
          </cell>
          <cell r="BA313" t="str">
            <v>3c</v>
          </cell>
          <cell r="BB313" t="str">
            <v>giấy cartoon K800</v>
          </cell>
          <cell r="BC313">
            <v>0</v>
          </cell>
          <cell r="BD313" t="e">
            <v>#N/A</v>
          </cell>
        </row>
        <row r="314">
          <cell r="A314" t="str">
            <v>sp 834</v>
          </cell>
          <cell r="B314" t="str">
            <v>Túi hạt giống đông A1 cấp giống XN1 1kg Thái Bình</v>
          </cell>
          <cell r="C314">
            <v>8.27</v>
          </cell>
          <cell r="D314">
            <v>2</v>
          </cell>
          <cell r="E314" t="str">
            <v>PET 12x900</v>
          </cell>
          <cell r="F314">
            <v>8</v>
          </cell>
          <cell r="G314" t="str">
            <v>PET</v>
          </cell>
          <cell r="H314">
            <v>0.23</v>
          </cell>
          <cell r="I314">
            <v>4.7699999999999996</v>
          </cell>
          <cell r="J314">
            <v>0.1</v>
          </cell>
          <cell r="K314">
            <v>0.28999999999999998</v>
          </cell>
          <cell r="L314">
            <v>1.79</v>
          </cell>
          <cell r="M314">
            <v>0.78</v>
          </cell>
          <cell r="N314">
            <v>0</v>
          </cell>
          <cell r="O314">
            <v>0.23</v>
          </cell>
          <cell r="P314">
            <v>0.03</v>
          </cell>
          <cell r="Q314">
            <v>0</v>
          </cell>
          <cell r="R314">
            <v>0</v>
          </cell>
          <cell r="S314">
            <v>0</v>
          </cell>
          <cell r="T314">
            <v>0.05</v>
          </cell>
          <cell r="U314">
            <v>0</v>
          </cell>
          <cell r="V314">
            <v>0</v>
          </cell>
          <cell r="W314">
            <v>0</v>
          </cell>
          <cell r="X314">
            <v>0</v>
          </cell>
          <cell r="Y314">
            <v>0</v>
          </cell>
          <cell r="Z314">
            <v>0</v>
          </cell>
          <cell r="AA314">
            <v>0</v>
          </cell>
          <cell r="AB314">
            <v>0</v>
          </cell>
          <cell r="AC314">
            <v>0</v>
          </cell>
          <cell r="AD314">
            <v>0</v>
          </cell>
          <cell r="AE314" t="str">
            <v>PE 82x900</v>
          </cell>
          <cell r="AF314">
            <v>0</v>
          </cell>
          <cell r="AG314">
            <v>8.3385000000000001E-2</v>
          </cell>
          <cell r="AH314">
            <v>1.3646666666666665</v>
          </cell>
          <cell r="AI314">
            <v>0</v>
          </cell>
          <cell r="AJ314">
            <v>9530</v>
          </cell>
          <cell r="AK314">
            <v>0</v>
          </cell>
          <cell r="AL314">
            <v>2.3E-3</v>
          </cell>
          <cell r="AM314" t="str">
            <v>dạng cuộn or túi ba biên</v>
          </cell>
          <cell r="AN314">
            <v>310</v>
          </cell>
          <cell r="AO314" t="str">
            <v>Công ty Thái Bình</v>
          </cell>
          <cell r="AP314" t="str">
            <v>1902525-1</v>
          </cell>
          <cell r="AQ314" t="str">
            <v>1903063-2</v>
          </cell>
          <cell r="AR314" t="str">
            <v>1609240-3</v>
          </cell>
          <cell r="AS314" t="str">
            <v>1903063-4</v>
          </cell>
          <cell r="AT314" t="str">
            <v>1902525-5</v>
          </cell>
          <cell r="AU314" t="str">
            <v>1710724-6</v>
          </cell>
          <cell r="AV314" t="str">
            <v>1710724-7</v>
          </cell>
          <cell r="AW314" t="str">
            <v>1807922-8</v>
          </cell>
          <cell r="AX314">
            <v>0</v>
          </cell>
          <cell r="AY314" t="str">
            <v>620x1100</v>
          </cell>
          <cell r="AZ314" t="str">
            <v>I2</v>
          </cell>
          <cell r="BA314">
            <v>4000</v>
          </cell>
          <cell r="BB314" t="str">
            <v>bao dứa</v>
          </cell>
          <cell r="BC314">
            <v>0</v>
          </cell>
          <cell r="BD314">
            <v>0</v>
          </cell>
        </row>
        <row r="315">
          <cell r="A315" t="str">
            <v>sp 835</v>
          </cell>
          <cell r="B315" t="str">
            <v>Túi hạt giống Đông A cấp giống XN1 40kg</v>
          </cell>
          <cell r="C315">
            <v>6.93</v>
          </cell>
          <cell r="D315">
            <v>1</v>
          </cell>
          <cell r="E315" t="str">
            <v>OPP 18x690</v>
          </cell>
          <cell r="F315">
            <v>7</v>
          </cell>
          <cell r="G315" t="str">
            <v>OPP</v>
          </cell>
          <cell r="H315">
            <v>0.01</v>
          </cell>
          <cell r="I315">
            <v>0</v>
          </cell>
          <cell r="J315">
            <v>0.01</v>
          </cell>
          <cell r="K315">
            <v>0.39</v>
          </cell>
          <cell r="L315">
            <v>6.5</v>
          </cell>
          <cell r="M315">
            <v>0</v>
          </cell>
          <cell r="N315">
            <v>0</v>
          </cell>
          <cell r="O315">
            <v>0.01</v>
          </cell>
          <cell r="P315">
            <v>0</v>
          </cell>
          <cell r="Q315">
            <v>0</v>
          </cell>
          <cell r="R315">
            <v>0</v>
          </cell>
          <cell r="S315">
            <v>0</v>
          </cell>
          <cell r="T315">
            <v>0.01</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t="str">
            <v>dạng cuộn</v>
          </cell>
          <cell r="AN315">
            <v>670</v>
          </cell>
          <cell r="AO315" t="str">
            <v>Công ty Thái Bình</v>
          </cell>
          <cell r="AP315" t="str">
            <v>17101029-1</v>
          </cell>
          <cell r="AQ315" t="str">
            <v>1609242-2</v>
          </cell>
          <cell r="AR315" t="str">
            <v>17101029-3</v>
          </cell>
          <cell r="AS315" t="str">
            <v>1710745-4</v>
          </cell>
          <cell r="AT315" t="str">
            <v>1903064-5</v>
          </cell>
          <cell r="AU315" t="str">
            <v>1710723-6</v>
          </cell>
          <cell r="AV315" t="str">
            <v>1903064-7</v>
          </cell>
          <cell r="AW315">
            <v>0</v>
          </cell>
          <cell r="AX315">
            <v>0</v>
          </cell>
          <cell r="AY315" t="str">
            <v>1100x850</v>
          </cell>
          <cell r="AZ315" t="str">
            <v>K4</v>
          </cell>
          <cell r="BA315" t="str">
            <v>1c</v>
          </cell>
          <cell r="BB315" t="str">
            <v>giấy cartoon</v>
          </cell>
          <cell r="BC315">
            <v>0</v>
          </cell>
          <cell r="BD315">
            <v>0</v>
          </cell>
        </row>
        <row r="316">
          <cell r="A316" t="str">
            <v>sp 836</v>
          </cell>
          <cell r="B316" t="str">
            <v>Túi không in tĩnh điện KT 200x300</v>
          </cell>
          <cell r="C316">
            <v>0</v>
          </cell>
          <cell r="D316">
            <v>1</v>
          </cell>
          <cell r="E316" t="str">
            <v>PA 15x620</v>
          </cell>
          <cell r="F316">
            <v>0</v>
          </cell>
          <cell r="G316" t="str">
            <v xml:space="preserve">PA </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t="str">
            <v>Al 6x620</v>
          </cell>
          <cell r="AF316" t="str">
            <v>PE 75x630</v>
          </cell>
          <cell r="AG316">
            <v>6.3788700000000004E-2</v>
          </cell>
          <cell r="AH316">
            <v>0.81333333333333324</v>
          </cell>
          <cell r="AI316">
            <v>0.81333333333333324</v>
          </cell>
          <cell r="AJ316">
            <v>9530</v>
          </cell>
          <cell r="AK316">
            <v>9530</v>
          </cell>
          <cell r="AL316" t="str">
            <v>0,004(0,002;0,002)</v>
          </cell>
          <cell r="AM316" t="str">
            <v>túi ba biên</v>
          </cell>
          <cell r="AN316">
            <v>200</v>
          </cell>
          <cell r="AO316" t="str">
            <v>Công ty Bảo Tín</v>
          </cell>
          <cell r="AP316" t="e">
            <v>#N/A</v>
          </cell>
          <cell r="AQ316" t="e">
            <v>#N/A</v>
          </cell>
          <cell r="AR316" t="e">
            <v>#N/A</v>
          </cell>
          <cell r="AS316" t="e">
            <v>#N/A</v>
          </cell>
          <cell r="AT316" t="e">
            <v>#N/A</v>
          </cell>
          <cell r="AU316" t="e">
            <v>#N/A</v>
          </cell>
          <cell r="AV316" t="e">
            <v>#N/A</v>
          </cell>
          <cell r="AW316" t="e">
            <v>#N/A</v>
          </cell>
          <cell r="AX316" t="e">
            <v>#N/A</v>
          </cell>
          <cell r="AY316" t="e">
            <v>#N/A</v>
          </cell>
          <cell r="AZ316" t="e">
            <v>#N/A</v>
          </cell>
          <cell r="BA316">
            <v>3000</v>
          </cell>
          <cell r="BB316" t="str">
            <v>Thùng 5 lớp 42x34x36</v>
          </cell>
          <cell r="BC316">
            <v>0</v>
          </cell>
          <cell r="BD316" t="e">
            <v>#N/A</v>
          </cell>
        </row>
        <row r="317">
          <cell r="A317" t="str">
            <v>sp 837</v>
          </cell>
          <cell r="B317" t="str">
            <v>Túi đựng cá KT 160x500 Hạ Long</v>
          </cell>
          <cell r="C317">
            <v>5.47</v>
          </cell>
          <cell r="D317">
            <v>2</v>
          </cell>
          <cell r="E317" t="str">
            <v>PA 15x660</v>
          </cell>
          <cell r="F317">
            <v>6</v>
          </cell>
          <cell r="G317" t="str">
            <v xml:space="preserve">PA </v>
          </cell>
          <cell r="H317">
            <v>1.17</v>
          </cell>
          <cell r="I317">
            <v>2.4700000000000002</v>
          </cell>
          <cell r="J317">
            <v>0.2</v>
          </cell>
          <cell r="K317">
            <v>0.78</v>
          </cell>
          <cell r="L317">
            <v>0.46</v>
          </cell>
          <cell r="M317">
            <v>0</v>
          </cell>
          <cell r="N317">
            <v>0</v>
          </cell>
          <cell r="O317">
            <v>0</v>
          </cell>
          <cell r="P317">
            <v>0.39</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t="str">
            <v>PE 65x660</v>
          </cell>
          <cell r="AF317">
            <v>0</v>
          </cell>
          <cell r="AG317">
            <v>5.1067500000000002E-2</v>
          </cell>
          <cell r="AH317">
            <v>0.99666666666666659</v>
          </cell>
          <cell r="AI317">
            <v>0</v>
          </cell>
          <cell r="AJ317">
            <v>9530</v>
          </cell>
          <cell r="AK317">
            <v>0</v>
          </cell>
          <cell r="AL317">
            <v>2.3E-3</v>
          </cell>
          <cell r="AM317" t="str">
            <v>túi ba biên</v>
          </cell>
          <cell r="AN317">
            <v>500</v>
          </cell>
          <cell r="AO317" t="str">
            <v>Công ty Hạ Long</v>
          </cell>
          <cell r="AP317" t="str">
            <v>X101819-1</v>
          </cell>
          <cell r="AQ317" t="str">
            <v>X101819-2</v>
          </cell>
          <cell r="AR317" t="str">
            <v>X101819-3</v>
          </cell>
          <cell r="AS317" t="str">
            <v>X101819-4</v>
          </cell>
          <cell r="AT317" t="str">
            <v>X101819-5</v>
          </cell>
          <cell r="AU317" t="str">
            <v>X101819-6</v>
          </cell>
          <cell r="AV317">
            <v>0</v>
          </cell>
          <cell r="AW317">
            <v>0</v>
          </cell>
          <cell r="AX317">
            <v>0</v>
          </cell>
          <cell r="AY317" t="str">
            <v>500x750</v>
          </cell>
          <cell r="AZ317" t="str">
            <v>P1</v>
          </cell>
          <cell r="BA317">
            <v>1500</v>
          </cell>
          <cell r="BB317" t="str">
            <v>Thùng 5 lớp 42x34x36</v>
          </cell>
          <cell r="BC317">
            <v>0</v>
          </cell>
          <cell r="BD317">
            <v>0</v>
          </cell>
        </row>
        <row r="318">
          <cell r="A318" t="str">
            <v>sp 838</v>
          </cell>
          <cell r="B318" t="str">
            <v>Cuộn màng không in HCK khổ 440 độ dày 57mic</v>
          </cell>
          <cell r="C318">
            <v>0</v>
          </cell>
          <cell r="D318">
            <v>1</v>
          </cell>
          <cell r="E318" t="str">
            <v>MPET mt 12x440</v>
          </cell>
          <cell r="F318">
            <v>0</v>
          </cell>
          <cell r="G318" t="str">
            <v>MPE</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t="str">
            <v>PE 45x440</v>
          </cell>
          <cell r="AF318">
            <v>0</v>
          </cell>
          <cell r="AG318">
            <v>2.5707000000000001E-2</v>
          </cell>
          <cell r="AH318">
            <v>0.65933333333333333</v>
          </cell>
          <cell r="AI318">
            <v>0</v>
          </cell>
          <cell r="AJ318">
            <v>9530</v>
          </cell>
          <cell r="AK318">
            <v>0</v>
          </cell>
          <cell r="AL318">
            <v>2.3E-3</v>
          </cell>
          <cell r="AM318" t="str">
            <v>dạng cuộn 2000m</v>
          </cell>
          <cell r="AN318">
            <v>440</v>
          </cell>
          <cell r="AO318" t="str">
            <v>Công ty Proline</v>
          </cell>
          <cell r="AP318" t="e">
            <v>#N/A</v>
          </cell>
          <cell r="AQ318" t="e">
            <v>#N/A</v>
          </cell>
          <cell r="AR318" t="e">
            <v>#N/A</v>
          </cell>
          <cell r="AS318" t="e">
            <v>#N/A</v>
          </cell>
          <cell r="AT318" t="e">
            <v>#N/A</v>
          </cell>
          <cell r="AU318" t="e">
            <v>#N/A</v>
          </cell>
          <cell r="AV318" t="e">
            <v>#N/A</v>
          </cell>
          <cell r="AW318" t="e">
            <v>#N/A</v>
          </cell>
          <cell r="AX318" t="e">
            <v>#N/A</v>
          </cell>
          <cell r="AY318" t="e">
            <v>#N/A</v>
          </cell>
          <cell r="AZ318" t="e">
            <v>#N/A</v>
          </cell>
          <cell r="BA318" t="str">
            <v>1c</v>
          </cell>
          <cell r="BB318" t="str">
            <v>giấy cartoon K600</v>
          </cell>
          <cell r="BC318">
            <v>0</v>
          </cell>
          <cell r="BD318" t="e">
            <v>#N/A</v>
          </cell>
        </row>
        <row r="319">
          <cell r="A319" t="str">
            <v>sp 839</v>
          </cell>
          <cell r="B319" t="str">
            <v>Cuộn màng không in HCK khổ 520 độ dày 72mic</v>
          </cell>
          <cell r="C319">
            <v>0</v>
          </cell>
          <cell r="D319">
            <v>1</v>
          </cell>
          <cell r="E319" t="str">
            <v>MPET mt 12x520</v>
          </cell>
          <cell r="F319">
            <v>0</v>
          </cell>
          <cell r="G319" t="str">
            <v>MPE</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t="str">
            <v>PE 60x520</v>
          </cell>
          <cell r="AF319">
            <v>0</v>
          </cell>
          <cell r="AG319">
            <v>3.7596000000000004E-2</v>
          </cell>
          <cell r="AH319">
            <v>0.78199999999999992</v>
          </cell>
          <cell r="AI319">
            <v>0</v>
          </cell>
          <cell r="AJ319">
            <v>9530</v>
          </cell>
          <cell r="AK319">
            <v>0</v>
          </cell>
          <cell r="AL319">
            <v>2.3E-3</v>
          </cell>
          <cell r="AM319" t="str">
            <v>dạng cuộn 2000m</v>
          </cell>
          <cell r="AN319">
            <v>520</v>
          </cell>
          <cell r="AO319" t="str">
            <v>Công ty Proline</v>
          </cell>
          <cell r="AP319" t="e">
            <v>#N/A</v>
          </cell>
          <cell r="AQ319" t="e">
            <v>#N/A</v>
          </cell>
          <cell r="AR319" t="e">
            <v>#N/A</v>
          </cell>
          <cell r="AS319" t="e">
            <v>#N/A</v>
          </cell>
          <cell r="AT319" t="e">
            <v>#N/A</v>
          </cell>
          <cell r="AU319" t="e">
            <v>#N/A</v>
          </cell>
          <cell r="AV319" t="e">
            <v>#N/A</v>
          </cell>
          <cell r="AW319" t="e">
            <v>#N/A</v>
          </cell>
          <cell r="AX319" t="e">
            <v>#N/A</v>
          </cell>
          <cell r="AY319" t="e">
            <v>#N/A</v>
          </cell>
          <cell r="AZ319" t="e">
            <v>#N/A</v>
          </cell>
          <cell r="BA319" t="str">
            <v>1c</v>
          </cell>
          <cell r="BB319" t="str">
            <v>giấy cartoon K600</v>
          </cell>
          <cell r="BC319">
            <v>0</v>
          </cell>
          <cell r="BD319" t="e">
            <v>#N/A</v>
          </cell>
        </row>
        <row r="320">
          <cell r="A320" t="str">
            <v>sp 840</v>
          </cell>
          <cell r="B320" t="str">
            <v>Cuộn lúa DTR667 1kg Đại Thành</v>
          </cell>
          <cell r="C320">
            <v>7</v>
          </cell>
          <cell r="D320">
            <v>1</v>
          </cell>
          <cell r="E320" t="str">
            <v>OPP 20x460</v>
          </cell>
          <cell r="F320">
            <v>8</v>
          </cell>
          <cell r="G320" t="str">
            <v>OPP</v>
          </cell>
          <cell r="H320">
            <v>0.1</v>
          </cell>
          <cell r="I320">
            <v>2.8</v>
          </cell>
          <cell r="J320">
            <v>2.5</v>
          </cell>
          <cell r="K320">
            <v>0.4</v>
          </cell>
          <cell r="L320">
            <v>0.1</v>
          </cell>
          <cell r="M320">
            <v>1</v>
          </cell>
          <cell r="N320">
            <v>0</v>
          </cell>
          <cell r="O320">
            <v>0.1</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t="str">
            <v>PE 70x460</v>
          </cell>
          <cell r="AF320">
            <v>0</v>
          </cell>
          <cell r="AG320">
            <v>3.815700000000001E-2</v>
          </cell>
          <cell r="AH320">
            <v>0.75</v>
          </cell>
          <cell r="AI320">
            <v>0</v>
          </cell>
          <cell r="AJ320">
            <v>9530</v>
          </cell>
          <cell r="AK320">
            <v>0</v>
          </cell>
          <cell r="AL320">
            <v>2.5000000000000001E-3</v>
          </cell>
          <cell r="AM320" t="str">
            <v>dạng cuộn 500m</v>
          </cell>
          <cell r="AN320">
            <v>440</v>
          </cell>
          <cell r="AO320" t="str">
            <v>Công ty Đại Thành</v>
          </cell>
          <cell r="AP320" t="str">
            <v>1711632-1</v>
          </cell>
          <cell r="AQ320" t="str">
            <v>1711632-2</v>
          </cell>
          <cell r="AR320" t="str">
            <v>1711632-3</v>
          </cell>
          <cell r="AS320" t="str">
            <v>1711632-4</v>
          </cell>
          <cell r="AT320" t="str">
            <v>1711632-5</v>
          </cell>
          <cell r="AU320" t="str">
            <v>1711632-6</v>
          </cell>
          <cell r="AV320" t="str">
            <v>1711632-7</v>
          </cell>
          <cell r="AW320" t="str">
            <v>1711632-8</v>
          </cell>
          <cell r="AX320">
            <v>0</v>
          </cell>
          <cell r="AY320" t="str">
            <v>610x750</v>
          </cell>
          <cell r="AZ320" t="str">
            <v>P1</v>
          </cell>
          <cell r="BA320" t="str">
            <v>1c</v>
          </cell>
          <cell r="BB320" t="str">
            <v>giấy cartoon K600</v>
          </cell>
          <cell r="BC320">
            <v>0</v>
          </cell>
          <cell r="BD320">
            <v>0</v>
          </cell>
        </row>
        <row r="321">
          <cell r="A321" t="str">
            <v>sp 841</v>
          </cell>
          <cell r="B321" t="str">
            <v xml:space="preserve">Túi đựng quà tết Nhật Nguyệt </v>
          </cell>
          <cell r="C321">
            <v>3.51</v>
          </cell>
          <cell r="D321">
            <v>2</v>
          </cell>
          <cell r="E321" t="str">
            <v>OPP mờ 20x600</v>
          </cell>
          <cell r="F321">
            <v>2</v>
          </cell>
          <cell r="G321" t="str">
            <v>OPP</v>
          </cell>
          <cell r="H321">
            <v>0.1</v>
          </cell>
          <cell r="I321">
            <v>2.31</v>
          </cell>
          <cell r="J321">
            <v>0.1</v>
          </cell>
          <cell r="K321">
            <v>0</v>
          </cell>
          <cell r="L321">
            <v>0</v>
          </cell>
          <cell r="M321">
            <v>0</v>
          </cell>
          <cell r="N321">
            <v>0.52</v>
          </cell>
          <cell r="O321">
            <v>0</v>
          </cell>
          <cell r="P321">
            <v>0</v>
          </cell>
          <cell r="Q321">
            <v>0.21</v>
          </cell>
          <cell r="R321">
            <v>0</v>
          </cell>
          <cell r="S321">
            <v>0.26</v>
          </cell>
          <cell r="T321">
            <v>0</v>
          </cell>
          <cell r="U321">
            <v>0.01</v>
          </cell>
          <cell r="V321">
            <v>0</v>
          </cell>
          <cell r="W321">
            <v>0</v>
          </cell>
          <cell r="X321">
            <v>0</v>
          </cell>
          <cell r="Y321">
            <v>0</v>
          </cell>
          <cell r="Z321">
            <v>0</v>
          </cell>
          <cell r="AA321">
            <v>0</v>
          </cell>
          <cell r="AB321">
            <v>0</v>
          </cell>
          <cell r="AC321">
            <v>0</v>
          </cell>
          <cell r="AD321">
            <v>0</v>
          </cell>
          <cell r="AE321" t="str">
            <v>CPP 45x600</v>
          </cell>
          <cell r="AF321">
            <v>0</v>
          </cell>
          <cell r="AG321">
            <v>3.5490000000000001E-2</v>
          </cell>
          <cell r="AH321">
            <v>0.90466666666666651</v>
          </cell>
          <cell r="AI321">
            <v>0</v>
          </cell>
          <cell r="AJ321">
            <v>9530</v>
          </cell>
          <cell r="AK321">
            <v>0</v>
          </cell>
          <cell r="AL321">
            <v>2.3E-3</v>
          </cell>
          <cell r="AM321" t="str">
            <v>túi hàn lưng xếp hông</v>
          </cell>
          <cell r="AN321">
            <v>155</v>
          </cell>
          <cell r="AO321" t="str">
            <v>Công ty CP DVTM&amp;ĐT Nhật Nguyệt</v>
          </cell>
          <cell r="AP321" t="str">
            <v>F119426-1</v>
          </cell>
          <cell r="AQ321" t="str">
            <v>F119426-2</v>
          </cell>
          <cell r="AR321">
            <v>0</v>
          </cell>
          <cell r="AS321">
            <v>0</v>
          </cell>
          <cell r="AT321">
            <v>0</v>
          </cell>
          <cell r="AU321">
            <v>0</v>
          </cell>
          <cell r="AV321">
            <v>0</v>
          </cell>
          <cell r="AW321">
            <v>0</v>
          </cell>
          <cell r="AX321">
            <v>0</v>
          </cell>
          <cell r="AY321" t="str">
            <v>465x860</v>
          </cell>
          <cell r="AZ321" t="str">
            <v>P1</v>
          </cell>
          <cell r="BA321">
            <v>8000</v>
          </cell>
          <cell r="BB321" t="str">
            <v>Thùng 5 lớp 42x34x36</v>
          </cell>
          <cell r="BC321">
            <v>0</v>
          </cell>
          <cell r="BD321">
            <v>0</v>
          </cell>
        </row>
        <row r="322">
          <cell r="A322" t="str">
            <v>sp 842</v>
          </cell>
          <cell r="B322" t="str">
            <v>Túi gạo nếp asao 1kg Thái Bình</v>
          </cell>
          <cell r="C322">
            <v>12.09</v>
          </cell>
          <cell r="D322">
            <v>1</v>
          </cell>
          <cell r="E322" t="str">
            <v>PA 15x580</v>
          </cell>
          <cell r="F322">
            <v>7</v>
          </cell>
          <cell r="G322" t="str">
            <v xml:space="preserve">PA </v>
          </cell>
          <cell r="H322">
            <v>0.31</v>
          </cell>
          <cell r="I322">
            <v>4.84</v>
          </cell>
          <cell r="J322">
            <v>0.57999999999999996</v>
          </cell>
          <cell r="K322">
            <v>0.31</v>
          </cell>
          <cell r="L322">
            <v>4.8</v>
          </cell>
          <cell r="M322">
            <v>1.08</v>
          </cell>
          <cell r="N322">
            <v>0</v>
          </cell>
          <cell r="O322">
            <v>0.01</v>
          </cell>
          <cell r="P322">
            <v>0.15</v>
          </cell>
          <cell r="Q322">
            <v>0</v>
          </cell>
          <cell r="R322">
            <v>0</v>
          </cell>
          <cell r="S322">
            <v>0</v>
          </cell>
          <cell r="T322">
            <v>0.01</v>
          </cell>
          <cell r="U322">
            <v>0</v>
          </cell>
          <cell r="V322">
            <v>0</v>
          </cell>
          <cell r="W322">
            <v>0</v>
          </cell>
          <cell r="X322">
            <v>0</v>
          </cell>
          <cell r="Y322">
            <v>0</v>
          </cell>
          <cell r="Z322">
            <v>0</v>
          </cell>
          <cell r="AA322">
            <v>0</v>
          </cell>
          <cell r="AB322">
            <v>0</v>
          </cell>
          <cell r="AC322">
            <v>0</v>
          </cell>
          <cell r="AD322">
            <v>0</v>
          </cell>
          <cell r="AE322" t="str">
            <v>PE 85x580</v>
          </cell>
          <cell r="AF322">
            <v>0</v>
          </cell>
          <cell r="AG322">
            <v>5.3690000000000015E-2</v>
          </cell>
          <cell r="AH322">
            <v>0.87399999999999989</v>
          </cell>
          <cell r="AI322">
            <v>0</v>
          </cell>
          <cell r="AJ322">
            <v>9530</v>
          </cell>
          <cell r="AK322">
            <v>0</v>
          </cell>
          <cell r="AL322">
            <v>2.3E-3</v>
          </cell>
          <cell r="AM322" t="str">
            <v>túi ba biên</v>
          </cell>
          <cell r="AN322">
            <v>200</v>
          </cell>
          <cell r="AO322" t="str">
            <v>Công ty Thái Bình</v>
          </cell>
          <cell r="AP322" t="str">
            <v>1711961-1</v>
          </cell>
          <cell r="AQ322" t="str">
            <v>1711961-2</v>
          </cell>
          <cell r="AR322" t="str">
            <v>1711961-3</v>
          </cell>
          <cell r="AS322" t="str">
            <v>1711961-4</v>
          </cell>
          <cell r="AT322" t="str">
            <v>1711961-5</v>
          </cell>
          <cell r="AU322" t="str">
            <v>1711961-6</v>
          </cell>
          <cell r="AV322" t="str">
            <v>1711961-7</v>
          </cell>
          <cell r="AW322">
            <v>0</v>
          </cell>
          <cell r="AX322">
            <v>0</v>
          </cell>
          <cell r="AY322" t="str">
            <v>840x456</v>
          </cell>
          <cell r="AZ322" t="str">
            <v>I3</v>
          </cell>
          <cell r="BA322">
            <v>3000</v>
          </cell>
          <cell r="BB322" t="str">
            <v>Thùng 5 lớp 42x34x36</v>
          </cell>
          <cell r="BC322">
            <v>0</v>
          </cell>
          <cell r="BD322">
            <v>0</v>
          </cell>
        </row>
        <row r="323">
          <cell r="A323" t="str">
            <v>sp 843</v>
          </cell>
          <cell r="B323" t="str">
            <v>Cuộn màng không in ghép nhôm K870 proline</v>
          </cell>
          <cell r="C323">
            <v>0</v>
          </cell>
          <cell r="D323">
            <v>1</v>
          </cell>
          <cell r="E323" t="str">
            <v>PET mt 12x870</v>
          </cell>
          <cell r="F323">
            <v>0</v>
          </cell>
          <cell r="G323" t="str">
            <v>PET</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t="str">
            <v>Al 6x870</v>
          </cell>
          <cell r="AF323" t="str">
            <v>PE 75x870</v>
          </cell>
          <cell r="AG323">
            <v>8.9118450000000002E-2</v>
          </cell>
          <cell r="AH323">
            <v>1.3186666666666667</v>
          </cell>
          <cell r="AI323">
            <v>1.3186666666666667</v>
          </cell>
          <cell r="AJ323">
            <v>9530</v>
          </cell>
          <cell r="AK323">
            <v>9530</v>
          </cell>
          <cell r="AL323" t="str">
            <v>0,0046(0,0023;0,0023)</v>
          </cell>
          <cell r="AM323" t="str">
            <v>dạng cuộn 1500m hoặc 2000m</v>
          </cell>
          <cell r="AN323">
            <v>870</v>
          </cell>
          <cell r="AO323" t="str">
            <v>Công ty Proline</v>
          </cell>
          <cell r="AP323" t="e">
            <v>#N/A</v>
          </cell>
          <cell r="AQ323" t="e">
            <v>#N/A</v>
          </cell>
          <cell r="AR323" t="e">
            <v>#N/A</v>
          </cell>
          <cell r="AS323" t="e">
            <v>#N/A</v>
          </cell>
          <cell r="AT323" t="e">
            <v>#N/A</v>
          </cell>
          <cell r="AU323" t="e">
            <v>#N/A</v>
          </cell>
          <cell r="AV323" t="e">
            <v>#N/A</v>
          </cell>
          <cell r="AW323" t="e">
            <v>#N/A</v>
          </cell>
          <cell r="AX323" t="e">
            <v>#N/A</v>
          </cell>
          <cell r="AY323" t="e">
            <v>#N/A</v>
          </cell>
          <cell r="AZ323" t="e">
            <v>#N/A</v>
          </cell>
          <cell r="BA323" t="str">
            <v>1c</v>
          </cell>
          <cell r="BB323" t="str">
            <v>giấy cartoon</v>
          </cell>
          <cell r="BC323">
            <v>0</v>
          </cell>
          <cell r="BD323" t="e">
            <v>#N/A</v>
          </cell>
        </row>
        <row r="324">
          <cell r="A324" t="str">
            <v>sp 844</v>
          </cell>
          <cell r="B324" t="str">
            <v>Cuộn thuốc trừ sâu bemab khủng long 52WG 800 loại 10g</v>
          </cell>
          <cell r="C324">
            <v>4.0599999999999996</v>
          </cell>
          <cell r="D324">
            <v>3</v>
          </cell>
          <cell r="E324" t="str">
            <v>PET 12x620</v>
          </cell>
          <cell r="F324">
            <v>7</v>
          </cell>
          <cell r="G324" t="str">
            <v>PET</v>
          </cell>
          <cell r="H324">
            <v>0.19</v>
          </cell>
          <cell r="I324">
            <v>2.13</v>
          </cell>
          <cell r="J324">
            <v>0.01</v>
          </cell>
          <cell r="K324">
            <v>0.2</v>
          </cell>
          <cell r="L324">
            <v>0.67</v>
          </cell>
          <cell r="M324">
            <v>0.48</v>
          </cell>
          <cell r="N324">
            <v>0</v>
          </cell>
          <cell r="O324">
            <v>0</v>
          </cell>
          <cell r="P324">
            <v>0.28000000000000003</v>
          </cell>
          <cell r="Q324">
            <v>0</v>
          </cell>
          <cell r="R324">
            <v>0.1</v>
          </cell>
          <cell r="S324">
            <v>0</v>
          </cell>
          <cell r="T324">
            <v>0</v>
          </cell>
          <cell r="U324">
            <v>0</v>
          </cell>
          <cell r="V324">
            <v>0</v>
          </cell>
          <cell r="W324">
            <v>0</v>
          </cell>
          <cell r="X324">
            <v>0</v>
          </cell>
          <cell r="Y324">
            <v>0</v>
          </cell>
          <cell r="Z324">
            <v>0</v>
          </cell>
          <cell r="AA324">
            <v>0</v>
          </cell>
          <cell r="AB324">
            <v>0</v>
          </cell>
          <cell r="AC324">
            <v>0</v>
          </cell>
          <cell r="AD324">
            <v>0</v>
          </cell>
          <cell r="AE324" t="str">
            <v>Al 6x620</v>
          </cell>
          <cell r="AF324" t="str">
            <v>PE 90x630</v>
          </cell>
          <cell r="AG324">
            <v>7.3275300000000002E-2</v>
          </cell>
          <cell r="AH324">
            <v>0.93533333333333324</v>
          </cell>
          <cell r="AI324">
            <v>0.93533333333333324</v>
          </cell>
          <cell r="AJ324">
            <v>9530</v>
          </cell>
          <cell r="AK324">
            <v>9530</v>
          </cell>
          <cell r="AL324" t="str">
            <v>0,0046(0,0023;0,0023)</v>
          </cell>
          <cell r="AM324" t="str">
            <v>dạng cuộn 700m</v>
          </cell>
          <cell r="AN324">
            <v>200</v>
          </cell>
          <cell r="AO324" t="str">
            <v>Công ty Việt Thắng</v>
          </cell>
          <cell r="AP324" t="str">
            <v>F119474G6-1</v>
          </cell>
          <cell r="AQ324" t="str">
            <v>F119474G6-2</v>
          </cell>
          <cell r="AR324" t="str">
            <v>F119474G6-3</v>
          </cell>
          <cell r="AS324" t="str">
            <v>F119474G3-4</v>
          </cell>
          <cell r="AT324" t="str">
            <v>F119474-5</v>
          </cell>
          <cell r="AU324" t="str">
            <v>F119474-6</v>
          </cell>
          <cell r="AV324" t="str">
            <v>F119474G4-7</v>
          </cell>
          <cell r="AW324">
            <v>0</v>
          </cell>
          <cell r="AX324">
            <v>0</v>
          </cell>
          <cell r="AY324" t="str">
            <v>405x750</v>
          </cell>
          <cell r="AZ324" t="str">
            <v>D2</v>
          </cell>
          <cell r="BA324" t="str">
            <v>2c</v>
          </cell>
          <cell r="BB324" t="str">
            <v>giấy cartoon</v>
          </cell>
          <cell r="BC324">
            <v>0</v>
          </cell>
          <cell r="BD324">
            <v>0</v>
          </cell>
        </row>
        <row r="325">
          <cell r="A325" t="str">
            <v>sp 845</v>
          </cell>
          <cell r="B325" t="str">
            <v>Cuộn thuốc trừ sâu bemal khủng long 52WG 900 loại 15g Việt Thắng</v>
          </cell>
          <cell r="C325">
            <v>3.9000000000000004</v>
          </cell>
          <cell r="D325">
            <v>3</v>
          </cell>
          <cell r="E325" t="str">
            <v>PET 12x620</v>
          </cell>
          <cell r="F325">
            <v>7</v>
          </cell>
          <cell r="G325" t="str">
            <v>PET</v>
          </cell>
          <cell r="H325">
            <v>0.25</v>
          </cell>
          <cell r="I325">
            <v>1.95</v>
          </cell>
          <cell r="J325">
            <v>0.02</v>
          </cell>
          <cell r="K325">
            <v>0.16</v>
          </cell>
          <cell r="L325">
            <v>0.02</v>
          </cell>
          <cell r="M325">
            <v>1.27</v>
          </cell>
          <cell r="N325">
            <v>0</v>
          </cell>
          <cell r="O325">
            <v>0</v>
          </cell>
          <cell r="P325">
            <v>0.05</v>
          </cell>
          <cell r="Q325">
            <v>0</v>
          </cell>
          <cell r="R325">
            <v>0.18</v>
          </cell>
          <cell r="S325">
            <v>0</v>
          </cell>
          <cell r="T325">
            <v>0</v>
          </cell>
          <cell r="U325">
            <v>0</v>
          </cell>
          <cell r="V325">
            <v>0</v>
          </cell>
          <cell r="W325">
            <v>0</v>
          </cell>
          <cell r="X325">
            <v>0</v>
          </cell>
          <cell r="Y325">
            <v>0</v>
          </cell>
          <cell r="Z325">
            <v>0</v>
          </cell>
          <cell r="AA325">
            <v>0</v>
          </cell>
          <cell r="AB325">
            <v>0</v>
          </cell>
          <cell r="AC325">
            <v>0</v>
          </cell>
          <cell r="AD325">
            <v>0</v>
          </cell>
          <cell r="AE325" t="str">
            <v>Al 6x620</v>
          </cell>
          <cell r="AF325" t="str">
            <v>PE 95x630</v>
          </cell>
          <cell r="AG325">
            <v>7.6189050000000008E-2</v>
          </cell>
          <cell r="AH325">
            <v>0.93533333333333324</v>
          </cell>
          <cell r="AI325">
            <v>0.93533333333333324</v>
          </cell>
          <cell r="AJ325">
            <v>9530</v>
          </cell>
          <cell r="AK325">
            <v>9530</v>
          </cell>
          <cell r="AL325" t="str">
            <v>0,0046(0,0023;0,0023)</v>
          </cell>
          <cell r="AM325" t="str">
            <v>dạng cuộn 700m</v>
          </cell>
          <cell r="AN325">
            <v>200</v>
          </cell>
          <cell r="AO325" t="str">
            <v>Công ty Việt Thắng</v>
          </cell>
          <cell r="AP325" t="str">
            <v>F119474G3-1</v>
          </cell>
          <cell r="AQ325" t="str">
            <v>F119474-2</v>
          </cell>
          <cell r="AR325" t="str">
            <v>F120892-3</v>
          </cell>
          <cell r="AS325" t="str">
            <v>F120892-4</v>
          </cell>
          <cell r="AT325" t="str">
            <v>F119474-5</v>
          </cell>
          <cell r="AU325" t="str">
            <v>F119474-6</v>
          </cell>
          <cell r="AV325" t="str">
            <v>F119474-7</v>
          </cell>
          <cell r="AW325">
            <v>0</v>
          </cell>
          <cell r="AX325">
            <v>0</v>
          </cell>
          <cell r="AY325" t="str">
            <v>405x750</v>
          </cell>
          <cell r="AZ325" t="str">
            <v>D2</v>
          </cell>
          <cell r="BA325" t="str">
            <v>2c</v>
          </cell>
          <cell r="BB325" t="str">
            <v>giấy cartoon</v>
          </cell>
          <cell r="BC325">
            <v>0</v>
          </cell>
          <cell r="BD325" t="str">
            <v>in chung bộ sp 844 trừ cây Z đỏ + XD</v>
          </cell>
        </row>
        <row r="326">
          <cell r="A326" t="str">
            <v>sp 846</v>
          </cell>
          <cell r="B326" t="str">
            <v>Cuộn thuốc trừ sâu bemab khủng long 40WG loại 22g Việt Thắng</v>
          </cell>
          <cell r="C326">
            <v>5.15</v>
          </cell>
          <cell r="D326">
            <v>3</v>
          </cell>
          <cell r="E326" t="str">
            <v>PET 12x620</v>
          </cell>
          <cell r="F326">
            <v>6</v>
          </cell>
          <cell r="G326" t="str">
            <v>PET</v>
          </cell>
          <cell r="H326">
            <v>0.1</v>
          </cell>
          <cell r="I326">
            <v>2.2999999999999998</v>
          </cell>
          <cell r="J326">
            <v>0.2</v>
          </cell>
          <cell r="K326">
            <v>0.1</v>
          </cell>
          <cell r="L326">
            <v>1.25</v>
          </cell>
          <cell r="M326">
            <v>0.9</v>
          </cell>
          <cell r="N326">
            <v>0</v>
          </cell>
          <cell r="O326">
            <v>0</v>
          </cell>
          <cell r="P326">
            <v>0.3</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0</v>
          </cell>
          <cell r="AE326" t="str">
            <v>Al 6x620</v>
          </cell>
          <cell r="AF326" t="str">
            <v>PE 95x630</v>
          </cell>
          <cell r="AG326">
            <v>7.6189050000000008E-2</v>
          </cell>
          <cell r="AH326">
            <v>0.93533333333333324</v>
          </cell>
          <cell r="AI326">
            <v>0.93533333333333324</v>
          </cell>
          <cell r="AJ326">
            <v>9530</v>
          </cell>
          <cell r="AK326">
            <v>9530</v>
          </cell>
          <cell r="AL326" t="str">
            <v>0,0046(0,0023;0,0023)</v>
          </cell>
          <cell r="AM326" t="str">
            <v>dạng cuộn 700m</v>
          </cell>
          <cell r="AN326">
            <v>200</v>
          </cell>
          <cell r="AO326" t="str">
            <v>Công ty Việt Thắng</v>
          </cell>
          <cell r="AP326" t="e">
            <v>#N/A</v>
          </cell>
          <cell r="AQ326" t="e">
            <v>#N/A</v>
          </cell>
          <cell r="AR326" t="e">
            <v>#N/A</v>
          </cell>
          <cell r="AS326" t="e">
            <v>#N/A</v>
          </cell>
          <cell r="AT326" t="e">
            <v>#N/A</v>
          </cell>
          <cell r="AU326" t="e">
            <v>#N/A</v>
          </cell>
          <cell r="AV326" t="e">
            <v>#N/A</v>
          </cell>
          <cell r="AW326" t="e">
            <v>#N/A</v>
          </cell>
          <cell r="AX326" t="e">
            <v>#N/A</v>
          </cell>
          <cell r="AY326" t="e">
            <v>#N/A</v>
          </cell>
          <cell r="AZ326" t="e">
            <v>#N/A</v>
          </cell>
          <cell r="BA326" t="str">
            <v>1c</v>
          </cell>
          <cell r="BB326" t="str">
            <v>giấy cartoon</v>
          </cell>
          <cell r="BC326">
            <v>0</v>
          </cell>
          <cell r="BD326" t="e">
            <v>#N/A</v>
          </cell>
        </row>
        <row r="327">
          <cell r="A327" t="str">
            <v>sp 847</v>
          </cell>
          <cell r="B327" t="str">
            <v>Cuộn thuốc trừ sâu tasieu 2WG loại 10g Việt Thắng</v>
          </cell>
          <cell r="C327">
            <v>3.91</v>
          </cell>
          <cell r="D327">
            <v>4</v>
          </cell>
          <cell r="E327" t="str">
            <v>PET 12x740</v>
          </cell>
          <cell r="F327">
            <v>7</v>
          </cell>
          <cell r="G327" t="str">
            <v>PET</v>
          </cell>
          <cell r="H327">
            <v>0.17</v>
          </cell>
          <cell r="I327">
            <v>2.2799999999999998</v>
          </cell>
          <cell r="J327">
            <v>0.14000000000000001</v>
          </cell>
          <cell r="K327">
            <v>0.28000000000000003</v>
          </cell>
          <cell r="L327">
            <v>0.77</v>
          </cell>
          <cell r="M327">
            <v>0.18</v>
          </cell>
          <cell r="N327">
            <v>0</v>
          </cell>
          <cell r="O327">
            <v>0</v>
          </cell>
          <cell r="P327">
            <v>0.01</v>
          </cell>
          <cell r="Q327">
            <v>0</v>
          </cell>
          <cell r="R327">
            <v>0.08</v>
          </cell>
          <cell r="S327">
            <v>0</v>
          </cell>
          <cell r="T327">
            <v>0</v>
          </cell>
          <cell r="U327">
            <v>0</v>
          </cell>
          <cell r="V327">
            <v>0</v>
          </cell>
          <cell r="W327">
            <v>0</v>
          </cell>
          <cell r="X327">
            <v>0</v>
          </cell>
          <cell r="Y327">
            <v>0</v>
          </cell>
          <cell r="Z327">
            <v>0</v>
          </cell>
          <cell r="AA327">
            <v>0</v>
          </cell>
          <cell r="AB327">
            <v>0</v>
          </cell>
          <cell r="AC327">
            <v>0</v>
          </cell>
          <cell r="AD327">
            <v>0</v>
          </cell>
          <cell r="AE327" t="str">
            <v>Al 6x740</v>
          </cell>
          <cell r="AF327" t="str">
            <v>PE 95x750</v>
          </cell>
          <cell r="AG327">
            <v>8.9491900000000013E-2</v>
          </cell>
          <cell r="AH327">
            <v>1.1193333333333333</v>
          </cell>
          <cell r="AI327">
            <v>1.1193333333333333</v>
          </cell>
          <cell r="AJ327">
            <v>9530</v>
          </cell>
          <cell r="AK327">
            <v>9530</v>
          </cell>
          <cell r="AL327" t="str">
            <v>0,0046(0,0023;0,0023)</v>
          </cell>
          <cell r="AM327" t="str">
            <v>dạng cuộn 700m</v>
          </cell>
          <cell r="AN327">
            <v>180</v>
          </cell>
          <cell r="AO327" t="str">
            <v>Công ty Việt Thắng</v>
          </cell>
          <cell r="AP327" t="e">
            <v>#N/A</v>
          </cell>
          <cell r="AQ327" t="e">
            <v>#N/A</v>
          </cell>
          <cell r="AR327" t="e">
            <v>#N/A</v>
          </cell>
          <cell r="AS327" t="e">
            <v>#N/A</v>
          </cell>
          <cell r="AT327" t="e">
            <v>#N/A</v>
          </cell>
          <cell r="AU327" t="e">
            <v>#N/A</v>
          </cell>
          <cell r="AV327" t="e">
            <v>#N/A</v>
          </cell>
          <cell r="AW327" t="e">
            <v>#N/A</v>
          </cell>
          <cell r="AX327" t="e">
            <v>#N/A</v>
          </cell>
          <cell r="AY327" t="e">
            <v>#N/A</v>
          </cell>
          <cell r="AZ327" t="e">
            <v>#N/A</v>
          </cell>
          <cell r="BA327" t="str">
            <v>2c</v>
          </cell>
          <cell r="BB327" t="str">
            <v>giấy cartoon</v>
          </cell>
          <cell r="BC327">
            <v>0</v>
          </cell>
          <cell r="BD327" t="e">
            <v>#N/A</v>
          </cell>
        </row>
        <row r="328">
          <cell r="A328" t="str">
            <v>sp 848</v>
          </cell>
          <cell r="B328" t="str">
            <v>Túi trà tân cương thái nguyên 100g ấm nâu loại 6 Thanh Minh</v>
          </cell>
          <cell r="C328">
            <v>6.71</v>
          </cell>
          <cell r="D328">
            <v>3</v>
          </cell>
          <cell r="E328" t="str">
            <v>PET 12x740</v>
          </cell>
          <cell r="F328">
            <v>6</v>
          </cell>
          <cell r="G328" t="str">
            <v>PET</v>
          </cell>
          <cell r="H328">
            <v>0</v>
          </cell>
          <cell r="I328">
            <v>1.1299999999999999</v>
          </cell>
          <cell r="J328">
            <v>0.87</v>
          </cell>
          <cell r="K328">
            <v>0.01</v>
          </cell>
          <cell r="L328">
            <v>1.01</v>
          </cell>
          <cell r="M328">
            <v>1.36</v>
          </cell>
          <cell r="N328">
            <v>2.2400000000000002</v>
          </cell>
          <cell r="O328">
            <v>0.09</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t="str">
            <v>MPET 12x740</v>
          </cell>
          <cell r="AF328" t="str">
            <v>PE 75x740</v>
          </cell>
          <cell r="AG328">
            <v>7.6201500000000005E-2</v>
          </cell>
          <cell r="AH328">
            <v>1.1193333333333333</v>
          </cell>
          <cell r="AI328">
            <v>1.46</v>
          </cell>
          <cell r="AJ328">
            <v>9530</v>
          </cell>
          <cell r="AK328">
            <v>9530</v>
          </cell>
          <cell r="AL328" t="str">
            <v>0,0053(0,0023;0,003)</v>
          </cell>
          <cell r="AM328" t="str">
            <v>túi hàn lưng xếp hông</v>
          </cell>
          <cell r="AN328">
            <v>270</v>
          </cell>
          <cell r="AO328" t="str">
            <v>Công ty Thanh Minh</v>
          </cell>
          <cell r="AP328" t="e">
            <v>#N/A</v>
          </cell>
          <cell r="AQ328" t="e">
            <v>#N/A</v>
          </cell>
          <cell r="AR328" t="e">
            <v>#N/A</v>
          </cell>
          <cell r="AS328" t="e">
            <v>#N/A</v>
          </cell>
          <cell r="AT328" t="e">
            <v>#N/A</v>
          </cell>
          <cell r="AU328" t="e">
            <v>#N/A</v>
          </cell>
          <cell r="AV328" t="e">
            <v>#N/A</v>
          </cell>
          <cell r="AW328" t="e">
            <v>#N/A</v>
          </cell>
          <cell r="AX328" t="e">
            <v>#N/A</v>
          </cell>
          <cell r="AY328" t="e">
            <v>#N/A</v>
          </cell>
          <cell r="AZ328" t="e">
            <v>#N/A</v>
          </cell>
          <cell r="BA328">
            <v>3000</v>
          </cell>
          <cell r="BB328" t="str">
            <v>Thùng 5 lớp 43x35,5x25,5 Thanh Minh</v>
          </cell>
          <cell r="BC328">
            <v>0</v>
          </cell>
          <cell r="BD328" t="e">
            <v>#N/A</v>
          </cell>
        </row>
        <row r="329">
          <cell r="A329" t="str">
            <v>sp 849</v>
          </cell>
          <cell r="B329" t="str">
            <v>Cuộn màng không in ghép nhôm khổ 600</v>
          </cell>
          <cell r="C329">
            <v>0</v>
          </cell>
          <cell r="D329">
            <v>1</v>
          </cell>
          <cell r="E329" t="str">
            <v>PET mt 12x620</v>
          </cell>
          <cell r="F329">
            <v>0</v>
          </cell>
          <cell r="G329" t="str">
            <v>PET</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t="str">
            <v>Al 6x620</v>
          </cell>
          <cell r="AF329" t="str">
            <v>PE 75x630</v>
          </cell>
          <cell r="AG329">
            <v>6.3509700000000002E-2</v>
          </cell>
          <cell r="AH329">
            <v>0.93533333333333324</v>
          </cell>
          <cell r="AI329">
            <v>1.22</v>
          </cell>
          <cell r="AJ329">
            <v>9530</v>
          </cell>
          <cell r="AK329">
            <v>9530</v>
          </cell>
          <cell r="AL329" t="str">
            <v>0,0053(0,0023;0,003)</v>
          </cell>
          <cell r="AM329" t="str">
            <v>dạng cuộn 1500m</v>
          </cell>
          <cell r="AN329">
            <v>600</v>
          </cell>
          <cell r="AO329" t="str">
            <v>Công ty Proline</v>
          </cell>
          <cell r="AP329" t="e">
            <v>#N/A</v>
          </cell>
          <cell r="AQ329" t="e">
            <v>#N/A</v>
          </cell>
          <cell r="AR329" t="e">
            <v>#N/A</v>
          </cell>
          <cell r="AS329" t="e">
            <v>#N/A</v>
          </cell>
          <cell r="AT329" t="e">
            <v>#N/A</v>
          </cell>
          <cell r="AU329" t="e">
            <v>#N/A</v>
          </cell>
          <cell r="AV329" t="e">
            <v>#N/A</v>
          </cell>
          <cell r="AW329" t="e">
            <v>#N/A</v>
          </cell>
          <cell r="AX329" t="e">
            <v>#N/A</v>
          </cell>
          <cell r="AY329" t="e">
            <v>#N/A</v>
          </cell>
          <cell r="AZ329" t="e">
            <v>#N/A</v>
          </cell>
          <cell r="BA329" t="str">
            <v>1c</v>
          </cell>
          <cell r="BB329" t="str">
            <v>giấy cartoon</v>
          </cell>
          <cell r="BC329">
            <v>0</v>
          </cell>
          <cell r="BD329" t="e">
            <v>#N/A</v>
          </cell>
        </row>
        <row r="330">
          <cell r="A330" t="str">
            <v>sp 850</v>
          </cell>
          <cell r="B330" t="str">
            <v>Túi trà đặc sản thái nguyên loại 7 Thanh Minh</v>
          </cell>
          <cell r="C330">
            <v>7.8000000000000007</v>
          </cell>
          <cell r="D330">
            <v>2</v>
          </cell>
          <cell r="E330" t="str">
            <v>PET 12x620</v>
          </cell>
          <cell r="F330">
            <v>5</v>
          </cell>
          <cell r="G330" t="str">
            <v>PET</v>
          </cell>
          <cell r="H330">
            <v>0</v>
          </cell>
          <cell r="I330">
            <v>1</v>
          </cell>
          <cell r="J330">
            <v>1</v>
          </cell>
          <cell r="K330">
            <v>0.1</v>
          </cell>
          <cell r="L330">
            <v>2.2000000000000002</v>
          </cell>
          <cell r="M330">
            <v>0</v>
          </cell>
          <cell r="N330">
            <v>3.5</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t="str">
            <v>MPET 12x620</v>
          </cell>
          <cell r="AF330" t="str">
            <v>PE75x620</v>
          </cell>
          <cell r="AG330">
            <v>6.3844500000000012E-2</v>
          </cell>
          <cell r="AH330">
            <v>0.93533333333333324</v>
          </cell>
          <cell r="AI330">
            <v>1.22</v>
          </cell>
          <cell r="AJ330">
            <v>9530</v>
          </cell>
          <cell r="AK330">
            <v>9530</v>
          </cell>
          <cell r="AL330" t="str">
            <v>0,0053(0,0023;0,003)</v>
          </cell>
          <cell r="AM330" t="str">
            <v>túi hàn lưng xếp hông</v>
          </cell>
          <cell r="AN330">
            <v>335</v>
          </cell>
          <cell r="AO330" t="str">
            <v>Công ty Thanh Minh</v>
          </cell>
          <cell r="AP330" t="e">
            <v>#N/A</v>
          </cell>
          <cell r="AQ330" t="e">
            <v>#N/A</v>
          </cell>
          <cell r="AR330" t="e">
            <v>#N/A</v>
          </cell>
          <cell r="AS330" t="e">
            <v>#N/A</v>
          </cell>
          <cell r="AT330" t="e">
            <v>#N/A</v>
          </cell>
          <cell r="AU330" t="e">
            <v>#N/A</v>
          </cell>
          <cell r="AV330" t="e">
            <v>#N/A</v>
          </cell>
          <cell r="AW330" t="e">
            <v>#N/A</v>
          </cell>
          <cell r="AX330" t="e">
            <v>#N/A</v>
          </cell>
          <cell r="AY330" t="e">
            <v>#N/A</v>
          </cell>
          <cell r="AZ330" t="e">
            <v>#N/A</v>
          </cell>
          <cell r="BA330">
            <v>2000</v>
          </cell>
          <cell r="BB330" t="str">
            <v>Thùng 5 lớp 43x35,5x25,5 Thanh Minh</v>
          </cell>
          <cell r="BC330">
            <v>0</v>
          </cell>
          <cell r="BD330" t="e">
            <v>#N/A</v>
          </cell>
        </row>
        <row r="331">
          <cell r="A331" t="str">
            <v>sp 851</v>
          </cell>
          <cell r="B331" t="str">
            <v xml:space="preserve">Túi miến lẩu đặc biệt bản xèo 500g </v>
          </cell>
          <cell r="C331">
            <v>4.3000000000000007</v>
          </cell>
          <cell r="D331">
            <v>1</v>
          </cell>
          <cell r="E331" t="str">
            <v>PA 15x490</v>
          </cell>
          <cell r="F331">
            <v>5</v>
          </cell>
          <cell r="G331" t="str">
            <v xml:space="preserve">PA </v>
          </cell>
          <cell r="H331">
            <v>0</v>
          </cell>
          <cell r="I331">
            <v>1.7</v>
          </cell>
          <cell r="J331">
            <v>0.4</v>
          </cell>
          <cell r="K331">
            <v>0.6</v>
          </cell>
          <cell r="L331">
            <v>1.1000000000000001</v>
          </cell>
          <cell r="M331">
            <v>0.5</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t="str">
            <v>PE 80x490</v>
          </cell>
          <cell r="AF331">
            <v>0</v>
          </cell>
          <cell r="AG331">
            <v>4.4712500000000002E-2</v>
          </cell>
          <cell r="AH331">
            <v>0.73599999999999988</v>
          </cell>
          <cell r="AI331">
            <v>0</v>
          </cell>
          <cell r="AJ331">
            <v>9530</v>
          </cell>
          <cell r="AK331">
            <v>0</v>
          </cell>
          <cell r="AL331">
            <v>2.3E-3</v>
          </cell>
          <cell r="AM331" t="str">
            <v>túi hàn lưng xếp hông</v>
          </cell>
          <cell r="AN331">
            <v>350</v>
          </cell>
          <cell r="AO331" t="str">
            <v>Công ty Thanh Sơn</v>
          </cell>
          <cell r="AP331" t="str">
            <v>17121376-1</v>
          </cell>
          <cell r="AQ331" t="str">
            <v>17121376-2</v>
          </cell>
          <cell r="AR331" t="str">
            <v>17121376-3</v>
          </cell>
          <cell r="AS331" t="str">
            <v>17121376-4</v>
          </cell>
          <cell r="AT331" t="str">
            <v>17121376-5</v>
          </cell>
          <cell r="AU331">
            <v>0</v>
          </cell>
          <cell r="AV331">
            <v>0</v>
          </cell>
          <cell r="AW331">
            <v>0</v>
          </cell>
          <cell r="AX331">
            <v>0</v>
          </cell>
          <cell r="AY331" t="str">
            <v>700x750</v>
          </cell>
          <cell r="AZ331" t="str">
            <v>P1</v>
          </cell>
          <cell r="BA331">
            <v>3000</v>
          </cell>
          <cell r="BB331" t="str">
            <v>đóng bao lót nilong</v>
          </cell>
          <cell r="BC331">
            <v>0</v>
          </cell>
          <cell r="BD331">
            <v>0</v>
          </cell>
        </row>
        <row r="332">
          <cell r="A332" t="str">
            <v>sp 852</v>
          </cell>
          <cell r="B332" t="str">
            <v>Cuộn màng không in ghép nhôm khổ 880 proline</v>
          </cell>
          <cell r="C332">
            <v>0</v>
          </cell>
          <cell r="D332">
            <v>1</v>
          </cell>
          <cell r="E332" t="str">
            <v>PET mt 12x900</v>
          </cell>
          <cell r="F332">
            <v>0</v>
          </cell>
          <cell r="G332" t="str">
            <v>PET</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t="str">
            <v>Al 6x900</v>
          </cell>
          <cell r="AF332" t="str">
            <v>PE 75x910</v>
          </cell>
          <cell r="AG332">
            <v>9.2191499999999996E-2</v>
          </cell>
          <cell r="AH332">
            <v>1.3646666666666665</v>
          </cell>
          <cell r="AI332">
            <v>1.78</v>
          </cell>
          <cell r="AJ332">
            <v>9530</v>
          </cell>
          <cell r="AK332">
            <v>9530</v>
          </cell>
          <cell r="AL332" t="str">
            <v>0,0053(0,0023;0,003)</v>
          </cell>
          <cell r="AM332" t="str">
            <v>dạng cuộn 1500m</v>
          </cell>
          <cell r="AN332">
            <v>880</v>
          </cell>
          <cell r="AO332" t="str">
            <v>Công ty Proline</v>
          </cell>
          <cell r="AP332" t="e">
            <v>#N/A</v>
          </cell>
          <cell r="AQ332" t="e">
            <v>#N/A</v>
          </cell>
          <cell r="AR332" t="e">
            <v>#N/A</v>
          </cell>
          <cell r="AS332" t="e">
            <v>#N/A</v>
          </cell>
          <cell r="AT332" t="e">
            <v>#N/A</v>
          </cell>
          <cell r="AU332" t="e">
            <v>#N/A</v>
          </cell>
          <cell r="AV332" t="e">
            <v>#N/A</v>
          </cell>
          <cell r="AW332" t="e">
            <v>#N/A</v>
          </cell>
          <cell r="AX332" t="e">
            <v>#N/A</v>
          </cell>
          <cell r="AY332" t="e">
            <v>#N/A</v>
          </cell>
          <cell r="AZ332" t="e">
            <v>#N/A</v>
          </cell>
          <cell r="BA332" t="str">
            <v>1c</v>
          </cell>
          <cell r="BB332" t="str">
            <v>giấy cartoon</v>
          </cell>
          <cell r="BC332">
            <v>0</v>
          </cell>
          <cell r="BD332" t="e">
            <v>#N/A</v>
          </cell>
        </row>
        <row r="333">
          <cell r="A333" t="str">
            <v>sp 853</v>
          </cell>
          <cell r="B333" t="str">
            <v>Túi thuốc trừ sâu goldsai hiệu metalaxyl 350WP loại 250g USA</v>
          </cell>
          <cell r="C333">
            <v>6.1999999999999993</v>
          </cell>
          <cell r="D333">
            <v>1</v>
          </cell>
          <cell r="E333" t="str">
            <v>PET 12x660</v>
          </cell>
          <cell r="F333">
            <v>7</v>
          </cell>
          <cell r="G333" t="str">
            <v>PET</v>
          </cell>
          <cell r="H333">
            <v>0.1</v>
          </cell>
          <cell r="I333">
            <v>2.9</v>
          </cell>
          <cell r="J333">
            <v>1</v>
          </cell>
          <cell r="K333">
            <v>0.1</v>
          </cell>
          <cell r="L333">
            <v>0.9</v>
          </cell>
          <cell r="M333">
            <v>1</v>
          </cell>
          <cell r="N333">
            <v>0</v>
          </cell>
          <cell r="O333">
            <v>0</v>
          </cell>
          <cell r="P333">
            <v>0.1</v>
          </cell>
          <cell r="Q333">
            <v>0</v>
          </cell>
          <cell r="R333">
            <v>0.1</v>
          </cell>
          <cell r="S333">
            <v>0</v>
          </cell>
          <cell r="T333">
            <v>0</v>
          </cell>
          <cell r="U333">
            <v>0</v>
          </cell>
          <cell r="V333">
            <v>0</v>
          </cell>
          <cell r="W333">
            <v>0</v>
          </cell>
          <cell r="X333">
            <v>0</v>
          </cell>
          <cell r="Y333">
            <v>0</v>
          </cell>
          <cell r="Z333">
            <v>0</v>
          </cell>
          <cell r="AA333">
            <v>0</v>
          </cell>
          <cell r="AB333">
            <v>0</v>
          </cell>
          <cell r="AC333">
            <v>0</v>
          </cell>
          <cell r="AD333">
            <v>0</v>
          </cell>
          <cell r="AE333" t="str">
            <v>MPET 12x660</v>
          </cell>
          <cell r="AF333" t="str">
            <v>PE 75x660</v>
          </cell>
          <cell r="AG333">
            <v>6.796350000000001E-2</v>
          </cell>
          <cell r="AH333">
            <v>0.99666666666666659</v>
          </cell>
          <cell r="AI333">
            <v>0.99666666666666659</v>
          </cell>
          <cell r="AJ333">
            <v>9530</v>
          </cell>
          <cell r="AK333">
            <v>9530</v>
          </cell>
          <cell r="AL333" t="str">
            <v>0,0046(0,0023;0,0023)</v>
          </cell>
          <cell r="AM333" t="str">
            <v>túi ba biên</v>
          </cell>
          <cell r="AN333">
            <v>220</v>
          </cell>
          <cell r="AO333" t="str">
            <v>Công ty USA</v>
          </cell>
          <cell r="AP333" t="str">
            <v>20072047-1</v>
          </cell>
          <cell r="AQ333" t="str">
            <v>20072047-2</v>
          </cell>
          <cell r="AR333" t="str">
            <v>20072047-3</v>
          </cell>
          <cell r="AS333" t="str">
            <v>1801210-4</v>
          </cell>
          <cell r="AT333" t="str">
            <v>20070247-5</v>
          </cell>
          <cell r="AU333" t="str">
            <v>20070247-6</v>
          </cell>
          <cell r="AV333" t="str">
            <v>1801210-7</v>
          </cell>
          <cell r="AW333">
            <v>0</v>
          </cell>
          <cell r="AX333">
            <v>0</v>
          </cell>
          <cell r="AY333" t="str">
            <v>440x750</v>
          </cell>
          <cell r="AZ333" t="str">
            <v>P1</v>
          </cell>
          <cell r="BA333">
            <v>2000</v>
          </cell>
          <cell r="BB333" t="str">
            <v>Thùng 5 lớp 42x34x36</v>
          </cell>
          <cell r="BC333">
            <v>0</v>
          </cell>
          <cell r="BD333">
            <v>0</v>
          </cell>
        </row>
        <row r="334">
          <cell r="A334" t="str">
            <v>sp 854</v>
          </cell>
          <cell r="B334" t="str">
            <v>Túi thuốc trừ sâu goldsai hiệu metalaxyl 350WP loại 18g USA</v>
          </cell>
          <cell r="C334">
            <v>5.1499999999999995</v>
          </cell>
          <cell r="D334">
            <v>3</v>
          </cell>
          <cell r="E334" t="str">
            <v>PET 12x680</v>
          </cell>
          <cell r="F334">
            <v>7</v>
          </cell>
          <cell r="G334" t="str">
            <v>PET</v>
          </cell>
          <cell r="H334">
            <v>0.15</v>
          </cell>
          <cell r="I334">
            <v>2.1</v>
          </cell>
          <cell r="J334">
            <v>0.4</v>
          </cell>
          <cell r="K334">
            <v>0.5</v>
          </cell>
          <cell r="L334">
            <v>0.8</v>
          </cell>
          <cell r="M334">
            <v>1</v>
          </cell>
          <cell r="N334">
            <v>0</v>
          </cell>
          <cell r="O334">
            <v>0</v>
          </cell>
          <cell r="P334">
            <v>0.1</v>
          </cell>
          <cell r="Q334">
            <v>0</v>
          </cell>
          <cell r="R334">
            <v>0.1</v>
          </cell>
          <cell r="S334">
            <v>0</v>
          </cell>
          <cell r="T334">
            <v>0</v>
          </cell>
          <cell r="U334">
            <v>0</v>
          </cell>
          <cell r="V334">
            <v>0</v>
          </cell>
          <cell r="W334">
            <v>0</v>
          </cell>
          <cell r="X334">
            <v>0</v>
          </cell>
          <cell r="Y334">
            <v>0</v>
          </cell>
          <cell r="Z334">
            <v>0</v>
          </cell>
          <cell r="AA334">
            <v>0</v>
          </cell>
          <cell r="AB334">
            <v>0</v>
          </cell>
          <cell r="AC334">
            <v>0</v>
          </cell>
          <cell r="AD334">
            <v>0</v>
          </cell>
          <cell r="AE334" t="str">
            <v>MPET 12x680</v>
          </cell>
          <cell r="AF334" t="str">
            <v>PE75x680</v>
          </cell>
          <cell r="AG334">
            <v>7.0023000000000016E-2</v>
          </cell>
          <cell r="AH334">
            <v>1.0273333333333332</v>
          </cell>
          <cell r="AI334">
            <v>1.0273333333333332</v>
          </cell>
          <cell r="AJ334">
            <v>9530</v>
          </cell>
          <cell r="AK334">
            <v>9530</v>
          </cell>
          <cell r="AL334" t="str">
            <v>0,0046(0,0023;0,0023)</v>
          </cell>
          <cell r="AM334" t="str">
            <v>túi ba biên</v>
          </cell>
          <cell r="AN334">
            <v>145</v>
          </cell>
          <cell r="AO334" t="str">
            <v>Công ty USA</v>
          </cell>
          <cell r="AP334" t="e">
            <v>#N/A</v>
          </cell>
          <cell r="AQ334" t="e">
            <v>#N/A</v>
          </cell>
          <cell r="AR334" t="e">
            <v>#N/A</v>
          </cell>
          <cell r="AS334" t="e">
            <v>#N/A</v>
          </cell>
          <cell r="AT334" t="e">
            <v>#N/A</v>
          </cell>
          <cell r="AU334" t="e">
            <v>#N/A</v>
          </cell>
          <cell r="AV334" t="e">
            <v>#N/A</v>
          </cell>
          <cell r="AW334" t="e">
            <v>#N/A</v>
          </cell>
          <cell r="AX334" t="e">
            <v>#N/A</v>
          </cell>
          <cell r="AY334" t="e">
            <v>#N/A</v>
          </cell>
          <cell r="AZ334" t="e">
            <v>#N/A</v>
          </cell>
          <cell r="BA334">
            <v>10000</v>
          </cell>
          <cell r="BB334" t="str">
            <v>Thùng 5 lớp 42x34x36</v>
          </cell>
          <cell r="BC334">
            <v>0</v>
          </cell>
          <cell r="BD334" t="e">
            <v>#N/A</v>
          </cell>
        </row>
        <row r="335">
          <cell r="A335" t="str">
            <v>sp 855</v>
          </cell>
          <cell r="B335" t="str">
            <v>Túi chè lụa trắng tân cương và đặc sản 200g loại 5</v>
          </cell>
          <cell r="C335">
            <v>8.27</v>
          </cell>
          <cell r="D335">
            <v>3</v>
          </cell>
          <cell r="E335" t="str">
            <v>OPP mờ 20x920</v>
          </cell>
          <cell r="F335">
            <v>7</v>
          </cell>
          <cell r="G335" t="str">
            <v>OPP</v>
          </cell>
          <cell r="H335">
            <v>0.01</v>
          </cell>
          <cell r="I335">
            <v>4.53</v>
          </cell>
          <cell r="J335">
            <v>1.24</v>
          </cell>
          <cell r="K335">
            <v>0.01</v>
          </cell>
          <cell r="L335">
            <v>0.55000000000000004</v>
          </cell>
          <cell r="M335">
            <v>0.55000000000000004</v>
          </cell>
          <cell r="N335">
            <v>1.38</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t="str">
            <v>MPET 12x920</v>
          </cell>
          <cell r="AF335" t="str">
            <v>PE 75x920</v>
          </cell>
          <cell r="AG335">
            <v>9.6025000000000013E-2</v>
          </cell>
          <cell r="AH335">
            <v>1.3953333333333333</v>
          </cell>
          <cell r="AI335">
            <v>1.82</v>
          </cell>
          <cell r="AJ335">
            <v>9530</v>
          </cell>
          <cell r="AK335">
            <v>9530</v>
          </cell>
          <cell r="AL335" t="str">
            <v>0,0053(0,0023;0,003)</v>
          </cell>
          <cell r="AM335" t="str">
            <v>túi hàn lưng xếp hông</v>
          </cell>
          <cell r="AN335">
            <v>340</v>
          </cell>
          <cell r="AO335" t="str">
            <v>Khách hàng lẻ</v>
          </cell>
          <cell r="AP335" t="str">
            <v>1607496-1</v>
          </cell>
          <cell r="AQ335" t="str">
            <v>1607496-2</v>
          </cell>
          <cell r="AR335" t="str">
            <v>1607496-3</v>
          </cell>
          <cell r="AS335" t="str">
            <v>1607496-4</v>
          </cell>
          <cell r="AT335" t="str">
            <v>1607496-5</v>
          </cell>
          <cell r="AU335" t="str">
            <v>1607496-6</v>
          </cell>
          <cell r="AV335" t="str">
            <v>1607496-7</v>
          </cell>
          <cell r="AW335">
            <v>0</v>
          </cell>
          <cell r="AX335">
            <v>0</v>
          </cell>
          <cell r="AY335" t="str">
            <v>680x1100</v>
          </cell>
          <cell r="AZ335" t="str">
            <v>F1</v>
          </cell>
          <cell r="BA335">
            <v>2500</v>
          </cell>
          <cell r="BB335" t="str">
            <v>Thùng 5 lớp 42x34x36</v>
          </cell>
          <cell r="BC335">
            <v>0</v>
          </cell>
          <cell r="BD335" t="str">
            <v>in chung vs sp 567</v>
          </cell>
        </row>
        <row r="336">
          <cell r="A336" t="str">
            <v>sp 856</v>
          </cell>
          <cell r="B336" t="str">
            <v>Túi chè lụa trắng tân cương và đặc sản 500g loại 5</v>
          </cell>
          <cell r="C336">
            <v>9.6000000000000014</v>
          </cell>
          <cell r="D336">
            <v>2</v>
          </cell>
          <cell r="E336" t="str">
            <v>OPP mờ 20x760</v>
          </cell>
          <cell r="F336">
            <v>7</v>
          </cell>
          <cell r="G336" t="str">
            <v>OPP</v>
          </cell>
          <cell r="H336">
            <v>0.2</v>
          </cell>
          <cell r="I336">
            <v>5</v>
          </cell>
          <cell r="J336">
            <v>0.5</v>
          </cell>
          <cell r="K336">
            <v>0.1</v>
          </cell>
          <cell r="L336">
            <v>2</v>
          </cell>
          <cell r="M336">
            <v>1.5</v>
          </cell>
          <cell r="N336">
            <v>0</v>
          </cell>
          <cell r="O336">
            <v>0</v>
          </cell>
          <cell r="P336">
            <v>0</v>
          </cell>
          <cell r="Q336">
            <v>0</v>
          </cell>
          <cell r="R336">
            <v>0</v>
          </cell>
          <cell r="S336">
            <v>0.3</v>
          </cell>
          <cell r="T336">
            <v>0</v>
          </cell>
          <cell r="U336">
            <v>0</v>
          </cell>
          <cell r="V336">
            <v>0</v>
          </cell>
          <cell r="W336">
            <v>0</v>
          </cell>
          <cell r="X336">
            <v>0</v>
          </cell>
          <cell r="Y336">
            <v>0</v>
          </cell>
          <cell r="Z336">
            <v>0</v>
          </cell>
          <cell r="AA336">
            <v>0</v>
          </cell>
          <cell r="AB336">
            <v>0</v>
          </cell>
          <cell r="AC336">
            <v>0</v>
          </cell>
          <cell r="AD336">
            <v>0</v>
          </cell>
          <cell r="AE336" t="str">
            <v>MPET 12x760</v>
          </cell>
          <cell r="AF336" t="str">
            <v>PE 75x760</v>
          </cell>
          <cell r="AG336">
            <v>7.9325000000000007E-2</v>
          </cell>
          <cell r="AH336">
            <v>1.1499999999999999</v>
          </cell>
          <cell r="AI336">
            <v>1.5</v>
          </cell>
          <cell r="AJ336">
            <v>9530</v>
          </cell>
          <cell r="AK336">
            <v>9530</v>
          </cell>
          <cell r="AL336" t="str">
            <v>0,0053(0,0023;0,003)</v>
          </cell>
          <cell r="AM336" t="str">
            <v>túi hàn lưng xếp hông</v>
          </cell>
          <cell r="AN336">
            <v>420</v>
          </cell>
          <cell r="AO336" t="str">
            <v>Khách hàng lẻ</v>
          </cell>
          <cell r="AP336" t="str">
            <v>1607497-1</v>
          </cell>
          <cell r="AQ336" t="str">
            <v>1607497-2</v>
          </cell>
          <cell r="AR336" t="str">
            <v>1607497-3</v>
          </cell>
          <cell r="AS336" t="str">
            <v>1607497-4</v>
          </cell>
          <cell r="AT336" t="str">
            <v>1607497-5</v>
          </cell>
          <cell r="AU336" t="str">
            <v>1607497-6</v>
          </cell>
          <cell r="AV336" t="str">
            <v>1607497-7</v>
          </cell>
          <cell r="AW336">
            <v>0</v>
          </cell>
          <cell r="AX336">
            <v>0</v>
          </cell>
          <cell r="AY336" t="str">
            <v>420x850</v>
          </cell>
          <cell r="AZ336" t="str">
            <v>F1</v>
          </cell>
          <cell r="BA336">
            <v>2500</v>
          </cell>
          <cell r="BB336" t="str">
            <v>Thùng 5 lớp 42x34x36</v>
          </cell>
          <cell r="BC336">
            <v>0</v>
          </cell>
          <cell r="BD336" t="str">
            <v>in chung vs sp 568</v>
          </cell>
        </row>
        <row r="337">
          <cell r="A337" t="str">
            <v>sp 857</v>
          </cell>
          <cell r="B337" t="str">
            <v>Cuộn in 1 màu Nhật Nguyệt</v>
          </cell>
          <cell r="C337">
            <v>0.1</v>
          </cell>
          <cell r="D337">
            <v>2</v>
          </cell>
          <cell r="E337" t="str">
            <v>PET 12x740</v>
          </cell>
          <cell r="F337">
            <v>1</v>
          </cell>
          <cell r="G337" t="str">
            <v>PET</v>
          </cell>
          <cell r="H337">
            <v>0.1</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t="str">
            <v>CPP 35x740</v>
          </cell>
          <cell r="AF337">
            <v>0</v>
          </cell>
          <cell r="AG337">
            <v>3.6000999999999998E-2</v>
          </cell>
          <cell r="AH337">
            <v>0.97333333333333327</v>
          </cell>
          <cell r="AI337">
            <v>0</v>
          </cell>
          <cell r="AJ337">
            <v>9530</v>
          </cell>
          <cell r="AK337">
            <v>0</v>
          </cell>
          <cell r="AL337">
            <v>2E-3</v>
          </cell>
          <cell r="AM337" t="str">
            <v>dạng cuộn 500</v>
          </cell>
          <cell r="AN337">
            <v>360</v>
          </cell>
          <cell r="AO337" t="str">
            <v>Công ty CP DVTM&amp;ĐT Nhật Nguyệt</v>
          </cell>
          <cell r="AP337" t="str">
            <v>X102176-1</v>
          </cell>
          <cell r="AQ337">
            <v>0</v>
          </cell>
          <cell r="AR337">
            <v>0</v>
          </cell>
          <cell r="AS337">
            <v>0</v>
          </cell>
          <cell r="AT337">
            <v>0</v>
          </cell>
          <cell r="AU337">
            <v>0</v>
          </cell>
          <cell r="AV337">
            <v>0</v>
          </cell>
          <cell r="AW337">
            <v>0</v>
          </cell>
          <cell r="AX337">
            <v>0</v>
          </cell>
          <cell r="AY337" t="str">
            <v>520x850</v>
          </cell>
          <cell r="AZ337" t="str">
            <v>P1</v>
          </cell>
          <cell r="BA337" t="str">
            <v>2c</v>
          </cell>
          <cell r="BB337" t="str">
            <v>giấy cartoon K800</v>
          </cell>
          <cell r="BC337">
            <v>0</v>
          </cell>
          <cell r="BD337" t="str">
            <v>in chung sản phẩm 1165</v>
          </cell>
        </row>
        <row r="338">
          <cell r="A338" t="str">
            <v>sp 858</v>
          </cell>
          <cell r="B338" t="str">
            <v>Túi bánh trứng vị bơ 200g Alpha</v>
          </cell>
          <cell r="C338">
            <v>7.7499999999999982</v>
          </cell>
          <cell r="D338">
            <v>1</v>
          </cell>
          <cell r="E338" t="str">
            <v>PET 12x550</v>
          </cell>
          <cell r="F338">
            <v>8</v>
          </cell>
          <cell r="G338" t="str">
            <v>PET</v>
          </cell>
          <cell r="H338">
            <v>0.1</v>
          </cell>
          <cell r="I338">
            <v>4.5999999999999996</v>
          </cell>
          <cell r="J338">
            <v>0.25</v>
          </cell>
          <cell r="K338">
            <v>0.25</v>
          </cell>
          <cell r="L338">
            <v>0.5</v>
          </cell>
          <cell r="M338">
            <v>1.1000000000000001</v>
          </cell>
          <cell r="N338">
            <v>0</v>
          </cell>
          <cell r="O338">
            <v>0.1</v>
          </cell>
          <cell r="P338">
            <v>0</v>
          </cell>
          <cell r="Q338">
            <v>0.05</v>
          </cell>
          <cell r="R338">
            <v>0.1</v>
          </cell>
          <cell r="S338">
            <v>0</v>
          </cell>
          <cell r="T338">
            <v>0</v>
          </cell>
          <cell r="U338">
            <v>0.7</v>
          </cell>
          <cell r="V338">
            <v>0</v>
          </cell>
          <cell r="W338">
            <v>0</v>
          </cell>
          <cell r="X338">
            <v>0</v>
          </cell>
          <cell r="Y338">
            <v>0</v>
          </cell>
          <cell r="Z338">
            <v>0</v>
          </cell>
          <cell r="AA338">
            <v>0</v>
          </cell>
          <cell r="AB338">
            <v>0</v>
          </cell>
          <cell r="AC338">
            <v>0</v>
          </cell>
          <cell r="AD338">
            <v>0</v>
          </cell>
          <cell r="AE338" t="str">
            <v>PE 65x550</v>
          </cell>
          <cell r="AF338">
            <v>0</v>
          </cell>
          <cell r="AG338">
            <v>4.2308750000000006E-2</v>
          </cell>
          <cell r="AH338">
            <v>1.242</v>
          </cell>
          <cell r="AI338">
            <v>0</v>
          </cell>
          <cell r="AJ338">
            <v>9690</v>
          </cell>
          <cell r="AK338">
            <v>0</v>
          </cell>
          <cell r="AL338">
            <v>2.3E-3</v>
          </cell>
          <cell r="AM338" t="str">
            <v>túi ba biên</v>
          </cell>
          <cell r="AN338">
            <v>300</v>
          </cell>
          <cell r="AO338" t="str">
            <v>Công ty Quốc tế Alpha</v>
          </cell>
          <cell r="AP338" t="str">
            <v>F119780NG2-1</v>
          </cell>
          <cell r="AQ338" t="str">
            <v>F119780-2</v>
          </cell>
          <cell r="AR338" t="str">
            <v xml:space="preserve">F119780-3 </v>
          </cell>
          <cell r="AS338" t="str">
            <v>F119780G4-4 k hanal</v>
          </cell>
          <cell r="AT338" t="str">
            <v>F119780-5</v>
          </cell>
          <cell r="AU338" t="str">
            <v>F119780-6</v>
          </cell>
          <cell r="AV338" t="str">
            <v>F119780-7</v>
          </cell>
          <cell r="AW338" t="str">
            <v>F119780-8</v>
          </cell>
          <cell r="AX338">
            <v>0</v>
          </cell>
          <cell r="AY338" t="str">
            <v>600x750</v>
          </cell>
          <cell r="AZ338" t="str">
            <v>C2</v>
          </cell>
          <cell r="BA338">
            <v>2500</v>
          </cell>
          <cell r="BB338" t="str">
            <v>Thùng 5 lớp 42x34x36</v>
          </cell>
          <cell r="BC338">
            <v>0</v>
          </cell>
          <cell r="BD338">
            <v>0</v>
          </cell>
        </row>
        <row r="339">
          <cell r="A339" t="str">
            <v>sp 859</v>
          </cell>
          <cell r="B339" t="str">
            <v>Túi bánh trứng vị bơ 300g Alpha</v>
          </cell>
          <cell r="C339">
            <v>6.6599999999999993</v>
          </cell>
          <cell r="D339">
            <v>1</v>
          </cell>
          <cell r="E339" t="str">
            <v>PET 12x660</v>
          </cell>
          <cell r="F339">
            <v>8</v>
          </cell>
          <cell r="G339" t="str">
            <v>PET</v>
          </cell>
          <cell r="H339">
            <v>0.01</v>
          </cell>
          <cell r="I339">
            <v>4.59</v>
          </cell>
          <cell r="J339">
            <v>0.1</v>
          </cell>
          <cell r="K339">
            <v>0.11</v>
          </cell>
          <cell r="L339">
            <v>0.84</v>
          </cell>
          <cell r="M339">
            <v>0.86</v>
          </cell>
          <cell r="N339">
            <v>0</v>
          </cell>
          <cell r="O339">
            <v>0.01</v>
          </cell>
          <cell r="P339">
            <v>0</v>
          </cell>
          <cell r="Q339">
            <v>0.01</v>
          </cell>
          <cell r="R339">
            <v>0.12</v>
          </cell>
          <cell r="S339">
            <v>0</v>
          </cell>
          <cell r="T339">
            <v>0</v>
          </cell>
          <cell r="U339">
            <v>0.01</v>
          </cell>
          <cell r="V339">
            <v>0</v>
          </cell>
          <cell r="W339">
            <v>0</v>
          </cell>
          <cell r="X339">
            <v>0</v>
          </cell>
          <cell r="Y339">
            <v>0</v>
          </cell>
          <cell r="Z339">
            <v>0</v>
          </cell>
          <cell r="AA339">
            <v>0</v>
          </cell>
          <cell r="AB339">
            <v>0</v>
          </cell>
          <cell r="AC339">
            <v>0</v>
          </cell>
          <cell r="AD339">
            <v>0</v>
          </cell>
          <cell r="AE339" t="str">
            <v>PE 65x660</v>
          </cell>
          <cell r="AF339">
            <v>0</v>
          </cell>
          <cell r="AG339">
            <v>4.8711300000000006E-2</v>
          </cell>
          <cell r="AH339">
            <v>1.4950000000000001</v>
          </cell>
          <cell r="AI339">
            <v>0</v>
          </cell>
          <cell r="AJ339">
            <v>9690</v>
          </cell>
          <cell r="AK339">
            <v>0</v>
          </cell>
          <cell r="AL339">
            <v>2.3E-3</v>
          </cell>
          <cell r="AM339" t="str">
            <v>túi ba biên</v>
          </cell>
          <cell r="AN339">
            <v>350</v>
          </cell>
          <cell r="AO339" t="str">
            <v>Công ty Quốc tế Alpha</v>
          </cell>
          <cell r="AP339" t="str">
            <v>F119781G6-1</v>
          </cell>
          <cell r="AQ339" t="str">
            <v>F119781NG3-2</v>
          </cell>
          <cell r="AR339" t="str">
            <v>F119781G3-3</v>
          </cell>
          <cell r="AS339" t="str">
            <v>F119781-4</v>
          </cell>
          <cell r="AT339" t="str">
            <v>F119781G5-5</v>
          </cell>
          <cell r="AU339" t="str">
            <v>F119781-6</v>
          </cell>
          <cell r="AV339" t="str">
            <v>F119781-7</v>
          </cell>
          <cell r="AW339" t="str">
            <v>F119781G5-8</v>
          </cell>
          <cell r="AX339">
            <v>0</v>
          </cell>
          <cell r="AY339" t="str">
            <v>700x750</v>
          </cell>
          <cell r="AZ339" t="str">
            <v>C2</v>
          </cell>
          <cell r="BA339">
            <v>2000</v>
          </cell>
          <cell r="BB339" t="str">
            <v>Thùng 5 lớp 42x34x36</v>
          </cell>
          <cell r="BC339">
            <v>0</v>
          </cell>
          <cell r="BD339">
            <v>0</v>
          </cell>
        </row>
        <row r="340">
          <cell r="A340" t="str">
            <v>sp 860</v>
          </cell>
          <cell r="B340" t="str">
            <v>Cuộn bánh trứng lipo bơ Alpha</v>
          </cell>
          <cell r="C340">
            <v>7.0199999999999978</v>
          </cell>
          <cell r="D340">
            <v>4</v>
          </cell>
          <cell r="E340" t="str">
            <v>OPP 20x700</v>
          </cell>
          <cell r="F340">
            <v>8</v>
          </cell>
          <cell r="G340" t="str">
            <v>OPP</v>
          </cell>
          <cell r="H340">
            <v>0.08</v>
          </cell>
          <cell r="I340">
            <v>4.84</v>
          </cell>
          <cell r="J340">
            <v>0.06</v>
          </cell>
          <cell r="K340">
            <v>0.06</v>
          </cell>
          <cell r="L340">
            <v>1.02</v>
          </cell>
          <cell r="M340">
            <v>0.62</v>
          </cell>
          <cell r="N340">
            <v>0</v>
          </cell>
          <cell r="O340">
            <v>0</v>
          </cell>
          <cell r="P340">
            <v>0.21</v>
          </cell>
          <cell r="Q340">
            <v>0.02</v>
          </cell>
          <cell r="R340">
            <v>0.01</v>
          </cell>
          <cell r="S340">
            <v>0</v>
          </cell>
          <cell r="T340">
            <v>0</v>
          </cell>
          <cell r="U340">
            <v>0.08</v>
          </cell>
          <cell r="V340">
            <v>0.01</v>
          </cell>
          <cell r="W340">
            <v>0.01</v>
          </cell>
          <cell r="X340">
            <v>0</v>
          </cell>
          <cell r="Y340">
            <v>0</v>
          </cell>
          <cell r="Z340">
            <v>0</v>
          </cell>
          <cell r="AA340">
            <v>0</v>
          </cell>
          <cell r="AB340">
            <v>0</v>
          </cell>
          <cell r="AC340">
            <v>0</v>
          </cell>
          <cell r="AD340">
            <v>0</v>
          </cell>
          <cell r="AE340" t="str">
            <v>MCPP 25x700</v>
          </cell>
          <cell r="AF340">
            <v>0</v>
          </cell>
          <cell r="AG340">
            <v>2.8665E-2</v>
          </cell>
          <cell r="AH340">
            <v>1.0579999999999998</v>
          </cell>
          <cell r="AI340">
            <v>0</v>
          </cell>
          <cell r="AJ340">
            <v>9530</v>
          </cell>
          <cell r="AK340">
            <v>0</v>
          </cell>
          <cell r="AL340">
            <v>2.3E-3</v>
          </cell>
          <cell r="AM340" t="str">
            <v>dạng cuộn 1000m</v>
          </cell>
          <cell r="AN340">
            <v>170</v>
          </cell>
          <cell r="AO340" t="str">
            <v>Công ty Quốc tế Alpha</v>
          </cell>
          <cell r="AP340" t="e">
            <v>#N/A</v>
          </cell>
          <cell r="AQ340" t="e">
            <v>#N/A</v>
          </cell>
          <cell r="AR340" t="e">
            <v>#N/A</v>
          </cell>
          <cell r="AS340" t="e">
            <v>#N/A</v>
          </cell>
          <cell r="AT340" t="e">
            <v>#N/A</v>
          </cell>
          <cell r="AU340" t="e">
            <v>#N/A</v>
          </cell>
          <cell r="AV340" t="e">
            <v>#N/A</v>
          </cell>
          <cell r="AW340" t="e">
            <v>#N/A</v>
          </cell>
          <cell r="AX340" t="e">
            <v>#N/A</v>
          </cell>
          <cell r="AY340" t="e">
            <v>#N/A</v>
          </cell>
          <cell r="AZ340" t="e">
            <v>#N/A</v>
          </cell>
          <cell r="BA340" t="str">
            <v>2c</v>
          </cell>
          <cell r="BB340" t="str">
            <v>Thùng 3 lớp 55x28x18</v>
          </cell>
          <cell r="BC340">
            <v>0</v>
          </cell>
          <cell r="BD340" t="e">
            <v>#N/A</v>
          </cell>
        </row>
        <row r="341">
          <cell r="A341" t="str">
            <v>sp 861</v>
          </cell>
          <cell r="B341" t="str">
            <v>Cuộn thuốc trừ bệnh nhật daconil 75WP loại 30g Việt Thắng</v>
          </cell>
          <cell r="C341">
            <v>4.3999999999999995</v>
          </cell>
          <cell r="D341">
            <v>2</v>
          </cell>
          <cell r="E341" t="str">
            <v>PET 12x640</v>
          </cell>
          <cell r="F341">
            <v>6</v>
          </cell>
          <cell r="G341" t="str">
            <v>PET</v>
          </cell>
          <cell r="H341">
            <v>0.1</v>
          </cell>
          <cell r="I341">
            <v>2.2999999999999998</v>
          </cell>
          <cell r="J341">
            <v>0.1</v>
          </cell>
          <cell r="K341">
            <v>0.1</v>
          </cell>
          <cell r="L341">
            <v>0.8</v>
          </cell>
          <cell r="M341">
            <v>0.3</v>
          </cell>
          <cell r="N341">
            <v>0</v>
          </cell>
          <cell r="O341">
            <v>0</v>
          </cell>
          <cell r="P341">
            <v>0.6</v>
          </cell>
          <cell r="Q341">
            <v>0</v>
          </cell>
          <cell r="R341">
            <v>0.1</v>
          </cell>
          <cell r="S341">
            <v>0</v>
          </cell>
          <cell r="T341">
            <v>0</v>
          </cell>
          <cell r="U341">
            <v>0</v>
          </cell>
          <cell r="V341">
            <v>0</v>
          </cell>
          <cell r="W341">
            <v>0</v>
          </cell>
          <cell r="X341">
            <v>0</v>
          </cell>
          <cell r="Y341">
            <v>0</v>
          </cell>
          <cell r="Z341">
            <v>0</v>
          </cell>
          <cell r="AA341">
            <v>0</v>
          </cell>
          <cell r="AB341">
            <v>0</v>
          </cell>
          <cell r="AC341">
            <v>0</v>
          </cell>
          <cell r="AD341">
            <v>0</v>
          </cell>
          <cell r="AE341" t="str">
            <v>Al 6x640</v>
          </cell>
          <cell r="AF341" t="str">
            <v>PE 95x650</v>
          </cell>
          <cell r="AG341">
            <v>7.7398400000000006E-2</v>
          </cell>
          <cell r="AH341">
            <v>0.96599999999999997</v>
          </cell>
          <cell r="AI341">
            <v>0.96599999999999997</v>
          </cell>
          <cell r="AJ341">
            <v>9530</v>
          </cell>
          <cell r="AK341">
            <v>9530</v>
          </cell>
          <cell r="AL341" t="str">
            <v>0,0046(0,0023;0,0023)</v>
          </cell>
          <cell r="AM341" t="str">
            <v>dạng cuộn 700m</v>
          </cell>
          <cell r="AN341">
            <v>310</v>
          </cell>
          <cell r="AO341" t="str">
            <v>Công ty Việt Thắng</v>
          </cell>
          <cell r="AP341" t="str">
            <v>1902335-1</v>
          </cell>
          <cell r="AQ341" t="str">
            <v>1801705-2</v>
          </cell>
          <cell r="AR341" t="str">
            <v>1801705-3</v>
          </cell>
          <cell r="AS341" t="str">
            <v>1801705-4</v>
          </cell>
          <cell r="AT341" t="str">
            <v>1801705-5</v>
          </cell>
          <cell r="AU341" t="str">
            <v>1801705-6</v>
          </cell>
          <cell r="AV341">
            <v>0</v>
          </cell>
          <cell r="AW341">
            <v>0</v>
          </cell>
          <cell r="AX341">
            <v>0</v>
          </cell>
          <cell r="AY341" t="str">
            <v>440x750</v>
          </cell>
          <cell r="AZ341" t="str">
            <v>D3</v>
          </cell>
          <cell r="BA341" t="str">
            <v>1c</v>
          </cell>
          <cell r="BB341" t="str">
            <v>giấy cartoon</v>
          </cell>
          <cell r="BC341">
            <v>0</v>
          </cell>
          <cell r="BD341">
            <v>0</v>
          </cell>
        </row>
        <row r="342">
          <cell r="A342" t="str">
            <v>sp 862</v>
          </cell>
          <cell r="B342" t="str">
            <v>Cuộn thuốc trừ sâu anvado 100WP hiệu súng máy loại 10g Việt Thắng</v>
          </cell>
          <cell r="C342">
            <v>3.8</v>
          </cell>
          <cell r="D342">
            <v>3</v>
          </cell>
          <cell r="E342" t="str">
            <v>PET 12x800</v>
          </cell>
          <cell r="F342">
            <v>6</v>
          </cell>
          <cell r="G342" t="str">
            <v>PET</v>
          </cell>
          <cell r="H342">
            <v>0.15</v>
          </cell>
          <cell r="I342">
            <v>2.1</v>
          </cell>
          <cell r="J342">
            <v>0.5</v>
          </cell>
          <cell r="K342">
            <v>0.15</v>
          </cell>
          <cell r="L342">
            <v>0.4</v>
          </cell>
          <cell r="M342">
            <v>0.4</v>
          </cell>
          <cell r="N342">
            <v>0</v>
          </cell>
          <cell r="O342">
            <v>0</v>
          </cell>
          <cell r="P342">
            <v>0</v>
          </cell>
          <cell r="Q342">
            <v>0</v>
          </cell>
          <cell r="R342">
            <v>0.1</v>
          </cell>
          <cell r="S342">
            <v>0</v>
          </cell>
          <cell r="T342">
            <v>0</v>
          </cell>
          <cell r="U342">
            <v>0</v>
          </cell>
          <cell r="V342">
            <v>0</v>
          </cell>
          <cell r="W342">
            <v>0</v>
          </cell>
          <cell r="X342">
            <v>0</v>
          </cell>
          <cell r="Y342">
            <v>0</v>
          </cell>
          <cell r="Z342">
            <v>0</v>
          </cell>
          <cell r="AA342">
            <v>0</v>
          </cell>
          <cell r="AB342">
            <v>0</v>
          </cell>
          <cell r="AC342">
            <v>0</v>
          </cell>
          <cell r="AD342">
            <v>0</v>
          </cell>
          <cell r="AE342" t="str">
            <v>Al 6x800</v>
          </cell>
          <cell r="AF342" t="str">
            <v>PE 80x810</v>
          </cell>
          <cell r="AG342">
            <v>8.5648000000000016E-2</v>
          </cell>
          <cell r="AH342">
            <v>1.2113333333333334</v>
          </cell>
          <cell r="AI342">
            <v>1.2113333333333334</v>
          </cell>
          <cell r="AJ342">
            <v>9530</v>
          </cell>
          <cell r="AK342">
            <v>9530</v>
          </cell>
          <cell r="AL342" t="str">
            <v>0,0046(0,0023;0,0023)</v>
          </cell>
          <cell r="AM342" t="str">
            <v>dạng cuộn 700m</v>
          </cell>
          <cell r="AN342">
            <v>260</v>
          </cell>
          <cell r="AO342" t="str">
            <v>Công ty Việt Thắng</v>
          </cell>
          <cell r="AP342" t="str">
            <v>1801706-1</v>
          </cell>
          <cell r="AQ342" t="str">
            <v>1801706-2</v>
          </cell>
          <cell r="AR342" t="str">
            <v>1801706-3</v>
          </cell>
          <cell r="AS342" t="str">
            <v>1801706-4</v>
          </cell>
          <cell r="AT342" t="str">
            <v>1801706-5</v>
          </cell>
          <cell r="AU342" t="str">
            <v>1801706-6</v>
          </cell>
          <cell r="AV342">
            <v>0</v>
          </cell>
          <cell r="AW342">
            <v>0</v>
          </cell>
          <cell r="AX342">
            <v>0</v>
          </cell>
          <cell r="AY342" t="str">
            <v>450x850</v>
          </cell>
          <cell r="AZ342" t="str">
            <v>D3</v>
          </cell>
          <cell r="BA342" t="str">
            <v>1c</v>
          </cell>
          <cell r="BB342" t="str">
            <v>giấy cartoon</v>
          </cell>
          <cell r="BC342">
            <v>0</v>
          </cell>
          <cell r="BD342">
            <v>0</v>
          </cell>
        </row>
        <row r="343">
          <cell r="A343" t="str">
            <v>sp 863</v>
          </cell>
          <cell r="B343" t="str">
            <v>Cuộn thuốc trừ cỏ rorax 10WP loại 6g Việt Thắng</v>
          </cell>
          <cell r="C343">
            <v>4.6499999999999995</v>
          </cell>
          <cell r="D343">
            <v>3</v>
          </cell>
          <cell r="E343" t="str">
            <v>PET 12x800</v>
          </cell>
          <cell r="F343">
            <v>6</v>
          </cell>
          <cell r="G343" t="str">
            <v>PET</v>
          </cell>
          <cell r="H343">
            <v>7.0000000000000007E-2</v>
          </cell>
          <cell r="I343">
            <v>2.78</v>
          </cell>
          <cell r="J343">
            <v>0.11</v>
          </cell>
          <cell r="K343">
            <v>0.32</v>
          </cell>
          <cell r="L343">
            <v>0.77</v>
          </cell>
          <cell r="M343">
            <v>0.56000000000000005</v>
          </cell>
          <cell r="N343">
            <v>0</v>
          </cell>
          <cell r="O343">
            <v>0.04</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t="str">
            <v>Al 6x800</v>
          </cell>
          <cell r="AF343" t="str">
            <v>PE 80x810</v>
          </cell>
          <cell r="AG343">
            <v>8.5648000000000016E-2</v>
          </cell>
          <cell r="AH343">
            <v>1.2113333333333334</v>
          </cell>
          <cell r="AI343">
            <v>1.2113333333333334</v>
          </cell>
          <cell r="AJ343">
            <v>9530</v>
          </cell>
          <cell r="AK343">
            <v>9530</v>
          </cell>
          <cell r="AL343" t="str">
            <v>0,0046(0,0023;0,0023)</v>
          </cell>
          <cell r="AM343" t="str">
            <v>dạng cuộn 700m</v>
          </cell>
          <cell r="AN343">
            <v>260</v>
          </cell>
          <cell r="AO343" t="str">
            <v>Công ty Việt Thắng</v>
          </cell>
          <cell r="AP343" t="str">
            <v>22050973-1</v>
          </cell>
          <cell r="AQ343" t="str">
            <v>1801707-2</v>
          </cell>
          <cell r="AR343" t="str">
            <v>21050948-3</v>
          </cell>
          <cell r="AS343" t="str">
            <v>1801707-4</v>
          </cell>
          <cell r="AT343" t="str">
            <v>1801707-5</v>
          </cell>
          <cell r="AU343" t="str">
            <v>1801707-6</v>
          </cell>
          <cell r="AV343">
            <v>0</v>
          </cell>
          <cell r="AW343">
            <v>0</v>
          </cell>
          <cell r="AX343">
            <v>0</v>
          </cell>
          <cell r="AY343" t="str">
            <v>450x850</v>
          </cell>
          <cell r="AZ343" t="str">
            <v>D3</v>
          </cell>
          <cell r="BA343" t="str">
            <v>1c</v>
          </cell>
          <cell r="BB343" t="str">
            <v>giấy cartoon</v>
          </cell>
          <cell r="BC343">
            <v>0</v>
          </cell>
          <cell r="BD343">
            <v>0</v>
          </cell>
        </row>
        <row r="344">
          <cell r="A344" t="str">
            <v>sp 864</v>
          </cell>
          <cell r="B344" t="str">
            <v>Túi trà đặc sản thái nguyên 200g loại 8 Thanh Minh</v>
          </cell>
          <cell r="C344">
            <v>7.8000000000000007</v>
          </cell>
          <cell r="D344">
            <v>2</v>
          </cell>
          <cell r="E344" t="str">
            <v>PET 12x620</v>
          </cell>
          <cell r="F344">
            <v>5</v>
          </cell>
          <cell r="G344" t="str">
            <v>PET</v>
          </cell>
          <cell r="H344">
            <v>0</v>
          </cell>
          <cell r="I344">
            <v>1</v>
          </cell>
          <cell r="J344">
            <v>1</v>
          </cell>
          <cell r="K344">
            <v>0.1</v>
          </cell>
          <cell r="L344">
            <v>2.2000000000000002</v>
          </cell>
          <cell r="M344">
            <v>0</v>
          </cell>
          <cell r="N344">
            <v>3.5</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t="str">
            <v>MPET 12x620</v>
          </cell>
          <cell r="AF344" t="str">
            <v>PE 75x620</v>
          </cell>
          <cell r="AG344">
            <v>6.3844500000000012E-2</v>
          </cell>
          <cell r="AH344">
            <v>0.93533333333333324</v>
          </cell>
          <cell r="AI344">
            <v>1.22</v>
          </cell>
          <cell r="AJ344">
            <v>9530</v>
          </cell>
          <cell r="AK344">
            <v>9530</v>
          </cell>
          <cell r="AL344" t="str">
            <v>0,0053(0,0023;0,003)</v>
          </cell>
          <cell r="AM344" t="str">
            <v>túi hàn lưng xếp hông</v>
          </cell>
          <cell r="AN344">
            <v>335</v>
          </cell>
          <cell r="AO344" t="str">
            <v>Công ty Thanh Minh</v>
          </cell>
          <cell r="AP344" t="e">
            <v>#N/A</v>
          </cell>
          <cell r="AQ344" t="e">
            <v>#N/A</v>
          </cell>
          <cell r="AR344" t="e">
            <v>#N/A</v>
          </cell>
          <cell r="AS344" t="e">
            <v>#N/A</v>
          </cell>
          <cell r="AT344" t="e">
            <v>#N/A</v>
          </cell>
          <cell r="AU344" t="e">
            <v>#N/A</v>
          </cell>
          <cell r="AV344" t="e">
            <v>#N/A</v>
          </cell>
          <cell r="AW344" t="e">
            <v>#N/A</v>
          </cell>
          <cell r="AX344" t="e">
            <v>#N/A</v>
          </cell>
          <cell r="AY344" t="e">
            <v>#N/A</v>
          </cell>
          <cell r="AZ344" t="e">
            <v>#N/A</v>
          </cell>
          <cell r="BA344">
            <v>2000</v>
          </cell>
          <cell r="BB344" t="str">
            <v>Thùng 5 lớp 43x35,5x25,5 Thanh Minh</v>
          </cell>
          <cell r="BC344">
            <v>0</v>
          </cell>
          <cell r="BD344" t="e">
            <v>#N/A</v>
          </cell>
        </row>
        <row r="345">
          <cell r="A345" t="str">
            <v>sp 865</v>
          </cell>
          <cell r="B345" t="str">
            <v>Cuộn bột giặt cao cấp 200g Đức Giang</v>
          </cell>
          <cell r="C345">
            <v>3.3800000000000003</v>
          </cell>
          <cell r="D345">
            <v>2</v>
          </cell>
          <cell r="E345" t="str">
            <v>PET 12x580</v>
          </cell>
          <cell r="F345">
            <v>6</v>
          </cell>
          <cell r="G345" t="str">
            <v>PET</v>
          </cell>
          <cell r="H345">
            <v>0.15</v>
          </cell>
          <cell r="I345">
            <v>0</v>
          </cell>
          <cell r="J345">
            <v>0.35</v>
          </cell>
          <cell r="K345">
            <v>0.02</v>
          </cell>
          <cell r="L345">
            <v>0.78</v>
          </cell>
          <cell r="M345">
            <v>0.1</v>
          </cell>
          <cell r="N345">
            <v>0</v>
          </cell>
          <cell r="O345">
            <v>0</v>
          </cell>
          <cell r="P345">
            <v>1.88</v>
          </cell>
          <cell r="Q345">
            <v>0</v>
          </cell>
          <cell r="R345">
            <v>0.1</v>
          </cell>
          <cell r="S345">
            <v>0</v>
          </cell>
          <cell r="T345">
            <v>0</v>
          </cell>
          <cell r="U345">
            <v>0</v>
          </cell>
          <cell r="V345">
            <v>0</v>
          </cell>
          <cell r="W345">
            <v>0</v>
          </cell>
          <cell r="X345">
            <v>0</v>
          </cell>
          <cell r="Y345">
            <v>0</v>
          </cell>
          <cell r="Z345">
            <v>0</v>
          </cell>
          <cell r="AA345">
            <v>0</v>
          </cell>
          <cell r="AB345">
            <v>0</v>
          </cell>
          <cell r="AC345">
            <v>0</v>
          </cell>
          <cell r="AD345">
            <v>0</v>
          </cell>
          <cell r="AE345" t="str">
            <v>PE sứ 60x580</v>
          </cell>
          <cell r="AF345">
            <v>0</v>
          </cell>
          <cell r="AG345">
            <v>4.1933999999999999E-2</v>
          </cell>
          <cell r="AH345">
            <v>1.1399999999999999</v>
          </cell>
          <cell r="AI345">
            <v>0</v>
          </cell>
          <cell r="AJ345">
            <v>9530</v>
          </cell>
          <cell r="AK345">
            <v>0</v>
          </cell>
          <cell r="AL345">
            <v>3.0000000000000001E-3</v>
          </cell>
          <cell r="AM345" t="str">
            <v>dạng cuộn 1000m</v>
          </cell>
          <cell r="AN345">
            <v>280</v>
          </cell>
          <cell r="AO345" t="str">
            <v>Công ty Cổ Phần Tập Đoàn Hóa Chất Đức Giang</v>
          </cell>
          <cell r="AP345" t="str">
            <v>1801917-1</v>
          </cell>
          <cell r="AQ345" t="str">
            <v>1801917-2</v>
          </cell>
          <cell r="AR345" t="str">
            <v>19041179-3</v>
          </cell>
          <cell r="AS345" t="str">
            <v>1801917-4</v>
          </cell>
          <cell r="AT345" t="str">
            <v>1801917-5</v>
          </cell>
          <cell r="AU345" t="str">
            <v>1801917-6</v>
          </cell>
          <cell r="AV345">
            <v>0</v>
          </cell>
          <cell r="AW345">
            <v>0</v>
          </cell>
          <cell r="AX345">
            <v>0</v>
          </cell>
          <cell r="AY345" t="str">
            <v>420x750</v>
          </cell>
          <cell r="AZ345" t="str">
            <v>U1</v>
          </cell>
          <cell r="BA345" t="str">
            <v>2c</v>
          </cell>
          <cell r="BB345" t="str">
            <v>giấy cartoon K600</v>
          </cell>
          <cell r="BC345">
            <v>0</v>
          </cell>
          <cell r="BD345">
            <v>0</v>
          </cell>
        </row>
        <row r="346">
          <cell r="A346" t="str">
            <v>sp 866</v>
          </cell>
          <cell r="B346" t="str">
            <v>Cuộn trà cà gai leo 5g CNC TL</v>
          </cell>
          <cell r="C346">
            <v>7.4</v>
          </cell>
          <cell r="D346">
            <v>6</v>
          </cell>
          <cell r="E346" t="str">
            <v>PET 12x740</v>
          </cell>
          <cell r="F346">
            <v>6</v>
          </cell>
          <cell r="G346" t="str">
            <v>PET</v>
          </cell>
          <cell r="H346">
            <v>0.2</v>
          </cell>
          <cell r="I346">
            <v>3</v>
          </cell>
          <cell r="J346">
            <v>0.1</v>
          </cell>
          <cell r="K346">
            <v>0.1</v>
          </cell>
          <cell r="L346">
            <v>0.8</v>
          </cell>
          <cell r="M346">
            <v>1.5</v>
          </cell>
          <cell r="N346">
            <v>0</v>
          </cell>
          <cell r="O346">
            <v>1.7</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t="str">
            <v>Al 6x740</v>
          </cell>
          <cell r="AF346" t="str">
            <v>PE 75x750</v>
          </cell>
          <cell r="AG346">
            <v>7.5801899999999992E-2</v>
          </cell>
          <cell r="AH346">
            <v>1.1193333333333333</v>
          </cell>
          <cell r="AI346">
            <v>1.46</v>
          </cell>
          <cell r="AJ346">
            <v>9530</v>
          </cell>
          <cell r="AK346">
            <v>9530</v>
          </cell>
          <cell r="AL346" t="str">
            <v>0,0053(0,0023;0,003)</v>
          </cell>
          <cell r="AM346" t="str">
            <v>dạng cuộn 500m</v>
          </cell>
          <cell r="AN346">
            <v>120</v>
          </cell>
          <cell r="AO346" t="str">
            <v>Công ty CNC Thăng Long</v>
          </cell>
          <cell r="AP346" t="str">
            <v>1801932-1</v>
          </cell>
          <cell r="AQ346" t="str">
            <v>1801932-2</v>
          </cell>
          <cell r="AR346" t="str">
            <v>1801932-3</v>
          </cell>
          <cell r="AS346" t="str">
            <v>1801932-4</v>
          </cell>
          <cell r="AT346" t="str">
            <v>1801932-5</v>
          </cell>
          <cell r="AU346" t="str">
            <v>1801932-6</v>
          </cell>
          <cell r="AV346">
            <v>0</v>
          </cell>
          <cell r="AW346">
            <v>0</v>
          </cell>
          <cell r="AX346">
            <v>0</v>
          </cell>
          <cell r="AY346" t="str">
            <v>450x850</v>
          </cell>
          <cell r="AZ346" t="str">
            <v>P1</v>
          </cell>
          <cell r="BA346" t="str">
            <v>4c</v>
          </cell>
          <cell r="BB346" t="str">
            <v>giấy cartoon K600</v>
          </cell>
          <cell r="BC346">
            <v>0</v>
          </cell>
          <cell r="BD346">
            <v>0</v>
          </cell>
        </row>
        <row r="347">
          <cell r="A347" t="str">
            <v>sp 867</v>
          </cell>
          <cell r="B347" t="str">
            <v>Cuộn bột giặt cao cấp 270g Đức Giang</v>
          </cell>
          <cell r="C347">
            <v>2.7100000000000004</v>
          </cell>
          <cell r="D347">
            <v>2</v>
          </cell>
          <cell r="E347" t="str">
            <v>PET 12x680</v>
          </cell>
          <cell r="F347">
            <v>6</v>
          </cell>
          <cell r="G347" t="str">
            <v>PET</v>
          </cell>
          <cell r="H347">
            <v>0.06</v>
          </cell>
          <cell r="I347">
            <v>0</v>
          </cell>
          <cell r="J347">
            <v>0.36</v>
          </cell>
          <cell r="K347">
            <v>0.06</v>
          </cell>
          <cell r="L347">
            <v>0.75</v>
          </cell>
          <cell r="M347">
            <v>0</v>
          </cell>
          <cell r="N347">
            <v>0</v>
          </cell>
          <cell r="O347">
            <v>0</v>
          </cell>
          <cell r="P347">
            <v>1.34</v>
          </cell>
          <cell r="Q347">
            <v>0</v>
          </cell>
          <cell r="R347">
            <v>0.14000000000000001</v>
          </cell>
          <cell r="S347">
            <v>0</v>
          </cell>
          <cell r="T347">
            <v>0</v>
          </cell>
          <cell r="U347">
            <v>0</v>
          </cell>
          <cell r="V347">
            <v>0</v>
          </cell>
          <cell r="W347">
            <v>0</v>
          </cell>
          <cell r="X347">
            <v>0</v>
          </cell>
          <cell r="Y347">
            <v>0</v>
          </cell>
          <cell r="Z347">
            <v>0</v>
          </cell>
          <cell r="AA347">
            <v>0</v>
          </cell>
          <cell r="AB347">
            <v>0</v>
          </cell>
          <cell r="AC347">
            <v>0</v>
          </cell>
          <cell r="AD347">
            <v>0</v>
          </cell>
          <cell r="AE347" t="str">
            <v>PE sứ 60x680</v>
          </cell>
          <cell r="AF347">
            <v>0</v>
          </cell>
          <cell r="AG347">
            <v>4.9164000000000006E-2</v>
          </cell>
          <cell r="AH347">
            <v>1.34</v>
          </cell>
          <cell r="AI347">
            <v>0</v>
          </cell>
          <cell r="AJ347">
            <v>9530</v>
          </cell>
          <cell r="AK347">
            <v>0</v>
          </cell>
          <cell r="AL347">
            <v>3.0000000000000001E-3</v>
          </cell>
          <cell r="AM347" t="str">
            <v>dạng cuộn 1000m</v>
          </cell>
          <cell r="AN347">
            <v>330</v>
          </cell>
          <cell r="AO347" t="str">
            <v>Công ty Cổ Phần Tập Đoàn Hóa Chất Đức Giang</v>
          </cell>
          <cell r="AP347" t="str">
            <v>18011035-1</v>
          </cell>
          <cell r="AQ347" t="str">
            <v>18011035-2</v>
          </cell>
          <cell r="AR347" t="str">
            <v>19041180-3</v>
          </cell>
          <cell r="AS347" t="str">
            <v>18011035-4</v>
          </cell>
          <cell r="AT347" t="str">
            <v>18011035-5</v>
          </cell>
          <cell r="AU347" t="str">
            <v>18011035-6</v>
          </cell>
          <cell r="AV347">
            <v>0</v>
          </cell>
          <cell r="AW347">
            <v>0</v>
          </cell>
          <cell r="AX347">
            <v>0</v>
          </cell>
          <cell r="AY347" t="str">
            <v>440x750</v>
          </cell>
          <cell r="AZ347" t="str">
            <v>U1</v>
          </cell>
          <cell r="BA347" t="str">
            <v>1c</v>
          </cell>
          <cell r="BB347" t="str">
            <v>giấy cartoon</v>
          </cell>
          <cell r="BC347">
            <v>0</v>
          </cell>
          <cell r="BD347">
            <v>0</v>
          </cell>
        </row>
        <row r="348">
          <cell r="A348" t="str">
            <v>sp 868</v>
          </cell>
          <cell r="B348" t="str">
            <v>Cuộn bột giặt cao cấp 350g Đức Giang</v>
          </cell>
          <cell r="C348">
            <v>4.34</v>
          </cell>
          <cell r="D348">
            <v>2</v>
          </cell>
          <cell r="E348" t="str">
            <v>PET 12x690</v>
          </cell>
          <cell r="F348">
            <v>6</v>
          </cell>
          <cell r="G348" t="str">
            <v>PET</v>
          </cell>
          <cell r="H348">
            <v>0.16</v>
          </cell>
          <cell r="I348">
            <v>0</v>
          </cell>
          <cell r="J348">
            <v>0.55000000000000004</v>
          </cell>
          <cell r="K348">
            <v>0.01</v>
          </cell>
          <cell r="L348">
            <v>0.82</v>
          </cell>
          <cell r="M348">
            <v>0.65</v>
          </cell>
          <cell r="N348">
            <v>0</v>
          </cell>
          <cell r="O348">
            <v>0</v>
          </cell>
          <cell r="P348">
            <v>1.88</v>
          </cell>
          <cell r="Q348">
            <v>0</v>
          </cell>
          <cell r="R348">
            <v>0.27</v>
          </cell>
          <cell r="S348">
            <v>0</v>
          </cell>
          <cell r="T348">
            <v>0</v>
          </cell>
          <cell r="U348">
            <v>0</v>
          </cell>
          <cell r="V348">
            <v>0</v>
          </cell>
          <cell r="W348">
            <v>0</v>
          </cell>
          <cell r="X348">
            <v>0</v>
          </cell>
          <cell r="Y348">
            <v>0</v>
          </cell>
          <cell r="Z348">
            <v>0</v>
          </cell>
          <cell r="AA348">
            <v>0</v>
          </cell>
          <cell r="AB348">
            <v>0</v>
          </cell>
          <cell r="AC348">
            <v>0</v>
          </cell>
          <cell r="AD348">
            <v>0</v>
          </cell>
          <cell r="AE348" t="str">
            <v>PE sứ 60x690</v>
          </cell>
          <cell r="AF348">
            <v>0</v>
          </cell>
          <cell r="AG348">
            <v>4.9887000000000001E-2</v>
          </cell>
          <cell r="AH348">
            <v>1.36</v>
          </cell>
          <cell r="AI348">
            <v>0</v>
          </cell>
          <cell r="AJ348">
            <v>9530</v>
          </cell>
          <cell r="AK348">
            <v>0</v>
          </cell>
          <cell r="AL348">
            <v>3.0000000000000001E-3</v>
          </cell>
          <cell r="AM348" t="str">
            <v>dạng cuộn 1000m</v>
          </cell>
          <cell r="AN348">
            <v>334</v>
          </cell>
          <cell r="AO348" t="str">
            <v>Công ty Cổ Phần Tập Đoàn Hóa Chất Đức Giang</v>
          </cell>
          <cell r="AP348" t="str">
            <v>18011036-1</v>
          </cell>
          <cell r="AQ348" t="str">
            <v>18011036-2</v>
          </cell>
          <cell r="AR348" t="str">
            <v>19041181-3</v>
          </cell>
          <cell r="AS348" t="str">
            <v>18011036-4</v>
          </cell>
          <cell r="AT348" t="str">
            <v>18011036-5</v>
          </cell>
          <cell r="AU348" t="str">
            <v>18011036-6</v>
          </cell>
          <cell r="AV348">
            <v>0</v>
          </cell>
          <cell r="AW348">
            <v>0</v>
          </cell>
          <cell r="AX348">
            <v>0</v>
          </cell>
          <cell r="AY348" t="str">
            <v>470x750</v>
          </cell>
          <cell r="AZ348" t="str">
            <v>U1</v>
          </cell>
          <cell r="BA348" t="str">
            <v>1c</v>
          </cell>
          <cell r="BB348" t="str">
            <v>giấy cartoon</v>
          </cell>
          <cell r="BC348">
            <v>0</v>
          </cell>
          <cell r="BD348">
            <v>0</v>
          </cell>
        </row>
        <row r="349">
          <cell r="A349" t="str">
            <v>sp 869</v>
          </cell>
          <cell r="B349" t="str">
            <v>Cuộn bột giặt cao cấp 700g Đức Giang</v>
          </cell>
          <cell r="C349">
            <v>2.5900000000000003</v>
          </cell>
          <cell r="D349">
            <v>2</v>
          </cell>
          <cell r="E349" t="str">
            <v>PET 12x900</v>
          </cell>
          <cell r="F349">
            <v>6</v>
          </cell>
          <cell r="G349" t="str">
            <v>PET</v>
          </cell>
          <cell r="H349">
            <v>0.11</v>
          </cell>
          <cell r="I349">
            <v>0</v>
          </cell>
          <cell r="J349">
            <v>0.23</v>
          </cell>
          <cell r="K349">
            <v>0.28000000000000003</v>
          </cell>
          <cell r="L349">
            <v>0.39</v>
          </cell>
          <cell r="M349">
            <v>0.08</v>
          </cell>
          <cell r="N349">
            <v>0</v>
          </cell>
          <cell r="O349">
            <v>0</v>
          </cell>
          <cell r="P349">
            <v>1.39</v>
          </cell>
          <cell r="Q349">
            <v>0</v>
          </cell>
          <cell r="R349">
            <v>0.11</v>
          </cell>
          <cell r="S349">
            <v>0</v>
          </cell>
          <cell r="T349">
            <v>0</v>
          </cell>
          <cell r="U349">
            <v>0</v>
          </cell>
          <cell r="V349">
            <v>0</v>
          </cell>
          <cell r="W349">
            <v>0</v>
          </cell>
          <cell r="X349">
            <v>0</v>
          </cell>
          <cell r="Y349">
            <v>0</v>
          </cell>
          <cell r="Z349">
            <v>0</v>
          </cell>
          <cell r="AA349">
            <v>0</v>
          </cell>
          <cell r="AB349">
            <v>0</v>
          </cell>
          <cell r="AC349">
            <v>0</v>
          </cell>
          <cell r="AD349">
            <v>0</v>
          </cell>
          <cell r="AE349" t="str">
            <v>PE sứ 70x900</v>
          </cell>
          <cell r="AF349">
            <v>0</v>
          </cell>
          <cell r="AG349">
            <v>7.3395000000000016E-2</v>
          </cell>
          <cell r="AH349">
            <v>1.78</v>
          </cell>
          <cell r="AI349">
            <v>0</v>
          </cell>
          <cell r="AJ349">
            <v>9530</v>
          </cell>
          <cell r="AK349">
            <v>0</v>
          </cell>
          <cell r="AL349">
            <v>3.0000000000000001E-3</v>
          </cell>
          <cell r="AM349" t="str">
            <v>dạng cuộn 1000m</v>
          </cell>
          <cell r="AN349">
            <v>440</v>
          </cell>
          <cell r="AO349" t="str">
            <v>Công ty Cổ Phần Tập Đoàn Hóa Chất Đức Giang</v>
          </cell>
          <cell r="AP349" t="str">
            <v>18011037-1</v>
          </cell>
          <cell r="AQ349" t="str">
            <v>18011037-2</v>
          </cell>
          <cell r="AR349" t="str">
            <v>19041182-3</v>
          </cell>
          <cell r="AS349" t="str">
            <v>18011037-4</v>
          </cell>
          <cell r="AT349" t="str">
            <v>18011037-5</v>
          </cell>
          <cell r="AU349" t="str">
            <v>18011037-6</v>
          </cell>
          <cell r="AV349">
            <v>0</v>
          </cell>
          <cell r="AW349">
            <v>0</v>
          </cell>
          <cell r="AX349">
            <v>0</v>
          </cell>
          <cell r="AY349" t="str">
            <v>544x1100</v>
          </cell>
          <cell r="AZ349" t="str">
            <v>U1</v>
          </cell>
          <cell r="BA349" t="str">
            <v>1c</v>
          </cell>
          <cell r="BB349" t="str">
            <v>giấy cartoon</v>
          </cell>
          <cell r="BC349">
            <v>0</v>
          </cell>
          <cell r="BD349">
            <v>0</v>
          </cell>
        </row>
        <row r="350">
          <cell r="A350" t="str">
            <v>sp 870</v>
          </cell>
          <cell r="B350" t="str">
            <v>Túi bột giặt cao cấp 2 kg Đức Giang</v>
          </cell>
          <cell r="C350">
            <v>3.2199999999999998</v>
          </cell>
          <cell r="D350">
            <v>1</v>
          </cell>
          <cell r="E350" t="str">
            <v>PET 12x590</v>
          </cell>
          <cell r="F350">
            <v>6</v>
          </cell>
          <cell r="G350" t="str">
            <v>PET</v>
          </cell>
          <cell r="H350">
            <v>0.08</v>
          </cell>
          <cell r="I350">
            <v>0.28999999999999998</v>
          </cell>
          <cell r="J350">
            <v>0.28000000000000003</v>
          </cell>
          <cell r="K350">
            <v>0.28000000000000003</v>
          </cell>
          <cell r="L350">
            <v>0.67</v>
          </cell>
          <cell r="M350">
            <v>0.24</v>
          </cell>
          <cell r="N350">
            <v>0</v>
          </cell>
          <cell r="O350">
            <v>0</v>
          </cell>
          <cell r="P350">
            <v>1.29</v>
          </cell>
          <cell r="Q350">
            <v>0</v>
          </cell>
          <cell r="R350">
            <v>0.09</v>
          </cell>
          <cell r="S350">
            <v>0</v>
          </cell>
          <cell r="T350">
            <v>0</v>
          </cell>
          <cell r="U350">
            <v>0</v>
          </cell>
          <cell r="V350">
            <v>0</v>
          </cell>
          <cell r="W350">
            <v>0</v>
          </cell>
          <cell r="X350">
            <v>0</v>
          </cell>
          <cell r="Y350">
            <v>0</v>
          </cell>
          <cell r="Z350">
            <v>0</v>
          </cell>
          <cell r="AA350">
            <v>0</v>
          </cell>
          <cell r="AB350">
            <v>0</v>
          </cell>
          <cell r="AC350">
            <v>0</v>
          </cell>
          <cell r="AD350">
            <v>0</v>
          </cell>
          <cell r="AE350" t="str">
            <v>PE sứ 90x590</v>
          </cell>
          <cell r="AF350">
            <v>0</v>
          </cell>
          <cell r="AG350">
            <v>5.9029499999999999E-2</v>
          </cell>
          <cell r="AH350">
            <v>1.18</v>
          </cell>
          <cell r="AI350">
            <v>0</v>
          </cell>
          <cell r="AJ350">
            <v>9530</v>
          </cell>
          <cell r="AK350">
            <v>0</v>
          </cell>
          <cell r="AL350">
            <v>3.0000000000000001E-3</v>
          </cell>
          <cell r="AM350" t="str">
            <v>túi hàn lưng xếp hông</v>
          </cell>
          <cell r="AN350">
            <v>393</v>
          </cell>
          <cell r="AO350" t="str">
            <v>Công ty Cổ Phần Tập Đoàn Hóa Chất Đức Giang</v>
          </cell>
          <cell r="AP350" t="str">
            <v>18011038-1</v>
          </cell>
          <cell r="AQ350" t="str">
            <v>18011038-2</v>
          </cell>
          <cell r="AR350" t="str">
            <v>19041183-3</v>
          </cell>
          <cell r="AS350" t="str">
            <v>18011038-4</v>
          </cell>
          <cell r="AT350" t="str">
            <v>18011038-5</v>
          </cell>
          <cell r="AU350" t="str">
            <v>18011038-6</v>
          </cell>
          <cell r="AV350">
            <v>0</v>
          </cell>
          <cell r="AW350">
            <v>0</v>
          </cell>
          <cell r="AX350">
            <v>0</v>
          </cell>
          <cell r="AY350" t="str">
            <v>786x750</v>
          </cell>
          <cell r="AZ350" t="str">
            <v>U1</v>
          </cell>
          <cell r="BA350">
            <v>1000</v>
          </cell>
          <cell r="BB350" t="str">
            <v>Thùng 42x34x36 lót nilong</v>
          </cell>
          <cell r="BC350">
            <v>0</v>
          </cell>
          <cell r="BD350">
            <v>0</v>
          </cell>
        </row>
        <row r="351">
          <cell r="A351" t="str">
            <v>sp 871</v>
          </cell>
          <cell r="B351" t="str">
            <v>Túi bột giặt cao cấp 2,5kg Đức Giang</v>
          </cell>
          <cell r="C351">
            <v>3.4799999999999995</v>
          </cell>
          <cell r="D351">
            <v>1</v>
          </cell>
          <cell r="E351" t="str">
            <v>PET 12x630</v>
          </cell>
          <cell r="F351">
            <v>6</v>
          </cell>
          <cell r="G351" t="str">
            <v>PET</v>
          </cell>
          <cell r="H351">
            <v>0.21</v>
          </cell>
          <cell r="I351">
            <v>0</v>
          </cell>
          <cell r="J351">
            <v>0.49</v>
          </cell>
          <cell r="K351">
            <v>1.04</v>
          </cell>
          <cell r="L351">
            <v>0.76</v>
          </cell>
          <cell r="M351">
            <v>0</v>
          </cell>
          <cell r="N351">
            <v>0</v>
          </cell>
          <cell r="O351">
            <v>0</v>
          </cell>
          <cell r="P351">
            <v>0.97</v>
          </cell>
          <cell r="Q351">
            <v>0</v>
          </cell>
          <cell r="R351">
            <v>0.01</v>
          </cell>
          <cell r="S351">
            <v>0</v>
          </cell>
          <cell r="T351">
            <v>0</v>
          </cell>
          <cell r="U351">
            <v>0</v>
          </cell>
          <cell r="V351">
            <v>0</v>
          </cell>
          <cell r="W351">
            <v>0</v>
          </cell>
          <cell r="X351">
            <v>0</v>
          </cell>
          <cell r="Y351">
            <v>0</v>
          </cell>
          <cell r="Z351">
            <v>0</v>
          </cell>
          <cell r="AA351">
            <v>0</v>
          </cell>
          <cell r="AB351">
            <v>0</v>
          </cell>
          <cell r="AC351">
            <v>0</v>
          </cell>
          <cell r="AD351">
            <v>0</v>
          </cell>
          <cell r="AE351" t="str">
            <v>PE sứ 90x630</v>
          </cell>
          <cell r="AF351">
            <v>0</v>
          </cell>
          <cell r="AG351">
            <v>6.3031500000000004E-2</v>
          </cell>
          <cell r="AH351">
            <v>1.24</v>
          </cell>
          <cell r="AI351">
            <v>0</v>
          </cell>
          <cell r="AJ351">
            <v>9530</v>
          </cell>
          <cell r="AK351">
            <v>0</v>
          </cell>
          <cell r="AL351">
            <v>3.0000000000000001E-3</v>
          </cell>
          <cell r="AM351" t="str">
            <v>túi hàn lưng xếp hông</v>
          </cell>
          <cell r="AN351">
            <v>415</v>
          </cell>
          <cell r="AO351" t="str">
            <v>Công ty Cổ Phần Tập Đoàn Hóa Chất Đức Giang</v>
          </cell>
          <cell r="AP351" t="str">
            <v>18011039-1</v>
          </cell>
          <cell r="AQ351" t="str">
            <v>18011039-2</v>
          </cell>
          <cell r="AR351" t="str">
            <v>19041184-3</v>
          </cell>
          <cell r="AS351" t="str">
            <v>18011039-4</v>
          </cell>
          <cell r="AT351" t="str">
            <v>18011039-5</v>
          </cell>
          <cell r="AU351" t="str">
            <v>18011039-6</v>
          </cell>
          <cell r="AV351">
            <v>0</v>
          </cell>
          <cell r="AW351">
            <v>0</v>
          </cell>
          <cell r="AX351">
            <v>0</v>
          </cell>
          <cell r="AY351" t="str">
            <v>415x750</v>
          </cell>
          <cell r="AZ351" t="str">
            <v>U1</v>
          </cell>
          <cell r="BA351">
            <v>1000</v>
          </cell>
          <cell r="BB351" t="str">
            <v>Thùng 42x34x36 lót nilong</v>
          </cell>
          <cell r="BC351">
            <v>0</v>
          </cell>
          <cell r="BD351" t="str">
            <v>in chung ĐC,nền,trắng với sp 874</v>
          </cell>
        </row>
        <row r="352">
          <cell r="A352" t="str">
            <v>sp 872</v>
          </cell>
          <cell r="B352" t="str">
            <v>Cuộn thuốc trừ cỏ lúa sunriver 10WP loại 3,5g Việt Thắng</v>
          </cell>
          <cell r="C352">
            <v>3.3699999999999992</v>
          </cell>
          <cell r="D352">
            <v>4</v>
          </cell>
          <cell r="E352" t="str">
            <v>PET 12x660</v>
          </cell>
          <cell r="F352">
            <v>5</v>
          </cell>
          <cell r="G352" t="str">
            <v>PET</v>
          </cell>
          <cell r="H352">
            <v>0.28000000000000003</v>
          </cell>
          <cell r="I352">
            <v>1.59</v>
          </cell>
          <cell r="J352">
            <v>0</v>
          </cell>
          <cell r="K352">
            <v>0.38</v>
          </cell>
          <cell r="L352">
            <v>0.26</v>
          </cell>
          <cell r="M352">
            <v>0.17</v>
          </cell>
          <cell r="N352">
            <v>0</v>
          </cell>
          <cell r="O352">
            <v>0.13</v>
          </cell>
          <cell r="P352">
            <v>0.01</v>
          </cell>
          <cell r="Q352">
            <v>0</v>
          </cell>
          <cell r="R352">
            <v>0.55000000000000004</v>
          </cell>
          <cell r="S352">
            <v>0</v>
          </cell>
          <cell r="T352">
            <v>0</v>
          </cell>
          <cell r="U352">
            <v>0</v>
          </cell>
          <cell r="V352">
            <v>0</v>
          </cell>
          <cell r="W352">
            <v>0</v>
          </cell>
          <cell r="X352">
            <v>0</v>
          </cell>
          <cell r="Y352">
            <v>0</v>
          </cell>
          <cell r="Z352">
            <v>0</v>
          </cell>
          <cell r="AA352">
            <v>0</v>
          </cell>
          <cell r="AB352">
            <v>0</v>
          </cell>
          <cell r="AC352">
            <v>0</v>
          </cell>
          <cell r="AD352">
            <v>0</v>
          </cell>
          <cell r="AE352" t="str">
            <v>Al 6x660</v>
          </cell>
          <cell r="AF352" t="str">
            <v>PE 85x670</v>
          </cell>
          <cell r="AG352">
            <v>7.3712100000000003E-2</v>
          </cell>
          <cell r="AH352">
            <v>0.99666666666666659</v>
          </cell>
          <cell r="AI352">
            <v>0.99666666666666659</v>
          </cell>
          <cell r="AJ352">
            <v>9530</v>
          </cell>
          <cell r="AK352">
            <v>9530</v>
          </cell>
          <cell r="AL352" t="str">
            <v>0,0046(0,0023;0,0023)</v>
          </cell>
          <cell r="AM352" t="str">
            <v>dạng cuộn 700m</v>
          </cell>
          <cell r="AN352">
            <v>160</v>
          </cell>
          <cell r="AO352" t="str">
            <v>Công ty Việt Thắng</v>
          </cell>
          <cell r="AP352" t="str">
            <v>21030745-1</v>
          </cell>
          <cell r="AQ352" t="str">
            <v>1802001-2</v>
          </cell>
          <cell r="AR352" t="str">
            <v>1802001-3</v>
          </cell>
          <cell r="AS352" t="str">
            <v>1802001-4</v>
          </cell>
          <cell r="AT352" t="str">
            <v>21030745-5</v>
          </cell>
          <cell r="AU352">
            <v>0</v>
          </cell>
          <cell r="AV352">
            <v>0</v>
          </cell>
          <cell r="AW352">
            <v>0</v>
          </cell>
          <cell r="AX352">
            <v>0</v>
          </cell>
          <cell r="AY352" t="str">
            <v>440x750</v>
          </cell>
          <cell r="AZ352" t="str">
            <v>D3</v>
          </cell>
          <cell r="BA352" t="str">
            <v>2c</v>
          </cell>
          <cell r="BB352" t="str">
            <v>giấy cartoon</v>
          </cell>
          <cell r="BC352">
            <v>0</v>
          </cell>
          <cell r="BD352" t="str">
            <v>in chung ĐC,nền,trắng với sp 874</v>
          </cell>
        </row>
        <row r="353">
          <cell r="A353" t="str">
            <v>sp 873</v>
          </cell>
          <cell r="B353" t="str">
            <v>Túi miến bản xèo 500g KT550x450</v>
          </cell>
          <cell r="C353">
            <v>6.2</v>
          </cell>
          <cell r="D353">
            <v>1</v>
          </cell>
          <cell r="E353" t="str">
            <v>PA 15x570</v>
          </cell>
          <cell r="F353">
            <v>5</v>
          </cell>
          <cell r="G353" t="str">
            <v xml:space="preserve">PA </v>
          </cell>
          <cell r="H353">
            <v>0.1</v>
          </cell>
          <cell r="I353">
            <v>3.2</v>
          </cell>
          <cell r="J353">
            <v>0.1</v>
          </cell>
          <cell r="K353">
            <v>0.5</v>
          </cell>
          <cell r="L353">
            <v>1.3</v>
          </cell>
          <cell r="M353">
            <v>1</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t="str">
            <v>PE 80x570</v>
          </cell>
          <cell r="AF353">
            <v>0</v>
          </cell>
          <cell r="AG353">
            <v>1.3786874999999997E-2</v>
          </cell>
          <cell r="AH353">
            <v>0.85866666666666669</v>
          </cell>
          <cell r="AI353">
            <v>0</v>
          </cell>
          <cell r="AJ353">
            <v>9530</v>
          </cell>
          <cell r="AK353">
            <v>0</v>
          </cell>
          <cell r="AL353">
            <v>2.3E-3</v>
          </cell>
          <cell r="AM353" t="str">
            <v>túi hàn lưng xếp hông</v>
          </cell>
          <cell r="AN353">
            <v>450</v>
          </cell>
          <cell r="AO353" t="str">
            <v>Công ty Thanh Sơn</v>
          </cell>
          <cell r="AP353" t="str">
            <v>1711339-1</v>
          </cell>
          <cell r="AQ353" t="str">
            <v>1711339-2</v>
          </cell>
          <cell r="AR353" t="str">
            <v>1711339-3</v>
          </cell>
          <cell r="AS353" t="str">
            <v>1711339-4</v>
          </cell>
          <cell r="AT353" t="str">
            <v>1711339-5</v>
          </cell>
          <cell r="AU353">
            <v>0</v>
          </cell>
          <cell r="AV353">
            <v>0</v>
          </cell>
          <cell r="AW353">
            <v>0</v>
          </cell>
          <cell r="AX353">
            <v>0</v>
          </cell>
          <cell r="AY353" t="str">
            <v>450x750</v>
          </cell>
          <cell r="AZ353" t="str">
            <v>P1</v>
          </cell>
          <cell r="BA353">
            <v>2000</v>
          </cell>
          <cell r="BB353" t="str">
            <v>đóng bao lót nilong</v>
          </cell>
          <cell r="BC353">
            <v>0</v>
          </cell>
          <cell r="BD353">
            <v>0</v>
          </cell>
        </row>
        <row r="354">
          <cell r="A354" t="str">
            <v>sp 874</v>
          </cell>
          <cell r="B354" t="str">
            <v>Cuộn bánh sosite hương bơ sữa</v>
          </cell>
          <cell r="C354">
            <v>5.5</v>
          </cell>
          <cell r="D354">
            <v>4</v>
          </cell>
          <cell r="E354" t="str">
            <v>OPP 20x680</v>
          </cell>
          <cell r="F354">
            <v>7</v>
          </cell>
          <cell r="G354" t="str">
            <v>OPP</v>
          </cell>
          <cell r="H354">
            <v>0.2</v>
          </cell>
          <cell r="I354">
            <v>2.2999999999999998</v>
          </cell>
          <cell r="J354">
            <v>0.1</v>
          </cell>
          <cell r="K354">
            <v>0.1</v>
          </cell>
          <cell r="L354">
            <v>2.7</v>
          </cell>
          <cell r="M354">
            <v>0</v>
          </cell>
          <cell r="N354">
            <v>0</v>
          </cell>
          <cell r="O354">
            <v>0</v>
          </cell>
          <cell r="P354">
            <v>0.1</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t="str">
            <v>MCPP 25x680</v>
          </cell>
          <cell r="AF354">
            <v>0</v>
          </cell>
          <cell r="AG354">
            <v>2.7846000000000003E-2</v>
          </cell>
          <cell r="AH354">
            <v>1.0273333333333332</v>
          </cell>
          <cell r="AI354">
            <v>0</v>
          </cell>
          <cell r="AJ354">
            <v>9530</v>
          </cell>
          <cell r="AK354">
            <v>0</v>
          </cell>
          <cell r="AL354">
            <v>2.3E-3</v>
          </cell>
          <cell r="AM354" t="str">
            <v>dạng cuộn 1000m</v>
          </cell>
          <cell r="AN354">
            <v>165</v>
          </cell>
          <cell r="AO354" t="str">
            <v>Hợp tác xã tân tiến tiến phát</v>
          </cell>
          <cell r="AP354" t="e">
            <v>#N/A</v>
          </cell>
          <cell r="AQ354" t="e">
            <v>#N/A</v>
          </cell>
          <cell r="AR354" t="e">
            <v>#N/A</v>
          </cell>
          <cell r="AS354" t="e">
            <v>#N/A</v>
          </cell>
          <cell r="AT354" t="e">
            <v>#N/A</v>
          </cell>
          <cell r="AU354" t="e">
            <v>#N/A</v>
          </cell>
          <cell r="AV354" t="e">
            <v>#N/A</v>
          </cell>
          <cell r="AW354" t="e">
            <v>#N/A</v>
          </cell>
          <cell r="AX354" t="e">
            <v>#N/A</v>
          </cell>
          <cell r="AY354" t="e">
            <v>#N/A</v>
          </cell>
          <cell r="AZ354" t="e">
            <v>#N/A</v>
          </cell>
          <cell r="BA354" t="str">
            <v>3c</v>
          </cell>
          <cell r="BB354" t="str">
            <v>giấy cartoon</v>
          </cell>
          <cell r="BC354">
            <v>0</v>
          </cell>
          <cell r="BD354" t="e">
            <v>#N/A</v>
          </cell>
        </row>
        <row r="355">
          <cell r="A355" t="str">
            <v>sp 875</v>
          </cell>
          <cell r="B355" t="str">
            <v>Cuộn bánh sosite hương cốm</v>
          </cell>
          <cell r="C355">
            <v>5.4</v>
          </cell>
          <cell r="D355">
            <v>4</v>
          </cell>
          <cell r="E355" t="str">
            <v>OPP 20x680</v>
          </cell>
          <cell r="F355">
            <v>7</v>
          </cell>
          <cell r="G355" t="str">
            <v>OPP</v>
          </cell>
          <cell r="H355">
            <v>0.2</v>
          </cell>
          <cell r="I355">
            <v>2.2999999999999998</v>
          </cell>
          <cell r="J355">
            <v>0.1</v>
          </cell>
          <cell r="K355">
            <v>0.1</v>
          </cell>
          <cell r="L355">
            <v>2.2000000000000002</v>
          </cell>
          <cell r="M355">
            <v>0</v>
          </cell>
          <cell r="N355">
            <v>0</v>
          </cell>
          <cell r="O355">
            <v>0.4</v>
          </cell>
          <cell r="P355">
            <v>0.1</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t="str">
            <v>MCPP 25x680</v>
          </cell>
          <cell r="AF355">
            <v>0</v>
          </cell>
          <cell r="AG355">
            <v>2.7846000000000003E-2</v>
          </cell>
          <cell r="AH355">
            <v>1.012</v>
          </cell>
          <cell r="AI355">
            <v>0</v>
          </cell>
          <cell r="AJ355">
            <v>9530</v>
          </cell>
          <cell r="AK355">
            <v>0</v>
          </cell>
          <cell r="AL355">
            <v>2.3E-3</v>
          </cell>
          <cell r="AM355" t="str">
            <v>dạng cuộn 1000m</v>
          </cell>
          <cell r="AN355">
            <v>165</v>
          </cell>
          <cell r="AO355" t="str">
            <v>Hợp tác xã tân tiến tiến phát</v>
          </cell>
          <cell r="AP355" t="e">
            <v>#N/A</v>
          </cell>
          <cell r="AQ355" t="e">
            <v>#N/A</v>
          </cell>
          <cell r="AR355" t="e">
            <v>#N/A</v>
          </cell>
          <cell r="AS355" t="e">
            <v>#N/A</v>
          </cell>
          <cell r="AT355" t="e">
            <v>#N/A</v>
          </cell>
          <cell r="AU355" t="e">
            <v>#N/A</v>
          </cell>
          <cell r="AV355" t="e">
            <v>#N/A</v>
          </cell>
          <cell r="AW355" t="e">
            <v>#N/A</v>
          </cell>
          <cell r="AX355" t="e">
            <v>#N/A</v>
          </cell>
          <cell r="AY355" t="e">
            <v>#N/A</v>
          </cell>
          <cell r="AZ355" t="e">
            <v>#N/A</v>
          </cell>
          <cell r="BA355" t="str">
            <v>3c</v>
          </cell>
          <cell r="BB355" t="str">
            <v>giấy cartoon</v>
          </cell>
          <cell r="BC355">
            <v>0</v>
          </cell>
          <cell r="BD355" t="e">
            <v>#N/A</v>
          </cell>
        </row>
        <row r="356">
          <cell r="A356" t="str">
            <v>sp 876</v>
          </cell>
          <cell r="B356" t="str">
            <v>Cuộn bánh sosite hương dâu</v>
          </cell>
          <cell r="C356">
            <v>5.3</v>
          </cell>
          <cell r="D356">
            <v>4</v>
          </cell>
          <cell r="E356" t="str">
            <v>OPP 20x680</v>
          </cell>
          <cell r="F356">
            <v>7</v>
          </cell>
          <cell r="G356" t="str">
            <v>OPP</v>
          </cell>
          <cell r="H356">
            <v>0.2</v>
          </cell>
          <cell r="I356">
            <v>2.2999999999999998</v>
          </cell>
          <cell r="J356">
            <v>0.1</v>
          </cell>
          <cell r="K356">
            <v>0.1</v>
          </cell>
          <cell r="L356">
            <v>1.4</v>
          </cell>
          <cell r="M356">
            <v>0</v>
          </cell>
          <cell r="N356">
            <v>0</v>
          </cell>
          <cell r="O356">
            <v>0</v>
          </cell>
          <cell r="P356">
            <v>1.2</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t="str">
            <v>MCPP 25x680</v>
          </cell>
          <cell r="AF356">
            <v>0</v>
          </cell>
          <cell r="AG356">
            <v>2.7846000000000003E-2</v>
          </cell>
          <cell r="AH356">
            <v>1.012</v>
          </cell>
          <cell r="AI356">
            <v>0</v>
          </cell>
          <cell r="AJ356">
            <v>9530</v>
          </cell>
          <cell r="AK356">
            <v>0</v>
          </cell>
          <cell r="AL356">
            <v>2.3E-3</v>
          </cell>
          <cell r="AM356" t="str">
            <v>dạng cuộn 1000m</v>
          </cell>
          <cell r="AN356">
            <v>165</v>
          </cell>
          <cell r="AO356" t="str">
            <v>Hợp tác xã tân tiến tiến phát</v>
          </cell>
          <cell r="AP356" t="e">
            <v>#N/A</v>
          </cell>
          <cell r="AQ356" t="e">
            <v>#N/A</v>
          </cell>
          <cell r="AR356" t="e">
            <v>#N/A</v>
          </cell>
          <cell r="AS356" t="e">
            <v>#N/A</v>
          </cell>
          <cell r="AT356" t="e">
            <v>#N/A</v>
          </cell>
          <cell r="AU356" t="e">
            <v>#N/A</v>
          </cell>
          <cell r="AV356" t="e">
            <v>#N/A</v>
          </cell>
          <cell r="AW356" t="e">
            <v>#N/A</v>
          </cell>
          <cell r="AX356" t="e">
            <v>#N/A</v>
          </cell>
          <cell r="AY356" t="e">
            <v>#N/A</v>
          </cell>
          <cell r="AZ356" t="e">
            <v>#N/A</v>
          </cell>
          <cell r="BA356" t="str">
            <v>3c</v>
          </cell>
          <cell r="BB356" t="str">
            <v>giấy cartoon</v>
          </cell>
          <cell r="BC356">
            <v>0</v>
          </cell>
          <cell r="BD356" t="e">
            <v>#N/A</v>
          </cell>
        </row>
        <row r="357">
          <cell r="A357" t="str">
            <v>sp 877</v>
          </cell>
          <cell r="B357" t="str">
            <v>Túi chè không in xuất khẩu 150g KT 85x280x45</v>
          </cell>
          <cell r="C357">
            <v>0</v>
          </cell>
          <cell r="D357">
            <v>3</v>
          </cell>
          <cell r="E357" t="str">
            <v>OPP 30x860</v>
          </cell>
          <cell r="F357">
            <v>0</v>
          </cell>
          <cell r="G357" t="str">
            <v>OPP</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t="str">
            <v>MCPP 25x860</v>
          </cell>
          <cell r="AF357">
            <v>0</v>
          </cell>
          <cell r="AG357">
            <v>2.1912800000000003E-2</v>
          </cell>
          <cell r="AH357">
            <v>1.3033333333333332</v>
          </cell>
          <cell r="AI357">
            <v>0</v>
          </cell>
          <cell r="AJ357">
            <v>9530</v>
          </cell>
          <cell r="AK357">
            <v>0</v>
          </cell>
          <cell r="AL357">
            <v>2.3E-3</v>
          </cell>
          <cell r="AM357" t="str">
            <v>túi hàn lưng xếp hông</v>
          </cell>
          <cell r="AN357">
            <v>280</v>
          </cell>
          <cell r="AO357" t="str">
            <v>Công ty TNHH Thế hệ mới Vĩnh Phúc</v>
          </cell>
          <cell r="AP357" t="e">
            <v>#N/A</v>
          </cell>
          <cell r="AQ357" t="e">
            <v>#N/A</v>
          </cell>
          <cell r="AR357" t="e">
            <v>#N/A</v>
          </cell>
          <cell r="AS357" t="e">
            <v>#N/A</v>
          </cell>
          <cell r="AT357" t="e">
            <v>#N/A</v>
          </cell>
          <cell r="AU357" t="e">
            <v>#N/A</v>
          </cell>
          <cell r="AV357" t="e">
            <v>#N/A</v>
          </cell>
          <cell r="AW357" t="e">
            <v>#N/A</v>
          </cell>
          <cell r="AX357" t="e">
            <v>#N/A</v>
          </cell>
          <cell r="AY357" t="e">
            <v>#N/A</v>
          </cell>
          <cell r="AZ357" t="e">
            <v>#N/A</v>
          </cell>
          <cell r="BA357">
            <v>5000</v>
          </cell>
          <cell r="BB357" t="str">
            <v>Thùng 5 lớp 42x34x36</v>
          </cell>
          <cell r="BC357">
            <v>0</v>
          </cell>
          <cell r="BD357" t="e">
            <v>#N/A</v>
          </cell>
        </row>
        <row r="358">
          <cell r="A358" t="str">
            <v>sp 878</v>
          </cell>
          <cell r="B358" t="str">
            <v>Túi thuốc phân bón rau poly feed 15.30.15 loại 50g Việt Thắng</v>
          </cell>
          <cell r="C358">
            <v>5</v>
          </cell>
          <cell r="D358">
            <v>2</v>
          </cell>
          <cell r="E358" t="str">
            <v>PET 12x700</v>
          </cell>
          <cell r="F358">
            <v>5</v>
          </cell>
          <cell r="G358" t="str">
            <v>PET</v>
          </cell>
          <cell r="H358">
            <v>0.1</v>
          </cell>
          <cell r="I358">
            <v>2.2999999999999998</v>
          </cell>
          <cell r="J358">
            <v>0.1</v>
          </cell>
          <cell r="K358">
            <v>0.3</v>
          </cell>
          <cell r="L358">
            <v>0.8</v>
          </cell>
          <cell r="M358">
            <v>1.4</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t="str">
            <v>Al 6x700</v>
          </cell>
          <cell r="AF358" t="str">
            <v>PE 95x710</v>
          </cell>
          <cell r="AG358">
            <v>8.4654500000000008E-2</v>
          </cell>
          <cell r="AH358">
            <v>1.0579999999999998</v>
          </cell>
          <cell r="AI358">
            <v>1.0579999999999998</v>
          </cell>
          <cell r="AJ358">
            <v>9530</v>
          </cell>
          <cell r="AK358">
            <v>9530</v>
          </cell>
          <cell r="AL358" t="str">
            <v>0,0046(0,0023;0,0023)</v>
          </cell>
          <cell r="AM358" t="str">
            <v>túi ba biên</v>
          </cell>
          <cell r="AN358">
            <v>110</v>
          </cell>
          <cell r="AO358" t="str">
            <v>Công ty Việt Thắng</v>
          </cell>
          <cell r="AP358" t="str">
            <v>1802498-1</v>
          </cell>
          <cell r="AQ358" t="str">
            <v>1802498-2</v>
          </cell>
          <cell r="AR358" t="str">
            <v>1802498-3</v>
          </cell>
          <cell r="AS358" t="str">
            <v>1802498-4</v>
          </cell>
          <cell r="AT358" t="str">
            <v>1802498-5</v>
          </cell>
          <cell r="AU358">
            <v>0</v>
          </cell>
          <cell r="AV358">
            <v>0</v>
          </cell>
          <cell r="AW358">
            <v>0</v>
          </cell>
          <cell r="AX358">
            <v>0</v>
          </cell>
          <cell r="AY358" t="str">
            <v>440x750</v>
          </cell>
          <cell r="AZ358" t="str">
            <v>D3</v>
          </cell>
          <cell r="BA358">
            <v>10000</v>
          </cell>
          <cell r="BB358" t="str">
            <v>Thùng 5 lớp 42x34x36</v>
          </cell>
          <cell r="BC358">
            <v>0</v>
          </cell>
          <cell r="BD358">
            <v>0</v>
          </cell>
        </row>
        <row r="359">
          <cell r="A359" t="str">
            <v>sp 879</v>
          </cell>
          <cell r="B359" t="str">
            <v>Túi thuốc phân bón lúa poly feed 15.15.30 loại 15g Việt Thắng</v>
          </cell>
          <cell r="C359">
            <v>4.7</v>
          </cell>
          <cell r="D359">
            <v>3</v>
          </cell>
          <cell r="E359" t="str">
            <v>PET 12x740</v>
          </cell>
          <cell r="F359">
            <v>6</v>
          </cell>
          <cell r="G359" t="str">
            <v>PET</v>
          </cell>
          <cell r="H359">
            <v>0.08</v>
          </cell>
          <cell r="I359">
            <v>2.14</v>
          </cell>
          <cell r="J359">
            <v>0.38</v>
          </cell>
          <cell r="K359">
            <v>0.2</v>
          </cell>
          <cell r="L359">
            <v>0.28000000000000003</v>
          </cell>
          <cell r="M359">
            <v>1.61</v>
          </cell>
          <cell r="N359">
            <v>0</v>
          </cell>
          <cell r="O359">
            <v>0</v>
          </cell>
          <cell r="P359">
            <v>0</v>
          </cell>
          <cell r="Q359">
            <v>0</v>
          </cell>
          <cell r="R359">
            <v>0.01</v>
          </cell>
          <cell r="S359">
            <v>0</v>
          </cell>
          <cell r="T359">
            <v>0</v>
          </cell>
          <cell r="U359">
            <v>0</v>
          </cell>
          <cell r="V359">
            <v>0</v>
          </cell>
          <cell r="W359">
            <v>0</v>
          </cell>
          <cell r="X359">
            <v>0</v>
          </cell>
          <cell r="Y359">
            <v>0</v>
          </cell>
          <cell r="Z359">
            <v>0</v>
          </cell>
          <cell r="AA359">
            <v>0</v>
          </cell>
          <cell r="AB359">
            <v>0</v>
          </cell>
          <cell r="AC359">
            <v>0</v>
          </cell>
          <cell r="AD359">
            <v>0</v>
          </cell>
          <cell r="AE359" t="str">
            <v>Al 6x740</v>
          </cell>
          <cell r="AF359" t="str">
            <v>PE 95x750</v>
          </cell>
          <cell r="AG359">
            <v>8.9491900000000013E-2</v>
          </cell>
          <cell r="AH359">
            <v>1.1193333333333333</v>
          </cell>
          <cell r="AI359">
            <v>1.1193333333333333</v>
          </cell>
          <cell r="AJ359">
            <v>9530</v>
          </cell>
          <cell r="AK359">
            <v>9530</v>
          </cell>
          <cell r="AL359" t="str">
            <v>0,0046(0,0023;0,0023)</v>
          </cell>
          <cell r="AM359" t="str">
            <v>túi ba biên</v>
          </cell>
          <cell r="AN359">
            <v>80</v>
          </cell>
          <cell r="AO359" t="str">
            <v>Công ty Việt Thắng</v>
          </cell>
          <cell r="AP359" t="str">
            <v>19051008-1</v>
          </cell>
          <cell r="AQ359" t="str">
            <v>1802499-2</v>
          </cell>
          <cell r="AR359" t="str">
            <v>1802499-3</v>
          </cell>
          <cell r="AS359" t="str">
            <v>1802499-4</v>
          </cell>
          <cell r="AT359" t="str">
            <v>1802499-5</v>
          </cell>
          <cell r="AU359" t="str">
            <v>1802499-6</v>
          </cell>
          <cell r="AV359">
            <v>0</v>
          </cell>
          <cell r="AW359">
            <v>0</v>
          </cell>
          <cell r="AX359">
            <v>0</v>
          </cell>
          <cell r="AY359" t="str">
            <v>400x850</v>
          </cell>
          <cell r="AZ359" t="str">
            <v>D3</v>
          </cell>
          <cell r="BA359">
            <v>12000</v>
          </cell>
          <cell r="BB359" t="str">
            <v xml:space="preserve">Thùng 5 lớp 43x35,5x25,5 </v>
          </cell>
          <cell r="BC359">
            <v>0</v>
          </cell>
          <cell r="BD359">
            <v>0</v>
          </cell>
        </row>
        <row r="360">
          <cell r="A360" t="str">
            <v>sp 880</v>
          </cell>
          <cell r="B360" t="str">
            <v>Cuộn thuốc trị rầy lúa anvado 100WP thường loại 10g Việt Thắng</v>
          </cell>
          <cell r="C360">
            <v>3.1700000000000004</v>
          </cell>
          <cell r="D360">
            <v>3</v>
          </cell>
          <cell r="E360" t="str">
            <v>PET 12x800</v>
          </cell>
          <cell r="F360">
            <v>6</v>
          </cell>
          <cell r="G360" t="str">
            <v>PET</v>
          </cell>
          <cell r="H360">
            <v>0.01</v>
          </cell>
          <cell r="I360">
            <v>1.58</v>
          </cell>
          <cell r="J360">
            <v>0.16</v>
          </cell>
          <cell r="K360">
            <v>7.0000000000000007E-2</v>
          </cell>
          <cell r="L360">
            <v>0.34</v>
          </cell>
          <cell r="M360">
            <v>0.83</v>
          </cell>
          <cell r="N360">
            <v>0</v>
          </cell>
          <cell r="O360">
            <v>0</v>
          </cell>
          <cell r="P360">
            <v>0</v>
          </cell>
          <cell r="Q360">
            <v>0</v>
          </cell>
          <cell r="R360">
            <v>0.18</v>
          </cell>
          <cell r="S360">
            <v>0</v>
          </cell>
          <cell r="T360">
            <v>0</v>
          </cell>
          <cell r="U360">
            <v>0</v>
          </cell>
          <cell r="V360">
            <v>0</v>
          </cell>
          <cell r="W360">
            <v>0</v>
          </cell>
          <cell r="X360">
            <v>0</v>
          </cell>
          <cell r="Y360">
            <v>0</v>
          </cell>
          <cell r="Z360">
            <v>0</v>
          </cell>
          <cell r="AA360">
            <v>0</v>
          </cell>
          <cell r="AB360">
            <v>0</v>
          </cell>
          <cell r="AC360">
            <v>0</v>
          </cell>
          <cell r="AD360">
            <v>0</v>
          </cell>
          <cell r="AE360" t="str">
            <v>Al 6x800</v>
          </cell>
          <cell r="AF360" t="str">
            <v>PE 85x810</v>
          </cell>
          <cell r="AG360">
            <v>8.9348000000000011E-2</v>
          </cell>
          <cell r="AH360">
            <v>1.2113333333333334</v>
          </cell>
          <cell r="AI360">
            <v>1.2113333333333334</v>
          </cell>
          <cell r="AJ360">
            <v>9530</v>
          </cell>
          <cell r="AK360">
            <v>9530</v>
          </cell>
          <cell r="AL360" t="str">
            <v>0,0046(0,0023;0,0023)</v>
          </cell>
          <cell r="AM360" t="str">
            <v>dạng cuộn 700m</v>
          </cell>
          <cell r="AN360">
            <v>260</v>
          </cell>
          <cell r="AO360" t="str">
            <v>Công ty Việt Thắng</v>
          </cell>
          <cell r="AP360" t="str">
            <v>2002743-1</v>
          </cell>
          <cell r="AQ360" t="str">
            <v>1802500-2</v>
          </cell>
          <cell r="AR360" t="str">
            <v>1802500-3</v>
          </cell>
          <cell r="AS360" t="str">
            <v>1802500-4</v>
          </cell>
          <cell r="AT360" t="str">
            <v>1802500-5</v>
          </cell>
          <cell r="AU360" t="str">
            <v>1802500-6</v>
          </cell>
          <cell r="AV360">
            <v>0</v>
          </cell>
          <cell r="AW360">
            <v>0</v>
          </cell>
          <cell r="AX360">
            <v>0</v>
          </cell>
          <cell r="AY360" t="str">
            <v>450x850</v>
          </cell>
          <cell r="AZ360" t="str">
            <v>D3</v>
          </cell>
          <cell r="BA360" t="str">
            <v>1c</v>
          </cell>
          <cell r="BB360" t="str">
            <v>giấy cartoon</v>
          </cell>
          <cell r="BC360">
            <v>0</v>
          </cell>
          <cell r="BD360">
            <v>0</v>
          </cell>
        </row>
        <row r="361">
          <cell r="A361" t="str">
            <v>sp 881</v>
          </cell>
          <cell r="B361" t="str">
            <v>Cuộn màng không in HCK khổ 620 độ dày 72 mic proline</v>
          </cell>
          <cell r="C361">
            <v>0</v>
          </cell>
          <cell r="D361">
            <v>1</v>
          </cell>
          <cell r="E361" t="str">
            <v>MPET mt 12x620</v>
          </cell>
          <cell r="F361">
            <v>0</v>
          </cell>
          <cell r="G361" t="str">
            <v>MPE</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t="str">
            <v>PE 60x620</v>
          </cell>
          <cell r="AF361">
            <v>0</v>
          </cell>
          <cell r="AG361">
            <v>4.4826000000000005E-2</v>
          </cell>
          <cell r="AH361">
            <v>0.93533333333333324</v>
          </cell>
          <cell r="AI361">
            <v>0</v>
          </cell>
          <cell r="AJ361">
            <v>9530</v>
          </cell>
          <cell r="AK361">
            <v>0</v>
          </cell>
          <cell r="AL361">
            <v>2.3E-3</v>
          </cell>
          <cell r="AM361" t="str">
            <v>dạng cuộn 2000m</v>
          </cell>
          <cell r="AN361">
            <v>620</v>
          </cell>
          <cell r="AO361" t="str">
            <v>Công ty Proline</v>
          </cell>
          <cell r="AP361" t="e">
            <v>#N/A</v>
          </cell>
          <cell r="AQ361" t="e">
            <v>#N/A</v>
          </cell>
          <cell r="AR361" t="e">
            <v>#N/A</v>
          </cell>
          <cell r="AS361" t="e">
            <v>#N/A</v>
          </cell>
          <cell r="AT361" t="e">
            <v>#N/A</v>
          </cell>
          <cell r="AU361" t="e">
            <v>#N/A</v>
          </cell>
          <cell r="AV361" t="e">
            <v>#N/A</v>
          </cell>
          <cell r="AW361" t="e">
            <v>#N/A</v>
          </cell>
          <cell r="AX361" t="e">
            <v>#N/A</v>
          </cell>
          <cell r="AY361" t="e">
            <v>#N/A</v>
          </cell>
          <cell r="AZ361" t="e">
            <v>#N/A</v>
          </cell>
          <cell r="BA361" t="str">
            <v>1c</v>
          </cell>
          <cell r="BB361" t="str">
            <v>giấy cartoon K800</v>
          </cell>
          <cell r="BC361">
            <v>0</v>
          </cell>
          <cell r="BD361" t="e">
            <v>#N/A</v>
          </cell>
        </row>
        <row r="362">
          <cell r="A362" t="str">
            <v>sp 882</v>
          </cell>
          <cell r="B362" t="str">
            <v>Cuộn thuốc trừ cỏ lúa Arorax 17WP loại 10g Việt Thắng</v>
          </cell>
          <cell r="C362">
            <v>4.25</v>
          </cell>
          <cell r="D362">
            <v>3</v>
          </cell>
          <cell r="E362" t="str">
            <v>PET 12x800</v>
          </cell>
          <cell r="F362">
            <v>6</v>
          </cell>
          <cell r="G362" t="str">
            <v>PET</v>
          </cell>
          <cell r="H362">
            <v>0.22</v>
          </cell>
          <cell r="I362">
            <v>1.52</v>
          </cell>
          <cell r="J362">
            <v>0.01</v>
          </cell>
          <cell r="K362">
            <v>0.54</v>
          </cell>
          <cell r="L362">
            <v>0.87</v>
          </cell>
          <cell r="M362">
            <v>0.87</v>
          </cell>
          <cell r="N362">
            <v>0</v>
          </cell>
          <cell r="O362">
            <v>0</v>
          </cell>
          <cell r="P362">
            <v>0</v>
          </cell>
          <cell r="Q362">
            <v>0</v>
          </cell>
          <cell r="R362">
            <v>0.22</v>
          </cell>
          <cell r="S362">
            <v>0</v>
          </cell>
          <cell r="T362">
            <v>0</v>
          </cell>
          <cell r="U362">
            <v>0</v>
          </cell>
          <cell r="V362">
            <v>0</v>
          </cell>
          <cell r="W362">
            <v>0</v>
          </cell>
          <cell r="X362">
            <v>0</v>
          </cell>
          <cell r="Y362">
            <v>0</v>
          </cell>
          <cell r="Z362">
            <v>0</v>
          </cell>
          <cell r="AA362">
            <v>0</v>
          </cell>
          <cell r="AB362">
            <v>0</v>
          </cell>
          <cell r="AC362">
            <v>0</v>
          </cell>
          <cell r="AD362">
            <v>0</v>
          </cell>
          <cell r="AE362" t="str">
            <v>Al 6x800</v>
          </cell>
          <cell r="AF362" t="str">
            <v>PE 85x810</v>
          </cell>
          <cell r="AG362">
            <v>8.9348000000000011E-2</v>
          </cell>
          <cell r="AH362">
            <v>1.2113333333333334</v>
          </cell>
          <cell r="AI362">
            <v>1.2113333333333334</v>
          </cell>
          <cell r="AJ362">
            <v>9530</v>
          </cell>
          <cell r="AK362">
            <v>9530</v>
          </cell>
          <cell r="AL362" t="str">
            <v>0,0046(0,0023;0,0023)</v>
          </cell>
          <cell r="AM362" t="str">
            <v>dạng cuộn 700m</v>
          </cell>
          <cell r="AN362">
            <v>260</v>
          </cell>
          <cell r="AO362" t="str">
            <v>Công ty Việt Thắng</v>
          </cell>
          <cell r="AP362" t="str">
            <v>20110906-1</v>
          </cell>
          <cell r="AQ362" t="str">
            <v>19070739-2</v>
          </cell>
          <cell r="AR362" t="str">
            <v>1803525-3</v>
          </cell>
          <cell r="AS362" t="str">
            <v>1803525-4</v>
          </cell>
          <cell r="AT362" t="str">
            <v>1803525-5</v>
          </cell>
          <cell r="AU362" t="str">
            <v>1803525-6</v>
          </cell>
          <cell r="AV362">
            <v>0</v>
          </cell>
          <cell r="AW362">
            <v>0</v>
          </cell>
          <cell r="AX362">
            <v>0</v>
          </cell>
          <cell r="AY362" t="str">
            <v>450x870</v>
          </cell>
          <cell r="AZ362" t="str">
            <v>D3</v>
          </cell>
          <cell r="BA362" t="str">
            <v>1c</v>
          </cell>
          <cell r="BB362" t="str">
            <v>giấy cartoon</v>
          </cell>
          <cell r="BC362">
            <v>0</v>
          </cell>
          <cell r="BD362">
            <v>0</v>
          </cell>
        </row>
        <row r="363">
          <cell r="A363" t="str">
            <v>sp 883</v>
          </cell>
          <cell r="B363" t="str">
            <v>cuộn màng hyundai window 1 màu xanh tím loại 1</v>
          </cell>
          <cell r="C363">
            <v>0.2</v>
          </cell>
          <cell r="D363">
            <v>1</v>
          </cell>
          <cell r="E363" t="str">
            <v>PE đt 30x1270</v>
          </cell>
          <cell r="F363">
            <v>1</v>
          </cell>
          <cell r="G363" t="str">
            <v xml:space="preserve">PE </v>
          </cell>
          <cell r="H363">
            <v>0</v>
          </cell>
          <cell r="I363">
            <v>0</v>
          </cell>
          <cell r="J363">
            <v>0</v>
          </cell>
          <cell r="K363">
            <v>0</v>
          </cell>
          <cell r="L363">
            <v>0</v>
          </cell>
          <cell r="M363">
            <v>0</v>
          </cell>
          <cell r="N363">
            <v>0</v>
          </cell>
          <cell r="O363">
            <v>0</v>
          </cell>
          <cell r="P363">
            <v>0</v>
          </cell>
          <cell r="Q363">
            <v>0</v>
          </cell>
          <cell r="R363">
            <v>0.2</v>
          </cell>
          <cell r="S363">
            <v>0</v>
          </cell>
          <cell r="T363">
            <v>0</v>
          </cell>
          <cell r="U363">
            <v>0</v>
          </cell>
          <cell r="V363">
            <v>0</v>
          </cell>
          <cell r="W363">
            <v>0</v>
          </cell>
          <cell r="X363">
            <v>0</v>
          </cell>
          <cell r="Y363">
            <v>0</v>
          </cell>
          <cell r="Z363">
            <v>0</v>
          </cell>
          <cell r="AA363">
            <v>0</v>
          </cell>
          <cell r="AB363">
            <v>0</v>
          </cell>
          <cell r="AC363">
            <v>0</v>
          </cell>
          <cell r="AD363">
            <v>0</v>
          </cell>
          <cell r="AE363" t="str">
            <v>PE 20x1270</v>
          </cell>
          <cell r="AF363">
            <v>0</v>
          </cell>
          <cell r="AG363">
            <v>5.8737499999999998E-2</v>
          </cell>
          <cell r="AH363">
            <v>1.68</v>
          </cell>
          <cell r="AI363">
            <v>0</v>
          </cell>
          <cell r="AJ363">
            <v>9530</v>
          </cell>
          <cell r="AK363">
            <v>0</v>
          </cell>
          <cell r="AL363">
            <v>2E-3</v>
          </cell>
          <cell r="AM363" t="str">
            <v>dạng cuộn 2000m</v>
          </cell>
          <cell r="AN363">
            <v>1270</v>
          </cell>
          <cell r="AO363" t="str">
            <v>Công ty Đức Thiện</v>
          </cell>
          <cell r="AP363" t="e">
            <v>#N/A</v>
          </cell>
          <cell r="AQ363" t="e">
            <v>#N/A</v>
          </cell>
          <cell r="AR363" t="e">
            <v>#N/A</v>
          </cell>
          <cell r="AS363" t="e">
            <v>#N/A</v>
          </cell>
          <cell r="AT363" t="e">
            <v>#N/A</v>
          </cell>
          <cell r="AU363" t="e">
            <v>#N/A</v>
          </cell>
          <cell r="AV363" t="e">
            <v>#N/A</v>
          </cell>
          <cell r="AW363" t="e">
            <v>#N/A</v>
          </cell>
          <cell r="AX363" t="e">
            <v>#N/A</v>
          </cell>
          <cell r="AY363" t="e">
            <v>#N/A</v>
          </cell>
          <cell r="AZ363" t="e">
            <v>#N/A</v>
          </cell>
          <cell r="BA363" t="str">
            <v>1c</v>
          </cell>
          <cell r="BB363" t="str">
            <v>giấy cartoon</v>
          </cell>
          <cell r="BC363">
            <v>0</v>
          </cell>
          <cell r="BD363" t="e">
            <v>#N/A</v>
          </cell>
        </row>
        <row r="364">
          <cell r="A364" t="str">
            <v>sp 884</v>
          </cell>
          <cell r="B364" t="str">
            <v>Cuộn màng hyundai alumin vina 2 màu loại 2</v>
          </cell>
          <cell r="C364">
            <v>0.75</v>
          </cell>
          <cell r="D364">
            <v>1</v>
          </cell>
          <cell r="E364" t="str">
            <v>PE đt 40x1270</v>
          </cell>
          <cell r="F364">
            <v>2</v>
          </cell>
          <cell r="G364" t="str">
            <v xml:space="preserve">PE </v>
          </cell>
          <cell r="H364">
            <v>0.04</v>
          </cell>
          <cell r="I364">
            <v>0.16</v>
          </cell>
          <cell r="J364">
            <v>0.03</v>
          </cell>
          <cell r="K364">
            <v>0.02</v>
          </cell>
          <cell r="L364">
            <v>0.15</v>
          </cell>
          <cell r="M364">
            <v>0.32</v>
          </cell>
          <cell r="N364">
            <v>0</v>
          </cell>
          <cell r="O364">
            <v>0</v>
          </cell>
          <cell r="P364">
            <v>0.01</v>
          </cell>
          <cell r="Q364">
            <v>0</v>
          </cell>
          <cell r="R364">
            <v>0.02</v>
          </cell>
          <cell r="S364">
            <v>0</v>
          </cell>
          <cell r="T364">
            <v>0</v>
          </cell>
          <cell r="U364">
            <v>0</v>
          </cell>
          <cell r="V364">
            <v>0</v>
          </cell>
          <cell r="W364">
            <v>0</v>
          </cell>
          <cell r="X364">
            <v>0</v>
          </cell>
          <cell r="Y364">
            <v>0</v>
          </cell>
          <cell r="Z364">
            <v>0</v>
          </cell>
          <cell r="AA364">
            <v>0</v>
          </cell>
          <cell r="AB364">
            <v>0</v>
          </cell>
          <cell r="AC364">
            <v>0</v>
          </cell>
          <cell r="AD364">
            <v>0</v>
          </cell>
          <cell r="AE364" t="str">
            <v>PE 25x1270</v>
          </cell>
          <cell r="AF364">
            <v>0</v>
          </cell>
          <cell r="AG364">
            <v>7.6358750000000017E-2</v>
          </cell>
          <cell r="AH364">
            <v>1.68</v>
          </cell>
          <cell r="AI364">
            <v>0</v>
          </cell>
          <cell r="AJ364">
            <v>9530</v>
          </cell>
          <cell r="AK364">
            <v>0</v>
          </cell>
          <cell r="AL364">
            <v>2E-3</v>
          </cell>
          <cell r="AM364" t="str">
            <v>dạng cuộn 2000m</v>
          </cell>
          <cell r="AN364">
            <v>1270</v>
          </cell>
          <cell r="AO364" t="str">
            <v>Công ty Đức Thiện</v>
          </cell>
          <cell r="AP364" t="e">
            <v>#N/A</v>
          </cell>
          <cell r="AQ364" t="e">
            <v>#N/A</v>
          </cell>
          <cell r="AR364" t="e">
            <v>#N/A</v>
          </cell>
          <cell r="AS364" t="e">
            <v>#N/A</v>
          </cell>
          <cell r="AT364" t="e">
            <v>#N/A</v>
          </cell>
          <cell r="AU364" t="e">
            <v>#N/A</v>
          </cell>
          <cell r="AV364" t="e">
            <v>#N/A</v>
          </cell>
          <cell r="AW364" t="e">
            <v>#N/A</v>
          </cell>
          <cell r="AX364" t="e">
            <v>#N/A</v>
          </cell>
          <cell r="AY364" t="e">
            <v>#N/A</v>
          </cell>
          <cell r="AZ364" t="e">
            <v>#N/A</v>
          </cell>
          <cell r="BA364" t="str">
            <v>1c</v>
          </cell>
          <cell r="BB364" t="str">
            <v>giấy cartoon</v>
          </cell>
          <cell r="BC364">
            <v>0</v>
          </cell>
          <cell r="BD364" t="e">
            <v>#N/A</v>
          </cell>
        </row>
        <row r="365">
          <cell r="A365" t="str">
            <v>sp 885</v>
          </cell>
          <cell r="B365" t="str">
            <v>Túi trà logo tân cương và đặc sản 100g loại 9</v>
          </cell>
          <cell r="C365">
            <v>3.7199999999999998</v>
          </cell>
          <cell r="D365">
            <v>3</v>
          </cell>
          <cell r="E365" t="str">
            <v>PET 12x740</v>
          </cell>
          <cell r="F365">
            <v>2</v>
          </cell>
          <cell r="G365" t="str">
            <v>PET</v>
          </cell>
          <cell r="H365">
            <v>0.09</v>
          </cell>
          <cell r="I365">
            <v>0.02</v>
          </cell>
          <cell r="J365">
            <v>0.08</v>
          </cell>
          <cell r="K365">
            <v>0.09</v>
          </cell>
          <cell r="L365">
            <v>0.43</v>
          </cell>
          <cell r="M365">
            <v>0</v>
          </cell>
          <cell r="N365">
            <v>2.76</v>
          </cell>
          <cell r="O365">
            <v>0.14000000000000001</v>
          </cell>
          <cell r="P365">
            <v>0.11</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t="str">
            <v>MPET 12x740</v>
          </cell>
          <cell r="AF365" t="str">
            <v>PE 75x740</v>
          </cell>
          <cell r="AG365">
            <v>7.6201500000000005E-2</v>
          </cell>
          <cell r="AH365">
            <v>1.1193333333333333</v>
          </cell>
          <cell r="AI365">
            <v>1.46</v>
          </cell>
          <cell r="AJ365">
            <v>9530</v>
          </cell>
          <cell r="AK365">
            <v>9530</v>
          </cell>
          <cell r="AL365" t="str">
            <v>0,0053(0,0023;0,003)</v>
          </cell>
          <cell r="AM365" t="str">
            <v>túi hàn lưng xếp hông</v>
          </cell>
          <cell r="AN365">
            <v>270</v>
          </cell>
          <cell r="AO365" t="str">
            <v>Khách hàng lẻ</v>
          </cell>
          <cell r="AP365" t="str">
            <v>1803222-1</v>
          </cell>
          <cell r="AQ365" t="str">
            <v>1803222-2</v>
          </cell>
          <cell r="AR365">
            <v>0</v>
          </cell>
          <cell r="AS365">
            <v>0</v>
          </cell>
          <cell r="AT365">
            <v>0</v>
          </cell>
          <cell r="AU365">
            <v>0</v>
          </cell>
          <cell r="AV365">
            <v>0</v>
          </cell>
          <cell r="AW365">
            <v>0</v>
          </cell>
          <cell r="AX365">
            <v>0</v>
          </cell>
          <cell r="AY365" t="str">
            <v>540x850</v>
          </cell>
          <cell r="AZ365" t="str">
            <v>F2</v>
          </cell>
          <cell r="BA365">
            <v>3500</v>
          </cell>
          <cell r="BB365" t="str">
            <v>Thùng 5 lớp 42x34x36</v>
          </cell>
          <cell r="BC365">
            <v>0</v>
          </cell>
          <cell r="BD365">
            <v>0</v>
          </cell>
        </row>
        <row r="366">
          <cell r="A366" t="str">
            <v>sp 886</v>
          </cell>
          <cell r="B366" t="str">
            <v>Túi trà logo tân cương và tân cương không khối lượng 200g loại 9</v>
          </cell>
          <cell r="C366">
            <v>4.62</v>
          </cell>
          <cell r="D366">
            <v>2</v>
          </cell>
          <cell r="E366" t="str">
            <v>PET 12x620</v>
          </cell>
          <cell r="F366">
            <v>2</v>
          </cell>
          <cell r="G366" t="str">
            <v>PET</v>
          </cell>
          <cell r="H366">
            <v>0</v>
          </cell>
          <cell r="I366">
            <v>0</v>
          </cell>
          <cell r="J366">
            <v>7.0000000000000007E-2</v>
          </cell>
          <cell r="K366">
            <v>0</v>
          </cell>
          <cell r="L366">
            <v>0</v>
          </cell>
          <cell r="M366">
            <v>0</v>
          </cell>
          <cell r="N366">
            <v>4.22</v>
          </cell>
          <cell r="O366">
            <v>0.33</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t="str">
            <v>MPET 12x620</v>
          </cell>
          <cell r="AF366" t="str">
            <v>PE 75x620</v>
          </cell>
          <cell r="AG366">
            <v>6.3844500000000012E-2</v>
          </cell>
          <cell r="AH366">
            <v>0.93533333333333324</v>
          </cell>
          <cell r="AI366">
            <v>1.22</v>
          </cell>
          <cell r="AJ366">
            <v>9530</v>
          </cell>
          <cell r="AK366">
            <v>9530</v>
          </cell>
          <cell r="AL366" t="str">
            <v>0,0053(0,0023;0,003)</v>
          </cell>
          <cell r="AM366" t="str">
            <v>túi hàn lưng xếp hông</v>
          </cell>
          <cell r="AN366">
            <v>340</v>
          </cell>
          <cell r="AO366" t="str">
            <v>Khách hàng lẻ</v>
          </cell>
          <cell r="AP366" t="str">
            <v>1803223-1</v>
          </cell>
          <cell r="AQ366" t="str">
            <v>1803223-2</v>
          </cell>
          <cell r="AR366">
            <v>0</v>
          </cell>
          <cell r="AS366">
            <v>0</v>
          </cell>
          <cell r="AT366">
            <v>0</v>
          </cell>
          <cell r="AU366">
            <v>0</v>
          </cell>
          <cell r="AV366">
            <v>0</v>
          </cell>
          <cell r="AW366">
            <v>0</v>
          </cell>
          <cell r="AX366">
            <v>0</v>
          </cell>
          <cell r="AY366" t="str">
            <v>420x850</v>
          </cell>
          <cell r="AZ366" t="str">
            <v>F3</v>
          </cell>
          <cell r="BA366">
            <v>2500</v>
          </cell>
          <cell r="BB366" t="str">
            <v>Thùng 5 lớp 42x34x36</v>
          </cell>
          <cell r="BC366">
            <v>0</v>
          </cell>
          <cell r="BD366">
            <v>0</v>
          </cell>
        </row>
        <row r="367">
          <cell r="A367" t="str">
            <v>sp 887</v>
          </cell>
          <cell r="B367" t="str">
            <v>Túi trà logo tân cương 500g loại 9</v>
          </cell>
          <cell r="C367">
            <v>4.13</v>
          </cell>
          <cell r="D367">
            <v>2</v>
          </cell>
          <cell r="E367" t="str">
            <v>PET 12x760</v>
          </cell>
          <cell r="F367">
            <v>2</v>
          </cell>
          <cell r="G367" t="str">
            <v>PET</v>
          </cell>
          <cell r="H367">
            <v>0.12</v>
          </cell>
          <cell r="I367">
            <v>0</v>
          </cell>
          <cell r="J367">
            <v>0.17</v>
          </cell>
          <cell r="K367">
            <v>0</v>
          </cell>
          <cell r="L367">
            <v>0</v>
          </cell>
          <cell r="M367">
            <v>0</v>
          </cell>
          <cell r="N367">
            <v>3.7</v>
          </cell>
          <cell r="O367">
            <v>0.14000000000000001</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t="str">
            <v>MPET 12x760</v>
          </cell>
          <cell r="AF367" t="str">
            <v>PE 80x760</v>
          </cell>
          <cell r="AG367">
            <v>8.1776000000000001E-2</v>
          </cell>
          <cell r="AH367">
            <v>1.1499999999999999</v>
          </cell>
          <cell r="AI367">
            <v>1.5</v>
          </cell>
          <cell r="AJ367">
            <v>9530</v>
          </cell>
          <cell r="AK367">
            <v>9530</v>
          </cell>
          <cell r="AL367" t="str">
            <v>0,0053(0,0023;0,003)</v>
          </cell>
          <cell r="AM367" t="str">
            <v>túi hàn lưng xếp hông</v>
          </cell>
          <cell r="AN367">
            <v>420</v>
          </cell>
          <cell r="AO367" t="str">
            <v>Khách hàng lẻ</v>
          </cell>
          <cell r="AP367" t="str">
            <v>1803220-1</v>
          </cell>
          <cell r="AQ367" t="str">
            <v>1803220-2</v>
          </cell>
          <cell r="AR367">
            <v>0</v>
          </cell>
          <cell r="AS367">
            <v>0</v>
          </cell>
          <cell r="AT367">
            <v>0</v>
          </cell>
          <cell r="AU367">
            <v>0</v>
          </cell>
          <cell r="AV367">
            <v>0</v>
          </cell>
          <cell r="AW367">
            <v>0</v>
          </cell>
          <cell r="AX367">
            <v>0</v>
          </cell>
          <cell r="AY367" t="str">
            <v>420x850</v>
          </cell>
          <cell r="AZ367" t="str">
            <v>F3</v>
          </cell>
          <cell r="BA367">
            <v>1500</v>
          </cell>
          <cell r="BB367" t="str">
            <v>Thùng 5 lớp 42x34x36</v>
          </cell>
          <cell r="BC367">
            <v>0</v>
          </cell>
          <cell r="BD367">
            <v>0</v>
          </cell>
        </row>
        <row r="368">
          <cell r="A368" t="str">
            <v>sp 888</v>
          </cell>
          <cell r="B368" t="str">
            <v>Túi trà logo đặc sản 500g loại 9</v>
          </cell>
          <cell r="C368">
            <v>4.91</v>
          </cell>
          <cell r="D368">
            <v>2</v>
          </cell>
          <cell r="E368" t="str">
            <v>PET 12x760</v>
          </cell>
          <cell r="F368">
            <v>2</v>
          </cell>
          <cell r="G368" t="str">
            <v>PET</v>
          </cell>
          <cell r="H368">
            <v>0</v>
          </cell>
          <cell r="I368">
            <v>0</v>
          </cell>
          <cell r="J368">
            <v>0.28000000000000003</v>
          </cell>
          <cell r="K368">
            <v>0</v>
          </cell>
          <cell r="L368">
            <v>0</v>
          </cell>
          <cell r="M368">
            <v>0</v>
          </cell>
          <cell r="N368">
            <v>4.54</v>
          </cell>
          <cell r="O368">
            <v>0.09</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t="str">
            <v>MPET 12x760</v>
          </cell>
          <cell r="AF368" t="str">
            <v>PE 80x760</v>
          </cell>
          <cell r="AG368">
            <v>8.1776000000000001E-2</v>
          </cell>
          <cell r="AH368">
            <v>1.1499999999999999</v>
          </cell>
          <cell r="AI368">
            <v>1.5</v>
          </cell>
          <cell r="AJ368">
            <v>9530</v>
          </cell>
          <cell r="AK368">
            <v>9530</v>
          </cell>
          <cell r="AL368" t="str">
            <v>0,0053(0,0023;0,003)</v>
          </cell>
          <cell r="AM368" t="str">
            <v>túi hàn lưng xếp hông</v>
          </cell>
          <cell r="AN368">
            <v>420</v>
          </cell>
          <cell r="AO368" t="str">
            <v>Khách hàng lẻ</v>
          </cell>
          <cell r="AP368" t="str">
            <v>18030221-1</v>
          </cell>
          <cell r="AQ368" t="str">
            <v>18030221-2</v>
          </cell>
          <cell r="AR368">
            <v>0</v>
          </cell>
          <cell r="AS368">
            <v>0</v>
          </cell>
          <cell r="AT368">
            <v>0</v>
          </cell>
          <cell r="AU368">
            <v>0</v>
          </cell>
          <cell r="AV368">
            <v>0</v>
          </cell>
          <cell r="AW368">
            <v>0</v>
          </cell>
          <cell r="AX368">
            <v>0</v>
          </cell>
          <cell r="AY368" t="str">
            <v>420x850</v>
          </cell>
          <cell r="AZ368" t="str">
            <v>F3</v>
          </cell>
          <cell r="BA368">
            <v>1500</v>
          </cell>
          <cell r="BB368" t="str">
            <v>Thùng 5 lớp 42x34x33</v>
          </cell>
          <cell r="BC368">
            <v>0</v>
          </cell>
          <cell r="BD368">
            <v>0</v>
          </cell>
        </row>
        <row r="369">
          <cell r="A369" t="str">
            <v>sp 889</v>
          </cell>
          <cell r="B369" t="str">
            <v>Cuộn thuốc trừ cỏ lúa Arorax 17WP loại 15g Việt Thắng</v>
          </cell>
          <cell r="C369">
            <v>3.4199999999999995</v>
          </cell>
          <cell r="D369">
            <v>3</v>
          </cell>
          <cell r="E369" t="str">
            <v>PET 12x800</v>
          </cell>
          <cell r="F369">
            <v>6</v>
          </cell>
          <cell r="G369" t="str">
            <v>PET</v>
          </cell>
          <cell r="H369">
            <v>0.05</v>
          </cell>
          <cell r="I369">
            <v>2.4900000000000002</v>
          </cell>
          <cell r="J369">
            <v>0.32</v>
          </cell>
          <cell r="K369">
            <v>0.01</v>
          </cell>
          <cell r="L369">
            <v>0.54</v>
          </cell>
          <cell r="M369">
            <v>0</v>
          </cell>
          <cell r="N369">
            <v>0</v>
          </cell>
          <cell r="O369">
            <v>0</v>
          </cell>
          <cell r="P369">
            <v>0</v>
          </cell>
          <cell r="Q369">
            <v>0</v>
          </cell>
          <cell r="R369">
            <v>0.01</v>
          </cell>
          <cell r="S369">
            <v>0</v>
          </cell>
          <cell r="T369">
            <v>0</v>
          </cell>
          <cell r="U369">
            <v>0</v>
          </cell>
          <cell r="V369">
            <v>0</v>
          </cell>
          <cell r="W369">
            <v>0</v>
          </cell>
          <cell r="X369">
            <v>0</v>
          </cell>
          <cell r="Y369">
            <v>0</v>
          </cell>
          <cell r="Z369">
            <v>0</v>
          </cell>
          <cell r="AA369">
            <v>0</v>
          </cell>
          <cell r="AB369">
            <v>0</v>
          </cell>
          <cell r="AC369">
            <v>0</v>
          </cell>
          <cell r="AD369">
            <v>0</v>
          </cell>
          <cell r="AE369" t="str">
            <v>Al 6x800</v>
          </cell>
          <cell r="AF369" t="str">
            <v>PE 85x810</v>
          </cell>
          <cell r="AG369">
            <v>8.9348000000000011E-2</v>
          </cell>
          <cell r="AH369">
            <v>1.2113333333333334</v>
          </cell>
          <cell r="AI369">
            <v>1.2113333333333334</v>
          </cell>
          <cell r="AJ369">
            <v>9530</v>
          </cell>
          <cell r="AK369">
            <v>9530</v>
          </cell>
          <cell r="AL369" t="str">
            <v>0,0046(0,0023;0,0023)</v>
          </cell>
          <cell r="AM369" t="str">
            <v>dạng cuộn 700m</v>
          </cell>
          <cell r="AN369">
            <v>260</v>
          </cell>
          <cell r="AO369" t="str">
            <v>Công ty Việt Thắng</v>
          </cell>
          <cell r="AP369" t="str">
            <v>20110907-1</v>
          </cell>
          <cell r="AQ369" t="str">
            <v>19070739-2</v>
          </cell>
          <cell r="AR369" t="str">
            <v>1803525-3</v>
          </cell>
          <cell r="AS369" t="str">
            <v>1803526-4</v>
          </cell>
          <cell r="AT369" t="str">
            <v>1803525-5</v>
          </cell>
          <cell r="AU369" t="str">
            <v>1803525-6</v>
          </cell>
          <cell r="AV369">
            <v>0</v>
          </cell>
          <cell r="AW369">
            <v>0</v>
          </cell>
          <cell r="AX369">
            <v>0</v>
          </cell>
          <cell r="AY369" t="str">
            <v>450x870</v>
          </cell>
          <cell r="AZ369" t="str">
            <v>D3</v>
          </cell>
          <cell r="BA369" t="str">
            <v>2c</v>
          </cell>
          <cell r="BB369" t="str">
            <v>giấy cartoon K600</v>
          </cell>
          <cell r="BC369">
            <v>0</v>
          </cell>
          <cell r="BD369" t="str">
            <v>in chung cây Tím,xd,vàng,trắng (2,3,5,6)với sp 882</v>
          </cell>
        </row>
        <row r="370">
          <cell r="A370" t="str">
            <v>sp 890</v>
          </cell>
          <cell r="B370" t="str">
            <v>Cuộn màng không in ghép nhôm khổ 700 proline</v>
          </cell>
          <cell r="C370">
            <v>0</v>
          </cell>
          <cell r="D370">
            <v>1</v>
          </cell>
          <cell r="E370" t="str">
            <v>PET 12x700</v>
          </cell>
          <cell r="F370">
            <v>0</v>
          </cell>
          <cell r="G370" t="str">
            <v>PET</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t="str">
            <v>Al 6x700</v>
          </cell>
          <cell r="AF370" t="str">
            <v>PE 75x710</v>
          </cell>
          <cell r="AG370">
            <v>7.170449999999999E-2</v>
          </cell>
          <cell r="AH370">
            <v>1.0579999999999998</v>
          </cell>
          <cell r="AI370">
            <v>1.38</v>
          </cell>
          <cell r="AJ370">
            <v>9530</v>
          </cell>
          <cell r="AK370">
            <v>9530</v>
          </cell>
          <cell r="AL370" t="str">
            <v>0,0053(0,0023;0,003)</v>
          </cell>
          <cell r="AM370" t="str">
            <v>dạng cuộn 1500m</v>
          </cell>
          <cell r="AN370">
            <v>700</v>
          </cell>
          <cell r="AO370" t="str">
            <v>Công ty Proline</v>
          </cell>
          <cell r="AP370" t="e">
            <v>#N/A</v>
          </cell>
          <cell r="AQ370" t="e">
            <v>#N/A</v>
          </cell>
          <cell r="AR370" t="e">
            <v>#N/A</v>
          </cell>
          <cell r="AS370" t="e">
            <v>#N/A</v>
          </cell>
          <cell r="AT370" t="e">
            <v>#N/A</v>
          </cell>
          <cell r="AU370" t="e">
            <v>#N/A</v>
          </cell>
          <cell r="AV370" t="e">
            <v>#N/A</v>
          </cell>
          <cell r="AW370" t="e">
            <v>#N/A</v>
          </cell>
          <cell r="AX370" t="e">
            <v>#N/A</v>
          </cell>
          <cell r="AY370" t="e">
            <v>#N/A</v>
          </cell>
          <cell r="AZ370" t="e">
            <v>#N/A</v>
          </cell>
          <cell r="BA370" t="str">
            <v>1c</v>
          </cell>
          <cell r="BB370" t="str">
            <v>giấy cartoon</v>
          </cell>
          <cell r="BC370">
            <v>0</v>
          </cell>
          <cell r="BD370" t="e">
            <v>#N/A</v>
          </cell>
        </row>
        <row r="371">
          <cell r="A371" t="str">
            <v>sp 891</v>
          </cell>
          <cell r="B371" t="str">
            <v>Túi thuốc trừ bệnh Đồng Cloruloxi 30WP loại 100g Việt Thắng</v>
          </cell>
          <cell r="C371">
            <v>5.75</v>
          </cell>
          <cell r="D371">
            <v>2</v>
          </cell>
          <cell r="E371" t="str">
            <v>OPP 20x760</v>
          </cell>
          <cell r="F371">
            <v>6</v>
          </cell>
          <cell r="G371" t="str">
            <v>OPP</v>
          </cell>
          <cell r="H371">
            <v>0.2</v>
          </cell>
          <cell r="I371">
            <v>1.8</v>
          </cell>
          <cell r="J371">
            <v>0.1</v>
          </cell>
          <cell r="K371">
            <v>0.1</v>
          </cell>
          <cell r="L371">
            <v>1.3</v>
          </cell>
          <cell r="M371">
            <v>2</v>
          </cell>
          <cell r="N371">
            <v>0</v>
          </cell>
          <cell r="O371">
            <v>0</v>
          </cell>
          <cell r="P371">
            <v>0</v>
          </cell>
          <cell r="Q371">
            <v>0</v>
          </cell>
          <cell r="R371">
            <v>0.25</v>
          </cell>
          <cell r="S371">
            <v>0</v>
          </cell>
          <cell r="T371">
            <v>0</v>
          </cell>
          <cell r="U371">
            <v>0</v>
          </cell>
          <cell r="V371">
            <v>0</v>
          </cell>
          <cell r="W371">
            <v>0</v>
          </cell>
          <cell r="X371">
            <v>0</v>
          </cell>
          <cell r="Y371">
            <v>0</v>
          </cell>
          <cell r="Z371">
            <v>0</v>
          </cell>
          <cell r="AA371">
            <v>0</v>
          </cell>
          <cell r="AB371">
            <v>0</v>
          </cell>
          <cell r="AC371">
            <v>0</v>
          </cell>
          <cell r="AD371">
            <v>0</v>
          </cell>
          <cell r="AE371" t="str">
            <v>PE 60x760</v>
          </cell>
          <cell r="AF371">
            <v>0</v>
          </cell>
          <cell r="AG371">
            <v>5.6011999999999999E-2</v>
          </cell>
          <cell r="AH371">
            <v>1.1499999999999999</v>
          </cell>
          <cell r="AI371">
            <v>0</v>
          </cell>
          <cell r="AJ371">
            <v>9530</v>
          </cell>
          <cell r="AK371">
            <v>0</v>
          </cell>
          <cell r="AL371">
            <v>2.3E-3</v>
          </cell>
          <cell r="AM371" t="str">
            <v>túi ba biên</v>
          </cell>
          <cell r="AN371">
            <v>130</v>
          </cell>
          <cell r="AO371" t="str">
            <v>Công ty Việt Thắng</v>
          </cell>
          <cell r="AP371" t="str">
            <v>X102601G1-1</v>
          </cell>
          <cell r="AQ371" t="str">
            <v>X102601G1-2</v>
          </cell>
          <cell r="AR371" t="str">
            <v>X102601G1-3</v>
          </cell>
          <cell r="AS371" t="str">
            <v>X102601G1-4</v>
          </cell>
          <cell r="AT371" t="str">
            <v>X102601-5</v>
          </cell>
          <cell r="AU371" t="str">
            <v>X102601-6</v>
          </cell>
          <cell r="AV371">
            <v>0</v>
          </cell>
          <cell r="AW371">
            <v>0</v>
          </cell>
          <cell r="AX371">
            <v>0</v>
          </cell>
          <cell r="AY371" t="str">
            <v>520x870</v>
          </cell>
          <cell r="AZ371" t="str">
            <v>D3</v>
          </cell>
          <cell r="BA371">
            <v>9000</v>
          </cell>
          <cell r="BB371" t="str">
            <v>Thùng 5 lớp 42x34x36</v>
          </cell>
          <cell r="BC371">
            <v>0</v>
          </cell>
          <cell r="BD371">
            <v>0</v>
          </cell>
        </row>
        <row r="372">
          <cell r="A372" t="str">
            <v>sp 892</v>
          </cell>
          <cell r="B372" t="str">
            <v>Cuộn thuốc đặc trị rầy Ba Đăng 300WP loại 10g Việt Thắng</v>
          </cell>
          <cell r="C372">
            <v>5.2</v>
          </cell>
          <cell r="D372">
            <v>3</v>
          </cell>
          <cell r="E372" t="str">
            <v>PET 12x800</v>
          </cell>
          <cell r="F372">
            <v>5</v>
          </cell>
          <cell r="G372" t="str">
            <v>PET</v>
          </cell>
          <cell r="H372">
            <v>0.35</v>
          </cell>
          <cell r="I372">
            <v>2.88</v>
          </cell>
          <cell r="J372">
            <v>0.04</v>
          </cell>
          <cell r="K372">
            <v>0.49</v>
          </cell>
          <cell r="L372">
            <v>0.95</v>
          </cell>
          <cell r="M372">
            <v>0.49</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t="str">
            <v>Al 6x800</v>
          </cell>
          <cell r="AF372" t="str">
            <v>PE 85x810</v>
          </cell>
          <cell r="AG372">
            <v>8.9348000000000011E-2</v>
          </cell>
          <cell r="AH372">
            <v>1.2113333333333334</v>
          </cell>
          <cell r="AI372">
            <v>1.2113333333333334</v>
          </cell>
          <cell r="AJ372">
            <v>9530</v>
          </cell>
          <cell r="AK372">
            <v>9530</v>
          </cell>
          <cell r="AL372" t="str">
            <v>0,0046(0,0023;0,0023)</v>
          </cell>
          <cell r="AM372" t="str">
            <v>dạng cuộn 700m</v>
          </cell>
          <cell r="AN372">
            <v>260</v>
          </cell>
          <cell r="AO372" t="str">
            <v>Công ty Việt Thắng</v>
          </cell>
          <cell r="AP372" t="str">
            <v>19060488-1</v>
          </cell>
          <cell r="AQ372" t="str">
            <v>1803527-2</v>
          </cell>
          <cell r="AR372" t="str">
            <v>1803527-3</v>
          </cell>
          <cell r="AS372" t="str">
            <v>1803527-4</v>
          </cell>
          <cell r="AT372" t="str">
            <v>1803527-5</v>
          </cell>
          <cell r="AU372">
            <v>0</v>
          </cell>
          <cell r="AV372">
            <v>0</v>
          </cell>
          <cell r="AW372">
            <v>0</v>
          </cell>
          <cell r="AX372">
            <v>0</v>
          </cell>
          <cell r="AY372" t="str">
            <v>450x870</v>
          </cell>
          <cell r="AZ372" t="str">
            <v>D4</v>
          </cell>
          <cell r="BA372" t="str">
            <v>1c</v>
          </cell>
          <cell r="BB372" t="str">
            <v>giấy cartoon</v>
          </cell>
          <cell r="BC372">
            <v>0</v>
          </cell>
          <cell r="BD372">
            <v>0</v>
          </cell>
        </row>
        <row r="373">
          <cell r="A373" t="str">
            <v>sp 893</v>
          </cell>
          <cell r="B373" t="str">
            <v>Túi Fruitka Foliar 100gr</v>
          </cell>
          <cell r="C373">
            <v>0</v>
          </cell>
          <cell r="D373">
            <v>3</v>
          </cell>
          <cell r="E373" t="str">
            <v>OPP 20x740</v>
          </cell>
          <cell r="F373">
            <v>6</v>
          </cell>
          <cell r="G373" t="str">
            <v>OPP</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t="str">
            <v>MPET 12x740</v>
          </cell>
          <cell r="AF373" t="str">
            <v>PE 50x740</v>
          </cell>
          <cell r="AG373">
            <v>6.0125000000000012E-2</v>
          </cell>
          <cell r="AH373">
            <v>1.1193333333333333</v>
          </cell>
          <cell r="AI373">
            <v>1.1193333333333333</v>
          </cell>
          <cell r="AJ373">
            <v>9530</v>
          </cell>
          <cell r="AK373">
            <v>9530</v>
          </cell>
          <cell r="AL373" t="str">
            <v>0,0046(0,0023;0,0023)</v>
          </cell>
          <cell r="AM373" t="str">
            <v xml:space="preserve">túi ba biên </v>
          </cell>
          <cell r="AN373">
            <v>140</v>
          </cell>
          <cell r="AO373" t="str">
            <v>Công ty Nông Nghiệp Nhiệt Đới</v>
          </cell>
          <cell r="AP373" t="e">
            <v>#N/A</v>
          </cell>
          <cell r="AQ373" t="e">
            <v>#N/A</v>
          </cell>
          <cell r="AR373" t="e">
            <v>#N/A</v>
          </cell>
          <cell r="AS373" t="e">
            <v>#N/A</v>
          </cell>
          <cell r="AT373" t="e">
            <v>#N/A</v>
          </cell>
          <cell r="AU373" t="e">
            <v>#N/A</v>
          </cell>
          <cell r="AV373" t="e">
            <v>#N/A</v>
          </cell>
          <cell r="AW373" t="e">
            <v>#N/A</v>
          </cell>
          <cell r="AX373" t="e">
            <v>#N/A</v>
          </cell>
          <cell r="AY373" t="e">
            <v>#N/A</v>
          </cell>
          <cell r="AZ373" t="e">
            <v>#N/A</v>
          </cell>
          <cell r="BA373">
            <v>12000</v>
          </cell>
          <cell r="BB373" t="str">
            <v>Thùng 5 lớp 42x34x36</v>
          </cell>
          <cell r="BC373">
            <v>0</v>
          </cell>
          <cell r="BD373" t="e">
            <v>#N/A</v>
          </cell>
        </row>
        <row r="374">
          <cell r="A374" t="str">
            <v>sp 894</v>
          </cell>
          <cell r="B374" t="str">
            <v>Túi thuốc trừ sâu golnitor 50WG hiệu siêu khủng phá tổ 10g</v>
          </cell>
          <cell r="C374">
            <v>4.4499999999999993</v>
          </cell>
          <cell r="D374">
            <v>3</v>
          </cell>
          <cell r="E374" t="str">
            <v>PET 12x680</v>
          </cell>
          <cell r="F374">
            <v>7</v>
          </cell>
          <cell r="G374" t="str">
            <v>PET</v>
          </cell>
          <cell r="H374">
            <v>0.01</v>
          </cell>
          <cell r="I374">
            <v>3.05</v>
          </cell>
          <cell r="J374">
            <v>0.22</v>
          </cell>
          <cell r="K374">
            <v>0.01</v>
          </cell>
          <cell r="L374">
            <v>0.28999999999999998</v>
          </cell>
          <cell r="M374">
            <v>0.7</v>
          </cell>
          <cell r="N374">
            <v>0</v>
          </cell>
          <cell r="O374">
            <v>0</v>
          </cell>
          <cell r="P374">
            <v>0.12</v>
          </cell>
          <cell r="Q374">
            <v>0</v>
          </cell>
          <cell r="R374">
            <v>0.04</v>
          </cell>
          <cell r="S374">
            <v>0</v>
          </cell>
          <cell r="T374">
            <v>0</v>
          </cell>
          <cell r="U374">
            <v>0</v>
          </cell>
          <cell r="V374">
            <v>0</v>
          </cell>
          <cell r="W374">
            <v>0.01</v>
          </cell>
          <cell r="X374">
            <v>0</v>
          </cell>
          <cell r="Y374">
            <v>0</v>
          </cell>
          <cell r="Z374">
            <v>0</v>
          </cell>
          <cell r="AA374">
            <v>0</v>
          </cell>
          <cell r="AB374">
            <v>0</v>
          </cell>
          <cell r="AC374">
            <v>0</v>
          </cell>
          <cell r="AD374">
            <v>0</v>
          </cell>
          <cell r="AE374" t="str">
            <v>MPET 12x680</v>
          </cell>
          <cell r="AF374" t="str">
            <v>PE 75x680</v>
          </cell>
          <cell r="AG374">
            <v>7.0023000000000016E-2</v>
          </cell>
          <cell r="AH374">
            <v>1.0273333333333332</v>
          </cell>
          <cell r="AI374">
            <v>1.0273333333333332</v>
          </cell>
          <cell r="AJ374">
            <v>9530</v>
          </cell>
          <cell r="AK374">
            <v>9530</v>
          </cell>
          <cell r="AL374" t="str">
            <v>0,0046(0,0023;0,0023)</v>
          </cell>
          <cell r="AM374" t="str">
            <v xml:space="preserve">túi ba biên </v>
          </cell>
          <cell r="AN374">
            <v>140</v>
          </cell>
          <cell r="AO374" t="str">
            <v>Công ty Quốc tế Hòa Bình</v>
          </cell>
          <cell r="AP374" t="e">
            <v>#N/A</v>
          </cell>
          <cell r="AQ374" t="e">
            <v>#N/A</v>
          </cell>
          <cell r="AR374" t="e">
            <v>#N/A</v>
          </cell>
          <cell r="AS374" t="e">
            <v>#N/A</v>
          </cell>
          <cell r="AT374" t="e">
            <v>#N/A</v>
          </cell>
          <cell r="AU374" t="e">
            <v>#N/A</v>
          </cell>
          <cell r="AV374" t="e">
            <v>#N/A</v>
          </cell>
          <cell r="AW374" t="e">
            <v>#N/A</v>
          </cell>
          <cell r="AX374" t="e">
            <v>#N/A</v>
          </cell>
          <cell r="AY374" t="e">
            <v>#N/A</v>
          </cell>
          <cell r="AZ374" t="e">
            <v>#N/A</v>
          </cell>
          <cell r="BA374">
            <v>12000</v>
          </cell>
          <cell r="BB374" t="str">
            <v>Thùng 5 lớp 42x34x36</v>
          </cell>
          <cell r="BC374">
            <v>0</v>
          </cell>
          <cell r="BD374" t="e">
            <v>#N/A</v>
          </cell>
        </row>
        <row r="375">
          <cell r="A375" t="str">
            <v>sp 895</v>
          </cell>
          <cell r="B375" t="str">
            <v>Cuộn màng nhôm Dmax Aluminum loại 2 sơn Việt</v>
          </cell>
          <cell r="C375">
            <v>1.5000000000000002</v>
          </cell>
          <cell r="D375">
            <v>1</v>
          </cell>
          <cell r="E375" t="str">
            <v>PE đt 60x1270</v>
          </cell>
          <cell r="F375">
            <v>2</v>
          </cell>
          <cell r="G375" t="str">
            <v xml:space="preserve">PE </v>
          </cell>
          <cell r="H375">
            <v>0.2</v>
          </cell>
          <cell r="I375">
            <v>0</v>
          </cell>
          <cell r="J375">
            <v>0.3</v>
          </cell>
          <cell r="K375">
            <v>0</v>
          </cell>
          <cell r="L375">
            <v>0.8</v>
          </cell>
          <cell r="M375">
            <v>0</v>
          </cell>
          <cell r="N375">
            <v>0</v>
          </cell>
          <cell r="O375">
            <v>0</v>
          </cell>
          <cell r="P375">
            <v>0.1</v>
          </cell>
          <cell r="Q375">
            <v>0</v>
          </cell>
          <cell r="R375">
            <v>0.1</v>
          </cell>
          <cell r="S375">
            <v>0</v>
          </cell>
          <cell r="T375">
            <v>0</v>
          </cell>
          <cell r="U375">
            <v>0</v>
          </cell>
          <cell r="V375">
            <v>0</v>
          </cell>
          <cell r="W375">
            <v>0</v>
          </cell>
          <cell r="X375">
            <v>0</v>
          </cell>
          <cell r="Y375">
            <v>0</v>
          </cell>
          <cell r="Z375">
            <v>0</v>
          </cell>
          <cell r="AA375">
            <v>0</v>
          </cell>
          <cell r="AB375">
            <v>0</v>
          </cell>
          <cell r="AC375">
            <v>0</v>
          </cell>
          <cell r="AD375">
            <v>0</v>
          </cell>
          <cell r="AE375" t="str">
            <v>PE 20x1270</v>
          </cell>
          <cell r="AF375">
            <v>0</v>
          </cell>
          <cell r="AG375">
            <v>7.2834499999999996E-2</v>
          </cell>
          <cell r="AH375">
            <v>1.68</v>
          </cell>
          <cell r="AI375">
            <v>0</v>
          </cell>
          <cell r="AJ375">
            <v>9530</v>
          </cell>
          <cell r="AK375">
            <v>0</v>
          </cell>
          <cell r="AL375">
            <v>2E-3</v>
          </cell>
          <cell r="AM375" t="str">
            <v>dạng cuộn 2000m</v>
          </cell>
          <cell r="AN375">
            <v>1270</v>
          </cell>
          <cell r="AO375" t="str">
            <v>Công ty Đức Thiện</v>
          </cell>
          <cell r="AP375" t="e">
            <v>#N/A</v>
          </cell>
          <cell r="AQ375" t="e">
            <v>#N/A</v>
          </cell>
          <cell r="AR375" t="e">
            <v>#N/A</v>
          </cell>
          <cell r="AS375" t="e">
            <v>#N/A</v>
          </cell>
          <cell r="AT375" t="e">
            <v>#N/A</v>
          </cell>
          <cell r="AU375" t="e">
            <v>#N/A</v>
          </cell>
          <cell r="AV375" t="e">
            <v>#N/A</v>
          </cell>
          <cell r="AW375" t="e">
            <v>#N/A</v>
          </cell>
          <cell r="AX375" t="e">
            <v>#N/A</v>
          </cell>
          <cell r="AY375" t="e">
            <v>#N/A</v>
          </cell>
          <cell r="AZ375" t="e">
            <v>#N/A</v>
          </cell>
          <cell r="BA375" t="str">
            <v>1c</v>
          </cell>
          <cell r="BB375" t="str">
            <v>giấy cartoon</v>
          </cell>
          <cell r="BC375">
            <v>0</v>
          </cell>
          <cell r="BD375" t="e">
            <v>#N/A</v>
          </cell>
        </row>
        <row r="376">
          <cell r="A376" t="str">
            <v>sp 896</v>
          </cell>
          <cell r="B376" t="str">
            <v>Cuộn màng nhôm 3D Window loại 1 Quốc Dũng</v>
          </cell>
          <cell r="C376">
            <v>0.5</v>
          </cell>
          <cell r="D376">
            <v>1</v>
          </cell>
          <cell r="E376" t="str">
            <v>PE đt 60x1270</v>
          </cell>
          <cell r="F376">
            <v>3</v>
          </cell>
          <cell r="G376" t="str">
            <v xml:space="preserve">PE </v>
          </cell>
          <cell r="H376">
            <v>0</v>
          </cell>
          <cell r="I376">
            <v>0</v>
          </cell>
          <cell r="J376">
            <v>0</v>
          </cell>
          <cell r="K376">
            <v>0</v>
          </cell>
          <cell r="L376">
            <v>0.2</v>
          </cell>
          <cell r="M376">
            <v>0</v>
          </cell>
          <cell r="N376">
            <v>0</v>
          </cell>
          <cell r="O376">
            <v>0</v>
          </cell>
          <cell r="P376">
            <v>0.1</v>
          </cell>
          <cell r="Q376">
            <v>0.1</v>
          </cell>
          <cell r="R376">
            <v>0.1</v>
          </cell>
          <cell r="S376">
            <v>0</v>
          </cell>
          <cell r="T376">
            <v>0</v>
          </cell>
          <cell r="U376">
            <v>0</v>
          </cell>
          <cell r="V376">
            <v>0</v>
          </cell>
          <cell r="W376">
            <v>0</v>
          </cell>
          <cell r="X376">
            <v>0</v>
          </cell>
          <cell r="Y376">
            <v>0</v>
          </cell>
          <cell r="Z376">
            <v>0</v>
          </cell>
          <cell r="AA376">
            <v>0</v>
          </cell>
          <cell r="AB376">
            <v>0</v>
          </cell>
          <cell r="AC376">
            <v>0</v>
          </cell>
          <cell r="AD376">
            <v>0</v>
          </cell>
          <cell r="AE376" t="str">
            <v>PE 20x1270</v>
          </cell>
          <cell r="AF376">
            <v>0</v>
          </cell>
          <cell r="AG376">
            <v>9.3980000000000008E-2</v>
          </cell>
          <cell r="AH376">
            <v>1.68</v>
          </cell>
          <cell r="AI376">
            <v>0</v>
          </cell>
          <cell r="AJ376">
            <v>9530</v>
          </cell>
          <cell r="AK376">
            <v>0</v>
          </cell>
          <cell r="AL376">
            <v>2E-3</v>
          </cell>
          <cell r="AM376" t="str">
            <v>dạng cuộn 2000m</v>
          </cell>
          <cell r="AN376">
            <v>1270</v>
          </cell>
          <cell r="AO376" t="str">
            <v>Công ty Đức Thiện</v>
          </cell>
          <cell r="AP376" t="e">
            <v>#N/A</v>
          </cell>
          <cell r="AQ376" t="e">
            <v>#N/A</v>
          </cell>
          <cell r="AR376" t="e">
            <v>#N/A</v>
          </cell>
          <cell r="AS376" t="e">
            <v>#N/A</v>
          </cell>
          <cell r="AT376" t="e">
            <v>#N/A</v>
          </cell>
          <cell r="AU376" t="e">
            <v>#N/A</v>
          </cell>
          <cell r="AV376" t="e">
            <v>#N/A</v>
          </cell>
          <cell r="AW376" t="e">
            <v>#N/A</v>
          </cell>
          <cell r="AX376" t="e">
            <v>#N/A</v>
          </cell>
          <cell r="AY376" t="e">
            <v>#N/A</v>
          </cell>
          <cell r="AZ376" t="e">
            <v>#N/A</v>
          </cell>
          <cell r="BA376" t="str">
            <v>1c</v>
          </cell>
          <cell r="BB376" t="str">
            <v>giấy cartoon</v>
          </cell>
          <cell r="BC376">
            <v>0</v>
          </cell>
          <cell r="BD376" t="e">
            <v>#N/A</v>
          </cell>
        </row>
        <row r="377">
          <cell r="A377" t="str">
            <v>sp 897</v>
          </cell>
          <cell r="B377" t="str">
            <v>Cuộn màng nhôm Dmax hệ việt pháp loại 3 Sơn Việt</v>
          </cell>
          <cell r="C377">
            <v>0</v>
          </cell>
          <cell r="D377">
            <v>0</v>
          </cell>
          <cell r="E377">
            <v>0</v>
          </cell>
          <cell r="F377">
            <v>0</v>
          </cell>
          <cell r="G377" t="str">
            <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2E-3</v>
          </cell>
          <cell r="AM377">
            <v>0</v>
          </cell>
          <cell r="AN377">
            <v>0</v>
          </cell>
          <cell r="AO377">
            <v>0</v>
          </cell>
          <cell r="AP377" t="e">
            <v>#N/A</v>
          </cell>
          <cell r="AQ377" t="e">
            <v>#N/A</v>
          </cell>
          <cell r="AR377" t="e">
            <v>#N/A</v>
          </cell>
          <cell r="AS377" t="e">
            <v>#N/A</v>
          </cell>
          <cell r="AT377" t="e">
            <v>#N/A</v>
          </cell>
          <cell r="AU377" t="e">
            <v>#N/A</v>
          </cell>
          <cell r="AV377" t="e">
            <v>#N/A</v>
          </cell>
          <cell r="AW377" t="e">
            <v>#N/A</v>
          </cell>
          <cell r="AX377" t="e">
            <v>#N/A</v>
          </cell>
          <cell r="AY377" t="e">
            <v>#N/A</v>
          </cell>
          <cell r="AZ377" t="e">
            <v>#N/A</v>
          </cell>
          <cell r="BA377" t="str">
            <v>1c</v>
          </cell>
          <cell r="BB377" t="str">
            <v>giấy cartoon</v>
          </cell>
          <cell r="BC377">
            <v>0</v>
          </cell>
          <cell r="BD377" t="e">
            <v>#N/A</v>
          </cell>
        </row>
        <row r="378">
          <cell r="A378" t="str">
            <v>sp 898</v>
          </cell>
          <cell r="B378" t="str">
            <v>Túi thuốc trừ sâu Wamtox 100EC 10ml x 10 gói Việt Thắng</v>
          </cell>
          <cell r="C378">
            <v>9.3699999999999992</v>
          </cell>
          <cell r="D378">
            <v>3</v>
          </cell>
          <cell r="E378" t="str">
            <v>OPP 30x800</v>
          </cell>
          <cell r="F378">
            <v>5</v>
          </cell>
          <cell r="G378" t="str">
            <v>OPP</v>
          </cell>
          <cell r="H378">
            <v>0.14000000000000001</v>
          </cell>
          <cell r="I378">
            <v>4.25</v>
          </cell>
          <cell r="J378">
            <v>0.98</v>
          </cell>
          <cell r="K378">
            <v>7.0000000000000007E-2</v>
          </cell>
          <cell r="L378">
            <v>2.16</v>
          </cell>
          <cell r="M378">
            <v>1.77</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t="str">
            <v>PE sứ 50x800</v>
          </cell>
          <cell r="AF378">
            <v>0</v>
          </cell>
          <cell r="AG378">
            <v>5.9040000000000009E-2</v>
          </cell>
          <cell r="AH378">
            <v>1.2113333333333334</v>
          </cell>
          <cell r="AI378">
            <v>0</v>
          </cell>
          <cell r="AJ378">
            <v>9530</v>
          </cell>
          <cell r="AK378">
            <v>0</v>
          </cell>
          <cell r="AL378">
            <v>2.3E-3</v>
          </cell>
          <cell r="AM378" t="str">
            <v>túi hàn lưng xếp hông</v>
          </cell>
          <cell r="AN378">
            <v>170</v>
          </cell>
          <cell r="AO378" t="str">
            <v>Công ty Việt Thắng</v>
          </cell>
          <cell r="AP378" t="str">
            <v>X102699-1</v>
          </cell>
          <cell r="AQ378" t="str">
            <v>X102699-2</v>
          </cell>
          <cell r="AR378" t="str">
            <v>X102699-3</v>
          </cell>
          <cell r="AS378" t="str">
            <v>X102699-4</v>
          </cell>
          <cell r="AT378" t="str">
            <v>X102699-5</v>
          </cell>
          <cell r="AU378">
            <v>0</v>
          </cell>
          <cell r="AV378">
            <v>0</v>
          </cell>
          <cell r="AW378">
            <v>0</v>
          </cell>
          <cell r="AX378">
            <v>0</v>
          </cell>
          <cell r="AY378" t="str">
            <v>510x870</v>
          </cell>
          <cell r="AZ378" t="str">
            <v>D4</v>
          </cell>
          <cell r="BA378">
            <v>8000</v>
          </cell>
          <cell r="BB378" t="str">
            <v>Thùng 5 lớp 42x34x36</v>
          </cell>
          <cell r="BC378">
            <v>0</v>
          </cell>
          <cell r="BD378">
            <v>0</v>
          </cell>
        </row>
        <row r="379">
          <cell r="A379" t="str">
            <v>sp 899</v>
          </cell>
          <cell r="B379" t="str">
            <v>Túi thuốc không in KT 220x340 Việt Thắng</v>
          </cell>
          <cell r="C379">
            <v>0</v>
          </cell>
          <cell r="D379">
            <v>1</v>
          </cell>
          <cell r="E379" t="str">
            <v>OPP 20x460</v>
          </cell>
          <cell r="F379">
            <v>0</v>
          </cell>
          <cell r="G379" t="str">
            <v>OPP</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t="str">
            <v>MPET 12x460</v>
          </cell>
          <cell r="AF379" t="str">
            <v>PE 95x460</v>
          </cell>
          <cell r="AG379">
            <v>5.652250000000001E-2</v>
          </cell>
          <cell r="AH379">
            <v>0.69</v>
          </cell>
          <cell r="AI379">
            <v>0.9</v>
          </cell>
          <cell r="AJ379">
            <v>9530</v>
          </cell>
          <cell r="AK379">
            <v>9530</v>
          </cell>
          <cell r="AL379" t="str">
            <v>0,0053(0,0023;0,003)</v>
          </cell>
          <cell r="AM379" t="str">
            <v xml:space="preserve">túi ba biên </v>
          </cell>
          <cell r="AN379">
            <v>340</v>
          </cell>
          <cell r="AO379" t="str">
            <v>Công ty Việt Thắng</v>
          </cell>
          <cell r="AP379" t="e">
            <v>#N/A</v>
          </cell>
          <cell r="AQ379" t="e">
            <v>#N/A</v>
          </cell>
          <cell r="AR379" t="e">
            <v>#N/A</v>
          </cell>
          <cell r="AS379" t="e">
            <v>#N/A</v>
          </cell>
          <cell r="AT379" t="e">
            <v>#N/A</v>
          </cell>
          <cell r="AU379" t="e">
            <v>#N/A</v>
          </cell>
          <cell r="AV379" t="e">
            <v>#N/A</v>
          </cell>
          <cell r="AW379" t="e">
            <v>#N/A</v>
          </cell>
          <cell r="AX379" t="e">
            <v>#N/A</v>
          </cell>
          <cell r="AY379" t="e">
            <v>#N/A</v>
          </cell>
          <cell r="AZ379" t="e">
            <v>#N/A</v>
          </cell>
          <cell r="BA379">
            <v>1500</v>
          </cell>
          <cell r="BB379" t="str">
            <v>Thùng 5 lớp 42x34x36</v>
          </cell>
          <cell r="BC379">
            <v>0</v>
          </cell>
          <cell r="BD379" t="e">
            <v>#N/A</v>
          </cell>
        </row>
        <row r="380">
          <cell r="A380" t="str">
            <v>sp 900</v>
          </cell>
          <cell r="B380" t="str">
            <v>Túi thuốc trừ sâu shaling shuang 950 hiệu xong 950 loại 100g</v>
          </cell>
          <cell r="C380">
            <v>5.75</v>
          </cell>
          <cell r="D380">
            <v>2</v>
          </cell>
          <cell r="E380" t="str">
            <v>PET 12x620</v>
          </cell>
          <cell r="F380">
            <v>7</v>
          </cell>
          <cell r="G380" t="str">
            <v>PET</v>
          </cell>
          <cell r="H380">
            <v>0.1</v>
          </cell>
          <cell r="I380">
            <v>3.8</v>
          </cell>
          <cell r="J380">
            <v>0.25</v>
          </cell>
          <cell r="K380">
            <v>0.1</v>
          </cell>
          <cell r="L380">
            <v>1.4</v>
          </cell>
          <cell r="M380">
            <v>0</v>
          </cell>
          <cell r="N380">
            <v>0</v>
          </cell>
          <cell r="O380">
            <v>0</v>
          </cell>
          <cell r="P380">
            <v>0.1</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t="str">
            <v>MPET 12x620</v>
          </cell>
          <cell r="AF380" t="str">
            <v>PE 75x620</v>
          </cell>
          <cell r="AG380">
            <v>6.3844500000000012E-2</v>
          </cell>
          <cell r="AH380">
            <v>0.93533333333333324</v>
          </cell>
          <cell r="AI380">
            <v>0.93533333333333324</v>
          </cell>
          <cell r="AJ380">
            <v>9530</v>
          </cell>
          <cell r="AK380">
            <v>9530</v>
          </cell>
          <cell r="AL380" t="str">
            <v>0,0046(0,0023;0,0023)</v>
          </cell>
          <cell r="AM380" t="str">
            <v xml:space="preserve">túi ba biên </v>
          </cell>
          <cell r="AN380">
            <v>220</v>
          </cell>
          <cell r="AO380" t="str">
            <v>Công ty Quốc tế Hòa Bình</v>
          </cell>
          <cell r="AP380" t="str">
            <v>18031110-1</v>
          </cell>
          <cell r="AQ380" t="str">
            <v>18031110-2</v>
          </cell>
          <cell r="AR380" t="str">
            <v>18031110-3</v>
          </cell>
          <cell r="AS380" t="str">
            <v>18031110-4</v>
          </cell>
          <cell r="AT380" t="str">
            <v>18031110-5</v>
          </cell>
          <cell r="AU380" t="str">
            <v>18031110-6</v>
          </cell>
          <cell r="AV380">
            <v>0</v>
          </cell>
          <cell r="AW380">
            <v>0</v>
          </cell>
          <cell r="AX380">
            <v>0</v>
          </cell>
          <cell r="AY380" t="str">
            <v>440x750</v>
          </cell>
          <cell r="AZ380" t="str">
            <v>T1</v>
          </cell>
          <cell r="BA380">
            <v>4500</v>
          </cell>
          <cell r="BB380" t="str">
            <v>Thùng 5 lớp 42x34x36</v>
          </cell>
          <cell r="BC380">
            <v>0</v>
          </cell>
          <cell r="BD380">
            <v>0</v>
          </cell>
        </row>
        <row r="381">
          <cell r="A381" t="str">
            <v>sp 901</v>
          </cell>
          <cell r="B381" t="str">
            <v>Cuộn màng nhôm Viet'spower phong cách mới loại 1</v>
          </cell>
          <cell r="C381">
            <v>2.48</v>
          </cell>
          <cell r="D381">
            <v>1</v>
          </cell>
          <cell r="E381" t="str">
            <v>PE 40x1270</v>
          </cell>
          <cell r="F381">
            <v>2</v>
          </cell>
          <cell r="G381" t="str">
            <v xml:space="preserve">PE </v>
          </cell>
          <cell r="H381">
            <v>0.12</v>
          </cell>
          <cell r="I381">
            <v>0.33</v>
          </cell>
          <cell r="J381">
            <v>0.28999999999999998</v>
          </cell>
          <cell r="K381">
            <v>0.12</v>
          </cell>
          <cell r="L381">
            <v>1.34</v>
          </cell>
          <cell r="M381">
            <v>0</v>
          </cell>
          <cell r="N381">
            <v>0</v>
          </cell>
          <cell r="O381">
            <v>0</v>
          </cell>
          <cell r="P381">
            <v>0.27</v>
          </cell>
          <cell r="Q381">
            <v>0</v>
          </cell>
          <cell r="R381">
            <v>0.01</v>
          </cell>
          <cell r="S381">
            <v>0</v>
          </cell>
          <cell r="T381">
            <v>0</v>
          </cell>
          <cell r="U381">
            <v>0</v>
          </cell>
          <cell r="V381">
            <v>0</v>
          </cell>
          <cell r="W381">
            <v>0</v>
          </cell>
          <cell r="X381">
            <v>0</v>
          </cell>
          <cell r="Y381">
            <v>0</v>
          </cell>
          <cell r="Z381">
            <v>0</v>
          </cell>
          <cell r="AA381">
            <v>0</v>
          </cell>
          <cell r="AB381">
            <v>0</v>
          </cell>
          <cell r="AC381">
            <v>0</v>
          </cell>
          <cell r="AD381">
            <v>0</v>
          </cell>
          <cell r="AE381" t="str">
            <v>PE 30x1270</v>
          </cell>
          <cell r="AF381">
            <v>0</v>
          </cell>
          <cell r="AG381">
            <v>8.22325E-2</v>
          </cell>
          <cell r="AH381">
            <v>1.68</v>
          </cell>
          <cell r="AI381">
            <v>0</v>
          </cell>
          <cell r="AJ381">
            <v>9530</v>
          </cell>
          <cell r="AK381">
            <v>0</v>
          </cell>
          <cell r="AL381">
            <v>2E-3</v>
          </cell>
          <cell r="AM381" t="str">
            <v>dạng cuộn 2000m</v>
          </cell>
          <cell r="AN381">
            <v>1270</v>
          </cell>
          <cell r="AO381" t="str">
            <v>Công ty Đức Thiện</v>
          </cell>
          <cell r="AP381" t="e">
            <v>#N/A</v>
          </cell>
          <cell r="AQ381" t="e">
            <v>#N/A</v>
          </cell>
          <cell r="AR381" t="e">
            <v>#N/A</v>
          </cell>
          <cell r="AS381" t="e">
            <v>#N/A</v>
          </cell>
          <cell r="AT381" t="e">
            <v>#N/A</v>
          </cell>
          <cell r="AU381" t="e">
            <v>#N/A</v>
          </cell>
          <cell r="AV381" t="e">
            <v>#N/A</v>
          </cell>
          <cell r="AW381" t="e">
            <v>#N/A</v>
          </cell>
          <cell r="AX381" t="e">
            <v>#N/A</v>
          </cell>
          <cell r="AY381" t="e">
            <v>#N/A</v>
          </cell>
          <cell r="AZ381" t="e">
            <v>#N/A</v>
          </cell>
          <cell r="BA381" t="str">
            <v>1c</v>
          </cell>
          <cell r="BB381" t="str">
            <v>giấy cartoon</v>
          </cell>
          <cell r="BC381">
            <v>0</v>
          </cell>
          <cell r="BD381" t="e">
            <v>#N/A</v>
          </cell>
        </row>
        <row r="382">
          <cell r="A382" t="str">
            <v>sp 902</v>
          </cell>
          <cell r="B382" t="str">
            <v>Túi trà chữ đỏ lá vàng in 4 màu tân cương và đặc sản 100g loại 10</v>
          </cell>
          <cell r="C382">
            <v>4.67</v>
          </cell>
          <cell r="D382">
            <v>3</v>
          </cell>
          <cell r="E382" t="str">
            <v>PET 12x740</v>
          </cell>
          <cell r="F382">
            <v>4</v>
          </cell>
          <cell r="G382" t="str">
            <v>PET</v>
          </cell>
          <cell r="H382">
            <v>0</v>
          </cell>
          <cell r="I382">
            <v>0.78</v>
          </cell>
          <cell r="J382">
            <v>0.04</v>
          </cell>
          <cell r="K382">
            <v>0.03</v>
          </cell>
          <cell r="L382">
            <v>0.02</v>
          </cell>
          <cell r="M382">
            <v>0.11</v>
          </cell>
          <cell r="N382">
            <v>3.39</v>
          </cell>
          <cell r="O382">
            <v>0.08</v>
          </cell>
          <cell r="P382">
            <v>0.22</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t="str">
            <v>MPET 12x740</v>
          </cell>
          <cell r="AF382" t="str">
            <v>PE 75x740</v>
          </cell>
          <cell r="AG382">
            <v>7.6201500000000005E-2</v>
          </cell>
          <cell r="AH382">
            <v>1.1193333333333333</v>
          </cell>
          <cell r="AI382">
            <v>1.46</v>
          </cell>
          <cell r="AJ382">
            <v>9530</v>
          </cell>
          <cell r="AK382">
            <v>9530</v>
          </cell>
          <cell r="AL382" t="str">
            <v>0,0053(0,0023;0,003)</v>
          </cell>
          <cell r="AM382" t="str">
            <v>túi hàn lưng xếp hông</v>
          </cell>
          <cell r="AN382">
            <v>270</v>
          </cell>
          <cell r="AO382" t="str">
            <v>Bùi Văn Sỹ</v>
          </cell>
          <cell r="AP382" t="e">
            <v>#N/A</v>
          </cell>
          <cell r="AQ382" t="e">
            <v>#N/A</v>
          </cell>
          <cell r="AR382" t="e">
            <v>#N/A</v>
          </cell>
          <cell r="AS382" t="e">
            <v>#N/A</v>
          </cell>
          <cell r="AT382" t="e">
            <v>#N/A</v>
          </cell>
          <cell r="AU382" t="e">
            <v>#N/A</v>
          </cell>
          <cell r="AV382" t="e">
            <v>#N/A</v>
          </cell>
          <cell r="AW382" t="e">
            <v>#N/A</v>
          </cell>
          <cell r="AX382" t="e">
            <v>#N/A</v>
          </cell>
          <cell r="AY382" t="e">
            <v>#N/A</v>
          </cell>
          <cell r="AZ382" t="e">
            <v>#N/A</v>
          </cell>
          <cell r="BA382">
            <v>3500</v>
          </cell>
          <cell r="BB382" t="str">
            <v>Thùng 5 lớp 42x34x33</v>
          </cell>
          <cell r="BC382">
            <v>0</v>
          </cell>
          <cell r="BD382" t="e">
            <v>#N/A</v>
          </cell>
        </row>
        <row r="383">
          <cell r="A383" t="str">
            <v>sp 903</v>
          </cell>
          <cell r="B383" t="str">
            <v>Túi trà chữ đỏ lá vàng in 4 màu tân cương 200g loại 10</v>
          </cell>
          <cell r="C383">
            <v>0.91999999999999993</v>
          </cell>
          <cell r="D383">
            <v>2</v>
          </cell>
          <cell r="E383" t="str">
            <v>PET 12x620</v>
          </cell>
          <cell r="F383">
            <v>4</v>
          </cell>
          <cell r="G383" t="str">
            <v>PET</v>
          </cell>
          <cell r="H383">
            <v>0.02</v>
          </cell>
          <cell r="I383">
            <v>0.42</v>
          </cell>
          <cell r="J383">
            <v>0</v>
          </cell>
          <cell r="K383">
            <v>0</v>
          </cell>
          <cell r="L383">
            <v>0</v>
          </cell>
          <cell r="M383">
            <v>0.18</v>
          </cell>
          <cell r="N383">
            <v>0</v>
          </cell>
          <cell r="O383">
            <v>0</v>
          </cell>
          <cell r="P383">
            <v>0.3</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t="str">
            <v>MPET 12x620</v>
          </cell>
          <cell r="AF383" t="str">
            <v>PE 75x620</v>
          </cell>
          <cell r="AG383">
            <v>6.3844500000000012E-2</v>
          </cell>
          <cell r="AH383">
            <v>0.93533333333333324</v>
          </cell>
          <cell r="AI383">
            <v>1.22</v>
          </cell>
          <cell r="AJ383">
            <v>9530</v>
          </cell>
          <cell r="AK383">
            <v>9530</v>
          </cell>
          <cell r="AL383" t="str">
            <v>0,0053(0,0023;0,003)</v>
          </cell>
          <cell r="AM383" t="str">
            <v>túi hàn lưng xếp hông</v>
          </cell>
          <cell r="AN383">
            <v>340</v>
          </cell>
          <cell r="AO383" t="str">
            <v>Bùi Văn Sỹ</v>
          </cell>
          <cell r="AP383" t="str">
            <v>1804138-1</v>
          </cell>
          <cell r="AQ383" t="str">
            <v>1804138-2</v>
          </cell>
          <cell r="AR383" t="str">
            <v>1804138-3</v>
          </cell>
          <cell r="AS383" t="str">
            <v>1804138-4</v>
          </cell>
          <cell r="AT383">
            <v>0</v>
          </cell>
          <cell r="AU383">
            <v>0</v>
          </cell>
          <cell r="AV383">
            <v>0</v>
          </cell>
          <cell r="AW383">
            <v>0</v>
          </cell>
          <cell r="AX383">
            <v>0</v>
          </cell>
          <cell r="AY383" t="str">
            <v>680x750</v>
          </cell>
          <cell r="AZ383" t="str">
            <v>F3</v>
          </cell>
          <cell r="BA383">
            <v>2500</v>
          </cell>
          <cell r="BB383" t="str">
            <v>Thùng 5 lớp 42x34x33</v>
          </cell>
          <cell r="BC383">
            <v>0</v>
          </cell>
          <cell r="BD383">
            <v>0</v>
          </cell>
        </row>
        <row r="384">
          <cell r="A384" t="str">
            <v>sp 904</v>
          </cell>
          <cell r="B384" t="str">
            <v>Túi trà chữ đỏ lá vàng in 4 màu tân cương 500g loại 10</v>
          </cell>
          <cell r="C384">
            <v>5.28</v>
          </cell>
          <cell r="D384">
            <v>2</v>
          </cell>
          <cell r="E384" t="str">
            <v>PET 12x760</v>
          </cell>
          <cell r="F384">
            <v>4</v>
          </cell>
          <cell r="G384" t="str">
            <v>PET</v>
          </cell>
          <cell r="H384">
            <v>0.01</v>
          </cell>
          <cell r="I384">
            <v>0.84</v>
          </cell>
          <cell r="J384">
            <v>0</v>
          </cell>
          <cell r="K384">
            <v>0.08</v>
          </cell>
          <cell r="L384">
            <v>0.04</v>
          </cell>
          <cell r="M384">
            <v>0.21</v>
          </cell>
          <cell r="N384">
            <v>3.84</v>
          </cell>
          <cell r="O384">
            <v>7.0000000000000007E-2</v>
          </cell>
          <cell r="P384">
            <v>0.19</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t="str">
            <v>MPET 12x760</v>
          </cell>
          <cell r="AF384" t="str">
            <v>PE 80x760</v>
          </cell>
          <cell r="AG384">
            <v>8.1776000000000001E-2</v>
          </cell>
          <cell r="AH384">
            <v>1.1499999999999999</v>
          </cell>
          <cell r="AI384">
            <v>1.5</v>
          </cell>
          <cell r="AJ384">
            <v>9530</v>
          </cell>
          <cell r="AK384">
            <v>9530</v>
          </cell>
          <cell r="AL384" t="str">
            <v>0,0053(0,0023;0,003)</v>
          </cell>
          <cell r="AM384" t="str">
            <v>túi hàn lưng xếp hông</v>
          </cell>
          <cell r="AN384">
            <v>420</v>
          </cell>
          <cell r="AO384" t="str">
            <v>Bùi Văn Sỹ</v>
          </cell>
          <cell r="AP384" t="str">
            <v>1806232-1</v>
          </cell>
          <cell r="AQ384" t="str">
            <v>1806232-2</v>
          </cell>
          <cell r="AR384" t="str">
            <v>1806232-3</v>
          </cell>
          <cell r="AS384" t="str">
            <v>1806232-4</v>
          </cell>
          <cell r="AT384">
            <v>0</v>
          </cell>
          <cell r="AU384">
            <v>0</v>
          </cell>
          <cell r="AV384">
            <v>0</v>
          </cell>
          <cell r="AW384">
            <v>0</v>
          </cell>
          <cell r="AX384">
            <v>0</v>
          </cell>
          <cell r="AY384" t="str">
            <v>420x870</v>
          </cell>
          <cell r="AZ384" t="str">
            <v>F3</v>
          </cell>
          <cell r="BA384">
            <v>1500</v>
          </cell>
          <cell r="BB384" t="str">
            <v>Thùng 5 lớp 42x34x33</v>
          </cell>
          <cell r="BC384">
            <v>0</v>
          </cell>
          <cell r="BD384">
            <v>0</v>
          </cell>
        </row>
        <row r="385">
          <cell r="A385" t="str">
            <v>sp 905</v>
          </cell>
          <cell r="B385" t="str">
            <v>Túi trà chữ đỏ lá vàng in 4 màu đặc sản 500g loại 10</v>
          </cell>
          <cell r="C385">
            <v>4.78</v>
          </cell>
          <cell r="D385">
            <v>2</v>
          </cell>
          <cell r="E385" t="str">
            <v>PET 12x760</v>
          </cell>
          <cell r="F385">
            <v>4</v>
          </cell>
          <cell r="G385" t="str">
            <v>PET</v>
          </cell>
          <cell r="H385">
            <v>0</v>
          </cell>
          <cell r="I385">
            <v>0.98</v>
          </cell>
          <cell r="J385">
            <v>0</v>
          </cell>
          <cell r="K385">
            <v>0.09</v>
          </cell>
          <cell r="L385">
            <v>0.02</v>
          </cell>
          <cell r="M385">
            <v>0.04</v>
          </cell>
          <cell r="N385">
            <v>3.43</v>
          </cell>
          <cell r="O385">
            <v>0.1</v>
          </cell>
          <cell r="P385">
            <v>0.12</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t="str">
            <v>MPET 12x760</v>
          </cell>
          <cell r="AF385" t="str">
            <v>PE 80x760</v>
          </cell>
          <cell r="AG385">
            <v>8.1776000000000001E-2</v>
          </cell>
          <cell r="AH385">
            <v>1.1499999999999999</v>
          </cell>
          <cell r="AI385">
            <v>1.5</v>
          </cell>
          <cell r="AJ385">
            <v>9530</v>
          </cell>
          <cell r="AK385">
            <v>9530</v>
          </cell>
          <cell r="AL385" t="str">
            <v>0,0053(0,0023;0,003)</v>
          </cell>
          <cell r="AM385" t="str">
            <v>túi hàn lưng xếp hông</v>
          </cell>
          <cell r="AN385">
            <v>420</v>
          </cell>
          <cell r="AO385" t="str">
            <v>Bùi Văn Sỹ</v>
          </cell>
          <cell r="AP385" t="str">
            <v>1806233-1</v>
          </cell>
          <cell r="AQ385" t="str">
            <v>1806233-2</v>
          </cell>
          <cell r="AR385" t="str">
            <v>1806233-3</v>
          </cell>
          <cell r="AS385" t="str">
            <v>1806233-4</v>
          </cell>
          <cell r="AT385">
            <v>0</v>
          </cell>
          <cell r="AU385">
            <v>0</v>
          </cell>
          <cell r="AV385">
            <v>0</v>
          </cell>
          <cell r="AW385">
            <v>0</v>
          </cell>
          <cell r="AX385">
            <v>0</v>
          </cell>
          <cell r="AY385" t="str">
            <v>420x870</v>
          </cell>
          <cell r="AZ385" t="str">
            <v>F3</v>
          </cell>
          <cell r="BA385">
            <v>1500</v>
          </cell>
          <cell r="BB385" t="str">
            <v>Thùng 5 lớp 42x34x33</v>
          </cell>
          <cell r="BC385">
            <v>0</v>
          </cell>
          <cell r="BD385">
            <v>0</v>
          </cell>
        </row>
        <row r="386">
          <cell r="A386" t="str">
            <v>sp 906</v>
          </cell>
          <cell r="B386" t="str">
            <v>Cuộn thuốc trừ sâu bemal 40WG hiệu con hổ đặc trị sâu kháng loại 8g Việt Thắng</v>
          </cell>
          <cell r="C386">
            <v>4.4000000000000004</v>
          </cell>
          <cell r="D386">
            <v>4</v>
          </cell>
          <cell r="E386" t="str">
            <v>PET 12x740</v>
          </cell>
          <cell r="F386">
            <v>6</v>
          </cell>
          <cell r="G386" t="str">
            <v>PET</v>
          </cell>
          <cell r="H386">
            <v>0.2</v>
          </cell>
          <cell r="I386">
            <v>2</v>
          </cell>
          <cell r="J386">
            <v>0.1</v>
          </cell>
          <cell r="K386">
            <v>0.2</v>
          </cell>
          <cell r="L386">
            <v>0.8</v>
          </cell>
          <cell r="M386">
            <v>1</v>
          </cell>
          <cell r="N386">
            <v>0</v>
          </cell>
          <cell r="O386">
            <v>0</v>
          </cell>
          <cell r="P386">
            <v>0</v>
          </cell>
          <cell r="Q386">
            <v>0</v>
          </cell>
          <cell r="R386">
            <v>0.1</v>
          </cell>
          <cell r="S386">
            <v>0</v>
          </cell>
          <cell r="T386">
            <v>0</v>
          </cell>
          <cell r="U386">
            <v>0</v>
          </cell>
          <cell r="V386">
            <v>0</v>
          </cell>
          <cell r="W386">
            <v>0</v>
          </cell>
          <cell r="X386">
            <v>0</v>
          </cell>
          <cell r="Y386">
            <v>0</v>
          </cell>
          <cell r="Z386">
            <v>0</v>
          </cell>
          <cell r="AA386">
            <v>0</v>
          </cell>
          <cell r="AB386">
            <v>0</v>
          </cell>
          <cell r="AC386">
            <v>0</v>
          </cell>
          <cell r="AD386">
            <v>0</v>
          </cell>
          <cell r="AE386" t="str">
            <v>Al 6x740</v>
          </cell>
          <cell r="AF386" t="str">
            <v>PE 95x750</v>
          </cell>
          <cell r="AG386">
            <v>8.9491900000000013E-2</v>
          </cell>
          <cell r="AH386">
            <v>1.1193333333333333</v>
          </cell>
          <cell r="AI386">
            <v>1.1193333333333333</v>
          </cell>
          <cell r="AJ386">
            <v>9530</v>
          </cell>
          <cell r="AK386">
            <v>9530</v>
          </cell>
          <cell r="AL386" t="str">
            <v>0,0046(0,0023;0,0023)</v>
          </cell>
          <cell r="AM386" t="str">
            <v>dạng cuộn 700m</v>
          </cell>
          <cell r="AN386">
            <v>180</v>
          </cell>
          <cell r="AO386" t="str">
            <v>Công ty Việt Thắng</v>
          </cell>
          <cell r="AP386" t="e">
            <v>#N/A</v>
          </cell>
          <cell r="AQ386" t="e">
            <v>#N/A</v>
          </cell>
          <cell r="AR386" t="e">
            <v>#N/A</v>
          </cell>
          <cell r="AS386" t="e">
            <v>#N/A</v>
          </cell>
          <cell r="AT386" t="e">
            <v>#N/A</v>
          </cell>
          <cell r="AU386" t="e">
            <v>#N/A</v>
          </cell>
          <cell r="AV386" t="e">
            <v>#N/A</v>
          </cell>
          <cell r="AW386" t="e">
            <v>#N/A</v>
          </cell>
          <cell r="AX386" t="e">
            <v>#N/A</v>
          </cell>
          <cell r="AY386" t="e">
            <v>#N/A</v>
          </cell>
          <cell r="AZ386" t="e">
            <v>#N/A</v>
          </cell>
          <cell r="BA386" t="str">
            <v>2c</v>
          </cell>
          <cell r="BB386" t="str">
            <v>giấy cartoon</v>
          </cell>
          <cell r="BC386">
            <v>0</v>
          </cell>
          <cell r="BD386" t="e">
            <v>#N/A</v>
          </cell>
        </row>
        <row r="387">
          <cell r="A387" t="str">
            <v>sp 907</v>
          </cell>
          <cell r="B387" t="str">
            <v>Túi thuốc trừ cỏ wamrin 800WP chuyên trừ cỏ cho ngô loại 100g Việt Thắng</v>
          </cell>
          <cell r="C387">
            <v>4.8199999999999994</v>
          </cell>
          <cell r="D387">
            <v>2</v>
          </cell>
          <cell r="E387" t="str">
            <v>PET 12x700</v>
          </cell>
          <cell r="F387">
            <v>6</v>
          </cell>
          <cell r="G387" t="str">
            <v>PET</v>
          </cell>
          <cell r="H387">
            <v>0.03</v>
          </cell>
          <cell r="I387">
            <v>2.76</v>
          </cell>
          <cell r="J387">
            <v>0.24</v>
          </cell>
          <cell r="K387">
            <v>0.26</v>
          </cell>
          <cell r="L387">
            <v>0.14000000000000001</v>
          </cell>
          <cell r="M387">
            <v>1.1499999999999999</v>
          </cell>
          <cell r="N387">
            <v>0</v>
          </cell>
          <cell r="O387">
            <v>0</v>
          </cell>
          <cell r="P387">
            <v>0</v>
          </cell>
          <cell r="Q387">
            <v>0</v>
          </cell>
          <cell r="R387">
            <v>0.24</v>
          </cell>
          <cell r="S387">
            <v>0</v>
          </cell>
          <cell r="T387">
            <v>0</v>
          </cell>
          <cell r="U387">
            <v>0</v>
          </cell>
          <cell r="V387">
            <v>0</v>
          </cell>
          <cell r="W387">
            <v>0</v>
          </cell>
          <cell r="X387">
            <v>0</v>
          </cell>
          <cell r="Y387">
            <v>0</v>
          </cell>
          <cell r="Z387">
            <v>0</v>
          </cell>
          <cell r="AA387">
            <v>0</v>
          </cell>
          <cell r="AB387">
            <v>0</v>
          </cell>
          <cell r="AC387">
            <v>0</v>
          </cell>
          <cell r="AD387">
            <v>0</v>
          </cell>
          <cell r="AE387" t="str">
            <v>Al 6x700</v>
          </cell>
          <cell r="AF387" t="str">
            <v>PE 95x710</v>
          </cell>
          <cell r="AG387">
            <v>8.4654500000000008E-2</v>
          </cell>
          <cell r="AH387">
            <v>1.0579999999999998</v>
          </cell>
          <cell r="AI387">
            <v>1.0579999999999998</v>
          </cell>
          <cell r="AJ387">
            <v>9530</v>
          </cell>
          <cell r="AK387">
            <v>9530</v>
          </cell>
          <cell r="AL387" t="str">
            <v>0,0046(0,0023;0,0023)</v>
          </cell>
          <cell r="AM387" t="str">
            <v>túi ba biên</v>
          </cell>
          <cell r="AN387">
            <v>240</v>
          </cell>
          <cell r="AO387" t="str">
            <v>Công ty Việt Thắng</v>
          </cell>
          <cell r="AP387" t="str">
            <v>F120295G1-1</v>
          </cell>
          <cell r="AQ387" t="str">
            <v>F120295G2-2</v>
          </cell>
          <cell r="AR387" t="str">
            <v>F120295-3</v>
          </cell>
          <cell r="AS387" t="str">
            <v>F120295-4</v>
          </cell>
          <cell r="AT387" t="str">
            <v>F120295-5</v>
          </cell>
          <cell r="AU387" t="str">
            <v>F120295-6</v>
          </cell>
          <cell r="AV387">
            <v>0</v>
          </cell>
          <cell r="AW387">
            <v>0</v>
          </cell>
          <cell r="AX387">
            <v>0</v>
          </cell>
          <cell r="AY387" t="str">
            <v>750x480</v>
          </cell>
          <cell r="AZ387" t="str">
            <v>D4</v>
          </cell>
          <cell r="BA387" t="str">
            <v>2500(&lt;25kg/1 thùng)</v>
          </cell>
          <cell r="BB387" t="str">
            <v>Thùng 5 lớp 42x34x36</v>
          </cell>
          <cell r="BC387">
            <v>0</v>
          </cell>
          <cell r="BD387" t="str">
            <v>in chung sp 910 trừ cây ĐC số 1</v>
          </cell>
        </row>
        <row r="388">
          <cell r="A388" t="str">
            <v>sp 908</v>
          </cell>
          <cell r="B388" t="str">
            <v>Cuộn màng không in ghép nhôm khổ 620 proline</v>
          </cell>
          <cell r="C388">
            <v>0</v>
          </cell>
          <cell r="D388">
            <v>1</v>
          </cell>
          <cell r="E388" t="str">
            <v>PET 12x620</v>
          </cell>
          <cell r="F388">
            <v>0</v>
          </cell>
          <cell r="G388" t="str">
            <v>PET</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t="str">
            <v>Al 6x620</v>
          </cell>
          <cell r="AF388" t="str">
            <v>PE 75x630</v>
          </cell>
          <cell r="AG388">
            <v>6.3509700000000002E-2</v>
          </cell>
          <cell r="AH388">
            <v>0.93533333333333324</v>
          </cell>
          <cell r="AI388">
            <v>1.22</v>
          </cell>
          <cell r="AJ388">
            <v>9530</v>
          </cell>
          <cell r="AK388">
            <v>9530</v>
          </cell>
          <cell r="AL388" t="str">
            <v>0,0053(0,0023;0,003)</v>
          </cell>
          <cell r="AM388" t="str">
            <v>dạng cuộn 1500m</v>
          </cell>
          <cell r="AN388">
            <v>620</v>
          </cell>
          <cell r="AO388" t="str">
            <v>Công ty Proline</v>
          </cell>
          <cell r="AP388" t="e">
            <v>#N/A</v>
          </cell>
          <cell r="AQ388" t="e">
            <v>#N/A</v>
          </cell>
          <cell r="AR388" t="e">
            <v>#N/A</v>
          </cell>
          <cell r="AS388" t="e">
            <v>#N/A</v>
          </cell>
          <cell r="AT388" t="e">
            <v>#N/A</v>
          </cell>
          <cell r="AU388" t="e">
            <v>#N/A</v>
          </cell>
          <cell r="AV388" t="e">
            <v>#N/A</v>
          </cell>
          <cell r="AW388" t="e">
            <v>#N/A</v>
          </cell>
          <cell r="AX388" t="e">
            <v>#N/A</v>
          </cell>
          <cell r="AY388" t="e">
            <v>#N/A</v>
          </cell>
          <cell r="AZ388" t="e">
            <v>#N/A</v>
          </cell>
          <cell r="BA388" t="str">
            <v>1c</v>
          </cell>
          <cell r="BB388" t="str">
            <v>giấy cartoon K800</v>
          </cell>
          <cell r="BC388">
            <v>0</v>
          </cell>
          <cell r="BD388" t="e">
            <v>#N/A</v>
          </cell>
        </row>
        <row r="389">
          <cell r="A389" t="str">
            <v>sp 909</v>
          </cell>
          <cell r="B389" t="str">
            <v>Cuộn màng nhôm aluko hàng xuất khẩu huyndai loại 1</v>
          </cell>
          <cell r="C389">
            <v>1.1500000000000001</v>
          </cell>
          <cell r="D389">
            <v>1</v>
          </cell>
          <cell r="E389" t="str">
            <v>PE đt 40x1270</v>
          </cell>
          <cell r="F389">
            <v>2</v>
          </cell>
          <cell r="G389" t="str">
            <v xml:space="preserve">PE </v>
          </cell>
          <cell r="H389">
            <v>0.13</v>
          </cell>
          <cell r="I389">
            <v>0.05</v>
          </cell>
          <cell r="J389">
            <v>0.22</v>
          </cell>
          <cell r="K389">
            <v>0.01</v>
          </cell>
          <cell r="L389">
            <v>0.23</v>
          </cell>
          <cell r="M389">
            <v>0.5</v>
          </cell>
          <cell r="N389">
            <v>0</v>
          </cell>
          <cell r="O389">
            <v>0</v>
          </cell>
          <cell r="P389">
            <v>0</v>
          </cell>
          <cell r="Q389">
            <v>0</v>
          </cell>
          <cell r="R389">
            <v>0.01</v>
          </cell>
          <cell r="S389">
            <v>0</v>
          </cell>
          <cell r="T389">
            <v>0</v>
          </cell>
          <cell r="U389">
            <v>0</v>
          </cell>
          <cell r="V389">
            <v>0</v>
          </cell>
          <cell r="W389">
            <v>0</v>
          </cell>
          <cell r="X389">
            <v>0</v>
          </cell>
          <cell r="Y389">
            <v>0</v>
          </cell>
          <cell r="Z389">
            <v>0</v>
          </cell>
          <cell r="AA389">
            <v>0</v>
          </cell>
          <cell r="AB389">
            <v>0</v>
          </cell>
          <cell r="AC389">
            <v>0</v>
          </cell>
          <cell r="AD389">
            <v>0</v>
          </cell>
          <cell r="AE389" t="str">
            <v>PE 40x1270</v>
          </cell>
          <cell r="AF389">
            <v>0</v>
          </cell>
          <cell r="AG389">
            <v>9.3980000000000008E-2</v>
          </cell>
          <cell r="AH389">
            <v>1.68</v>
          </cell>
          <cell r="AI389">
            <v>0</v>
          </cell>
          <cell r="AJ389">
            <v>9530</v>
          </cell>
          <cell r="AK389">
            <v>0</v>
          </cell>
          <cell r="AL389">
            <v>2E-3</v>
          </cell>
          <cell r="AM389" t="str">
            <v>dạng cuộn 2000m or 1500m</v>
          </cell>
          <cell r="AN389">
            <v>1270</v>
          </cell>
          <cell r="AO389" t="str">
            <v>Công ty Đức Thiện</v>
          </cell>
          <cell r="AP389" t="e">
            <v>#N/A</v>
          </cell>
          <cell r="AQ389" t="e">
            <v>#N/A</v>
          </cell>
          <cell r="AR389" t="e">
            <v>#N/A</v>
          </cell>
          <cell r="AS389" t="e">
            <v>#N/A</v>
          </cell>
          <cell r="AT389" t="e">
            <v>#N/A</v>
          </cell>
          <cell r="AU389" t="e">
            <v>#N/A</v>
          </cell>
          <cell r="AV389" t="e">
            <v>#N/A</v>
          </cell>
          <cell r="AW389" t="e">
            <v>#N/A</v>
          </cell>
          <cell r="AX389" t="e">
            <v>#N/A</v>
          </cell>
          <cell r="AY389" t="e">
            <v>#N/A</v>
          </cell>
          <cell r="AZ389" t="e">
            <v>#N/A</v>
          </cell>
          <cell r="BA389" t="str">
            <v>1c</v>
          </cell>
          <cell r="BB389" t="str">
            <v>giấy cartoon</v>
          </cell>
          <cell r="BC389">
            <v>0</v>
          </cell>
          <cell r="BD389" t="e">
            <v>#N/A</v>
          </cell>
        </row>
        <row r="390">
          <cell r="A390" t="str">
            <v>sp 910</v>
          </cell>
          <cell r="B390" t="str">
            <v>Túi chữ trà 7 màu tân cương thái nguyên 100g loại 11 Thanh Minh</v>
          </cell>
          <cell r="C390">
            <v>7.7700000000000005</v>
          </cell>
          <cell r="D390">
            <v>3</v>
          </cell>
          <cell r="E390" t="str">
            <v>PET 12x740</v>
          </cell>
          <cell r="F390">
            <v>6</v>
          </cell>
          <cell r="G390" t="str">
            <v>PET</v>
          </cell>
          <cell r="H390">
            <v>0.06</v>
          </cell>
          <cell r="I390">
            <v>3.45</v>
          </cell>
          <cell r="J390">
            <v>0.37</v>
          </cell>
          <cell r="K390">
            <v>7.0000000000000007E-2</v>
          </cell>
          <cell r="L390">
            <v>1.99</v>
          </cell>
          <cell r="M390">
            <v>1.54</v>
          </cell>
          <cell r="N390">
            <v>0</v>
          </cell>
          <cell r="O390">
            <v>0.03</v>
          </cell>
          <cell r="P390">
            <v>0.26</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t="str">
            <v>MPET 12x740</v>
          </cell>
          <cell r="AF390" t="str">
            <v>PE 75x740</v>
          </cell>
          <cell r="AG390">
            <v>7.6201500000000005E-2</v>
          </cell>
          <cell r="AH390">
            <v>1.1193333333333333</v>
          </cell>
          <cell r="AI390">
            <v>1.46</v>
          </cell>
          <cell r="AJ390">
            <v>9530</v>
          </cell>
          <cell r="AK390">
            <v>9530</v>
          </cell>
          <cell r="AL390" t="str">
            <v>0,0053(0,0023;0,003)</v>
          </cell>
          <cell r="AM390" t="str">
            <v>túi hàn lưng xếp hông</v>
          </cell>
          <cell r="AN390">
            <v>270</v>
          </cell>
          <cell r="AO390" t="str">
            <v>Công ty Thanh Minh</v>
          </cell>
          <cell r="AP390" t="e">
            <v>#N/A</v>
          </cell>
          <cell r="AQ390" t="e">
            <v>#N/A</v>
          </cell>
          <cell r="AR390" t="e">
            <v>#N/A</v>
          </cell>
          <cell r="AS390" t="e">
            <v>#N/A</v>
          </cell>
          <cell r="AT390" t="e">
            <v>#N/A</v>
          </cell>
          <cell r="AU390" t="e">
            <v>#N/A</v>
          </cell>
          <cell r="AV390" t="e">
            <v>#N/A</v>
          </cell>
          <cell r="AW390" t="e">
            <v>#N/A</v>
          </cell>
          <cell r="AX390" t="e">
            <v>#N/A</v>
          </cell>
          <cell r="AY390" t="e">
            <v>#N/A</v>
          </cell>
          <cell r="AZ390" t="e">
            <v>#N/A</v>
          </cell>
          <cell r="BA390">
            <v>3000</v>
          </cell>
          <cell r="BB390" t="str">
            <v>Thùng 5 lớp 43x35,5x29 (Thanh Minh)</v>
          </cell>
          <cell r="BC390">
            <v>0</v>
          </cell>
          <cell r="BD390" t="e">
            <v>#N/A</v>
          </cell>
        </row>
        <row r="391">
          <cell r="A391" t="str">
            <v>sp 911</v>
          </cell>
          <cell r="B391" t="str">
            <v>Túi chữ trà 7 màu đặc sản thái nguyên 100gr loại 11 Thanh Minh</v>
          </cell>
          <cell r="C391">
            <v>8.39</v>
          </cell>
          <cell r="D391">
            <v>3</v>
          </cell>
          <cell r="E391" t="str">
            <v>PET 12x740</v>
          </cell>
          <cell r="F391">
            <v>6</v>
          </cell>
          <cell r="G391" t="str">
            <v>PET</v>
          </cell>
          <cell r="H391">
            <v>0.08</v>
          </cell>
          <cell r="I391">
            <v>3.71</v>
          </cell>
          <cell r="J391">
            <v>0.06</v>
          </cell>
          <cell r="K391">
            <v>0.5</v>
          </cell>
          <cell r="L391">
            <v>1.78</v>
          </cell>
          <cell r="M391">
            <v>1.82</v>
          </cell>
          <cell r="N391">
            <v>0</v>
          </cell>
          <cell r="O391">
            <v>0.02</v>
          </cell>
          <cell r="P391">
            <v>0.42</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t="str">
            <v>MPET 12x740</v>
          </cell>
          <cell r="AF391" t="str">
            <v>PE 75x740</v>
          </cell>
          <cell r="AG391">
            <v>7.6201500000000005E-2</v>
          </cell>
          <cell r="AH391">
            <v>1.1193333333333333</v>
          </cell>
          <cell r="AI391">
            <v>1.46</v>
          </cell>
          <cell r="AJ391">
            <v>9530</v>
          </cell>
          <cell r="AK391">
            <v>9530</v>
          </cell>
          <cell r="AL391" t="str">
            <v>0,0053(0,0023;0,003)</v>
          </cell>
          <cell r="AM391" t="str">
            <v>túi hàn lưng xếp hông</v>
          </cell>
          <cell r="AN391">
            <v>270</v>
          </cell>
          <cell r="AO391" t="str">
            <v>Công ty Thanh Minh</v>
          </cell>
          <cell r="AP391" t="e">
            <v>#N/A</v>
          </cell>
          <cell r="AQ391" t="e">
            <v>#N/A</v>
          </cell>
          <cell r="AR391" t="e">
            <v>#N/A</v>
          </cell>
          <cell r="AS391" t="e">
            <v>#N/A</v>
          </cell>
          <cell r="AT391" t="e">
            <v>#N/A</v>
          </cell>
          <cell r="AU391" t="e">
            <v>#N/A</v>
          </cell>
          <cell r="AV391" t="e">
            <v>#N/A</v>
          </cell>
          <cell r="AW391" t="e">
            <v>#N/A</v>
          </cell>
          <cell r="AX391" t="e">
            <v>#N/A</v>
          </cell>
          <cell r="AY391" t="e">
            <v>#N/A</v>
          </cell>
          <cell r="AZ391" t="e">
            <v>#N/A</v>
          </cell>
          <cell r="BA391">
            <v>3000</v>
          </cell>
          <cell r="BB391" t="str">
            <v>Thùng 5 lớp 43x35,5x29 (Thanh Minh)</v>
          </cell>
          <cell r="BC391">
            <v>0</v>
          </cell>
          <cell r="BD391" t="e">
            <v>#N/A</v>
          </cell>
        </row>
        <row r="392">
          <cell r="A392" t="str">
            <v>sp 912</v>
          </cell>
          <cell r="B392" t="str">
            <v>Túi chữ trà có viền tân cương 100g loại 11 Thanh Minh</v>
          </cell>
          <cell r="C392">
            <v>5.05</v>
          </cell>
          <cell r="D392">
            <v>3</v>
          </cell>
          <cell r="E392" t="str">
            <v>PET 12x740</v>
          </cell>
          <cell r="F392">
            <v>6</v>
          </cell>
          <cell r="G392" t="str">
            <v>PET</v>
          </cell>
          <cell r="H392">
            <v>0.11</v>
          </cell>
          <cell r="I392">
            <v>1.8</v>
          </cell>
          <cell r="J392">
            <v>1.01</v>
          </cell>
          <cell r="K392">
            <v>0.11</v>
          </cell>
          <cell r="L392">
            <v>0.45</v>
          </cell>
          <cell r="M392">
            <v>1.1200000000000001</v>
          </cell>
          <cell r="N392">
            <v>0</v>
          </cell>
          <cell r="O392">
            <v>0</v>
          </cell>
          <cell r="P392">
            <v>0.45</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t="str">
            <v>MPET 12x740</v>
          </cell>
          <cell r="AF392" t="str">
            <v>PE 75x740</v>
          </cell>
          <cell r="AG392">
            <v>7.6201500000000005E-2</v>
          </cell>
          <cell r="AH392">
            <v>1.1193333333333333</v>
          </cell>
          <cell r="AI392">
            <v>1.46</v>
          </cell>
          <cell r="AJ392">
            <v>9530</v>
          </cell>
          <cell r="AK392">
            <v>9530</v>
          </cell>
          <cell r="AL392" t="str">
            <v>0,0053(0,0023;0,003)</v>
          </cell>
          <cell r="AM392" t="str">
            <v>túi hàn lưng xếp hông</v>
          </cell>
          <cell r="AN392">
            <v>270</v>
          </cell>
          <cell r="AO392" t="str">
            <v>Công ty Thanh Minh</v>
          </cell>
          <cell r="AP392" t="e">
            <v>#N/A</v>
          </cell>
          <cell r="AQ392" t="e">
            <v>#N/A</v>
          </cell>
          <cell r="AR392" t="e">
            <v>#N/A</v>
          </cell>
          <cell r="AS392" t="e">
            <v>#N/A</v>
          </cell>
          <cell r="AT392" t="e">
            <v>#N/A</v>
          </cell>
          <cell r="AU392" t="e">
            <v>#N/A</v>
          </cell>
          <cell r="AV392" t="e">
            <v>#N/A</v>
          </cell>
          <cell r="AW392" t="e">
            <v>#N/A</v>
          </cell>
          <cell r="AX392" t="e">
            <v>#N/A</v>
          </cell>
          <cell r="AY392" t="e">
            <v>#N/A</v>
          </cell>
          <cell r="AZ392" t="e">
            <v>#N/A</v>
          </cell>
          <cell r="BA392">
            <v>3000</v>
          </cell>
          <cell r="BB392" t="str">
            <v>Thùng 5 lớp 43x35,5x29 (Thanh Minh)</v>
          </cell>
          <cell r="BC392">
            <v>0</v>
          </cell>
          <cell r="BD392" t="e">
            <v>#N/A</v>
          </cell>
        </row>
        <row r="393">
          <cell r="A393" t="str">
            <v>sp 914</v>
          </cell>
          <cell r="B393" t="str">
            <v>Cuộn màng không in ghép nhôm khổ 800 proline</v>
          </cell>
          <cell r="C393">
            <v>0</v>
          </cell>
          <cell r="D393">
            <v>1</v>
          </cell>
          <cell r="E393" t="str">
            <v>PET 12x800</v>
          </cell>
          <cell r="F393">
            <v>0</v>
          </cell>
          <cell r="G393" t="str">
            <v>PET</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t="str">
            <v>Al 6x800</v>
          </cell>
          <cell r="AF393" t="str">
            <v>PE 75x810</v>
          </cell>
          <cell r="AG393">
            <v>8.297235E-2</v>
          </cell>
          <cell r="AH393">
            <v>1.2113333333333334</v>
          </cell>
          <cell r="AI393">
            <v>1.58</v>
          </cell>
          <cell r="AJ393">
            <v>9530</v>
          </cell>
          <cell r="AK393">
            <v>9530</v>
          </cell>
          <cell r="AL393" t="str">
            <v>0,0053(0,0023;0,003)</v>
          </cell>
          <cell r="AM393" t="str">
            <v>dạng cuộn 2000m</v>
          </cell>
          <cell r="AN393">
            <v>780</v>
          </cell>
          <cell r="AO393" t="str">
            <v>Công ty Proline</v>
          </cell>
          <cell r="AP393" t="e">
            <v>#N/A</v>
          </cell>
          <cell r="AQ393" t="e">
            <v>#N/A</v>
          </cell>
          <cell r="AR393" t="e">
            <v>#N/A</v>
          </cell>
          <cell r="AS393" t="e">
            <v>#N/A</v>
          </cell>
          <cell r="AT393" t="e">
            <v>#N/A</v>
          </cell>
          <cell r="AU393" t="e">
            <v>#N/A</v>
          </cell>
          <cell r="AV393" t="e">
            <v>#N/A</v>
          </cell>
          <cell r="AW393" t="e">
            <v>#N/A</v>
          </cell>
          <cell r="AX393" t="e">
            <v>#N/A</v>
          </cell>
          <cell r="AY393" t="e">
            <v>#N/A</v>
          </cell>
          <cell r="AZ393" t="e">
            <v>#N/A</v>
          </cell>
          <cell r="BA393" t="str">
            <v>1c</v>
          </cell>
          <cell r="BB393" t="str">
            <v>giấy cartoon</v>
          </cell>
          <cell r="BC393">
            <v>0</v>
          </cell>
          <cell r="BD393" t="e">
            <v>#N/A</v>
          </cell>
        </row>
        <row r="394">
          <cell r="A394" t="str">
            <v>sp 915</v>
          </cell>
          <cell r="B394" t="str">
            <v>Túi thuốc trừ sâu goldsai hiệu metalaxyl 350WP loại 400g USA</v>
          </cell>
          <cell r="C394">
            <v>0</v>
          </cell>
          <cell r="D394">
            <v>1</v>
          </cell>
          <cell r="E394" t="str">
            <v>PET 12x660</v>
          </cell>
          <cell r="F394">
            <v>7</v>
          </cell>
          <cell r="G394" t="str">
            <v>PET</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t="str">
            <v>MPET 12x660</v>
          </cell>
          <cell r="AF394" t="str">
            <v>PE 75x660</v>
          </cell>
          <cell r="AG394">
            <v>6.796350000000001E-2</v>
          </cell>
          <cell r="AH394">
            <v>0.99666666666666659</v>
          </cell>
          <cell r="AI394">
            <v>0.99666666666666659</v>
          </cell>
          <cell r="AJ394">
            <v>9530</v>
          </cell>
          <cell r="AK394">
            <v>9530</v>
          </cell>
          <cell r="AL394" t="str">
            <v>0,0046(0,0023;0,0023)</v>
          </cell>
          <cell r="AM394" t="str">
            <v>túi ba biên</v>
          </cell>
          <cell r="AN394">
            <v>220</v>
          </cell>
          <cell r="AO394" t="str">
            <v>Công ty CPCN Cao thuốc BVTV USA</v>
          </cell>
          <cell r="AP394" t="str">
            <v>1804920-1</v>
          </cell>
          <cell r="AQ394" t="str">
            <v>1804920-2</v>
          </cell>
          <cell r="AR394" t="str">
            <v>1804920-3</v>
          </cell>
          <cell r="AS394" t="str">
            <v>1804920-4</v>
          </cell>
          <cell r="AT394" t="str">
            <v>1804920-5</v>
          </cell>
          <cell r="AU394" t="str">
            <v>1804920-6</v>
          </cell>
          <cell r="AV394" t="str">
            <v>1804920-7</v>
          </cell>
          <cell r="AW394">
            <v>0</v>
          </cell>
          <cell r="AX394">
            <v>0</v>
          </cell>
          <cell r="AY394" t="str">
            <v>440x750</v>
          </cell>
          <cell r="AZ394" t="str">
            <v>P2</v>
          </cell>
          <cell r="BA394">
            <v>2000</v>
          </cell>
          <cell r="BB394" t="str">
            <v>Thùng 5 lớp 42x34x36</v>
          </cell>
          <cell r="BC394">
            <v>0</v>
          </cell>
          <cell r="BD394">
            <v>0</v>
          </cell>
        </row>
        <row r="395">
          <cell r="A395" t="str">
            <v>sp 916</v>
          </cell>
          <cell r="B395" t="str">
            <v>Túi lọc trà cà gai leo 50 gói x 5gr</v>
          </cell>
          <cell r="C395">
            <v>7.3500000000000005</v>
          </cell>
          <cell r="D395">
            <v>1</v>
          </cell>
          <cell r="E395" t="str">
            <v>PET 12x620</v>
          </cell>
          <cell r="F395">
            <v>6</v>
          </cell>
          <cell r="G395" t="str">
            <v>PET</v>
          </cell>
          <cell r="H395">
            <v>0.25</v>
          </cell>
          <cell r="I395">
            <v>2.2000000000000002</v>
          </cell>
          <cell r="J395">
            <v>0.1</v>
          </cell>
          <cell r="K395">
            <v>0.1</v>
          </cell>
          <cell r="L395">
            <v>1.5</v>
          </cell>
          <cell r="M395">
            <v>1.5</v>
          </cell>
          <cell r="N395">
            <v>0</v>
          </cell>
          <cell r="O395">
            <v>1.5</v>
          </cell>
          <cell r="P395">
            <v>0.2</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t="str">
            <v>MPET 12x620</v>
          </cell>
          <cell r="AF395" t="str">
            <v>PE 75x620</v>
          </cell>
          <cell r="AG395">
            <v>6.3844500000000012E-2</v>
          </cell>
          <cell r="AH395">
            <v>1.22</v>
          </cell>
          <cell r="AI395">
            <v>1.22</v>
          </cell>
          <cell r="AJ395">
            <v>9530</v>
          </cell>
          <cell r="AK395">
            <v>9530</v>
          </cell>
          <cell r="AL395" t="str">
            <v>0,006(0,003;0,003)</v>
          </cell>
          <cell r="AM395" t="str">
            <v>túi ba biên có zip cách mép 20mm</v>
          </cell>
          <cell r="AN395">
            <v>200</v>
          </cell>
          <cell r="AO395" t="str">
            <v>Công ty CNC Thăng Long</v>
          </cell>
          <cell r="AP395" t="e">
            <v>#N/A</v>
          </cell>
          <cell r="AQ395" t="e">
            <v>#N/A</v>
          </cell>
          <cell r="AR395" t="e">
            <v>#N/A</v>
          </cell>
          <cell r="AS395" t="e">
            <v>#N/A</v>
          </cell>
          <cell r="AT395" t="e">
            <v>#N/A</v>
          </cell>
          <cell r="AU395" t="e">
            <v>#N/A</v>
          </cell>
          <cell r="AV395" t="e">
            <v>#N/A</v>
          </cell>
          <cell r="AW395" t="e">
            <v>#N/A</v>
          </cell>
          <cell r="AX395" t="e">
            <v>#N/A</v>
          </cell>
          <cell r="AY395" t="e">
            <v>#N/A</v>
          </cell>
          <cell r="AZ395" t="e">
            <v>#N/A</v>
          </cell>
          <cell r="BA395">
            <v>2000</v>
          </cell>
          <cell r="BB395" t="str">
            <v>Thùng 5 lớp 42x34x36</v>
          </cell>
          <cell r="BC395">
            <v>0</v>
          </cell>
          <cell r="BD395" t="e">
            <v>#N/A</v>
          </cell>
        </row>
        <row r="396">
          <cell r="A396" t="str">
            <v>sp 917</v>
          </cell>
          <cell r="B396" t="str">
            <v>Túi trà xanh tân cương thái nguyên 200g ấm nâu loại 6 Thanh Minh</v>
          </cell>
          <cell r="C396">
            <v>6.2899999999999991</v>
          </cell>
          <cell r="D396">
            <v>2</v>
          </cell>
          <cell r="E396" t="str">
            <v>PET 12x620</v>
          </cell>
          <cell r="F396">
            <v>6</v>
          </cell>
          <cell r="G396" t="str">
            <v>PET</v>
          </cell>
          <cell r="H396">
            <v>0</v>
          </cell>
          <cell r="I396">
            <v>0.96</v>
          </cell>
          <cell r="J396">
            <v>0.41</v>
          </cell>
          <cell r="K396">
            <v>0.22</v>
          </cell>
          <cell r="L396">
            <v>1.34</v>
          </cell>
          <cell r="M396">
            <v>0.48</v>
          </cell>
          <cell r="N396">
            <v>2.87</v>
          </cell>
          <cell r="O396">
            <v>0.01</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t="str">
            <v>MPET 12x620</v>
          </cell>
          <cell r="AF396" t="str">
            <v>PE 75x620</v>
          </cell>
          <cell r="AG396">
            <v>6.3844500000000012E-2</v>
          </cell>
          <cell r="AH396">
            <v>0.93533333333333324</v>
          </cell>
          <cell r="AI396">
            <v>1.22</v>
          </cell>
          <cell r="AJ396">
            <v>9530</v>
          </cell>
          <cell r="AK396">
            <v>9530</v>
          </cell>
          <cell r="AL396" t="str">
            <v>0,0053(0,0023;0,003)</v>
          </cell>
          <cell r="AM396" t="str">
            <v>túi hàn lưng xếp hông</v>
          </cell>
          <cell r="AN396">
            <v>340</v>
          </cell>
          <cell r="AO396" t="str">
            <v>Công ty Thanh Minh</v>
          </cell>
          <cell r="AP396" t="e">
            <v>#N/A</v>
          </cell>
          <cell r="AQ396" t="e">
            <v>#N/A</v>
          </cell>
          <cell r="AR396" t="e">
            <v>#N/A</v>
          </cell>
          <cell r="AS396" t="e">
            <v>#N/A</v>
          </cell>
          <cell r="AT396" t="e">
            <v>#N/A</v>
          </cell>
          <cell r="AU396" t="e">
            <v>#N/A</v>
          </cell>
          <cell r="AV396" t="e">
            <v>#N/A</v>
          </cell>
          <cell r="AW396" t="e">
            <v>#N/A</v>
          </cell>
          <cell r="AX396" t="e">
            <v>#N/A</v>
          </cell>
          <cell r="AY396" t="e">
            <v>#N/A</v>
          </cell>
          <cell r="AZ396" t="e">
            <v>#N/A</v>
          </cell>
          <cell r="BA396">
            <v>2000</v>
          </cell>
          <cell r="BB396" t="str">
            <v>Thùng 5 lớp 43x35,5x25,5 (Thanh Minh)</v>
          </cell>
          <cell r="BC396">
            <v>0</v>
          </cell>
          <cell r="BD396" t="e">
            <v>#N/A</v>
          </cell>
        </row>
        <row r="397">
          <cell r="A397" t="str">
            <v>sp 918</v>
          </cell>
          <cell r="B397" t="str">
            <v>Cuộn thuốc trị rầy mã lục 250WP siêu sạch rầy loại 12g Việt Thắng</v>
          </cell>
          <cell r="C397">
            <v>6.1999999999999993</v>
          </cell>
          <cell r="D397">
            <v>2</v>
          </cell>
          <cell r="E397" t="str">
            <v>PET 12x600</v>
          </cell>
          <cell r="F397">
            <v>7</v>
          </cell>
          <cell r="G397" t="str">
            <v>PET</v>
          </cell>
          <cell r="H397">
            <v>0.1</v>
          </cell>
          <cell r="I397">
            <v>3</v>
          </cell>
          <cell r="J397">
            <v>0.3</v>
          </cell>
          <cell r="K397">
            <v>0.1</v>
          </cell>
          <cell r="L397">
            <v>2.6</v>
          </cell>
          <cell r="M397">
            <v>0</v>
          </cell>
          <cell r="N397">
            <v>0</v>
          </cell>
          <cell r="O397">
            <v>0</v>
          </cell>
          <cell r="P397">
            <v>0</v>
          </cell>
          <cell r="Q397">
            <v>0</v>
          </cell>
          <cell r="R397">
            <v>0.1</v>
          </cell>
          <cell r="S397">
            <v>0</v>
          </cell>
          <cell r="T397">
            <v>0</v>
          </cell>
          <cell r="U397">
            <v>0</v>
          </cell>
          <cell r="V397">
            <v>0</v>
          </cell>
          <cell r="W397">
            <v>0</v>
          </cell>
          <cell r="X397">
            <v>0</v>
          </cell>
          <cell r="Y397">
            <v>0</v>
          </cell>
          <cell r="Z397">
            <v>0</v>
          </cell>
          <cell r="AA397">
            <v>0</v>
          </cell>
          <cell r="AB397">
            <v>0</v>
          </cell>
          <cell r="AC397">
            <v>0</v>
          </cell>
          <cell r="AD397">
            <v>0</v>
          </cell>
          <cell r="AE397" t="str">
            <v>Al 6x600</v>
          </cell>
          <cell r="AF397" t="str">
            <v>PEHD 85x610</v>
          </cell>
          <cell r="AG397">
            <v>6.7011000000000001E-2</v>
          </cell>
          <cell r="AH397">
            <v>0.90466666666666651</v>
          </cell>
          <cell r="AI397">
            <v>1.18</v>
          </cell>
          <cell r="AJ397">
            <v>9530</v>
          </cell>
          <cell r="AK397">
            <v>9530</v>
          </cell>
          <cell r="AL397" t="str">
            <v>0,0053(0,0023;0,003)</v>
          </cell>
          <cell r="AM397" t="str">
            <v>dạng cuộn 700m</v>
          </cell>
          <cell r="AN397">
            <v>290</v>
          </cell>
          <cell r="AO397" t="str">
            <v>Công ty Việt Thắng</v>
          </cell>
          <cell r="AP397" t="str">
            <v>20111111-1</v>
          </cell>
          <cell r="AQ397" t="str">
            <v>18041053-2</v>
          </cell>
          <cell r="AR397" t="str">
            <v>18041053-3</v>
          </cell>
          <cell r="AS397" t="str">
            <v>18041053-4</v>
          </cell>
          <cell r="AT397" t="str">
            <v>20111111-5</v>
          </cell>
          <cell r="AU397" t="str">
            <v>18041053-6</v>
          </cell>
          <cell r="AV397" t="str">
            <v>18041053-7</v>
          </cell>
          <cell r="AW397">
            <v>0</v>
          </cell>
          <cell r="AX397">
            <v>0</v>
          </cell>
          <cell r="AY397" t="str">
            <v>450x750</v>
          </cell>
          <cell r="AZ397" t="str">
            <v>D4</v>
          </cell>
          <cell r="BA397" t="str">
            <v>1c</v>
          </cell>
          <cell r="BB397" t="str">
            <v>giấy cartoon K400</v>
          </cell>
          <cell r="BC397">
            <v>0</v>
          </cell>
          <cell r="BD397">
            <v>0</v>
          </cell>
        </row>
        <row r="398">
          <cell r="A398" t="str">
            <v>sp 919</v>
          </cell>
          <cell r="B398" t="str">
            <v>Túi PA in 1 màu hình con gà KT 265x410</v>
          </cell>
          <cell r="C398">
            <v>0.19999999999999998</v>
          </cell>
          <cell r="D398">
            <v>1</v>
          </cell>
          <cell r="E398" t="str">
            <v>PA 15x550</v>
          </cell>
          <cell r="F398">
            <v>1</v>
          </cell>
          <cell r="G398" t="str">
            <v xml:space="preserve">PA </v>
          </cell>
          <cell r="H398">
            <v>0</v>
          </cell>
          <cell r="I398">
            <v>0.09</v>
          </cell>
          <cell r="J398">
            <v>0.08</v>
          </cell>
          <cell r="K398">
            <v>0</v>
          </cell>
          <cell r="L398">
            <v>0</v>
          </cell>
          <cell r="M398">
            <v>0</v>
          </cell>
          <cell r="N398">
            <v>0</v>
          </cell>
          <cell r="O398">
            <v>0</v>
          </cell>
          <cell r="P398">
            <v>0</v>
          </cell>
          <cell r="Q398">
            <v>0</v>
          </cell>
          <cell r="R398">
            <v>0</v>
          </cell>
          <cell r="S398">
            <v>0</v>
          </cell>
          <cell r="T398">
            <v>0</v>
          </cell>
          <cell r="U398">
            <v>0</v>
          </cell>
          <cell r="V398">
            <v>0</v>
          </cell>
          <cell r="W398">
            <v>0.03</v>
          </cell>
          <cell r="X398">
            <v>0</v>
          </cell>
          <cell r="Y398">
            <v>0</v>
          </cell>
          <cell r="Z398">
            <v>0</v>
          </cell>
          <cell r="AA398">
            <v>0</v>
          </cell>
          <cell r="AB398">
            <v>0</v>
          </cell>
          <cell r="AC398">
            <v>0</v>
          </cell>
          <cell r="AD398">
            <v>0</v>
          </cell>
          <cell r="AE398" t="str">
            <v>PE 65x550</v>
          </cell>
          <cell r="AF398">
            <v>0</v>
          </cell>
          <cell r="AG398">
            <v>4.2556250000000004E-2</v>
          </cell>
          <cell r="AH398">
            <v>0.72</v>
          </cell>
          <cell r="AI398">
            <v>0</v>
          </cell>
          <cell r="AJ398">
            <v>9530</v>
          </cell>
          <cell r="AK398">
            <v>0</v>
          </cell>
          <cell r="AL398">
            <v>2E-3</v>
          </cell>
          <cell r="AM398" t="str">
            <v xml:space="preserve">túi ba biên </v>
          </cell>
          <cell r="AN398">
            <v>410</v>
          </cell>
          <cell r="AO398" t="str">
            <v>Công ty Bích Ngọc</v>
          </cell>
          <cell r="AP398" t="str">
            <v>1805271-1</v>
          </cell>
          <cell r="AQ398">
            <v>0</v>
          </cell>
          <cell r="AR398">
            <v>0</v>
          </cell>
          <cell r="AS398">
            <v>0</v>
          </cell>
          <cell r="AT398">
            <v>0</v>
          </cell>
          <cell r="AU398">
            <v>0</v>
          </cell>
          <cell r="AV398">
            <v>0</v>
          </cell>
          <cell r="AW398">
            <v>0</v>
          </cell>
          <cell r="AX398">
            <v>0</v>
          </cell>
          <cell r="AY398" t="str">
            <v>410x750</v>
          </cell>
          <cell r="AZ398" t="str">
            <v>P2</v>
          </cell>
          <cell r="BA398">
            <v>2000</v>
          </cell>
          <cell r="BB398" t="str">
            <v>Thùng 5 lớp 42x34x36</v>
          </cell>
          <cell r="BC398">
            <v>0</v>
          </cell>
          <cell r="BD398">
            <v>0</v>
          </cell>
        </row>
        <row r="399">
          <cell r="A399" t="str">
            <v>sp 920</v>
          </cell>
          <cell r="B399" t="str">
            <v>Túi thuốc trừ sâu siêu rầy rệp hiệu chest usa loại 18g Hòa Bình</v>
          </cell>
          <cell r="C399">
            <v>5.87</v>
          </cell>
          <cell r="D399">
            <v>2</v>
          </cell>
          <cell r="E399" t="str">
            <v>PET 12x620</v>
          </cell>
          <cell r="F399">
            <v>6</v>
          </cell>
          <cell r="G399" t="str">
            <v>PET</v>
          </cell>
          <cell r="H399">
            <v>0.48</v>
          </cell>
          <cell r="I399">
            <v>3.5</v>
          </cell>
          <cell r="J399">
            <v>0.35</v>
          </cell>
          <cell r="K399">
            <v>0.13</v>
          </cell>
          <cell r="L399">
            <v>0.61</v>
          </cell>
          <cell r="M399">
            <v>0.35</v>
          </cell>
          <cell r="N399">
            <v>0</v>
          </cell>
          <cell r="O399">
            <v>0</v>
          </cell>
          <cell r="P399">
            <v>0.01</v>
          </cell>
          <cell r="Q399">
            <v>0.44</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t="str">
            <v>MPET 12x620</v>
          </cell>
          <cell r="AF399" t="str">
            <v>PE 75x620</v>
          </cell>
          <cell r="AG399">
            <v>6.3844500000000012E-2</v>
          </cell>
          <cell r="AH399">
            <v>0.93533333333333324</v>
          </cell>
          <cell r="AI399">
            <v>0.93533333333333324</v>
          </cell>
          <cell r="AJ399">
            <v>9530</v>
          </cell>
          <cell r="AK399">
            <v>9530</v>
          </cell>
          <cell r="AL399" t="str">
            <v>0,0046(0,0023;0,0023)</v>
          </cell>
          <cell r="AM399" t="str">
            <v xml:space="preserve">túi ba biên </v>
          </cell>
          <cell r="AN399">
            <v>110</v>
          </cell>
          <cell r="AO399" t="str">
            <v>Công ty Quốc Tế Hòa Bình</v>
          </cell>
          <cell r="AP399" t="str">
            <v>1805441-1</v>
          </cell>
          <cell r="AQ399" t="str">
            <v>1805441-2</v>
          </cell>
          <cell r="AR399" t="str">
            <v>1805441-3</v>
          </cell>
          <cell r="AS399" t="str">
            <v>1805441-4</v>
          </cell>
          <cell r="AT399" t="str">
            <v>1805441-5</v>
          </cell>
          <cell r="AU399" t="str">
            <v>1805441-6</v>
          </cell>
          <cell r="AV399">
            <v>0</v>
          </cell>
          <cell r="AW399">
            <v>0</v>
          </cell>
          <cell r="AX399">
            <v>0</v>
          </cell>
          <cell r="AY399" t="str">
            <v>440x750</v>
          </cell>
          <cell r="AZ399" t="str">
            <v>T1</v>
          </cell>
          <cell r="BA399">
            <v>11000</v>
          </cell>
          <cell r="BB399" t="str">
            <v>Thùng 5 lớp 42x34x36</v>
          </cell>
          <cell r="BC399">
            <v>0</v>
          </cell>
          <cell r="BD399">
            <v>0</v>
          </cell>
        </row>
        <row r="400">
          <cell r="A400" t="str">
            <v>sp 921</v>
          </cell>
          <cell r="B400" t="str">
            <v>Túi thuốc trừ sâu apazin 450WP hiệu hết rầy loại 15g American</v>
          </cell>
          <cell r="C400">
            <v>4.7200000000000006</v>
          </cell>
          <cell r="D400">
            <v>3</v>
          </cell>
          <cell r="E400" t="str">
            <v>PET 12x740</v>
          </cell>
          <cell r="F400">
            <v>7</v>
          </cell>
          <cell r="G400" t="str">
            <v>PET</v>
          </cell>
          <cell r="H400">
            <v>0.18</v>
          </cell>
          <cell r="I400">
            <v>2.39</v>
          </cell>
          <cell r="J400">
            <v>0.09</v>
          </cell>
          <cell r="K400">
            <v>0.24</v>
          </cell>
          <cell r="L400">
            <v>1</v>
          </cell>
          <cell r="M400">
            <v>0.28999999999999998</v>
          </cell>
          <cell r="N400">
            <v>0</v>
          </cell>
          <cell r="O400">
            <v>0</v>
          </cell>
          <cell r="P400">
            <v>0.41</v>
          </cell>
          <cell r="Q400">
            <v>0</v>
          </cell>
          <cell r="R400">
            <v>0.12</v>
          </cell>
          <cell r="S400">
            <v>0</v>
          </cell>
          <cell r="T400">
            <v>0</v>
          </cell>
          <cell r="U400">
            <v>0</v>
          </cell>
          <cell r="V400">
            <v>0</v>
          </cell>
          <cell r="W400">
            <v>0</v>
          </cell>
          <cell r="X400">
            <v>0</v>
          </cell>
          <cell r="Y400">
            <v>0</v>
          </cell>
          <cell r="Z400">
            <v>0</v>
          </cell>
          <cell r="AA400">
            <v>0</v>
          </cell>
          <cell r="AB400">
            <v>0</v>
          </cell>
          <cell r="AC400">
            <v>0</v>
          </cell>
          <cell r="AD400">
            <v>0</v>
          </cell>
          <cell r="AE400" t="str">
            <v>MPET 12x740</v>
          </cell>
          <cell r="AF400" t="str">
            <v>PE 75x740</v>
          </cell>
          <cell r="AG400">
            <v>7.6201500000000005E-2</v>
          </cell>
          <cell r="AH400">
            <v>1.1193333333333333</v>
          </cell>
          <cell r="AI400">
            <v>1.1193333333333333</v>
          </cell>
          <cell r="AJ400">
            <v>9530</v>
          </cell>
          <cell r="AK400">
            <v>9530</v>
          </cell>
          <cell r="AL400" t="str">
            <v>0,0046(0,0023;0,0023)</v>
          </cell>
          <cell r="AM400" t="str">
            <v>túi ba biên</v>
          </cell>
          <cell r="AN400">
            <v>160</v>
          </cell>
          <cell r="AO400" t="str">
            <v>Công ty khoa học CNC American</v>
          </cell>
          <cell r="AP400" t="str">
            <v>1805789-1</v>
          </cell>
          <cell r="AQ400" t="str">
            <v>1805789-2</v>
          </cell>
          <cell r="AR400" t="str">
            <v>1805789-3</v>
          </cell>
          <cell r="AS400" t="str">
            <v>1805789-4</v>
          </cell>
          <cell r="AT400" t="str">
            <v>1805789-5</v>
          </cell>
          <cell r="AU400" t="str">
            <v>1805789-6</v>
          </cell>
          <cell r="AV400" t="str">
            <v>1805789-7</v>
          </cell>
          <cell r="AW400">
            <v>0</v>
          </cell>
          <cell r="AX400">
            <v>0</v>
          </cell>
          <cell r="AY400" t="str">
            <v>480x870</v>
          </cell>
          <cell r="AZ400" t="str">
            <v>P2</v>
          </cell>
          <cell r="BA400">
            <v>10000</v>
          </cell>
          <cell r="BB400" t="str">
            <v>Thùng 5 lớp 42x34x36</v>
          </cell>
          <cell r="BC400">
            <v>0</v>
          </cell>
          <cell r="BD400">
            <v>0</v>
          </cell>
        </row>
        <row r="401">
          <cell r="A401" t="str">
            <v>sp 922</v>
          </cell>
          <cell r="B401" t="str">
            <v>Túi thuốc trừ sâu clodan super hiệu ốc cò 700WP loại 25g Hòa Bình</v>
          </cell>
          <cell r="C401">
            <v>6.1000000000000005</v>
          </cell>
          <cell r="D401">
            <v>2</v>
          </cell>
          <cell r="E401" t="str">
            <v>PET 12x740</v>
          </cell>
          <cell r="F401">
            <v>7</v>
          </cell>
          <cell r="G401" t="str">
            <v>PET</v>
          </cell>
          <cell r="H401">
            <v>0.37</v>
          </cell>
          <cell r="I401">
            <v>2.93</v>
          </cell>
          <cell r="J401">
            <v>0.01</v>
          </cell>
          <cell r="K401">
            <v>0.16</v>
          </cell>
          <cell r="L401">
            <v>1.05</v>
          </cell>
          <cell r="M401">
            <v>1.33</v>
          </cell>
          <cell r="N401">
            <v>0</v>
          </cell>
          <cell r="O401">
            <v>0</v>
          </cell>
          <cell r="P401">
            <v>0.25</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t="str">
            <v>MPET 12x740</v>
          </cell>
          <cell r="AF401" t="str">
            <v>PE 75x740</v>
          </cell>
          <cell r="AG401">
            <v>7.6201500000000005E-2</v>
          </cell>
          <cell r="AH401">
            <v>1.1193333333333333</v>
          </cell>
          <cell r="AI401">
            <v>1.1193333333333333</v>
          </cell>
          <cell r="AJ401">
            <v>9530</v>
          </cell>
          <cell r="AK401">
            <v>9530</v>
          </cell>
          <cell r="AL401" t="str">
            <v>0,0046(0,0023;0,0023)</v>
          </cell>
          <cell r="AM401" t="str">
            <v>túi ba biên</v>
          </cell>
          <cell r="AN401">
            <v>125</v>
          </cell>
          <cell r="AO401" t="str">
            <v>Công ty Quốc Tế Hòa Bình</v>
          </cell>
          <cell r="AP401" t="e">
            <v>#N/A</v>
          </cell>
          <cell r="AQ401" t="e">
            <v>#N/A</v>
          </cell>
          <cell r="AR401" t="e">
            <v>#N/A</v>
          </cell>
          <cell r="AS401" t="e">
            <v>#N/A</v>
          </cell>
          <cell r="AT401" t="e">
            <v>#N/A</v>
          </cell>
          <cell r="AU401" t="e">
            <v>#N/A</v>
          </cell>
          <cell r="AV401" t="e">
            <v>#N/A</v>
          </cell>
          <cell r="AW401" t="e">
            <v>#N/A</v>
          </cell>
          <cell r="AX401" t="e">
            <v>#N/A</v>
          </cell>
          <cell r="AY401" t="e">
            <v>#N/A</v>
          </cell>
          <cell r="AZ401" t="e">
            <v>#N/A</v>
          </cell>
          <cell r="BA401">
            <v>8000</v>
          </cell>
          <cell r="BB401" t="str">
            <v>Thùng 5 lớp 42x34x36</v>
          </cell>
          <cell r="BC401">
            <v>0</v>
          </cell>
          <cell r="BD401" t="e">
            <v>#N/A</v>
          </cell>
        </row>
        <row r="402">
          <cell r="A402" t="str">
            <v>sp 923</v>
          </cell>
          <cell r="B402" t="str">
            <v>Túi không in KT 110x200x46 Hải Phòng</v>
          </cell>
          <cell r="C402">
            <v>0</v>
          </cell>
          <cell r="D402">
            <v>2</v>
          </cell>
          <cell r="E402" t="str">
            <v>OPP 20x684</v>
          </cell>
          <cell r="F402">
            <v>0</v>
          </cell>
          <cell r="G402" t="str">
            <v>OPP</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t="str">
            <v>MCPP 25x684</v>
          </cell>
          <cell r="AF402">
            <v>0</v>
          </cell>
          <cell r="AG402">
            <v>2.8009800000000001E-2</v>
          </cell>
          <cell r="AH402">
            <v>0.89866666666666672</v>
          </cell>
          <cell r="AI402">
            <v>0</v>
          </cell>
          <cell r="AJ402">
            <v>9530</v>
          </cell>
          <cell r="AK402">
            <v>0</v>
          </cell>
          <cell r="AL402">
            <v>2E-3</v>
          </cell>
          <cell r="AM402" t="str">
            <v>túi hàn lưng xếp hông</v>
          </cell>
          <cell r="AN402">
            <v>200</v>
          </cell>
          <cell r="AO402" t="str">
            <v>Công ty Dược Hải Phòng</v>
          </cell>
          <cell r="AP402" t="e">
            <v>#N/A</v>
          </cell>
          <cell r="AQ402" t="e">
            <v>#N/A</v>
          </cell>
          <cell r="AR402" t="e">
            <v>#N/A</v>
          </cell>
          <cell r="AS402" t="e">
            <v>#N/A</v>
          </cell>
          <cell r="AT402" t="e">
            <v>#N/A</v>
          </cell>
          <cell r="AU402" t="e">
            <v>#N/A</v>
          </cell>
          <cell r="AV402" t="e">
            <v>#N/A</v>
          </cell>
          <cell r="AW402" t="e">
            <v>#N/A</v>
          </cell>
          <cell r="AX402" t="e">
            <v>#N/A</v>
          </cell>
          <cell r="AY402" t="e">
            <v>#N/A</v>
          </cell>
          <cell r="AZ402" t="e">
            <v>#N/A</v>
          </cell>
          <cell r="BA402">
            <v>7000</v>
          </cell>
          <cell r="BB402" t="str">
            <v>Thùng 5 lớp 42x34x36</v>
          </cell>
          <cell r="BC402">
            <v>0</v>
          </cell>
          <cell r="BD402" t="e">
            <v>#N/A</v>
          </cell>
        </row>
        <row r="403">
          <cell r="A403" t="str">
            <v>sp 924</v>
          </cell>
          <cell r="B403" t="str">
            <v>Cuộn màng PA in chữ FARINA khổ 350</v>
          </cell>
          <cell r="C403">
            <v>0.87</v>
          </cell>
          <cell r="D403">
            <v>2</v>
          </cell>
          <cell r="E403" t="str">
            <v>PA 15x720</v>
          </cell>
          <cell r="F403">
            <v>1</v>
          </cell>
          <cell r="G403" t="str">
            <v xml:space="preserve">PA </v>
          </cell>
          <cell r="H403">
            <v>0</v>
          </cell>
          <cell r="I403">
            <v>0.87</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t="str">
            <v>PE 75x720</v>
          </cell>
          <cell r="AF403">
            <v>0</v>
          </cell>
          <cell r="AG403">
            <v>6.2370000000000002E-2</v>
          </cell>
          <cell r="AH403">
            <v>1.0886666666666664</v>
          </cell>
          <cell r="AI403">
            <v>0</v>
          </cell>
          <cell r="AJ403">
            <v>9530</v>
          </cell>
          <cell r="AK403">
            <v>0</v>
          </cell>
          <cell r="AL403">
            <v>2.3E-3</v>
          </cell>
          <cell r="AM403" t="str">
            <v>dạng cuộn 900m</v>
          </cell>
          <cell r="AN403">
            <v>350</v>
          </cell>
          <cell r="AO403" t="str">
            <v>Công ty Farina</v>
          </cell>
          <cell r="AP403" t="str">
            <v>18051397-1</v>
          </cell>
          <cell r="AQ403">
            <v>0</v>
          </cell>
          <cell r="AR403">
            <v>0</v>
          </cell>
          <cell r="AS403">
            <v>0</v>
          </cell>
          <cell r="AT403">
            <v>0</v>
          </cell>
          <cell r="AU403">
            <v>0</v>
          </cell>
          <cell r="AV403">
            <v>0</v>
          </cell>
          <cell r="AW403">
            <v>0</v>
          </cell>
          <cell r="AX403">
            <v>0</v>
          </cell>
          <cell r="AY403" t="str">
            <v>445x870</v>
          </cell>
          <cell r="AZ403" t="str">
            <v>P2</v>
          </cell>
          <cell r="BA403" t="str">
            <v>1c</v>
          </cell>
          <cell r="BB403" t="str">
            <v>giấy cartoon K600</v>
          </cell>
          <cell r="BC403">
            <v>0</v>
          </cell>
          <cell r="BD403">
            <v>0</v>
          </cell>
        </row>
        <row r="404">
          <cell r="A404" t="str">
            <v>sp 925</v>
          </cell>
          <cell r="B404" t="str">
            <v>Túi lúa Nhị Ưu 838 1kg</v>
          </cell>
          <cell r="C404">
            <v>8.86</v>
          </cell>
          <cell r="D404">
            <v>2</v>
          </cell>
          <cell r="E404" t="str">
            <v>PET 12x900</v>
          </cell>
          <cell r="F404">
            <v>7</v>
          </cell>
          <cell r="G404" t="str">
            <v>PET</v>
          </cell>
          <cell r="H404">
            <v>0.25</v>
          </cell>
          <cell r="I404">
            <v>4.6399999999999997</v>
          </cell>
          <cell r="J404">
            <v>0.28999999999999998</v>
          </cell>
          <cell r="K404">
            <v>0</v>
          </cell>
          <cell r="L404">
            <v>2.2000000000000002</v>
          </cell>
          <cell r="M404">
            <v>1.02</v>
          </cell>
          <cell r="N404">
            <v>0</v>
          </cell>
          <cell r="O404">
            <v>0.31</v>
          </cell>
          <cell r="P404">
            <v>0.04</v>
          </cell>
          <cell r="Q404">
            <v>0.1</v>
          </cell>
          <cell r="R404">
            <v>0</v>
          </cell>
          <cell r="S404">
            <v>0</v>
          </cell>
          <cell r="T404">
            <v>0.01</v>
          </cell>
          <cell r="U404">
            <v>0</v>
          </cell>
          <cell r="V404">
            <v>0</v>
          </cell>
          <cell r="W404">
            <v>0</v>
          </cell>
          <cell r="X404">
            <v>0</v>
          </cell>
          <cell r="Y404">
            <v>0</v>
          </cell>
          <cell r="Z404">
            <v>0</v>
          </cell>
          <cell r="AA404">
            <v>0</v>
          </cell>
          <cell r="AB404">
            <v>0</v>
          </cell>
          <cell r="AC404">
            <v>0</v>
          </cell>
          <cell r="AD404">
            <v>0</v>
          </cell>
          <cell r="AE404" t="str">
            <v>PE 82x900</v>
          </cell>
          <cell r="AF404">
            <v>0</v>
          </cell>
          <cell r="AG404">
            <v>8.3385000000000001E-2</v>
          </cell>
          <cell r="AH404">
            <v>1.3646666666666665</v>
          </cell>
          <cell r="AI404">
            <v>0</v>
          </cell>
          <cell r="AJ404">
            <v>9530</v>
          </cell>
          <cell r="AK404">
            <v>0</v>
          </cell>
          <cell r="AL404">
            <v>2.3E-3</v>
          </cell>
          <cell r="AM404" t="str">
            <v>túi ba biên</v>
          </cell>
          <cell r="AN404">
            <v>310</v>
          </cell>
          <cell r="AO404" t="str">
            <v>Công ty Thái Bình</v>
          </cell>
          <cell r="AP404" t="e">
            <v>#N/A</v>
          </cell>
          <cell r="AQ404" t="e">
            <v>#N/A</v>
          </cell>
          <cell r="AR404" t="e">
            <v>#N/A</v>
          </cell>
          <cell r="AS404" t="e">
            <v>#N/A</v>
          </cell>
          <cell r="AT404" t="e">
            <v>#N/A</v>
          </cell>
          <cell r="AU404" t="e">
            <v>#N/A</v>
          </cell>
          <cell r="AV404" t="e">
            <v>#N/A</v>
          </cell>
          <cell r="AW404" t="e">
            <v>#N/A</v>
          </cell>
          <cell r="AX404" t="e">
            <v>#N/A</v>
          </cell>
          <cell r="AY404" t="e">
            <v>#N/A</v>
          </cell>
          <cell r="AZ404" t="e">
            <v>#N/A</v>
          </cell>
          <cell r="BA404">
            <v>4000</v>
          </cell>
          <cell r="BB404" t="str">
            <v>bao dứa</v>
          </cell>
          <cell r="BC404">
            <v>0</v>
          </cell>
          <cell r="BD404" t="e">
            <v>#N/A</v>
          </cell>
        </row>
        <row r="405">
          <cell r="A405" t="str">
            <v>sp 926</v>
          </cell>
          <cell r="B405" t="str">
            <v>Túi lúa Nhị Ưu 838 40kg</v>
          </cell>
          <cell r="C405">
            <v>7.2500000000000018</v>
          </cell>
          <cell r="D405">
            <v>1</v>
          </cell>
          <cell r="E405" t="str">
            <v>OPP 18x690</v>
          </cell>
          <cell r="F405">
            <v>6</v>
          </cell>
          <cell r="G405" t="str">
            <v>OPP</v>
          </cell>
          <cell r="H405">
            <v>0.31</v>
          </cell>
          <cell r="I405">
            <v>0</v>
          </cell>
          <cell r="J405">
            <v>0.62</v>
          </cell>
          <cell r="K405">
            <v>0.01</v>
          </cell>
          <cell r="L405">
            <v>3.7</v>
          </cell>
          <cell r="M405">
            <v>2.31</v>
          </cell>
          <cell r="N405">
            <v>0</v>
          </cell>
          <cell r="O405">
            <v>0</v>
          </cell>
          <cell r="P405">
            <v>0</v>
          </cell>
          <cell r="Q405">
            <v>0.15</v>
          </cell>
          <cell r="R405">
            <v>0</v>
          </cell>
          <cell r="S405">
            <v>0</v>
          </cell>
          <cell r="T405">
            <v>0.15</v>
          </cell>
          <cell r="U405">
            <v>0</v>
          </cell>
          <cell r="V405">
            <v>0</v>
          </cell>
          <cell r="W405">
            <v>0</v>
          </cell>
          <cell r="X405">
            <v>0</v>
          </cell>
          <cell r="Y405">
            <v>0</v>
          </cell>
          <cell r="Z405">
            <v>0</v>
          </cell>
          <cell r="AA405">
            <v>0</v>
          </cell>
          <cell r="AB405">
            <v>0</v>
          </cell>
          <cell r="AC405">
            <v>0</v>
          </cell>
          <cell r="AD405">
            <v>0</v>
          </cell>
          <cell r="AE405">
            <v>0</v>
          </cell>
          <cell r="AF405">
            <v>0</v>
          </cell>
          <cell r="AG405">
            <v>1.1302199999999998E-2</v>
          </cell>
          <cell r="AH405">
            <v>0</v>
          </cell>
          <cell r="AI405">
            <v>0</v>
          </cell>
          <cell r="AJ405">
            <v>0</v>
          </cell>
          <cell r="AK405">
            <v>0</v>
          </cell>
          <cell r="AL405">
            <v>2E-3</v>
          </cell>
          <cell r="AM405" t="str">
            <v>dạng cuộn 6000m</v>
          </cell>
          <cell r="AN405">
            <v>670</v>
          </cell>
          <cell r="AO405" t="str">
            <v>Công ty Thái Bình</v>
          </cell>
          <cell r="AP405" t="e">
            <v>#N/A</v>
          </cell>
          <cell r="AQ405" t="e">
            <v>#N/A</v>
          </cell>
          <cell r="AR405" t="e">
            <v>#N/A</v>
          </cell>
          <cell r="AS405" t="e">
            <v>#N/A</v>
          </cell>
          <cell r="AT405" t="e">
            <v>#N/A</v>
          </cell>
          <cell r="AU405" t="e">
            <v>#N/A</v>
          </cell>
          <cell r="AV405" t="e">
            <v>#N/A</v>
          </cell>
          <cell r="AW405" t="e">
            <v>#N/A</v>
          </cell>
          <cell r="AX405" t="e">
            <v>#N/A</v>
          </cell>
          <cell r="AY405" t="e">
            <v>#N/A</v>
          </cell>
          <cell r="AZ405" t="e">
            <v>#N/A</v>
          </cell>
          <cell r="BA405" t="str">
            <v>1c</v>
          </cell>
          <cell r="BB405" t="str">
            <v>giấy cartoon K600</v>
          </cell>
          <cell r="BC405">
            <v>0</v>
          </cell>
          <cell r="BD405" t="e">
            <v>#N/A</v>
          </cell>
        </row>
        <row r="406">
          <cell r="A406" t="str">
            <v>sp 927</v>
          </cell>
          <cell r="B406" t="str">
            <v>Túi chữ trà 7 màu tân cương thái nguyên 200g loại 11 Thanh Minh</v>
          </cell>
          <cell r="C406">
            <v>7.1</v>
          </cell>
          <cell r="D406">
            <v>2</v>
          </cell>
          <cell r="E406" t="str">
            <v>PET 12x620</v>
          </cell>
          <cell r="F406">
            <v>6</v>
          </cell>
          <cell r="G406" t="str">
            <v>PET</v>
          </cell>
          <cell r="H406">
            <v>0.1</v>
          </cell>
          <cell r="I406">
            <v>3.3</v>
          </cell>
          <cell r="J406">
            <v>0.2</v>
          </cell>
          <cell r="K406">
            <v>0.8</v>
          </cell>
          <cell r="L406">
            <v>1.3</v>
          </cell>
          <cell r="M406">
            <v>1</v>
          </cell>
          <cell r="N406">
            <v>0</v>
          </cell>
          <cell r="O406">
            <v>0.3</v>
          </cell>
          <cell r="P406">
            <v>0.1</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t="str">
            <v>MPET 12x620</v>
          </cell>
          <cell r="AF406" t="str">
            <v>PE 75x620</v>
          </cell>
          <cell r="AG406">
            <v>6.3844500000000012E-2</v>
          </cell>
          <cell r="AH406">
            <v>0.93533333333333324</v>
          </cell>
          <cell r="AI406">
            <v>1.22</v>
          </cell>
          <cell r="AJ406">
            <v>9530</v>
          </cell>
          <cell r="AK406">
            <v>9530</v>
          </cell>
          <cell r="AL406" t="str">
            <v>0,0053(0,0023;0,003)</v>
          </cell>
          <cell r="AM406" t="str">
            <v>túi hàn lưng xếp hông</v>
          </cell>
          <cell r="AN406">
            <v>340</v>
          </cell>
          <cell r="AO406" t="str">
            <v>Công ty Thanh Minh</v>
          </cell>
          <cell r="AP406" t="e">
            <v>#N/A</v>
          </cell>
          <cell r="AQ406" t="e">
            <v>#N/A</v>
          </cell>
          <cell r="AR406" t="e">
            <v>#N/A</v>
          </cell>
          <cell r="AS406" t="e">
            <v>#N/A</v>
          </cell>
          <cell r="AT406" t="e">
            <v>#N/A</v>
          </cell>
          <cell r="AU406" t="e">
            <v>#N/A</v>
          </cell>
          <cell r="AV406" t="e">
            <v>#N/A</v>
          </cell>
          <cell r="AW406" t="e">
            <v>#N/A</v>
          </cell>
          <cell r="AX406" t="e">
            <v>#N/A</v>
          </cell>
          <cell r="AY406" t="e">
            <v>#N/A</v>
          </cell>
          <cell r="AZ406" t="e">
            <v>#N/A</v>
          </cell>
          <cell r="BA406">
            <v>2000</v>
          </cell>
          <cell r="BB406" t="str">
            <v>Thùng 5 lớp 43x35,5x29 (Thanh Minh)</v>
          </cell>
          <cell r="BC406">
            <v>0</v>
          </cell>
          <cell r="BD406" t="e">
            <v>#N/A</v>
          </cell>
        </row>
        <row r="407">
          <cell r="A407" t="str">
            <v>sp 928</v>
          </cell>
          <cell r="B407" t="str">
            <v>Túi chữ trà 7 màu đặc sản thái nguyên 200g loại 11 Thanh Minh</v>
          </cell>
          <cell r="C407">
            <v>6.9999999999999991</v>
          </cell>
          <cell r="D407">
            <v>2</v>
          </cell>
          <cell r="E407" t="str">
            <v>PET 12x620</v>
          </cell>
          <cell r="F407">
            <v>6</v>
          </cell>
          <cell r="G407" t="str">
            <v>PET</v>
          </cell>
          <cell r="H407">
            <v>0.05</v>
          </cell>
          <cell r="I407">
            <v>3.17</v>
          </cell>
          <cell r="J407">
            <v>0.46</v>
          </cell>
          <cell r="K407">
            <v>0.37</v>
          </cell>
          <cell r="L407">
            <v>2.34</v>
          </cell>
          <cell r="M407">
            <v>0.51</v>
          </cell>
          <cell r="N407">
            <v>0</v>
          </cell>
          <cell r="O407">
            <v>0.09</v>
          </cell>
          <cell r="P407">
            <v>0.01</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t="str">
            <v>MPET 12x620</v>
          </cell>
          <cell r="AF407" t="str">
            <v>PE 75x620</v>
          </cell>
          <cell r="AG407">
            <v>6.3844500000000012E-2</v>
          </cell>
          <cell r="AH407">
            <v>0.93533333333333324</v>
          </cell>
          <cell r="AI407">
            <v>1.22</v>
          </cell>
          <cell r="AJ407">
            <v>9530</v>
          </cell>
          <cell r="AK407">
            <v>9530</v>
          </cell>
          <cell r="AL407" t="str">
            <v>0,0053(0,0023;0,003)</v>
          </cell>
          <cell r="AM407" t="str">
            <v>túi hàn lưng xếp hông</v>
          </cell>
          <cell r="AN407">
            <v>340</v>
          </cell>
          <cell r="AO407" t="str">
            <v>Công ty Thanh Minh</v>
          </cell>
          <cell r="AP407" t="e">
            <v>#N/A</v>
          </cell>
          <cell r="AQ407" t="e">
            <v>#N/A</v>
          </cell>
          <cell r="AR407" t="e">
            <v>#N/A</v>
          </cell>
          <cell r="AS407" t="e">
            <v>#N/A</v>
          </cell>
          <cell r="AT407" t="e">
            <v>#N/A</v>
          </cell>
          <cell r="AU407" t="e">
            <v>#N/A</v>
          </cell>
          <cell r="AV407" t="e">
            <v>#N/A</v>
          </cell>
          <cell r="AW407" t="e">
            <v>#N/A</v>
          </cell>
          <cell r="AX407" t="e">
            <v>#N/A</v>
          </cell>
          <cell r="AY407" t="e">
            <v>#N/A</v>
          </cell>
          <cell r="AZ407" t="e">
            <v>#N/A</v>
          </cell>
          <cell r="BA407">
            <v>2000</v>
          </cell>
          <cell r="BB407" t="str">
            <v>Thùng 5 lớp 43x35,5x29 (Thanh Minh)</v>
          </cell>
          <cell r="BC407">
            <v>0</v>
          </cell>
          <cell r="BD407" t="e">
            <v>#N/A</v>
          </cell>
        </row>
        <row r="408">
          <cell r="A408" t="str">
            <v>sp 929</v>
          </cell>
          <cell r="B408" t="str">
            <v>Túi chữ trà có viền tân cương 200g loại 11 Thanh Minh</v>
          </cell>
          <cell r="C408">
            <v>6.66</v>
          </cell>
          <cell r="D408">
            <v>2</v>
          </cell>
          <cell r="E408" t="str">
            <v>PET 12x620</v>
          </cell>
          <cell r="F408">
            <v>6</v>
          </cell>
          <cell r="G408" t="str">
            <v>PET</v>
          </cell>
          <cell r="H408">
            <v>0</v>
          </cell>
          <cell r="I408">
            <v>3.02</v>
          </cell>
          <cell r="J408">
            <v>0.09</v>
          </cell>
          <cell r="K408">
            <v>0.14000000000000001</v>
          </cell>
          <cell r="L408">
            <v>2.7</v>
          </cell>
          <cell r="M408">
            <v>0.69</v>
          </cell>
          <cell r="N408">
            <v>0</v>
          </cell>
          <cell r="O408">
            <v>0.01</v>
          </cell>
          <cell r="P408">
            <v>0.01</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t="str">
            <v>MPET 12x620</v>
          </cell>
          <cell r="AF408" t="str">
            <v>PE 75x620</v>
          </cell>
          <cell r="AG408">
            <v>6.3844500000000012E-2</v>
          </cell>
          <cell r="AH408">
            <v>0.93533333333333324</v>
          </cell>
          <cell r="AI408">
            <v>1.22</v>
          </cell>
          <cell r="AJ408">
            <v>9530</v>
          </cell>
          <cell r="AK408">
            <v>9530</v>
          </cell>
          <cell r="AL408" t="str">
            <v>0,0053(0,0023;0,003)</v>
          </cell>
          <cell r="AM408" t="str">
            <v>túi hàn lưng xếp hông</v>
          </cell>
          <cell r="AN408">
            <v>340</v>
          </cell>
          <cell r="AO408" t="str">
            <v>Công ty Thanh Minh</v>
          </cell>
          <cell r="AP408" t="e">
            <v>#N/A</v>
          </cell>
          <cell r="AQ408" t="e">
            <v>#N/A</v>
          </cell>
          <cell r="AR408" t="e">
            <v>#N/A</v>
          </cell>
          <cell r="AS408" t="e">
            <v>#N/A</v>
          </cell>
          <cell r="AT408" t="e">
            <v>#N/A</v>
          </cell>
          <cell r="AU408" t="e">
            <v>#N/A</v>
          </cell>
          <cell r="AV408" t="e">
            <v>#N/A</v>
          </cell>
          <cell r="AW408" t="e">
            <v>#N/A</v>
          </cell>
          <cell r="AX408" t="e">
            <v>#N/A</v>
          </cell>
          <cell r="AY408" t="e">
            <v>#N/A</v>
          </cell>
          <cell r="AZ408" t="e">
            <v>#N/A</v>
          </cell>
          <cell r="BA408">
            <v>2000</v>
          </cell>
          <cell r="BB408" t="str">
            <v>Thùng 5 lớp 43x35,5x25,5 (Thanh Minh)</v>
          </cell>
          <cell r="BC408">
            <v>0</v>
          </cell>
          <cell r="BD408" t="e">
            <v>#N/A</v>
          </cell>
        </row>
        <row r="409">
          <cell r="A409" t="str">
            <v>sp 931</v>
          </cell>
          <cell r="B409" t="str">
            <v>Túi chữ trà 7 màu tân cương thái nguyên 500g loại 11 Thanh Minh</v>
          </cell>
          <cell r="C409">
            <v>7.83</v>
          </cell>
          <cell r="D409">
            <v>2</v>
          </cell>
          <cell r="E409" t="str">
            <v>PET 12x760</v>
          </cell>
          <cell r="F409">
            <v>6</v>
          </cell>
          <cell r="G409" t="str">
            <v>PET</v>
          </cell>
          <cell r="H409">
            <v>0</v>
          </cell>
          <cell r="I409">
            <v>2.99</v>
          </cell>
          <cell r="J409">
            <v>0.99</v>
          </cell>
          <cell r="K409">
            <v>0.26</v>
          </cell>
          <cell r="L409">
            <v>1.64</v>
          </cell>
          <cell r="M409">
            <v>1.49</v>
          </cell>
          <cell r="N409">
            <v>0</v>
          </cell>
          <cell r="O409">
            <v>0.14000000000000001</v>
          </cell>
          <cell r="P409">
            <v>0.32</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t="str">
            <v>MPET 12x760</v>
          </cell>
          <cell r="AF409" t="str">
            <v>PE 75x760</v>
          </cell>
          <cell r="AG409">
            <v>7.8261000000000011E-2</v>
          </cell>
          <cell r="AH409">
            <v>1.1499999999999999</v>
          </cell>
          <cell r="AI409">
            <v>1.5</v>
          </cell>
          <cell r="AJ409">
            <v>9530</v>
          </cell>
          <cell r="AK409">
            <v>9530</v>
          </cell>
          <cell r="AL409" t="str">
            <v>0,0053(0,0023;0,003)</v>
          </cell>
          <cell r="AM409" t="str">
            <v>túi hàn lưng xếp hông</v>
          </cell>
          <cell r="AN409">
            <v>420</v>
          </cell>
          <cell r="AO409" t="str">
            <v>Công ty Thanh Minh</v>
          </cell>
          <cell r="AP409" t="e">
            <v>#N/A</v>
          </cell>
          <cell r="AQ409" t="e">
            <v>#N/A</v>
          </cell>
          <cell r="AR409" t="e">
            <v>#N/A</v>
          </cell>
          <cell r="AS409" t="e">
            <v>#N/A</v>
          </cell>
          <cell r="AT409" t="e">
            <v>#N/A</v>
          </cell>
          <cell r="AU409" t="e">
            <v>#N/A</v>
          </cell>
          <cell r="AV409" t="e">
            <v>#N/A</v>
          </cell>
          <cell r="AW409" t="e">
            <v>#N/A</v>
          </cell>
          <cell r="AX409" t="e">
            <v>#N/A</v>
          </cell>
          <cell r="AY409" t="e">
            <v>#N/A</v>
          </cell>
          <cell r="AZ409" t="e">
            <v>#N/A</v>
          </cell>
          <cell r="BA409">
            <v>1500</v>
          </cell>
          <cell r="BB409" t="str">
            <v>Thùng 5 lớp 43x35,5x29 (Thanh Minh)</v>
          </cell>
          <cell r="BC409">
            <v>0</v>
          </cell>
          <cell r="BD409" t="e">
            <v>#N/A</v>
          </cell>
        </row>
        <row r="410">
          <cell r="A410" t="str">
            <v>sp 932</v>
          </cell>
          <cell r="B410" t="str">
            <v>Túi chữ trà 7 màu đặc sản thái nguyên 500g loại 11 Thanh Minh</v>
          </cell>
          <cell r="C410">
            <v>8.64</v>
          </cell>
          <cell r="D410">
            <v>2</v>
          </cell>
          <cell r="E410" t="str">
            <v>PET 12x760</v>
          </cell>
          <cell r="F410">
            <v>6</v>
          </cell>
          <cell r="G410" t="str">
            <v>PET</v>
          </cell>
          <cell r="H410">
            <v>0.04</v>
          </cell>
          <cell r="I410">
            <v>2.83</v>
          </cell>
          <cell r="J410">
            <v>0.86</v>
          </cell>
          <cell r="K410">
            <v>0.2</v>
          </cell>
          <cell r="L410">
            <v>1.49</v>
          </cell>
          <cell r="M410">
            <v>2.23</v>
          </cell>
          <cell r="N410">
            <v>0</v>
          </cell>
          <cell r="O410">
            <v>0.17</v>
          </cell>
          <cell r="P410">
            <v>0.82</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t="str">
            <v>MPET 12x760</v>
          </cell>
          <cell r="AF410" t="str">
            <v>PE 75x760</v>
          </cell>
          <cell r="AG410">
            <v>7.8261000000000011E-2</v>
          </cell>
          <cell r="AH410">
            <v>1.1499999999999999</v>
          </cell>
          <cell r="AI410">
            <v>1.5</v>
          </cell>
          <cell r="AJ410">
            <v>9530</v>
          </cell>
          <cell r="AK410">
            <v>9530</v>
          </cell>
          <cell r="AL410" t="str">
            <v>0,0053(0,0023;0,003)</v>
          </cell>
          <cell r="AM410" t="str">
            <v>túi hàn lưng xếp hông</v>
          </cell>
          <cell r="AN410">
            <v>420</v>
          </cell>
          <cell r="AO410" t="str">
            <v>Công ty Thanh Minh</v>
          </cell>
          <cell r="AP410" t="e">
            <v>#N/A</v>
          </cell>
          <cell r="AQ410" t="e">
            <v>#N/A</v>
          </cell>
          <cell r="AR410" t="e">
            <v>#N/A</v>
          </cell>
          <cell r="AS410" t="e">
            <v>#N/A</v>
          </cell>
          <cell r="AT410" t="e">
            <v>#N/A</v>
          </cell>
          <cell r="AU410" t="e">
            <v>#N/A</v>
          </cell>
          <cell r="AV410" t="e">
            <v>#N/A</v>
          </cell>
          <cell r="AW410" t="e">
            <v>#N/A</v>
          </cell>
          <cell r="AX410" t="e">
            <v>#N/A</v>
          </cell>
          <cell r="AY410" t="e">
            <v>#N/A</v>
          </cell>
          <cell r="AZ410" t="e">
            <v>#N/A</v>
          </cell>
          <cell r="BA410">
            <v>1500</v>
          </cell>
          <cell r="BB410" t="str">
            <v>Thùng 5 lớp 43x35,5x29 (Thanh Minh)</v>
          </cell>
          <cell r="BC410">
            <v>0</v>
          </cell>
          <cell r="BD410" t="e">
            <v>#N/A</v>
          </cell>
        </row>
        <row r="411">
          <cell r="A411" t="str">
            <v>sp 933</v>
          </cell>
          <cell r="B411" t="str">
            <v xml:space="preserve">Túi chữ trà có viền tân cương 500g loại 11 Thanh Minh </v>
          </cell>
          <cell r="C411">
            <v>7.77</v>
          </cell>
          <cell r="D411">
            <v>2</v>
          </cell>
          <cell r="E411" t="str">
            <v>PET 12x760</v>
          </cell>
          <cell r="F411">
            <v>6</v>
          </cell>
          <cell r="G411" t="str">
            <v>PET</v>
          </cell>
          <cell r="H411">
            <v>0</v>
          </cell>
          <cell r="I411">
            <v>3.56</v>
          </cell>
          <cell r="J411">
            <v>0.66</v>
          </cell>
          <cell r="K411">
            <v>0.16</v>
          </cell>
          <cell r="L411">
            <v>1.92</v>
          </cell>
          <cell r="M411">
            <v>1.37</v>
          </cell>
          <cell r="N411">
            <v>0</v>
          </cell>
          <cell r="O411">
            <v>0.05</v>
          </cell>
          <cell r="P411">
            <v>0.05</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t="str">
            <v>MPET 12x760</v>
          </cell>
          <cell r="AF411" t="str">
            <v>PE 75x760</v>
          </cell>
          <cell r="AG411">
            <v>7.8261000000000011E-2</v>
          </cell>
          <cell r="AH411">
            <v>1.1499999999999999</v>
          </cell>
          <cell r="AI411">
            <v>1.5</v>
          </cell>
          <cell r="AJ411">
            <v>9530</v>
          </cell>
          <cell r="AK411">
            <v>9530</v>
          </cell>
          <cell r="AL411" t="str">
            <v>0,0053(0,0023;0,003)</v>
          </cell>
          <cell r="AM411" t="str">
            <v>túi hàn lưng xếp hông</v>
          </cell>
          <cell r="AN411">
            <v>420</v>
          </cell>
          <cell r="AO411" t="str">
            <v>Công ty Thanh Minh</v>
          </cell>
          <cell r="AP411" t="e">
            <v>#N/A</v>
          </cell>
          <cell r="AQ411" t="e">
            <v>#N/A</v>
          </cell>
          <cell r="AR411" t="e">
            <v>#N/A</v>
          </cell>
          <cell r="AS411" t="e">
            <v>#N/A</v>
          </cell>
          <cell r="AT411" t="e">
            <v>#N/A</v>
          </cell>
          <cell r="AU411" t="e">
            <v>#N/A</v>
          </cell>
          <cell r="AV411" t="e">
            <v>#N/A</v>
          </cell>
          <cell r="AW411" t="e">
            <v>#N/A</v>
          </cell>
          <cell r="AX411" t="e">
            <v>#N/A</v>
          </cell>
          <cell r="AY411" t="e">
            <v>#N/A</v>
          </cell>
          <cell r="AZ411" t="e">
            <v>#N/A</v>
          </cell>
          <cell r="BA411">
            <v>1500</v>
          </cell>
          <cell r="BB411" t="str">
            <v>Thùng 5 lớp 43x35,5x29 (Thanh Minh)</v>
          </cell>
          <cell r="BC411">
            <v>0</v>
          </cell>
          <cell r="BD411" t="e">
            <v>#N/A</v>
          </cell>
        </row>
        <row r="412">
          <cell r="A412" t="str">
            <v>sp 935</v>
          </cell>
          <cell r="B412" t="str">
            <v>Túi lúa MHC2 1kg Mahyco</v>
          </cell>
          <cell r="C412">
            <v>8.84</v>
          </cell>
          <cell r="D412">
            <v>2</v>
          </cell>
          <cell r="E412" t="str">
            <v>OPP 20x900</v>
          </cell>
          <cell r="F412">
            <v>7</v>
          </cell>
          <cell r="G412" t="str">
            <v>OPP</v>
          </cell>
          <cell r="H412">
            <v>7.0000000000000007E-2</v>
          </cell>
          <cell r="I412">
            <v>2.0099999999999998</v>
          </cell>
          <cell r="J412">
            <v>1.39</v>
          </cell>
          <cell r="K412">
            <v>0.15</v>
          </cell>
          <cell r="L412">
            <v>3.36</v>
          </cell>
          <cell r="M412">
            <v>1.02</v>
          </cell>
          <cell r="N412">
            <v>0</v>
          </cell>
          <cell r="O412">
            <v>0.33</v>
          </cell>
          <cell r="P412">
            <v>0.51</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t="str">
            <v>PE 90x900</v>
          </cell>
          <cell r="AF412">
            <v>0</v>
          </cell>
          <cell r="AG412">
            <v>9.1305000000000011E-2</v>
          </cell>
          <cell r="AH412">
            <v>1.3646666666666665</v>
          </cell>
          <cell r="AI412">
            <v>0</v>
          </cell>
          <cell r="AJ412">
            <v>9530</v>
          </cell>
          <cell r="AK412">
            <v>0</v>
          </cell>
          <cell r="AL412">
            <v>2.3E-3</v>
          </cell>
          <cell r="AM412" t="str">
            <v>túi ba biên</v>
          </cell>
          <cell r="AN412">
            <v>310</v>
          </cell>
          <cell r="AO412" t="str">
            <v>Công ty TNHH Mahyco Việt Nam</v>
          </cell>
          <cell r="AP412" t="str">
            <v>22031035-1</v>
          </cell>
          <cell r="AQ412" t="str">
            <v>18051213-2</v>
          </cell>
          <cell r="AR412" t="str">
            <v>18051213-3</v>
          </cell>
          <cell r="AS412" t="str">
            <v>18051213-4</v>
          </cell>
          <cell r="AT412" t="str">
            <v>18051213-5</v>
          </cell>
          <cell r="AU412" t="str">
            <v>18051213-6</v>
          </cell>
          <cell r="AV412" t="str">
            <v>18051213-7</v>
          </cell>
          <cell r="AW412">
            <v>0</v>
          </cell>
          <cell r="AX412">
            <v>0</v>
          </cell>
          <cell r="AY412" t="str">
            <v>620x1100</v>
          </cell>
          <cell r="AZ412" t="str">
            <v>P2</v>
          </cell>
          <cell r="BA412">
            <v>3500</v>
          </cell>
          <cell r="BB412" t="str">
            <v>bao dứa</v>
          </cell>
          <cell r="BC412">
            <v>0</v>
          </cell>
          <cell r="BD412">
            <v>0</v>
          </cell>
        </row>
        <row r="413">
          <cell r="A413" t="str">
            <v>sp 936</v>
          </cell>
          <cell r="B413" t="str">
            <v>Túi trà xanh đặc sản thái nguyên 200g ấm nâu loại 6 Thanh Minh</v>
          </cell>
          <cell r="C413">
            <v>11.059999999999999</v>
          </cell>
          <cell r="D413">
            <v>2</v>
          </cell>
          <cell r="E413" t="str">
            <v>PET 12x620</v>
          </cell>
          <cell r="F413">
            <v>6</v>
          </cell>
          <cell r="G413" t="str">
            <v>PET</v>
          </cell>
          <cell r="H413">
            <v>0</v>
          </cell>
          <cell r="I413">
            <v>1.48</v>
          </cell>
          <cell r="J413">
            <v>1.07</v>
          </cell>
          <cell r="K413">
            <v>2.34</v>
          </cell>
          <cell r="L413">
            <v>1.45</v>
          </cell>
          <cell r="M413">
            <v>0.69</v>
          </cell>
          <cell r="N413">
            <v>3.86</v>
          </cell>
          <cell r="O413">
            <v>0.17</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t="str">
            <v>MPET 12x620</v>
          </cell>
          <cell r="AF413" t="str">
            <v>PE 75x620</v>
          </cell>
          <cell r="AG413">
            <v>6.3844500000000012E-2</v>
          </cell>
          <cell r="AH413">
            <v>0.93533333333333324</v>
          </cell>
          <cell r="AI413">
            <v>1.22</v>
          </cell>
          <cell r="AJ413">
            <v>9530</v>
          </cell>
          <cell r="AK413">
            <v>9530</v>
          </cell>
          <cell r="AL413" t="str">
            <v>0,0053(0,0023;0,003)</v>
          </cell>
          <cell r="AM413" t="str">
            <v>túi hàn lưng xếp hông</v>
          </cell>
          <cell r="AN413">
            <v>340</v>
          </cell>
          <cell r="AO413" t="str">
            <v>Công ty Thanh Minh</v>
          </cell>
          <cell r="AP413" t="e">
            <v>#N/A</v>
          </cell>
          <cell r="AQ413" t="e">
            <v>#N/A</v>
          </cell>
          <cell r="AR413" t="e">
            <v>#N/A</v>
          </cell>
          <cell r="AS413" t="e">
            <v>#N/A</v>
          </cell>
          <cell r="AT413" t="e">
            <v>#N/A</v>
          </cell>
          <cell r="AU413" t="e">
            <v>#N/A</v>
          </cell>
          <cell r="AV413" t="e">
            <v>#N/A</v>
          </cell>
          <cell r="AW413" t="e">
            <v>#N/A</v>
          </cell>
          <cell r="AX413" t="e">
            <v>#N/A</v>
          </cell>
          <cell r="AY413" t="e">
            <v>#N/A</v>
          </cell>
          <cell r="AZ413" t="e">
            <v>#N/A</v>
          </cell>
          <cell r="BA413">
            <v>2000</v>
          </cell>
          <cell r="BB413" t="str">
            <v>Thùng 5 lớp 43x35,5x25,5 (Thanh Minh)</v>
          </cell>
          <cell r="BC413">
            <v>0</v>
          </cell>
          <cell r="BD413" t="e">
            <v>#N/A</v>
          </cell>
        </row>
        <row r="414">
          <cell r="A414" t="str">
            <v>sp 937</v>
          </cell>
          <cell r="B414" t="str">
            <v>Túi trà xanh tân cương thái nguyên 500gr ấm nâu loại 6</v>
          </cell>
          <cell r="C414">
            <v>4.8499999999999996</v>
          </cell>
          <cell r="D414">
            <v>2</v>
          </cell>
          <cell r="E414" t="str">
            <v>PET 12x760</v>
          </cell>
          <cell r="F414">
            <v>6</v>
          </cell>
          <cell r="G414" t="str">
            <v>PET</v>
          </cell>
          <cell r="H414">
            <v>0</v>
          </cell>
          <cell r="I414">
            <v>0.57999999999999996</v>
          </cell>
          <cell r="J414">
            <v>0.37</v>
          </cell>
          <cell r="K414">
            <v>0.21</v>
          </cell>
          <cell r="L414">
            <v>1.1599999999999999</v>
          </cell>
          <cell r="M414">
            <v>0.59</v>
          </cell>
          <cell r="N414">
            <v>1.85</v>
          </cell>
          <cell r="O414">
            <v>0.09</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t="str">
            <v>MPET 12x760</v>
          </cell>
          <cell r="AF414" t="str">
            <v>PE 75x760</v>
          </cell>
          <cell r="AG414">
            <v>7.8261000000000011E-2</v>
          </cell>
          <cell r="AH414">
            <v>1.1499999999999999</v>
          </cell>
          <cell r="AI414">
            <v>1.5</v>
          </cell>
          <cell r="AJ414">
            <v>9530</v>
          </cell>
          <cell r="AK414">
            <v>9530</v>
          </cell>
          <cell r="AL414" t="str">
            <v>0,0053(0,0023;0,003)</v>
          </cell>
          <cell r="AM414" t="str">
            <v>túi hàn lưng xếp hông</v>
          </cell>
          <cell r="AN414">
            <v>420</v>
          </cell>
          <cell r="AO414" t="str">
            <v>Công ty Thanh Minh</v>
          </cell>
          <cell r="AP414" t="e">
            <v>#N/A</v>
          </cell>
          <cell r="AQ414" t="e">
            <v>#N/A</v>
          </cell>
          <cell r="AR414" t="e">
            <v>#N/A</v>
          </cell>
          <cell r="AS414" t="e">
            <v>#N/A</v>
          </cell>
          <cell r="AT414" t="e">
            <v>#N/A</v>
          </cell>
          <cell r="AU414" t="e">
            <v>#N/A</v>
          </cell>
          <cell r="AV414" t="e">
            <v>#N/A</v>
          </cell>
          <cell r="AW414" t="e">
            <v>#N/A</v>
          </cell>
          <cell r="AX414" t="e">
            <v>#N/A</v>
          </cell>
          <cell r="AY414" t="e">
            <v>#N/A</v>
          </cell>
          <cell r="AZ414" t="e">
            <v>#N/A</v>
          </cell>
          <cell r="BA414">
            <v>1500</v>
          </cell>
          <cell r="BB414" t="str">
            <v>Thùng 5 lớp 43x35,5x29 (Thanh Minh)</v>
          </cell>
          <cell r="BC414">
            <v>0</v>
          </cell>
          <cell r="BD414" t="e">
            <v>#N/A</v>
          </cell>
        </row>
        <row r="415">
          <cell r="A415" t="str">
            <v>sp 938</v>
          </cell>
          <cell r="B415" t="str">
            <v>Túi trà xanh đặc sản thái nguyên 500g ấm nâu loại 6</v>
          </cell>
          <cell r="C415">
            <v>8.17</v>
          </cell>
          <cell r="D415">
            <v>2</v>
          </cell>
          <cell r="E415" t="str">
            <v>PET 12x760</v>
          </cell>
          <cell r="F415">
            <v>6</v>
          </cell>
          <cell r="G415" t="str">
            <v>PET</v>
          </cell>
          <cell r="H415">
            <v>0</v>
          </cell>
          <cell r="I415">
            <v>1.67</v>
          </cell>
          <cell r="J415">
            <v>0.09</v>
          </cell>
          <cell r="K415">
            <v>0.28000000000000003</v>
          </cell>
          <cell r="L415">
            <v>2.39</v>
          </cell>
          <cell r="M415">
            <v>1.35</v>
          </cell>
          <cell r="N415">
            <v>2.33</v>
          </cell>
          <cell r="O415">
            <v>0.06</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t="str">
            <v>MPET 12x760</v>
          </cell>
          <cell r="AF415" t="str">
            <v>PE 75x760</v>
          </cell>
          <cell r="AG415">
            <v>7.8261000000000011E-2</v>
          </cell>
          <cell r="AH415">
            <v>1.1499999999999999</v>
          </cell>
          <cell r="AI415">
            <v>1.5</v>
          </cell>
          <cell r="AJ415">
            <v>9530</v>
          </cell>
          <cell r="AK415">
            <v>9530</v>
          </cell>
          <cell r="AL415" t="str">
            <v>0,0053(0,0023;0,003)</v>
          </cell>
          <cell r="AM415" t="str">
            <v>túi hàn lưng xếp hông</v>
          </cell>
          <cell r="AN415">
            <v>420</v>
          </cell>
          <cell r="AO415" t="str">
            <v>Công ty Thanh Minh</v>
          </cell>
          <cell r="AP415" t="e">
            <v>#N/A</v>
          </cell>
          <cell r="AQ415" t="e">
            <v>#N/A</v>
          </cell>
          <cell r="AR415" t="e">
            <v>#N/A</v>
          </cell>
          <cell r="AS415" t="e">
            <v>#N/A</v>
          </cell>
          <cell r="AT415" t="e">
            <v>#N/A</v>
          </cell>
          <cell r="AU415" t="e">
            <v>#N/A</v>
          </cell>
          <cell r="AV415" t="e">
            <v>#N/A</v>
          </cell>
          <cell r="AW415" t="e">
            <v>#N/A</v>
          </cell>
          <cell r="AX415" t="e">
            <v>#N/A</v>
          </cell>
          <cell r="AY415" t="e">
            <v>#N/A</v>
          </cell>
          <cell r="AZ415" t="e">
            <v>#N/A</v>
          </cell>
          <cell r="BA415">
            <v>1500</v>
          </cell>
          <cell r="BB415" t="str">
            <v>Thùng 5 lớp 43x35,5x29 (Thanh Minh)</v>
          </cell>
          <cell r="BC415">
            <v>0</v>
          </cell>
          <cell r="BD415" t="e">
            <v>#N/A</v>
          </cell>
        </row>
        <row r="416">
          <cell r="A416" t="str">
            <v>sp 940</v>
          </cell>
          <cell r="B416" t="str">
            <v>Túi bánh trứng Tipo 115g Hữu Nghị</v>
          </cell>
          <cell r="C416">
            <v>7.4799999999999986</v>
          </cell>
          <cell r="D416">
            <v>3</v>
          </cell>
          <cell r="E416" t="str">
            <v>OPP 20x1120</v>
          </cell>
          <cell r="F416">
            <v>8</v>
          </cell>
          <cell r="G416" t="str">
            <v>OPP</v>
          </cell>
          <cell r="H416">
            <v>0.12</v>
          </cell>
          <cell r="I416">
            <v>3.73</v>
          </cell>
          <cell r="J416">
            <v>0.04</v>
          </cell>
          <cell r="K416">
            <v>0.66</v>
          </cell>
          <cell r="L416">
            <v>1.04</v>
          </cell>
          <cell r="M416">
            <v>1.08</v>
          </cell>
          <cell r="N416">
            <v>0</v>
          </cell>
          <cell r="O416">
            <v>0.06</v>
          </cell>
          <cell r="P416">
            <v>0.72</v>
          </cell>
          <cell r="Q416">
            <v>0.02</v>
          </cell>
          <cell r="R416">
            <v>0.01</v>
          </cell>
          <cell r="S416">
            <v>0</v>
          </cell>
          <cell r="T416">
            <v>0</v>
          </cell>
          <cell r="U416">
            <v>0</v>
          </cell>
          <cell r="V416">
            <v>0</v>
          </cell>
          <cell r="W416">
            <v>0</v>
          </cell>
          <cell r="X416">
            <v>0</v>
          </cell>
          <cell r="Y416">
            <v>0</v>
          </cell>
          <cell r="Z416">
            <v>0</v>
          </cell>
          <cell r="AA416">
            <v>0</v>
          </cell>
          <cell r="AB416">
            <v>0</v>
          </cell>
          <cell r="AC416">
            <v>0</v>
          </cell>
          <cell r="AD416">
            <v>0</v>
          </cell>
          <cell r="AE416" t="str">
            <v>PEHD 60x1120</v>
          </cell>
          <cell r="AF416">
            <v>0</v>
          </cell>
          <cell r="AG416">
            <v>8.2544000000000006E-2</v>
          </cell>
          <cell r="AH416">
            <v>1.702</v>
          </cell>
          <cell r="AI416">
            <v>0</v>
          </cell>
          <cell r="AJ416">
            <v>9530</v>
          </cell>
          <cell r="AK416">
            <v>0</v>
          </cell>
          <cell r="AL416">
            <v>2.3E-3</v>
          </cell>
          <cell r="AM416" t="str">
            <v>túi bốn biên</v>
          </cell>
          <cell r="AN416">
            <v>260</v>
          </cell>
          <cell r="AO416" t="str">
            <v>Công ty CP Thực Phẩm Hữu Nghị</v>
          </cell>
          <cell r="AP416" t="str">
            <v>X103086G1-1</v>
          </cell>
          <cell r="AQ416" t="str">
            <v>X103086-2</v>
          </cell>
          <cell r="AR416" t="str">
            <v>X103086-3</v>
          </cell>
          <cell r="AS416" t="str">
            <v>X103086G1-4</v>
          </cell>
          <cell r="AT416" t="str">
            <v>X103086-5</v>
          </cell>
          <cell r="AU416" t="str">
            <v>X103086-6</v>
          </cell>
          <cell r="AV416" t="str">
            <v>X103086-7</v>
          </cell>
          <cell r="AW416" t="str">
            <v>X103086-8</v>
          </cell>
          <cell r="AX416">
            <v>0</v>
          </cell>
          <cell r="AY416" t="str">
            <v>520x1250</v>
          </cell>
          <cell r="AZ416" t="str">
            <v>B1</v>
          </cell>
          <cell r="BA416">
            <v>3500</v>
          </cell>
          <cell r="BB416" t="str">
            <v>Thùng 5 lớp 42x34x36</v>
          </cell>
          <cell r="BC416">
            <v>0</v>
          </cell>
          <cell r="BD416">
            <v>0</v>
          </cell>
        </row>
        <row r="417">
          <cell r="A417" t="str">
            <v>sp 941</v>
          </cell>
          <cell r="B417" t="str">
            <v>Túi bánh trứng Tipo 220gr Hữu Nghị</v>
          </cell>
          <cell r="C417">
            <v>6.0699999999999994</v>
          </cell>
          <cell r="D417">
            <v>1</v>
          </cell>
          <cell r="E417" t="str">
            <v>OPP 20x560</v>
          </cell>
          <cell r="F417">
            <v>8</v>
          </cell>
          <cell r="G417" t="str">
            <v>OPP</v>
          </cell>
          <cell r="H417">
            <v>0.06</v>
          </cell>
          <cell r="I417">
            <v>3.67</v>
          </cell>
          <cell r="J417">
            <v>0.03</v>
          </cell>
          <cell r="K417">
            <v>0.02</v>
          </cell>
          <cell r="L417">
            <v>0.85</v>
          </cell>
          <cell r="M417">
            <v>1.01</v>
          </cell>
          <cell r="N417">
            <v>0</v>
          </cell>
          <cell r="O417">
            <v>0.09</v>
          </cell>
          <cell r="P417">
            <v>0.28999999999999998</v>
          </cell>
          <cell r="Q417">
            <v>0.02</v>
          </cell>
          <cell r="R417">
            <v>0.03</v>
          </cell>
          <cell r="S417">
            <v>0</v>
          </cell>
          <cell r="T417">
            <v>0</v>
          </cell>
          <cell r="U417">
            <v>0</v>
          </cell>
          <cell r="V417">
            <v>0</v>
          </cell>
          <cell r="W417">
            <v>0</v>
          </cell>
          <cell r="X417">
            <v>0</v>
          </cell>
          <cell r="Y417">
            <v>0</v>
          </cell>
          <cell r="Z417">
            <v>0</v>
          </cell>
          <cell r="AA417">
            <v>0</v>
          </cell>
          <cell r="AB417">
            <v>0</v>
          </cell>
          <cell r="AC417">
            <v>0</v>
          </cell>
          <cell r="AD417">
            <v>0</v>
          </cell>
          <cell r="AE417" t="str">
            <v>PE HD 60x560</v>
          </cell>
          <cell r="AF417">
            <v>0</v>
          </cell>
          <cell r="AG417">
            <v>4.1272000000000003E-2</v>
          </cell>
          <cell r="AH417">
            <v>0.84333333333333338</v>
          </cell>
          <cell r="AI417">
            <v>0</v>
          </cell>
          <cell r="AJ417">
            <v>9530</v>
          </cell>
          <cell r="AK417">
            <v>0</v>
          </cell>
          <cell r="AL417">
            <v>2.3E-3</v>
          </cell>
          <cell r="AM417" t="str">
            <v>túi bốn biên</v>
          </cell>
          <cell r="AN417">
            <v>365</v>
          </cell>
          <cell r="AO417" t="str">
            <v>Công ty CP Thực Phẩm Hữu Nghị</v>
          </cell>
          <cell r="AP417" t="str">
            <v>1807850-1</v>
          </cell>
          <cell r="AQ417" t="str">
            <v>1807850-2</v>
          </cell>
          <cell r="AR417" t="str">
            <v>1807850-3</v>
          </cell>
          <cell r="AS417" t="str">
            <v>1808242-4</v>
          </cell>
          <cell r="AT417" t="str">
            <v>1807850-5</v>
          </cell>
          <cell r="AU417" t="str">
            <v>1807850-6</v>
          </cell>
          <cell r="AV417" t="str">
            <v>1808242-7</v>
          </cell>
          <cell r="AW417" t="str">
            <v>1807850-8</v>
          </cell>
          <cell r="AX417">
            <v>0</v>
          </cell>
          <cell r="AY417" t="str">
            <v>730x750</v>
          </cell>
          <cell r="AZ417" t="str">
            <v>B1</v>
          </cell>
          <cell r="BA417">
            <v>1500</v>
          </cell>
          <cell r="BB417" t="str">
            <v>Thùng 5 lớp 42x34x36</v>
          </cell>
          <cell r="BC417">
            <v>0</v>
          </cell>
          <cell r="BD417">
            <v>0</v>
          </cell>
        </row>
        <row r="418">
          <cell r="A418" t="str">
            <v>sp 942</v>
          </cell>
          <cell r="B418" t="str">
            <v>Cuộn bánh trứng Tipo 300gr phong linh xuất khẩu Hữu Nghị</v>
          </cell>
          <cell r="C418">
            <v>6.32</v>
          </cell>
          <cell r="D418">
            <v>6</v>
          </cell>
          <cell r="E418" t="str">
            <v>OPP 20x1088</v>
          </cell>
          <cell r="F418">
            <v>8</v>
          </cell>
          <cell r="G418" t="str">
            <v>OPP</v>
          </cell>
          <cell r="H418">
            <v>0.08</v>
          </cell>
          <cell r="I418">
            <v>3.12</v>
          </cell>
          <cell r="J418">
            <v>0.05</v>
          </cell>
          <cell r="K418">
            <v>0.05</v>
          </cell>
          <cell r="L418">
            <v>1.42</v>
          </cell>
          <cell r="M418">
            <v>1.08</v>
          </cell>
          <cell r="N418">
            <v>0</v>
          </cell>
          <cell r="O418">
            <v>0.04</v>
          </cell>
          <cell r="P418">
            <v>0.44</v>
          </cell>
          <cell r="Q418">
            <v>0</v>
          </cell>
          <cell r="R418">
            <v>0.04</v>
          </cell>
          <cell r="S418">
            <v>0</v>
          </cell>
          <cell r="T418">
            <v>0</v>
          </cell>
          <cell r="U418">
            <v>0</v>
          </cell>
          <cell r="V418">
            <v>0</v>
          </cell>
          <cell r="W418">
            <v>0</v>
          </cell>
          <cell r="X418">
            <v>0</v>
          </cell>
          <cell r="Y418">
            <v>0</v>
          </cell>
          <cell r="Z418">
            <v>0</v>
          </cell>
          <cell r="AA418">
            <v>0</v>
          </cell>
          <cell r="AB418">
            <v>0</v>
          </cell>
          <cell r="AC418">
            <v>0</v>
          </cell>
          <cell r="AD418">
            <v>0</v>
          </cell>
          <cell r="AE418" t="str">
            <v>MCPP 25x1088</v>
          </cell>
          <cell r="AF418">
            <v>0</v>
          </cell>
          <cell r="AG418">
            <v>4.4553600000000006E-2</v>
          </cell>
          <cell r="AH418">
            <v>1.6529333333333334</v>
          </cell>
          <cell r="AI418">
            <v>0</v>
          </cell>
          <cell r="AJ418">
            <v>9530</v>
          </cell>
          <cell r="AK418">
            <v>0</v>
          </cell>
          <cell r="AL418">
            <v>2.3E-3</v>
          </cell>
          <cell r="AM418" t="str">
            <v>dạng cuộn 1000m</v>
          </cell>
          <cell r="AN418">
            <v>178</v>
          </cell>
          <cell r="AO418" t="str">
            <v>Công ty CP Thực Phẩm Hữu Nghị</v>
          </cell>
          <cell r="AP418" t="e">
            <v>#N/A</v>
          </cell>
          <cell r="AQ418" t="e">
            <v>#N/A</v>
          </cell>
          <cell r="AR418" t="e">
            <v>#N/A</v>
          </cell>
          <cell r="AS418" t="e">
            <v>#N/A</v>
          </cell>
          <cell r="AT418" t="e">
            <v>#N/A</v>
          </cell>
          <cell r="AU418" t="e">
            <v>#N/A</v>
          </cell>
          <cell r="AV418" t="e">
            <v>#N/A</v>
          </cell>
          <cell r="AW418" t="e">
            <v>#N/A</v>
          </cell>
          <cell r="AX418" t="e">
            <v>#N/A</v>
          </cell>
          <cell r="AY418" t="e">
            <v>#N/A</v>
          </cell>
          <cell r="AZ418" t="e">
            <v>#N/A</v>
          </cell>
          <cell r="BA418" t="str">
            <v>2c</v>
          </cell>
          <cell r="BB418" t="str">
            <v>Thùng 3 lớp 55x28x18</v>
          </cell>
          <cell r="BC418">
            <v>0</v>
          </cell>
          <cell r="BD418" t="e">
            <v>#N/A</v>
          </cell>
        </row>
        <row r="419">
          <cell r="A419" t="str">
            <v>sp 943</v>
          </cell>
          <cell r="B419" t="str">
            <v>Túi thuốc golnitor 50WG hiệu E8000 phá tổ diệt sâu loại 10g Hòa Bình</v>
          </cell>
          <cell r="C419">
            <v>5.71</v>
          </cell>
          <cell r="D419">
            <v>3</v>
          </cell>
          <cell r="E419" t="str">
            <v>PET 12x680</v>
          </cell>
          <cell r="F419">
            <v>6</v>
          </cell>
          <cell r="G419" t="str">
            <v>PET</v>
          </cell>
          <cell r="H419">
            <v>0.17</v>
          </cell>
          <cell r="I419">
            <v>3.23</v>
          </cell>
          <cell r="J419">
            <v>0.08</v>
          </cell>
          <cell r="K419">
            <v>0.23</v>
          </cell>
          <cell r="L419">
            <v>0.81</v>
          </cell>
          <cell r="M419">
            <v>0.91</v>
          </cell>
          <cell r="N419">
            <v>0</v>
          </cell>
          <cell r="O419">
            <v>0</v>
          </cell>
          <cell r="P419">
            <v>0.28000000000000003</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t="str">
            <v>MPET 12x680</v>
          </cell>
          <cell r="AF419" t="str">
            <v>PE 75x680</v>
          </cell>
          <cell r="AG419">
            <v>7.0023000000000016E-2</v>
          </cell>
          <cell r="AH419">
            <v>1.0273333333333332</v>
          </cell>
          <cell r="AI419">
            <v>1.0273333333333332</v>
          </cell>
          <cell r="AJ419">
            <v>9530</v>
          </cell>
          <cell r="AK419">
            <v>9530</v>
          </cell>
          <cell r="AL419" t="str">
            <v>0,0046(0,0023;0,0023)</v>
          </cell>
          <cell r="AM419" t="str">
            <v>túi ba biên</v>
          </cell>
          <cell r="AN419">
            <v>145</v>
          </cell>
          <cell r="AO419" t="str">
            <v>Công ty Quốc tế Hòa Bình</v>
          </cell>
          <cell r="AP419" t="e">
            <v>#N/A</v>
          </cell>
          <cell r="AQ419" t="e">
            <v>#N/A</v>
          </cell>
          <cell r="AR419" t="e">
            <v>#N/A</v>
          </cell>
          <cell r="AS419" t="e">
            <v>#N/A</v>
          </cell>
          <cell r="AT419" t="e">
            <v>#N/A</v>
          </cell>
          <cell r="AU419" t="e">
            <v>#N/A</v>
          </cell>
          <cell r="AV419" t="e">
            <v>#N/A</v>
          </cell>
          <cell r="AW419" t="e">
            <v>#N/A</v>
          </cell>
          <cell r="AX419" t="e">
            <v>#N/A</v>
          </cell>
          <cell r="AY419" t="e">
            <v>#N/A</v>
          </cell>
          <cell r="AZ419" t="e">
            <v>#N/A</v>
          </cell>
          <cell r="BA419">
            <v>12000</v>
          </cell>
          <cell r="BB419" t="str">
            <v>Thùng 5 lớp 42x34x36</v>
          </cell>
          <cell r="BC419">
            <v>0</v>
          </cell>
          <cell r="BD419" t="e">
            <v>#N/A</v>
          </cell>
        </row>
        <row r="420">
          <cell r="A420" t="str">
            <v>sp 944</v>
          </cell>
          <cell r="B420" t="str">
            <v>Túi thuốc sâu Jzomil 720WP đặc trị trên quả và lá loại 100gr USA</v>
          </cell>
          <cell r="C420">
            <v>4.3</v>
          </cell>
          <cell r="D420">
            <v>2</v>
          </cell>
          <cell r="E420" t="str">
            <v>PET 12x640</v>
          </cell>
          <cell r="F420">
            <v>7</v>
          </cell>
          <cell r="G420" t="str">
            <v>PET</v>
          </cell>
          <cell r="H420">
            <v>0.4</v>
          </cell>
          <cell r="I420">
            <v>1.78</v>
          </cell>
          <cell r="J420">
            <v>0.2</v>
          </cell>
          <cell r="K420">
            <v>0</v>
          </cell>
          <cell r="L420">
            <v>0.92</v>
          </cell>
          <cell r="M420">
            <v>0.53</v>
          </cell>
          <cell r="N420">
            <v>0</v>
          </cell>
          <cell r="O420">
            <v>0</v>
          </cell>
          <cell r="P420">
            <v>0.46</v>
          </cell>
          <cell r="Q420">
            <v>0</v>
          </cell>
          <cell r="R420">
            <v>0.01</v>
          </cell>
          <cell r="S420">
            <v>0</v>
          </cell>
          <cell r="T420">
            <v>0</v>
          </cell>
          <cell r="U420">
            <v>0</v>
          </cell>
          <cell r="V420">
            <v>0</v>
          </cell>
          <cell r="W420">
            <v>0</v>
          </cell>
          <cell r="X420">
            <v>0</v>
          </cell>
          <cell r="Y420">
            <v>0</v>
          </cell>
          <cell r="Z420">
            <v>0</v>
          </cell>
          <cell r="AA420">
            <v>0</v>
          </cell>
          <cell r="AB420">
            <v>0</v>
          </cell>
          <cell r="AC420">
            <v>0</v>
          </cell>
          <cell r="AD420">
            <v>0</v>
          </cell>
          <cell r="AE420" t="str">
            <v>MPET 12x640</v>
          </cell>
          <cell r="AF420" t="str">
            <v>PE 75x640</v>
          </cell>
          <cell r="AG420">
            <v>6.5904000000000004E-2</v>
          </cell>
          <cell r="AH420">
            <v>0.96599999999999997</v>
          </cell>
          <cell r="AI420">
            <v>0.96599999999999997</v>
          </cell>
          <cell r="AJ420">
            <v>9530</v>
          </cell>
          <cell r="AK420">
            <v>9530</v>
          </cell>
          <cell r="AL420" t="str">
            <v>0,0046(0,0023;0,0023)</v>
          </cell>
          <cell r="AM420" t="str">
            <v>túi ba biên</v>
          </cell>
          <cell r="AN420">
            <v>225</v>
          </cell>
          <cell r="AO420" t="str">
            <v>Công ty CPCN Cao thuốc BVTV USA</v>
          </cell>
          <cell r="AP420" t="str">
            <v>1806007-1</v>
          </cell>
          <cell r="AQ420" t="str">
            <v>1806007-2</v>
          </cell>
          <cell r="AR420" t="str">
            <v>1806007-3</v>
          </cell>
          <cell r="AS420" t="str">
            <v>1806007-4</v>
          </cell>
          <cell r="AT420" t="str">
            <v>1806007-5</v>
          </cell>
          <cell r="AU420" t="str">
            <v>1806007-6</v>
          </cell>
          <cell r="AV420" t="str">
            <v>1806007-7</v>
          </cell>
          <cell r="AW420">
            <v>0</v>
          </cell>
          <cell r="AX420">
            <v>0</v>
          </cell>
          <cell r="AY420" t="str">
            <v>450x750</v>
          </cell>
          <cell r="AZ420" t="str">
            <v>P2</v>
          </cell>
          <cell r="BA420">
            <v>5000</v>
          </cell>
          <cell r="BB420" t="str">
            <v>Thùng 5 lớp 42x34x36</v>
          </cell>
          <cell r="BC420">
            <v>0</v>
          </cell>
          <cell r="BD420">
            <v>0</v>
          </cell>
        </row>
        <row r="421">
          <cell r="A421" t="str">
            <v>sp 945</v>
          </cell>
          <cell r="B421">
            <v>0</v>
          </cell>
          <cell r="C421">
            <v>0</v>
          </cell>
          <cell r="D421">
            <v>0</v>
          </cell>
          <cell r="E421">
            <v>0</v>
          </cell>
          <cell r="F421">
            <v>0</v>
          </cell>
          <cell r="G421" t="str">
            <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t="e">
            <v>#N/A</v>
          </cell>
          <cell r="AQ421" t="e">
            <v>#N/A</v>
          </cell>
          <cell r="AR421" t="e">
            <v>#N/A</v>
          </cell>
          <cell r="AS421" t="e">
            <v>#N/A</v>
          </cell>
          <cell r="AT421" t="e">
            <v>#N/A</v>
          </cell>
          <cell r="AU421" t="e">
            <v>#N/A</v>
          </cell>
          <cell r="AV421" t="e">
            <v>#N/A</v>
          </cell>
          <cell r="AW421" t="e">
            <v>#N/A</v>
          </cell>
          <cell r="AX421" t="e">
            <v>#N/A</v>
          </cell>
          <cell r="AY421" t="e">
            <v>#N/A</v>
          </cell>
          <cell r="AZ421" t="e">
            <v>#N/A</v>
          </cell>
          <cell r="BA421">
            <v>0</v>
          </cell>
          <cell r="BB421">
            <v>0</v>
          </cell>
          <cell r="BC421">
            <v>0</v>
          </cell>
          <cell r="BD421" t="e">
            <v>#N/A</v>
          </cell>
        </row>
        <row r="422">
          <cell r="A422" t="str">
            <v>sp 946</v>
          </cell>
          <cell r="B422">
            <v>0</v>
          </cell>
          <cell r="C422">
            <v>0</v>
          </cell>
          <cell r="D422">
            <v>0</v>
          </cell>
          <cell r="E422">
            <v>0</v>
          </cell>
          <cell r="F422">
            <v>0</v>
          </cell>
          <cell r="G422" t="str">
            <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t="e">
            <v>#N/A</v>
          </cell>
          <cell r="AQ422" t="e">
            <v>#N/A</v>
          </cell>
          <cell r="AR422" t="e">
            <v>#N/A</v>
          </cell>
          <cell r="AS422" t="e">
            <v>#N/A</v>
          </cell>
          <cell r="AT422" t="e">
            <v>#N/A</v>
          </cell>
          <cell r="AU422" t="e">
            <v>#N/A</v>
          </cell>
          <cell r="AV422" t="e">
            <v>#N/A</v>
          </cell>
          <cell r="AW422" t="e">
            <v>#N/A</v>
          </cell>
          <cell r="AX422" t="e">
            <v>#N/A</v>
          </cell>
          <cell r="AY422" t="e">
            <v>#N/A</v>
          </cell>
          <cell r="AZ422" t="e">
            <v>#N/A</v>
          </cell>
          <cell r="BA422">
            <v>0</v>
          </cell>
          <cell r="BB422">
            <v>0</v>
          </cell>
          <cell r="BC422">
            <v>0</v>
          </cell>
          <cell r="BD422" t="e">
            <v>#N/A</v>
          </cell>
        </row>
        <row r="423">
          <cell r="A423" t="str">
            <v>sp 947</v>
          </cell>
          <cell r="B423" t="str">
            <v>Túi muối sạch Fonexim 200gr Miền Bắc</v>
          </cell>
          <cell r="C423">
            <v>8.6199999999999992</v>
          </cell>
          <cell r="D423">
            <v>3</v>
          </cell>
          <cell r="E423" t="str">
            <v>OPP 20x692</v>
          </cell>
          <cell r="F423">
            <v>7</v>
          </cell>
          <cell r="G423" t="str">
            <v>OPP</v>
          </cell>
          <cell r="H423">
            <v>0.05</v>
          </cell>
          <cell r="I423">
            <v>5.21</v>
          </cell>
          <cell r="J423">
            <v>0.28000000000000003</v>
          </cell>
          <cell r="K423">
            <v>0.01</v>
          </cell>
          <cell r="L423">
            <v>1.89</v>
          </cell>
          <cell r="M423">
            <v>0.38</v>
          </cell>
          <cell r="N423">
            <v>0</v>
          </cell>
          <cell r="O423">
            <v>0</v>
          </cell>
          <cell r="P423">
            <v>0.14000000000000001</v>
          </cell>
          <cell r="Q423">
            <v>0</v>
          </cell>
          <cell r="R423">
            <v>0.66</v>
          </cell>
          <cell r="S423">
            <v>0</v>
          </cell>
          <cell r="T423">
            <v>0</v>
          </cell>
          <cell r="U423">
            <v>0</v>
          </cell>
          <cell r="V423">
            <v>0</v>
          </cell>
          <cell r="W423">
            <v>0</v>
          </cell>
          <cell r="X423">
            <v>0</v>
          </cell>
          <cell r="Y423">
            <v>0</v>
          </cell>
          <cell r="Z423">
            <v>0</v>
          </cell>
          <cell r="AA423">
            <v>0</v>
          </cell>
          <cell r="AB423">
            <v>0</v>
          </cell>
          <cell r="AC423">
            <v>0</v>
          </cell>
          <cell r="AD423">
            <v>0</v>
          </cell>
          <cell r="AE423" t="str">
            <v>PE 65x692</v>
          </cell>
          <cell r="AF423">
            <v>0</v>
          </cell>
          <cell r="AG423">
            <v>5.4200900000000003E-2</v>
          </cell>
          <cell r="AH423">
            <v>1.0457333333333334</v>
          </cell>
          <cell r="AI423">
            <v>0</v>
          </cell>
          <cell r="AJ423">
            <v>9530</v>
          </cell>
          <cell r="AK423">
            <v>0</v>
          </cell>
          <cell r="AL423">
            <v>2.3E-3</v>
          </cell>
          <cell r="AM423" t="str">
            <v>túi ba biên</v>
          </cell>
          <cell r="AN423">
            <v>161</v>
          </cell>
          <cell r="AO423" t="str">
            <v>Công ty Thực Phẩm Miền Bắc</v>
          </cell>
          <cell r="AP423" t="str">
            <v>1807050-1</v>
          </cell>
          <cell r="AQ423" t="str">
            <v>1807050-2</v>
          </cell>
          <cell r="AR423" t="str">
            <v>1807050-3</v>
          </cell>
          <cell r="AS423" t="str">
            <v>1807050-4</v>
          </cell>
          <cell r="AT423" t="str">
            <v>1807050-5</v>
          </cell>
          <cell r="AU423" t="str">
            <v>1807050-6</v>
          </cell>
          <cell r="AV423" t="str">
            <v>1807050-7</v>
          </cell>
          <cell r="AW423">
            <v>0</v>
          </cell>
          <cell r="AX423">
            <v>0</v>
          </cell>
          <cell r="AY423" t="str">
            <v>483x750</v>
          </cell>
          <cell r="AZ423" t="str">
            <v>P2</v>
          </cell>
          <cell r="BA423">
            <v>10500</v>
          </cell>
          <cell r="BB423" t="str">
            <v>Thùng 5 lớp 42x34x36</v>
          </cell>
          <cell r="BC423">
            <v>0</v>
          </cell>
          <cell r="BD423">
            <v>0</v>
          </cell>
        </row>
        <row r="424">
          <cell r="A424" t="str">
            <v>sp 948</v>
          </cell>
          <cell r="B424" t="str">
            <v>Túi muối sạch Fonexim 450gr Miền Bắc</v>
          </cell>
          <cell r="C424">
            <v>8.2399999999999984</v>
          </cell>
          <cell r="D424">
            <v>2</v>
          </cell>
          <cell r="E424" t="str">
            <v>OPP 20x640</v>
          </cell>
          <cell r="F424">
            <v>7</v>
          </cell>
          <cell r="G424" t="str">
            <v>OPP</v>
          </cell>
          <cell r="H424">
            <v>0.1</v>
          </cell>
          <cell r="I424">
            <v>4.46</v>
          </cell>
          <cell r="J424">
            <v>0.25</v>
          </cell>
          <cell r="K424">
            <v>0.01</v>
          </cell>
          <cell r="L424">
            <v>2.08</v>
          </cell>
          <cell r="M424">
            <v>0.5</v>
          </cell>
          <cell r="N424">
            <v>0</v>
          </cell>
          <cell r="O424">
            <v>0</v>
          </cell>
          <cell r="P424">
            <v>0.1</v>
          </cell>
          <cell r="Q424">
            <v>0</v>
          </cell>
          <cell r="R424">
            <v>0.74</v>
          </cell>
          <cell r="S424">
            <v>0</v>
          </cell>
          <cell r="T424">
            <v>0</v>
          </cell>
          <cell r="U424">
            <v>0</v>
          </cell>
          <cell r="V424">
            <v>0</v>
          </cell>
          <cell r="W424">
            <v>0</v>
          </cell>
          <cell r="X424">
            <v>0</v>
          </cell>
          <cell r="Y424">
            <v>0</v>
          </cell>
          <cell r="Z424">
            <v>0</v>
          </cell>
          <cell r="AA424">
            <v>0</v>
          </cell>
          <cell r="AB424">
            <v>0</v>
          </cell>
          <cell r="AC424">
            <v>0</v>
          </cell>
          <cell r="AD424">
            <v>0</v>
          </cell>
          <cell r="AE424" t="str">
            <v>PE 65x640</v>
          </cell>
          <cell r="AF424">
            <v>0</v>
          </cell>
          <cell r="AG424">
            <v>5.0128000000000006E-2</v>
          </cell>
          <cell r="AH424">
            <v>0.96599999999999997</v>
          </cell>
          <cell r="AI424">
            <v>0</v>
          </cell>
          <cell r="AJ424">
            <v>9530</v>
          </cell>
          <cell r="AK424">
            <v>0</v>
          </cell>
          <cell r="AL424">
            <v>2.3E-3</v>
          </cell>
          <cell r="AM424" t="str">
            <v>túi ba biên</v>
          </cell>
          <cell r="AN424">
            <v>215</v>
          </cell>
          <cell r="AO424" t="str">
            <v>Công ty Thực Phẩm Miền Bắc</v>
          </cell>
          <cell r="AP424" t="str">
            <v>1807049-1</v>
          </cell>
          <cell r="AQ424" t="str">
            <v>1807049-2</v>
          </cell>
          <cell r="AR424" t="str">
            <v>1807049-3</v>
          </cell>
          <cell r="AS424" t="str">
            <v>1807049-4</v>
          </cell>
          <cell r="AT424" t="str">
            <v>1807049-5</v>
          </cell>
          <cell r="AU424" t="str">
            <v>1807049-6</v>
          </cell>
          <cell r="AV424" t="str">
            <v>1807049-7</v>
          </cell>
          <cell r="AW424">
            <v>0</v>
          </cell>
          <cell r="AX424">
            <v>0</v>
          </cell>
          <cell r="AY424" t="str">
            <v>430x750</v>
          </cell>
          <cell r="AZ424" t="str">
            <v>P2</v>
          </cell>
          <cell r="BA424">
            <v>6000</v>
          </cell>
          <cell r="BB424" t="str">
            <v>Thùng 5 lớp 42x34x36</v>
          </cell>
          <cell r="BC424">
            <v>0</v>
          </cell>
          <cell r="BD424" t="str">
            <v>in chung sp 927</v>
          </cell>
        </row>
        <row r="425">
          <cell r="A425" t="str">
            <v>sp 949</v>
          </cell>
          <cell r="B425">
            <v>0</v>
          </cell>
          <cell r="C425">
            <v>0</v>
          </cell>
          <cell r="D425">
            <v>0</v>
          </cell>
          <cell r="E425">
            <v>0</v>
          </cell>
          <cell r="F425">
            <v>0</v>
          </cell>
          <cell r="G425" t="str">
            <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t="e">
            <v>#N/A</v>
          </cell>
          <cell r="AQ425" t="e">
            <v>#N/A</v>
          </cell>
          <cell r="AR425" t="e">
            <v>#N/A</v>
          </cell>
          <cell r="AS425" t="e">
            <v>#N/A</v>
          </cell>
          <cell r="AT425" t="e">
            <v>#N/A</v>
          </cell>
          <cell r="AU425" t="e">
            <v>#N/A</v>
          </cell>
          <cell r="AV425" t="e">
            <v>#N/A</v>
          </cell>
          <cell r="AW425" t="e">
            <v>#N/A</v>
          </cell>
          <cell r="AX425" t="e">
            <v>#N/A</v>
          </cell>
          <cell r="AY425" t="e">
            <v>#N/A</v>
          </cell>
          <cell r="AZ425" t="e">
            <v>#N/A</v>
          </cell>
          <cell r="BA425">
            <v>0</v>
          </cell>
          <cell r="BB425">
            <v>0</v>
          </cell>
          <cell r="BC425">
            <v>0</v>
          </cell>
          <cell r="BD425" t="e">
            <v>#N/A</v>
          </cell>
        </row>
        <row r="426">
          <cell r="A426" t="str">
            <v>sp 950</v>
          </cell>
          <cell r="B426" t="str">
            <v>Túi chè một màu 100g Hùng An</v>
          </cell>
          <cell r="C426">
            <v>2.3000000000000003</v>
          </cell>
          <cell r="D426">
            <v>3</v>
          </cell>
          <cell r="E426" t="str">
            <v>PET 12x740</v>
          </cell>
          <cell r="F426">
            <v>1</v>
          </cell>
          <cell r="G426" t="str">
            <v>PET</v>
          </cell>
          <cell r="H426">
            <v>0</v>
          </cell>
          <cell r="I426">
            <v>0</v>
          </cell>
          <cell r="J426">
            <v>0</v>
          </cell>
          <cell r="K426">
            <v>0</v>
          </cell>
          <cell r="L426">
            <v>1.84</v>
          </cell>
          <cell r="M426">
            <v>0</v>
          </cell>
          <cell r="N426">
            <v>0</v>
          </cell>
          <cell r="O426">
            <v>0.46</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t="str">
            <v>MPET 12x740</v>
          </cell>
          <cell r="AF426" t="str">
            <v>PE 75x740</v>
          </cell>
          <cell r="AG426">
            <v>7.6201500000000005E-2</v>
          </cell>
          <cell r="AH426">
            <v>1.1193333333333333</v>
          </cell>
          <cell r="AI426">
            <v>1.46</v>
          </cell>
          <cell r="AJ426">
            <v>9530</v>
          </cell>
          <cell r="AK426">
            <v>9530</v>
          </cell>
          <cell r="AL426" t="str">
            <v>0,0053(0,0023;0,003)</v>
          </cell>
          <cell r="AM426" t="str">
            <v>túi hàn lưng xếp hông</v>
          </cell>
          <cell r="AN426">
            <v>270</v>
          </cell>
          <cell r="AO426" t="str">
            <v>Công ty chè Hùng An</v>
          </cell>
          <cell r="AP426" t="str">
            <v>1807515-1</v>
          </cell>
          <cell r="AQ426">
            <v>0</v>
          </cell>
          <cell r="AR426">
            <v>0</v>
          </cell>
          <cell r="AS426">
            <v>0</v>
          </cell>
          <cell r="AT426">
            <v>0</v>
          </cell>
          <cell r="AU426">
            <v>0</v>
          </cell>
          <cell r="AV426">
            <v>0</v>
          </cell>
          <cell r="AW426">
            <v>0</v>
          </cell>
          <cell r="AX426">
            <v>0</v>
          </cell>
          <cell r="AY426" t="str">
            <v>540x870</v>
          </cell>
          <cell r="AZ426" t="str">
            <v>P2</v>
          </cell>
          <cell r="BA426">
            <v>7000</v>
          </cell>
          <cell r="BB426" t="str">
            <v>bao dứa (bọc 2 lần bao dứa)</v>
          </cell>
          <cell r="BC426">
            <v>0</v>
          </cell>
          <cell r="BD426">
            <v>0</v>
          </cell>
        </row>
        <row r="427">
          <cell r="A427" t="str">
            <v>sp 951</v>
          </cell>
          <cell r="B427" t="str">
            <v>Cuộn bánh xốp Kexo hương cốm 265gr Hữu Nghị</v>
          </cell>
          <cell r="C427">
            <v>4.1899999999999995</v>
          </cell>
          <cell r="D427">
            <v>7</v>
          </cell>
          <cell r="E427" t="str">
            <v>OPP 30x1000</v>
          </cell>
          <cell r="F427">
            <v>8</v>
          </cell>
          <cell r="G427" t="str">
            <v>OPP</v>
          </cell>
          <cell r="H427">
            <v>0.08</v>
          </cell>
          <cell r="I427">
            <v>1.4</v>
          </cell>
          <cell r="J427">
            <v>0.01</v>
          </cell>
          <cell r="K427">
            <v>0.25</v>
          </cell>
          <cell r="L427">
            <v>1.1499999999999999</v>
          </cell>
          <cell r="M427">
            <v>0.35</v>
          </cell>
          <cell r="N427">
            <v>0</v>
          </cell>
          <cell r="O427">
            <v>0.8</v>
          </cell>
          <cell r="P427">
            <v>0.08</v>
          </cell>
          <cell r="Q427">
            <v>0</v>
          </cell>
          <cell r="R427">
            <v>0.02</v>
          </cell>
          <cell r="S427">
            <v>0</v>
          </cell>
          <cell r="T427">
            <v>0.05</v>
          </cell>
          <cell r="U427">
            <v>0</v>
          </cell>
          <cell r="V427">
            <v>0</v>
          </cell>
          <cell r="W427">
            <v>0</v>
          </cell>
          <cell r="X427">
            <v>0</v>
          </cell>
          <cell r="Y427">
            <v>0</v>
          </cell>
          <cell r="Z427">
            <v>0</v>
          </cell>
          <cell r="AA427">
            <v>0</v>
          </cell>
          <cell r="AB427">
            <v>0</v>
          </cell>
          <cell r="AC427">
            <v>0</v>
          </cell>
          <cell r="AD427">
            <v>0</v>
          </cell>
          <cell r="AE427" t="str">
            <v>MCPP 25x1000</v>
          </cell>
          <cell r="AF427">
            <v>0</v>
          </cell>
          <cell r="AG427">
            <v>5.0050000000000004E-2</v>
          </cell>
          <cell r="AH427">
            <v>1.5179999999999998</v>
          </cell>
          <cell r="AI427">
            <v>0</v>
          </cell>
          <cell r="AJ427">
            <v>9530</v>
          </cell>
          <cell r="AK427">
            <v>0</v>
          </cell>
          <cell r="AL427">
            <v>2.3E-3</v>
          </cell>
          <cell r="AM427" t="str">
            <v>dạng cuộn 1000m</v>
          </cell>
          <cell r="AN427">
            <v>140</v>
          </cell>
          <cell r="AO427" t="str">
            <v>Công ty CP Thực Phẩm Hữu Nghị</v>
          </cell>
          <cell r="AP427" t="str">
            <v>F121026G1-1</v>
          </cell>
          <cell r="AQ427" t="str">
            <v>F121026G1-2</v>
          </cell>
          <cell r="AR427" t="str">
            <v>F121026G1-3</v>
          </cell>
          <cell r="AS427" t="str">
            <v>F121026G1-4</v>
          </cell>
          <cell r="AT427" t="str">
            <v>F121026G1-5</v>
          </cell>
          <cell r="AU427" t="str">
            <v>F121026G1-6</v>
          </cell>
          <cell r="AV427" t="str">
            <v>F121026G1-7</v>
          </cell>
          <cell r="AW427" t="str">
            <v>F121026G2NG1-8</v>
          </cell>
          <cell r="AX427">
            <v>0</v>
          </cell>
          <cell r="AY427" t="str">
            <v>405x1100</v>
          </cell>
          <cell r="AZ427" t="str">
            <v>B1</v>
          </cell>
          <cell r="BA427" t="str">
            <v>2c</v>
          </cell>
          <cell r="BB427" t="str">
            <v>Thùng 3 lớp 60x30x15,bọc nylon</v>
          </cell>
          <cell r="BC427">
            <v>0</v>
          </cell>
          <cell r="BD427">
            <v>0</v>
          </cell>
        </row>
        <row r="428">
          <cell r="A428" t="str">
            <v>sp 952</v>
          </cell>
          <cell r="B428" t="str">
            <v>Túi chữ trà lụa 7 màu tân cương thái nguyên 200g loại 12 Thanh Minh</v>
          </cell>
          <cell r="C428">
            <v>7.1</v>
          </cell>
          <cell r="D428">
            <v>2</v>
          </cell>
          <cell r="E428" t="str">
            <v>OPP mờ 20x620</v>
          </cell>
          <cell r="F428">
            <v>6</v>
          </cell>
          <cell r="G428" t="str">
            <v>OPP</v>
          </cell>
          <cell r="H428">
            <v>0.1</v>
          </cell>
          <cell r="I428">
            <v>3.3</v>
          </cell>
          <cell r="J428">
            <v>0.2</v>
          </cell>
          <cell r="K428">
            <v>0.8</v>
          </cell>
          <cell r="L428">
            <v>1.3</v>
          </cell>
          <cell r="M428">
            <v>1</v>
          </cell>
          <cell r="N428">
            <v>0</v>
          </cell>
          <cell r="O428">
            <v>0.3</v>
          </cell>
          <cell r="P428">
            <v>0.1</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t="str">
            <v>MPET 12x620</v>
          </cell>
          <cell r="AF428" t="str">
            <v>PE 75x620</v>
          </cell>
          <cell r="AG428">
            <v>6.4712500000000006E-2</v>
          </cell>
          <cell r="AH428">
            <v>0.93533333333333324</v>
          </cell>
          <cell r="AI428">
            <v>1.22</v>
          </cell>
          <cell r="AJ428">
            <v>9530</v>
          </cell>
          <cell r="AK428">
            <v>9530</v>
          </cell>
          <cell r="AL428" t="str">
            <v>0,0053(0,0023;0,003)</v>
          </cell>
          <cell r="AM428" t="str">
            <v>túi hàn lưng xếp hông</v>
          </cell>
          <cell r="AN428">
            <v>340</v>
          </cell>
          <cell r="AO428" t="str">
            <v>Công ty Thanh Minh</v>
          </cell>
          <cell r="AP428" t="e">
            <v>#N/A</v>
          </cell>
          <cell r="AQ428" t="e">
            <v>#N/A</v>
          </cell>
          <cell r="AR428" t="e">
            <v>#N/A</v>
          </cell>
          <cell r="AS428" t="e">
            <v>#N/A</v>
          </cell>
          <cell r="AT428" t="e">
            <v>#N/A</v>
          </cell>
          <cell r="AU428" t="e">
            <v>#N/A</v>
          </cell>
          <cell r="AV428" t="e">
            <v>#N/A</v>
          </cell>
          <cell r="AW428" t="e">
            <v>#N/A</v>
          </cell>
          <cell r="AX428" t="e">
            <v>#N/A</v>
          </cell>
          <cell r="AY428" t="e">
            <v>#N/A</v>
          </cell>
          <cell r="AZ428" t="e">
            <v>#N/A</v>
          </cell>
          <cell r="BA428">
            <v>2000</v>
          </cell>
          <cell r="BB428" t="str">
            <v>Thùng 5 lớp 43x35,5x29 (Thanh Minh)</v>
          </cell>
          <cell r="BC428">
            <v>0</v>
          </cell>
          <cell r="BD428" t="e">
            <v>#N/A</v>
          </cell>
        </row>
        <row r="429">
          <cell r="A429" t="str">
            <v>sp 953</v>
          </cell>
          <cell r="B429">
            <v>0</v>
          </cell>
          <cell r="C429">
            <v>0</v>
          </cell>
          <cell r="D429">
            <v>0</v>
          </cell>
          <cell r="E429">
            <v>0</v>
          </cell>
          <cell r="F429">
            <v>0</v>
          </cell>
          <cell r="G429" t="str">
            <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t="e">
            <v>#N/A</v>
          </cell>
          <cell r="AQ429" t="e">
            <v>#N/A</v>
          </cell>
          <cell r="AR429" t="e">
            <v>#N/A</v>
          </cell>
          <cell r="AS429" t="e">
            <v>#N/A</v>
          </cell>
          <cell r="AT429" t="e">
            <v>#N/A</v>
          </cell>
          <cell r="AU429" t="e">
            <v>#N/A</v>
          </cell>
          <cell r="AV429" t="e">
            <v>#N/A</v>
          </cell>
          <cell r="AW429" t="e">
            <v>#N/A</v>
          </cell>
          <cell r="AX429" t="e">
            <v>#N/A</v>
          </cell>
          <cell r="AY429" t="e">
            <v>#N/A</v>
          </cell>
          <cell r="AZ429" t="e">
            <v>#N/A</v>
          </cell>
          <cell r="BA429">
            <v>0</v>
          </cell>
          <cell r="BB429">
            <v>0</v>
          </cell>
          <cell r="BC429">
            <v>0</v>
          </cell>
          <cell r="BD429" t="e">
            <v>#N/A</v>
          </cell>
        </row>
        <row r="430">
          <cell r="A430" t="str">
            <v>sp 954</v>
          </cell>
          <cell r="B430">
            <v>0</v>
          </cell>
          <cell r="C430">
            <v>0</v>
          </cell>
          <cell r="D430">
            <v>0</v>
          </cell>
          <cell r="E430">
            <v>0</v>
          </cell>
          <cell r="F430">
            <v>0</v>
          </cell>
          <cell r="G430" t="str">
            <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t="e">
            <v>#N/A</v>
          </cell>
          <cell r="AQ430" t="e">
            <v>#N/A</v>
          </cell>
          <cell r="AR430" t="e">
            <v>#N/A</v>
          </cell>
          <cell r="AS430" t="e">
            <v>#N/A</v>
          </cell>
          <cell r="AT430" t="e">
            <v>#N/A</v>
          </cell>
          <cell r="AU430" t="e">
            <v>#N/A</v>
          </cell>
          <cell r="AV430" t="e">
            <v>#N/A</v>
          </cell>
          <cell r="AW430" t="e">
            <v>#N/A</v>
          </cell>
          <cell r="AX430" t="e">
            <v>#N/A</v>
          </cell>
          <cell r="AY430" t="e">
            <v>#N/A</v>
          </cell>
          <cell r="AZ430" t="e">
            <v>#N/A</v>
          </cell>
          <cell r="BA430">
            <v>0</v>
          </cell>
          <cell r="BB430">
            <v>0</v>
          </cell>
          <cell r="BC430">
            <v>0</v>
          </cell>
          <cell r="BD430" t="e">
            <v>#N/A</v>
          </cell>
        </row>
        <row r="431">
          <cell r="A431" t="str">
            <v>sp 955</v>
          </cell>
          <cell r="B431">
            <v>0</v>
          </cell>
          <cell r="C431">
            <v>0</v>
          </cell>
          <cell r="D431">
            <v>0</v>
          </cell>
          <cell r="E431">
            <v>0</v>
          </cell>
          <cell r="F431">
            <v>0</v>
          </cell>
          <cell r="G431" t="str">
            <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t="e">
            <v>#N/A</v>
          </cell>
          <cell r="AQ431" t="e">
            <v>#N/A</v>
          </cell>
          <cell r="AR431" t="e">
            <v>#N/A</v>
          </cell>
          <cell r="AS431" t="e">
            <v>#N/A</v>
          </cell>
          <cell r="AT431" t="e">
            <v>#N/A</v>
          </cell>
          <cell r="AU431" t="e">
            <v>#N/A</v>
          </cell>
          <cell r="AV431" t="e">
            <v>#N/A</v>
          </cell>
          <cell r="AW431" t="e">
            <v>#N/A</v>
          </cell>
          <cell r="AX431" t="e">
            <v>#N/A</v>
          </cell>
          <cell r="AY431" t="e">
            <v>#N/A</v>
          </cell>
          <cell r="AZ431" t="e">
            <v>#N/A</v>
          </cell>
          <cell r="BA431">
            <v>0</v>
          </cell>
          <cell r="BB431">
            <v>0</v>
          </cell>
          <cell r="BC431">
            <v>0</v>
          </cell>
          <cell r="BD431" t="e">
            <v>#N/A</v>
          </cell>
        </row>
        <row r="432">
          <cell r="A432" t="str">
            <v>sp 956</v>
          </cell>
          <cell r="B432" t="str">
            <v>Túi không in KT 110x200x65 Hải Phòng</v>
          </cell>
          <cell r="C432">
            <v>0</v>
          </cell>
          <cell r="D432">
            <v>2</v>
          </cell>
          <cell r="E432" t="str">
            <v>OPP 30x760</v>
          </cell>
          <cell r="F432">
            <v>0</v>
          </cell>
          <cell r="G432" t="str">
            <v>OPP</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t="str">
            <v>MCPP 25x760</v>
          </cell>
          <cell r="AF432">
            <v>0</v>
          </cell>
          <cell r="AG432">
            <v>3.8038000000000002E-2</v>
          </cell>
          <cell r="AH432">
            <v>1</v>
          </cell>
          <cell r="AI432">
            <v>0</v>
          </cell>
          <cell r="AJ432">
            <v>9530</v>
          </cell>
          <cell r="AK432">
            <v>0</v>
          </cell>
          <cell r="AL432">
            <v>2E-3</v>
          </cell>
          <cell r="AM432" t="str">
            <v>túi hàn lưng xếp hông</v>
          </cell>
          <cell r="AN432">
            <v>200</v>
          </cell>
          <cell r="AO432" t="str">
            <v>Công ty Dược Hải Phòng</v>
          </cell>
          <cell r="AP432" t="e">
            <v>#N/A</v>
          </cell>
          <cell r="AQ432" t="e">
            <v>#N/A</v>
          </cell>
          <cell r="AR432" t="e">
            <v>#N/A</v>
          </cell>
          <cell r="AS432" t="e">
            <v>#N/A</v>
          </cell>
          <cell r="AT432" t="e">
            <v>#N/A</v>
          </cell>
          <cell r="AU432" t="e">
            <v>#N/A</v>
          </cell>
          <cell r="AV432" t="e">
            <v>#N/A</v>
          </cell>
          <cell r="AW432" t="e">
            <v>#N/A</v>
          </cell>
          <cell r="AX432" t="e">
            <v>#N/A</v>
          </cell>
          <cell r="AY432" t="e">
            <v>#N/A</v>
          </cell>
          <cell r="AZ432" t="e">
            <v>#N/A</v>
          </cell>
          <cell r="BA432">
            <v>7000</v>
          </cell>
          <cell r="BB432" t="str">
            <v>Thùng 5 lớp 42x34x36</v>
          </cell>
          <cell r="BC432">
            <v>0</v>
          </cell>
          <cell r="BD432" t="e">
            <v>#N/A</v>
          </cell>
        </row>
        <row r="433">
          <cell r="A433" t="str">
            <v>sp 957</v>
          </cell>
          <cell r="B433" t="str">
            <v>Cuộn màng MPET/PE không in HCK khổ 910 độ dày 72mic</v>
          </cell>
          <cell r="C433">
            <v>0</v>
          </cell>
          <cell r="D433">
            <v>1</v>
          </cell>
          <cell r="E433">
            <v>0</v>
          </cell>
          <cell r="F433">
            <v>0</v>
          </cell>
          <cell r="G433" t="str">
            <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t="str">
            <v>MPET 12x910</v>
          </cell>
          <cell r="AF433" t="str">
            <v>PE 60x910</v>
          </cell>
          <cell r="AG433">
            <v>6.5793000000000004E-2</v>
          </cell>
          <cell r="AH433">
            <v>1.38</v>
          </cell>
          <cell r="AI433">
            <v>0</v>
          </cell>
          <cell r="AJ433">
            <v>9530</v>
          </cell>
          <cell r="AK433">
            <v>0</v>
          </cell>
          <cell r="AL433">
            <v>2.3E-3</v>
          </cell>
          <cell r="AM433" t="str">
            <v>dạng cuộn 2000m</v>
          </cell>
          <cell r="AN433">
            <v>910</v>
          </cell>
          <cell r="AO433" t="str">
            <v>Công ty Proline</v>
          </cell>
          <cell r="AP433" t="e">
            <v>#N/A</v>
          </cell>
          <cell r="AQ433" t="e">
            <v>#N/A</v>
          </cell>
          <cell r="AR433" t="e">
            <v>#N/A</v>
          </cell>
          <cell r="AS433" t="e">
            <v>#N/A</v>
          </cell>
          <cell r="AT433" t="e">
            <v>#N/A</v>
          </cell>
          <cell r="AU433" t="e">
            <v>#N/A</v>
          </cell>
          <cell r="AV433" t="e">
            <v>#N/A</v>
          </cell>
          <cell r="AW433" t="e">
            <v>#N/A</v>
          </cell>
          <cell r="AX433" t="e">
            <v>#N/A</v>
          </cell>
          <cell r="AY433" t="e">
            <v>#N/A</v>
          </cell>
          <cell r="AZ433" t="e">
            <v>#N/A</v>
          </cell>
          <cell r="BA433" t="str">
            <v>1c</v>
          </cell>
          <cell r="BB433" t="str">
            <v>giấy cartoon</v>
          </cell>
          <cell r="BC433">
            <v>0</v>
          </cell>
          <cell r="BD433" t="e">
            <v>#N/A</v>
          </cell>
        </row>
        <row r="434">
          <cell r="A434" t="str">
            <v>sp 958</v>
          </cell>
          <cell r="B434" t="str">
            <v>Túi gạo không in KT 220x350</v>
          </cell>
          <cell r="C434">
            <v>0</v>
          </cell>
          <cell r="D434">
            <v>2</v>
          </cell>
          <cell r="E434" t="str">
            <v>PET 12x720</v>
          </cell>
          <cell r="F434">
            <v>0</v>
          </cell>
          <cell r="G434" t="str">
            <v>PET</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t="str">
            <v>PE 75x720</v>
          </cell>
          <cell r="AF434">
            <v>0</v>
          </cell>
          <cell r="AG434">
            <v>6.2045999999999997E-2</v>
          </cell>
          <cell r="AH434">
            <v>1.0886666666666664</v>
          </cell>
          <cell r="AI434">
            <v>0</v>
          </cell>
          <cell r="AJ434">
            <v>9530</v>
          </cell>
          <cell r="AK434">
            <v>0</v>
          </cell>
          <cell r="AL434">
            <v>2.3E-3</v>
          </cell>
          <cell r="AM434" t="str">
            <v>túi ba biên</v>
          </cell>
          <cell r="AN434">
            <v>220</v>
          </cell>
          <cell r="AO434" t="str">
            <v>Công ty Đại Thành</v>
          </cell>
          <cell r="AP434" t="e">
            <v>#N/A</v>
          </cell>
          <cell r="AQ434" t="e">
            <v>#N/A</v>
          </cell>
          <cell r="AR434" t="e">
            <v>#N/A</v>
          </cell>
          <cell r="AS434" t="e">
            <v>#N/A</v>
          </cell>
          <cell r="AT434" t="e">
            <v>#N/A</v>
          </cell>
          <cell r="AU434" t="e">
            <v>#N/A</v>
          </cell>
          <cell r="AV434" t="e">
            <v>#N/A</v>
          </cell>
          <cell r="AW434" t="e">
            <v>#N/A</v>
          </cell>
          <cell r="AX434" t="e">
            <v>#N/A</v>
          </cell>
          <cell r="AY434" t="e">
            <v>#N/A</v>
          </cell>
          <cell r="AZ434" t="e">
            <v>#N/A</v>
          </cell>
          <cell r="BA434">
            <v>2500</v>
          </cell>
          <cell r="BB434" t="str">
            <v>Thùng 5 lớp 42x34x36</v>
          </cell>
          <cell r="BC434">
            <v>0</v>
          </cell>
          <cell r="BD434" t="e">
            <v>#N/A</v>
          </cell>
        </row>
        <row r="435">
          <cell r="A435" t="str">
            <v>sp 959</v>
          </cell>
          <cell r="B435" t="str">
            <v>Cuộn bánh bao nhân thập cẩm 100gr khổ 310 Phú Mỹ</v>
          </cell>
          <cell r="C435">
            <v>6.0299999999999994</v>
          </cell>
          <cell r="D435">
            <v>2</v>
          </cell>
          <cell r="E435" t="str">
            <v>OPP 20x640</v>
          </cell>
          <cell r="F435">
            <v>7</v>
          </cell>
          <cell r="G435" t="str">
            <v>OPP</v>
          </cell>
          <cell r="H435">
            <v>0.01</v>
          </cell>
          <cell r="I435">
            <v>2.2999999999999998</v>
          </cell>
          <cell r="J435">
            <v>0.01</v>
          </cell>
          <cell r="K435">
            <v>1</v>
          </cell>
          <cell r="L435">
            <v>0.7</v>
          </cell>
          <cell r="M435">
            <v>1.1000000000000001</v>
          </cell>
          <cell r="N435">
            <v>0</v>
          </cell>
          <cell r="O435">
            <v>0</v>
          </cell>
          <cell r="P435">
            <v>0.9</v>
          </cell>
          <cell r="Q435">
            <v>0</v>
          </cell>
          <cell r="R435">
            <v>0</v>
          </cell>
          <cell r="S435">
            <v>0</v>
          </cell>
          <cell r="T435">
            <v>0.01</v>
          </cell>
          <cell r="U435">
            <v>0</v>
          </cell>
          <cell r="V435">
            <v>0</v>
          </cell>
          <cell r="W435">
            <v>0</v>
          </cell>
          <cell r="X435">
            <v>0</v>
          </cell>
          <cell r="Y435">
            <v>0</v>
          </cell>
          <cell r="Z435">
            <v>0</v>
          </cell>
          <cell r="AA435">
            <v>0</v>
          </cell>
          <cell r="AB435">
            <v>0</v>
          </cell>
          <cell r="AC435">
            <v>0</v>
          </cell>
          <cell r="AD435">
            <v>0</v>
          </cell>
          <cell r="AE435" t="str">
            <v>PE 55x640</v>
          </cell>
          <cell r="AF435">
            <v>0</v>
          </cell>
          <cell r="AG435">
            <v>4.4207999999999997E-2</v>
          </cell>
          <cell r="AH435">
            <v>0.84</v>
          </cell>
          <cell r="AI435">
            <v>0</v>
          </cell>
          <cell r="AJ435">
            <v>9530</v>
          </cell>
          <cell r="AK435">
            <v>0</v>
          </cell>
          <cell r="AL435">
            <v>2E-3</v>
          </cell>
          <cell r="AM435" t="str">
            <v>dạng cuộn 500m</v>
          </cell>
          <cell r="AN435">
            <v>310</v>
          </cell>
          <cell r="AO435" t="str">
            <v>Công ty Phú Mỹ</v>
          </cell>
          <cell r="AP435" t="str">
            <v>1808254-1</v>
          </cell>
          <cell r="AQ435" t="str">
            <v>1808254-2</v>
          </cell>
          <cell r="AR435" t="str">
            <v>1808254-3</v>
          </cell>
          <cell r="AS435" t="str">
            <v>1808254-4</v>
          </cell>
          <cell r="AT435" t="str">
            <v>1808254-5</v>
          </cell>
          <cell r="AU435" t="str">
            <v>1808254-6</v>
          </cell>
          <cell r="AV435" t="str">
            <v>1808254-7</v>
          </cell>
          <cell r="AW435">
            <v>0</v>
          </cell>
          <cell r="AX435">
            <v>0</v>
          </cell>
          <cell r="AY435" t="str">
            <v>525x750</v>
          </cell>
          <cell r="AZ435" t="str">
            <v>V2</v>
          </cell>
          <cell r="BA435" t="str">
            <v>1c</v>
          </cell>
          <cell r="BB435" t="str">
            <v>giấy cartoon</v>
          </cell>
          <cell r="BC435">
            <v>0</v>
          </cell>
          <cell r="BD435">
            <v>0</v>
          </cell>
        </row>
        <row r="436">
          <cell r="A436" t="str">
            <v>sp 960</v>
          </cell>
          <cell r="B436" t="str">
            <v>Cuộn bánh trứng nướng hộp giấy tipo loại 48g.80g.250g</v>
          </cell>
          <cell r="C436">
            <v>7.4999999999999991</v>
          </cell>
          <cell r="D436">
            <v>4</v>
          </cell>
          <cell r="E436" t="str">
            <v>OPP 30x700</v>
          </cell>
          <cell r="F436">
            <v>6</v>
          </cell>
          <cell r="G436" t="str">
            <v>OPP</v>
          </cell>
          <cell r="H436">
            <v>0.28999999999999998</v>
          </cell>
          <cell r="I436">
            <v>2.09</v>
          </cell>
          <cell r="J436">
            <v>0.06</v>
          </cell>
          <cell r="K436">
            <v>0.81</v>
          </cell>
          <cell r="L436">
            <v>1.28</v>
          </cell>
          <cell r="M436">
            <v>1.39</v>
          </cell>
          <cell r="N436">
            <v>0</v>
          </cell>
          <cell r="O436">
            <v>0.01</v>
          </cell>
          <cell r="P436">
            <v>1.22</v>
          </cell>
          <cell r="Q436">
            <v>0.35</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t="str">
            <v>MCPP 25x700</v>
          </cell>
          <cell r="AF436">
            <v>0</v>
          </cell>
          <cell r="AG436">
            <v>3.5035000000000004E-2</v>
          </cell>
          <cell r="AH436">
            <v>1.0579999999999998</v>
          </cell>
          <cell r="AI436">
            <v>0</v>
          </cell>
          <cell r="AJ436">
            <v>9530</v>
          </cell>
          <cell r="AK436">
            <v>0</v>
          </cell>
          <cell r="AL436">
            <v>2.3E-3</v>
          </cell>
          <cell r="AM436" t="str">
            <v>dạng cuộn 1000m</v>
          </cell>
          <cell r="AN436">
            <v>170</v>
          </cell>
          <cell r="AO436" t="str">
            <v>Công ty CP Thực Phẩm Hữu Nghị</v>
          </cell>
          <cell r="AP436" t="str">
            <v>F121164-1</v>
          </cell>
          <cell r="AQ436" t="str">
            <v>F121164G5-2</v>
          </cell>
          <cell r="AR436" t="str">
            <v>F121164-3</v>
          </cell>
          <cell r="AS436" t="str">
            <v>F121164-4</v>
          </cell>
          <cell r="AT436" t="str">
            <v>F121164G4</v>
          </cell>
          <cell r="AU436" t="str">
            <v>F121164-6</v>
          </cell>
          <cell r="AV436" t="str">
            <v>F121164G3-7</v>
          </cell>
          <cell r="AW436" t="str">
            <v>F121164G1-0</v>
          </cell>
          <cell r="AX436">
            <v>0</v>
          </cell>
          <cell r="AY436" t="str">
            <v>500x870</v>
          </cell>
          <cell r="AZ436" t="str">
            <v>B1</v>
          </cell>
          <cell r="BA436" t="str">
            <v>2c</v>
          </cell>
          <cell r="BB436" t="str">
            <v>Thùng 3 lớp 55x28x18,bọc nylon</v>
          </cell>
          <cell r="BC436">
            <v>0</v>
          </cell>
          <cell r="BD436">
            <v>0</v>
          </cell>
        </row>
        <row r="437">
          <cell r="A437" t="str">
            <v>sp 961</v>
          </cell>
          <cell r="B437" t="str">
            <v>Túi nem hải sản loại đặc biệt 400gr Hạ Long</v>
          </cell>
          <cell r="C437">
            <v>5.1400000000000006</v>
          </cell>
          <cell r="D437">
            <v>1</v>
          </cell>
          <cell r="E437" t="str">
            <v>OPP 20x590</v>
          </cell>
          <cell r="F437">
            <v>6</v>
          </cell>
          <cell r="G437" t="str">
            <v>OPP</v>
          </cell>
          <cell r="H437">
            <v>0.2</v>
          </cell>
          <cell r="I437">
            <v>1.6</v>
          </cell>
          <cell r="J437">
            <v>0.01</v>
          </cell>
          <cell r="K437">
            <v>0.53</v>
          </cell>
          <cell r="L437">
            <v>0.64</v>
          </cell>
          <cell r="M437">
            <v>0.5</v>
          </cell>
          <cell r="N437">
            <v>0</v>
          </cell>
          <cell r="O437">
            <v>0</v>
          </cell>
          <cell r="P437">
            <v>0.76</v>
          </cell>
          <cell r="Q437">
            <v>0.9</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t="str">
            <v>PE 40x590</v>
          </cell>
          <cell r="AF437">
            <v>0</v>
          </cell>
          <cell r="AG437">
            <v>3.2568E-2</v>
          </cell>
          <cell r="AH437">
            <v>0.8893333333333332</v>
          </cell>
          <cell r="AI437">
            <v>0</v>
          </cell>
          <cell r="AJ437">
            <v>9530</v>
          </cell>
          <cell r="AK437">
            <v>0</v>
          </cell>
          <cell r="AL437">
            <v>2.3E-3</v>
          </cell>
          <cell r="AM437" t="str">
            <v>túi ba biên</v>
          </cell>
          <cell r="AN437">
            <v>205</v>
          </cell>
          <cell r="AO437" t="str">
            <v>Công ty Hạ Long</v>
          </cell>
          <cell r="AP437" t="str">
            <v>X605472-1</v>
          </cell>
          <cell r="AQ437" t="str">
            <v>X605472-2</v>
          </cell>
          <cell r="AR437" t="str">
            <v>X605472-3</v>
          </cell>
          <cell r="AS437" t="str">
            <v>X605472-4</v>
          </cell>
          <cell r="AT437" t="str">
            <v>X605472-5</v>
          </cell>
          <cell r="AU437" t="str">
            <v>X605472-6</v>
          </cell>
          <cell r="AV437">
            <v>0</v>
          </cell>
          <cell r="AW437">
            <v>0</v>
          </cell>
          <cell r="AX437">
            <v>0</v>
          </cell>
          <cell r="AY437" t="str">
            <v>410x750</v>
          </cell>
          <cell r="AZ437" t="str">
            <v>P2</v>
          </cell>
          <cell r="BA437">
            <v>5000</v>
          </cell>
          <cell r="BB437" t="str">
            <v>Thùng 5 lớp 42x34x36</v>
          </cell>
          <cell r="BC437">
            <v>0</v>
          </cell>
          <cell r="BD437">
            <v>0</v>
          </cell>
        </row>
        <row r="438">
          <cell r="A438" t="str">
            <v>sp 962</v>
          </cell>
          <cell r="B438" t="str">
            <v>Cuộn màng nhôm Nam Hải aluminum loại 1 Đức Thiện</v>
          </cell>
          <cell r="C438">
            <v>1.04</v>
          </cell>
          <cell r="D438">
            <v>1</v>
          </cell>
          <cell r="E438" t="str">
            <v>PE 40x1270</v>
          </cell>
          <cell r="F438">
            <v>2</v>
          </cell>
          <cell r="G438" t="str">
            <v xml:space="preserve">PE </v>
          </cell>
          <cell r="H438">
            <v>0.09</v>
          </cell>
          <cell r="I438">
            <v>0</v>
          </cell>
          <cell r="J438">
            <v>0.64</v>
          </cell>
          <cell r="K438">
            <v>0.02</v>
          </cell>
          <cell r="L438">
            <v>0.12</v>
          </cell>
          <cell r="M438">
            <v>0</v>
          </cell>
          <cell r="N438">
            <v>0</v>
          </cell>
          <cell r="O438">
            <v>0.12</v>
          </cell>
          <cell r="P438">
            <v>0</v>
          </cell>
          <cell r="Q438">
            <v>0.01</v>
          </cell>
          <cell r="R438">
            <v>0.04</v>
          </cell>
          <cell r="S438">
            <v>0</v>
          </cell>
          <cell r="T438">
            <v>0</v>
          </cell>
          <cell r="U438">
            <v>0</v>
          </cell>
          <cell r="V438">
            <v>0</v>
          </cell>
          <cell r="W438">
            <v>0</v>
          </cell>
          <cell r="X438">
            <v>0</v>
          </cell>
          <cell r="Y438">
            <v>0</v>
          </cell>
          <cell r="Z438">
            <v>0</v>
          </cell>
          <cell r="AA438">
            <v>0</v>
          </cell>
          <cell r="AB438">
            <v>0</v>
          </cell>
          <cell r="AC438">
            <v>0</v>
          </cell>
          <cell r="AD438">
            <v>0</v>
          </cell>
          <cell r="AE438" t="str">
            <v>PE 25x1270</v>
          </cell>
          <cell r="AF438">
            <v>0</v>
          </cell>
          <cell r="AG438">
            <v>7.6358750000000017E-2</v>
          </cell>
          <cell r="AH438">
            <v>1.68</v>
          </cell>
          <cell r="AI438">
            <v>0</v>
          </cell>
          <cell r="AJ438">
            <v>9530</v>
          </cell>
          <cell r="AK438">
            <v>0</v>
          </cell>
          <cell r="AL438">
            <v>2E-3</v>
          </cell>
          <cell r="AM438" t="str">
            <v>dạng cuộn 2000m</v>
          </cell>
          <cell r="AN438">
            <v>1270</v>
          </cell>
          <cell r="AO438" t="str">
            <v>Công ty Đức Thiện</v>
          </cell>
          <cell r="AP438" t="e">
            <v>#N/A</v>
          </cell>
          <cell r="AQ438" t="e">
            <v>#N/A</v>
          </cell>
          <cell r="AR438" t="e">
            <v>#N/A</v>
          </cell>
          <cell r="AS438" t="e">
            <v>#N/A</v>
          </cell>
          <cell r="AT438" t="e">
            <v>#N/A</v>
          </cell>
          <cell r="AU438" t="e">
            <v>#N/A</v>
          </cell>
          <cell r="AV438" t="e">
            <v>#N/A</v>
          </cell>
          <cell r="AW438" t="e">
            <v>#N/A</v>
          </cell>
          <cell r="AX438" t="e">
            <v>#N/A</v>
          </cell>
          <cell r="AY438" t="e">
            <v>#N/A</v>
          </cell>
          <cell r="AZ438" t="e">
            <v>#N/A</v>
          </cell>
          <cell r="BA438" t="str">
            <v>1c</v>
          </cell>
          <cell r="BB438" t="str">
            <v>giấy cartoon</v>
          </cell>
          <cell r="BC438">
            <v>0</v>
          </cell>
          <cell r="BD438" t="e">
            <v>#N/A</v>
          </cell>
        </row>
        <row r="439">
          <cell r="A439" t="str">
            <v>sp 962a</v>
          </cell>
          <cell r="B439" t="str">
            <v>Cuộn màng nhôm Nam Hải aluminum loại 1 Đức Thiện</v>
          </cell>
          <cell r="C439">
            <v>0.91999999999999993</v>
          </cell>
          <cell r="D439">
            <v>1</v>
          </cell>
          <cell r="E439" t="str">
            <v>PE đt 40x1270</v>
          </cell>
          <cell r="F439">
            <v>2</v>
          </cell>
          <cell r="G439" t="str">
            <v xml:space="preserve">PE </v>
          </cell>
          <cell r="H439">
            <v>0.01</v>
          </cell>
          <cell r="I439">
            <v>0</v>
          </cell>
          <cell r="J439">
            <v>0.42</v>
          </cell>
          <cell r="K439">
            <v>0.04</v>
          </cell>
          <cell r="L439">
            <v>0.1</v>
          </cell>
          <cell r="M439">
            <v>0.01</v>
          </cell>
          <cell r="N439">
            <v>0</v>
          </cell>
          <cell r="O439">
            <v>0.13</v>
          </cell>
          <cell r="P439">
            <v>0</v>
          </cell>
          <cell r="Q439">
            <v>0</v>
          </cell>
          <cell r="R439">
            <v>0.21</v>
          </cell>
          <cell r="S439">
            <v>0</v>
          </cell>
          <cell r="T439">
            <v>0</v>
          </cell>
          <cell r="U439">
            <v>0</v>
          </cell>
          <cell r="V439">
            <v>0</v>
          </cell>
          <cell r="W439">
            <v>0</v>
          </cell>
          <cell r="X439">
            <v>0</v>
          </cell>
          <cell r="Y439">
            <v>0</v>
          </cell>
          <cell r="Z439">
            <v>0</v>
          </cell>
          <cell r="AA439">
            <v>0</v>
          </cell>
          <cell r="AB439">
            <v>0</v>
          </cell>
          <cell r="AC439">
            <v>0</v>
          </cell>
          <cell r="AD439">
            <v>0</v>
          </cell>
          <cell r="AE439" t="str">
            <v>PE 25x1270</v>
          </cell>
          <cell r="AF439">
            <v>0</v>
          </cell>
          <cell r="AG439">
            <v>7.6358750000000017E-2</v>
          </cell>
          <cell r="AH439">
            <v>1.68</v>
          </cell>
          <cell r="AI439">
            <v>0</v>
          </cell>
          <cell r="AJ439">
            <v>9530</v>
          </cell>
          <cell r="AK439">
            <v>0</v>
          </cell>
          <cell r="AL439">
            <v>2E-3</v>
          </cell>
          <cell r="AM439" t="str">
            <v>dạng cuộn 2000m</v>
          </cell>
          <cell r="AN439">
            <v>1270</v>
          </cell>
          <cell r="AO439" t="str">
            <v>Công ty Đức Thiện</v>
          </cell>
          <cell r="AP439" t="e">
            <v>#N/A</v>
          </cell>
          <cell r="AQ439" t="e">
            <v>#N/A</v>
          </cell>
          <cell r="AR439" t="e">
            <v>#N/A</v>
          </cell>
          <cell r="AS439" t="e">
            <v>#N/A</v>
          </cell>
          <cell r="AT439" t="e">
            <v>#N/A</v>
          </cell>
          <cell r="AU439" t="e">
            <v>#N/A</v>
          </cell>
          <cell r="AV439" t="e">
            <v>#N/A</v>
          </cell>
          <cell r="AW439" t="e">
            <v>#N/A</v>
          </cell>
          <cell r="AX439" t="e">
            <v>#N/A</v>
          </cell>
          <cell r="AY439" t="e">
            <v>#N/A</v>
          </cell>
          <cell r="AZ439" t="e">
            <v>#N/A</v>
          </cell>
          <cell r="BA439" t="str">
            <v>1c</v>
          </cell>
          <cell r="BB439" t="str">
            <v>giấy cartoon</v>
          </cell>
          <cell r="BC439">
            <v>0</v>
          </cell>
          <cell r="BD439" t="e">
            <v>#N/A</v>
          </cell>
        </row>
        <row r="440">
          <cell r="A440" t="str">
            <v>sp 963</v>
          </cell>
          <cell r="B440" t="str">
            <v>Cuộn màng nhôm Nam Hải EUA euro aluminum loại 2 Đức Thiện</v>
          </cell>
          <cell r="C440">
            <v>1.31</v>
          </cell>
          <cell r="D440">
            <v>1</v>
          </cell>
          <cell r="E440" t="str">
            <v>PE đt 40x1270</v>
          </cell>
          <cell r="F440">
            <v>2</v>
          </cell>
          <cell r="G440" t="str">
            <v xml:space="preserve">PE </v>
          </cell>
          <cell r="H440">
            <v>0.1</v>
          </cell>
          <cell r="I440">
            <v>0</v>
          </cell>
          <cell r="J440">
            <v>0.56000000000000005</v>
          </cell>
          <cell r="K440">
            <v>0.02</v>
          </cell>
          <cell r="L440">
            <v>7.0000000000000007E-2</v>
          </cell>
          <cell r="M440">
            <v>0</v>
          </cell>
          <cell r="N440">
            <v>0</v>
          </cell>
          <cell r="O440">
            <v>0.18</v>
          </cell>
          <cell r="P440">
            <v>0.03</v>
          </cell>
          <cell r="Q440">
            <v>0.01</v>
          </cell>
          <cell r="R440">
            <v>0.34</v>
          </cell>
          <cell r="S440">
            <v>0</v>
          </cell>
          <cell r="T440">
            <v>0</v>
          </cell>
          <cell r="U440">
            <v>0</v>
          </cell>
          <cell r="V440">
            <v>0</v>
          </cell>
          <cell r="W440">
            <v>0</v>
          </cell>
          <cell r="X440">
            <v>0</v>
          </cell>
          <cell r="Y440">
            <v>0</v>
          </cell>
          <cell r="Z440">
            <v>0</v>
          </cell>
          <cell r="AA440">
            <v>0</v>
          </cell>
          <cell r="AB440">
            <v>0</v>
          </cell>
          <cell r="AC440">
            <v>0</v>
          </cell>
          <cell r="AD440">
            <v>0</v>
          </cell>
          <cell r="AE440" t="str">
            <v>PE 25x1270</v>
          </cell>
          <cell r="AF440">
            <v>0</v>
          </cell>
          <cell r="AG440">
            <v>7.6358750000000017E-2</v>
          </cell>
          <cell r="AH440">
            <v>1.68</v>
          </cell>
          <cell r="AI440">
            <v>0</v>
          </cell>
          <cell r="AJ440">
            <v>9530</v>
          </cell>
          <cell r="AK440">
            <v>0</v>
          </cell>
          <cell r="AL440">
            <v>2E-3</v>
          </cell>
          <cell r="AM440" t="str">
            <v>dạng cuộn 2000m</v>
          </cell>
          <cell r="AN440">
            <v>1270</v>
          </cell>
          <cell r="AO440" t="str">
            <v>Công ty Đức Thiện</v>
          </cell>
          <cell r="AP440" t="e">
            <v>#N/A</v>
          </cell>
          <cell r="AQ440" t="e">
            <v>#N/A</v>
          </cell>
          <cell r="AR440" t="e">
            <v>#N/A</v>
          </cell>
          <cell r="AS440" t="e">
            <v>#N/A</v>
          </cell>
          <cell r="AT440" t="e">
            <v>#N/A</v>
          </cell>
          <cell r="AU440" t="e">
            <v>#N/A</v>
          </cell>
          <cell r="AV440" t="e">
            <v>#N/A</v>
          </cell>
          <cell r="AW440" t="e">
            <v>#N/A</v>
          </cell>
          <cell r="AX440" t="e">
            <v>#N/A</v>
          </cell>
          <cell r="AY440" t="e">
            <v>#N/A</v>
          </cell>
          <cell r="AZ440" t="e">
            <v>#N/A</v>
          </cell>
          <cell r="BA440" t="str">
            <v>1c</v>
          </cell>
          <cell r="BB440" t="str">
            <v>giấy cartoon</v>
          </cell>
          <cell r="BC440">
            <v>0</v>
          </cell>
          <cell r="BD440" t="e">
            <v>#N/A</v>
          </cell>
        </row>
        <row r="441">
          <cell r="A441" t="str">
            <v>sp 964</v>
          </cell>
          <cell r="B441" t="str">
            <v>Túi trà chữ đỏ lá vàng in 4 màu đặc sản 200g loại 10</v>
          </cell>
          <cell r="C441">
            <v>5.25</v>
          </cell>
          <cell r="D441">
            <v>2</v>
          </cell>
          <cell r="E441" t="str">
            <v>PET 12x620</v>
          </cell>
          <cell r="F441">
            <v>4</v>
          </cell>
          <cell r="G441" t="str">
            <v>PET</v>
          </cell>
          <cell r="H441">
            <v>0</v>
          </cell>
          <cell r="I441">
            <v>0.98</v>
          </cell>
          <cell r="J441">
            <v>0</v>
          </cell>
          <cell r="K441">
            <v>0.01</v>
          </cell>
          <cell r="L441">
            <v>0.02</v>
          </cell>
          <cell r="M441">
            <v>0.32</v>
          </cell>
          <cell r="N441">
            <v>3.43</v>
          </cell>
          <cell r="O441">
            <v>0.04</v>
          </cell>
          <cell r="P441">
            <v>0.32</v>
          </cell>
          <cell r="Q441">
            <v>0</v>
          </cell>
          <cell r="R441">
            <v>0</v>
          </cell>
          <cell r="S441">
            <v>0</v>
          </cell>
          <cell r="T441">
            <v>0.13</v>
          </cell>
          <cell r="U441">
            <v>0</v>
          </cell>
          <cell r="V441">
            <v>0</v>
          </cell>
          <cell r="W441">
            <v>0</v>
          </cell>
          <cell r="X441">
            <v>0</v>
          </cell>
          <cell r="Y441">
            <v>0</v>
          </cell>
          <cell r="Z441">
            <v>0</v>
          </cell>
          <cell r="AA441">
            <v>0</v>
          </cell>
          <cell r="AB441">
            <v>0</v>
          </cell>
          <cell r="AC441">
            <v>0</v>
          </cell>
          <cell r="AD441">
            <v>0</v>
          </cell>
          <cell r="AE441" t="str">
            <v>MPET 12x620</v>
          </cell>
          <cell r="AF441" t="str">
            <v>PE 75x620</v>
          </cell>
          <cell r="AG441">
            <v>6.3844500000000012E-2</v>
          </cell>
          <cell r="AH441">
            <v>0.93533333333333324</v>
          </cell>
          <cell r="AI441">
            <v>1.22</v>
          </cell>
          <cell r="AJ441">
            <v>9530</v>
          </cell>
          <cell r="AK441">
            <v>9530</v>
          </cell>
          <cell r="AL441" t="str">
            <v>0,0053(0,0023;0,003)</v>
          </cell>
          <cell r="AM441" t="str">
            <v>túi hàn lưng xếp hông</v>
          </cell>
          <cell r="AN441">
            <v>340</v>
          </cell>
          <cell r="AO441" t="str">
            <v>Bùi Văn Sỹ</v>
          </cell>
          <cell r="AP441" t="str">
            <v>1808890-1</v>
          </cell>
          <cell r="AQ441" t="str">
            <v>1808890-2</v>
          </cell>
          <cell r="AR441" t="str">
            <v>1808890-3</v>
          </cell>
          <cell r="AS441" t="str">
            <v>1808890-4</v>
          </cell>
          <cell r="AT441">
            <v>0</v>
          </cell>
          <cell r="AU441">
            <v>0</v>
          </cell>
          <cell r="AV441">
            <v>0</v>
          </cell>
          <cell r="AW441">
            <v>0</v>
          </cell>
          <cell r="AX441">
            <v>0</v>
          </cell>
          <cell r="AY441" t="str">
            <v>680x750</v>
          </cell>
          <cell r="AZ441" t="str">
            <v>F3</v>
          </cell>
          <cell r="BA441">
            <v>2500</v>
          </cell>
          <cell r="BB441" t="str">
            <v>Thùng 5 lớp 42x34x33</v>
          </cell>
          <cell r="BC441">
            <v>0</v>
          </cell>
          <cell r="BD441">
            <v>0</v>
          </cell>
        </row>
        <row r="442">
          <cell r="A442" t="str">
            <v>sp 965</v>
          </cell>
          <cell r="B442" t="str">
            <v>Túi thức ăn cho heo Pig one 2kg BMC</v>
          </cell>
          <cell r="C442">
            <v>7.55</v>
          </cell>
          <cell r="D442">
            <v>1</v>
          </cell>
          <cell r="E442" t="str">
            <v>OPP 20x540</v>
          </cell>
          <cell r="F442">
            <v>5</v>
          </cell>
          <cell r="G442" t="str">
            <v>OPP</v>
          </cell>
          <cell r="H442">
            <v>0</v>
          </cell>
          <cell r="I442">
            <v>1.04</v>
          </cell>
          <cell r="J442">
            <v>0.57999999999999996</v>
          </cell>
          <cell r="K442">
            <v>0.57999999999999996</v>
          </cell>
          <cell r="L442">
            <v>0.57999999999999996</v>
          </cell>
          <cell r="M442">
            <v>4.7699999999999996</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t="str">
            <v>PE 90x540</v>
          </cell>
          <cell r="AF442">
            <v>0</v>
          </cell>
          <cell r="AG442">
            <v>5.4783000000000012E-2</v>
          </cell>
          <cell r="AH442">
            <v>1.04</v>
          </cell>
          <cell r="AI442">
            <v>0</v>
          </cell>
          <cell r="AJ442">
            <v>9530</v>
          </cell>
          <cell r="AK442">
            <v>0</v>
          </cell>
          <cell r="AL442">
            <v>3.0000000000000001E-3</v>
          </cell>
          <cell r="AM442" t="str">
            <v>túi ba biên</v>
          </cell>
          <cell r="AN442">
            <v>420</v>
          </cell>
          <cell r="AO442" t="str">
            <v>Công ty BMC</v>
          </cell>
          <cell r="AP442" t="str">
            <v>1808891-1</v>
          </cell>
          <cell r="AQ442" t="str">
            <v>1808891-2</v>
          </cell>
          <cell r="AR442" t="str">
            <v>1808891-3</v>
          </cell>
          <cell r="AS442" t="str">
            <v>1808891-4</v>
          </cell>
          <cell r="AT442" t="str">
            <v>1808891-5</v>
          </cell>
          <cell r="AU442">
            <v>0</v>
          </cell>
          <cell r="AV442">
            <v>0</v>
          </cell>
          <cell r="AW442">
            <v>0</v>
          </cell>
          <cell r="AX442">
            <v>0</v>
          </cell>
          <cell r="AY442" t="str">
            <v>420x750</v>
          </cell>
          <cell r="AZ442" t="str">
            <v>P2</v>
          </cell>
          <cell r="BA442">
            <v>0</v>
          </cell>
          <cell r="BB442">
            <v>0</v>
          </cell>
          <cell r="BC442">
            <v>0</v>
          </cell>
          <cell r="BD442">
            <v>0</v>
          </cell>
        </row>
        <row r="443">
          <cell r="A443" t="str">
            <v>sp 966</v>
          </cell>
          <cell r="B443" t="str">
            <v>Túi chè vàng trơn HTP 100g loại 13</v>
          </cell>
          <cell r="C443">
            <v>4.2</v>
          </cell>
          <cell r="D443">
            <v>3</v>
          </cell>
          <cell r="E443" t="str">
            <v>PET 12x740</v>
          </cell>
          <cell r="F443">
            <v>1</v>
          </cell>
          <cell r="G443" t="str">
            <v>PET</v>
          </cell>
          <cell r="H443">
            <v>0</v>
          </cell>
          <cell r="I443">
            <v>0</v>
          </cell>
          <cell r="J443">
            <v>0</v>
          </cell>
          <cell r="K443">
            <v>0</v>
          </cell>
          <cell r="L443">
            <v>0.86</v>
          </cell>
          <cell r="M443">
            <v>0</v>
          </cell>
          <cell r="N443">
            <v>2.94</v>
          </cell>
          <cell r="O443">
            <v>0.4</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t="str">
            <v>MPET 12x740</v>
          </cell>
          <cell r="AF443" t="str">
            <v>PE 75x740</v>
          </cell>
          <cell r="AG443">
            <v>7.6201500000000005E-2</v>
          </cell>
          <cell r="AH443">
            <v>1.1193333333333333</v>
          </cell>
          <cell r="AI443">
            <v>1.46</v>
          </cell>
          <cell r="AJ443">
            <v>9530</v>
          </cell>
          <cell r="AK443">
            <v>9530</v>
          </cell>
          <cell r="AL443" t="str">
            <v>0,0053(0,0023;0,003)</v>
          </cell>
          <cell r="AM443" t="str">
            <v>túi hàn lưng xếp hông</v>
          </cell>
          <cell r="AN443">
            <v>270</v>
          </cell>
          <cell r="AO443" t="str">
            <v>Bùi Văn Sỹ</v>
          </cell>
          <cell r="AP443" t="str">
            <v>18081040-1</v>
          </cell>
          <cell r="AQ443">
            <v>0</v>
          </cell>
          <cell r="AR443">
            <v>0</v>
          </cell>
          <cell r="AS443">
            <v>0</v>
          </cell>
          <cell r="AT443">
            <v>0</v>
          </cell>
          <cell r="AU443">
            <v>0</v>
          </cell>
          <cell r="AV443">
            <v>0</v>
          </cell>
          <cell r="AW443">
            <v>0</v>
          </cell>
          <cell r="AX443">
            <v>0</v>
          </cell>
          <cell r="AY443" t="str">
            <v>840x870</v>
          </cell>
          <cell r="AZ443" t="str">
            <v>F3</v>
          </cell>
          <cell r="BA443">
            <v>3500</v>
          </cell>
          <cell r="BB443" t="str">
            <v>Thùng 5 lớp 42x34x33</v>
          </cell>
          <cell r="BC443">
            <v>0</v>
          </cell>
          <cell r="BD443">
            <v>0</v>
          </cell>
        </row>
        <row r="444">
          <cell r="A444" t="str">
            <v>sp 967</v>
          </cell>
          <cell r="B444" t="str">
            <v>Túi chè vàng trơn HTP 200g loại 13</v>
          </cell>
          <cell r="C444">
            <v>4.53</v>
          </cell>
          <cell r="D444">
            <v>2</v>
          </cell>
          <cell r="E444" t="str">
            <v>PET 12x620</v>
          </cell>
          <cell r="F444">
            <v>1</v>
          </cell>
          <cell r="G444" t="str">
            <v>PET</v>
          </cell>
          <cell r="H444">
            <v>0</v>
          </cell>
          <cell r="I444">
            <v>0</v>
          </cell>
          <cell r="J444">
            <v>0</v>
          </cell>
          <cell r="K444">
            <v>0</v>
          </cell>
          <cell r="L444">
            <v>0</v>
          </cell>
          <cell r="M444">
            <v>0</v>
          </cell>
          <cell r="N444">
            <v>4.53</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t="str">
            <v>MPET 12x620</v>
          </cell>
          <cell r="AF444" t="str">
            <v>PE 75x620</v>
          </cell>
          <cell r="AG444">
            <v>6.3844500000000012E-2</v>
          </cell>
          <cell r="AH444">
            <v>0.93533333333333324</v>
          </cell>
          <cell r="AI444">
            <v>1.22</v>
          </cell>
          <cell r="AJ444">
            <v>9530</v>
          </cell>
          <cell r="AK444">
            <v>9530</v>
          </cell>
          <cell r="AL444" t="str">
            <v>0,0053(0,0023;0,003)</v>
          </cell>
          <cell r="AM444" t="str">
            <v>túi hàn lưng xếp hông</v>
          </cell>
          <cell r="AN444">
            <v>340</v>
          </cell>
          <cell r="AO444" t="str">
            <v>Bùi Văn Sỹ</v>
          </cell>
          <cell r="AP444" t="str">
            <v>18081041-1</v>
          </cell>
          <cell r="AQ444">
            <v>0</v>
          </cell>
          <cell r="AR444">
            <v>0</v>
          </cell>
          <cell r="AS444">
            <v>0</v>
          </cell>
          <cell r="AT444">
            <v>0</v>
          </cell>
          <cell r="AU444">
            <v>0</v>
          </cell>
          <cell r="AV444">
            <v>0</v>
          </cell>
          <cell r="AW444">
            <v>0</v>
          </cell>
          <cell r="AX444">
            <v>0</v>
          </cell>
          <cell r="AY444" t="str">
            <v>680x750</v>
          </cell>
          <cell r="AZ444" t="str">
            <v>F3</v>
          </cell>
          <cell r="BA444">
            <v>2500</v>
          </cell>
          <cell r="BB444" t="str">
            <v>Thùng 5 lớp 42x34x33</v>
          </cell>
          <cell r="BC444">
            <v>0</v>
          </cell>
          <cell r="BD444">
            <v>0</v>
          </cell>
        </row>
        <row r="445">
          <cell r="A445" t="str">
            <v>sp 968</v>
          </cell>
          <cell r="B445" t="str">
            <v>Túi chè vàng trơn HTP 500g loại 13</v>
          </cell>
          <cell r="C445">
            <v>3.95</v>
          </cell>
          <cell r="D445">
            <v>2</v>
          </cell>
          <cell r="E445" t="str">
            <v>PET 12x760</v>
          </cell>
          <cell r="F445">
            <v>1</v>
          </cell>
          <cell r="G445" t="str">
            <v>PET</v>
          </cell>
          <cell r="H445">
            <v>0</v>
          </cell>
          <cell r="I445">
            <v>0</v>
          </cell>
          <cell r="J445">
            <v>0</v>
          </cell>
          <cell r="K445">
            <v>0</v>
          </cell>
          <cell r="L445">
            <v>0</v>
          </cell>
          <cell r="M445">
            <v>0</v>
          </cell>
          <cell r="N445">
            <v>3.95</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t="str">
            <v>MPET 12x760</v>
          </cell>
          <cell r="AF445" t="str">
            <v>PE 80x760</v>
          </cell>
          <cell r="AG445">
            <v>8.1776000000000001E-2</v>
          </cell>
          <cell r="AH445">
            <v>1.1499999999999999</v>
          </cell>
          <cell r="AI445">
            <v>1.5</v>
          </cell>
          <cell r="AJ445">
            <v>9530</v>
          </cell>
          <cell r="AK445">
            <v>9530</v>
          </cell>
          <cell r="AL445" t="str">
            <v>0,0053(0,0023;0,003)</v>
          </cell>
          <cell r="AM445" t="str">
            <v>túi hàn lưng xếp hông</v>
          </cell>
          <cell r="AN445">
            <v>420</v>
          </cell>
          <cell r="AO445" t="str">
            <v>Bùi Văn Sỹ</v>
          </cell>
          <cell r="AP445" t="str">
            <v>18081042-1</v>
          </cell>
          <cell r="AQ445">
            <v>0</v>
          </cell>
          <cell r="AR445">
            <v>0</v>
          </cell>
          <cell r="AS445">
            <v>0</v>
          </cell>
          <cell r="AT445">
            <v>0</v>
          </cell>
          <cell r="AU445">
            <v>0</v>
          </cell>
          <cell r="AV445">
            <v>0</v>
          </cell>
          <cell r="AW445">
            <v>0</v>
          </cell>
          <cell r="AX445">
            <v>0</v>
          </cell>
          <cell r="AY445" t="str">
            <v>420x870</v>
          </cell>
          <cell r="AZ445" t="str">
            <v>F3</v>
          </cell>
          <cell r="BA445">
            <v>1500</v>
          </cell>
          <cell r="BB445" t="str">
            <v>Thùng 5 lớp 42x34x33</v>
          </cell>
          <cell r="BC445">
            <v>0</v>
          </cell>
          <cell r="BD445">
            <v>0</v>
          </cell>
        </row>
        <row r="446">
          <cell r="A446" t="str">
            <v>sp 969</v>
          </cell>
          <cell r="B446" t="str">
            <v>Túi trà bản đồ tân cương 100g loại 14</v>
          </cell>
          <cell r="C446">
            <v>6.03</v>
          </cell>
          <cell r="D446">
            <v>3</v>
          </cell>
          <cell r="E446" t="str">
            <v>PET 12x740</v>
          </cell>
          <cell r="F446">
            <v>6</v>
          </cell>
          <cell r="G446" t="str">
            <v>PET</v>
          </cell>
          <cell r="H446">
            <v>0.17</v>
          </cell>
          <cell r="I446">
            <v>1.23</v>
          </cell>
          <cell r="J446">
            <v>0.55000000000000004</v>
          </cell>
          <cell r="K446">
            <v>0.41</v>
          </cell>
          <cell r="L446">
            <v>0.81</v>
          </cell>
          <cell r="M446">
            <v>0.86</v>
          </cell>
          <cell r="N446">
            <v>2</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t="str">
            <v>MPET 12x740</v>
          </cell>
          <cell r="AF446" t="str">
            <v>PE 75x740</v>
          </cell>
          <cell r="AG446">
            <v>7.6201500000000005E-2</v>
          </cell>
          <cell r="AH446">
            <v>1.1193333333333333</v>
          </cell>
          <cell r="AI446">
            <v>1.46</v>
          </cell>
          <cell r="AJ446">
            <v>9530</v>
          </cell>
          <cell r="AK446">
            <v>9530</v>
          </cell>
          <cell r="AL446" t="str">
            <v>0,0053(0,0023;0,003)</v>
          </cell>
          <cell r="AM446" t="str">
            <v>túi hàn lưng xếp hông</v>
          </cell>
          <cell r="AN446">
            <v>270</v>
          </cell>
          <cell r="AO446" t="str">
            <v>Bùi Văn Sỹ</v>
          </cell>
          <cell r="AP446" t="str">
            <v>1809154-1</v>
          </cell>
          <cell r="AQ446" t="str">
            <v>1809154-2</v>
          </cell>
          <cell r="AR446" t="str">
            <v>1809154-3</v>
          </cell>
          <cell r="AS446" t="str">
            <v>1809154-4</v>
          </cell>
          <cell r="AT446" t="str">
            <v>1809154-5</v>
          </cell>
          <cell r="AU446" t="str">
            <v>1809154-6</v>
          </cell>
          <cell r="AV446">
            <v>0</v>
          </cell>
          <cell r="AW446">
            <v>0</v>
          </cell>
          <cell r="AX446">
            <v>0</v>
          </cell>
          <cell r="AY446" t="str">
            <v>540x850</v>
          </cell>
          <cell r="AZ446" t="str">
            <v>F4</v>
          </cell>
          <cell r="BA446">
            <v>3500</v>
          </cell>
          <cell r="BB446" t="str">
            <v>Thùng 5 lớp 42x34x33</v>
          </cell>
          <cell r="BC446">
            <v>0</v>
          </cell>
          <cell r="BD446">
            <v>0</v>
          </cell>
        </row>
        <row r="447">
          <cell r="A447" t="str">
            <v>sp 970</v>
          </cell>
          <cell r="B447" t="str">
            <v>Túi trà bản đồ tân cương 200g loại 14</v>
          </cell>
          <cell r="C447">
            <v>5.91</v>
          </cell>
          <cell r="D447">
            <v>2</v>
          </cell>
          <cell r="E447" t="str">
            <v>PET 12x620</v>
          </cell>
          <cell r="F447">
            <v>6</v>
          </cell>
          <cell r="G447" t="str">
            <v>PET</v>
          </cell>
          <cell r="H447">
            <v>0.14000000000000001</v>
          </cell>
          <cell r="I447">
            <v>1.66</v>
          </cell>
          <cell r="J447">
            <v>0.49</v>
          </cell>
          <cell r="K447">
            <v>0</v>
          </cell>
          <cell r="L447">
            <v>0.79</v>
          </cell>
          <cell r="M447">
            <v>0.63</v>
          </cell>
          <cell r="N447">
            <v>2.2000000000000002</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t="str">
            <v>MPET 12x620</v>
          </cell>
          <cell r="AF447" t="str">
            <v>PE 75x620</v>
          </cell>
          <cell r="AG447">
            <v>6.3844500000000012E-2</v>
          </cell>
          <cell r="AH447">
            <v>0.93533333333333324</v>
          </cell>
          <cell r="AI447">
            <v>1.22</v>
          </cell>
          <cell r="AJ447">
            <v>9530</v>
          </cell>
          <cell r="AK447">
            <v>9530</v>
          </cell>
          <cell r="AL447" t="str">
            <v>0,0053(0,0023;0,003)</v>
          </cell>
          <cell r="AM447" t="str">
            <v>túi hàn lưng xếp hông</v>
          </cell>
          <cell r="AN447">
            <v>340</v>
          </cell>
          <cell r="AO447" t="str">
            <v>Bùi Văn Sỹ</v>
          </cell>
          <cell r="AP447" t="str">
            <v>1809155-1</v>
          </cell>
          <cell r="AQ447" t="str">
            <v>1809155-2</v>
          </cell>
          <cell r="AR447" t="str">
            <v>1809155-3</v>
          </cell>
          <cell r="AS447" t="str">
            <v>1809155-4</v>
          </cell>
          <cell r="AT447" t="str">
            <v>1809155-5</v>
          </cell>
          <cell r="AU447" t="str">
            <v>1809155-6</v>
          </cell>
          <cell r="AV447">
            <v>0</v>
          </cell>
          <cell r="AW447">
            <v>0</v>
          </cell>
          <cell r="AX447">
            <v>0</v>
          </cell>
          <cell r="AY447" t="str">
            <v>680x750</v>
          </cell>
          <cell r="AZ447" t="str">
            <v>F4</v>
          </cell>
          <cell r="BA447">
            <v>2500</v>
          </cell>
          <cell r="BB447" t="str">
            <v>Thùng 5 lớp 42x34x33</v>
          </cell>
          <cell r="BC447">
            <v>0</v>
          </cell>
          <cell r="BD447">
            <v>0</v>
          </cell>
        </row>
        <row r="448">
          <cell r="A448" t="str">
            <v>sp 971</v>
          </cell>
          <cell r="B448" t="str">
            <v>Túi trà bản đồ đặc sản 200g loại 14</v>
          </cell>
          <cell r="C448">
            <v>5.370000000000001</v>
          </cell>
          <cell r="D448">
            <v>2</v>
          </cell>
          <cell r="E448" t="str">
            <v>PET 12x620</v>
          </cell>
          <cell r="F448">
            <v>6</v>
          </cell>
          <cell r="G448" t="str">
            <v>PET</v>
          </cell>
          <cell r="H448">
            <v>0.03</v>
          </cell>
          <cell r="I448">
            <v>1.7</v>
          </cell>
          <cell r="J448">
            <v>0.33</v>
          </cell>
          <cell r="K448">
            <v>0.22</v>
          </cell>
          <cell r="L448">
            <v>0.89</v>
          </cell>
          <cell r="M448">
            <v>0.22</v>
          </cell>
          <cell r="N448">
            <v>1.98</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t="str">
            <v>MPET 12x620</v>
          </cell>
          <cell r="AF448" t="str">
            <v>PE 75x620</v>
          </cell>
          <cell r="AG448">
            <v>6.3844500000000012E-2</v>
          </cell>
          <cell r="AH448">
            <v>0.93533333333333324</v>
          </cell>
          <cell r="AI448">
            <v>1.22</v>
          </cell>
          <cell r="AJ448">
            <v>9530</v>
          </cell>
          <cell r="AK448">
            <v>9530</v>
          </cell>
          <cell r="AL448" t="str">
            <v>0,0053(0,0023;0,003)</v>
          </cell>
          <cell r="AM448" t="str">
            <v>túi hàn lưng xếp hông</v>
          </cell>
          <cell r="AN448">
            <v>340</v>
          </cell>
          <cell r="AO448" t="str">
            <v>Bùi Văn Sỹ</v>
          </cell>
          <cell r="AP448" t="str">
            <v>1809156-1</v>
          </cell>
          <cell r="AQ448" t="str">
            <v>1809156-2</v>
          </cell>
          <cell r="AR448" t="str">
            <v>1809156-3</v>
          </cell>
          <cell r="AS448" t="str">
            <v>1809156-4</v>
          </cell>
          <cell r="AT448" t="str">
            <v>1809156-5</v>
          </cell>
          <cell r="AU448" t="str">
            <v>1809156-6</v>
          </cell>
          <cell r="AV448">
            <v>0</v>
          </cell>
          <cell r="AW448">
            <v>0</v>
          </cell>
          <cell r="AX448">
            <v>0</v>
          </cell>
          <cell r="AY448" t="str">
            <v>540x750</v>
          </cell>
          <cell r="AZ448" t="str">
            <v>F4</v>
          </cell>
          <cell r="BA448">
            <v>2500</v>
          </cell>
          <cell r="BB448" t="str">
            <v>Thùng 5 lớp 42x34x33</v>
          </cell>
          <cell r="BC448">
            <v>0</v>
          </cell>
          <cell r="BD448">
            <v>0</v>
          </cell>
        </row>
        <row r="449">
          <cell r="A449" t="str">
            <v>sp 972</v>
          </cell>
          <cell r="B449" t="str">
            <v>Túi trà bản đồ tân cương 500g loại 14</v>
          </cell>
          <cell r="C449">
            <v>5.23</v>
          </cell>
          <cell r="D449">
            <v>2</v>
          </cell>
          <cell r="E449" t="str">
            <v>PET 12x760</v>
          </cell>
          <cell r="F449">
            <v>6</v>
          </cell>
          <cell r="G449" t="str">
            <v>PET</v>
          </cell>
          <cell r="H449">
            <v>0.01</v>
          </cell>
          <cell r="I449">
            <v>1.69</v>
          </cell>
          <cell r="J449">
            <v>0.33</v>
          </cell>
          <cell r="K449">
            <v>0.08</v>
          </cell>
          <cell r="L449">
            <v>0.85</v>
          </cell>
          <cell r="M449">
            <v>0.67</v>
          </cell>
          <cell r="N449">
            <v>1.6</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t="str">
            <v>MPET 12x760</v>
          </cell>
          <cell r="AF449" t="str">
            <v>PE 80x760</v>
          </cell>
          <cell r="AG449">
            <v>8.1776000000000001E-2</v>
          </cell>
          <cell r="AH449">
            <v>1.1499999999999999</v>
          </cell>
          <cell r="AI449">
            <v>1.5</v>
          </cell>
          <cell r="AJ449">
            <v>9530</v>
          </cell>
          <cell r="AK449">
            <v>9530</v>
          </cell>
          <cell r="AL449" t="str">
            <v>0,0053(0,0023;0,003)</v>
          </cell>
          <cell r="AM449" t="str">
            <v>túi hàn lưng xếp hông</v>
          </cell>
          <cell r="AN449">
            <v>420</v>
          </cell>
          <cell r="AO449" t="str">
            <v>Bùi Văn Sỹ</v>
          </cell>
          <cell r="AP449" t="str">
            <v>1809157-1</v>
          </cell>
          <cell r="AQ449" t="str">
            <v>1809157-2</v>
          </cell>
          <cell r="AR449" t="str">
            <v>1809157-3</v>
          </cell>
          <cell r="AS449" t="str">
            <v>1809157-4</v>
          </cell>
          <cell r="AT449" t="str">
            <v>1809157-5</v>
          </cell>
          <cell r="AU449" t="str">
            <v>1809157-6</v>
          </cell>
          <cell r="AV449">
            <v>0</v>
          </cell>
          <cell r="AW449">
            <v>0</v>
          </cell>
          <cell r="AX449">
            <v>0</v>
          </cell>
          <cell r="AY449" t="str">
            <v>420x850</v>
          </cell>
          <cell r="AZ449" t="str">
            <v>F4</v>
          </cell>
          <cell r="BA449">
            <v>1500</v>
          </cell>
          <cell r="BB449" t="str">
            <v>Thùng 5 lớp 42x34x33</v>
          </cell>
          <cell r="BC449">
            <v>0</v>
          </cell>
          <cell r="BD449">
            <v>0</v>
          </cell>
        </row>
        <row r="450">
          <cell r="A450" t="str">
            <v>sp 973</v>
          </cell>
          <cell r="B450" t="str">
            <v>Túi trà bản đồ đặc sản 500gr loại 14</v>
          </cell>
          <cell r="C450">
            <v>4.62</v>
          </cell>
          <cell r="D450">
            <v>2</v>
          </cell>
          <cell r="E450" t="str">
            <v>PET 12x760</v>
          </cell>
          <cell r="F450">
            <v>6</v>
          </cell>
          <cell r="G450" t="str">
            <v>PET</v>
          </cell>
          <cell r="H450">
            <v>0.02</v>
          </cell>
          <cell r="I450">
            <v>1.22</v>
          </cell>
          <cell r="J450">
            <v>0.36</v>
          </cell>
          <cell r="K450">
            <v>0.15</v>
          </cell>
          <cell r="L450">
            <v>0.52</v>
          </cell>
          <cell r="M450">
            <v>0.74</v>
          </cell>
          <cell r="N450">
            <v>1.61</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t="str">
            <v>MPET 12x760</v>
          </cell>
          <cell r="AF450" t="str">
            <v>PE 80x760</v>
          </cell>
          <cell r="AG450">
            <v>8.1776000000000001E-2</v>
          </cell>
          <cell r="AH450">
            <v>1.1499999999999999</v>
          </cell>
          <cell r="AI450">
            <v>1.5</v>
          </cell>
          <cell r="AJ450">
            <v>9530</v>
          </cell>
          <cell r="AK450">
            <v>9530</v>
          </cell>
          <cell r="AL450" t="str">
            <v>0,0053(0,0023;0,003)</v>
          </cell>
          <cell r="AM450" t="str">
            <v>túi hàn lưng xếp hông</v>
          </cell>
          <cell r="AN450">
            <v>420</v>
          </cell>
          <cell r="AO450" t="str">
            <v>Bùi Văn Sỹ</v>
          </cell>
          <cell r="AP450" t="str">
            <v>1809158-1</v>
          </cell>
          <cell r="AQ450" t="str">
            <v>1809158-2</v>
          </cell>
          <cell r="AR450" t="str">
            <v>1809158-3</v>
          </cell>
          <cell r="AS450" t="str">
            <v>1809158-4</v>
          </cell>
          <cell r="AT450" t="str">
            <v>1809158-5</v>
          </cell>
          <cell r="AU450" t="str">
            <v>1809158-6</v>
          </cell>
          <cell r="AV450">
            <v>0</v>
          </cell>
          <cell r="AW450">
            <v>0</v>
          </cell>
          <cell r="AX450">
            <v>0</v>
          </cell>
          <cell r="AY450" t="str">
            <v>480x850</v>
          </cell>
          <cell r="AZ450" t="str">
            <v>F4</v>
          </cell>
          <cell r="BA450">
            <v>1500</v>
          </cell>
          <cell r="BB450" t="str">
            <v>Thùng 5 lớp 42x34x33</v>
          </cell>
          <cell r="BC450">
            <v>0</v>
          </cell>
          <cell r="BD450">
            <v>0</v>
          </cell>
        </row>
        <row r="451">
          <cell r="A451" t="str">
            <v>sp 974</v>
          </cell>
          <cell r="B451" t="str">
            <v>Túi thuốc trừ sâu usatabon 17,5WP vua trừ nhện loại 35gr American</v>
          </cell>
          <cell r="C451">
            <v>8.1300000000000008</v>
          </cell>
          <cell r="D451">
            <v>2</v>
          </cell>
          <cell r="E451" t="str">
            <v>PET 12x700</v>
          </cell>
          <cell r="F451">
            <v>7</v>
          </cell>
          <cell r="G451" t="str">
            <v>PET</v>
          </cell>
          <cell r="H451">
            <v>0.2</v>
          </cell>
          <cell r="I451">
            <v>4.8600000000000003</v>
          </cell>
          <cell r="J451">
            <v>0.19</v>
          </cell>
          <cell r="K451">
            <v>0.2</v>
          </cell>
          <cell r="L451">
            <v>0.5</v>
          </cell>
          <cell r="M451">
            <v>1.48</v>
          </cell>
          <cell r="N451">
            <v>0</v>
          </cell>
          <cell r="O451">
            <v>0</v>
          </cell>
          <cell r="P451">
            <v>0.25</v>
          </cell>
          <cell r="Q451">
            <v>0</v>
          </cell>
          <cell r="R451">
            <v>0.45</v>
          </cell>
          <cell r="S451">
            <v>0</v>
          </cell>
          <cell r="T451">
            <v>0</v>
          </cell>
          <cell r="U451">
            <v>0</v>
          </cell>
          <cell r="V451">
            <v>0</v>
          </cell>
          <cell r="W451">
            <v>0</v>
          </cell>
          <cell r="X451">
            <v>0</v>
          </cell>
          <cell r="Y451">
            <v>0</v>
          </cell>
          <cell r="Z451">
            <v>0</v>
          </cell>
          <cell r="AA451">
            <v>0</v>
          </cell>
          <cell r="AB451">
            <v>0</v>
          </cell>
          <cell r="AC451">
            <v>0</v>
          </cell>
          <cell r="AD451">
            <v>0</v>
          </cell>
          <cell r="AE451" t="str">
            <v>MPET 12x700</v>
          </cell>
          <cell r="AF451" t="str">
            <v>PE 75x700</v>
          </cell>
          <cell r="AG451">
            <v>7.2082500000000008E-2</v>
          </cell>
          <cell r="AH451">
            <v>1.0579999999999998</v>
          </cell>
          <cell r="AI451">
            <v>1.0579999999999998</v>
          </cell>
          <cell r="AJ451">
            <v>9530</v>
          </cell>
          <cell r="AK451">
            <v>9530</v>
          </cell>
          <cell r="AL451" t="str">
            <v>0,0046(0,0023,0,0023)</v>
          </cell>
          <cell r="AM451" t="str">
            <v>túi ba biên</v>
          </cell>
          <cell r="AN451">
            <v>125</v>
          </cell>
          <cell r="AO451" t="str">
            <v>Công ty American</v>
          </cell>
          <cell r="AP451" t="str">
            <v>1809454-1</v>
          </cell>
          <cell r="AQ451" t="str">
            <v>1809454-2</v>
          </cell>
          <cell r="AR451" t="str">
            <v>1809454-3</v>
          </cell>
          <cell r="AS451" t="str">
            <v>1809454-4</v>
          </cell>
          <cell r="AT451" t="str">
            <v>1809454-5</v>
          </cell>
          <cell r="AU451" t="str">
            <v>1809454-6</v>
          </cell>
          <cell r="AV451" t="str">
            <v>1809454-7</v>
          </cell>
          <cell r="AW451">
            <v>0</v>
          </cell>
          <cell r="AX451">
            <v>0</v>
          </cell>
          <cell r="AY451" t="str">
            <v>500x870</v>
          </cell>
          <cell r="AZ451" t="str">
            <v>P2</v>
          </cell>
          <cell r="BA451">
            <v>8000</v>
          </cell>
          <cell r="BB451" t="str">
            <v>Thùng 5 lớp 42x34x36</v>
          </cell>
          <cell r="BC451">
            <v>0</v>
          </cell>
          <cell r="BD451">
            <v>0</v>
          </cell>
        </row>
        <row r="452">
          <cell r="A452" t="str">
            <v>sp 975</v>
          </cell>
          <cell r="B452" t="str">
            <v>Túi thuốc trừ sâu New Zimvil 720WP vua trị vàng lá 1kg American</v>
          </cell>
          <cell r="C452">
            <v>8.56</v>
          </cell>
          <cell r="D452">
            <v>1</v>
          </cell>
          <cell r="E452" t="str">
            <v>PET 12x760</v>
          </cell>
          <cell r="F452">
            <v>7</v>
          </cell>
          <cell r="G452" t="str">
            <v>PET</v>
          </cell>
          <cell r="H452">
            <v>0.14000000000000001</v>
          </cell>
          <cell r="I452">
            <v>5.16</v>
          </cell>
          <cell r="J452">
            <v>0.28000000000000003</v>
          </cell>
          <cell r="K452">
            <v>0.17</v>
          </cell>
          <cell r="L452">
            <v>0.45</v>
          </cell>
          <cell r="M452">
            <v>1.85</v>
          </cell>
          <cell r="N452">
            <v>0</v>
          </cell>
          <cell r="O452">
            <v>0</v>
          </cell>
          <cell r="P452">
            <v>0.48</v>
          </cell>
          <cell r="Q452">
            <v>0</v>
          </cell>
          <cell r="R452">
            <v>0.03</v>
          </cell>
          <cell r="S452">
            <v>0</v>
          </cell>
          <cell r="T452">
            <v>0</v>
          </cell>
          <cell r="U452">
            <v>0</v>
          </cell>
          <cell r="V452">
            <v>0</v>
          </cell>
          <cell r="W452">
            <v>0</v>
          </cell>
          <cell r="X452">
            <v>0</v>
          </cell>
          <cell r="Y452">
            <v>0</v>
          </cell>
          <cell r="Z452">
            <v>0</v>
          </cell>
          <cell r="AA452">
            <v>0</v>
          </cell>
          <cell r="AB452">
            <v>0</v>
          </cell>
          <cell r="AC452">
            <v>0</v>
          </cell>
          <cell r="AD452">
            <v>0</v>
          </cell>
          <cell r="AE452" t="str">
            <v>MPET 12x760</v>
          </cell>
          <cell r="AF452" t="str">
            <v>PE 75x760</v>
          </cell>
          <cell r="AG452">
            <v>7.8261000000000011E-2</v>
          </cell>
          <cell r="AH452">
            <v>1.1499999999999999</v>
          </cell>
          <cell r="AI452">
            <v>1.1499999999999999</v>
          </cell>
          <cell r="AJ452">
            <v>9530</v>
          </cell>
          <cell r="AK452">
            <v>9530</v>
          </cell>
          <cell r="AL452" t="str">
            <v>0,0046(0,0023,0,0023)</v>
          </cell>
          <cell r="AM452" t="str">
            <v>túi ba biên</v>
          </cell>
          <cell r="AN452">
            <v>255</v>
          </cell>
          <cell r="AO452" t="str">
            <v>Công ty American</v>
          </cell>
          <cell r="AP452" t="str">
            <v>1809455-1</v>
          </cell>
          <cell r="AQ452" t="str">
            <v>1809455-2</v>
          </cell>
          <cell r="AR452" t="str">
            <v>1809455-3</v>
          </cell>
          <cell r="AS452" t="str">
            <v>1809455-4</v>
          </cell>
          <cell r="AT452" t="str">
            <v>1809455-5</v>
          </cell>
          <cell r="AU452" t="str">
            <v>1809455-6</v>
          </cell>
          <cell r="AV452" t="str">
            <v>1809455-7</v>
          </cell>
          <cell r="AW452">
            <v>0</v>
          </cell>
          <cell r="AX452">
            <v>0</v>
          </cell>
          <cell r="AY452" t="str">
            <v>510x870</v>
          </cell>
          <cell r="AZ452" t="str">
            <v>Q1</v>
          </cell>
          <cell r="BA452">
            <v>2000</v>
          </cell>
          <cell r="BB452" t="str">
            <v>Thùng 5 lớp 42x34x36</v>
          </cell>
          <cell r="BC452">
            <v>0</v>
          </cell>
          <cell r="BD452">
            <v>0</v>
          </cell>
        </row>
        <row r="453">
          <cell r="A453" t="str">
            <v>sp 976</v>
          </cell>
          <cell r="B453" t="str">
            <v>Cuộn màng nhôm không in ghép nhôm khổ 520</v>
          </cell>
          <cell r="C453">
            <v>0</v>
          </cell>
          <cell r="D453">
            <v>1</v>
          </cell>
          <cell r="E453" t="str">
            <v>PET 12x520</v>
          </cell>
          <cell r="F453">
            <v>0</v>
          </cell>
          <cell r="G453" t="str">
            <v>PET</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t="str">
            <v>Al 6x520</v>
          </cell>
          <cell r="AF453" t="str">
            <v>PE 120x520</v>
          </cell>
          <cell r="AG453">
            <v>7.4911199999999997E-2</v>
          </cell>
          <cell r="AH453">
            <v>0.78199999999999992</v>
          </cell>
          <cell r="AI453">
            <v>1.02</v>
          </cell>
          <cell r="AJ453">
            <v>9530</v>
          </cell>
          <cell r="AK453">
            <v>9530</v>
          </cell>
          <cell r="AL453" t="str">
            <v>0,0053(0,0023;0,003)</v>
          </cell>
          <cell r="AM453" t="str">
            <v>dạng cuộn 1000m</v>
          </cell>
          <cell r="AN453">
            <v>520</v>
          </cell>
          <cell r="AO453" t="str">
            <v>Công ty Innovative shield Việt Nam</v>
          </cell>
          <cell r="AP453" t="e">
            <v>#N/A</v>
          </cell>
          <cell r="AQ453" t="e">
            <v>#N/A</v>
          </cell>
          <cell r="AR453" t="e">
            <v>#N/A</v>
          </cell>
          <cell r="AS453" t="e">
            <v>#N/A</v>
          </cell>
          <cell r="AT453" t="e">
            <v>#N/A</v>
          </cell>
          <cell r="AU453" t="e">
            <v>#N/A</v>
          </cell>
          <cell r="AV453" t="e">
            <v>#N/A</v>
          </cell>
          <cell r="AW453" t="e">
            <v>#N/A</v>
          </cell>
          <cell r="AX453" t="e">
            <v>#N/A</v>
          </cell>
          <cell r="AY453" t="e">
            <v>#N/A</v>
          </cell>
          <cell r="AZ453" t="e">
            <v>#N/A</v>
          </cell>
          <cell r="BA453" t="str">
            <v>1c</v>
          </cell>
          <cell r="BB453" t="str">
            <v>giấy cartoon</v>
          </cell>
          <cell r="BC453">
            <v>0</v>
          </cell>
          <cell r="BD453" t="e">
            <v>#N/A</v>
          </cell>
        </row>
        <row r="454">
          <cell r="A454" t="str">
            <v>sp 977</v>
          </cell>
          <cell r="B454" t="str">
            <v>Cuộn mỳ không in khổ 270 Hà Việt</v>
          </cell>
          <cell r="C454">
            <v>0</v>
          </cell>
          <cell r="D454">
            <v>4</v>
          </cell>
          <cell r="E454" t="str">
            <v>OPP 20x1100</v>
          </cell>
          <cell r="F454">
            <v>0</v>
          </cell>
          <cell r="G454" t="str">
            <v>OPP</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t="str">
            <v>CPP 20x1100</v>
          </cell>
          <cell r="AF454">
            <v>0</v>
          </cell>
          <cell r="AG454">
            <v>4.0040000000000006E-2</v>
          </cell>
          <cell r="AH454">
            <v>0.66</v>
          </cell>
          <cell r="AI454">
            <v>0</v>
          </cell>
          <cell r="AJ454">
            <v>9530</v>
          </cell>
          <cell r="AK454">
            <v>0</v>
          </cell>
          <cell r="AL454">
            <v>1.8E-3</v>
          </cell>
          <cell r="AM454" t="str">
            <v>dạng cuộn 1000m</v>
          </cell>
          <cell r="AN454">
            <v>270</v>
          </cell>
          <cell r="AO454" t="str">
            <v>Công ty Lương Thực Hà Việt</v>
          </cell>
          <cell r="AP454" t="e">
            <v>#N/A</v>
          </cell>
          <cell r="AQ454" t="e">
            <v>#N/A</v>
          </cell>
          <cell r="AR454" t="e">
            <v>#N/A</v>
          </cell>
          <cell r="AS454" t="e">
            <v>#N/A</v>
          </cell>
          <cell r="AT454" t="e">
            <v>#N/A</v>
          </cell>
          <cell r="AU454" t="e">
            <v>#N/A</v>
          </cell>
          <cell r="AV454" t="e">
            <v>#N/A</v>
          </cell>
          <cell r="AW454" t="e">
            <v>#N/A</v>
          </cell>
          <cell r="AX454" t="e">
            <v>#N/A</v>
          </cell>
          <cell r="AY454" t="e">
            <v>#N/A</v>
          </cell>
          <cell r="AZ454" t="e">
            <v>#N/A</v>
          </cell>
          <cell r="BA454" t="str">
            <v>2c</v>
          </cell>
          <cell r="BB454" t="str">
            <v>giấy cartoon</v>
          </cell>
          <cell r="BC454">
            <v>0</v>
          </cell>
          <cell r="BD454" t="e">
            <v>#N/A</v>
          </cell>
        </row>
        <row r="455">
          <cell r="A455" t="str">
            <v>sp 978</v>
          </cell>
          <cell r="B455" t="str">
            <v>Túi không in KT 230x340 Việt Thắng</v>
          </cell>
          <cell r="C455">
            <v>0</v>
          </cell>
          <cell r="D455">
            <v>1</v>
          </cell>
          <cell r="E455" t="str">
            <v>OPP 20x700</v>
          </cell>
          <cell r="F455">
            <v>0</v>
          </cell>
          <cell r="G455" t="str">
            <v>OPP</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t="str">
            <v>MPET 12x700</v>
          </cell>
          <cell r="AF455" t="str">
            <v>PE 95x700</v>
          </cell>
          <cell r="AG455">
            <v>8.6012500000000006E-2</v>
          </cell>
          <cell r="AH455">
            <v>1.0579999999999998</v>
          </cell>
          <cell r="AI455">
            <v>1.38</v>
          </cell>
          <cell r="AJ455">
            <v>9530</v>
          </cell>
          <cell r="AK455">
            <v>9530</v>
          </cell>
          <cell r="AL455" t="str">
            <v>0,0053(0,0023;0,003)</v>
          </cell>
          <cell r="AM455" t="str">
            <v>túi ba biên</v>
          </cell>
          <cell r="AN455">
            <v>230</v>
          </cell>
          <cell r="AO455" t="str">
            <v>Công ty Việt Thắng</v>
          </cell>
          <cell r="AP455" t="e">
            <v>#N/A</v>
          </cell>
          <cell r="AQ455" t="e">
            <v>#N/A</v>
          </cell>
          <cell r="AR455" t="e">
            <v>#N/A</v>
          </cell>
          <cell r="AS455" t="e">
            <v>#N/A</v>
          </cell>
          <cell r="AT455" t="e">
            <v>#N/A</v>
          </cell>
          <cell r="AU455" t="e">
            <v>#N/A</v>
          </cell>
          <cell r="AV455" t="e">
            <v>#N/A</v>
          </cell>
          <cell r="AW455" t="e">
            <v>#N/A</v>
          </cell>
          <cell r="AX455" t="e">
            <v>#N/A</v>
          </cell>
          <cell r="AY455" t="e">
            <v>#N/A</v>
          </cell>
          <cell r="AZ455" t="e">
            <v>#N/A</v>
          </cell>
          <cell r="BA455">
            <v>1500</v>
          </cell>
          <cell r="BB455" t="str">
            <v>Thùng 5 lớp 43x35,5x29(Thanh Minh)</v>
          </cell>
          <cell r="BC455">
            <v>0</v>
          </cell>
          <cell r="BD455" t="e">
            <v>#N/A</v>
          </cell>
        </row>
        <row r="456">
          <cell r="A456" t="str">
            <v>sp 979</v>
          </cell>
          <cell r="B456" t="str">
            <v>Túi chữ trà lụa 7 màu tân cương thái nguyên 100g loại 12 Thanh Minh</v>
          </cell>
          <cell r="C456">
            <v>7.89</v>
          </cell>
          <cell r="D456">
            <v>3</v>
          </cell>
          <cell r="E456" t="str">
            <v>OPP mờ 20x740</v>
          </cell>
          <cell r="F456">
            <v>6</v>
          </cell>
          <cell r="G456" t="str">
            <v>OPP</v>
          </cell>
          <cell r="H456">
            <v>0</v>
          </cell>
          <cell r="I456">
            <v>3.1</v>
          </cell>
          <cell r="J456">
            <v>0.15</v>
          </cell>
          <cell r="K456">
            <v>0.15</v>
          </cell>
          <cell r="L456">
            <v>2.8</v>
          </cell>
          <cell r="M456">
            <v>0.5</v>
          </cell>
          <cell r="N456">
            <v>1</v>
          </cell>
          <cell r="O456">
            <v>0.15</v>
          </cell>
          <cell r="P456">
            <v>0</v>
          </cell>
          <cell r="Q456">
            <v>0</v>
          </cell>
          <cell r="R456">
            <v>0</v>
          </cell>
          <cell r="S456">
            <v>0.04</v>
          </cell>
          <cell r="T456">
            <v>0</v>
          </cell>
          <cell r="U456">
            <v>0</v>
          </cell>
          <cell r="V456">
            <v>0</v>
          </cell>
          <cell r="W456">
            <v>0</v>
          </cell>
          <cell r="X456">
            <v>0</v>
          </cell>
          <cell r="Y456">
            <v>0</v>
          </cell>
          <cell r="Z456">
            <v>0</v>
          </cell>
          <cell r="AA456">
            <v>0</v>
          </cell>
          <cell r="AB456">
            <v>0</v>
          </cell>
          <cell r="AC456">
            <v>0</v>
          </cell>
          <cell r="AD456">
            <v>0</v>
          </cell>
          <cell r="AE456" t="str">
            <v>MPET 12x740</v>
          </cell>
          <cell r="AF456" t="str">
            <v>PE 75x740</v>
          </cell>
          <cell r="AG456">
            <v>7.7237500000000001E-2</v>
          </cell>
          <cell r="AH456">
            <v>1.1193333333333333</v>
          </cell>
          <cell r="AI456">
            <v>1.46</v>
          </cell>
          <cell r="AJ456">
            <v>9530</v>
          </cell>
          <cell r="AK456">
            <v>9530</v>
          </cell>
          <cell r="AL456" t="str">
            <v>0,0053(0,0023;0,003)</v>
          </cell>
          <cell r="AM456" t="str">
            <v>túi hàn lưng xếp hông</v>
          </cell>
          <cell r="AN456">
            <v>270</v>
          </cell>
          <cell r="AO456" t="str">
            <v>Công ty Thanh Minh</v>
          </cell>
          <cell r="AP456" t="e">
            <v>#N/A</v>
          </cell>
          <cell r="AQ456" t="e">
            <v>#N/A</v>
          </cell>
          <cell r="AR456" t="e">
            <v>#N/A</v>
          </cell>
          <cell r="AS456" t="e">
            <v>#N/A</v>
          </cell>
          <cell r="AT456" t="e">
            <v>#N/A</v>
          </cell>
          <cell r="AU456" t="e">
            <v>#N/A</v>
          </cell>
          <cell r="AV456" t="e">
            <v>#N/A</v>
          </cell>
          <cell r="AW456" t="e">
            <v>#N/A</v>
          </cell>
          <cell r="AX456" t="e">
            <v>#N/A</v>
          </cell>
          <cell r="AY456" t="e">
            <v>#N/A</v>
          </cell>
          <cell r="AZ456" t="e">
            <v>#N/A</v>
          </cell>
          <cell r="BA456">
            <v>2500</v>
          </cell>
          <cell r="BB456" t="str">
            <v>Thùng 5 lớp 43x35,5x29(Thanh Minh)</v>
          </cell>
          <cell r="BC456">
            <v>0</v>
          </cell>
          <cell r="BD456" t="e">
            <v>#N/A</v>
          </cell>
        </row>
        <row r="457">
          <cell r="A457" t="str">
            <v>sp 980</v>
          </cell>
          <cell r="B457">
            <v>0</v>
          </cell>
          <cell r="C457">
            <v>0</v>
          </cell>
          <cell r="D457">
            <v>0</v>
          </cell>
          <cell r="E457">
            <v>0</v>
          </cell>
          <cell r="F457">
            <v>0</v>
          </cell>
          <cell r="G457" t="str">
            <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t="e">
            <v>#N/A</v>
          </cell>
          <cell r="AQ457" t="e">
            <v>#N/A</v>
          </cell>
          <cell r="AR457" t="e">
            <v>#N/A</v>
          </cell>
          <cell r="AS457" t="e">
            <v>#N/A</v>
          </cell>
          <cell r="AT457" t="e">
            <v>#N/A</v>
          </cell>
          <cell r="AU457" t="e">
            <v>#N/A</v>
          </cell>
          <cell r="AV457" t="e">
            <v>#N/A</v>
          </cell>
          <cell r="AW457" t="e">
            <v>#N/A</v>
          </cell>
          <cell r="AX457" t="e">
            <v>#N/A</v>
          </cell>
          <cell r="AY457" t="e">
            <v>#N/A</v>
          </cell>
          <cell r="AZ457" t="e">
            <v>#N/A</v>
          </cell>
          <cell r="BA457">
            <v>0</v>
          </cell>
          <cell r="BB457">
            <v>0</v>
          </cell>
          <cell r="BC457">
            <v>0</v>
          </cell>
          <cell r="BD457" t="e">
            <v>#N/A</v>
          </cell>
        </row>
        <row r="458">
          <cell r="A458" t="str">
            <v>sp 981</v>
          </cell>
          <cell r="B458">
            <v>0</v>
          </cell>
          <cell r="C458">
            <v>0</v>
          </cell>
          <cell r="D458">
            <v>0</v>
          </cell>
          <cell r="E458">
            <v>0</v>
          </cell>
          <cell r="F458">
            <v>0</v>
          </cell>
          <cell r="G458" t="str">
            <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t="e">
            <v>#N/A</v>
          </cell>
          <cell r="AQ458" t="e">
            <v>#N/A</v>
          </cell>
          <cell r="AR458" t="e">
            <v>#N/A</v>
          </cell>
          <cell r="AS458" t="e">
            <v>#N/A</v>
          </cell>
          <cell r="AT458" t="e">
            <v>#N/A</v>
          </cell>
          <cell r="AU458" t="e">
            <v>#N/A</v>
          </cell>
          <cell r="AV458" t="e">
            <v>#N/A</v>
          </cell>
          <cell r="AW458" t="e">
            <v>#N/A</v>
          </cell>
          <cell r="AX458" t="e">
            <v>#N/A</v>
          </cell>
          <cell r="AY458" t="e">
            <v>#N/A</v>
          </cell>
          <cell r="AZ458" t="e">
            <v>#N/A</v>
          </cell>
          <cell r="BA458">
            <v>0</v>
          </cell>
          <cell r="BB458">
            <v>0</v>
          </cell>
          <cell r="BC458">
            <v>0</v>
          </cell>
          <cell r="BD458" t="e">
            <v>#N/A</v>
          </cell>
        </row>
        <row r="459">
          <cell r="A459" t="str">
            <v>sp 982</v>
          </cell>
          <cell r="B459">
            <v>0</v>
          </cell>
          <cell r="C459">
            <v>0</v>
          </cell>
          <cell r="D459">
            <v>0</v>
          </cell>
          <cell r="E459">
            <v>0</v>
          </cell>
          <cell r="F459">
            <v>0</v>
          </cell>
          <cell r="G459" t="str">
            <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t="e">
            <v>#N/A</v>
          </cell>
          <cell r="AQ459" t="e">
            <v>#N/A</v>
          </cell>
          <cell r="AR459" t="e">
            <v>#N/A</v>
          </cell>
          <cell r="AS459" t="e">
            <v>#N/A</v>
          </cell>
          <cell r="AT459" t="e">
            <v>#N/A</v>
          </cell>
          <cell r="AU459" t="e">
            <v>#N/A</v>
          </cell>
          <cell r="AV459" t="e">
            <v>#N/A</v>
          </cell>
          <cell r="AW459" t="e">
            <v>#N/A</v>
          </cell>
          <cell r="AX459" t="e">
            <v>#N/A</v>
          </cell>
          <cell r="AY459" t="e">
            <v>#N/A</v>
          </cell>
          <cell r="AZ459" t="e">
            <v>#N/A</v>
          </cell>
          <cell r="BA459">
            <v>0</v>
          </cell>
          <cell r="BB459">
            <v>0</v>
          </cell>
          <cell r="BC459">
            <v>0</v>
          </cell>
          <cell r="BD459" t="e">
            <v>#N/A</v>
          </cell>
        </row>
        <row r="460">
          <cell r="A460" t="str">
            <v>sp 983</v>
          </cell>
          <cell r="B460" t="str">
            <v xml:space="preserve">Túi chữ trà lụa 7 màu tân cương thái nguyên 500gr loại 12 Thanh Minh </v>
          </cell>
          <cell r="C460">
            <v>5.96</v>
          </cell>
          <cell r="D460">
            <v>2</v>
          </cell>
          <cell r="E460" t="str">
            <v>OPP mờ 20x760</v>
          </cell>
          <cell r="F460">
            <v>6</v>
          </cell>
          <cell r="G460" t="str">
            <v>OPP</v>
          </cell>
          <cell r="H460">
            <v>0</v>
          </cell>
          <cell r="I460">
            <v>2.93</v>
          </cell>
          <cell r="J460">
            <v>0.65</v>
          </cell>
          <cell r="K460">
            <v>0.01</v>
          </cell>
          <cell r="L460">
            <v>1.76</v>
          </cell>
          <cell r="M460">
            <v>0.56999999999999995</v>
          </cell>
          <cell r="N460">
            <v>0</v>
          </cell>
          <cell r="O460">
            <v>0.01</v>
          </cell>
          <cell r="P460">
            <v>0</v>
          </cell>
          <cell r="Q460">
            <v>0</v>
          </cell>
          <cell r="R460">
            <v>0</v>
          </cell>
          <cell r="S460">
            <v>0.03</v>
          </cell>
          <cell r="T460">
            <v>0</v>
          </cell>
          <cell r="U460">
            <v>0</v>
          </cell>
          <cell r="V460">
            <v>0</v>
          </cell>
          <cell r="W460">
            <v>0</v>
          </cell>
          <cell r="X460">
            <v>0</v>
          </cell>
          <cell r="Y460">
            <v>0</v>
          </cell>
          <cell r="Z460">
            <v>0</v>
          </cell>
          <cell r="AA460">
            <v>0</v>
          </cell>
          <cell r="AB460">
            <v>0</v>
          </cell>
          <cell r="AC460">
            <v>0</v>
          </cell>
          <cell r="AD460">
            <v>0</v>
          </cell>
          <cell r="AE460" t="str">
            <v>MPET 12x760</v>
          </cell>
          <cell r="AF460" t="str">
            <v>PE 75x760</v>
          </cell>
          <cell r="AG460">
            <v>7.9325000000000007E-2</v>
          </cell>
          <cell r="AH460">
            <v>1.1499999999999999</v>
          </cell>
          <cell r="AI460">
            <v>1.5</v>
          </cell>
          <cell r="AJ460">
            <v>9530</v>
          </cell>
          <cell r="AK460">
            <v>9530</v>
          </cell>
          <cell r="AL460" t="str">
            <v>0,0053(0,0023;0,003)</v>
          </cell>
          <cell r="AM460" t="str">
            <v>túi hàn lưng xếp hông</v>
          </cell>
          <cell r="AN460">
            <v>420</v>
          </cell>
          <cell r="AO460" t="str">
            <v>Công ty Thanh Minh</v>
          </cell>
          <cell r="AP460" t="e">
            <v>#N/A</v>
          </cell>
          <cell r="AQ460" t="e">
            <v>#N/A</v>
          </cell>
          <cell r="AR460" t="e">
            <v>#N/A</v>
          </cell>
          <cell r="AS460" t="e">
            <v>#N/A</v>
          </cell>
          <cell r="AT460" t="e">
            <v>#N/A</v>
          </cell>
          <cell r="AU460" t="e">
            <v>#N/A</v>
          </cell>
          <cell r="AV460" t="e">
            <v>#N/A</v>
          </cell>
          <cell r="AW460" t="e">
            <v>#N/A</v>
          </cell>
          <cell r="AX460" t="e">
            <v>#N/A</v>
          </cell>
          <cell r="AY460" t="e">
            <v>#N/A</v>
          </cell>
          <cell r="AZ460" t="e">
            <v>#N/A</v>
          </cell>
          <cell r="BA460">
            <v>1200</v>
          </cell>
          <cell r="BB460" t="str">
            <v>Thùng 5 lớp 43x35,5x29(Thanh Minh)</v>
          </cell>
          <cell r="BC460">
            <v>0</v>
          </cell>
          <cell r="BD460" t="e">
            <v>#N/A</v>
          </cell>
        </row>
        <row r="461">
          <cell r="A461" t="str">
            <v>sp 984</v>
          </cell>
          <cell r="B461">
            <v>0</v>
          </cell>
          <cell r="C461">
            <v>0</v>
          </cell>
          <cell r="D461">
            <v>0</v>
          </cell>
          <cell r="E461">
            <v>0</v>
          </cell>
          <cell r="F461">
            <v>0</v>
          </cell>
          <cell r="G461" t="str">
            <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t="e">
            <v>#N/A</v>
          </cell>
          <cell r="AQ461" t="e">
            <v>#N/A</v>
          </cell>
          <cell r="AR461" t="e">
            <v>#N/A</v>
          </cell>
          <cell r="AS461" t="e">
            <v>#N/A</v>
          </cell>
          <cell r="AT461" t="e">
            <v>#N/A</v>
          </cell>
          <cell r="AU461" t="e">
            <v>#N/A</v>
          </cell>
          <cell r="AV461" t="e">
            <v>#N/A</v>
          </cell>
          <cell r="AW461" t="e">
            <v>#N/A</v>
          </cell>
          <cell r="AX461" t="e">
            <v>#N/A</v>
          </cell>
          <cell r="AY461" t="e">
            <v>#N/A</v>
          </cell>
          <cell r="AZ461" t="e">
            <v>#N/A</v>
          </cell>
          <cell r="BA461">
            <v>0</v>
          </cell>
          <cell r="BB461">
            <v>0</v>
          </cell>
          <cell r="BC461">
            <v>0</v>
          </cell>
          <cell r="BD461" t="e">
            <v>#N/A</v>
          </cell>
        </row>
        <row r="462">
          <cell r="A462" t="str">
            <v>sp 985</v>
          </cell>
          <cell r="B462">
            <v>0</v>
          </cell>
          <cell r="C462">
            <v>0</v>
          </cell>
          <cell r="D462">
            <v>0</v>
          </cell>
          <cell r="E462">
            <v>0</v>
          </cell>
          <cell r="F462">
            <v>0</v>
          </cell>
          <cell r="G462" t="str">
            <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t="e">
            <v>#N/A</v>
          </cell>
          <cell r="AQ462" t="e">
            <v>#N/A</v>
          </cell>
          <cell r="AR462" t="e">
            <v>#N/A</v>
          </cell>
          <cell r="AS462" t="e">
            <v>#N/A</v>
          </cell>
          <cell r="AT462" t="e">
            <v>#N/A</v>
          </cell>
          <cell r="AU462" t="e">
            <v>#N/A</v>
          </cell>
          <cell r="AV462" t="e">
            <v>#N/A</v>
          </cell>
          <cell r="AW462" t="e">
            <v>#N/A</v>
          </cell>
          <cell r="AX462" t="e">
            <v>#N/A</v>
          </cell>
          <cell r="AY462" t="e">
            <v>#N/A</v>
          </cell>
          <cell r="AZ462" t="e">
            <v>#N/A</v>
          </cell>
          <cell r="BA462">
            <v>0</v>
          </cell>
          <cell r="BB462">
            <v>0</v>
          </cell>
          <cell r="BC462">
            <v>0</v>
          </cell>
          <cell r="BD462" t="e">
            <v>#N/A</v>
          </cell>
        </row>
        <row r="463">
          <cell r="A463" t="str">
            <v>sp 986</v>
          </cell>
          <cell r="B463">
            <v>0</v>
          </cell>
          <cell r="C463">
            <v>0</v>
          </cell>
          <cell r="D463">
            <v>0</v>
          </cell>
          <cell r="E463">
            <v>0</v>
          </cell>
          <cell r="F463">
            <v>0</v>
          </cell>
          <cell r="G463" t="str">
            <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t="e">
            <v>#N/A</v>
          </cell>
          <cell r="AQ463" t="e">
            <v>#N/A</v>
          </cell>
          <cell r="AR463" t="e">
            <v>#N/A</v>
          </cell>
          <cell r="AS463" t="e">
            <v>#N/A</v>
          </cell>
          <cell r="AT463" t="e">
            <v>#N/A</v>
          </cell>
          <cell r="AU463" t="e">
            <v>#N/A</v>
          </cell>
          <cell r="AV463" t="e">
            <v>#N/A</v>
          </cell>
          <cell r="AW463" t="e">
            <v>#N/A</v>
          </cell>
          <cell r="AX463" t="e">
            <v>#N/A</v>
          </cell>
          <cell r="AY463" t="e">
            <v>#N/A</v>
          </cell>
          <cell r="AZ463" t="e">
            <v>#N/A</v>
          </cell>
          <cell r="BA463">
            <v>0</v>
          </cell>
          <cell r="BB463">
            <v>0</v>
          </cell>
          <cell r="BC463">
            <v>0</v>
          </cell>
          <cell r="BD463" t="e">
            <v>#N/A</v>
          </cell>
        </row>
        <row r="464">
          <cell r="A464" t="str">
            <v>sp 987</v>
          </cell>
          <cell r="B464" t="str">
            <v>Cuộn bánh merry khay 160gr Santa</v>
          </cell>
          <cell r="C464">
            <v>0.4</v>
          </cell>
          <cell r="D464">
            <v>3</v>
          </cell>
          <cell r="E464" t="str">
            <v>OPP 30x875</v>
          </cell>
          <cell r="F464">
            <v>1</v>
          </cell>
          <cell r="G464" t="str">
            <v>OPP</v>
          </cell>
          <cell r="H464">
            <v>0.4</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t="str">
            <v>MCPP 25x875</v>
          </cell>
          <cell r="AF464">
            <v>0</v>
          </cell>
          <cell r="AG464">
            <v>4.3793750000000006E-2</v>
          </cell>
          <cell r="AH464">
            <v>1.1533333333333333</v>
          </cell>
          <cell r="AI464">
            <v>0</v>
          </cell>
          <cell r="AJ464">
            <v>9530</v>
          </cell>
          <cell r="AK464">
            <v>0</v>
          </cell>
          <cell r="AL464">
            <v>2E-3</v>
          </cell>
          <cell r="AM464" t="str">
            <v>dạng cuộn 1000m</v>
          </cell>
          <cell r="AN464">
            <v>285</v>
          </cell>
          <cell r="AO464" t="str">
            <v>Công ty CP Thực Phẩm Santa</v>
          </cell>
          <cell r="AP464" t="str">
            <v>F121418-1</v>
          </cell>
          <cell r="AQ464">
            <v>0</v>
          </cell>
          <cell r="AR464">
            <v>0</v>
          </cell>
          <cell r="AS464">
            <v>0</v>
          </cell>
          <cell r="AT464">
            <v>0</v>
          </cell>
          <cell r="AU464">
            <v>0</v>
          </cell>
          <cell r="AV464">
            <v>0</v>
          </cell>
          <cell r="AW464">
            <v>0</v>
          </cell>
          <cell r="AX464">
            <v>0</v>
          </cell>
          <cell r="AY464" t="str">
            <v>620x1100</v>
          </cell>
          <cell r="AZ464" t="str">
            <v>Q1</v>
          </cell>
          <cell r="BA464" t="str">
            <v>2c</v>
          </cell>
          <cell r="BB464" t="str">
            <v>Thùng 3 lớp 60x30x30,5 lót nilong</v>
          </cell>
          <cell r="BC464">
            <v>0</v>
          </cell>
          <cell r="BD464">
            <v>0</v>
          </cell>
        </row>
        <row r="465">
          <cell r="A465" t="str">
            <v>sp 988</v>
          </cell>
          <cell r="B465" t="str">
            <v>Cuộn bánh merry khay 90gr Santa</v>
          </cell>
          <cell r="C465">
            <v>0.81</v>
          </cell>
          <cell r="D465">
            <v>3</v>
          </cell>
          <cell r="E465" t="str">
            <v>OPP 30x910</v>
          </cell>
          <cell r="F465">
            <v>1</v>
          </cell>
          <cell r="G465" t="str">
            <v>OPP</v>
          </cell>
          <cell r="H465">
            <v>0.81</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t="str">
            <v>MCPP 25x910</v>
          </cell>
          <cell r="AF465">
            <v>0</v>
          </cell>
          <cell r="AG465">
            <v>4.5545500000000003E-2</v>
          </cell>
          <cell r="AH465">
            <v>1.2</v>
          </cell>
          <cell r="AI465">
            <v>0</v>
          </cell>
          <cell r="AJ465">
            <v>9530</v>
          </cell>
          <cell r="AK465">
            <v>0</v>
          </cell>
          <cell r="AL465">
            <v>2E-3</v>
          </cell>
          <cell r="AM465" t="str">
            <v>dạng cuộn 1000m</v>
          </cell>
          <cell r="AN465">
            <v>297</v>
          </cell>
          <cell r="AO465" t="str">
            <v>Công ty CP Thực Phẩm Santa</v>
          </cell>
          <cell r="AP465" t="str">
            <v>F121417-1</v>
          </cell>
          <cell r="AQ465">
            <v>0</v>
          </cell>
          <cell r="AR465">
            <v>0</v>
          </cell>
          <cell r="AS465">
            <v>0</v>
          </cell>
          <cell r="AT465">
            <v>0</v>
          </cell>
          <cell r="AU465">
            <v>0</v>
          </cell>
          <cell r="AV465">
            <v>0</v>
          </cell>
          <cell r="AW465">
            <v>0</v>
          </cell>
          <cell r="AX465">
            <v>0</v>
          </cell>
          <cell r="AY465" t="str">
            <v>460x1100</v>
          </cell>
          <cell r="AZ465" t="str">
            <v>Q1</v>
          </cell>
          <cell r="BA465" t="str">
            <v>2c</v>
          </cell>
          <cell r="BB465" t="str">
            <v>Thùng 3 lớp 60x30x30,5 lót nilong</v>
          </cell>
          <cell r="BC465">
            <v>0</v>
          </cell>
          <cell r="BD465">
            <v>0</v>
          </cell>
        </row>
        <row r="466">
          <cell r="A466" t="str">
            <v>sp 989</v>
          </cell>
          <cell r="B466" t="str">
            <v>Túi nem hải sản đặc biệt 500g Hạ Long</v>
          </cell>
          <cell r="C466">
            <v>7.26</v>
          </cell>
          <cell r="D466">
            <v>1</v>
          </cell>
          <cell r="E466" t="str">
            <v>OPP 20x590</v>
          </cell>
          <cell r="F466">
            <v>6</v>
          </cell>
          <cell r="G466" t="str">
            <v>OPP</v>
          </cell>
          <cell r="H466">
            <v>0.21</v>
          </cell>
          <cell r="I466">
            <v>1.06</v>
          </cell>
          <cell r="J466">
            <v>0.01</v>
          </cell>
          <cell r="K466">
            <v>0.05</v>
          </cell>
          <cell r="L466">
            <v>1.59</v>
          </cell>
          <cell r="M466">
            <v>2.54</v>
          </cell>
          <cell r="N466">
            <v>0</v>
          </cell>
          <cell r="O466">
            <v>0</v>
          </cell>
          <cell r="P466">
            <v>1.8</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t="str">
            <v>PE 40x590</v>
          </cell>
          <cell r="AF466">
            <v>0</v>
          </cell>
          <cell r="AG466">
            <v>3.2568E-2</v>
          </cell>
          <cell r="AH466">
            <v>0.8893333333333332</v>
          </cell>
          <cell r="AI466">
            <v>0</v>
          </cell>
          <cell r="AJ466">
            <v>9530</v>
          </cell>
          <cell r="AK466">
            <v>0</v>
          </cell>
          <cell r="AL466">
            <v>2.3E-3</v>
          </cell>
          <cell r="AM466" t="str">
            <v>túi ba biên</v>
          </cell>
          <cell r="AN466">
            <v>205</v>
          </cell>
          <cell r="AO466" t="str">
            <v>Công ty Hạ Long</v>
          </cell>
          <cell r="AP466" t="str">
            <v>X605472G2-1</v>
          </cell>
          <cell r="AQ466" t="str">
            <v>X605472-2</v>
          </cell>
          <cell r="AR466" t="str">
            <v>X605472-3</v>
          </cell>
          <cell r="AS466" t="str">
            <v>X605472-4</v>
          </cell>
          <cell r="AT466" t="str">
            <v>X605472-5</v>
          </cell>
          <cell r="AU466" t="str">
            <v>X605472-6</v>
          </cell>
          <cell r="AV466">
            <v>0</v>
          </cell>
          <cell r="AW466">
            <v>0</v>
          </cell>
          <cell r="AX466">
            <v>0</v>
          </cell>
          <cell r="AY466" t="str">
            <v>410x750</v>
          </cell>
          <cell r="AZ466" t="str">
            <v>Q1</v>
          </cell>
          <cell r="BA466">
            <v>5000</v>
          </cell>
          <cell r="BB466" t="str">
            <v>Thùng 5 lớp 42x34x36</v>
          </cell>
          <cell r="BC466">
            <v>0</v>
          </cell>
          <cell r="BD466" t="str">
            <v xml:space="preserve">in chung với bộ sp 961 : X605472 trừ cây đen số 1 </v>
          </cell>
        </row>
        <row r="467">
          <cell r="A467" t="str">
            <v>sp 990</v>
          </cell>
          <cell r="B467" t="str">
            <v>Cuộn merry khay 14gr</v>
          </cell>
          <cell r="C467">
            <v>0.75</v>
          </cell>
          <cell r="D467">
            <v>5</v>
          </cell>
          <cell r="E467" t="str">
            <v>OPP 20x870</v>
          </cell>
          <cell r="F467">
            <v>1</v>
          </cell>
          <cell r="G467" t="str">
            <v>OPP</v>
          </cell>
          <cell r="H467">
            <v>0.75</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t="str">
            <v>MCPP 25x870</v>
          </cell>
          <cell r="AF467">
            <v>0</v>
          </cell>
          <cell r="AG467">
            <v>3.5626499999999998E-2</v>
          </cell>
          <cell r="AH467">
            <v>1.1466666666666665</v>
          </cell>
          <cell r="AI467">
            <v>0</v>
          </cell>
          <cell r="AJ467">
            <v>9530</v>
          </cell>
          <cell r="AK467">
            <v>0</v>
          </cell>
          <cell r="AL467">
            <v>2E-3</v>
          </cell>
          <cell r="AM467" t="str">
            <v>dạng cuộn 1000m</v>
          </cell>
          <cell r="AN467">
            <v>170</v>
          </cell>
          <cell r="AO467" t="str">
            <v>Công ty CP Thực Phẩm Santa</v>
          </cell>
          <cell r="AP467" t="str">
            <v>F121592-1</v>
          </cell>
          <cell r="AQ467">
            <v>0</v>
          </cell>
          <cell r="AR467">
            <v>0</v>
          </cell>
          <cell r="AS467">
            <v>0</v>
          </cell>
          <cell r="AT467">
            <v>0</v>
          </cell>
          <cell r="AU467">
            <v>0</v>
          </cell>
          <cell r="AV467">
            <v>0</v>
          </cell>
          <cell r="AW467">
            <v>0</v>
          </cell>
          <cell r="AX467">
            <v>0</v>
          </cell>
          <cell r="AY467" t="str">
            <v>490x1100</v>
          </cell>
          <cell r="AZ467" t="str">
            <v>Q1</v>
          </cell>
          <cell r="BA467" t="str">
            <v>2c</v>
          </cell>
          <cell r="BB467" t="str">
            <v>Thùng 3 lớp 55x28x18 lót nilong</v>
          </cell>
          <cell r="BC467">
            <v>0</v>
          </cell>
          <cell r="BD467">
            <v>0</v>
          </cell>
        </row>
        <row r="468">
          <cell r="A468" t="str">
            <v>sp 991</v>
          </cell>
          <cell r="B468" t="str">
            <v>Cuộn merry khay 22gr</v>
          </cell>
          <cell r="C468">
            <v>0.49</v>
          </cell>
          <cell r="D468">
            <v>5</v>
          </cell>
          <cell r="E468" t="str">
            <v>OPP 20x955</v>
          </cell>
          <cell r="F468">
            <v>1</v>
          </cell>
          <cell r="G468" t="str">
            <v>OPP</v>
          </cell>
          <cell r="H468">
            <v>0.49</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t="str">
            <v>MCPP 25x955</v>
          </cell>
          <cell r="AF468">
            <v>0</v>
          </cell>
          <cell r="AG468">
            <v>3.9107249999999996E-2</v>
          </cell>
          <cell r="AH468">
            <v>1.2599999999999998</v>
          </cell>
          <cell r="AI468">
            <v>0</v>
          </cell>
          <cell r="AJ468">
            <v>9530</v>
          </cell>
          <cell r="AK468">
            <v>0</v>
          </cell>
          <cell r="AL468">
            <v>2E-3</v>
          </cell>
          <cell r="AM468" t="str">
            <v>dạng cuộn 1000m</v>
          </cell>
          <cell r="AN468">
            <v>187</v>
          </cell>
          <cell r="AO468" t="str">
            <v>Công ty CP Thực Phẩm Santa</v>
          </cell>
          <cell r="AP468" t="str">
            <v>F121596-1</v>
          </cell>
          <cell r="AQ468">
            <v>0</v>
          </cell>
          <cell r="AR468">
            <v>0</v>
          </cell>
          <cell r="AS468">
            <v>0</v>
          </cell>
          <cell r="AT468">
            <v>0</v>
          </cell>
          <cell r="AU468">
            <v>0</v>
          </cell>
          <cell r="AV468">
            <v>0</v>
          </cell>
          <cell r="AW468">
            <v>0</v>
          </cell>
          <cell r="AX468">
            <v>0</v>
          </cell>
          <cell r="AY468" t="str">
            <v>428x1100</v>
          </cell>
          <cell r="AZ468" t="str">
            <v>Q1</v>
          </cell>
          <cell r="BA468" t="str">
            <v>2c</v>
          </cell>
          <cell r="BB468" t="str">
            <v>Thùng 3 lớp 55x28x20 lót nilong</v>
          </cell>
          <cell r="BC468">
            <v>0</v>
          </cell>
          <cell r="BD468">
            <v>0</v>
          </cell>
        </row>
        <row r="469">
          <cell r="A469" t="str">
            <v>sp 992</v>
          </cell>
          <cell r="B469" t="str">
            <v>Cuộn merry khay 63gr</v>
          </cell>
          <cell r="C469">
            <v>0.21</v>
          </cell>
          <cell r="D469">
            <v>4</v>
          </cell>
          <cell r="E469" t="str">
            <v>OPP 20x900</v>
          </cell>
          <cell r="F469">
            <v>1</v>
          </cell>
          <cell r="G469" t="str">
            <v>OPP</v>
          </cell>
          <cell r="H469">
            <v>0.21</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t="str">
            <v>MCPP 25x900</v>
          </cell>
          <cell r="AF469">
            <v>0</v>
          </cell>
          <cell r="AG469">
            <v>3.6854999999999999E-2</v>
          </cell>
          <cell r="AH469">
            <v>1.1866666666666665</v>
          </cell>
          <cell r="AI469">
            <v>0</v>
          </cell>
          <cell r="AJ469">
            <v>9530</v>
          </cell>
          <cell r="AK469">
            <v>0</v>
          </cell>
          <cell r="AL469">
            <v>2E-3</v>
          </cell>
          <cell r="AM469" t="str">
            <v>dạng cuộn 1000m</v>
          </cell>
          <cell r="AN469">
            <v>220</v>
          </cell>
          <cell r="AO469" t="str">
            <v>Công ty CP Thực Phẩm Santa</v>
          </cell>
          <cell r="AP469" t="str">
            <v>F121597-1</v>
          </cell>
          <cell r="AQ469">
            <v>0</v>
          </cell>
          <cell r="AR469">
            <v>0</v>
          </cell>
          <cell r="AS469">
            <v>0</v>
          </cell>
          <cell r="AT469">
            <v>0</v>
          </cell>
          <cell r="AU469">
            <v>0</v>
          </cell>
          <cell r="AV469">
            <v>0</v>
          </cell>
          <cell r="AW469">
            <v>0</v>
          </cell>
          <cell r="AX469">
            <v>0</v>
          </cell>
          <cell r="AY469" t="str">
            <v>474x1100</v>
          </cell>
          <cell r="AZ469" t="str">
            <v>Q1</v>
          </cell>
          <cell r="BA469" t="str">
            <v>2c</v>
          </cell>
          <cell r="BB469" t="str">
            <v>Thùng 3 lớp 55x28x24 lót nilong</v>
          </cell>
          <cell r="BC469">
            <v>0</v>
          </cell>
          <cell r="BD469">
            <v>0</v>
          </cell>
        </row>
        <row r="470">
          <cell r="A470" t="str">
            <v>sp 993</v>
          </cell>
          <cell r="B470" t="str">
            <v>Cuộn màng nhôm Q/K PVC kingbon loại 1 Đức Thiện</v>
          </cell>
          <cell r="C470">
            <v>1.57</v>
          </cell>
          <cell r="D470">
            <v>1</v>
          </cell>
          <cell r="E470" t="str">
            <v>PE 40x1270</v>
          </cell>
          <cell r="F470">
            <v>2</v>
          </cell>
          <cell r="G470" t="str">
            <v xml:space="preserve">PE </v>
          </cell>
          <cell r="H470">
            <v>0.14000000000000001</v>
          </cell>
          <cell r="I470">
            <v>0</v>
          </cell>
          <cell r="J470">
            <v>0</v>
          </cell>
          <cell r="K470">
            <v>0</v>
          </cell>
          <cell r="L470">
            <v>0.63</v>
          </cell>
          <cell r="M470">
            <v>0</v>
          </cell>
          <cell r="N470">
            <v>0</v>
          </cell>
          <cell r="O470">
            <v>0.01</v>
          </cell>
          <cell r="P470">
            <v>0.4</v>
          </cell>
          <cell r="Q470">
            <v>0.17</v>
          </cell>
          <cell r="R470">
            <v>0.22</v>
          </cell>
          <cell r="S470">
            <v>0</v>
          </cell>
          <cell r="T470">
            <v>0</v>
          </cell>
          <cell r="U470">
            <v>0</v>
          </cell>
          <cell r="V470">
            <v>0</v>
          </cell>
          <cell r="W470">
            <v>0</v>
          </cell>
          <cell r="X470">
            <v>0</v>
          </cell>
          <cell r="Y470">
            <v>0</v>
          </cell>
          <cell r="Z470">
            <v>0</v>
          </cell>
          <cell r="AA470">
            <v>0</v>
          </cell>
          <cell r="AB470">
            <v>0</v>
          </cell>
          <cell r="AC470">
            <v>0</v>
          </cell>
          <cell r="AD470">
            <v>0</v>
          </cell>
          <cell r="AE470" t="str">
            <v>PE 25x1270</v>
          </cell>
          <cell r="AF470">
            <v>0</v>
          </cell>
          <cell r="AG470">
            <v>7.6358750000000017E-2</v>
          </cell>
          <cell r="AH470">
            <v>1.5599999999999998</v>
          </cell>
          <cell r="AI470">
            <v>0</v>
          </cell>
          <cell r="AJ470">
            <v>9530</v>
          </cell>
          <cell r="AK470">
            <v>0</v>
          </cell>
          <cell r="AL470">
            <v>2E-3</v>
          </cell>
          <cell r="AM470" t="str">
            <v>dạng cuộn 2000m</v>
          </cell>
          <cell r="AN470">
            <v>1270</v>
          </cell>
          <cell r="AO470" t="str">
            <v>Công ty Đức Thiện</v>
          </cell>
          <cell r="AP470" t="e">
            <v>#N/A</v>
          </cell>
          <cell r="AQ470" t="e">
            <v>#N/A</v>
          </cell>
          <cell r="AR470" t="e">
            <v>#N/A</v>
          </cell>
          <cell r="AS470" t="e">
            <v>#N/A</v>
          </cell>
          <cell r="AT470" t="e">
            <v>#N/A</v>
          </cell>
          <cell r="AU470" t="e">
            <v>#N/A</v>
          </cell>
          <cell r="AV470" t="e">
            <v>#N/A</v>
          </cell>
          <cell r="AW470" t="e">
            <v>#N/A</v>
          </cell>
          <cell r="AX470" t="e">
            <v>#N/A</v>
          </cell>
          <cell r="AY470" t="e">
            <v>#N/A</v>
          </cell>
          <cell r="AZ470" t="e">
            <v>#N/A</v>
          </cell>
          <cell r="BA470" t="str">
            <v>1c</v>
          </cell>
          <cell r="BB470" t="str">
            <v>giấy cartoon</v>
          </cell>
          <cell r="BC470">
            <v>0</v>
          </cell>
          <cell r="BD470" t="e">
            <v>#N/A</v>
          </cell>
        </row>
        <row r="471">
          <cell r="A471" t="str">
            <v>sp 994</v>
          </cell>
          <cell r="B471" t="str">
            <v>Cuộn màng nhôm V-PVC kingbon loại 1 Đức Thiện</v>
          </cell>
          <cell r="C471">
            <v>5.6099999999999994</v>
          </cell>
          <cell r="D471">
            <v>1</v>
          </cell>
          <cell r="E471" t="str">
            <v>PE đt 40x1270</v>
          </cell>
          <cell r="F471">
            <v>2</v>
          </cell>
          <cell r="G471" t="str">
            <v xml:space="preserve">PE </v>
          </cell>
          <cell r="H471">
            <v>0.73</v>
          </cell>
          <cell r="I471">
            <v>0</v>
          </cell>
          <cell r="J471">
            <v>3.79</v>
          </cell>
          <cell r="K471">
            <v>0</v>
          </cell>
          <cell r="L471">
            <v>0</v>
          </cell>
          <cell r="M471">
            <v>0</v>
          </cell>
          <cell r="N471">
            <v>0.73</v>
          </cell>
          <cell r="O471">
            <v>0</v>
          </cell>
          <cell r="P471">
            <v>0</v>
          </cell>
          <cell r="Q471">
            <v>0.34</v>
          </cell>
          <cell r="R471">
            <v>0.01</v>
          </cell>
          <cell r="S471">
            <v>0.01</v>
          </cell>
          <cell r="T471">
            <v>0</v>
          </cell>
          <cell r="U471">
            <v>0</v>
          </cell>
          <cell r="V471">
            <v>0</v>
          </cell>
          <cell r="W471">
            <v>0</v>
          </cell>
          <cell r="X471">
            <v>0</v>
          </cell>
          <cell r="Y471">
            <v>0</v>
          </cell>
          <cell r="Z471">
            <v>0</v>
          </cell>
          <cell r="AA471">
            <v>0</v>
          </cell>
          <cell r="AB471">
            <v>0</v>
          </cell>
          <cell r="AC471">
            <v>0</v>
          </cell>
          <cell r="AD471">
            <v>0</v>
          </cell>
          <cell r="AE471" t="str">
            <v>PE 25x1270</v>
          </cell>
          <cell r="AF471">
            <v>0</v>
          </cell>
          <cell r="AG471">
            <v>7.6358750000000017E-2</v>
          </cell>
          <cell r="AH471">
            <v>1.5599999999999998</v>
          </cell>
          <cell r="AI471">
            <v>0</v>
          </cell>
          <cell r="AJ471">
            <v>9530</v>
          </cell>
          <cell r="AK471">
            <v>0</v>
          </cell>
          <cell r="AL471">
            <v>2E-3</v>
          </cell>
          <cell r="AM471" t="str">
            <v>dạng cuộn 2000m</v>
          </cell>
          <cell r="AN471">
            <v>1270</v>
          </cell>
          <cell r="AO471" t="str">
            <v>Công ty Đức Thiện</v>
          </cell>
          <cell r="AP471" t="e">
            <v>#N/A</v>
          </cell>
          <cell r="AQ471" t="e">
            <v>#N/A</v>
          </cell>
          <cell r="AR471" t="e">
            <v>#N/A</v>
          </cell>
          <cell r="AS471" t="e">
            <v>#N/A</v>
          </cell>
          <cell r="AT471" t="e">
            <v>#N/A</v>
          </cell>
          <cell r="AU471" t="e">
            <v>#N/A</v>
          </cell>
          <cell r="AV471" t="e">
            <v>#N/A</v>
          </cell>
          <cell r="AW471" t="e">
            <v>#N/A</v>
          </cell>
          <cell r="AX471" t="e">
            <v>#N/A</v>
          </cell>
          <cell r="AY471" t="e">
            <v>#N/A</v>
          </cell>
          <cell r="AZ471" t="e">
            <v>#N/A</v>
          </cell>
          <cell r="BA471" t="str">
            <v>1c</v>
          </cell>
          <cell r="BB471" t="str">
            <v>giấy cartoon</v>
          </cell>
          <cell r="BC471">
            <v>0</v>
          </cell>
          <cell r="BD471" t="e">
            <v>#N/A</v>
          </cell>
        </row>
        <row r="472">
          <cell r="A472" t="str">
            <v>sp 995</v>
          </cell>
          <cell r="B472" t="str">
            <v>Cuộn túi lúa in chung 5kg Thái Bình</v>
          </cell>
          <cell r="C472">
            <v>2.9099999999999997</v>
          </cell>
          <cell r="D472">
            <v>1</v>
          </cell>
          <cell r="E472" t="str">
            <v>OPP 20x740</v>
          </cell>
          <cell r="F472">
            <v>7</v>
          </cell>
          <cell r="G472" t="str">
            <v>OPP</v>
          </cell>
          <cell r="H472">
            <v>0.04</v>
          </cell>
          <cell r="I472">
            <v>0.34</v>
          </cell>
          <cell r="J472">
            <v>0.44</v>
          </cell>
          <cell r="K472">
            <v>0.01</v>
          </cell>
          <cell r="L472">
            <v>2.04</v>
          </cell>
          <cell r="M472">
            <v>0</v>
          </cell>
          <cell r="N472">
            <v>0</v>
          </cell>
          <cell r="O472">
            <v>0.01</v>
          </cell>
          <cell r="P472">
            <v>0.02</v>
          </cell>
          <cell r="Q472">
            <v>0</v>
          </cell>
          <cell r="R472">
            <v>0</v>
          </cell>
          <cell r="S472">
            <v>0</v>
          </cell>
          <cell r="T472">
            <v>0.01</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t="str">
            <v>dạng cuộn 6000m</v>
          </cell>
          <cell r="AN472">
            <v>370</v>
          </cell>
          <cell r="AO472" t="str">
            <v>Công ty Thái Bình</v>
          </cell>
          <cell r="AP472" t="str">
            <v>1811585-1</v>
          </cell>
          <cell r="AQ472" t="str">
            <v>1811585-2</v>
          </cell>
          <cell r="AR472" t="str">
            <v>1811585-3</v>
          </cell>
          <cell r="AS472" t="str">
            <v>1811585-4</v>
          </cell>
          <cell r="AT472" t="str">
            <v>1811585-5</v>
          </cell>
          <cell r="AU472" t="str">
            <v>1811585-6</v>
          </cell>
          <cell r="AV472" t="str">
            <v>1811585-7</v>
          </cell>
          <cell r="AW472">
            <v>0</v>
          </cell>
          <cell r="AX472">
            <v>0</v>
          </cell>
          <cell r="AY472" t="str">
            <v>570x850</v>
          </cell>
          <cell r="AZ472" t="str">
            <v>J1</v>
          </cell>
          <cell r="BA472" t="str">
            <v>1c</v>
          </cell>
          <cell r="BB472" t="str">
            <v>giấy cartoon</v>
          </cell>
          <cell r="BC472">
            <v>0</v>
          </cell>
          <cell r="BD472">
            <v>0</v>
          </cell>
        </row>
        <row r="473">
          <cell r="A473" t="str">
            <v>sp 996</v>
          </cell>
          <cell r="B473" t="str">
            <v>Túi lúa TBR279XN1 40kg Thái Bình</v>
          </cell>
          <cell r="C473">
            <v>2.87</v>
          </cell>
          <cell r="D473">
            <v>1</v>
          </cell>
          <cell r="E473" t="str">
            <v>OPP 18x690</v>
          </cell>
          <cell r="F473">
            <v>6</v>
          </cell>
          <cell r="G473" t="str">
            <v>OPP</v>
          </cell>
          <cell r="H473">
            <v>0.18</v>
          </cell>
          <cell r="I473">
            <v>0</v>
          </cell>
          <cell r="J473">
            <v>0.44</v>
          </cell>
          <cell r="K473">
            <v>0</v>
          </cell>
          <cell r="L473">
            <v>1.5</v>
          </cell>
          <cell r="M473">
            <v>0</v>
          </cell>
          <cell r="N473">
            <v>0</v>
          </cell>
          <cell r="O473">
            <v>0.18</v>
          </cell>
          <cell r="P473">
            <v>0</v>
          </cell>
          <cell r="Q473">
            <v>0</v>
          </cell>
          <cell r="R473">
            <v>0</v>
          </cell>
          <cell r="S473">
            <v>0</v>
          </cell>
          <cell r="T473">
            <v>0.56999999999999995</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t="str">
            <v>dạng cuộn 6000m</v>
          </cell>
          <cell r="AN473">
            <v>690</v>
          </cell>
          <cell r="AO473" t="str">
            <v>Công ty Thái Bình</v>
          </cell>
          <cell r="AP473" t="str">
            <v>17101029-1</v>
          </cell>
          <cell r="AQ473" t="str">
            <v>1609242-2</v>
          </cell>
          <cell r="AR473" t="str">
            <v>17101029-3</v>
          </cell>
          <cell r="AS473" t="str">
            <v>1710745-4</v>
          </cell>
          <cell r="AT473" t="str">
            <v>1811640-5</v>
          </cell>
          <cell r="AU473" t="str">
            <v>1811640-6</v>
          </cell>
          <cell r="AV473">
            <v>0</v>
          </cell>
          <cell r="AW473">
            <v>0</v>
          </cell>
          <cell r="AX473">
            <v>0</v>
          </cell>
          <cell r="AY473" t="str">
            <v>1100x850</v>
          </cell>
          <cell r="AZ473" t="str">
            <v>K4</v>
          </cell>
          <cell r="BA473" t="str">
            <v>1c</v>
          </cell>
          <cell r="BB473" t="str">
            <v>giấy cartoon</v>
          </cell>
          <cell r="BC473">
            <v>0</v>
          </cell>
          <cell r="BD473" t="str">
            <v xml:space="preserve">in chung (1,2,3,4) với sp 634: 1609242(2);1710745(4);17101029(1,3) </v>
          </cell>
        </row>
        <row r="474">
          <cell r="A474" t="str">
            <v>sp 997</v>
          </cell>
          <cell r="B474" t="str">
            <v>Túi lúa TBR279XN1 1kg Thái Bình</v>
          </cell>
          <cell r="C474">
            <v>6.79</v>
          </cell>
          <cell r="D474">
            <v>2</v>
          </cell>
          <cell r="E474" t="str">
            <v>PET 12x900</v>
          </cell>
          <cell r="F474">
            <v>8</v>
          </cell>
          <cell r="G474" t="str">
            <v>PET</v>
          </cell>
          <cell r="H474">
            <v>0.09</v>
          </cell>
          <cell r="I474">
            <v>3.93</v>
          </cell>
          <cell r="J474">
            <v>0.08</v>
          </cell>
          <cell r="K474">
            <v>0.06</v>
          </cell>
          <cell r="L474">
            <v>1.77</v>
          </cell>
          <cell r="M474">
            <v>0.28000000000000003</v>
          </cell>
          <cell r="N474">
            <v>0</v>
          </cell>
          <cell r="O474">
            <v>0.16</v>
          </cell>
          <cell r="P474">
            <v>0.16</v>
          </cell>
          <cell r="Q474">
            <v>0.25</v>
          </cell>
          <cell r="R474">
            <v>0</v>
          </cell>
          <cell r="S474">
            <v>0</v>
          </cell>
          <cell r="T474">
            <v>0.01</v>
          </cell>
          <cell r="U474">
            <v>0</v>
          </cell>
          <cell r="V474">
            <v>0</v>
          </cell>
          <cell r="W474">
            <v>0</v>
          </cell>
          <cell r="X474">
            <v>0</v>
          </cell>
          <cell r="Y474">
            <v>0</v>
          </cell>
          <cell r="Z474">
            <v>0</v>
          </cell>
          <cell r="AA474">
            <v>0</v>
          </cell>
          <cell r="AB474">
            <v>0</v>
          </cell>
          <cell r="AC474">
            <v>0</v>
          </cell>
          <cell r="AD474">
            <v>0</v>
          </cell>
          <cell r="AE474" t="str">
            <v>PE 82x900</v>
          </cell>
          <cell r="AF474">
            <v>0</v>
          </cell>
          <cell r="AG474">
            <v>8.3385000000000001E-2</v>
          </cell>
          <cell r="AH474">
            <v>1.3646666666666665</v>
          </cell>
          <cell r="AI474">
            <v>0</v>
          </cell>
          <cell r="AJ474">
            <v>9530</v>
          </cell>
          <cell r="AK474">
            <v>0</v>
          </cell>
          <cell r="AL474">
            <v>2.3E-3</v>
          </cell>
          <cell r="AM474" t="str">
            <v>túi ba biên</v>
          </cell>
          <cell r="AN474">
            <v>310</v>
          </cell>
          <cell r="AO474" t="str">
            <v>Công ty Thái Bình</v>
          </cell>
          <cell r="AP474" t="str">
            <v>1811388-1</v>
          </cell>
          <cell r="AQ474" t="str">
            <v>1903063-2</v>
          </cell>
          <cell r="AR474" t="str">
            <v>1609240-3</v>
          </cell>
          <cell r="AS474" t="str">
            <v>1903063-4</v>
          </cell>
          <cell r="AT474" t="str">
            <v>1811388-5</v>
          </cell>
          <cell r="AU474" t="str">
            <v>1811388-6</v>
          </cell>
          <cell r="AV474" t="str">
            <v>1710724-7</v>
          </cell>
          <cell r="AW474" t="str">
            <v>1807922-8</v>
          </cell>
          <cell r="AX474">
            <v>0</v>
          </cell>
          <cell r="AY474" t="str">
            <v>620x1100</v>
          </cell>
          <cell r="AZ474" t="str">
            <v>I3</v>
          </cell>
          <cell r="BA474">
            <v>4000</v>
          </cell>
          <cell r="BB474" t="str">
            <v>bao dứa</v>
          </cell>
          <cell r="BC474">
            <v>0</v>
          </cell>
          <cell r="BD474" t="str">
            <v>in chung (2;3;4) với sp 630; (7) với sp 834</v>
          </cell>
        </row>
        <row r="475">
          <cell r="A475" t="str">
            <v>sp 998</v>
          </cell>
          <cell r="B475" t="str">
            <v>Cuộn túi bột giặt O'well 800gr</v>
          </cell>
          <cell r="C475">
            <v>0</v>
          </cell>
          <cell r="D475">
            <v>1</v>
          </cell>
          <cell r="E475" t="str">
            <v>PET 12x440</v>
          </cell>
          <cell r="F475">
            <v>7</v>
          </cell>
          <cell r="G475" t="str">
            <v>PET</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t="str">
            <v>PE 70x440</v>
          </cell>
          <cell r="AF475">
            <v>0</v>
          </cell>
          <cell r="AG475">
            <v>3.5882000000000004E-2</v>
          </cell>
          <cell r="AH475">
            <v>0.86</v>
          </cell>
          <cell r="AI475">
            <v>0</v>
          </cell>
          <cell r="AJ475">
            <v>9530</v>
          </cell>
          <cell r="AK475">
            <v>0</v>
          </cell>
          <cell r="AL475">
            <v>3.0000000000000001E-3</v>
          </cell>
          <cell r="AM475" t="str">
            <v>dạng cuộn 500m</v>
          </cell>
          <cell r="AN475">
            <v>420</v>
          </cell>
          <cell r="AO475" t="str">
            <v>Công ty bột giặt Hải Phòng</v>
          </cell>
          <cell r="AP475" t="e">
            <v>#N/A</v>
          </cell>
          <cell r="AQ475" t="e">
            <v>#N/A</v>
          </cell>
          <cell r="AR475" t="e">
            <v>#N/A</v>
          </cell>
          <cell r="AS475" t="e">
            <v>#N/A</v>
          </cell>
          <cell r="AT475" t="e">
            <v>#N/A</v>
          </cell>
          <cell r="AU475" t="e">
            <v>#N/A</v>
          </cell>
          <cell r="AV475" t="e">
            <v>#N/A</v>
          </cell>
          <cell r="AW475" t="e">
            <v>#N/A</v>
          </cell>
          <cell r="AX475" t="e">
            <v>#N/A</v>
          </cell>
          <cell r="AY475" t="e">
            <v>#N/A</v>
          </cell>
          <cell r="AZ475" t="e">
            <v>#N/A</v>
          </cell>
          <cell r="BA475" t="str">
            <v>2c</v>
          </cell>
          <cell r="BB475" t="str">
            <v>giấy cartoon</v>
          </cell>
          <cell r="BC475">
            <v>0</v>
          </cell>
          <cell r="BD475" t="e">
            <v>#N/A</v>
          </cell>
        </row>
        <row r="476">
          <cell r="A476" t="str">
            <v>sp 999</v>
          </cell>
          <cell r="B476" t="str">
            <v>Túi nem hải sản - cung đình - miền Hạ Long 350g</v>
          </cell>
          <cell r="C476">
            <v>6.58</v>
          </cell>
          <cell r="D476">
            <v>1</v>
          </cell>
          <cell r="E476" t="str">
            <v>OPP 20x590</v>
          </cell>
          <cell r="F476">
            <v>6</v>
          </cell>
          <cell r="G476" t="str">
            <v>OPP</v>
          </cell>
          <cell r="H476">
            <v>0.12</v>
          </cell>
          <cell r="I476">
            <v>3.95</v>
          </cell>
          <cell r="J476">
            <v>0.35</v>
          </cell>
          <cell r="K476">
            <v>0</v>
          </cell>
          <cell r="L476">
            <v>0.41</v>
          </cell>
          <cell r="M476">
            <v>0.35</v>
          </cell>
          <cell r="N476">
            <v>0</v>
          </cell>
          <cell r="O476">
            <v>0</v>
          </cell>
          <cell r="P476">
            <v>0.7</v>
          </cell>
          <cell r="Q476">
            <v>0.7</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t="str">
            <v>PE 40x590</v>
          </cell>
          <cell r="AF476">
            <v>0</v>
          </cell>
          <cell r="AG476">
            <v>3.2568E-2</v>
          </cell>
          <cell r="AH476">
            <v>0.8893333333333332</v>
          </cell>
          <cell r="AI476">
            <v>0</v>
          </cell>
          <cell r="AJ476">
            <v>9530</v>
          </cell>
          <cell r="AK476">
            <v>0</v>
          </cell>
          <cell r="AL476">
            <v>2.3E-3</v>
          </cell>
          <cell r="AM476" t="str">
            <v>túi ba biên</v>
          </cell>
          <cell r="AN476">
            <v>205</v>
          </cell>
          <cell r="AO476" t="str">
            <v>Công ty CP Chế Biến Thủy sản xuất khẩu Hạ Long</v>
          </cell>
          <cell r="AP476" t="str">
            <v>F417888-1</v>
          </cell>
          <cell r="AQ476" t="str">
            <v>F417888-2</v>
          </cell>
          <cell r="AR476" t="str">
            <v>F417888-3</v>
          </cell>
          <cell r="AS476" t="str">
            <v>F417888-4</v>
          </cell>
          <cell r="AT476" t="str">
            <v>F417888-5</v>
          </cell>
          <cell r="AU476" t="str">
            <v>F417888-6</v>
          </cell>
          <cell r="AV476">
            <v>0</v>
          </cell>
          <cell r="AW476">
            <v>0</v>
          </cell>
          <cell r="AX476">
            <v>0</v>
          </cell>
          <cell r="AY476" t="str">
            <v>410x750</v>
          </cell>
          <cell r="AZ476" t="str">
            <v>Q1</v>
          </cell>
          <cell r="BA476">
            <v>5000</v>
          </cell>
          <cell r="BB476" t="str">
            <v>Thùng 5 lớp 42x34x36</v>
          </cell>
          <cell r="BC476">
            <v>0</v>
          </cell>
          <cell r="BD476">
            <v>0</v>
          </cell>
        </row>
        <row r="477">
          <cell r="A477" t="str">
            <v>sp 1000</v>
          </cell>
          <cell r="B477" t="str">
            <v>Túi nem chay - cung đình - miền Hạ Long 400g</v>
          </cell>
          <cell r="C477">
            <v>6.4499999999999993</v>
          </cell>
          <cell r="D477">
            <v>1</v>
          </cell>
          <cell r="E477" t="str">
            <v>OPP 20x590</v>
          </cell>
          <cell r="F477">
            <v>6</v>
          </cell>
          <cell r="G477" t="str">
            <v>OPP</v>
          </cell>
          <cell r="H477">
            <v>0.11</v>
          </cell>
          <cell r="I477">
            <v>3.92</v>
          </cell>
          <cell r="J477">
            <v>0.34</v>
          </cell>
          <cell r="K477">
            <v>0.01</v>
          </cell>
          <cell r="L477">
            <v>0.39</v>
          </cell>
          <cell r="M477">
            <v>0.34</v>
          </cell>
          <cell r="N477">
            <v>0</v>
          </cell>
          <cell r="O477">
            <v>0</v>
          </cell>
          <cell r="P477">
            <v>0.67</v>
          </cell>
          <cell r="Q477">
            <v>0.67</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t="str">
            <v>PE 40x590</v>
          </cell>
          <cell r="AF477">
            <v>0</v>
          </cell>
          <cell r="AG477">
            <v>3.2568E-2</v>
          </cell>
          <cell r="AH477">
            <v>0.8893333333333332</v>
          </cell>
          <cell r="AI477">
            <v>0</v>
          </cell>
          <cell r="AJ477">
            <v>9530</v>
          </cell>
          <cell r="AK477">
            <v>0</v>
          </cell>
          <cell r="AL477">
            <v>2.3E-3</v>
          </cell>
          <cell r="AM477" t="str">
            <v>túi ba biên</v>
          </cell>
          <cell r="AN477">
            <v>205</v>
          </cell>
          <cell r="AO477" t="str">
            <v>Công ty CP Chế Biến Thủy sản xuất khẩu Hạ Long</v>
          </cell>
          <cell r="AP477" t="str">
            <v>F417904-1</v>
          </cell>
          <cell r="AQ477" t="str">
            <v>F417904-2</v>
          </cell>
          <cell r="AR477" t="str">
            <v>F417904-3</v>
          </cell>
          <cell r="AS477" t="str">
            <v>F417904-4</v>
          </cell>
          <cell r="AT477" t="str">
            <v>F417904-5</v>
          </cell>
          <cell r="AU477" t="str">
            <v>F417904-6</v>
          </cell>
          <cell r="AV477">
            <v>0</v>
          </cell>
          <cell r="AW477">
            <v>0</v>
          </cell>
          <cell r="AX477">
            <v>0</v>
          </cell>
          <cell r="AY477" t="str">
            <v>410x750</v>
          </cell>
          <cell r="AZ477" t="str">
            <v>Q1</v>
          </cell>
          <cell r="BA477">
            <v>5000</v>
          </cell>
          <cell r="BB477" t="str">
            <v>Thùng 5 lớp 42x34x36</v>
          </cell>
          <cell r="BC477">
            <v>0</v>
          </cell>
          <cell r="BD477">
            <v>0</v>
          </cell>
        </row>
        <row r="478">
          <cell r="A478" t="str">
            <v>sp 1001</v>
          </cell>
          <cell r="B478" t="str">
            <v>Cuộn bột giặt Đức Giang 2kg</v>
          </cell>
          <cell r="C478">
            <v>2.5070000000000001</v>
          </cell>
          <cell r="D478">
            <v>1</v>
          </cell>
          <cell r="E478" t="str">
            <v>PET 12x590</v>
          </cell>
          <cell r="F478">
            <v>6</v>
          </cell>
          <cell r="G478" t="str">
            <v>PET</v>
          </cell>
          <cell r="H478">
            <v>7.0000000000000007E-2</v>
          </cell>
          <cell r="I478">
            <v>0</v>
          </cell>
          <cell r="J478">
            <v>0.23</v>
          </cell>
          <cell r="K478">
            <v>0.12</v>
          </cell>
          <cell r="L478">
            <v>0.16</v>
          </cell>
          <cell r="M478">
            <v>0.127</v>
          </cell>
          <cell r="N478">
            <v>0</v>
          </cell>
          <cell r="O478">
            <v>0</v>
          </cell>
          <cell r="P478">
            <v>1.8</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t="str">
            <v>PE sứ 90x590</v>
          </cell>
          <cell r="AF478">
            <v>0</v>
          </cell>
          <cell r="AG478">
            <v>5.9029499999999999E-2</v>
          </cell>
          <cell r="AH478">
            <v>1.1599999999999999</v>
          </cell>
          <cell r="AI478">
            <v>0</v>
          </cell>
          <cell r="AJ478">
            <v>9530</v>
          </cell>
          <cell r="AK478">
            <v>0</v>
          </cell>
          <cell r="AL478">
            <v>3.0000000000000001E-3</v>
          </cell>
          <cell r="AM478" t="str">
            <v>dạng cuộn 1,000m</v>
          </cell>
          <cell r="AN478">
            <v>570</v>
          </cell>
          <cell r="AO478" t="str">
            <v>Công ty Cổ Phần Tập Đoàn Hóa Chất Đức Giang</v>
          </cell>
          <cell r="AP478" t="str">
            <v>F122369-1</v>
          </cell>
          <cell r="AQ478" t="str">
            <v>F122369-2</v>
          </cell>
          <cell r="AR478" t="str">
            <v>F122369G1-3</v>
          </cell>
          <cell r="AS478" t="str">
            <v>F122369-4</v>
          </cell>
          <cell r="AT478" t="str">
            <v>F122369-5</v>
          </cell>
          <cell r="AU478" t="str">
            <v>F122369-6</v>
          </cell>
          <cell r="AV478">
            <v>0</v>
          </cell>
          <cell r="AW478">
            <v>0</v>
          </cell>
          <cell r="AX478">
            <v>0</v>
          </cell>
          <cell r="AY478" t="str">
            <v>750x750</v>
          </cell>
          <cell r="AZ478" t="str">
            <v>U1</v>
          </cell>
          <cell r="BA478" t="str">
            <v>1c</v>
          </cell>
          <cell r="BB478" t="str">
            <v>giấy cartoon</v>
          </cell>
          <cell r="BC478">
            <v>0</v>
          </cell>
          <cell r="BD478">
            <v>0</v>
          </cell>
        </row>
        <row r="479">
          <cell r="A479" t="str">
            <v>sp 1002</v>
          </cell>
          <cell r="B479" t="str">
            <v xml:space="preserve">Cuộn túi bột giặt Đức Giang 2,5kg </v>
          </cell>
          <cell r="C479">
            <v>3.25</v>
          </cell>
          <cell r="D479">
            <v>1</v>
          </cell>
          <cell r="E479" t="str">
            <v>PET 12x630</v>
          </cell>
          <cell r="F479">
            <v>6</v>
          </cell>
          <cell r="G479" t="str">
            <v>PET</v>
          </cell>
          <cell r="H479">
            <v>0</v>
          </cell>
          <cell r="I479">
            <v>0</v>
          </cell>
          <cell r="J479">
            <v>0.19</v>
          </cell>
          <cell r="K479">
            <v>0.37</v>
          </cell>
          <cell r="L479">
            <v>0.69</v>
          </cell>
          <cell r="M479">
            <v>0</v>
          </cell>
          <cell r="N479">
            <v>0</v>
          </cell>
          <cell r="O479">
            <v>0</v>
          </cell>
          <cell r="P479">
            <v>1.99</v>
          </cell>
          <cell r="Q479">
            <v>0</v>
          </cell>
          <cell r="R479">
            <v>0.01</v>
          </cell>
          <cell r="S479">
            <v>0</v>
          </cell>
          <cell r="T479">
            <v>0</v>
          </cell>
          <cell r="U479">
            <v>0</v>
          </cell>
          <cell r="V479">
            <v>0</v>
          </cell>
          <cell r="W479">
            <v>0</v>
          </cell>
          <cell r="X479">
            <v>0</v>
          </cell>
          <cell r="Y479">
            <v>0</v>
          </cell>
          <cell r="Z479">
            <v>0</v>
          </cell>
          <cell r="AA479">
            <v>0</v>
          </cell>
          <cell r="AB479">
            <v>0</v>
          </cell>
          <cell r="AC479">
            <v>0</v>
          </cell>
          <cell r="AD479">
            <v>0</v>
          </cell>
          <cell r="AE479" t="str">
            <v>PE sứ 90x630</v>
          </cell>
          <cell r="AF479">
            <v>0</v>
          </cell>
          <cell r="AG479">
            <v>6.3031500000000004E-2</v>
          </cell>
          <cell r="AH479">
            <v>1.24</v>
          </cell>
          <cell r="AI479">
            <v>0</v>
          </cell>
          <cell r="AJ479">
            <v>9530</v>
          </cell>
          <cell r="AK479">
            <v>0</v>
          </cell>
          <cell r="AL479">
            <v>3.0000000000000001E-3</v>
          </cell>
          <cell r="AM479" t="str">
            <v>dạng cuộn 1,000m</v>
          </cell>
          <cell r="AN479">
            <v>610</v>
          </cell>
          <cell r="AO479" t="str">
            <v>Công ty Cổ Phần Tập Đoàn Hóa Chất Đức Giang</v>
          </cell>
          <cell r="AP479" t="str">
            <v>F122370-1</v>
          </cell>
          <cell r="AQ479" t="str">
            <v>F122370-2</v>
          </cell>
          <cell r="AR479" t="str">
            <v>F122370G1-3</v>
          </cell>
          <cell r="AS479" t="str">
            <v>F122370-4</v>
          </cell>
          <cell r="AT479" t="str">
            <v>F122370-5</v>
          </cell>
          <cell r="AU479" t="str">
            <v>F122370-6</v>
          </cell>
          <cell r="AV479">
            <v>0</v>
          </cell>
          <cell r="AW479">
            <v>0</v>
          </cell>
          <cell r="AX479">
            <v>0</v>
          </cell>
          <cell r="AY479" t="str">
            <v>780x750</v>
          </cell>
          <cell r="AZ479" t="str">
            <v>U1</v>
          </cell>
          <cell r="BA479" t="str">
            <v>1c</v>
          </cell>
          <cell r="BB479" t="str">
            <v>giấy cartoon</v>
          </cell>
          <cell r="BC479">
            <v>0</v>
          </cell>
          <cell r="BD479">
            <v>0</v>
          </cell>
        </row>
        <row r="480">
          <cell r="A480" t="str">
            <v>sp 1003</v>
          </cell>
          <cell r="B480" t="str">
            <v xml:space="preserve">Cuộn túi bột giặt Đức Giang 3kg </v>
          </cell>
          <cell r="C480">
            <v>0.79900000000000004</v>
          </cell>
          <cell r="D480">
            <v>1</v>
          </cell>
          <cell r="E480" t="str">
            <v>PA 15x670</v>
          </cell>
          <cell r="F480">
            <v>6</v>
          </cell>
          <cell r="G480" t="str">
            <v xml:space="preserve">PA </v>
          </cell>
          <cell r="H480">
            <v>0.12</v>
          </cell>
          <cell r="I480">
            <v>0</v>
          </cell>
          <cell r="J480">
            <v>0.16</v>
          </cell>
          <cell r="K480">
            <v>0.01</v>
          </cell>
          <cell r="L480">
            <v>0.11</v>
          </cell>
          <cell r="M480">
            <v>0.16900000000000001</v>
          </cell>
          <cell r="N480">
            <v>0</v>
          </cell>
          <cell r="O480">
            <v>0</v>
          </cell>
          <cell r="P480">
            <v>0.15</v>
          </cell>
          <cell r="Q480">
            <v>0</v>
          </cell>
          <cell r="R480">
            <v>0.08</v>
          </cell>
          <cell r="S480">
            <v>0</v>
          </cell>
          <cell r="T480">
            <v>0</v>
          </cell>
          <cell r="U480">
            <v>0</v>
          </cell>
          <cell r="V480">
            <v>0</v>
          </cell>
          <cell r="W480">
            <v>0</v>
          </cell>
          <cell r="X480">
            <v>0</v>
          </cell>
          <cell r="Y480">
            <v>0</v>
          </cell>
          <cell r="Z480">
            <v>0</v>
          </cell>
          <cell r="AA480">
            <v>0</v>
          </cell>
          <cell r="AB480">
            <v>0</v>
          </cell>
          <cell r="AC480">
            <v>0</v>
          </cell>
          <cell r="AD480">
            <v>0</v>
          </cell>
          <cell r="AE480" t="str">
            <v>PE sứ 90x670</v>
          </cell>
          <cell r="AF480">
            <v>0</v>
          </cell>
          <cell r="AG480">
            <v>0.10452</v>
          </cell>
          <cell r="AH480">
            <v>1.32</v>
          </cell>
          <cell r="AI480">
            <v>0</v>
          </cell>
          <cell r="AJ480">
            <v>9530</v>
          </cell>
          <cell r="AK480">
            <v>0</v>
          </cell>
          <cell r="AL480">
            <v>3.0000000000000001E-3</v>
          </cell>
          <cell r="AM480" t="str">
            <v>dạng cuộn 1,000m</v>
          </cell>
          <cell r="AN480">
            <v>650</v>
          </cell>
          <cell r="AO480" t="str">
            <v>Công ty Cổ Phần Tập Đoàn Hóa Chất Đức Giang</v>
          </cell>
          <cell r="AP480" t="str">
            <v>F122371-1</v>
          </cell>
          <cell r="AQ480" t="str">
            <v>F122371-2</v>
          </cell>
          <cell r="AR480" t="str">
            <v>F122371G1-3</v>
          </cell>
          <cell r="AS480" t="str">
            <v>F122371-4</v>
          </cell>
          <cell r="AT480" t="str">
            <v>F122371-5</v>
          </cell>
          <cell r="AU480" t="str">
            <v>F122371-6</v>
          </cell>
          <cell r="AV480">
            <v>0</v>
          </cell>
          <cell r="AW480">
            <v>0</v>
          </cell>
          <cell r="AX480">
            <v>0</v>
          </cell>
          <cell r="AY480" t="str">
            <v>422x750</v>
          </cell>
          <cell r="AZ480" t="str">
            <v>U1</v>
          </cell>
          <cell r="BA480" t="str">
            <v>1c</v>
          </cell>
          <cell r="BB480" t="str">
            <v>giấy cartoon</v>
          </cell>
          <cell r="BC480">
            <v>0</v>
          </cell>
          <cell r="BD480">
            <v>0</v>
          </cell>
        </row>
        <row r="481">
          <cell r="A481" t="str">
            <v>sp 1004</v>
          </cell>
          <cell r="B481" t="str">
            <v xml:space="preserve">Cuộn túi bột giặt Đức Giang 4,2kg </v>
          </cell>
          <cell r="C481">
            <v>4.3999999999999995</v>
          </cell>
          <cell r="D481">
            <v>1</v>
          </cell>
          <cell r="E481" t="str">
            <v>PA 15x745</v>
          </cell>
          <cell r="F481">
            <v>6</v>
          </cell>
          <cell r="G481" t="str">
            <v xml:space="preserve">PA </v>
          </cell>
          <cell r="H481">
            <v>0.14000000000000001</v>
          </cell>
          <cell r="I481">
            <v>0</v>
          </cell>
          <cell r="J481">
            <v>0.35</v>
          </cell>
          <cell r="K481">
            <v>0.15</v>
          </cell>
          <cell r="L481">
            <v>0.14000000000000001</v>
          </cell>
          <cell r="M481">
            <v>0</v>
          </cell>
          <cell r="N481">
            <v>0</v>
          </cell>
          <cell r="O481">
            <v>0</v>
          </cell>
          <cell r="P481">
            <v>3.61</v>
          </cell>
          <cell r="Q481">
            <v>0</v>
          </cell>
          <cell r="R481">
            <v>0.01</v>
          </cell>
          <cell r="S481">
            <v>0</v>
          </cell>
          <cell r="T481">
            <v>0</v>
          </cell>
          <cell r="U481">
            <v>0</v>
          </cell>
          <cell r="V481">
            <v>0</v>
          </cell>
          <cell r="W481">
            <v>0</v>
          </cell>
          <cell r="X481">
            <v>0</v>
          </cell>
          <cell r="Y481">
            <v>0</v>
          </cell>
          <cell r="Z481">
            <v>0</v>
          </cell>
          <cell r="AA481">
            <v>0</v>
          </cell>
          <cell r="AB481">
            <v>0</v>
          </cell>
          <cell r="AC481">
            <v>0</v>
          </cell>
          <cell r="AD481">
            <v>0</v>
          </cell>
          <cell r="AE481" t="str">
            <v>PE sứ 130x745</v>
          </cell>
          <cell r="AF481">
            <v>0</v>
          </cell>
          <cell r="AG481">
            <v>0.11622</v>
          </cell>
          <cell r="AH481">
            <v>1.47</v>
          </cell>
          <cell r="AI481">
            <v>0</v>
          </cell>
          <cell r="AJ481">
            <v>9530</v>
          </cell>
          <cell r="AK481">
            <v>0</v>
          </cell>
          <cell r="AL481">
            <v>3.0000000000000001E-3</v>
          </cell>
          <cell r="AM481" t="str">
            <v>dạng cuộn 800m</v>
          </cell>
          <cell r="AN481">
            <v>725</v>
          </cell>
          <cell r="AO481" t="str">
            <v>Công ty Cổ Phần Tập Đoàn Hóa Chất Đức Giang</v>
          </cell>
          <cell r="AP481" t="str">
            <v>F122372-1</v>
          </cell>
          <cell r="AQ481" t="str">
            <v>F122372-2</v>
          </cell>
          <cell r="AR481" t="str">
            <v>F122372G1-3</v>
          </cell>
          <cell r="AS481" t="str">
            <v>F122372-4</v>
          </cell>
          <cell r="AT481" t="str">
            <v>F122372-5</v>
          </cell>
          <cell r="AU481" t="str">
            <v>F122372-6</v>
          </cell>
          <cell r="AV481">
            <v>0</v>
          </cell>
          <cell r="AW481">
            <v>0</v>
          </cell>
          <cell r="AX481">
            <v>0</v>
          </cell>
          <cell r="AY481" t="str">
            <v>480x860</v>
          </cell>
          <cell r="AZ481" t="str">
            <v>U1</v>
          </cell>
          <cell r="BA481" t="str">
            <v>1c</v>
          </cell>
          <cell r="BB481" t="str">
            <v>giấy cartoon</v>
          </cell>
          <cell r="BC481">
            <v>0</v>
          </cell>
          <cell r="BD481">
            <v>0</v>
          </cell>
        </row>
        <row r="482">
          <cell r="A482" t="str">
            <v>sp 1005</v>
          </cell>
          <cell r="B482" t="str">
            <v>Túi trà chữ đỏ lá vàng in 7 màu đặc sản 10gr loại 10</v>
          </cell>
          <cell r="C482">
            <v>3.7690000000000001</v>
          </cell>
          <cell r="D482">
            <v>5</v>
          </cell>
          <cell r="E482" t="str">
            <v>PET 12x820</v>
          </cell>
          <cell r="F482">
            <v>7</v>
          </cell>
          <cell r="G482" t="str">
            <v>PET</v>
          </cell>
          <cell r="H482">
            <v>0</v>
          </cell>
          <cell r="I482">
            <v>0.79</v>
          </cell>
          <cell r="J482">
            <v>0.23</v>
          </cell>
          <cell r="K482">
            <v>0.01</v>
          </cell>
          <cell r="L482">
            <v>0.01</v>
          </cell>
          <cell r="M482">
            <v>0.45900000000000002</v>
          </cell>
          <cell r="N482">
            <v>2</v>
          </cell>
          <cell r="O482">
            <v>0.19</v>
          </cell>
          <cell r="P482">
            <v>0.08</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t="str">
            <v>MPET 12x820</v>
          </cell>
          <cell r="AF482" t="str">
            <v>PE 45x820</v>
          </cell>
          <cell r="AG482">
            <v>6.1684499999999996E-2</v>
          </cell>
          <cell r="AH482">
            <v>1.242</v>
          </cell>
          <cell r="AI482">
            <v>1.242</v>
          </cell>
          <cell r="AJ482">
            <v>9530</v>
          </cell>
          <cell r="AK482">
            <v>9530</v>
          </cell>
          <cell r="AL482" t="str">
            <v>0,0046(0,0023;0,0023)</v>
          </cell>
          <cell r="AM482" t="str">
            <v>túi hàn lưng xếp hông</v>
          </cell>
          <cell r="AN482">
            <v>115</v>
          </cell>
          <cell r="AO482" t="str">
            <v>Bùi Văn Sỹ</v>
          </cell>
          <cell r="AP482" t="str">
            <v>1902346-1</v>
          </cell>
          <cell r="AQ482" t="str">
            <v>1902346-2</v>
          </cell>
          <cell r="AR482" t="str">
            <v>1902346-3</v>
          </cell>
          <cell r="AS482" t="str">
            <v>1902346-4</v>
          </cell>
          <cell r="AT482" t="str">
            <v>1902346-5</v>
          </cell>
          <cell r="AU482" t="str">
            <v>1902346-6</v>
          </cell>
          <cell r="AV482" t="str">
            <v>1902346-7</v>
          </cell>
          <cell r="AW482">
            <v>0</v>
          </cell>
          <cell r="AX482">
            <v>0</v>
          </cell>
          <cell r="AY482" t="str">
            <v>460x860</v>
          </cell>
          <cell r="AZ482" t="str">
            <v>F4</v>
          </cell>
          <cell r="BA482">
            <v>15000</v>
          </cell>
          <cell r="BB482" t="str">
            <v>Thùng 5 lớp 42x34x36</v>
          </cell>
          <cell r="BC482">
            <v>0</v>
          </cell>
          <cell r="BD482">
            <v>0</v>
          </cell>
        </row>
        <row r="483">
          <cell r="A483" t="str">
            <v>sp 1006</v>
          </cell>
          <cell r="B483" t="str">
            <v>Túi trà chữ đỏ thượng hạng tân cương và đặc sản 100g loại 15</v>
          </cell>
          <cell r="C483">
            <v>6.7029999999999994</v>
          </cell>
          <cell r="D483">
            <v>3</v>
          </cell>
          <cell r="E483" t="str">
            <v>PET 12x740</v>
          </cell>
          <cell r="F483">
            <v>7</v>
          </cell>
          <cell r="G483" t="str">
            <v>PET</v>
          </cell>
          <cell r="H483">
            <v>0.1</v>
          </cell>
          <cell r="I483">
            <v>2.0099999999999998</v>
          </cell>
          <cell r="J483">
            <v>0.43</v>
          </cell>
          <cell r="K483">
            <v>0.64</v>
          </cell>
          <cell r="L483">
            <v>2.84</v>
          </cell>
          <cell r="M483">
            <v>0.67300000000000004</v>
          </cell>
          <cell r="N483">
            <v>0</v>
          </cell>
          <cell r="O483">
            <v>0</v>
          </cell>
          <cell r="P483">
            <v>0.01</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t="str">
            <v>MPET 12x740</v>
          </cell>
          <cell r="AF483" t="str">
            <v>PE 75x740</v>
          </cell>
          <cell r="AG483">
            <v>7.6201500000000005E-2</v>
          </cell>
          <cell r="AH483">
            <v>1.1193333333333333</v>
          </cell>
          <cell r="AI483">
            <v>1.46</v>
          </cell>
          <cell r="AJ483">
            <v>9530</v>
          </cell>
          <cell r="AK483">
            <v>9530</v>
          </cell>
          <cell r="AL483" t="str">
            <v>0,0053(0,0023;0,003)</v>
          </cell>
          <cell r="AM483" t="str">
            <v>túi hàn lưng xếp hông</v>
          </cell>
          <cell r="AN483">
            <v>270</v>
          </cell>
          <cell r="AO483" t="str">
            <v>Bùi Văn Sỹ</v>
          </cell>
          <cell r="AP483" t="str">
            <v>20110752-1</v>
          </cell>
          <cell r="AQ483" t="str">
            <v>17041138-2</v>
          </cell>
          <cell r="AR483" t="str">
            <v>17041138-3</v>
          </cell>
          <cell r="AS483" t="str">
            <v>17041138-4</v>
          </cell>
          <cell r="AT483" t="str">
            <v>17041138-5</v>
          </cell>
          <cell r="AU483" t="str">
            <v>17041138-6</v>
          </cell>
          <cell r="AV483" t="str">
            <v>17041138-7</v>
          </cell>
          <cell r="AW483">
            <v>0</v>
          </cell>
          <cell r="AX483">
            <v>0</v>
          </cell>
          <cell r="AY483" t="str">
            <v>540x850</v>
          </cell>
          <cell r="AZ483" t="str">
            <v>F4</v>
          </cell>
          <cell r="BA483">
            <v>3500</v>
          </cell>
          <cell r="BB483" t="str">
            <v>Thùng 5 lớp 42x34x36</v>
          </cell>
          <cell r="BC483">
            <v>0</v>
          </cell>
          <cell r="BD483">
            <v>0</v>
          </cell>
        </row>
        <row r="484">
          <cell r="A484" t="str">
            <v>sp 1007</v>
          </cell>
          <cell r="B484" t="str">
            <v>Túi trà chữ đỏ búp xanh tân cương và đặc sản 100g loại 16</v>
          </cell>
          <cell r="C484">
            <v>5.6099999999999994</v>
          </cell>
          <cell r="D484">
            <v>3</v>
          </cell>
          <cell r="E484" t="str">
            <v>PET 12x740</v>
          </cell>
          <cell r="F484">
            <v>7</v>
          </cell>
          <cell r="G484" t="str">
            <v>PET</v>
          </cell>
          <cell r="H484">
            <v>0</v>
          </cell>
          <cell r="I484">
            <v>1.64</v>
          </cell>
          <cell r="J484">
            <v>0.44</v>
          </cell>
          <cell r="K484">
            <v>0.44</v>
          </cell>
          <cell r="L484">
            <v>0</v>
          </cell>
          <cell r="M484">
            <v>0</v>
          </cell>
          <cell r="N484">
            <v>2.78</v>
          </cell>
          <cell r="O484">
            <v>0.06</v>
          </cell>
          <cell r="P484">
            <v>0.25</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t="str">
            <v>MPET 12x740</v>
          </cell>
          <cell r="AF484" t="str">
            <v>PE 75x740</v>
          </cell>
          <cell r="AG484">
            <v>7.6201500000000005E-2</v>
          </cell>
          <cell r="AH484">
            <v>1.1193333333333333</v>
          </cell>
          <cell r="AI484">
            <v>1.46</v>
          </cell>
          <cell r="AJ484">
            <v>9530</v>
          </cell>
          <cell r="AK484">
            <v>9530</v>
          </cell>
          <cell r="AL484" t="str">
            <v>0,0053(0,0023;0,003)</v>
          </cell>
          <cell r="AM484" t="str">
            <v>túi hàn lưng xếp hông</v>
          </cell>
          <cell r="AN484">
            <v>270</v>
          </cell>
          <cell r="AO484" t="str">
            <v>Bùi Văn Sỹ</v>
          </cell>
          <cell r="AP484" t="str">
            <v>F416317-1</v>
          </cell>
          <cell r="AQ484" t="str">
            <v>F416317-2</v>
          </cell>
          <cell r="AR484" t="str">
            <v>F416317-3</v>
          </cell>
          <cell r="AS484" t="str">
            <v>F416317-4</v>
          </cell>
          <cell r="AT484" t="str">
            <v>F416317-5</v>
          </cell>
          <cell r="AU484">
            <v>0</v>
          </cell>
          <cell r="AV484">
            <v>0</v>
          </cell>
          <cell r="AW484">
            <v>0</v>
          </cell>
          <cell r="AX484">
            <v>0</v>
          </cell>
          <cell r="AY484" t="str">
            <v>540x840</v>
          </cell>
          <cell r="AZ484" t="str">
            <v>G1</v>
          </cell>
          <cell r="BA484">
            <v>3500</v>
          </cell>
          <cell r="BB484" t="str">
            <v>Thùng 5 lớp 42x34x36</v>
          </cell>
          <cell r="BC484">
            <v>0</v>
          </cell>
          <cell r="BD484">
            <v>0</v>
          </cell>
        </row>
        <row r="485">
          <cell r="A485" t="str">
            <v>sp 1008</v>
          </cell>
          <cell r="B485" t="str">
            <v>Túi trà ấm nghiêng tân cương và đặc sản 100g loại 17</v>
          </cell>
          <cell r="C485">
            <v>8.3659999999999997</v>
          </cell>
          <cell r="D485">
            <v>3</v>
          </cell>
          <cell r="E485" t="str">
            <v>PET12x740</v>
          </cell>
          <cell r="F485">
            <v>7</v>
          </cell>
          <cell r="G485" t="str">
            <v>PET</v>
          </cell>
          <cell r="H485">
            <v>0.06</v>
          </cell>
          <cell r="I485">
            <v>1.57</v>
          </cell>
          <cell r="J485">
            <v>0.48</v>
          </cell>
          <cell r="K485">
            <v>0.45</v>
          </cell>
          <cell r="L485">
            <v>2.17</v>
          </cell>
          <cell r="M485">
            <v>1.026</v>
          </cell>
          <cell r="N485">
            <v>2.6</v>
          </cell>
          <cell r="O485">
            <v>0.01</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t="str">
            <v>MPET 12x740</v>
          </cell>
          <cell r="AF485" t="str">
            <v>PE 75x740</v>
          </cell>
          <cell r="AG485">
            <v>7.6201500000000005E-2</v>
          </cell>
          <cell r="AH485">
            <v>1.1193333333333333</v>
          </cell>
          <cell r="AI485">
            <v>1.46</v>
          </cell>
          <cell r="AJ485">
            <v>9530</v>
          </cell>
          <cell r="AK485">
            <v>9530</v>
          </cell>
          <cell r="AL485" t="str">
            <v>0,0053(0,0023;0,003)</v>
          </cell>
          <cell r="AM485" t="str">
            <v>túi hàn lưng xếp hông</v>
          </cell>
          <cell r="AN485">
            <v>270</v>
          </cell>
          <cell r="AO485" t="str">
            <v>Bùi Văn Sỹ</v>
          </cell>
          <cell r="AP485" t="str">
            <v>F416431-1</v>
          </cell>
          <cell r="AQ485" t="str">
            <v>F416431-2</v>
          </cell>
          <cell r="AR485" t="str">
            <v>F416431-3</v>
          </cell>
          <cell r="AS485" t="str">
            <v>F416431-4</v>
          </cell>
          <cell r="AT485" t="str">
            <v>F416431-5</v>
          </cell>
          <cell r="AU485" t="str">
            <v>F416431-6</v>
          </cell>
          <cell r="AV485" t="str">
            <v>F416431-7</v>
          </cell>
          <cell r="AW485">
            <v>0</v>
          </cell>
          <cell r="AX485">
            <v>0</v>
          </cell>
          <cell r="AY485" t="str">
            <v>540x840</v>
          </cell>
          <cell r="AZ485" t="str">
            <v>G1</v>
          </cell>
          <cell r="BA485">
            <v>3500</v>
          </cell>
          <cell r="BB485" t="str">
            <v>Thùng 5 lớp 42x34x36</v>
          </cell>
          <cell r="BC485">
            <v>0</v>
          </cell>
          <cell r="BD485">
            <v>0</v>
          </cell>
        </row>
        <row r="486">
          <cell r="A486" t="str">
            <v>sp 1009</v>
          </cell>
          <cell r="B486" t="str">
            <v>Cuộn bột giặt Kwash 3 kg</v>
          </cell>
          <cell r="C486">
            <v>3.77</v>
          </cell>
          <cell r="D486">
            <v>1</v>
          </cell>
          <cell r="E486" t="str">
            <v>PA 15x670</v>
          </cell>
          <cell r="F486">
            <v>6</v>
          </cell>
          <cell r="G486" t="str">
            <v xml:space="preserve">PA </v>
          </cell>
          <cell r="H486">
            <v>0.25</v>
          </cell>
          <cell r="I486">
            <v>0</v>
          </cell>
          <cell r="J486">
            <v>0.18</v>
          </cell>
          <cell r="K486">
            <v>0.05</v>
          </cell>
          <cell r="L486">
            <v>0.13</v>
          </cell>
          <cell r="M486">
            <v>0</v>
          </cell>
          <cell r="N486">
            <v>0</v>
          </cell>
          <cell r="O486">
            <v>0</v>
          </cell>
          <cell r="P486">
            <v>2.98</v>
          </cell>
          <cell r="Q486">
            <v>0</v>
          </cell>
          <cell r="R486">
            <v>0.18</v>
          </cell>
          <cell r="S486">
            <v>0</v>
          </cell>
          <cell r="T486">
            <v>0</v>
          </cell>
          <cell r="U486">
            <v>0</v>
          </cell>
          <cell r="V486">
            <v>0</v>
          </cell>
          <cell r="W486">
            <v>0</v>
          </cell>
          <cell r="X486">
            <v>0</v>
          </cell>
          <cell r="Y486">
            <v>0</v>
          </cell>
          <cell r="Z486">
            <v>0</v>
          </cell>
          <cell r="AA486">
            <v>0</v>
          </cell>
          <cell r="AB486">
            <v>0</v>
          </cell>
          <cell r="AC486">
            <v>0</v>
          </cell>
          <cell r="AD486">
            <v>0</v>
          </cell>
          <cell r="AE486" t="str">
            <v>PE sứ 90x670</v>
          </cell>
          <cell r="AF486">
            <v>0</v>
          </cell>
          <cell r="AG486">
            <v>6.7335000000000006E-2</v>
          </cell>
          <cell r="AH486">
            <v>1.32</v>
          </cell>
          <cell r="AI486">
            <v>0</v>
          </cell>
          <cell r="AJ486">
            <v>9530</v>
          </cell>
          <cell r="AK486">
            <v>0</v>
          </cell>
          <cell r="AL486">
            <v>3.0000000000000001E-3</v>
          </cell>
          <cell r="AM486" t="str">
            <v>dạng cuộn 1000m</v>
          </cell>
          <cell r="AN486">
            <v>650</v>
          </cell>
          <cell r="AO486" t="str">
            <v>Công ty TNHH K-WASH Việt Nam</v>
          </cell>
          <cell r="AP486" t="str">
            <v>F122380-1</v>
          </cell>
          <cell r="AQ486" t="str">
            <v>F122380-2</v>
          </cell>
          <cell r="AR486" t="str">
            <v>F122380-3</v>
          </cell>
          <cell r="AS486" t="str">
            <v>F122380-4</v>
          </cell>
          <cell r="AT486" t="str">
            <v>F122380-5</v>
          </cell>
          <cell r="AU486" t="str">
            <v>F122380-6</v>
          </cell>
          <cell r="AV486">
            <v>0</v>
          </cell>
          <cell r="AW486">
            <v>0</v>
          </cell>
          <cell r="AX486">
            <v>0</v>
          </cell>
          <cell r="AY486" t="str">
            <v>432x750</v>
          </cell>
          <cell r="AZ486" t="str">
            <v>Q1</v>
          </cell>
          <cell r="BA486" t="str">
            <v>1c</v>
          </cell>
          <cell r="BB486" t="str">
            <v>giấy cartoon</v>
          </cell>
          <cell r="BC486">
            <v>0</v>
          </cell>
          <cell r="BD486">
            <v>0</v>
          </cell>
        </row>
        <row r="487">
          <cell r="A487" t="str">
            <v>sp 1010</v>
          </cell>
          <cell r="B487" t="str">
            <v>Túi trà ấm cây tân cương 100g loại 18</v>
          </cell>
          <cell r="C487">
            <v>6.6909999999999998</v>
          </cell>
          <cell r="D487">
            <v>3</v>
          </cell>
          <cell r="E487" t="str">
            <v>PET 12x740</v>
          </cell>
          <cell r="F487">
            <v>6</v>
          </cell>
          <cell r="G487" t="str">
            <v>PET</v>
          </cell>
          <cell r="H487">
            <v>0.03</v>
          </cell>
          <cell r="I487">
            <v>2.44</v>
          </cell>
          <cell r="J487">
            <v>0.71</v>
          </cell>
          <cell r="K487">
            <v>0.06</v>
          </cell>
          <cell r="L487">
            <v>1</v>
          </cell>
          <cell r="M487">
            <v>0.80100000000000005</v>
          </cell>
          <cell r="N487">
            <v>1.47</v>
          </cell>
          <cell r="O487">
            <v>0.18</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t="str">
            <v>MPET 12x740</v>
          </cell>
          <cell r="AF487" t="str">
            <v>PE 75x740</v>
          </cell>
          <cell r="AG487">
            <v>7.6201500000000005E-2</v>
          </cell>
          <cell r="AH487">
            <v>1.1193333333333333</v>
          </cell>
          <cell r="AI487">
            <v>1.46</v>
          </cell>
          <cell r="AJ487">
            <v>9530</v>
          </cell>
          <cell r="AK487">
            <v>9530</v>
          </cell>
          <cell r="AL487" t="str">
            <v>0,0053(0,0023;0,003)</v>
          </cell>
          <cell r="AM487" t="str">
            <v>túi hàn lưng xếp hông</v>
          </cell>
          <cell r="AN487">
            <v>270</v>
          </cell>
          <cell r="AO487" t="str">
            <v>Bùi Văn Sỹ</v>
          </cell>
          <cell r="AP487" t="str">
            <v>1903135-1</v>
          </cell>
          <cell r="AQ487" t="str">
            <v>1903135-2</v>
          </cell>
          <cell r="AR487" t="str">
            <v>1903135-3</v>
          </cell>
          <cell r="AS487" t="str">
            <v>1903135-4</v>
          </cell>
          <cell r="AT487" t="str">
            <v>1903135-5</v>
          </cell>
          <cell r="AU487" t="str">
            <v>1903135-6</v>
          </cell>
          <cell r="AV487">
            <v>0</v>
          </cell>
          <cell r="AW487">
            <v>0</v>
          </cell>
          <cell r="AX487">
            <v>0</v>
          </cell>
          <cell r="AY487" t="str">
            <v>540x850</v>
          </cell>
          <cell r="AZ487" t="str">
            <v>G1</v>
          </cell>
          <cell r="BA487">
            <v>3500</v>
          </cell>
          <cell r="BB487" t="str">
            <v>Thùng 5 lớp 42x34x33</v>
          </cell>
          <cell r="BC487">
            <v>0</v>
          </cell>
          <cell r="BD487">
            <v>0</v>
          </cell>
        </row>
        <row r="488">
          <cell r="A488" t="str">
            <v>sp 1011</v>
          </cell>
          <cell r="B488" t="str">
            <v>Túi trà ấm cây đặc sản 100g loại 18</v>
          </cell>
          <cell r="C488">
            <v>6.64</v>
          </cell>
          <cell r="D488">
            <v>3</v>
          </cell>
          <cell r="E488" t="str">
            <v>PET 12x740</v>
          </cell>
          <cell r="F488">
            <v>6</v>
          </cell>
          <cell r="G488" t="str">
            <v>PET</v>
          </cell>
          <cell r="H488">
            <v>0.03</v>
          </cell>
          <cell r="I488">
            <v>2.42</v>
          </cell>
          <cell r="J488">
            <v>0.7</v>
          </cell>
          <cell r="K488">
            <v>0.06</v>
          </cell>
          <cell r="L488">
            <v>1.02</v>
          </cell>
          <cell r="M488">
            <v>0.78</v>
          </cell>
          <cell r="N488">
            <v>1.46</v>
          </cell>
          <cell r="O488">
            <v>0.17</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t="str">
            <v>MPET 12x740</v>
          </cell>
          <cell r="AF488" t="str">
            <v>PE 75x740</v>
          </cell>
          <cell r="AG488">
            <v>7.6201500000000005E-2</v>
          </cell>
          <cell r="AH488">
            <v>1.1193333333333333</v>
          </cell>
          <cell r="AI488">
            <v>1.46</v>
          </cell>
          <cell r="AJ488">
            <v>9530</v>
          </cell>
          <cell r="AK488">
            <v>9530</v>
          </cell>
          <cell r="AL488" t="str">
            <v>0,0053(0,0023;0,003)</v>
          </cell>
          <cell r="AM488" t="str">
            <v>túi hàn lưng xếp hông</v>
          </cell>
          <cell r="AN488">
            <v>270</v>
          </cell>
          <cell r="AO488" t="str">
            <v>Bùi Văn Sỹ</v>
          </cell>
          <cell r="AP488" t="str">
            <v>1903136-1</v>
          </cell>
          <cell r="AQ488" t="str">
            <v>1903135-2</v>
          </cell>
          <cell r="AR488" t="str">
            <v>1903135-3</v>
          </cell>
          <cell r="AS488" t="str">
            <v>1903135-4</v>
          </cell>
          <cell r="AT488" t="str">
            <v>1903136-5</v>
          </cell>
          <cell r="AU488" t="str">
            <v>1903136-6</v>
          </cell>
          <cell r="AV488">
            <v>0</v>
          </cell>
          <cell r="AW488">
            <v>0</v>
          </cell>
          <cell r="AX488">
            <v>0</v>
          </cell>
          <cell r="AY488" t="str">
            <v>540x850</v>
          </cell>
          <cell r="AZ488" t="str">
            <v>G1</v>
          </cell>
          <cell r="BA488">
            <v>3500</v>
          </cell>
          <cell r="BB488" t="str">
            <v>Thùng 5 lớp 42x34x33</v>
          </cell>
          <cell r="BC488">
            <v>0</v>
          </cell>
          <cell r="BD488" t="str">
            <v>in chung cây 2,3,4 với sp 1010</v>
          </cell>
        </row>
        <row r="489">
          <cell r="A489" t="str">
            <v>sp 1012</v>
          </cell>
          <cell r="B489" t="str">
            <v>Túi trà ấm cây tân cương 200g loại 18</v>
          </cell>
          <cell r="C489">
            <v>9.0299999999999994</v>
          </cell>
          <cell r="D489">
            <v>2</v>
          </cell>
          <cell r="E489" t="str">
            <v>PET 12x620</v>
          </cell>
          <cell r="F489">
            <v>6</v>
          </cell>
          <cell r="G489" t="str">
            <v>PET</v>
          </cell>
          <cell r="H489">
            <v>0.41</v>
          </cell>
          <cell r="I489">
            <v>1.92</v>
          </cell>
          <cell r="J489">
            <v>0</v>
          </cell>
          <cell r="K489">
            <v>0.68</v>
          </cell>
          <cell r="L489">
            <v>0.82</v>
          </cell>
          <cell r="M489">
            <v>1.01</v>
          </cell>
          <cell r="N489">
            <v>3.78</v>
          </cell>
          <cell r="O489">
            <v>0.41</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t="str">
            <v>MPET 12x620</v>
          </cell>
          <cell r="AF489" t="str">
            <v>PE 75x620</v>
          </cell>
          <cell r="AG489">
            <v>6.3844500000000012E-2</v>
          </cell>
          <cell r="AH489">
            <v>0.93533333333333324</v>
          </cell>
          <cell r="AI489">
            <v>1.22</v>
          </cell>
          <cell r="AJ489">
            <v>9530</v>
          </cell>
          <cell r="AK489">
            <v>9530</v>
          </cell>
          <cell r="AL489" t="str">
            <v>0,0053(0,0023;0,003)</v>
          </cell>
          <cell r="AM489" t="str">
            <v>túi hàn lưng xếp hông</v>
          </cell>
          <cell r="AN489">
            <v>340</v>
          </cell>
          <cell r="AO489" t="str">
            <v>Bùi Văn Sỹ</v>
          </cell>
          <cell r="AP489" t="str">
            <v>1903137-1</v>
          </cell>
          <cell r="AQ489" t="str">
            <v>1903137-2</v>
          </cell>
          <cell r="AR489" t="str">
            <v>1903137-3</v>
          </cell>
          <cell r="AS489" t="str">
            <v>1903137-4</v>
          </cell>
          <cell r="AT489" t="str">
            <v>1903137-5</v>
          </cell>
          <cell r="AU489" t="str">
            <v>1903137-6</v>
          </cell>
          <cell r="AV489">
            <v>0</v>
          </cell>
          <cell r="AW489">
            <v>0</v>
          </cell>
          <cell r="AX489">
            <v>0</v>
          </cell>
          <cell r="AY489" t="str">
            <v>680x860</v>
          </cell>
          <cell r="AZ489" t="str">
            <v>G1</v>
          </cell>
          <cell r="BA489">
            <v>2500</v>
          </cell>
          <cell r="BB489" t="str">
            <v>Thùng 5 lớp 42x34x33</v>
          </cell>
          <cell r="BC489">
            <v>0</v>
          </cell>
          <cell r="BD489">
            <v>0</v>
          </cell>
        </row>
        <row r="490">
          <cell r="A490" t="str">
            <v>sp 1013</v>
          </cell>
          <cell r="B490" t="str">
            <v>Túi trà ấm cây đặc sản 200g loại 18</v>
          </cell>
          <cell r="C490">
            <v>5.6120000000000001</v>
          </cell>
          <cell r="D490">
            <v>2</v>
          </cell>
          <cell r="E490" t="str">
            <v>PET 12x620</v>
          </cell>
          <cell r="F490">
            <v>6</v>
          </cell>
          <cell r="G490" t="str">
            <v>PET</v>
          </cell>
          <cell r="H490">
            <v>0</v>
          </cell>
          <cell r="I490">
            <v>2.09</v>
          </cell>
          <cell r="J490">
            <v>0.19</v>
          </cell>
          <cell r="K490">
            <v>0.19</v>
          </cell>
          <cell r="L490">
            <v>0.95</v>
          </cell>
          <cell r="M490">
            <v>0.95199999999999996</v>
          </cell>
          <cell r="N490">
            <v>0.95</v>
          </cell>
          <cell r="O490">
            <v>0.28999999999999998</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t="str">
            <v>MPET 12x620</v>
          </cell>
          <cell r="AF490" t="str">
            <v>PE 75x620</v>
          </cell>
          <cell r="AG490">
            <v>6.3844500000000012E-2</v>
          </cell>
          <cell r="AH490">
            <v>0.93533333333333324</v>
          </cell>
          <cell r="AI490">
            <v>1.22</v>
          </cell>
          <cell r="AJ490">
            <v>9530</v>
          </cell>
          <cell r="AK490">
            <v>9530</v>
          </cell>
          <cell r="AL490" t="str">
            <v>0,0053(0,0023;0,003)</v>
          </cell>
          <cell r="AM490" t="str">
            <v>túi hàn lưng xếp hông</v>
          </cell>
          <cell r="AN490">
            <v>340</v>
          </cell>
          <cell r="AO490" t="str">
            <v>Bùi Văn Sỹ</v>
          </cell>
          <cell r="AP490" t="str">
            <v>1903138-1</v>
          </cell>
          <cell r="AQ490" t="str">
            <v>1903137-2</v>
          </cell>
          <cell r="AR490" t="str">
            <v>1903137-3</v>
          </cell>
          <cell r="AS490" t="str">
            <v>1903137-4</v>
          </cell>
          <cell r="AT490" t="str">
            <v>1903138-5</v>
          </cell>
          <cell r="AU490" t="str">
            <v>1903138-6</v>
          </cell>
          <cell r="AV490">
            <v>0</v>
          </cell>
          <cell r="AW490">
            <v>0</v>
          </cell>
          <cell r="AX490">
            <v>0</v>
          </cell>
          <cell r="AY490" t="str">
            <v>680x860</v>
          </cell>
          <cell r="AZ490" t="str">
            <v>G1</v>
          </cell>
          <cell r="BA490">
            <v>2500</v>
          </cell>
          <cell r="BB490" t="str">
            <v>Thùng 5 lớp 42x34x33</v>
          </cell>
          <cell r="BC490">
            <v>0</v>
          </cell>
          <cell r="BD490" t="str">
            <v>in chung cây 2,3,4 với sp 1012</v>
          </cell>
        </row>
        <row r="491">
          <cell r="A491" t="str">
            <v>sp 1014</v>
          </cell>
          <cell r="B491" t="str">
            <v>Túi trà ấm cây tân cương 500g loại 18</v>
          </cell>
          <cell r="C491">
            <v>7.21</v>
          </cell>
          <cell r="D491">
            <v>2</v>
          </cell>
          <cell r="E491" t="str">
            <v>PET 12x760</v>
          </cell>
          <cell r="F491">
            <v>6</v>
          </cell>
          <cell r="G491" t="str">
            <v>PET</v>
          </cell>
          <cell r="H491">
            <v>0</v>
          </cell>
          <cell r="I491">
            <v>3.11</v>
          </cell>
          <cell r="J491">
            <v>0.66</v>
          </cell>
          <cell r="K491">
            <v>0.56000000000000005</v>
          </cell>
          <cell r="L491">
            <v>0.7</v>
          </cell>
          <cell r="M491">
            <v>0.59</v>
          </cell>
          <cell r="N491">
            <v>1.39</v>
          </cell>
          <cell r="O491">
            <v>0.2</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t="str">
            <v>MPET 12x760</v>
          </cell>
          <cell r="AF491" t="str">
            <v>PE 80x760</v>
          </cell>
          <cell r="AG491">
            <v>8.1776000000000001E-2</v>
          </cell>
          <cell r="AH491">
            <v>1.1499999999999999</v>
          </cell>
          <cell r="AI491">
            <v>1.5</v>
          </cell>
          <cell r="AJ491">
            <v>9530</v>
          </cell>
          <cell r="AK491">
            <v>9530</v>
          </cell>
          <cell r="AL491" t="str">
            <v>0,0053(0,0023;0,003)</v>
          </cell>
          <cell r="AM491" t="str">
            <v>túi hàn lưng xếp hông</v>
          </cell>
          <cell r="AN491">
            <v>420</v>
          </cell>
          <cell r="AO491" t="str">
            <v>Bùi Văn Sỹ</v>
          </cell>
          <cell r="AP491" t="str">
            <v>1903139-1</v>
          </cell>
          <cell r="AQ491" t="str">
            <v>1903139-2</v>
          </cell>
          <cell r="AR491" t="str">
            <v>1903139-3</v>
          </cell>
          <cell r="AS491" t="str">
            <v>1903139-4</v>
          </cell>
          <cell r="AT491" t="str">
            <v>1903139-5</v>
          </cell>
          <cell r="AU491" t="str">
            <v>1903139-6</v>
          </cell>
          <cell r="AV491">
            <v>0</v>
          </cell>
          <cell r="AW491">
            <v>0</v>
          </cell>
          <cell r="AX491">
            <v>0</v>
          </cell>
          <cell r="AY491" t="str">
            <v>420x860</v>
          </cell>
          <cell r="AZ491" t="str">
            <v>G1</v>
          </cell>
          <cell r="BA491">
            <v>1500</v>
          </cell>
          <cell r="BB491" t="str">
            <v>Thùng 5 lớp 42x34x33</v>
          </cell>
          <cell r="BC491">
            <v>0</v>
          </cell>
          <cell r="BD491">
            <v>0</v>
          </cell>
        </row>
        <row r="492">
          <cell r="A492" t="str">
            <v>sp 1015</v>
          </cell>
          <cell r="B492" t="str">
            <v>Túi trà ấm cây đặc sản 500g loại 18</v>
          </cell>
          <cell r="C492">
            <v>7.6840000000000002</v>
          </cell>
          <cell r="D492">
            <v>2</v>
          </cell>
          <cell r="E492" t="str">
            <v>PET 12x760</v>
          </cell>
          <cell r="F492">
            <v>6</v>
          </cell>
          <cell r="G492" t="str">
            <v>PET</v>
          </cell>
          <cell r="H492">
            <v>0</v>
          </cell>
          <cell r="I492">
            <v>2.46</v>
          </cell>
          <cell r="J492">
            <v>0.54</v>
          </cell>
          <cell r="K492">
            <v>0.31</v>
          </cell>
          <cell r="L492">
            <v>1.69</v>
          </cell>
          <cell r="M492">
            <v>0.61399999999999999</v>
          </cell>
          <cell r="N492">
            <v>1.92</v>
          </cell>
          <cell r="O492">
            <v>0.15</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t="str">
            <v>MPET 12x760</v>
          </cell>
          <cell r="AF492" t="str">
            <v>PE 80x760</v>
          </cell>
          <cell r="AG492">
            <v>8.1776000000000001E-2</v>
          </cell>
          <cell r="AH492">
            <v>1.1499999999999999</v>
          </cell>
          <cell r="AI492">
            <v>1.5</v>
          </cell>
          <cell r="AJ492">
            <v>9530</v>
          </cell>
          <cell r="AK492">
            <v>9530</v>
          </cell>
          <cell r="AL492" t="str">
            <v>0,0053(0,0023;0,003)</v>
          </cell>
          <cell r="AM492" t="str">
            <v>túi hàn lưng xếp hông</v>
          </cell>
          <cell r="AN492">
            <v>420</v>
          </cell>
          <cell r="AO492" t="str">
            <v>Bùi Văn Sỹ</v>
          </cell>
          <cell r="AP492" t="str">
            <v>1903140-1</v>
          </cell>
          <cell r="AQ492" t="str">
            <v>1903139-2</v>
          </cell>
          <cell r="AR492" t="str">
            <v>1903139-3</v>
          </cell>
          <cell r="AS492" t="str">
            <v>1903139-4</v>
          </cell>
          <cell r="AT492" t="str">
            <v>1903140-5</v>
          </cell>
          <cell r="AU492" t="str">
            <v>1903140-6</v>
          </cell>
          <cell r="AV492">
            <v>0</v>
          </cell>
          <cell r="AW492">
            <v>0</v>
          </cell>
          <cell r="AX492">
            <v>0</v>
          </cell>
          <cell r="AY492" t="str">
            <v>420x860</v>
          </cell>
          <cell r="AZ492" t="str">
            <v>G1</v>
          </cell>
          <cell r="BA492">
            <v>1500</v>
          </cell>
          <cell r="BB492" t="str">
            <v>Thùng 5 lớp 42x34x33</v>
          </cell>
          <cell r="BC492">
            <v>0</v>
          </cell>
          <cell r="BD492" t="str">
            <v>in chung cây 2,3,4 với sp 1014</v>
          </cell>
        </row>
        <row r="493">
          <cell r="A493" t="str">
            <v>sp 1016</v>
          </cell>
          <cell r="B493" t="str">
            <v>Túi trà bát giác tân cương 100gr loại 19</v>
          </cell>
          <cell r="C493">
            <v>4.5390000000000006</v>
          </cell>
          <cell r="D493">
            <v>3</v>
          </cell>
          <cell r="E493" t="str">
            <v>PET 12x740</v>
          </cell>
          <cell r="F493">
            <v>7</v>
          </cell>
          <cell r="G493" t="str">
            <v>PET</v>
          </cell>
          <cell r="H493">
            <v>0</v>
          </cell>
          <cell r="I493">
            <v>0.77</v>
          </cell>
          <cell r="J493">
            <v>0.18</v>
          </cell>
          <cell r="K493">
            <v>0.01</v>
          </cell>
          <cell r="L493">
            <v>0.3</v>
          </cell>
          <cell r="M493">
            <v>0.11899999999999999</v>
          </cell>
          <cell r="N493">
            <v>3.04</v>
          </cell>
          <cell r="O493">
            <v>0</v>
          </cell>
          <cell r="P493">
            <v>0.12</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t="str">
            <v>MPET 12x740</v>
          </cell>
          <cell r="AF493" t="str">
            <v>PE 75x740</v>
          </cell>
          <cell r="AG493">
            <v>7.6201500000000005E-2</v>
          </cell>
          <cell r="AH493">
            <v>1.1193333333333333</v>
          </cell>
          <cell r="AI493">
            <v>1.46</v>
          </cell>
          <cell r="AJ493">
            <v>9530</v>
          </cell>
          <cell r="AK493">
            <v>9530</v>
          </cell>
          <cell r="AL493" t="str">
            <v>0,0053(0,0023;0,003)</v>
          </cell>
          <cell r="AM493" t="str">
            <v>túi hàn lưng xếp hông</v>
          </cell>
          <cell r="AN493">
            <v>270</v>
          </cell>
          <cell r="AO493" t="str">
            <v>Bùi Văn Sỹ</v>
          </cell>
          <cell r="AP493" t="str">
            <v>X105137-1</v>
          </cell>
          <cell r="AQ493" t="str">
            <v>X105137-2</v>
          </cell>
          <cell r="AR493" t="str">
            <v>X105137-3</v>
          </cell>
          <cell r="AS493" t="str">
            <v>X105137-4</v>
          </cell>
          <cell r="AT493" t="str">
            <v>X105137-5</v>
          </cell>
          <cell r="AU493" t="str">
            <v>X105137-6</v>
          </cell>
          <cell r="AV493" t="str">
            <v>X105137-7</v>
          </cell>
          <cell r="AW493">
            <v>0</v>
          </cell>
          <cell r="AX493">
            <v>0</v>
          </cell>
          <cell r="AY493" t="str">
            <v>420x860</v>
          </cell>
          <cell r="AZ493" t="str">
            <v>G2</v>
          </cell>
          <cell r="BA493">
            <v>3500</v>
          </cell>
          <cell r="BB493" t="str">
            <v>Thùng 5 lớp 42x34x33</v>
          </cell>
          <cell r="BC493">
            <v>0</v>
          </cell>
          <cell r="BD493">
            <v>0</v>
          </cell>
        </row>
        <row r="494">
          <cell r="A494" t="str">
            <v>sp 1017</v>
          </cell>
          <cell r="B494" t="str">
            <v>Túi trà bát giác đặc sản 100gr loại 19</v>
          </cell>
          <cell r="C494">
            <v>4.8100000000000005</v>
          </cell>
          <cell r="D494">
            <v>3</v>
          </cell>
          <cell r="E494" t="str">
            <v>PET 12x740</v>
          </cell>
          <cell r="F494">
            <v>7</v>
          </cell>
          <cell r="G494" t="str">
            <v>PET</v>
          </cell>
          <cell r="H494">
            <v>0.12</v>
          </cell>
          <cell r="I494">
            <v>1.33</v>
          </cell>
          <cell r="J494">
            <v>0.06</v>
          </cell>
          <cell r="K494">
            <v>0</v>
          </cell>
          <cell r="L494">
            <v>0.57999999999999996</v>
          </cell>
          <cell r="M494">
            <v>0</v>
          </cell>
          <cell r="N494">
            <v>2.6</v>
          </cell>
          <cell r="O494">
            <v>0</v>
          </cell>
          <cell r="P494">
            <v>0.12</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t="str">
            <v>MPET 12x740</v>
          </cell>
          <cell r="AF494" t="str">
            <v>PE 75x740</v>
          </cell>
          <cell r="AG494">
            <v>7.6201500000000005E-2</v>
          </cell>
          <cell r="AH494">
            <v>1.1193333333333333</v>
          </cell>
          <cell r="AI494">
            <v>1.46</v>
          </cell>
          <cell r="AJ494">
            <v>9530</v>
          </cell>
          <cell r="AK494">
            <v>9530</v>
          </cell>
          <cell r="AL494" t="str">
            <v>0,0053(0,0023;0,003)</v>
          </cell>
          <cell r="AM494" t="str">
            <v>túi hàn lưng xếp hông</v>
          </cell>
          <cell r="AN494">
            <v>270</v>
          </cell>
          <cell r="AO494" t="str">
            <v>Bùi Văn Sỹ</v>
          </cell>
          <cell r="AP494" t="str">
            <v>X105137-1</v>
          </cell>
          <cell r="AQ494" t="str">
            <v>X105138-2</v>
          </cell>
          <cell r="AR494" t="str">
            <v>X105138-3</v>
          </cell>
          <cell r="AS494" t="str">
            <v>X105137-4</v>
          </cell>
          <cell r="AT494" t="str">
            <v>X105137-5</v>
          </cell>
          <cell r="AU494" t="str">
            <v>X105138-6</v>
          </cell>
          <cell r="AV494" t="str">
            <v>X105138-7</v>
          </cell>
          <cell r="AW494">
            <v>0</v>
          </cell>
          <cell r="AX494">
            <v>0</v>
          </cell>
          <cell r="AY494" t="str">
            <v>540x860</v>
          </cell>
          <cell r="AZ494" t="str">
            <v>G2</v>
          </cell>
          <cell r="BA494">
            <v>3500</v>
          </cell>
          <cell r="BB494" t="str">
            <v>Thùng 5 lớp 42x34x33</v>
          </cell>
          <cell r="BC494">
            <v>0</v>
          </cell>
          <cell r="BD494" t="str">
            <v>in chung cây 1,4,5 với sp 1016</v>
          </cell>
        </row>
        <row r="495">
          <cell r="A495" t="str">
            <v>sp 1018</v>
          </cell>
          <cell r="B495" t="str">
            <v>Túi trà bát giác tân cương 200gr loại 19</v>
          </cell>
          <cell r="C495">
            <v>6.69</v>
          </cell>
          <cell r="D495">
            <v>2</v>
          </cell>
          <cell r="E495" t="str">
            <v>PET 12x620</v>
          </cell>
          <cell r="F495">
            <v>6</v>
          </cell>
          <cell r="G495" t="str">
            <v>PET</v>
          </cell>
          <cell r="H495">
            <v>0.13</v>
          </cell>
          <cell r="I495">
            <v>1.9</v>
          </cell>
          <cell r="J495">
            <v>0.19</v>
          </cell>
          <cell r="K495">
            <v>0.28999999999999998</v>
          </cell>
          <cell r="L495">
            <v>0.95</v>
          </cell>
          <cell r="M495">
            <v>0</v>
          </cell>
          <cell r="N495">
            <v>3.04</v>
          </cell>
          <cell r="O495">
            <v>0</v>
          </cell>
          <cell r="P495">
            <v>0.19</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t="str">
            <v>MPET 12x620</v>
          </cell>
          <cell r="AF495" t="str">
            <v>PE 75x620</v>
          </cell>
          <cell r="AG495">
            <v>6.3844500000000012E-2</v>
          </cell>
          <cell r="AH495">
            <v>0.93533333333333324</v>
          </cell>
          <cell r="AI495">
            <v>1.22</v>
          </cell>
          <cell r="AJ495">
            <v>9530</v>
          </cell>
          <cell r="AK495">
            <v>9530</v>
          </cell>
          <cell r="AL495" t="str">
            <v>0,0053(0,0023;0,003)</v>
          </cell>
          <cell r="AM495" t="str">
            <v>túi hàn lưng xếp hông</v>
          </cell>
          <cell r="AN495">
            <v>340</v>
          </cell>
          <cell r="AO495" t="str">
            <v>Bùi Văn Sỹ</v>
          </cell>
          <cell r="AP495" t="str">
            <v>X105139G1-1</v>
          </cell>
          <cell r="AQ495" t="str">
            <v>X105139-2</v>
          </cell>
          <cell r="AR495" t="str">
            <v>X105139G2-3</v>
          </cell>
          <cell r="AS495" t="str">
            <v>X105139G1-4</v>
          </cell>
          <cell r="AT495" t="str">
            <v>X105139-5</v>
          </cell>
          <cell r="AU495" t="str">
            <v>X105139-6</v>
          </cell>
          <cell r="AV495" t="str">
            <v>X105139-7</v>
          </cell>
          <cell r="AW495">
            <v>0</v>
          </cell>
          <cell r="AX495">
            <v>0</v>
          </cell>
          <cell r="AY495" t="str">
            <v>680x860</v>
          </cell>
          <cell r="AZ495" t="str">
            <v>G2</v>
          </cell>
          <cell r="BA495">
            <v>2500</v>
          </cell>
          <cell r="BB495" t="str">
            <v>Thùng 5 lớp 42x34x33</v>
          </cell>
          <cell r="BC495">
            <v>0</v>
          </cell>
          <cell r="BD495">
            <v>0</v>
          </cell>
        </row>
        <row r="496">
          <cell r="A496" t="str">
            <v>sp 1019</v>
          </cell>
          <cell r="B496" t="str">
            <v>Túi trà bát giác đặc sản 200gr loại 19</v>
          </cell>
          <cell r="C496">
            <v>7.7410000000000005</v>
          </cell>
          <cell r="D496">
            <v>2</v>
          </cell>
          <cell r="E496" t="str">
            <v>PET 12x620</v>
          </cell>
          <cell r="F496">
            <v>6</v>
          </cell>
          <cell r="G496" t="str">
            <v>PET</v>
          </cell>
          <cell r="H496">
            <v>0.15</v>
          </cell>
          <cell r="I496">
            <v>2.02</v>
          </cell>
          <cell r="J496">
            <v>0.1</v>
          </cell>
          <cell r="K496">
            <v>0.28999999999999998</v>
          </cell>
          <cell r="L496">
            <v>0.96</v>
          </cell>
          <cell r="M496">
            <v>0.96099999999999997</v>
          </cell>
          <cell r="N496">
            <v>3.07</v>
          </cell>
          <cell r="O496">
            <v>0</v>
          </cell>
          <cell r="P496">
            <v>0.19</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t="str">
            <v>MPET 12x620</v>
          </cell>
          <cell r="AF496" t="str">
            <v>PE 75x620</v>
          </cell>
          <cell r="AG496">
            <v>6.3844500000000012E-2</v>
          </cell>
          <cell r="AH496">
            <v>0.93533333333333324</v>
          </cell>
          <cell r="AI496">
            <v>1.22</v>
          </cell>
          <cell r="AJ496">
            <v>9530</v>
          </cell>
          <cell r="AK496">
            <v>9530</v>
          </cell>
          <cell r="AL496" t="str">
            <v>0,0053(0,0023;0,003)</v>
          </cell>
          <cell r="AM496" t="str">
            <v>túi hàn lưng xếp hông</v>
          </cell>
          <cell r="AN496">
            <v>340</v>
          </cell>
          <cell r="AO496" t="str">
            <v>Bùi Văn Sỹ</v>
          </cell>
          <cell r="AP496" t="str">
            <v>X105139-1</v>
          </cell>
          <cell r="AQ496" t="str">
            <v>X105140-2</v>
          </cell>
          <cell r="AR496" t="str">
            <v>X105140-3</v>
          </cell>
          <cell r="AS496" t="str">
            <v>X105139-4</v>
          </cell>
          <cell r="AT496" t="str">
            <v>X105139-5</v>
          </cell>
          <cell r="AU496" t="str">
            <v>X105140-6</v>
          </cell>
          <cell r="AV496" t="str">
            <v>X105140-7</v>
          </cell>
          <cell r="AW496">
            <v>0</v>
          </cell>
          <cell r="AX496">
            <v>0</v>
          </cell>
          <cell r="AY496" t="str">
            <v>680x860</v>
          </cell>
          <cell r="AZ496" t="str">
            <v>G2</v>
          </cell>
          <cell r="BA496">
            <v>2500</v>
          </cell>
          <cell r="BB496" t="str">
            <v>Thùng 5 lớp 42x34x33</v>
          </cell>
          <cell r="BC496">
            <v>0</v>
          </cell>
          <cell r="BD496" t="str">
            <v>in chung cây 1,4,5 với sp 1018</v>
          </cell>
        </row>
        <row r="497">
          <cell r="A497" t="str">
            <v>sp 1020</v>
          </cell>
          <cell r="B497" t="str">
            <v>Túi trà bát giác tân cương 500gr loại 19</v>
          </cell>
          <cell r="C497">
            <v>5.1190000000000007</v>
          </cell>
          <cell r="D497">
            <v>2</v>
          </cell>
          <cell r="E497" t="str">
            <v>PET 12x760</v>
          </cell>
          <cell r="F497">
            <v>7</v>
          </cell>
          <cell r="G497" t="str">
            <v>PET</v>
          </cell>
          <cell r="H497">
            <v>0.08</v>
          </cell>
          <cell r="I497">
            <v>1.4</v>
          </cell>
          <cell r="J497">
            <v>0</v>
          </cell>
          <cell r="K497">
            <v>0.03</v>
          </cell>
          <cell r="L497">
            <v>0.44</v>
          </cell>
          <cell r="M497">
            <v>0.38900000000000001</v>
          </cell>
          <cell r="N497">
            <v>2.4900000000000002</v>
          </cell>
          <cell r="O497">
            <v>0</v>
          </cell>
          <cell r="P497">
            <v>0.28999999999999998</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t="str">
            <v>MPET 12x760</v>
          </cell>
          <cell r="AF497" t="str">
            <v>PE 80x760</v>
          </cell>
          <cell r="AG497">
            <v>8.1776000000000001E-2</v>
          </cell>
          <cell r="AH497">
            <v>1.1499999999999999</v>
          </cell>
          <cell r="AI497">
            <v>1.5</v>
          </cell>
          <cell r="AJ497">
            <v>9530</v>
          </cell>
          <cell r="AK497">
            <v>9530</v>
          </cell>
          <cell r="AL497" t="str">
            <v>0,0053(0,0023;0,003)</v>
          </cell>
          <cell r="AM497" t="str">
            <v>túi hàn lưng xếp hông</v>
          </cell>
          <cell r="AN497">
            <v>420</v>
          </cell>
          <cell r="AO497" t="str">
            <v>Bùi Văn Sỹ</v>
          </cell>
          <cell r="AP497" t="str">
            <v>X105141-1</v>
          </cell>
          <cell r="AQ497" t="str">
            <v>X105141-2</v>
          </cell>
          <cell r="AR497" t="str">
            <v>X105141-3</v>
          </cell>
          <cell r="AS497" t="str">
            <v>X105141-4</v>
          </cell>
          <cell r="AT497" t="str">
            <v>X105141-5</v>
          </cell>
          <cell r="AU497" t="str">
            <v>X105141-6</v>
          </cell>
          <cell r="AV497" t="str">
            <v>X105141-7</v>
          </cell>
          <cell r="AW497">
            <v>0</v>
          </cell>
          <cell r="AX497">
            <v>0</v>
          </cell>
          <cell r="AY497" t="str">
            <v>420x860</v>
          </cell>
          <cell r="AZ497" t="str">
            <v>G2</v>
          </cell>
          <cell r="BA497">
            <v>1500</v>
          </cell>
          <cell r="BB497" t="str">
            <v>Thùng 5 lớp 42x34x33</v>
          </cell>
          <cell r="BC497">
            <v>0</v>
          </cell>
          <cell r="BD497">
            <v>0</v>
          </cell>
        </row>
        <row r="498">
          <cell r="A498" t="str">
            <v>sp 1021</v>
          </cell>
          <cell r="B498" t="str">
            <v>Túi trà bát giác đặc sản 500gr loại 19</v>
          </cell>
          <cell r="C498">
            <v>5</v>
          </cell>
          <cell r="D498">
            <v>2</v>
          </cell>
          <cell r="E498" t="str">
            <v>PET 12x760</v>
          </cell>
          <cell r="F498">
            <v>7</v>
          </cell>
          <cell r="G498" t="str">
            <v>PET</v>
          </cell>
          <cell r="H498">
            <v>0.08</v>
          </cell>
          <cell r="I498">
            <v>1.45</v>
          </cell>
          <cell r="J498">
            <v>0</v>
          </cell>
          <cell r="K498">
            <v>0.03</v>
          </cell>
          <cell r="L498">
            <v>0.41</v>
          </cell>
          <cell r="M498">
            <v>0.38</v>
          </cell>
          <cell r="N498">
            <v>2.36</v>
          </cell>
          <cell r="O498">
            <v>0</v>
          </cell>
          <cell r="P498">
            <v>0.28999999999999998</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t="str">
            <v>MPET 12x760</v>
          </cell>
          <cell r="AF498" t="str">
            <v>PE 80x760</v>
          </cell>
          <cell r="AG498">
            <v>8.1776000000000001E-2</v>
          </cell>
          <cell r="AH498">
            <v>1.1499999999999999</v>
          </cell>
          <cell r="AI498">
            <v>1.5</v>
          </cell>
          <cell r="AJ498">
            <v>9530</v>
          </cell>
          <cell r="AK498">
            <v>9530</v>
          </cell>
          <cell r="AL498" t="str">
            <v>0,0053(0,0023;0,003)</v>
          </cell>
          <cell r="AM498" t="str">
            <v>túi hàn lưng xếp hông</v>
          </cell>
          <cell r="AN498">
            <v>420</v>
          </cell>
          <cell r="AO498" t="str">
            <v>Bùi Văn Sỹ</v>
          </cell>
          <cell r="AP498" t="str">
            <v>X105141-1</v>
          </cell>
          <cell r="AQ498" t="str">
            <v>X105142-2</v>
          </cell>
          <cell r="AR498" t="str">
            <v>X105142-3</v>
          </cell>
          <cell r="AS498" t="str">
            <v>X105141-4</v>
          </cell>
          <cell r="AT498" t="str">
            <v>X105141-5</v>
          </cell>
          <cell r="AU498" t="str">
            <v>X105142-6</v>
          </cell>
          <cell r="AV498" t="str">
            <v>X105142-7</v>
          </cell>
          <cell r="AW498">
            <v>0</v>
          </cell>
          <cell r="AX498">
            <v>0</v>
          </cell>
          <cell r="AY498" t="str">
            <v>420x860</v>
          </cell>
          <cell r="AZ498" t="str">
            <v>G2</v>
          </cell>
          <cell r="BA498">
            <v>1500</v>
          </cell>
          <cell r="BB498" t="str">
            <v>Thùng 5 lớp 42x34x36</v>
          </cell>
          <cell r="BC498">
            <v>0</v>
          </cell>
          <cell r="BD498" t="str">
            <v>in chung cây 1,4,5 với sp 1020</v>
          </cell>
        </row>
        <row r="499">
          <cell r="A499" t="str">
            <v>sp 1022</v>
          </cell>
          <cell r="B499" t="str">
            <v>Túi lúa TBR225XN1 10kg Thái Bình</v>
          </cell>
          <cell r="C499">
            <v>4.9800000000000004</v>
          </cell>
          <cell r="D499">
            <v>1</v>
          </cell>
          <cell r="E499" t="str">
            <v>OPP 20x840</v>
          </cell>
          <cell r="F499">
            <v>7</v>
          </cell>
          <cell r="G499" t="str">
            <v>OPP</v>
          </cell>
          <cell r="H499">
            <v>0.08</v>
          </cell>
          <cell r="I499">
            <v>0.57999999999999996</v>
          </cell>
          <cell r="J499">
            <v>0.21</v>
          </cell>
          <cell r="K499">
            <v>0.19</v>
          </cell>
          <cell r="L499">
            <v>3.15</v>
          </cell>
          <cell r="M499">
            <v>0.4</v>
          </cell>
          <cell r="N499">
            <v>0</v>
          </cell>
          <cell r="O499">
            <v>0.25</v>
          </cell>
          <cell r="P499">
            <v>0.08</v>
          </cell>
          <cell r="Q499">
            <v>0</v>
          </cell>
          <cell r="R499">
            <v>0</v>
          </cell>
          <cell r="S499">
            <v>0</v>
          </cell>
          <cell r="T499">
            <v>0.04</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t="str">
            <v>dạng cuộn 6000m</v>
          </cell>
          <cell r="AN499">
            <v>420</v>
          </cell>
          <cell r="AO499" t="str">
            <v>Công ty Thái Bình</v>
          </cell>
          <cell r="AP499" t="str">
            <v>19031031-1</v>
          </cell>
          <cell r="AQ499" t="str">
            <v>19031031-2</v>
          </cell>
          <cell r="AR499" t="str">
            <v>19031031-3</v>
          </cell>
          <cell r="AS499" t="str">
            <v>19031031-4</v>
          </cell>
          <cell r="AT499" t="str">
            <v>19031031-5</v>
          </cell>
          <cell r="AU499" t="str">
            <v>19031031-6</v>
          </cell>
          <cell r="AV499" t="str">
            <v>19031031-7</v>
          </cell>
          <cell r="AW499">
            <v>0</v>
          </cell>
          <cell r="AX499">
            <v>0</v>
          </cell>
          <cell r="AY499" t="str">
            <v>670x1100</v>
          </cell>
          <cell r="AZ499" t="str">
            <v>J2</v>
          </cell>
          <cell r="BA499" t="str">
            <v>1c</v>
          </cell>
          <cell r="BB499" t="str">
            <v>giấy cartoon</v>
          </cell>
          <cell r="BC499">
            <v>0</v>
          </cell>
          <cell r="BD499">
            <v>0</v>
          </cell>
        </row>
        <row r="500">
          <cell r="A500" t="str">
            <v>sp 1023</v>
          </cell>
          <cell r="B500" t="str">
            <v>Túi lúa BC15 XN1 10kg Thái Bình</v>
          </cell>
          <cell r="C500">
            <v>2.9499999999999993</v>
          </cell>
          <cell r="D500">
            <v>1</v>
          </cell>
          <cell r="E500" t="str">
            <v>OPP 20x840</v>
          </cell>
          <cell r="F500">
            <v>7</v>
          </cell>
          <cell r="G500" t="str">
            <v>OPP</v>
          </cell>
          <cell r="H500">
            <v>0.03</v>
          </cell>
          <cell r="I500">
            <v>0.3</v>
          </cell>
          <cell r="J500">
            <v>0.1</v>
          </cell>
          <cell r="K500">
            <v>7.0000000000000007E-2</v>
          </cell>
          <cell r="L500">
            <v>1.39</v>
          </cell>
          <cell r="M500">
            <v>0.85</v>
          </cell>
          <cell r="N500">
            <v>0</v>
          </cell>
          <cell r="O500">
            <v>0.1</v>
          </cell>
          <cell r="P500">
            <v>0.05</v>
          </cell>
          <cell r="Q500">
            <v>0.03</v>
          </cell>
          <cell r="R500">
            <v>0</v>
          </cell>
          <cell r="S500">
            <v>0</v>
          </cell>
          <cell r="T500">
            <v>0.03</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t="str">
            <v>dạng cuộn 6000m</v>
          </cell>
          <cell r="AN500">
            <v>420</v>
          </cell>
          <cell r="AO500" t="str">
            <v>Công ty Thái Bình</v>
          </cell>
          <cell r="AP500" t="str">
            <v>19031031-1</v>
          </cell>
          <cell r="AQ500" t="str">
            <v>19031031-2</v>
          </cell>
          <cell r="AR500" t="str">
            <v>19031031-3</v>
          </cell>
          <cell r="AS500" t="str">
            <v>19031031-4</v>
          </cell>
          <cell r="AT500" t="str">
            <v>19031031-5</v>
          </cell>
          <cell r="AU500" t="str">
            <v>19031033-6</v>
          </cell>
          <cell r="AV500" t="str">
            <v>19031031-7</v>
          </cell>
          <cell r="AW500">
            <v>0</v>
          </cell>
          <cell r="AX500">
            <v>0</v>
          </cell>
          <cell r="AY500" t="str">
            <v>670x1100</v>
          </cell>
          <cell r="AZ500" t="str">
            <v>J2</v>
          </cell>
          <cell r="BA500" t="str">
            <v>1c</v>
          </cell>
          <cell r="BB500" t="str">
            <v>giấy cartoon</v>
          </cell>
          <cell r="BC500">
            <v>0</v>
          </cell>
          <cell r="BD500" t="str">
            <v>in chung sp 1022 trừ cây Nâu</v>
          </cell>
        </row>
        <row r="501">
          <cell r="A501" t="str">
            <v>sp 1024</v>
          </cell>
          <cell r="B501" t="str">
            <v>Túi lúa TBR1 XN1 10kg Thái Bình</v>
          </cell>
          <cell r="C501">
            <v>3.3100000000000005</v>
          </cell>
          <cell r="D501">
            <v>1</v>
          </cell>
          <cell r="E501" t="str">
            <v>OPP 20x840</v>
          </cell>
          <cell r="F501">
            <v>7</v>
          </cell>
          <cell r="G501" t="str">
            <v>OPP</v>
          </cell>
          <cell r="H501">
            <v>0.04</v>
          </cell>
          <cell r="I501">
            <v>0.27</v>
          </cell>
          <cell r="J501">
            <v>0.1</v>
          </cell>
          <cell r="K501">
            <v>0.08</v>
          </cell>
          <cell r="L501">
            <v>1.58</v>
          </cell>
          <cell r="M501">
            <v>0.99</v>
          </cell>
          <cell r="N501">
            <v>0</v>
          </cell>
          <cell r="O501">
            <v>0.11</v>
          </cell>
          <cell r="P501">
            <v>0.06</v>
          </cell>
          <cell r="Q501">
            <v>0.04</v>
          </cell>
          <cell r="R501">
            <v>0</v>
          </cell>
          <cell r="S501">
            <v>0</v>
          </cell>
          <cell r="T501">
            <v>0.04</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t="str">
            <v>dạng cuộn 6000m</v>
          </cell>
          <cell r="AN501">
            <v>420</v>
          </cell>
          <cell r="AO501" t="str">
            <v>Công ty Thái Bình</v>
          </cell>
          <cell r="AP501" t="str">
            <v>19031031-1</v>
          </cell>
          <cell r="AQ501" t="str">
            <v>19031031-2</v>
          </cell>
          <cell r="AR501" t="str">
            <v>19031031-3</v>
          </cell>
          <cell r="AS501" t="str">
            <v>19031031-4</v>
          </cell>
          <cell r="AT501" t="str">
            <v>19031032-5</v>
          </cell>
          <cell r="AU501" t="str">
            <v>19031032-6</v>
          </cell>
          <cell r="AV501" t="str">
            <v>19031031-7</v>
          </cell>
          <cell r="AW501">
            <v>0</v>
          </cell>
          <cell r="AX501">
            <v>0</v>
          </cell>
          <cell r="AY501" t="str">
            <v>670x1100</v>
          </cell>
          <cell r="AZ501" t="str">
            <v>J2</v>
          </cell>
          <cell r="BA501" t="str">
            <v>1c</v>
          </cell>
          <cell r="BB501" t="str">
            <v>giấy cartoon</v>
          </cell>
          <cell r="BC501">
            <v>0</v>
          </cell>
          <cell r="BD501" t="str">
            <v>in chung sp 1022 trừ cây XL,Nâu</v>
          </cell>
        </row>
        <row r="502">
          <cell r="A502" t="str">
            <v>sp 1025</v>
          </cell>
          <cell r="B502" t="str">
            <v>Túi lúa KD18NC 10kg Thái Bình</v>
          </cell>
          <cell r="C502">
            <v>5.3699999999999992</v>
          </cell>
          <cell r="D502">
            <v>1</v>
          </cell>
          <cell r="E502" t="str">
            <v>OPP 20x840</v>
          </cell>
          <cell r="F502">
            <v>7</v>
          </cell>
          <cell r="G502" t="str">
            <v>OPP</v>
          </cell>
          <cell r="H502">
            <v>0.2</v>
          </cell>
          <cell r="I502">
            <v>0.56999999999999995</v>
          </cell>
          <cell r="J502">
            <v>0.19</v>
          </cell>
          <cell r="K502">
            <v>0.14000000000000001</v>
          </cell>
          <cell r="L502">
            <v>2.57</v>
          </cell>
          <cell r="M502">
            <v>1.62</v>
          </cell>
          <cell r="N502">
            <v>0</v>
          </cell>
          <cell r="O502">
            <v>0.01</v>
          </cell>
          <cell r="P502">
            <v>0.02</v>
          </cell>
          <cell r="Q502">
            <v>0</v>
          </cell>
          <cell r="R502">
            <v>0</v>
          </cell>
          <cell r="S502">
            <v>0</v>
          </cell>
          <cell r="T502">
            <v>0.05</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t="str">
            <v>dạng cuộn 6000m</v>
          </cell>
          <cell r="AN502">
            <v>420</v>
          </cell>
          <cell r="AO502" t="str">
            <v>Công ty Thái Bình</v>
          </cell>
          <cell r="AP502" t="str">
            <v>1803915-1</v>
          </cell>
          <cell r="AQ502" t="str">
            <v>16100638-2</v>
          </cell>
          <cell r="AR502" t="str">
            <v>1610638-3</v>
          </cell>
          <cell r="AS502" t="str">
            <v>1610638-4</v>
          </cell>
          <cell r="AT502" t="str">
            <v>19031029-5</v>
          </cell>
          <cell r="AU502" t="str">
            <v>19031029-6</v>
          </cell>
          <cell r="AV502" t="str">
            <v>19031031-7</v>
          </cell>
          <cell r="AW502" t="str">
            <v>19031029-1.2.3.4 mẫu cũ</v>
          </cell>
          <cell r="AX502">
            <v>0</v>
          </cell>
          <cell r="AY502" t="str">
            <v>670x1100</v>
          </cell>
          <cell r="AZ502" t="str">
            <v>J2</v>
          </cell>
          <cell r="BA502" t="str">
            <v>1c</v>
          </cell>
          <cell r="BB502" t="str">
            <v>giấy cartoon</v>
          </cell>
          <cell r="BC502">
            <v>0</v>
          </cell>
          <cell r="BD502" t="str">
            <v>in chung 1.2.3.4.(Đ,Xd,ĐS,V,)sp 662, cây 7 nền sp 1022</v>
          </cell>
        </row>
        <row r="503">
          <cell r="A503" t="str">
            <v>sp 1026</v>
          </cell>
          <cell r="B503" t="str">
            <v>Túi lúa Hương thơm 1 NC 10kg Thái Bình</v>
          </cell>
          <cell r="C503">
            <v>5.41</v>
          </cell>
          <cell r="D503">
            <v>1</v>
          </cell>
          <cell r="E503" t="str">
            <v>OPP 20x840</v>
          </cell>
          <cell r="F503">
            <v>7</v>
          </cell>
          <cell r="G503" t="str">
            <v>OPP</v>
          </cell>
          <cell r="H503">
            <v>0.14000000000000001</v>
          </cell>
          <cell r="I503">
            <v>0</v>
          </cell>
          <cell r="J503">
            <v>0</v>
          </cell>
          <cell r="K503">
            <v>0.22</v>
          </cell>
          <cell r="L503">
            <v>2.64</v>
          </cell>
          <cell r="M503">
            <v>1.9</v>
          </cell>
          <cell r="N503">
            <v>0</v>
          </cell>
          <cell r="O503">
            <v>0.28999999999999998</v>
          </cell>
          <cell r="P503">
            <v>0</v>
          </cell>
          <cell r="Q503">
            <v>0</v>
          </cell>
          <cell r="R503">
            <v>0</v>
          </cell>
          <cell r="S503">
            <v>0</v>
          </cell>
          <cell r="T503">
            <v>0.22</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t="str">
            <v>dạng cuộn 6000m</v>
          </cell>
          <cell r="AN503">
            <v>420</v>
          </cell>
          <cell r="AO503" t="str">
            <v>Công ty Thái Bình</v>
          </cell>
          <cell r="AP503" t="str">
            <v>1803915-1</v>
          </cell>
          <cell r="AQ503" t="str">
            <v>16100638-2</v>
          </cell>
          <cell r="AR503" t="str">
            <v>1610638-3</v>
          </cell>
          <cell r="AS503" t="str">
            <v>1610638-4</v>
          </cell>
          <cell r="AT503" t="str">
            <v>19031029-5</v>
          </cell>
          <cell r="AU503" t="str">
            <v>19031030-6</v>
          </cell>
          <cell r="AV503" t="str">
            <v>19031031-7</v>
          </cell>
          <cell r="AW503">
            <v>0</v>
          </cell>
          <cell r="AX503">
            <v>0</v>
          </cell>
          <cell r="AY503" t="str">
            <v>670x1100</v>
          </cell>
          <cell r="AZ503" t="str">
            <v>J2</v>
          </cell>
          <cell r="BA503" t="str">
            <v>1c</v>
          </cell>
          <cell r="BB503" t="str">
            <v>giấy cartoon</v>
          </cell>
          <cell r="BC503">
            <v>0</v>
          </cell>
          <cell r="BD503" t="str">
            <v>in chung 1.2.3.4.(Đ,Xd,ĐS,V,)sp 662, cây 7 nền sp 1022, cây 5zxanh sp 1025</v>
          </cell>
        </row>
        <row r="504">
          <cell r="A504" t="str">
            <v>sp 1027</v>
          </cell>
          <cell r="B504" t="str">
            <v>Túi trà ấm nghiêng tân cương và đặc sản 500g loại 17</v>
          </cell>
          <cell r="C504">
            <v>7.117</v>
          </cell>
          <cell r="D504">
            <v>2</v>
          </cell>
          <cell r="E504" t="str">
            <v>PET 12x760</v>
          </cell>
          <cell r="F504">
            <v>7</v>
          </cell>
          <cell r="G504" t="str">
            <v>PET</v>
          </cell>
          <cell r="H504">
            <v>0.23</v>
          </cell>
          <cell r="I504">
            <v>1.89</v>
          </cell>
          <cell r="J504">
            <v>0.46</v>
          </cell>
          <cell r="K504">
            <v>0.01</v>
          </cell>
          <cell r="L504">
            <v>1.26</v>
          </cell>
          <cell r="M504">
            <v>1.147</v>
          </cell>
          <cell r="N504">
            <v>2.06</v>
          </cell>
          <cell r="O504">
            <v>0.06</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t="str">
            <v>MPET 12x760</v>
          </cell>
          <cell r="AF504" t="str">
            <v>PE 80x760</v>
          </cell>
          <cell r="AG504">
            <v>8.1776000000000001E-2</v>
          </cell>
          <cell r="AH504">
            <v>1.1499999999999999</v>
          </cell>
          <cell r="AI504">
            <v>1.5</v>
          </cell>
          <cell r="AJ504">
            <v>9530</v>
          </cell>
          <cell r="AK504">
            <v>9530</v>
          </cell>
          <cell r="AL504" t="str">
            <v>0,0053(0,0023;0,003)</v>
          </cell>
          <cell r="AM504" t="str">
            <v>túi hàn lưng xếp hông</v>
          </cell>
          <cell r="AN504">
            <v>420</v>
          </cell>
          <cell r="AO504" t="str">
            <v>Bùi Văn Sỹ</v>
          </cell>
          <cell r="AP504" t="str">
            <v>1707293-1</v>
          </cell>
          <cell r="AQ504" t="str">
            <v>1707293-2</v>
          </cell>
          <cell r="AR504" t="str">
            <v>1707293-3</v>
          </cell>
          <cell r="AS504" t="str">
            <v>1707293-4</v>
          </cell>
          <cell r="AT504" t="str">
            <v>1707293-5</v>
          </cell>
          <cell r="AU504" t="str">
            <v>1707293-6</v>
          </cell>
          <cell r="AV504" t="str">
            <v>1707293-7</v>
          </cell>
          <cell r="AW504">
            <v>0</v>
          </cell>
          <cell r="AX504">
            <v>0</v>
          </cell>
          <cell r="AY504" t="str">
            <v>420x850</v>
          </cell>
          <cell r="AZ504" t="str">
            <v>G2</v>
          </cell>
          <cell r="BA504">
            <v>1500</v>
          </cell>
          <cell r="BB504" t="str">
            <v>Thùng 5 lớp 42x34x36</v>
          </cell>
          <cell r="BC504">
            <v>0</v>
          </cell>
          <cell r="BD504">
            <v>0</v>
          </cell>
        </row>
        <row r="505">
          <cell r="A505" t="str">
            <v>sp 1028</v>
          </cell>
          <cell r="B505" t="str">
            <v>Túi trà bản đồ đặc sản 100g loại 14</v>
          </cell>
          <cell r="C505">
            <v>6.3019999999999996</v>
          </cell>
          <cell r="D505">
            <v>3</v>
          </cell>
          <cell r="E505" t="str">
            <v>PET 12x740</v>
          </cell>
          <cell r="F505">
            <v>6</v>
          </cell>
          <cell r="G505" t="str">
            <v>PET</v>
          </cell>
          <cell r="H505">
            <v>0.15</v>
          </cell>
          <cell r="I505">
            <v>1.8</v>
          </cell>
          <cell r="J505">
            <v>0.56000000000000005</v>
          </cell>
          <cell r="K505">
            <v>0.35</v>
          </cell>
          <cell r="L505">
            <v>0.75</v>
          </cell>
          <cell r="M505">
            <v>0.47199999999999998</v>
          </cell>
          <cell r="N505">
            <v>2.2200000000000002</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t="str">
            <v>MPET 12x740</v>
          </cell>
          <cell r="AF505" t="str">
            <v>PE 75x740</v>
          </cell>
          <cell r="AG505">
            <v>7.6201500000000005E-2</v>
          </cell>
          <cell r="AH505">
            <v>1.1193333333333333</v>
          </cell>
          <cell r="AI505">
            <v>1.46</v>
          </cell>
          <cell r="AJ505">
            <v>9530</v>
          </cell>
          <cell r="AK505">
            <v>9530</v>
          </cell>
          <cell r="AL505" t="str">
            <v>0,0053(0,0023;0,003)</v>
          </cell>
          <cell r="AM505" t="str">
            <v>túi hàn lưng xếp hông</v>
          </cell>
          <cell r="AN505">
            <v>270</v>
          </cell>
          <cell r="AO505" t="str">
            <v>Bùi Văn Sỹ</v>
          </cell>
          <cell r="AP505" t="str">
            <v>1809154-1</v>
          </cell>
          <cell r="AQ505" t="str">
            <v>1904089-2</v>
          </cell>
          <cell r="AR505" t="str">
            <v>1904089-3</v>
          </cell>
          <cell r="AS505" t="str">
            <v>1904089-4</v>
          </cell>
          <cell r="AT505" t="str">
            <v>1904089-5</v>
          </cell>
          <cell r="AU505" t="str">
            <v>1904089-6</v>
          </cell>
          <cell r="AV505">
            <v>0</v>
          </cell>
          <cell r="AW505">
            <v>0</v>
          </cell>
          <cell r="AX505">
            <v>0</v>
          </cell>
          <cell r="AY505" t="str">
            <v>540x850</v>
          </cell>
          <cell r="AZ505" t="str">
            <v>G2</v>
          </cell>
          <cell r="BA505">
            <v>3500</v>
          </cell>
          <cell r="BB505" t="str">
            <v>Thùng 5 lớp 42x34x33</v>
          </cell>
          <cell r="BC505">
            <v>0</v>
          </cell>
          <cell r="BD505" t="str">
            <v xml:space="preserve">in chung cây Đen với sp 969 </v>
          </cell>
        </row>
        <row r="506">
          <cell r="A506" t="str">
            <v>sp 1029</v>
          </cell>
          <cell r="B506" t="str">
            <v>Túi trà chữ đỏ viền trắng 50gr loại 20</v>
          </cell>
          <cell r="C506">
            <v>3.4939999999999998</v>
          </cell>
          <cell r="D506">
            <v>3</v>
          </cell>
          <cell r="E506" t="str">
            <v>PET 12x680</v>
          </cell>
          <cell r="F506">
            <v>6</v>
          </cell>
          <cell r="G506" t="str">
            <v>PET</v>
          </cell>
          <cell r="H506">
            <v>0</v>
          </cell>
          <cell r="I506">
            <v>0.75600000000000001</v>
          </cell>
          <cell r="J506">
            <v>0.01</v>
          </cell>
          <cell r="K506">
            <v>0</v>
          </cell>
          <cell r="L506">
            <v>0.01</v>
          </cell>
          <cell r="M506">
            <v>0.221</v>
          </cell>
          <cell r="N506">
            <v>2.4500000000000002</v>
          </cell>
          <cell r="O506">
            <v>0.01</v>
          </cell>
          <cell r="P506">
            <v>3.6999999999999998E-2</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t="str">
            <v>MPET 12x680</v>
          </cell>
          <cell r="AF506" t="str">
            <v>PE 55x680</v>
          </cell>
          <cell r="AG506">
            <v>5.7443000000000001E-2</v>
          </cell>
          <cell r="AH506">
            <v>1.0273333333333332</v>
          </cell>
          <cell r="AI506">
            <v>1.34</v>
          </cell>
          <cell r="AJ506">
            <v>9530</v>
          </cell>
          <cell r="AK506">
            <v>9530</v>
          </cell>
          <cell r="AL506" t="str">
            <v>0,0053(0,0023;0,003)</v>
          </cell>
          <cell r="AM506" t="str">
            <v>túi hàn lưng xếp hông</v>
          </cell>
          <cell r="AN506">
            <v>180</v>
          </cell>
          <cell r="AO506" t="str">
            <v>Bùi Văn Sỹ</v>
          </cell>
          <cell r="AP506" t="str">
            <v>1904247-1</v>
          </cell>
          <cell r="AQ506" t="str">
            <v>1904247-2</v>
          </cell>
          <cell r="AR506" t="str">
            <v>1904247-3</v>
          </cell>
          <cell r="AS506" t="str">
            <v>1904247-4</v>
          </cell>
          <cell r="AT506" t="str">
            <v>1904247-5</v>
          </cell>
          <cell r="AU506" t="str">
            <v>1904247-6</v>
          </cell>
          <cell r="AV506">
            <v>0</v>
          </cell>
          <cell r="AW506">
            <v>0</v>
          </cell>
          <cell r="AX506">
            <v>0</v>
          </cell>
          <cell r="AY506" t="str">
            <v>540x860</v>
          </cell>
          <cell r="AZ506" t="str">
            <v>G2</v>
          </cell>
          <cell r="BA506">
            <v>8000</v>
          </cell>
          <cell r="BB506" t="str">
            <v>Thùng 5 lớp 42x34x33</v>
          </cell>
          <cell r="BC506">
            <v>0</v>
          </cell>
          <cell r="BD506">
            <v>0</v>
          </cell>
        </row>
        <row r="507">
          <cell r="A507" t="str">
            <v>sp 1030</v>
          </cell>
          <cell r="B507" t="str">
            <v>Túi thuốc trừ cỏ aviator combi 800WP loại 70gr bảo vệ thực vật</v>
          </cell>
          <cell r="C507">
            <v>0</v>
          </cell>
          <cell r="D507">
            <v>3</v>
          </cell>
          <cell r="E507" t="str">
            <v>PET 12x920</v>
          </cell>
          <cell r="F507">
            <v>7</v>
          </cell>
          <cell r="G507" t="str">
            <v>PET</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t="str">
            <v>MPET 12x920</v>
          </cell>
          <cell r="AF507" t="str">
            <v>PE 75x920</v>
          </cell>
          <cell r="AG507">
            <v>9.4737000000000016E-2</v>
          </cell>
          <cell r="AH507">
            <v>1.3953333333333333</v>
          </cell>
          <cell r="AI507">
            <v>1.82</v>
          </cell>
          <cell r="AJ507">
            <v>9530</v>
          </cell>
          <cell r="AK507">
            <v>9530</v>
          </cell>
          <cell r="AL507" t="str">
            <v>0,0053(0,0023;0,003)</v>
          </cell>
          <cell r="AM507" t="str">
            <v>túi ba biên</v>
          </cell>
          <cell r="AN507">
            <v>210</v>
          </cell>
          <cell r="AO507" t="str">
            <v>Công ty CP Bảo vệ thực vật 1 Trung Ương</v>
          </cell>
          <cell r="AP507" t="str">
            <v>16111002-1</v>
          </cell>
          <cell r="AQ507" t="str">
            <v>1204638-2</v>
          </cell>
          <cell r="AR507" t="str">
            <v>16111002-3</v>
          </cell>
          <cell r="AS507" t="str">
            <v>1204638-4</v>
          </cell>
          <cell r="AT507" t="str">
            <v>16111002-5</v>
          </cell>
          <cell r="AU507" t="str">
            <v>16111002-6</v>
          </cell>
          <cell r="AV507" t="str">
            <v>1204638-7</v>
          </cell>
          <cell r="AW507">
            <v>0</v>
          </cell>
          <cell r="AX507">
            <v>0</v>
          </cell>
          <cell r="AY507" t="str">
            <v>420x1000</v>
          </cell>
          <cell r="AZ507" t="str">
            <v>Q1</v>
          </cell>
          <cell r="BA507">
            <v>3000</v>
          </cell>
          <cell r="BB507" t="str">
            <v>Thùng 5 lớp 42x34x36</v>
          </cell>
          <cell r="BC507">
            <v>0</v>
          </cell>
          <cell r="BD507">
            <v>0</v>
          </cell>
        </row>
        <row r="508">
          <cell r="A508" t="str">
            <v>sp 1031</v>
          </cell>
          <cell r="B508" t="str">
            <v>Túi trà quả cầu đỏ tân cương 100g loại 21</v>
          </cell>
          <cell r="C508">
            <v>3.76</v>
          </cell>
          <cell r="D508">
            <v>3</v>
          </cell>
          <cell r="E508" t="str">
            <v>PET 12x740</v>
          </cell>
          <cell r="F508">
            <v>7</v>
          </cell>
          <cell r="G508" t="str">
            <v>PET</v>
          </cell>
          <cell r="H508">
            <v>0</v>
          </cell>
          <cell r="I508">
            <v>0.3</v>
          </cell>
          <cell r="J508">
            <v>0</v>
          </cell>
          <cell r="K508">
            <v>0</v>
          </cell>
          <cell r="L508">
            <v>0.12</v>
          </cell>
          <cell r="M508">
            <v>0</v>
          </cell>
          <cell r="N508">
            <v>3.12</v>
          </cell>
          <cell r="O508">
            <v>0.21</v>
          </cell>
          <cell r="P508">
            <v>0.01</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t="str">
            <v>MPET 12x740</v>
          </cell>
          <cell r="AF508" t="str">
            <v>PE 75x740</v>
          </cell>
          <cell r="AG508">
            <v>7.6201500000000005E-2</v>
          </cell>
          <cell r="AH508">
            <v>1.1193333333333333</v>
          </cell>
          <cell r="AI508">
            <v>1.46</v>
          </cell>
          <cell r="AJ508">
            <v>9530</v>
          </cell>
          <cell r="AK508">
            <v>9530</v>
          </cell>
          <cell r="AL508" t="str">
            <v>0,0053(0,0023;0,003)</v>
          </cell>
          <cell r="AM508" t="str">
            <v>túi hàn lưng xếp hông</v>
          </cell>
          <cell r="AN508">
            <v>270</v>
          </cell>
          <cell r="AO508" t="str">
            <v>Bùi Văn Sỹ</v>
          </cell>
          <cell r="AP508" t="str">
            <v>1904578-1</v>
          </cell>
          <cell r="AQ508" t="str">
            <v>1904578-2</v>
          </cell>
          <cell r="AR508" t="str">
            <v>1904578-3</v>
          </cell>
          <cell r="AS508" t="str">
            <v>1904578-4</v>
          </cell>
          <cell r="AT508" t="str">
            <v>1904578-5</v>
          </cell>
          <cell r="AU508">
            <v>0</v>
          </cell>
          <cell r="AV508">
            <v>0</v>
          </cell>
          <cell r="AW508">
            <v>0</v>
          </cell>
          <cell r="AX508">
            <v>0</v>
          </cell>
          <cell r="AY508" t="str">
            <v>540x860</v>
          </cell>
          <cell r="AZ508" t="str">
            <v>G2</v>
          </cell>
          <cell r="BA508">
            <v>3500</v>
          </cell>
          <cell r="BB508" t="str">
            <v>Thùng 5 lớp 42x34x33</v>
          </cell>
          <cell r="BC508">
            <v>0</v>
          </cell>
          <cell r="BD508">
            <v>0</v>
          </cell>
        </row>
        <row r="509">
          <cell r="A509" t="str">
            <v>sp 1032</v>
          </cell>
          <cell r="B509" t="str">
            <v>Túi trà quả cầu đỏ đặc sản 100g loại 21</v>
          </cell>
          <cell r="C509">
            <v>3.8800000000000003</v>
          </cell>
          <cell r="D509">
            <v>3</v>
          </cell>
          <cell r="E509" t="str">
            <v>PET 12x740</v>
          </cell>
          <cell r="F509">
            <v>7</v>
          </cell>
          <cell r="G509" t="str">
            <v>PET</v>
          </cell>
          <cell r="H509">
            <v>0</v>
          </cell>
          <cell r="I509">
            <v>0.28999999999999998</v>
          </cell>
          <cell r="J509">
            <v>0.06</v>
          </cell>
          <cell r="K509">
            <v>0</v>
          </cell>
          <cell r="L509">
            <v>0.12</v>
          </cell>
          <cell r="M509">
            <v>0</v>
          </cell>
          <cell r="N509">
            <v>3.22</v>
          </cell>
          <cell r="O509">
            <v>0.18</v>
          </cell>
          <cell r="P509">
            <v>0.01</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t="str">
            <v>MPET 12x740</v>
          </cell>
          <cell r="AF509" t="str">
            <v>PE 75x740</v>
          </cell>
          <cell r="AG509">
            <v>7.6201500000000005E-2</v>
          </cell>
          <cell r="AH509">
            <v>1.1193333333333333</v>
          </cell>
          <cell r="AI509">
            <v>1.46</v>
          </cell>
          <cell r="AJ509">
            <v>9530</v>
          </cell>
          <cell r="AK509">
            <v>9530</v>
          </cell>
          <cell r="AL509" t="str">
            <v>0,0053(0,0023;0,003)</v>
          </cell>
          <cell r="AM509" t="str">
            <v>túi hàn lưng xếp hông</v>
          </cell>
          <cell r="AN509">
            <v>270</v>
          </cell>
          <cell r="AO509" t="str">
            <v>Bùi Văn Sỹ</v>
          </cell>
          <cell r="AP509" t="str">
            <v>1904579-1</v>
          </cell>
          <cell r="AQ509" t="str">
            <v>1904578-2</v>
          </cell>
          <cell r="AR509" t="str">
            <v>1904578-3</v>
          </cell>
          <cell r="AS509" t="str">
            <v>1904579-4</v>
          </cell>
          <cell r="AT509" t="str">
            <v>1904579-5</v>
          </cell>
          <cell r="AU509">
            <v>0</v>
          </cell>
          <cell r="AV509">
            <v>0</v>
          </cell>
          <cell r="AW509">
            <v>0</v>
          </cell>
          <cell r="AX509">
            <v>0</v>
          </cell>
          <cell r="AY509" t="str">
            <v>540x860</v>
          </cell>
          <cell r="AZ509" t="str">
            <v>G3</v>
          </cell>
          <cell r="BA509">
            <v>3500</v>
          </cell>
          <cell r="BB509" t="str">
            <v>Thùng 5 lớp 42x34x33</v>
          </cell>
          <cell r="BC509">
            <v>0</v>
          </cell>
          <cell r="BD509" t="str">
            <v>chung cây 2,3 với sp 1031</v>
          </cell>
        </row>
        <row r="510">
          <cell r="A510" t="str">
            <v>sp 1033</v>
          </cell>
          <cell r="B510" t="str">
            <v>Túi trà quả cầu đỏ tân cương 200g loại 21</v>
          </cell>
          <cell r="C510">
            <v>8.5150000000000006</v>
          </cell>
          <cell r="D510">
            <v>2</v>
          </cell>
          <cell r="E510" t="str">
            <v>PET 12x620</v>
          </cell>
          <cell r="F510">
            <v>7</v>
          </cell>
          <cell r="G510" t="str">
            <v>PET</v>
          </cell>
          <cell r="H510">
            <v>0.19</v>
          </cell>
          <cell r="I510">
            <v>0.24</v>
          </cell>
          <cell r="J510">
            <v>0.19</v>
          </cell>
          <cell r="K510">
            <v>0</v>
          </cell>
          <cell r="L510">
            <v>0.09</v>
          </cell>
          <cell r="M510">
            <v>1.615</v>
          </cell>
          <cell r="N510">
            <v>6.17</v>
          </cell>
          <cell r="O510">
            <v>0.01</v>
          </cell>
          <cell r="P510">
            <v>0.01</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t="str">
            <v>MPET 12x620</v>
          </cell>
          <cell r="AF510" t="str">
            <v>PE 75x620</v>
          </cell>
          <cell r="AG510">
            <v>6.3844500000000012E-2</v>
          </cell>
          <cell r="AH510">
            <v>0.93533333333333324</v>
          </cell>
          <cell r="AI510">
            <v>1.22</v>
          </cell>
          <cell r="AJ510">
            <v>9530</v>
          </cell>
          <cell r="AK510">
            <v>9530</v>
          </cell>
          <cell r="AL510" t="str">
            <v>0,0053(0,0023;0,003)</v>
          </cell>
          <cell r="AM510" t="str">
            <v>túi hàn lưng xếp hông</v>
          </cell>
          <cell r="AN510">
            <v>340</v>
          </cell>
          <cell r="AO510" t="str">
            <v>Bùi Văn Sỹ</v>
          </cell>
          <cell r="AP510" t="str">
            <v>1904580-1</v>
          </cell>
          <cell r="AQ510" t="str">
            <v>1904580-2</v>
          </cell>
          <cell r="AR510" t="str">
            <v>1904580-3</v>
          </cell>
          <cell r="AS510" t="str">
            <v>1904580-4</v>
          </cell>
          <cell r="AT510" t="str">
            <v>1904580-5</v>
          </cell>
          <cell r="AU510">
            <v>0</v>
          </cell>
          <cell r="AV510">
            <v>0</v>
          </cell>
          <cell r="AW510">
            <v>0</v>
          </cell>
          <cell r="AX510">
            <v>0</v>
          </cell>
          <cell r="AY510" t="str">
            <v>680x860</v>
          </cell>
          <cell r="AZ510" t="str">
            <v>G3</v>
          </cell>
          <cell r="BA510">
            <v>2500</v>
          </cell>
          <cell r="BB510" t="str">
            <v>Thùng 5 lớp 42x34x36</v>
          </cell>
          <cell r="BC510">
            <v>0</v>
          </cell>
          <cell r="BD510">
            <v>0</v>
          </cell>
        </row>
        <row r="511">
          <cell r="A511" t="str">
            <v>sp 1034</v>
          </cell>
          <cell r="B511" t="str">
            <v>Túi trà quả cầu đặc sản 200g loại 21</v>
          </cell>
          <cell r="C511">
            <v>4.2360000000000007</v>
          </cell>
          <cell r="D511">
            <v>2</v>
          </cell>
          <cell r="E511" t="str">
            <v>PET 12x620</v>
          </cell>
          <cell r="F511">
            <v>7</v>
          </cell>
          <cell r="G511" t="str">
            <v>PET</v>
          </cell>
          <cell r="H511">
            <v>0</v>
          </cell>
          <cell r="I511">
            <v>0.38</v>
          </cell>
          <cell r="J511">
            <v>0</v>
          </cell>
          <cell r="K511">
            <v>0</v>
          </cell>
          <cell r="L511">
            <v>0.19</v>
          </cell>
          <cell r="M511">
            <v>0.47599999999999998</v>
          </cell>
          <cell r="N511">
            <v>3</v>
          </cell>
          <cell r="O511">
            <v>0.19</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t="str">
            <v>MPET 12x620</v>
          </cell>
          <cell r="AF511" t="str">
            <v>PE 75x620</v>
          </cell>
          <cell r="AG511">
            <v>6.3844500000000012E-2</v>
          </cell>
          <cell r="AH511">
            <v>0.93533333333333324</v>
          </cell>
          <cell r="AI511">
            <v>1.22</v>
          </cell>
          <cell r="AJ511">
            <v>9530</v>
          </cell>
          <cell r="AK511">
            <v>9530</v>
          </cell>
          <cell r="AL511" t="str">
            <v>0,0053(0,0023;0,003)</v>
          </cell>
          <cell r="AM511" t="str">
            <v>túi hàn lưng xếp hông</v>
          </cell>
          <cell r="AN511">
            <v>340</v>
          </cell>
          <cell r="AO511" t="str">
            <v>Bùi Văn Sỹ</v>
          </cell>
          <cell r="AP511" t="str">
            <v>1904581-1</v>
          </cell>
          <cell r="AQ511" t="str">
            <v>1904580-2</v>
          </cell>
          <cell r="AR511" t="str">
            <v>1904580-3</v>
          </cell>
          <cell r="AS511" t="str">
            <v>1904581-4</v>
          </cell>
          <cell r="AT511" t="str">
            <v>1904581-5</v>
          </cell>
          <cell r="AU511">
            <v>0</v>
          </cell>
          <cell r="AV511">
            <v>0</v>
          </cell>
          <cell r="AW511">
            <v>0</v>
          </cell>
          <cell r="AX511">
            <v>0</v>
          </cell>
          <cell r="AY511" t="str">
            <v>680x860</v>
          </cell>
          <cell r="AZ511" t="str">
            <v>G3</v>
          </cell>
          <cell r="BA511">
            <v>2500</v>
          </cell>
          <cell r="BB511" t="str">
            <v>Thùng 5 lớp 42x34x36</v>
          </cell>
          <cell r="BC511">
            <v>0</v>
          </cell>
          <cell r="BD511" t="str">
            <v>in chung cây 2,3 với sp 1033</v>
          </cell>
        </row>
        <row r="512">
          <cell r="A512" t="str">
            <v>sp 1035</v>
          </cell>
          <cell r="B512" t="str">
            <v>Túi trà quả cầu đỏ tân cương 500g loại 21</v>
          </cell>
          <cell r="C512">
            <v>4.18</v>
          </cell>
          <cell r="D512">
            <v>2</v>
          </cell>
          <cell r="E512" t="str">
            <v>PET 12x760</v>
          </cell>
          <cell r="F512">
            <v>7</v>
          </cell>
          <cell r="G512" t="str">
            <v>PET</v>
          </cell>
          <cell r="H512">
            <v>0</v>
          </cell>
          <cell r="I512">
            <v>0.92</v>
          </cell>
          <cell r="J512">
            <v>0</v>
          </cell>
          <cell r="K512">
            <v>0</v>
          </cell>
          <cell r="L512">
            <v>0.08</v>
          </cell>
          <cell r="M512">
            <v>0</v>
          </cell>
          <cell r="N512">
            <v>2.83</v>
          </cell>
          <cell r="O512">
            <v>0.08</v>
          </cell>
          <cell r="P512">
            <v>0.27</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t="str">
            <v>MPET 12x760</v>
          </cell>
          <cell r="AF512" t="str">
            <v>PE 80x760</v>
          </cell>
          <cell r="AG512">
            <v>8.1776000000000001E-2</v>
          </cell>
          <cell r="AH512">
            <v>1.1499999999999999</v>
          </cell>
          <cell r="AI512">
            <v>1.5</v>
          </cell>
          <cell r="AJ512">
            <v>9530</v>
          </cell>
          <cell r="AK512">
            <v>9530</v>
          </cell>
          <cell r="AL512" t="str">
            <v>0,0053(0,0023;0,003)</v>
          </cell>
          <cell r="AM512" t="str">
            <v>túi hàn lưng xếp hông</v>
          </cell>
          <cell r="AN512">
            <v>420</v>
          </cell>
          <cell r="AO512" t="str">
            <v>Bùi Văn Sỹ</v>
          </cell>
          <cell r="AP512" t="str">
            <v>1904582-1</v>
          </cell>
          <cell r="AQ512" t="str">
            <v>1904582-2</v>
          </cell>
          <cell r="AR512" t="str">
            <v>1904582-3</v>
          </cell>
          <cell r="AS512" t="str">
            <v>1904582-4</v>
          </cell>
          <cell r="AT512" t="str">
            <v>1904582-5</v>
          </cell>
          <cell r="AU512">
            <v>0</v>
          </cell>
          <cell r="AV512">
            <v>0</v>
          </cell>
          <cell r="AW512">
            <v>0</v>
          </cell>
          <cell r="AX512">
            <v>0</v>
          </cell>
          <cell r="AY512" t="str">
            <v>420x850</v>
          </cell>
          <cell r="AZ512" t="str">
            <v>G3</v>
          </cell>
          <cell r="BA512">
            <v>2500</v>
          </cell>
          <cell r="BB512" t="str">
            <v>Thùng 5 lớp 42x34x33</v>
          </cell>
          <cell r="BC512">
            <v>0</v>
          </cell>
          <cell r="BD512">
            <v>0</v>
          </cell>
        </row>
        <row r="513">
          <cell r="A513" t="str">
            <v>sp 1036</v>
          </cell>
          <cell r="B513" t="str">
            <v>Túi trà quả cầu đỏ đặc sản 500g loại 21</v>
          </cell>
          <cell r="C513">
            <v>6.6369999999999996</v>
          </cell>
          <cell r="D513">
            <v>2</v>
          </cell>
          <cell r="E513" t="str">
            <v>PET 12x760</v>
          </cell>
          <cell r="F513">
            <v>7</v>
          </cell>
          <cell r="G513" t="str">
            <v>PET</v>
          </cell>
          <cell r="H513">
            <v>0</v>
          </cell>
          <cell r="I513">
            <v>0.68</v>
          </cell>
          <cell r="J513">
            <v>0.19</v>
          </cell>
          <cell r="K513">
            <v>0.15</v>
          </cell>
          <cell r="L513">
            <v>0.01</v>
          </cell>
          <cell r="M513">
            <v>2.4769999999999999</v>
          </cell>
          <cell r="N513">
            <v>2.91</v>
          </cell>
          <cell r="O513">
            <v>0</v>
          </cell>
          <cell r="P513">
            <v>0.22</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t="str">
            <v>MPET 12x760</v>
          </cell>
          <cell r="AF513" t="str">
            <v>PE 80x760</v>
          </cell>
          <cell r="AG513">
            <v>8.1776000000000001E-2</v>
          </cell>
          <cell r="AH513">
            <v>1.1499999999999999</v>
          </cell>
          <cell r="AI513">
            <v>1.5</v>
          </cell>
          <cell r="AJ513">
            <v>9530</v>
          </cell>
          <cell r="AK513">
            <v>9530</v>
          </cell>
          <cell r="AL513" t="str">
            <v>0,0053(0,0023;0,003)</v>
          </cell>
          <cell r="AM513" t="str">
            <v>túi hàn lưng xếp hông</v>
          </cell>
          <cell r="AN513">
            <v>420</v>
          </cell>
          <cell r="AO513" t="str">
            <v>Bùi Văn Sỹ</v>
          </cell>
          <cell r="AP513" t="str">
            <v>1904583-1</v>
          </cell>
          <cell r="AQ513" t="str">
            <v>1904582-2</v>
          </cell>
          <cell r="AR513" t="str">
            <v>1904582-3</v>
          </cell>
          <cell r="AS513" t="str">
            <v>1904583-4</v>
          </cell>
          <cell r="AT513" t="str">
            <v>1904583-5</v>
          </cell>
          <cell r="AU513" t="str">
            <v>1904583X2-1</v>
          </cell>
          <cell r="AV513">
            <v>0</v>
          </cell>
          <cell r="AW513">
            <v>0</v>
          </cell>
          <cell r="AX513">
            <v>0</v>
          </cell>
          <cell r="AY513" t="str">
            <v>420x850</v>
          </cell>
          <cell r="AZ513" t="str">
            <v>G3</v>
          </cell>
          <cell r="BA513">
            <v>1500</v>
          </cell>
          <cell r="BB513" t="str">
            <v>Thùng 5 lớp 42x34x33</v>
          </cell>
          <cell r="BC513">
            <v>0</v>
          </cell>
          <cell r="BD513" t="str">
            <v>in chung cây 2,3 với sp 1035</v>
          </cell>
        </row>
        <row r="514">
          <cell r="A514" t="str">
            <v>sp 1037</v>
          </cell>
          <cell r="B514" t="str">
            <v>Cuộn bột canh ngon I ốt 190g Hải Châu</v>
          </cell>
          <cell r="C514">
            <v>8.18</v>
          </cell>
          <cell r="D514">
            <v>4</v>
          </cell>
          <cell r="E514" t="str">
            <v>OPP 20x900</v>
          </cell>
          <cell r="F514">
            <v>7</v>
          </cell>
          <cell r="G514" t="str">
            <v>OPP</v>
          </cell>
          <cell r="H514">
            <v>0.2</v>
          </cell>
          <cell r="I514">
            <v>3.84</v>
          </cell>
          <cell r="J514">
            <v>0.08</v>
          </cell>
          <cell r="K514">
            <v>0.85</v>
          </cell>
          <cell r="L514">
            <v>0.85</v>
          </cell>
          <cell r="M514">
            <v>0.66</v>
          </cell>
          <cell r="N514">
            <v>0</v>
          </cell>
          <cell r="O514">
            <v>0</v>
          </cell>
          <cell r="P514">
            <v>7.0000000000000007E-2</v>
          </cell>
          <cell r="Q514">
            <v>0.79</v>
          </cell>
          <cell r="R514">
            <v>0.84</v>
          </cell>
          <cell r="S514">
            <v>0</v>
          </cell>
          <cell r="T514">
            <v>0</v>
          </cell>
          <cell r="U514">
            <v>0</v>
          </cell>
          <cell r="V514">
            <v>0</v>
          </cell>
          <cell r="W514">
            <v>0</v>
          </cell>
          <cell r="X514">
            <v>0</v>
          </cell>
          <cell r="Y514">
            <v>0</v>
          </cell>
          <cell r="Z514">
            <v>0</v>
          </cell>
          <cell r="AA514">
            <v>0</v>
          </cell>
          <cell r="AB514">
            <v>0</v>
          </cell>
          <cell r="AC514">
            <v>0</v>
          </cell>
          <cell r="AD514">
            <v>0</v>
          </cell>
          <cell r="AE514" t="str">
            <v>ĐB-CPP25x900</v>
          </cell>
          <cell r="AF514">
            <v>0</v>
          </cell>
          <cell r="AG514">
            <v>1.8630000000000004E-2</v>
          </cell>
          <cell r="AH514">
            <v>1.1733333333333333</v>
          </cell>
          <cell r="AI514">
            <v>0</v>
          </cell>
          <cell r="AJ514">
            <v>9530</v>
          </cell>
          <cell r="AK514">
            <v>0</v>
          </cell>
          <cell r="AL514">
            <v>2E-3</v>
          </cell>
          <cell r="AM514" t="str">
            <v>dạng cuộn 1,000m</v>
          </cell>
          <cell r="AN514">
            <v>220</v>
          </cell>
          <cell r="AO514" t="str">
            <v>Công ty CP Bánh kẹo Hải Châu</v>
          </cell>
          <cell r="AP514" t="str">
            <v>F125558-1</v>
          </cell>
          <cell r="AQ514" t="str">
            <v>F125558-2</v>
          </cell>
          <cell r="AR514" t="str">
            <v>F125558-3</v>
          </cell>
          <cell r="AS514" t="str">
            <v>F125558-4</v>
          </cell>
          <cell r="AT514" t="str">
            <v>F125558-5</v>
          </cell>
          <cell r="AU514" t="str">
            <v>F125558-6</v>
          </cell>
          <cell r="AV514" t="str">
            <v>F125558-7</v>
          </cell>
          <cell r="AW514" t="str">
            <v>F125558-8</v>
          </cell>
          <cell r="AX514">
            <v>0</v>
          </cell>
          <cell r="AY514" t="str">
            <v>1100x525</v>
          </cell>
          <cell r="AZ514" t="str">
            <v>Q2</v>
          </cell>
          <cell r="BA514" t="str">
            <v>2c</v>
          </cell>
          <cell r="BB514" t="str">
            <v>Thùng 3 lớp 55x28x24</v>
          </cell>
          <cell r="BC514">
            <v>0</v>
          </cell>
          <cell r="BD514">
            <v>0</v>
          </cell>
        </row>
        <row r="515">
          <cell r="A515" t="str">
            <v>sp 1038</v>
          </cell>
          <cell r="B515" t="str">
            <v>Cuộn màng không in ghép nhôm khổ 765 Innovative</v>
          </cell>
          <cell r="C515">
            <v>0</v>
          </cell>
          <cell r="D515">
            <v>1</v>
          </cell>
          <cell r="E515" t="str">
            <v>PET 12x785</v>
          </cell>
          <cell r="F515">
            <v>0</v>
          </cell>
          <cell r="G515" t="str">
            <v>PET</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t="str">
            <v>Al 6x785</v>
          </cell>
          <cell r="AF515" t="str">
            <v>PE 75x795</v>
          </cell>
          <cell r="AG515">
            <v>8.0411474999999996E-2</v>
          </cell>
          <cell r="AH515">
            <v>1.1883333333333332</v>
          </cell>
          <cell r="AI515">
            <v>1.1883333333333332</v>
          </cell>
          <cell r="AJ515">
            <v>9530</v>
          </cell>
          <cell r="AK515">
            <v>9530</v>
          </cell>
          <cell r="AL515" t="str">
            <v>0,0046(0,0023;0,0023)</v>
          </cell>
          <cell r="AM515" t="str">
            <v>dạng cuộn 1,000m</v>
          </cell>
          <cell r="AN515">
            <v>765</v>
          </cell>
          <cell r="AO515" t="str">
            <v>Công ty Innovative shield Việt Nam</v>
          </cell>
          <cell r="AP515">
            <v>0</v>
          </cell>
          <cell r="AQ515">
            <v>0</v>
          </cell>
          <cell r="AR515">
            <v>0</v>
          </cell>
          <cell r="AS515">
            <v>0</v>
          </cell>
          <cell r="AT515">
            <v>0</v>
          </cell>
          <cell r="AU515">
            <v>0</v>
          </cell>
          <cell r="AV515">
            <v>0</v>
          </cell>
          <cell r="AW515">
            <v>0</v>
          </cell>
          <cell r="AX515">
            <v>0</v>
          </cell>
          <cell r="AY515">
            <v>0</v>
          </cell>
          <cell r="AZ515">
            <v>0</v>
          </cell>
          <cell r="BA515" t="str">
            <v>1c</v>
          </cell>
          <cell r="BB515" t="str">
            <v>giấy cartton</v>
          </cell>
          <cell r="BC515">
            <v>0</v>
          </cell>
          <cell r="BD515">
            <v>0</v>
          </cell>
        </row>
        <row r="516">
          <cell r="A516" t="str">
            <v>sp 1039</v>
          </cell>
          <cell r="B516" t="str">
            <v>Túi trà logo tân cương 100gr loại 9</v>
          </cell>
          <cell r="C516">
            <v>3.1</v>
          </cell>
          <cell r="D516">
            <v>3</v>
          </cell>
          <cell r="E516" t="str">
            <v>PET 12x740</v>
          </cell>
          <cell r="F516">
            <v>2</v>
          </cell>
          <cell r="G516" t="str">
            <v>PET</v>
          </cell>
          <cell r="H516">
            <v>0</v>
          </cell>
          <cell r="I516">
            <v>0</v>
          </cell>
          <cell r="J516">
            <v>0.06</v>
          </cell>
          <cell r="K516">
            <v>0</v>
          </cell>
          <cell r="L516">
            <v>0.06</v>
          </cell>
          <cell r="M516">
            <v>0</v>
          </cell>
          <cell r="N516">
            <v>2.68</v>
          </cell>
          <cell r="O516">
            <v>0.3</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t="str">
            <v>MPET 12x740</v>
          </cell>
          <cell r="AF516" t="str">
            <v>PE 75x740</v>
          </cell>
          <cell r="AG516">
            <v>7.6201500000000005E-2</v>
          </cell>
          <cell r="AH516">
            <v>1.1193333333333333</v>
          </cell>
          <cell r="AI516">
            <v>1.46</v>
          </cell>
          <cell r="AJ516">
            <v>9530</v>
          </cell>
          <cell r="AK516">
            <v>9530</v>
          </cell>
          <cell r="AL516" t="str">
            <v>0,0053(0,0023;0,003)</v>
          </cell>
          <cell r="AM516" t="str">
            <v>túi hàn lưng xếp hông</v>
          </cell>
          <cell r="AN516">
            <v>270</v>
          </cell>
          <cell r="AO516" t="str">
            <v>Bùi Văn Sỹ</v>
          </cell>
          <cell r="AP516" t="str">
            <v>1904747-1</v>
          </cell>
          <cell r="AQ516" t="str">
            <v>1803222-2</v>
          </cell>
          <cell r="AR516">
            <v>0</v>
          </cell>
          <cell r="AS516">
            <v>0</v>
          </cell>
          <cell r="AT516">
            <v>0</v>
          </cell>
          <cell r="AU516">
            <v>0</v>
          </cell>
          <cell r="AV516">
            <v>0</v>
          </cell>
          <cell r="AW516">
            <v>0</v>
          </cell>
          <cell r="AX516">
            <v>0</v>
          </cell>
          <cell r="AY516" t="str">
            <v>540x850</v>
          </cell>
          <cell r="AZ516" t="str">
            <v>G3</v>
          </cell>
          <cell r="BA516">
            <v>3500</v>
          </cell>
          <cell r="BB516" t="str">
            <v>Thùng 5 lớp 42x34x33</v>
          </cell>
          <cell r="BC516">
            <v>0</v>
          </cell>
          <cell r="BD516" t="str">
            <v>in chung cây Vàng số 2 vs sp 885</v>
          </cell>
        </row>
        <row r="517">
          <cell r="A517" t="str">
            <v>sp 1040a</v>
          </cell>
          <cell r="B517" t="str">
            <v>Túi gạc răng miệng Dr.papie - Starmed</v>
          </cell>
          <cell r="C517">
            <v>2.9180000000000001</v>
          </cell>
          <cell r="D517">
            <v>4</v>
          </cell>
          <cell r="E517" t="str">
            <v>OPP mờ 20x620</v>
          </cell>
          <cell r="F517">
            <v>5</v>
          </cell>
          <cell r="G517" t="str">
            <v>OPP</v>
          </cell>
          <cell r="H517">
            <v>4.2999999999999997E-2</v>
          </cell>
          <cell r="I517">
            <v>2.1960000000000002</v>
          </cell>
          <cell r="J517">
            <v>0</v>
          </cell>
          <cell r="K517">
            <v>6.5000000000000002E-2</v>
          </cell>
          <cell r="L517">
            <v>0.38700000000000001</v>
          </cell>
          <cell r="M517">
            <v>0.108</v>
          </cell>
          <cell r="N517">
            <v>0</v>
          </cell>
          <cell r="O517">
            <v>8.5999999999999993E-2</v>
          </cell>
          <cell r="P517">
            <v>0</v>
          </cell>
          <cell r="Q517">
            <v>2.1999999999999999E-2</v>
          </cell>
          <cell r="R517">
            <v>0</v>
          </cell>
          <cell r="S517">
            <v>0</v>
          </cell>
          <cell r="T517">
            <v>1.0999999999999999E-2</v>
          </cell>
          <cell r="U517">
            <v>0</v>
          </cell>
          <cell r="V517">
            <v>0</v>
          </cell>
          <cell r="W517">
            <v>0</v>
          </cell>
          <cell r="X517">
            <v>0</v>
          </cell>
          <cell r="Y517">
            <v>0</v>
          </cell>
          <cell r="Z517">
            <v>0</v>
          </cell>
          <cell r="AA517">
            <v>0</v>
          </cell>
          <cell r="AB517">
            <v>0</v>
          </cell>
          <cell r="AC517">
            <v>0</v>
          </cell>
          <cell r="AD517">
            <v>0</v>
          </cell>
          <cell r="AE517" t="str">
            <v>Al 6x620</v>
          </cell>
          <cell r="AF517" t="str">
            <v>PE 75x620</v>
          </cell>
          <cell r="AG517">
            <v>6.437770000000001E-2</v>
          </cell>
          <cell r="AH517">
            <v>0.93533333333333324</v>
          </cell>
          <cell r="AI517">
            <v>0.93533333333333324</v>
          </cell>
          <cell r="AJ517">
            <v>9530</v>
          </cell>
          <cell r="AK517">
            <v>9530</v>
          </cell>
          <cell r="AL517" t="str">
            <v>0,0046(0,0023;0,0023)</v>
          </cell>
          <cell r="AM517" t="str">
            <v xml:space="preserve">túi ba biên </v>
          </cell>
          <cell r="AN517">
            <v>55</v>
          </cell>
          <cell r="AO517" t="str">
            <v>Công ty CP Tập Đoàn Dược phẩm Starmed</v>
          </cell>
          <cell r="AP517" t="str">
            <v>F130081G4-1</v>
          </cell>
          <cell r="AQ517" t="str">
            <v>F122657G10-2</v>
          </cell>
          <cell r="AR517" t="str">
            <v>F122657G15-3</v>
          </cell>
          <cell r="AS517" t="str">
            <v>F122657G17-4</v>
          </cell>
          <cell r="AT517" t="str">
            <v xml:space="preserve">F130081G2-0 </v>
          </cell>
          <cell r="AU517">
            <v>0</v>
          </cell>
          <cell r="AV517">
            <v>0</v>
          </cell>
          <cell r="AW517">
            <v>0</v>
          </cell>
          <cell r="AX517">
            <v>0</v>
          </cell>
          <cell r="AY517" t="str">
            <v xml:space="preserve">440x750 </v>
          </cell>
          <cell r="AZ517" t="str">
            <v>Q2</v>
          </cell>
          <cell r="BA517">
            <v>42000</v>
          </cell>
          <cell r="BB517" t="str">
            <v>Thùng 5 lớp 42x34x36</v>
          </cell>
          <cell r="BC517">
            <v>0</v>
          </cell>
          <cell r="BD517">
            <v>0</v>
          </cell>
        </row>
        <row r="518">
          <cell r="A518" t="str">
            <v>sp 1041</v>
          </cell>
          <cell r="B518" t="str">
            <v>Cuộn màng nhôm Quang Minh PMD 4D loại 1 Đức Thiện</v>
          </cell>
          <cell r="C518">
            <v>1.9</v>
          </cell>
          <cell r="D518">
            <v>1</v>
          </cell>
          <cell r="E518" t="str">
            <v>PE đt 40x1270</v>
          </cell>
          <cell r="F518">
            <v>2</v>
          </cell>
          <cell r="G518" t="str">
            <v xml:space="preserve">PE </v>
          </cell>
          <cell r="H518">
            <v>0</v>
          </cell>
          <cell r="I518">
            <v>0</v>
          </cell>
          <cell r="J518">
            <v>0.86</v>
          </cell>
          <cell r="K518">
            <v>0</v>
          </cell>
          <cell r="L518">
            <v>0</v>
          </cell>
          <cell r="M518">
            <v>0</v>
          </cell>
          <cell r="N518">
            <v>0</v>
          </cell>
          <cell r="O518">
            <v>0</v>
          </cell>
          <cell r="P518">
            <v>0.36</v>
          </cell>
          <cell r="Q518">
            <v>0</v>
          </cell>
          <cell r="R518">
            <v>0.68</v>
          </cell>
          <cell r="S518">
            <v>0</v>
          </cell>
          <cell r="T518">
            <v>0</v>
          </cell>
          <cell r="U518">
            <v>0</v>
          </cell>
          <cell r="V518">
            <v>0</v>
          </cell>
          <cell r="W518">
            <v>0</v>
          </cell>
          <cell r="X518">
            <v>0</v>
          </cell>
          <cell r="Y518">
            <v>0</v>
          </cell>
          <cell r="Z518">
            <v>0</v>
          </cell>
          <cell r="AA518">
            <v>0</v>
          </cell>
          <cell r="AB518">
            <v>0</v>
          </cell>
          <cell r="AC518">
            <v>0</v>
          </cell>
          <cell r="AD518">
            <v>0</v>
          </cell>
          <cell r="AE518" t="str">
            <v>PE 40x1270</v>
          </cell>
          <cell r="AF518">
            <v>0</v>
          </cell>
          <cell r="AG518">
            <v>9.6774000000000013E-2</v>
          </cell>
          <cell r="AH518">
            <v>1.5599999999999998</v>
          </cell>
          <cell r="AI518">
            <v>0</v>
          </cell>
          <cell r="AJ518">
            <v>9530</v>
          </cell>
          <cell r="AK518">
            <v>0</v>
          </cell>
          <cell r="AL518">
            <v>2E-3</v>
          </cell>
          <cell r="AM518" t="str">
            <v>dạng cuộn 2000m</v>
          </cell>
          <cell r="AN518">
            <v>1270</v>
          </cell>
          <cell r="AO518" t="str">
            <v>Công ty Đức Thiện</v>
          </cell>
          <cell r="AP518" t="e">
            <v>#N/A</v>
          </cell>
          <cell r="AQ518" t="e">
            <v>#N/A</v>
          </cell>
          <cell r="AR518" t="e">
            <v>#N/A</v>
          </cell>
          <cell r="AS518" t="e">
            <v>#N/A</v>
          </cell>
          <cell r="AT518" t="e">
            <v>#N/A</v>
          </cell>
          <cell r="AU518" t="e">
            <v>#N/A</v>
          </cell>
          <cell r="AV518" t="e">
            <v>#N/A</v>
          </cell>
          <cell r="AW518" t="e">
            <v>#N/A</v>
          </cell>
          <cell r="AX518" t="e">
            <v>#N/A</v>
          </cell>
          <cell r="AY518" t="e">
            <v>#N/A</v>
          </cell>
          <cell r="AZ518" t="e">
            <v>#N/A</v>
          </cell>
          <cell r="BA518" t="str">
            <v>1c</v>
          </cell>
          <cell r="BB518" t="str">
            <v>giấy cartoon</v>
          </cell>
          <cell r="BC518">
            <v>0</v>
          </cell>
          <cell r="BD518" t="e">
            <v>#N/A</v>
          </cell>
        </row>
        <row r="519">
          <cell r="A519" t="str">
            <v>sp 1042</v>
          </cell>
          <cell r="B519" t="str">
            <v>Cuộn màng nhôm Quang Minh PMD loại 2 Đức Thiện</v>
          </cell>
          <cell r="C519">
            <v>1.27</v>
          </cell>
          <cell r="D519">
            <v>1</v>
          </cell>
          <cell r="E519" t="str">
            <v>PE đt 40x1270</v>
          </cell>
          <cell r="F519">
            <v>2</v>
          </cell>
          <cell r="G519" t="str">
            <v xml:space="preserve">PE </v>
          </cell>
          <cell r="H519">
            <v>0</v>
          </cell>
          <cell r="I519">
            <v>0</v>
          </cell>
          <cell r="J519">
            <v>0.42</v>
          </cell>
          <cell r="K519">
            <v>0</v>
          </cell>
          <cell r="L519">
            <v>0</v>
          </cell>
          <cell r="M519">
            <v>0</v>
          </cell>
          <cell r="N519">
            <v>0</v>
          </cell>
          <cell r="O519">
            <v>0</v>
          </cell>
          <cell r="P519">
            <v>0.16</v>
          </cell>
          <cell r="Q519">
            <v>0.34</v>
          </cell>
          <cell r="R519">
            <v>0.35</v>
          </cell>
          <cell r="S519">
            <v>0</v>
          </cell>
          <cell r="T519">
            <v>0</v>
          </cell>
          <cell r="U519">
            <v>0</v>
          </cell>
          <cell r="V519">
            <v>0</v>
          </cell>
          <cell r="W519">
            <v>0</v>
          </cell>
          <cell r="X519">
            <v>0</v>
          </cell>
          <cell r="Y519">
            <v>0</v>
          </cell>
          <cell r="Z519">
            <v>0</v>
          </cell>
          <cell r="AA519">
            <v>0</v>
          </cell>
          <cell r="AB519">
            <v>0</v>
          </cell>
          <cell r="AC519">
            <v>0</v>
          </cell>
          <cell r="AD519">
            <v>0</v>
          </cell>
          <cell r="AE519" t="str">
            <v>PE 40x1270</v>
          </cell>
          <cell r="AF519">
            <v>0</v>
          </cell>
          <cell r="AG519">
            <v>9.6774000000000013E-2</v>
          </cell>
          <cell r="AH519">
            <v>1.5599999999999998</v>
          </cell>
          <cell r="AI519">
            <v>0</v>
          </cell>
          <cell r="AJ519">
            <v>9530</v>
          </cell>
          <cell r="AK519">
            <v>0</v>
          </cell>
          <cell r="AL519">
            <v>2E-3</v>
          </cell>
          <cell r="AM519" t="str">
            <v>dạng cuộn 2000m</v>
          </cell>
          <cell r="AN519">
            <v>1270</v>
          </cell>
          <cell r="AO519" t="str">
            <v>Công ty Đức Thiện</v>
          </cell>
          <cell r="AP519" t="e">
            <v>#N/A</v>
          </cell>
          <cell r="AQ519" t="e">
            <v>#N/A</v>
          </cell>
          <cell r="AR519" t="e">
            <v>#N/A</v>
          </cell>
          <cell r="AS519" t="e">
            <v>#N/A</v>
          </cell>
          <cell r="AT519" t="e">
            <v>#N/A</v>
          </cell>
          <cell r="AU519" t="e">
            <v>#N/A</v>
          </cell>
          <cell r="AV519" t="e">
            <v>#N/A</v>
          </cell>
          <cell r="AW519" t="e">
            <v>#N/A</v>
          </cell>
          <cell r="AX519" t="e">
            <v>#N/A</v>
          </cell>
          <cell r="AY519" t="e">
            <v>#N/A</v>
          </cell>
          <cell r="AZ519" t="e">
            <v>#N/A</v>
          </cell>
          <cell r="BA519" t="str">
            <v>1c</v>
          </cell>
          <cell r="BB519" t="str">
            <v>giấy cartoon</v>
          </cell>
          <cell r="BC519">
            <v>0</v>
          </cell>
          <cell r="BD519" t="e">
            <v>#N/A</v>
          </cell>
        </row>
        <row r="520">
          <cell r="A520" t="str">
            <v>sp 1043</v>
          </cell>
          <cell r="B520" t="str">
            <v>Cuộn màng nhôm Việt Pháp loại 1 Đức Thiện</v>
          </cell>
          <cell r="C520">
            <v>4.3899999999999997</v>
          </cell>
          <cell r="D520">
            <v>1</v>
          </cell>
          <cell r="E520" t="str">
            <v>PE đt 40x1270</v>
          </cell>
          <cell r="F520">
            <v>2</v>
          </cell>
          <cell r="G520" t="str">
            <v xml:space="preserve">PE </v>
          </cell>
          <cell r="H520">
            <v>0</v>
          </cell>
          <cell r="I520">
            <v>0</v>
          </cell>
          <cell r="J520">
            <v>3.26</v>
          </cell>
          <cell r="K520">
            <v>0</v>
          </cell>
          <cell r="L520">
            <v>0.21</v>
          </cell>
          <cell r="M520">
            <v>0</v>
          </cell>
          <cell r="N520">
            <v>0</v>
          </cell>
          <cell r="O520">
            <v>0</v>
          </cell>
          <cell r="P520">
            <v>0.01</v>
          </cell>
          <cell r="Q520">
            <v>0.9</v>
          </cell>
          <cell r="R520">
            <v>0.01</v>
          </cell>
          <cell r="S520">
            <v>0</v>
          </cell>
          <cell r="T520">
            <v>0</v>
          </cell>
          <cell r="U520">
            <v>0</v>
          </cell>
          <cell r="V520">
            <v>0</v>
          </cell>
          <cell r="W520">
            <v>0</v>
          </cell>
          <cell r="X520">
            <v>0</v>
          </cell>
          <cell r="Y520">
            <v>0</v>
          </cell>
          <cell r="Z520">
            <v>0</v>
          </cell>
          <cell r="AA520">
            <v>0</v>
          </cell>
          <cell r="AB520">
            <v>0</v>
          </cell>
          <cell r="AC520">
            <v>0</v>
          </cell>
          <cell r="AD520">
            <v>0</v>
          </cell>
          <cell r="AE520" t="str">
            <v>PE 40x1270</v>
          </cell>
          <cell r="AF520">
            <v>0</v>
          </cell>
          <cell r="AG520">
            <v>9.6774000000000013E-2</v>
          </cell>
          <cell r="AH520">
            <v>1.5599999999999998</v>
          </cell>
          <cell r="AI520">
            <v>0</v>
          </cell>
          <cell r="AJ520">
            <v>9530</v>
          </cell>
          <cell r="AK520">
            <v>0</v>
          </cell>
          <cell r="AL520">
            <v>2E-3</v>
          </cell>
          <cell r="AM520" t="str">
            <v>dạng cuộn 2000m</v>
          </cell>
          <cell r="AN520">
            <v>1270</v>
          </cell>
          <cell r="AO520" t="str">
            <v>Công ty Đức Thiện</v>
          </cell>
          <cell r="AP520" t="e">
            <v>#N/A</v>
          </cell>
          <cell r="AQ520" t="e">
            <v>#N/A</v>
          </cell>
          <cell r="AR520" t="e">
            <v>#N/A</v>
          </cell>
          <cell r="AS520" t="e">
            <v>#N/A</v>
          </cell>
          <cell r="AT520" t="e">
            <v>#N/A</v>
          </cell>
          <cell r="AU520" t="e">
            <v>#N/A</v>
          </cell>
          <cell r="AV520" t="e">
            <v>#N/A</v>
          </cell>
          <cell r="AW520" t="e">
            <v>#N/A</v>
          </cell>
          <cell r="AX520" t="e">
            <v>#N/A</v>
          </cell>
          <cell r="AY520" t="e">
            <v>#N/A</v>
          </cell>
          <cell r="AZ520" t="e">
            <v>#N/A</v>
          </cell>
          <cell r="BA520" t="str">
            <v>1c</v>
          </cell>
          <cell r="BB520" t="str">
            <v>giấy cartoon</v>
          </cell>
          <cell r="BC520">
            <v>0</v>
          </cell>
          <cell r="BD520" t="e">
            <v>#N/A</v>
          </cell>
        </row>
        <row r="521">
          <cell r="A521" t="str">
            <v>sp 1044</v>
          </cell>
          <cell r="B521" t="str">
            <v>Túi thuốc trừ sâu Neretox 95WP loại 20gr - Bảo vệ thực vật</v>
          </cell>
          <cell r="C521">
            <v>6.4519999999999991</v>
          </cell>
          <cell r="D521">
            <v>4</v>
          </cell>
          <cell r="E521" t="str">
            <v>PET 12x740</v>
          </cell>
          <cell r="F521">
            <v>7</v>
          </cell>
          <cell r="G521" t="str">
            <v>PET</v>
          </cell>
          <cell r="H521">
            <v>0.09</v>
          </cell>
          <cell r="I521">
            <v>3.93</v>
          </cell>
          <cell r="J521">
            <v>0.18</v>
          </cell>
          <cell r="K521">
            <v>0.31</v>
          </cell>
          <cell r="L521">
            <v>0.64</v>
          </cell>
          <cell r="M521">
            <v>0.98199999999999998</v>
          </cell>
          <cell r="N521">
            <v>0</v>
          </cell>
          <cell r="O521">
            <v>0.31</v>
          </cell>
          <cell r="P521">
            <v>0.01</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t="str">
            <v>Al 6x740</v>
          </cell>
          <cell r="AF521" t="str">
            <v>PE 75x750</v>
          </cell>
          <cell r="AG521">
            <v>7.6837900000000001E-2</v>
          </cell>
          <cell r="AH521">
            <v>1.1193333333333333</v>
          </cell>
          <cell r="AI521">
            <v>1.1193333333333333</v>
          </cell>
          <cell r="AJ521">
            <v>9530</v>
          </cell>
          <cell r="AK521">
            <v>9530</v>
          </cell>
          <cell r="AL521" t="str">
            <v>0,0046(0,0023;0,0023)</v>
          </cell>
          <cell r="AM521" t="str">
            <v>túi ba biên</v>
          </cell>
          <cell r="AN521">
            <v>120</v>
          </cell>
          <cell r="AO521" t="str">
            <v>Công ty CP Bảo vệ thực vật 1 Trung Ương</v>
          </cell>
          <cell r="AP521" t="str">
            <v>F122579G1-1</v>
          </cell>
          <cell r="AQ521" t="str">
            <v>F122579-2</v>
          </cell>
          <cell r="AR521" t="str">
            <v>F122579-3</v>
          </cell>
          <cell r="AS521" t="str">
            <v>F122579-4</v>
          </cell>
          <cell r="AT521" t="str">
            <v>F122579-5</v>
          </cell>
          <cell r="AU521" t="str">
            <v>F122579-6</v>
          </cell>
          <cell r="AV521" t="str">
            <v>F122579-7</v>
          </cell>
          <cell r="AW521">
            <v>0</v>
          </cell>
          <cell r="AX521">
            <v>0</v>
          </cell>
          <cell r="AY521" t="str">
            <v>480x820</v>
          </cell>
          <cell r="AZ521" t="str">
            <v>Q2</v>
          </cell>
          <cell r="BA521">
            <v>9000</v>
          </cell>
          <cell r="BB521" t="str">
            <v>Thùng 5 lớp 42x34x36</v>
          </cell>
          <cell r="BC521">
            <v>0</v>
          </cell>
          <cell r="BD521">
            <v>0</v>
          </cell>
        </row>
        <row r="522">
          <cell r="A522" t="str">
            <v>sp 1045</v>
          </cell>
          <cell r="B522" t="str">
            <v>Túi trà quả cầu xanh tân cương 500gr loại 21</v>
          </cell>
          <cell r="C522">
            <v>5.1459999999999999</v>
          </cell>
          <cell r="D522">
            <v>2</v>
          </cell>
          <cell r="E522" t="str">
            <v>PET 12x760</v>
          </cell>
          <cell r="F522">
            <v>5</v>
          </cell>
          <cell r="G522" t="str">
            <v>PET</v>
          </cell>
          <cell r="H522">
            <v>0.12</v>
          </cell>
          <cell r="I522">
            <v>0.67</v>
          </cell>
          <cell r="J522">
            <v>0.49</v>
          </cell>
          <cell r="K522">
            <v>0</v>
          </cell>
          <cell r="L522">
            <v>0.01</v>
          </cell>
          <cell r="M522">
            <v>1.5860000000000001</v>
          </cell>
          <cell r="N522">
            <v>2.2599999999999998</v>
          </cell>
          <cell r="O522">
            <v>0</v>
          </cell>
          <cell r="P522">
            <v>0.01</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t="str">
            <v>MPET 12x760</v>
          </cell>
          <cell r="AF522" t="str">
            <v>PE 80x760</v>
          </cell>
          <cell r="AG522">
            <v>8.1776000000000001E-2</v>
          </cell>
          <cell r="AH522">
            <v>1.1499999999999999</v>
          </cell>
          <cell r="AI522">
            <v>1.5</v>
          </cell>
          <cell r="AJ522">
            <v>9530</v>
          </cell>
          <cell r="AK522">
            <v>9530</v>
          </cell>
          <cell r="AL522" t="str">
            <v>0,0053(0,0023;0,003)</v>
          </cell>
          <cell r="AM522" t="str">
            <v>túi hàn lưng xếp hông</v>
          </cell>
          <cell r="AN522">
            <v>420</v>
          </cell>
          <cell r="AO522" t="str">
            <v>Bùi Văn Sỹ</v>
          </cell>
          <cell r="AP522" t="str">
            <v>1904582-1</v>
          </cell>
          <cell r="AQ522" t="str">
            <v>1904582-2</v>
          </cell>
          <cell r="AR522" t="str">
            <v>1904582-3</v>
          </cell>
          <cell r="AS522" t="str">
            <v>1904582-4</v>
          </cell>
          <cell r="AT522" t="str">
            <v>1904582-5</v>
          </cell>
          <cell r="AU522">
            <v>0</v>
          </cell>
          <cell r="AV522">
            <v>0</v>
          </cell>
          <cell r="AW522">
            <v>0</v>
          </cell>
          <cell r="AX522">
            <v>0</v>
          </cell>
          <cell r="AY522" t="str">
            <v>420x850</v>
          </cell>
          <cell r="AZ522" t="str">
            <v>G3</v>
          </cell>
          <cell r="BA522">
            <v>1500</v>
          </cell>
          <cell r="BB522" t="str">
            <v>Thùng 5 lớp 42x34x33</v>
          </cell>
          <cell r="BC522">
            <v>0</v>
          </cell>
          <cell r="BD522" t="str">
            <v>in chung bộ sp 1035</v>
          </cell>
        </row>
        <row r="523">
          <cell r="A523" t="str">
            <v>sp 1046</v>
          </cell>
          <cell r="B523" t="str">
            <v>Cuộn màng nhôm Xingfa Alumini loại 2 Sequana Đức Thiện</v>
          </cell>
          <cell r="C523">
            <v>1.52</v>
          </cell>
          <cell r="D523">
            <v>1</v>
          </cell>
          <cell r="E523" t="str">
            <v>PE đt 40x1270</v>
          </cell>
          <cell r="F523">
            <v>3</v>
          </cell>
          <cell r="G523" t="str">
            <v xml:space="preserve">PE </v>
          </cell>
          <cell r="H523">
            <v>7.0000000000000007E-2</v>
          </cell>
          <cell r="I523">
            <v>0</v>
          </cell>
          <cell r="J523">
            <v>0.47</v>
          </cell>
          <cell r="K523">
            <v>0.2</v>
          </cell>
          <cell r="L523">
            <v>0</v>
          </cell>
          <cell r="M523">
            <v>0</v>
          </cell>
          <cell r="N523">
            <v>0</v>
          </cell>
          <cell r="O523">
            <v>0</v>
          </cell>
          <cell r="P523">
            <v>0.51</v>
          </cell>
          <cell r="Q523">
            <v>7.0000000000000007E-2</v>
          </cell>
          <cell r="R523">
            <v>0.2</v>
          </cell>
          <cell r="S523">
            <v>0</v>
          </cell>
          <cell r="T523">
            <v>0</v>
          </cell>
          <cell r="U523">
            <v>0</v>
          </cell>
          <cell r="V523">
            <v>0</v>
          </cell>
          <cell r="W523">
            <v>0</v>
          </cell>
          <cell r="X523">
            <v>0</v>
          </cell>
          <cell r="Y523">
            <v>0</v>
          </cell>
          <cell r="Z523">
            <v>0</v>
          </cell>
          <cell r="AA523">
            <v>0</v>
          </cell>
          <cell r="AB523">
            <v>0</v>
          </cell>
          <cell r="AC523">
            <v>0</v>
          </cell>
          <cell r="AD523">
            <v>0</v>
          </cell>
          <cell r="AE523" t="str">
            <v>PE 40x1270</v>
          </cell>
          <cell r="AF523">
            <v>0</v>
          </cell>
          <cell r="AG523">
            <v>9.6774000000000013E-2</v>
          </cell>
          <cell r="AH523">
            <v>1.5599999999999998</v>
          </cell>
          <cell r="AI523">
            <v>0</v>
          </cell>
          <cell r="AJ523">
            <v>9530</v>
          </cell>
          <cell r="AK523">
            <v>0</v>
          </cell>
          <cell r="AL523">
            <v>2E-3</v>
          </cell>
          <cell r="AM523" t="str">
            <v>dạng cuộn 2000m</v>
          </cell>
          <cell r="AN523">
            <v>1270</v>
          </cell>
          <cell r="AO523" t="str">
            <v>Công ty Đức Thiện</v>
          </cell>
          <cell r="AP523" t="e">
            <v>#N/A</v>
          </cell>
          <cell r="AQ523" t="e">
            <v>#N/A</v>
          </cell>
          <cell r="AR523" t="e">
            <v>#N/A</v>
          </cell>
          <cell r="AS523" t="e">
            <v>#N/A</v>
          </cell>
          <cell r="AT523" t="e">
            <v>#N/A</v>
          </cell>
          <cell r="AU523" t="e">
            <v>#N/A</v>
          </cell>
          <cell r="AV523" t="e">
            <v>#N/A</v>
          </cell>
          <cell r="AW523" t="e">
            <v>#N/A</v>
          </cell>
          <cell r="AX523" t="e">
            <v>#N/A</v>
          </cell>
          <cell r="AY523" t="e">
            <v>#N/A</v>
          </cell>
          <cell r="AZ523" t="e">
            <v>#N/A</v>
          </cell>
          <cell r="BA523" t="str">
            <v>1c</v>
          </cell>
          <cell r="BB523" t="str">
            <v>giấy cartoon</v>
          </cell>
          <cell r="BC523">
            <v>0</v>
          </cell>
          <cell r="BD523" t="e">
            <v>#N/A</v>
          </cell>
        </row>
        <row r="524">
          <cell r="A524" t="str">
            <v>sp 1047</v>
          </cell>
          <cell r="B524" t="str">
            <v>Cuộn băng cảnh báo in chữ Danger - Neolink</v>
          </cell>
          <cell r="C524">
            <v>1.87</v>
          </cell>
          <cell r="D524">
            <v>10</v>
          </cell>
          <cell r="E524" t="str">
            <v>PE sứ 40x970</v>
          </cell>
          <cell r="F524">
            <v>1</v>
          </cell>
          <cell r="G524" t="str">
            <v xml:space="preserve">PE </v>
          </cell>
          <cell r="H524">
            <v>0</v>
          </cell>
          <cell r="I524">
            <v>0</v>
          </cell>
          <cell r="J524">
            <v>0</v>
          </cell>
          <cell r="K524">
            <v>0.09</v>
          </cell>
          <cell r="L524">
            <v>0.44</v>
          </cell>
          <cell r="M524">
            <v>0</v>
          </cell>
          <cell r="N524">
            <v>0</v>
          </cell>
          <cell r="O524">
            <v>0</v>
          </cell>
          <cell r="P524">
            <v>1.34</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180</v>
          </cell>
          <cell r="AO524" t="str">
            <v>Công ty CP XNK NeoLink</v>
          </cell>
          <cell r="AP524" t="e">
            <v>#N/A</v>
          </cell>
          <cell r="AQ524" t="e">
            <v>#N/A</v>
          </cell>
          <cell r="AR524" t="e">
            <v>#N/A</v>
          </cell>
          <cell r="AS524" t="e">
            <v>#N/A</v>
          </cell>
          <cell r="AT524" t="e">
            <v>#N/A</v>
          </cell>
          <cell r="AU524" t="e">
            <v>#N/A</v>
          </cell>
          <cell r="AV524" t="e">
            <v>#N/A</v>
          </cell>
          <cell r="AW524" t="e">
            <v>#N/A</v>
          </cell>
          <cell r="AX524" t="e">
            <v>#N/A</v>
          </cell>
          <cell r="AY524" t="e">
            <v>#N/A</v>
          </cell>
          <cell r="AZ524" t="e">
            <v>#N/A</v>
          </cell>
          <cell r="BA524" t="str">
            <v>10c</v>
          </cell>
          <cell r="BB524" t="str">
            <v>túi nilon</v>
          </cell>
          <cell r="BC524">
            <v>0</v>
          </cell>
          <cell r="BD524" t="e">
            <v>#N/A</v>
          </cell>
        </row>
        <row r="525">
          <cell r="A525" t="str">
            <v>sp 1048</v>
          </cell>
          <cell r="B525" t="str">
            <v xml:space="preserve">Túi gạo làng sen 3kg sen quê bác </v>
          </cell>
          <cell r="C525">
            <v>11.200000000000001</v>
          </cell>
          <cell r="D525">
            <v>1</v>
          </cell>
          <cell r="E525" t="str">
            <v>PET 12x560</v>
          </cell>
          <cell r="F525">
            <v>6</v>
          </cell>
          <cell r="G525" t="str">
            <v>PET</v>
          </cell>
          <cell r="H525">
            <v>0.01</v>
          </cell>
          <cell r="I525">
            <v>3.92</v>
          </cell>
          <cell r="J525">
            <v>2.04</v>
          </cell>
          <cell r="K525">
            <v>0.65</v>
          </cell>
          <cell r="L525">
            <v>4.57</v>
          </cell>
          <cell r="M525">
            <v>0</v>
          </cell>
          <cell r="N525">
            <v>0</v>
          </cell>
          <cell r="O525">
            <v>0.01</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t="str">
            <v>PE 110x560</v>
          </cell>
          <cell r="AF525">
            <v>0</v>
          </cell>
          <cell r="AG525">
            <v>6.6388000000000003E-2</v>
          </cell>
          <cell r="AH525">
            <v>1.4666666666666668</v>
          </cell>
          <cell r="AI525">
            <v>0</v>
          </cell>
          <cell r="AJ525">
            <v>9530</v>
          </cell>
          <cell r="AK525">
            <v>0</v>
          </cell>
          <cell r="AL525">
            <v>4.0000000000000001E-3</v>
          </cell>
          <cell r="AM525" t="str">
            <v xml:space="preserve">túi ba biên </v>
          </cell>
          <cell r="AN525">
            <v>410</v>
          </cell>
          <cell r="AO525" t="str">
            <v>Hợp tác xã nông nghiệp sen quê bác</v>
          </cell>
          <cell r="AP525" t="str">
            <v>1905761-1</v>
          </cell>
          <cell r="AQ525" t="str">
            <v>1905761-2</v>
          </cell>
          <cell r="AR525" t="str">
            <v>1905761-3</v>
          </cell>
          <cell r="AS525" t="str">
            <v>1905761-4</v>
          </cell>
          <cell r="AT525" t="str">
            <v>1905761-5</v>
          </cell>
          <cell r="AU525" t="str">
            <v>1905761-6</v>
          </cell>
          <cell r="AV525">
            <v>0</v>
          </cell>
          <cell r="AW525">
            <v>0</v>
          </cell>
          <cell r="AX525">
            <v>0</v>
          </cell>
          <cell r="AY525" t="str">
            <v>410x860</v>
          </cell>
          <cell r="AZ525" t="str">
            <v>Q2</v>
          </cell>
          <cell r="BA525">
            <v>1300</v>
          </cell>
          <cell r="BB525" t="str">
            <v>Thùng 5 lớp 42x34x36</v>
          </cell>
          <cell r="BC525">
            <v>0</v>
          </cell>
          <cell r="BD525">
            <v>0</v>
          </cell>
        </row>
        <row r="526">
          <cell r="A526" t="str">
            <v>sp 1049</v>
          </cell>
          <cell r="B526" t="str">
            <v>Túi trà chữ đỏ thượng hạng tân cương và đặc sản 200gr loại 15</v>
          </cell>
          <cell r="C526">
            <v>0</v>
          </cell>
          <cell r="D526">
            <v>2</v>
          </cell>
          <cell r="E526" t="str">
            <v>PET 12x620</v>
          </cell>
          <cell r="F526">
            <v>7</v>
          </cell>
          <cell r="G526" t="str">
            <v>PET</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t="str">
            <v>MPET 12x620</v>
          </cell>
          <cell r="AF526" t="str">
            <v>PE 75x620</v>
          </cell>
          <cell r="AG526">
            <v>6.3844500000000012E-2</v>
          </cell>
          <cell r="AH526">
            <v>0.93533333333333324</v>
          </cell>
          <cell r="AI526">
            <v>1.22</v>
          </cell>
          <cell r="AJ526">
            <v>9530</v>
          </cell>
          <cell r="AK526">
            <v>9530</v>
          </cell>
          <cell r="AL526" t="str">
            <v>0,0053(0,0023;0,003)</v>
          </cell>
          <cell r="AM526" t="str">
            <v>túi hàn lưng xếp hông</v>
          </cell>
          <cell r="AN526">
            <v>340</v>
          </cell>
          <cell r="AO526" t="str">
            <v>Bùi Văn Sỹ</v>
          </cell>
          <cell r="AP526" t="str">
            <v>1704680-1</v>
          </cell>
          <cell r="AQ526" t="str">
            <v>1704680-2</v>
          </cell>
          <cell r="AR526" t="str">
            <v>1704680-3</v>
          </cell>
          <cell r="AS526" t="str">
            <v>1704680-4</v>
          </cell>
          <cell r="AT526" t="str">
            <v>1704680-5</v>
          </cell>
          <cell r="AU526" t="str">
            <v>1704680-6</v>
          </cell>
          <cell r="AV526" t="str">
            <v>1704680-7</v>
          </cell>
          <cell r="AW526">
            <v>0</v>
          </cell>
          <cell r="AX526">
            <v>0</v>
          </cell>
          <cell r="AY526" t="str">
            <v>680x680</v>
          </cell>
          <cell r="AZ526" t="str">
            <v>G3</v>
          </cell>
          <cell r="BA526">
            <v>2500</v>
          </cell>
          <cell r="BB526" t="str">
            <v>Thùng 5 lớp 42x34x33</v>
          </cell>
          <cell r="BC526">
            <v>0</v>
          </cell>
          <cell r="BD526">
            <v>0</v>
          </cell>
        </row>
        <row r="527">
          <cell r="A527" t="str">
            <v>sp 1050</v>
          </cell>
          <cell r="B527" t="str">
            <v>Túi trà  tan cozy ice tea hương chanh dây 400gr Vĩnh Phúc</v>
          </cell>
          <cell r="C527">
            <v>18.820000000000004</v>
          </cell>
          <cell r="D527">
            <v>2</v>
          </cell>
          <cell r="E527" t="str">
            <v>PET 12x620</v>
          </cell>
          <cell r="F527">
            <v>7</v>
          </cell>
          <cell r="G527" t="str">
            <v>PET</v>
          </cell>
          <cell r="H527">
            <v>0</v>
          </cell>
          <cell r="I527">
            <v>11</v>
          </cell>
          <cell r="J527">
            <v>1</v>
          </cell>
          <cell r="K527">
            <v>0.8</v>
          </cell>
          <cell r="L527">
            <v>0.01</v>
          </cell>
          <cell r="M527">
            <v>5</v>
          </cell>
          <cell r="N527">
            <v>0</v>
          </cell>
          <cell r="O527">
            <v>0.01</v>
          </cell>
          <cell r="P527">
            <v>1</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t="str">
            <v>Al 6x620</v>
          </cell>
          <cell r="AF527" t="str">
            <v>PE 60x630</v>
          </cell>
          <cell r="AG527">
            <v>5.4907199999999996E-2</v>
          </cell>
          <cell r="AH527">
            <v>0.93533333333333324</v>
          </cell>
          <cell r="AI527">
            <v>0.93533333333333324</v>
          </cell>
          <cell r="AJ527">
            <v>9530</v>
          </cell>
          <cell r="AK527">
            <v>9530</v>
          </cell>
          <cell r="AL527" t="str">
            <v>0,0046(0,0023;0,0023)</v>
          </cell>
          <cell r="AM527" t="str">
            <v>túi hàn lưng xếp hông lệch</v>
          </cell>
          <cell r="AN527">
            <v>250</v>
          </cell>
          <cell r="AO527" t="str">
            <v>Công ty TNHH Thế hệ mới Vĩnh Phúc</v>
          </cell>
          <cell r="AP527" t="str">
            <v>X105890-1</v>
          </cell>
          <cell r="AQ527" t="str">
            <v>X105890-2</v>
          </cell>
          <cell r="AR527" t="str">
            <v>X105890-3</v>
          </cell>
          <cell r="AS527" t="str">
            <v>X105890-4</v>
          </cell>
          <cell r="AT527" t="str">
            <v>X105890-5</v>
          </cell>
          <cell r="AU527" t="str">
            <v>X105890-6</v>
          </cell>
          <cell r="AV527" t="str">
            <v>X105890G1-0 cam</v>
          </cell>
          <cell r="AW527">
            <v>0</v>
          </cell>
          <cell r="AX527">
            <v>0</v>
          </cell>
          <cell r="AY527" t="str">
            <v>500x860</v>
          </cell>
          <cell r="AZ527" t="str">
            <v>A2</v>
          </cell>
          <cell r="BA527">
            <v>3500</v>
          </cell>
          <cell r="BB527" t="str">
            <v>Thùng 5 lớp 42x34x36</v>
          </cell>
          <cell r="BC527">
            <v>0</v>
          </cell>
          <cell r="BD527" t="str">
            <v>In chung zcam số 0 với sp 1055</v>
          </cell>
        </row>
        <row r="528">
          <cell r="A528" t="str">
            <v>sp 1051</v>
          </cell>
          <cell r="B528" t="str">
            <v>Túi trà tan cozy ice tea hương bí đao 400g Vĩnh Phúc</v>
          </cell>
          <cell r="C528">
            <v>17.510000000000002</v>
          </cell>
          <cell r="D528">
            <v>2</v>
          </cell>
          <cell r="E528" t="str">
            <v>PET 12x620</v>
          </cell>
          <cell r="F528">
            <v>7</v>
          </cell>
          <cell r="G528" t="str">
            <v>PET</v>
          </cell>
          <cell r="H528">
            <v>0</v>
          </cell>
          <cell r="I528">
            <v>10</v>
          </cell>
          <cell r="J528">
            <v>0.4</v>
          </cell>
          <cell r="K528">
            <v>0.01</v>
          </cell>
          <cell r="L528">
            <v>1</v>
          </cell>
          <cell r="M528">
            <v>5</v>
          </cell>
          <cell r="N528">
            <v>0</v>
          </cell>
          <cell r="O528">
            <v>0.1</v>
          </cell>
          <cell r="P528">
            <v>1</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t="str">
            <v>Al 6x620</v>
          </cell>
          <cell r="AF528" t="str">
            <v>PE 60x630</v>
          </cell>
          <cell r="AG528">
            <v>5.4907199999999996E-2</v>
          </cell>
          <cell r="AH528">
            <v>0.93533333333333324</v>
          </cell>
          <cell r="AI528">
            <v>0.93533333333333324</v>
          </cell>
          <cell r="AJ528">
            <v>9530</v>
          </cell>
          <cell r="AK528">
            <v>9530</v>
          </cell>
          <cell r="AL528" t="str">
            <v>0,0046(0,0023;0,0023)</v>
          </cell>
          <cell r="AM528" t="str">
            <v>túi hàn lưng xếp hông lệch</v>
          </cell>
          <cell r="AN528">
            <v>250</v>
          </cell>
          <cell r="AO528" t="str">
            <v>Công ty TNHH Thế hệ mới Vĩnh Phúc</v>
          </cell>
          <cell r="AP528" t="str">
            <v>X105892-1</v>
          </cell>
          <cell r="AQ528" t="str">
            <v>X105892-2</v>
          </cell>
          <cell r="AR528" t="str">
            <v>X105892-3</v>
          </cell>
          <cell r="AS528" t="str">
            <v>X105892-4</v>
          </cell>
          <cell r="AT528" t="str">
            <v>X105892-5</v>
          </cell>
          <cell r="AU528" t="str">
            <v>X105890-6</v>
          </cell>
          <cell r="AV528" t="str">
            <v>X105892G1- 0 cam</v>
          </cell>
          <cell r="AW528">
            <v>0</v>
          </cell>
          <cell r="AX528">
            <v>0</v>
          </cell>
          <cell r="AY528" t="str">
            <v>500x860</v>
          </cell>
          <cell r="AZ528" t="str">
            <v>A2</v>
          </cell>
          <cell r="BA528">
            <v>3500</v>
          </cell>
          <cell r="BB528" t="str">
            <v>Thùng 5 lớp 42x34x36</v>
          </cell>
          <cell r="BC528">
            <v>0</v>
          </cell>
          <cell r="BD528" t="str">
            <v>in chung cây Trắng số 6 vs sp 1050</v>
          </cell>
        </row>
        <row r="529">
          <cell r="A529" t="str">
            <v>sp 1052</v>
          </cell>
          <cell r="B529" t="str">
            <v>Cuộn bột canh I ốt 190gr Hải Châu</v>
          </cell>
          <cell r="C529">
            <v>11.03</v>
          </cell>
          <cell r="D529">
            <v>4</v>
          </cell>
          <cell r="E529" t="str">
            <v>OPP 20x900</v>
          </cell>
          <cell r="F529">
            <v>7</v>
          </cell>
          <cell r="G529" t="str">
            <v>OPP</v>
          </cell>
          <cell r="H529">
            <v>0.14000000000000001</v>
          </cell>
          <cell r="I529">
            <v>3.82</v>
          </cell>
          <cell r="J529">
            <v>0.74</v>
          </cell>
          <cell r="K529">
            <v>1.27</v>
          </cell>
          <cell r="L529">
            <v>2.0499999999999998</v>
          </cell>
          <cell r="M529">
            <v>1.49</v>
          </cell>
          <cell r="N529">
            <v>0</v>
          </cell>
          <cell r="O529">
            <v>0</v>
          </cell>
          <cell r="P529">
            <v>0</v>
          </cell>
          <cell r="Q529">
            <v>1.1000000000000001</v>
          </cell>
          <cell r="R529">
            <v>0.42</v>
          </cell>
          <cell r="S529">
            <v>0</v>
          </cell>
          <cell r="T529">
            <v>0</v>
          </cell>
          <cell r="U529">
            <v>0</v>
          </cell>
          <cell r="V529">
            <v>0</v>
          </cell>
          <cell r="W529">
            <v>0</v>
          </cell>
          <cell r="X529">
            <v>0</v>
          </cell>
          <cell r="Y529">
            <v>0</v>
          </cell>
          <cell r="Z529">
            <v>0</v>
          </cell>
          <cell r="AA529">
            <v>0</v>
          </cell>
          <cell r="AB529">
            <v>0</v>
          </cell>
          <cell r="AC529">
            <v>0</v>
          </cell>
          <cell r="AD529">
            <v>0</v>
          </cell>
          <cell r="AE529" t="str">
            <v>CPP ĐB 25x900</v>
          </cell>
          <cell r="AF529">
            <v>0</v>
          </cell>
          <cell r="AG529">
            <v>3.6854999999999999E-2</v>
          </cell>
          <cell r="AH529">
            <v>1.1866666666666665</v>
          </cell>
          <cell r="AI529">
            <v>0</v>
          </cell>
          <cell r="AJ529">
            <v>9530</v>
          </cell>
          <cell r="AK529">
            <v>0</v>
          </cell>
          <cell r="AL529">
            <v>2E-3</v>
          </cell>
          <cell r="AM529" t="str">
            <v>dạng cuộn 1000m</v>
          </cell>
          <cell r="AN529">
            <v>220</v>
          </cell>
          <cell r="AO529" t="str">
            <v>Công ty CP Bánh kẹo Hải Châu</v>
          </cell>
          <cell r="AP529" t="str">
            <v>F125814G2-1</v>
          </cell>
          <cell r="AQ529" t="str">
            <v>F125814G2-2</v>
          </cell>
          <cell r="AR529" t="str">
            <v>F125814-3</v>
          </cell>
          <cell r="AS529" t="str">
            <v>F125814-4</v>
          </cell>
          <cell r="AT529" t="str">
            <v>F125814-5</v>
          </cell>
          <cell r="AU529" t="str">
            <v>F125814-6</v>
          </cell>
          <cell r="AV529" t="str">
            <v>F125814-7</v>
          </cell>
          <cell r="AW529" t="str">
            <v>F125814G1-8</v>
          </cell>
          <cell r="AX529">
            <v>0</v>
          </cell>
          <cell r="AY529" t="str">
            <v>525x1100</v>
          </cell>
          <cell r="AZ529" t="str">
            <v>Q2</v>
          </cell>
          <cell r="BA529" t="str">
            <v>2c</v>
          </cell>
          <cell r="BB529" t="str">
            <v>Thùng 3 lớp 55x28x24</v>
          </cell>
          <cell r="BC529">
            <v>0</v>
          </cell>
          <cell r="BD529">
            <v>0</v>
          </cell>
        </row>
        <row r="530">
          <cell r="A530" t="str">
            <v>sp 1053</v>
          </cell>
          <cell r="B530" t="str">
            <v>Túi trà ấm nghiêng tân cương và đặc sản 200g loại 17</v>
          </cell>
          <cell r="C530">
            <v>0</v>
          </cell>
          <cell r="D530">
            <v>2</v>
          </cell>
          <cell r="E530" t="str">
            <v>PET 12x620</v>
          </cell>
          <cell r="F530">
            <v>7</v>
          </cell>
          <cell r="G530" t="str">
            <v>PET</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t="str">
            <v>MPET 12x620</v>
          </cell>
          <cell r="AF530" t="str">
            <v>PE 75x620</v>
          </cell>
          <cell r="AG530">
            <v>6.3844500000000012E-2</v>
          </cell>
          <cell r="AH530">
            <v>0.93533333333333324</v>
          </cell>
          <cell r="AI530">
            <v>1.22</v>
          </cell>
          <cell r="AJ530">
            <v>9530</v>
          </cell>
          <cell r="AK530">
            <v>9530</v>
          </cell>
          <cell r="AL530" t="str">
            <v>0,0053(0,0023;0,003)</v>
          </cell>
          <cell r="AM530" t="str">
            <v>túi hàn lưng xếp hông</v>
          </cell>
          <cell r="AN530">
            <v>340</v>
          </cell>
          <cell r="AO530" t="str">
            <v>Bùi Văn Sỹ</v>
          </cell>
          <cell r="AP530" t="str">
            <v>1707292-1</v>
          </cell>
          <cell r="AQ530" t="str">
            <v>1707292-2</v>
          </cell>
          <cell r="AR530" t="str">
            <v>1707292-3</v>
          </cell>
          <cell r="AS530" t="str">
            <v>1707292-4</v>
          </cell>
          <cell r="AT530" t="str">
            <v>1707292-5</v>
          </cell>
          <cell r="AU530" t="str">
            <v>1707292-6</v>
          </cell>
          <cell r="AV530" t="str">
            <v>1707292-7</v>
          </cell>
          <cell r="AW530">
            <v>0</v>
          </cell>
          <cell r="AX530">
            <v>0</v>
          </cell>
          <cell r="AY530" t="str">
            <v>680x680</v>
          </cell>
          <cell r="AZ530" t="str">
            <v>G3</v>
          </cell>
          <cell r="BA530">
            <v>2500</v>
          </cell>
          <cell r="BB530" t="str">
            <v>Thùng 5 lớp 42x34x36</v>
          </cell>
          <cell r="BC530">
            <v>0</v>
          </cell>
          <cell r="BD530">
            <v>0</v>
          </cell>
        </row>
        <row r="531">
          <cell r="A531" t="str">
            <v>sp 1054</v>
          </cell>
          <cell r="B531" t="str">
            <v>Túi men rượu hương nếp trung tiến 500gr</v>
          </cell>
          <cell r="C531">
            <v>9.5999999999999979</v>
          </cell>
          <cell r="D531">
            <v>2</v>
          </cell>
          <cell r="E531" t="str">
            <v>OPP 20x790</v>
          </cell>
          <cell r="F531">
            <v>8</v>
          </cell>
          <cell r="G531" t="str">
            <v>OPP</v>
          </cell>
          <cell r="H531">
            <v>0.13</v>
          </cell>
          <cell r="I531">
            <v>5.76</v>
          </cell>
          <cell r="J531">
            <v>0.15</v>
          </cell>
          <cell r="K531">
            <v>0.56999999999999995</v>
          </cell>
          <cell r="L531">
            <v>1.8</v>
          </cell>
          <cell r="M531">
            <v>0.94</v>
          </cell>
          <cell r="N531">
            <v>0.19</v>
          </cell>
          <cell r="O531">
            <v>0</v>
          </cell>
          <cell r="P531">
            <v>0.04</v>
          </cell>
          <cell r="Q531">
            <v>0</v>
          </cell>
          <cell r="R531">
            <v>0</v>
          </cell>
          <cell r="S531">
            <v>0.01</v>
          </cell>
          <cell r="T531">
            <v>0.01</v>
          </cell>
          <cell r="U531">
            <v>0</v>
          </cell>
          <cell r="V531">
            <v>0</v>
          </cell>
          <cell r="W531">
            <v>0</v>
          </cell>
          <cell r="X531">
            <v>0</v>
          </cell>
          <cell r="Y531">
            <v>0</v>
          </cell>
          <cell r="Z531">
            <v>0</v>
          </cell>
          <cell r="AA531">
            <v>0</v>
          </cell>
          <cell r="AB531">
            <v>0</v>
          </cell>
          <cell r="AC531">
            <v>0</v>
          </cell>
          <cell r="AD531">
            <v>0</v>
          </cell>
          <cell r="AE531" t="str">
            <v>MCPP/CPP35x395</v>
          </cell>
          <cell r="AF531">
            <v>0</v>
          </cell>
          <cell r="AG531">
            <v>3.9539500000000005E-2</v>
          </cell>
          <cell r="AH531">
            <v>1.56</v>
          </cell>
          <cell r="AI531">
            <v>0</v>
          </cell>
          <cell r="AJ531">
            <v>9530</v>
          </cell>
          <cell r="AK531">
            <v>0</v>
          </cell>
          <cell r="AL531">
            <v>3.0000000000000001E-3</v>
          </cell>
          <cell r="AM531" t="str">
            <v>túi ba biên</v>
          </cell>
          <cell r="AN531">
            <v>270</v>
          </cell>
          <cell r="AO531" t="str">
            <v>Cơ sở men Trung Tiến</v>
          </cell>
          <cell r="AP531" t="e">
            <v>#N/A</v>
          </cell>
          <cell r="AQ531" t="e">
            <v>#N/A</v>
          </cell>
          <cell r="AR531" t="e">
            <v>#N/A</v>
          </cell>
          <cell r="AS531" t="e">
            <v>#N/A</v>
          </cell>
          <cell r="AT531" t="e">
            <v>#N/A</v>
          </cell>
          <cell r="AU531" t="e">
            <v>#N/A</v>
          </cell>
          <cell r="AV531" t="e">
            <v>#N/A</v>
          </cell>
          <cell r="AW531" t="e">
            <v>#N/A</v>
          </cell>
          <cell r="AX531" t="e">
            <v>#N/A</v>
          </cell>
          <cell r="AY531" t="e">
            <v>#N/A</v>
          </cell>
          <cell r="AZ531" t="e">
            <v>#N/A</v>
          </cell>
          <cell r="BA531">
            <v>5000</v>
          </cell>
          <cell r="BB531" t="str">
            <v>Thùng 5 lớp 42x34x36</v>
          </cell>
          <cell r="BC531">
            <v>0</v>
          </cell>
          <cell r="BD531" t="e">
            <v>#N/A</v>
          </cell>
        </row>
        <row r="532">
          <cell r="A532" t="str">
            <v>sp 1055</v>
          </cell>
          <cell r="B532" t="str">
            <v>Túi trà tan cozy ice tea hương đào 400g Vĩnh Phúc</v>
          </cell>
          <cell r="C532">
            <v>10.979999999999999</v>
          </cell>
          <cell r="D532">
            <v>2</v>
          </cell>
          <cell r="E532" t="str">
            <v>PET 12x620</v>
          </cell>
          <cell r="F532">
            <v>7</v>
          </cell>
          <cell r="G532" t="str">
            <v>PET</v>
          </cell>
          <cell r="I532">
            <v>4</v>
          </cell>
          <cell r="J532">
            <v>0.08</v>
          </cell>
          <cell r="K532">
            <v>1.5</v>
          </cell>
          <cell r="L532">
            <v>3.5</v>
          </cell>
          <cell r="M532">
            <v>0.7</v>
          </cell>
          <cell r="N532">
            <v>0</v>
          </cell>
          <cell r="O532">
            <v>0.5</v>
          </cell>
          <cell r="P532">
            <v>0.7</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t="str">
            <v>Al 6x620</v>
          </cell>
          <cell r="AF532" t="str">
            <v>PE 60x630</v>
          </cell>
          <cell r="AG532">
            <v>5.4907199999999996E-2</v>
          </cell>
          <cell r="AH532">
            <v>1.22</v>
          </cell>
          <cell r="AI532">
            <v>1.22</v>
          </cell>
          <cell r="AJ532">
            <v>9530</v>
          </cell>
          <cell r="AK532">
            <v>9530</v>
          </cell>
          <cell r="AL532" t="str">
            <v>0,006(0,003;0,003)</v>
          </cell>
          <cell r="AM532" t="str">
            <v>túi hàn lưng xếp hông lệch</v>
          </cell>
          <cell r="AN532">
            <v>250</v>
          </cell>
          <cell r="AO532" t="str">
            <v>Công ty TNHH Thế hệ mới Vĩnh Phúc</v>
          </cell>
          <cell r="AP532" t="str">
            <v>X106021-1</v>
          </cell>
          <cell r="AQ532" t="str">
            <v>X106021-2</v>
          </cell>
          <cell r="AR532" t="str">
            <v>X106021-3</v>
          </cell>
          <cell r="AS532" t="str">
            <v>X106021-4</v>
          </cell>
          <cell r="AT532" t="str">
            <v>X106021-5</v>
          </cell>
          <cell r="AU532" t="str">
            <v>X105890-6</v>
          </cell>
          <cell r="AV532" t="str">
            <v>X106021G1-0 cam</v>
          </cell>
          <cell r="AW532">
            <v>0</v>
          </cell>
          <cell r="AX532">
            <v>0</v>
          </cell>
          <cell r="AY532" t="str">
            <v>500x860</v>
          </cell>
          <cell r="AZ532" t="str">
            <v>A2</v>
          </cell>
          <cell r="BA532">
            <v>3500</v>
          </cell>
          <cell r="BB532" t="str">
            <v>Thùng 5 lớp 42x34x36</v>
          </cell>
          <cell r="BC532">
            <v>0</v>
          </cell>
          <cell r="BD532" t="str">
            <v>in chung cây Trắng số 6 vs sp 1050</v>
          </cell>
        </row>
        <row r="533">
          <cell r="A533" t="str">
            <v>sp 1056</v>
          </cell>
          <cell r="B533" t="str">
            <v>Cuộn giấy gói túi nội địa 220gr: 115gr Hữu Nghị</v>
          </cell>
          <cell r="C533">
            <v>6.24</v>
          </cell>
          <cell r="D533">
            <v>4</v>
          </cell>
          <cell r="E533" t="str">
            <v>OPP 20x700</v>
          </cell>
          <cell r="F533">
            <v>8</v>
          </cell>
          <cell r="G533" t="str">
            <v>OPP</v>
          </cell>
          <cell r="H533">
            <v>0.08</v>
          </cell>
          <cell r="I533">
            <v>3.2</v>
          </cell>
          <cell r="J533">
            <v>0.06</v>
          </cell>
          <cell r="K533">
            <v>0.03</v>
          </cell>
          <cell r="L533">
            <v>1.18</v>
          </cell>
          <cell r="M533">
            <v>0.83</v>
          </cell>
          <cell r="N533">
            <v>0</v>
          </cell>
          <cell r="O533">
            <v>0.08</v>
          </cell>
          <cell r="P533">
            <v>0.5</v>
          </cell>
          <cell r="Q533">
            <v>0.16</v>
          </cell>
          <cell r="R533">
            <v>0.12</v>
          </cell>
          <cell r="S533">
            <v>0</v>
          </cell>
          <cell r="T533">
            <v>0</v>
          </cell>
          <cell r="U533">
            <v>0</v>
          </cell>
          <cell r="V533">
            <v>0</v>
          </cell>
          <cell r="W533">
            <v>0</v>
          </cell>
          <cell r="X533">
            <v>0</v>
          </cell>
          <cell r="Y533">
            <v>0</v>
          </cell>
          <cell r="Z533">
            <v>0</v>
          </cell>
          <cell r="AA533">
            <v>0</v>
          </cell>
          <cell r="AB533">
            <v>0</v>
          </cell>
          <cell r="AC533">
            <v>0</v>
          </cell>
          <cell r="AD533">
            <v>0</v>
          </cell>
          <cell r="AE533" t="str">
            <v>MCPP 25x700</v>
          </cell>
          <cell r="AF533">
            <v>0</v>
          </cell>
          <cell r="AG533">
            <v>2.8665E-2</v>
          </cell>
          <cell r="AH533">
            <v>1.0579999999999998</v>
          </cell>
          <cell r="AI533">
            <v>0</v>
          </cell>
          <cell r="AJ533">
            <v>9530</v>
          </cell>
          <cell r="AK533">
            <v>0</v>
          </cell>
          <cell r="AL533">
            <v>2.3E-3</v>
          </cell>
          <cell r="AM533" t="str">
            <v>dạng cuộn 1000m</v>
          </cell>
          <cell r="AN533">
            <v>170</v>
          </cell>
          <cell r="AO533" t="str">
            <v>Công ty CP Thực Phẩm Hữu Nghị</v>
          </cell>
          <cell r="AP533" t="str">
            <v>F121164-1</v>
          </cell>
          <cell r="AQ533" t="str">
            <v>F121164-2</v>
          </cell>
          <cell r="AR533" t="str">
            <v>F121164G4NG2-3</v>
          </cell>
          <cell r="AS533" t="str">
            <v>F121164-4</v>
          </cell>
          <cell r="AT533" t="str">
            <v>F121164G4-5</v>
          </cell>
          <cell r="AU533" t="str">
            <v>F121164-6</v>
          </cell>
          <cell r="AV533" t="str">
            <v>F121164G3-7</v>
          </cell>
          <cell r="AW533" t="str">
            <v>F121164G1-0</v>
          </cell>
          <cell r="AX533">
            <v>0</v>
          </cell>
          <cell r="AY533" t="str">
            <v>500x870</v>
          </cell>
          <cell r="AZ533" t="str">
            <v>B1</v>
          </cell>
          <cell r="BA533" t="str">
            <v>2c</v>
          </cell>
          <cell r="BB533" t="str">
            <v>Thùng 3 lớp 55x28x18,bọc nylon</v>
          </cell>
          <cell r="BC533">
            <v>0</v>
          </cell>
          <cell r="BD533" t="str">
            <v>in chung với bộ trục 960 khác cây đỏ cờ số 3</v>
          </cell>
        </row>
        <row r="534">
          <cell r="A534" t="str">
            <v>sp 1057</v>
          </cell>
          <cell r="B534" t="str">
            <v>Túi trà tam mã hương lài 500gr Vĩnh Phúc</v>
          </cell>
          <cell r="C534">
            <v>10.130000000000001</v>
          </cell>
          <cell r="D534">
            <v>2</v>
          </cell>
          <cell r="E534" t="str">
            <v>OPP mờ 20x960</v>
          </cell>
          <cell r="F534">
            <v>7</v>
          </cell>
          <cell r="G534" t="str">
            <v>OPP</v>
          </cell>
          <cell r="H534">
            <v>0.19</v>
          </cell>
          <cell r="I534">
            <v>5.28</v>
          </cell>
          <cell r="J534">
            <v>0.14000000000000001</v>
          </cell>
          <cell r="K534">
            <v>0.38</v>
          </cell>
          <cell r="L534">
            <v>2.81</v>
          </cell>
          <cell r="M534">
            <v>0.56999999999999995</v>
          </cell>
          <cell r="N534">
            <v>0</v>
          </cell>
          <cell r="O534">
            <v>0.24</v>
          </cell>
          <cell r="P534">
            <v>0</v>
          </cell>
          <cell r="Q534">
            <v>0.52</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t="str">
            <v>MPET 12x960</v>
          </cell>
          <cell r="AF534" t="str">
            <v>PE 60x960</v>
          </cell>
          <cell r="AG534">
            <v>8.6879999999999999E-2</v>
          </cell>
          <cell r="AH534">
            <v>1.4566666666666666</v>
          </cell>
          <cell r="AI534">
            <v>1.4566666666666666</v>
          </cell>
          <cell r="AJ534">
            <v>9530</v>
          </cell>
          <cell r="AK534">
            <v>9530</v>
          </cell>
          <cell r="AL534" t="str">
            <v>0,0046(0,0023;0,0023)</v>
          </cell>
          <cell r="AM534" t="str">
            <v>túi bốn biên</v>
          </cell>
          <cell r="AN534">
            <v>340</v>
          </cell>
          <cell r="AO534" t="str">
            <v>Công ty TNHH Thế hệ mới Vĩnh Phúc</v>
          </cell>
          <cell r="AP534" t="str">
            <v>F123477-1</v>
          </cell>
          <cell r="AQ534" t="str">
            <v>F123477-2</v>
          </cell>
          <cell r="AR534" t="str">
            <v>F123477-3</v>
          </cell>
          <cell r="AS534" t="str">
            <v>F123477-4</v>
          </cell>
          <cell r="AT534" t="str">
            <v>F123477-5</v>
          </cell>
          <cell r="AU534" t="str">
            <v>F123477-6</v>
          </cell>
          <cell r="AV534" t="str">
            <v>F122947G1-7</v>
          </cell>
          <cell r="AW534">
            <v>0</v>
          </cell>
          <cell r="AX534">
            <v>0</v>
          </cell>
          <cell r="AY534" t="str">
            <v>680x1100</v>
          </cell>
          <cell r="AZ534" t="str">
            <v>A2</v>
          </cell>
          <cell r="BA534">
            <v>1800</v>
          </cell>
          <cell r="BB534" t="str">
            <v>Thùng 5 lớp 42x34x33</v>
          </cell>
          <cell r="BC534">
            <v>0</v>
          </cell>
          <cell r="BD534" t="str">
            <v>in chung cây trắng số 7 của sp 1059</v>
          </cell>
        </row>
        <row r="535">
          <cell r="A535" t="str">
            <v>sp 1058</v>
          </cell>
          <cell r="B535" t="str">
            <v>Túi trà tam mã hương sâm dứa 500gr Vĩnh Phúc</v>
          </cell>
          <cell r="C535">
            <v>9.3500000000000014</v>
          </cell>
          <cell r="D535">
            <v>2</v>
          </cell>
          <cell r="E535" t="str">
            <v>OPP mờ 20x960</v>
          </cell>
          <cell r="F535">
            <v>7</v>
          </cell>
          <cell r="G535" t="str">
            <v>OPP</v>
          </cell>
          <cell r="H535">
            <v>0.19</v>
          </cell>
          <cell r="I535">
            <v>5.14</v>
          </cell>
          <cell r="J535">
            <v>0.09</v>
          </cell>
          <cell r="K535">
            <v>0.37</v>
          </cell>
          <cell r="L535">
            <v>2.76</v>
          </cell>
          <cell r="M535">
            <v>0.56000000000000005</v>
          </cell>
          <cell r="N535">
            <v>0</v>
          </cell>
          <cell r="O535">
            <v>0.01</v>
          </cell>
          <cell r="P535">
            <v>0.14000000000000001</v>
          </cell>
          <cell r="Q535">
            <v>0.09</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t="str">
            <v>MPET 12x960</v>
          </cell>
          <cell r="AF535" t="str">
            <v>PE 60x960</v>
          </cell>
          <cell r="AG535">
            <v>8.6879999999999999E-2</v>
          </cell>
          <cell r="AH535">
            <v>1.4566666666666666</v>
          </cell>
          <cell r="AI535">
            <v>1.4566666666666666</v>
          </cell>
          <cell r="AJ535">
            <v>9530</v>
          </cell>
          <cell r="AK535">
            <v>9530</v>
          </cell>
          <cell r="AL535" t="str">
            <v>0,0046(0,0023;0,0023)</v>
          </cell>
          <cell r="AM535" t="str">
            <v>túi bốn biên</v>
          </cell>
          <cell r="AN535">
            <v>340</v>
          </cell>
          <cell r="AO535" t="str">
            <v>Công ty TNHH Thế hệ mới Vĩnh Phúc</v>
          </cell>
          <cell r="AP535" t="str">
            <v>F123473-1</v>
          </cell>
          <cell r="AQ535" t="str">
            <v>F123473-2</v>
          </cell>
          <cell r="AR535" t="str">
            <v>F123473-3</v>
          </cell>
          <cell r="AS535" t="str">
            <v>F123473-4</v>
          </cell>
          <cell r="AT535" t="str">
            <v>F123473-5</v>
          </cell>
          <cell r="AU535" t="str">
            <v>F123473-6</v>
          </cell>
          <cell r="AV535" t="str">
            <v>F122947G1-7</v>
          </cell>
          <cell r="AW535">
            <v>0</v>
          </cell>
          <cell r="AX535">
            <v>0</v>
          </cell>
          <cell r="AY535" t="str">
            <v>680x1100</v>
          </cell>
          <cell r="AZ535" t="str">
            <v>A2</v>
          </cell>
          <cell r="BA535">
            <v>1800</v>
          </cell>
          <cell r="BB535" t="str">
            <v>Thùng 5 lớp 42x34x33</v>
          </cell>
          <cell r="BC535">
            <v>0</v>
          </cell>
          <cell r="BD535" t="str">
            <v>in chung cây trắng 7 của sp 1059</v>
          </cell>
        </row>
        <row r="536">
          <cell r="A536" t="str">
            <v>sp 1059</v>
          </cell>
          <cell r="B536" t="str">
            <v>Túi trà tam mã hương hồng trà 500gr Vĩnh Phúc</v>
          </cell>
          <cell r="C536">
            <v>10.19</v>
          </cell>
          <cell r="D536">
            <v>2</v>
          </cell>
          <cell r="E536" t="str">
            <v>OPP mờ 20x960</v>
          </cell>
          <cell r="F536">
            <v>7</v>
          </cell>
          <cell r="G536" t="str">
            <v>OPP</v>
          </cell>
          <cell r="H536">
            <v>0.01</v>
          </cell>
          <cell r="I536">
            <v>5.18</v>
          </cell>
          <cell r="J536">
            <v>0.01</v>
          </cell>
          <cell r="K536">
            <v>0.28000000000000003</v>
          </cell>
          <cell r="L536">
            <v>2.21</v>
          </cell>
          <cell r="M536">
            <v>0.75</v>
          </cell>
          <cell r="N536">
            <v>0</v>
          </cell>
          <cell r="O536">
            <v>0</v>
          </cell>
          <cell r="P536">
            <v>0.85</v>
          </cell>
          <cell r="Q536">
            <v>0.9</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t="str">
            <v>MPET 12x960</v>
          </cell>
          <cell r="AF536" t="str">
            <v>PE 60x960</v>
          </cell>
          <cell r="AG536">
            <v>8.6879999999999999E-2</v>
          </cell>
          <cell r="AH536">
            <v>1.4566666666666666</v>
          </cell>
          <cell r="AI536">
            <v>1.4566666666666666</v>
          </cell>
          <cell r="AJ536">
            <v>9530</v>
          </cell>
          <cell r="AK536">
            <v>9530</v>
          </cell>
          <cell r="AL536" t="str">
            <v>0,0046(0,0023;0,0023)</v>
          </cell>
          <cell r="AM536" t="str">
            <v>túi bốn biên</v>
          </cell>
          <cell r="AN536">
            <v>340</v>
          </cell>
          <cell r="AO536" t="str">
            <v>Công ty TNHH Thế hệ mới Vĩnh Phúc</v>
          </cell>
          <cell r="AP536">
            <v>0</v>
          </cell>
          <cell r="AQ536" t="str">
            <v>F122947-2</v>
          </cell>
          <cell r="AR536" t="str">
            <v>F122947-3</v>
          </cell>
          <cell r="AS536" t="str">
            <v>F122947-4</v>
          </cell>
          <cell r="AT536" t="str">
            <v>F122947-5</v>
          </cell>
          <cell r="AU536" t="str">
            <v>F122947-6</v>
          </cell>
          <cell r="AV536" t="str">
            <v>F122947G1-7</v>
          </cell>
          <cell r="AW536">
            <v>0</v>
          </cell>
          <cell r="AX536">
            <v>0</v>
          </cell>
          <cell r="AY536" t="str">
            <v>680x1100</v>
          </cell>
          <cell r="AZ536" t="str">
            <v>A2</v>
          </cell>
          <cell r="BA536">
            <v>1800</v>
          </cell>
          <cell r="BB536" t="str">
            <v>Thùng 5 lớp 42x34x33</v>
          </cell>
          <cell r="BC536">
            <v>0</v>
          </cell>
          <cell r="BD536">
            <v>0</v>
          </cell>
        </row>
        <row r="537">
          <cell r="A537" t="str">
            <v>sp 1060</v>
          </cell>
          <cell r="B537" t="str">
            <v>Túi trà quả cầu xanh đặc sản 500g loại 21</v>
          </cell>
          <cell r="C537">
            <v>7.379999999999999</v>
          </cell>
          <cell r="D537">
            <v>2</v>
          </cell>
          <cell r="E537" t="str">
            <v>PET 12x760</v>
          </cell>
          <cell r="F537">
            <v>5</v>
          </cell>
          <cell r="G537" t="str">
            <v>PET</v>
          </cell>
          <cell r="H537">
            <v>0.46</v>
          </cell>
          <cell r="I537">
            <v>1.6</v>
          </cell>
          <cell r="J537">
            <v>0.23</v>
          </cell>
          <cell r="K537">
            <v>0</v>
          </cell>
          <cell r="L537">
            <v>0.01</v>
          </cell>
          <cell r="M537">
            <v>2.5099999999999998</v>
          </cell>
          <cell r="N537">
            <v>2.5099999999999998</v>
          </cell>
          <cell r="O537">
            <v>0.06</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t="str">
            <v>MPET 12x760</v>
          </cell>
          <cell r="AF537" t="str">
            <v>PE 80x760</v>
          </cell>
          <cell r="AG537">
            <v>8.1776000000000001E-2</v>
          </cell>
          <cell r="AH537">
            <v>1.1499999999999999</v>
          </cell>
          <cell r="AI537">
            <v>1.5</v>
          </cell>
          <cell r="AJ537">
            <v>9530</v>
          </cell>
          <cell r="AK537">
            <v>9530</v>
          </cell>
          <cell r="AL537" t="str">
            <v>0,0046(0,0023;0,0023)</v>
          </cell>
          <cell r="AM537" t="str">
            <v>túi hàn lưng xếp hông</v>
          </cell>
          <cell r="AN537">
            <v>420</v>
          </cell>
          <cell r="AO537" t="str">
            <v>Bùi Văn Sỹ</v>
          </cell>
          <cell r="AP537" t="str">
            <v>1904583-1</v>
          </cell>
          <cell r="AQ537" t="str">
            <v>1904582-2</v>
          </cell>
          <cell r="AR537" t="str">
            <v>1904582-3</v>
          </cell>
          <cell r="AS537" t="str">
            <v>1904583-4</v>
          </cell>
          <cell r="AT537" t="str">
            <v>1904583-5</v>
          </cell>
          <cell r="AU537" t="str">
            <v>1904583X2-1</v>
          </cell>
          <cell r="AV537">
            <v>0</v>
          </cell>
          <cell r="AW537">
            <v>0</v>
          </cell>
          <cell r="AX537">
            <v>0</v>
          </cell>
          <cell r="AY537" t="str">
            <v>420x850</v>
          </cell>
          <cell r="AZ537" t="str">
            <v>G3</v>
          </cell>
          <cell r="BA537">
            <v>1500</v>
          </cell>
          <cell r="BB537" t="str">
            <v>Thùng 5 lớp 42x34x36</v>
          </cell>
          <cell r="BC537">
            <v>0</v>
          </cell>
          <cell r="BD537" t="str">
            <v>in giống sp 1036</v>
          </cell>
        </row>
        <row r="538">
          <cell r="A538" t="str">
            <v>sp 1061</v>
          </cell>
          <cell r="B538">
            <v>0</v>
          </cell>
          <cell r="C538">
            <v>0</v>
          </cell>
          <cell r="D538">
            <v>0</v>
          </cell>
          <cell r="E538">
            <v>0</v>
          </cell>
          <cell r="F538">
            <v>0</v>
          </cell>
          <cell r="G538" t="str">
            <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t="str">
            <v>F123985-1</v>
          </cell>
          <cell r="AQ538" t="str">
            <v>F123985-2</v>
          </cell>
          <cell r="AR538" t="str">
            <v>F123985-3</v>
          </cell>
          <cell r="AS538" t="str">
            <v>F123985-4</v>
          </cell>
          <cell r="AT538" t="str">
            <v>F123985-5</v>
          </cell>
          <cell r="AU538" t="str">
            <v>F123985-6</v>
          </cell>
          <cell r="AV538" t="str">
            <v>F123985-7</v>
          </cell>
          <cell r="AW538" t="str">
            <v>F123985-8</v>
          </cell>
          <cell r="AX538">
            <v>0</v>
          </cell>
          <cell r="AY538" t="str">
            <v>500x1100</v>
          </cell>
          <cell r="AZ538" t="str">
            <v>B1</v>
          </cell>
          <cell r="BA538">
            <v>0</v>
          </cell>
          <cell r="BB538">
            <v>0</v>
          </cell>
          <cell r="BC538">
            <v>0</v>
          </cell>
          <cell r="BD538">
            <v>0</v>
          </cell>
        </row>
        <row r="539">
          <cell r="A539" t="str">
            <v>sp 1062</v>
          </cell>
          <cell r="B539" t="str">
            <v>Cuộn trà tan loại que ice tea hương chanh dây</v>
          </cell>
          <cell r="C539">
            <v>7.6450000000000005</v>
          </cell>
          <cell r="D539">
            <v>1</v>
          </cell>
          <cell r="E539" t="str">
            <v>PET 12x820</v>
          </cell>
          <cell r="F539">
            <v>7</v>
          </cell>
          <cell r="G539" t="str">
            <v>PET</v>
          </cell>
          <cell r="H539">
            <v>0.02</v>
          </cell>
          <cell r="I539">
            <v>3.49</v>
          </cell>
          <cell r="J539">
            <v>0.51</v>
          </cell>
          <cell r="K539">
            <v>0.04</v>
          </cell>
          <cell r="L539">
            <v>3.32</v>
          </cell>
          <cell r="M539">
            <v>0.255</v>
          </cell>
          <cell r="N539">
            <v>0</v>
          </cell>
          <cell r="O539">
            <v>0</v>
          </cell>
          <cell r="P539">
            <v>0</v>
          </cell>
          <cell r="Q539">
            <v>0</v>
          </cell>
          <cell r="R539">
            <v>0.01</v>
          </cell>
          <cell r="S539">
            <v>0</v>
          </cell>
          <cell r="T539">
            <v>0</v>
          </cell>
          <cell r="U539">
            <v>0</v>
          </cell>
          <cell r="V539">
            <v>0</v>
          </cell>
          <cell r="W539">
            <v>0</v>
          </cell>
          <cell r="X539">
            <v>0</v>
          </cell>
          <cell r="Y539">
            <v>0</v>
          </cell>
          <cell r="Z539">
            <v>0</v>
          </cell>
          <cell r="AA539">
            <v>0</v>
          </cell>
          <cell r="AB539">
            <v>0</v>
          </cell>
          <cell r="AC539">
            <v>0</v>
          </cell>
          <cell r="AD539">
            <v>0</v>
          </cell>
          <cell r="AE539" t="str">
            <v>Al 6x820</v>
          </cell>
          <cell r="AF539" t="str">
            <v>CPP 60x820</v>
          </cell>
          <cell r="AG539">
            <v>7.1881199999999992E-2</v>
          </cell>
          <cell r="AH539">
            <v>1.242</v>
          </cell>
          <cell r="AI539">
            <v>1.242</v>
          </cell>
          <cell r="AJ539">
            <v>9530</v>
          </cell>
          <cell r="AK539">
            <v>9530</v>
          </cell>
          <cell r="AL539" t="str">
            <v>0,0046(0,0023;0,0023)</v>
          </cell>
          <cell r="AM539" t="str">
            <v>dạng cuộn 1000m</v>
          </cell>
          <cell r="AN539">
            <v>800</v>
          </cell>
          <cell r="AO539" t="str">
            <v>Công ty TNHH Thế hệ mới Vĩnh Phúc</v>
          </cell>
          <cell r="AP539" t="str">
            <v xml:space="preserve">F123486-1 </v>
          </cell>
          <cell r="AQ539" t="str">
            <v xml:space="preserve">F123486-2 </v>
          </cell>
          <cell r="AR539" t="str">
            <v xml:space="preserve">F123486-3 </v>
          </cell>
          <cell r="AS539" t="str">
            <v>F123486-4</v>
          </cell>
          <cell r="AT539" t="str">
            <v>F123486-5</v>
          </cell>
          <cell r="AU539" t="str">
            <v>F123486-6</v>
          </cell>
          <cell r="AV539" t="str">
            <v>F123486-7</v>
          </cell>
          <cell r="AW539">
            <v>0</v>
          </cell>
          <cell r="AX539">
            <v>0</v>
          </cell>
          <cell r="AY539" t="str">
            <v>450x1100</v>
          </cell>
          <cell r="AZ539" t="str">
            <v>A2</v>
          </cell>
          <cell r="BA539">
            <v>0</v>
          </cell>
          <cell r="BB539">
            <v>0</v>
          </cell>
          <cell r="BC539">
            <v>0</v>
          </cell>
          <cell r="BD539">
            <v>0</v>
          </cell>
        </row>
        <row r="540">
          <cell r="A540" t="str">
            <v>sp 1063</v>
          </cell>
          <cell r="B540" t="str">
            <v>Túi HCK không in KT 155x250 Tân Trà</v>
          </cell>
          <cell r="C540">
            <v>0</v>
          </cell>
          <cell r="D540">
            <v>2</v>
          </cell>
          <cell r="E540" t="str">
            <v>PA 15x640</v>
          </cell>
          <cell r="F540">
            <v>0</v>
          </cell>
          <cell r="G540" t="str">
            <v xml:space="preserve">PA </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t="str">
            <v>PE 45x640</v>
          </cell>
          <cell r="AF540">
            <v>0</v>
          </cell>
          <cell r="AG540">
            <v>3.7679999999999998E-2</v>
          </cell>
          <cell r="AH540">
            <v>0.84</v>
          </cell>
          <cell r="AI540">
            <v>0</v>
          </cell>
          <cell r="AJ540">
            <v>9530</v>
          </cell>
          <cell r="AK540">
            <v>0</v>
          </cell>
          <cell r="AL540">
            <v>2E-3</v>
          </cell>
          <cell r="AM540" t="str">
            <v>túi ba biên</v>
          </cell>
          <cell r="AN540">
            <v>250</v>
          </cell>
          <cell r="AO540" t="str">
            <v>Cơ sở chế biến  hải sản Tân Trà</v>
          </cell>
          <cell r="AP540">
            <v>0</v>
          </cell>
          <cell r="AQ540">
            <v>0</v>
          </cell>
          <cell r="AR540">
            <v>0</v>
          </cell>
          <cell r="AS540">
            <v>0</v>
          </cell>
          <cell r="AT540">
            <v>0</v>
          </cell>
          <cell r="AU540">
            <v>0</v>
          </cell>
          <cell r="AV540">
            <v>0</v>
          </cell>
          <cell r="AW540">
            <v>0</v>
          </cell>
          <cell r="AX540">
            <v>0</v>
          </cell>
          <cell r="AY540">
            <v>0</v>
          </cell>
          <cell r="AZ540">
            <v>0</v>
          </cell>
          <cell r="BA540">
            <v>7000</v>
          </cell>
          <cell r="BB540" t="str">
            <v>Thùng 5 lớp 42x34x36</v>
          </cell>
          <cell r="BC540">
            <v>0</v>
          </cell>
          <cell r="BD540">
            <v>0</v>
          </cell>
        </row>
        <row r="541">
          <cell r="A541" t="str">
            <v>sp 1064</v>
          </cell>
          <cell r="B541" t="str">
            <v>Túi HCK không in KT 155x280 Tân Trà</v>
          </cell>
          <cell r="C541">
            <v>0</v>
          </cell>
          <cell r="D541">
            <v>2</v>
          </cell>
          <cell r="E541" t="str">
            <v>PA 15x640</v>
          </cell>
          <cell r="F541">
            <v>0</v>
          </cell>
          <cell r="G541" t="str">
            <v xml:space="preserve">PA </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t="str">
            <v>PE 45x640</v>
          </cell>
          <cell r="AF541">
            <v>0</v>
          </cell>
          <cell r="AG541">
            <v>3.7679999999999998E-2</v>
          </cell>
          <cell r="AH541">
            <v>0.84</v>
          </cell>
          <cell r="AI541">
            <v>0</v>
          </cell>
          <cell r="AJ541">
            <v>9530</v>
          </cell>
          <cell r="AK541">
            <v>0</v>
          </cell>
          <cell r="AL541">
            <v>2E-3</v>
          </cell>
          <cell r="AM541" t="str">
            <v>túi ba biên</v>
          </cell>
          <cell r="AN541">
            <v>250</v>
          </cell>
          <cell r="AO541" t="str">
            <v>Cơ sở chế biến  hải sản Tân Trà</v>
          </cell>
          <cell r="AP541">
            <v>0</v>
          </cell>
          <cell r="AQ541">
            <v>0</v>
          </cell>
          <cell r="AR541">
            <v>0</v>
          </cell>
          <cell r="AS541">
            <v>0</v>
          </cell>
          <cell r="AT541">
            <v>0</v>
          </cell>
          <cell r="AU541">
            <v>0</v>
          </cell>
          <cell r="AV541">
            <v>0</v>
          </cell>
          <cell r="AW541">
            <v>0</v>
          </cell>
          <cell r="AX541">
            <v>0</v>
          </cell>
          <cell r="AY541">
            <v>0</v>
          </cell>
          <cell r="AZ541">
            <v>0</v>
          </cell>
          <cell r="BA541">
            <v>6500</v>
          </cell>
          <cell r="BB541" t="str">
            <v>Thùng 5 lớp 42x34x36</v>
          </cell>
          <cell r="BC541">
            <v>0</v>
          </cell>
          <cell r="BD541">
            <v>0</v>
          </cell>
        </row>
        <row r="542">
          <cell r="A542" t="str">
            <v>sp 1065</v>
          </cell>
          <cell r="B542" t="str">
            <v>Cuộn bánh quẩy Lộc Phát vị mật ong 135gr - Anko</v>
          </cell>
          <cell r="C542">
            <v>8.0399999999999991</v>
          </cell>
          <cell r="D542">
            <v>2</v>
          </cell>
          <cell r="E542" t="str">
            <v>OPP 20x860</v>
          </cell>
          <cell r="F542">
            <v>7</v>
          </cell>
          <cell r="G542" t="str">
            <v>OPP</v>
          </cell>
          <cell r="H542">
            <v>0.1</v>
          </cell>
          <cell r="I542">
            <v>5</v>
          </cell>
          <cell r="J542">
            <v>0.05</v>
          </cell>
          <cell r="K542">
            <v>0.25</v>
          </cell>
          <cell r="L542">
            <v>1.3</v>
          </cell>
          <cell r="M542">
            <v>0.7</v>
          </cell>
          <cell r="N542">
            <v>0</v>
          </cell>
          <cell r="O542">
            <v>0</v>
          </cell>
          <cell r="P542">
            <v>0.23</v>
          </cell>
          <cell r="Q542">
            <v>0.4</v>
          </cell>
          <cell r="R542">
            <v>0</v>
          </cell>
          <cell r="S542">
            <v>0</v>
          </cell>
          <cell r="T542">
            <v>0.01</v>
          </cell>
          <cell r="U542">
            <v>0</v>
          </cell>
          <cell r="V542">
            <v>0</v>
          </cell>
          <cell r="W542">
            <v>0</v>
          </cell>
          <cell r="X542">
            <v>0</v>
          </cell>
          <cell r="Y542">
            <v>0</v>
          </cell>
          <cell r="Z542">
            <v>0</v>
          </cell>
          <cell r="AA542">
            <v>0</v>
          </cell>
          <cell r="AB542">
            <v>0</v>
          </cell>
          <cell r="AC542">
            <v>0</v>
          </cell>
          <cell r="AD542">
            <v>0</v>
          </cell>
          <cell r="AE542" t="str">
            <v>MPET 12x860</v>
          </cell>
          <cell r="AF542" t="str">
            <v>PE 45x860</v>
          </cell>
          <cell r="AG542">
            <v>6.5897499999999998E-2</v>
          </cell>
          <cell r="AH542">
            <v>1.4166666666666667</v>
          </cell>
          <cell r="AI542">
            <v>1.7</v>
          </cell>
          <cell r="AJ542">
            <v>9530</v>
          </cell>
          <cell r="AK542">
            <v>9530</v>
          </cell>
          <cell r="AL542" t="str">
            <v>0,005(0,0025;0,0025)</v>
          </cell>
          <cell r="AM542" t="str">
            <v>dạng cuộn 1000m</v>
          </cell>
          <cell r="AN542">
            <v>420</v>
          </cell>
          <cell r="AO542" t="str">
            <v>Công ty SX&amp;TM ASI Miền Bắc</v>
          </cell>
          <cell r="AP542" t="str">
            <v>F124018G1-1</v>
          </cell>
          <cell r="AQ542" t="str">
            <v>F124018-2</v>
          </cell>
          <cell r="AR542" t="str">
            <v>F124018-3</v>
          </cell>
          <cell r="AS542" t="str">
            <v>F124018-4</v>
          </cell>
          <cell r="AT542" t="str">
            <v>F124018G2-5</v>
          </cell>
          <cell r="AU542" t="str">
            <v>F124018G1-6</v>
          </cell>
          <cell r="AV542" t="str">
            <v>F124018-7</v>
          </cell>
          <cell r="AW542">
            <v>0</v>
          </cell>
          <cell r="AX542">
            <v>0</v>
          </cell>
          <cell r="AY542" t="str">
            <v>530x1100</v>
          </cell>
          <cell r="AZ542" t="str">
            <v>Q2</v>
          </cell>
          <cell r="BA542" t="str">
            <v>1c</v>
          </cell>
          <cell r="BB542" t="str">
            <v>giấy cartoon, bọc nilong</v>
          </cell>
          <cell r="BC542">
            <v>0</v>
          </cell>
          <cell r="BD542">
            <v>0</v>
          </cell>
        </row>
        <row r="543">
          <cell r="A543" t="str">
            <v>sp 1066</v>
          </cell>
          <cell r="B543" t="str">
            <v>Túi hương trầm Liên Đức KT 140x465</v>
          </cell>
          <cell r="C543">
            <v>0</v>
          </cell>
          <cell r="D543">
            <v>4</v>
          </cell>
          <cell r="E543" t="str">
            <v>OPP 20x580</v>
          </cell>
          <cell r="F543">
            <v>4</v>
          </cell>
          <cell r="G543" t="str">
            <v>OPP</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t="str">
            <v>PE30x580</v>
          </cell>
          <cell r="AF543">
            <v>0</v>
          </cell>
          <cell r="AG543">
            <v>2.6651000000000001E-2</v>
          </cell>
          <cell r="AH543">
            <v>0.68399999999999994</v>
          </cell>
          <cell r="AI543">
            <v>0</v>
          </cell>
          <cell r="AJ543">
            <v>9530</v>
          </cell>
          <cell r="AK543">
            <v>0</v>
          </cell>
          <cell r="AL543">
            <v>1.8E-3</v>
          </cell>
          <cell r="AM543" t="str">
            <v>túi ba biên</v>
          </cell>
          <cell r="AN543">
            <v>465</v>
          </cell>
          <cell r="AO543" t="str">
            <v>Doanh nghiệp tư nhân Bảy Lương</v>
          </cell>
          <cell r="AP543" t="str">
            <v>1908189-1</v>
          </cell>
          <cell r="AQ543" t="str">
            <v>1908189-2</v>
          </cell>
          <cell r="AR543" t="str">
            <v>1908189-3</v>
          </cell>
          <cell r="AS543" t="str">
            <v>1908189-4</v>
          </cell>
          <cell r="AT543" t="str">
            <v>1908189-5</v>
          </cell>
          <cell r="AU543">
            <v>0</v>
          </cell>
          <cell r="AV543">
            <v>0</v>
          </cell>
          <cell r="AW543">
            <v>0</v>
          </cell>
          <cell r="AX543">
            <v>0</v>
          </cell>
          <cell r="AY543" t="str">
            <v>465x850</v>
          </cell>
          <cell r="AZ543" t="str">
            <v>Q2</v>
          </cell>
          <cell r="BA543">
            <v>16000</v>
          </cell>
          <cell r="BB543" t="str">
            <v>bao dứa</v>
          </cell>
          <cell r="BC543">
            <v>0</v>
          </cell>
          <cell r="BD543">
            <v>0</v>
          </cell>
        </row>
        <row r="544">
          <cell r="A544" t="str">
            <v>sp 1067</v>
          </cell>
          <cell r="B544" t="str">
            <v>Cuộn bột giặt Kawashi 3000g - Kwash</v>
          </cell>
          <cell r="C544">
            <v>5.9469999999999992</v>
          </cell>
          <cell r="D544">
            <v>1</v>
          </cell>
          <cell r="E544" t="str">
            <v>PA 15x670</v>
          </cell>
          <cell r="F544">
            <v>6</v>
          </cell>
          <cell r="G544" t="str">
            <v xml:space="preserve">PA </v>
          </cell>
          <cell r="H544">
            <v>0.59</v>
          </cell>
          <cell r="I544">
            <v>0</v>
          </cell>
          <cell r="J544">
            <v>0.59</v>
          </cell>
          <cell r="K544">
            <v>0.28999999999999998</v>
          </cell>
          <cell r="L544">
            <v>0</v>
          </cell>
          <cell r="M544">
            <v>0.58699999999999997</v>
          </cell>
          <cell r="N544">
            <v>0</v>
          </cell>
          <cell r="O544">
            <v>0</v>
          </cell>
          <cell r="P544">
            <v>2.13</v>
          </cell>
          <cell r="Q544">
            <v>0</v>
          </cell>
          <cell r="R544">
            <v>1.76</v>
          </cell>
          <cell r="S544">
            <v>0</v>
          </cell>
          <cell r="T544">
            <v>0</v>
          </cell>
          <cell r="U544">
            <v>0</v>
          </cell>
          <cell r="V544">
            <v>0</v>
          </cell>
          <cell r="W544">
            <v>0</v>
          </cell>
          <cell r="X544">
            <v>0</v>
          </cell>
          <cell r="Y544">
            <v>0</v>
          </cell>
          <cell r="Z544">
            <v>0</v>
          </cell>
          <cell r="AA544">
            <v>0</v>
          </cell>
          <cell r="AB544">
            <v>0</v>
          </cell>
          <cell r="AC544">
            <v>0</v>
          </cell>
          <cell r="AD544">
            <v>0</v>
          </cell>
          <cell r="AE544" t="str">
            <v>PE sứ 90x670</v>
          </cell>
          <cell r="AF544">
            <v>0</v>
          </cell>
          <cell r="AG544">
            <v>6.7335000000000006E-2</v>
          </cell>
          <cell r="AH544">
            <v>1.32</v>
          </cell>
          <cell r="AI544">
            <v>0</v>
          </cell>
          <cell r="AJ544">
            <v>9530</v>
          </cell>
          <cell r="AK544">
            <v>0</v>
          </cell>
          <cell r="AL544">
            <v>3.0000000000000001E-3</v>
          </cell>
          <cell r="AM544" t="str">
            <v>dạng cuộn 1000m</v>
          </cell>
          <cell r="AN544">
            <v>650</v>
          </cell>
          <cell r="AO544" t="str">
            <v>Công ty TNHH K-WASH Việt Nam</v>
          </cell>
          <cell r="AP544" t="str">
            <v>F124026-1</v>
          </cell>
          <cell r="AQ544" t="str">
            <v>F124026-2</v>
          </cell>
          <cell r="AR544" t="str">
            <v>F124026-3</v>
          </cell>
          <cell r="AS544" t="str">
            <v>F124026-4</v>
          </cell>
          <cell r="AT544" t="str">
            <v>F124026-5</v>
          </cell>
          <cell r="AU544" t="str">
            <v>F124026-6</v>
          </cell>
          <cell r="AV544">
            <v>0</v>
          </cell>
          <cell r="AW544">
            <v>0</v>
          </cell>
          <cell r="AX544">
            <v>0</v>
          </cell>
          <cell r="AY544" t="str">
            <v>860x432</v>
          </cell>
          <cell r="AZ544" t="str">
            <v>Q2</v>
          </cell>
          <cell r="BA544" t="str">
            <v>1c</v>
          </cell>
          <cell r="BB544" t="str">
            <v>giấy cartoon</v>
          </cell>
          <cell r="BC544">
            <v>0</v>
          </cell>
          <cell r="BD544">
            <v>0</v>
          </cell>
        </row>
        <row r="545">
          <cell r="A545" t="str">
            <v>sp 1068</v>
          </cell>
          <cell r="B545" t="str">
            <v>Cuộn bột giặt chất lượng cao Will 2,5kg Đức Giang</v>
          </cell>
          <cell r="C545">
            <v>4.5720000000000001</v>
          </cell>
          <cell r="D545">
            <v>1</v>
          </cell>
          <cell r="E545" t="str">
            <v>PET 12x630</v>
          </cell>
          <cell r="F545">
            <v>1</v>
          </cell>
          <cell r="G545" t="str">
            <v>PET</v>
          </cell>
          <cell r="H545">
            <v>1.21</v>
          </cell>
          <cell r="I545">
            <v>0</v>
          </cell>
          <cell r="J545">
            <v>0.01</v>
          </cell>
          <cell r="K545">
            <v>0.43</v>
          </cell>
          <cell r="L545">
            <v>0.39</v>
          </cell>
          <cell r="M545">
            <v>0.77200000000000002</v>
          </cell>
          <cell r="N545">
            <v>0</v>
          </cell>
          <cell r="O545">
            <v>0</v>
          </cell>
          <cell r="P545">
            <v>1.45</v>
          </cell>
          <cell r="Q545">
            <v>0</v>
          </cell>
          <cell r="R545">
            <v>0.31</v>
          </cell>
          <cell r="S545">
            <v>0</v>
          </cell>
          <cell r="T545">
            <v>0</v>
          </cell>
          <cell r="U545">
            <v>0</v>
          </cell>
          <cell r="V545">
            <v>0</v>
          </cell>
          <cell r="W545">
            <v>0</v>
          </cell>
          <cell r="X545">
            <v>0</v>
          </cell>
          <cell r="Y545">
            <v>0</v>
          </cell>
          <cell r="Z545">
            <v>0</v>
          </cell>
          <cell r="AA545">
            <v>0</v>
          </cell>
          <cell r="AB545">
            <v>0</v>
          </cell>
          <cell r="AC545">
            <v>0</v>
          </cell>
          <cell r="AD545">
            <v>0</v>
          </cell>
          <cell r="AE545" t="str">
            <v>PE sứ 90x630</v>
          </cell>
          <cell r="AF545">
            <v>0</v>
          </cell>
          <cell r="AG545">
            <v>6.3031500000000004E-2</v>
          </cell>
          <cell r="AH545">
            <v>1.24</v>
          </cell>
          <cell r="AI545">
            <v>0</v>
          </cell>
          <cell r="AJ545">
            <v>9530</v>
          </cell>
          <cell r="AK545">
            <v>0</v>
          </cell>
          <cell r="AL545">
            <v>3.0000000000000001E-3</v>
          </cell>
          <cell r="AM545" t="str">
            <v>dạng cuộn 1000m</v>
          </cell>
          <cell r="AN545">
            <v>610</v>
          </cell>
          <cell r="AO545" t="str">
            <v>Công ty Cổ Phần Tập Đoàn Hóa Chất Đức Giang</v>
          </cell>
          <cell r="AP545" t="str">
            <v>F124130-1</v>
          </cell>
          <cell r="AQ545" t="str">
            <v>F124130-2</v>
          </cell>
          <cell r="AR545" t="str">
            <v>F124130-3</v>
          </cell>
          <cell r="AS545" t="str">
            <v>F124130-4</v>
          </cell>
          <cell r="AT545" t="str">
            <v>F124130-5</v>
          </cell>
          <cell r="AU545" t="str">
            <v>F124130-6</v>
          </cell>
          <cell r="AV545">
            <v>0</v>
          </cell>
          <cell r="AW545">
            <v>0</v>
          </cell>
          <cell r="AX545">
            <v>0</v>
          </cell>
          <cell r="AY545" t="str">
            <v>780x860</v>
          </cell>
          <cell r="AZ545" t="str">
            <v>U2</v>
          </cell>
          <cell r="BA545" t="str">
            <v>1c</v>
          </cell>
          <cell r="BB545" t="str">
            <v>giấy cartoon</v>
          </cell>
          <cell r="BC545">
            <v>0</v>
          </cell>
          <cell r="BD545">
            <v>0</v>
          </cell>
        </row>
        <row r="546">
          <cell r="A546" t="str">
            <v>sp 1069</v>
          </cell>
          <cell r="B546" t="str">
            <v>Cuộn bột giặt Nano hương hoa thiên nhiên 3kg - Alo Sun</v>
          </cell>
          <cell r="C546">
            <v>5.84</v>
          </cell>
          <cell r="D546">
            <v>1</v>
          </cell>
          <cell r="E546" t="str">
            <v>PA15x670</v>
          </cell>
          <cell r="F546">
            <v>1</v>
          </cell>
          <cell r="G546" t="str">
            <v>PA1</v>
          </cell>
          <cell r="H546">
            <v>0.01</v>
          </cell>
          <cell r="I546">
            <v>0</v>
          </cell>
          <cell r="J546">
            <v>0.01</v>
          </cell>
          <cell r="K546">
            <v>0.6</v>
          </cell>
          <cell r="L546">
            <v>2.6</v>
          </cell>
          <cell r="M546">
            <v>2</v>
          </cell>
          <cell r="N546">
            <v>0</v>
          </cell>
          <cell r="O546">
            <v>0.6</v>
          </cell>
          <cell r="P546">
            <v>0.01</v>
          </cell>
          <cell r="Q546">
            <v>0</v>
          </cell>
          <cell r="R546">
            <v>0.01</v>
          </cell>
          <cell r="S546">
            <v>0</v>
          </cell>
          <cell r="T546">
            <v>0</v>
          </cell>
          <cell r="U546">
            <v>0</v>
          </cell>
          <cell r="V546">
            <v>0</v>
          </cell>
          <cell r="W546">
            <v>0</v>
          </cell>
          <cell r="X546">
            <v>0</v>
          </cell>
          <cell r="Y546">
            <v>0</v>
          </cell>
          <cell r="Z546">
            <v>0</v>
          </cell>
          <cell r="AA546">
            <v>0</v>
          </cell>
          <cell r="AB546">
            <v>0</v>
          </cell>
          <cell r="AC546">
            <v>0</v>
          </cell>
          <cell r="AD546">
            <v>0</v>
          </cell>
          <cell r="AE546" t="str">
            <v>PE sứ 90x670</v>
          </cell>
          <cell r="AF546">
            <v>0</v>
          </cell>
          <cell r="AG546">
            <v>6.7335000000000006E-2</v>
          </cell>
          <cell r="AH546">
            <v>1.32</v>
          </cell>
          <cell r="AI546">
            <v>0</v>
          </cell>
          <cell r="AJ546">
            <v>9530</v>
          </cell>
          <cell r="AK546">
            <v>0</v>
          </cell>
          <cell r="AL546">
            <v>3.0000000000000001E-3</v>
          </cell>
          <cell r="AM546" t="str">
            <v>dạng cuộn 1000m</v>
          </cell>
          <cell r="AN546">
            <v>650</v>
          </cell>
          <cell r="AO546" t="str">
            <v>Công ty TNHH SX TM Alo Sun</v>
          </cell>
          <cell r="AP546" t="str">
            <v>F124164-1</v>
          </cell>
          <cell r="AQ546" t="str">
            <v>F124164-2</v>
          </cell>
          <cell r="AR546" t="str">
            <v>F124164-3</v>
          </cell>
          <cell r="AS546" t="str">
            <v>F124164-4</v>
          </cell>
          <cell r="AT546" t="str">
            <v>F124164-5</v>
          </cell>
          <cell r="AU546" t="str">
            <v>F124164-6</v>
          </cell>
          <cell r="AV546" t="str">
            <v>F124164-7</v>
          </cell>
          <cell r="AW546">
            <v>0</v>
          </cell>
          <cell r="AX546">
            <v>0</v>
          </cell>
          <cell r="AY546" t="str">
            <v>422x870</v>
          </cell>
          <cell r="AZ546" t="str">
            <v>Q2</v>
          </cell>
          <cell r="BA546" t="str">
            <v>1c</v>
          </cell>
          <cell r="BB546" t="str">
            <v>giấy cartoon</v>
          </cell>
          <cell r="BC546">
            <v>0</v>
          </cell>
          <cell r="BD546">
            <v>0</v>
          </cell>
        </row>
        <row r="547">
          <cell r="A547" t="str">
            <v>sp 1070</v>
          </cell>
          <cell r="B547" t="str">
            <v>Túi trà tan cozy ice tea hương chanh 400gr Vĩnh phúc</v>
          </cell>
          <cell r="C547">
            <v>11.36</v>
          </cell>
          <cell r="D547">
            <v>2</v>
          </cell>
          <cell r="E547" t="str">
            <v>PET 12x620</v>
          </cell>
          <cell r="F547">
            <v>7</v>
          </cell>
          <cell r="G547" t="str">
            <v>PET</v>
          </cell>
          <cell r="H547">
            <v>0</v>
          </cell>
          <cell r="I547">
            <v>5.5</v>
          </cell>
          <cell r="J547">
            <v>1.4</v>
          </cell>
          <cell r="K547">
            <v>0.75</v>
          </cell>
          <cell r="L547">
            <v>0.01</v>
          </cell>
          <cell r="M547">
            <v>2</v>
          </cell>
          <cell r="N547">
            <v>0</v>
          </cell>
          <cell r="O547">
            <v>0.6</v>
          </cell>
          <cell r="P547">
            <v>0</v>
          </cell>
          <cell r="Q547">
            <v>0.1</v>
          </cell>
          <cell r="R547">
            <v>0</v>
          </cell>
          <cell r="S547">
            <v>0</v>
          </cell>
          <cell r="T547">
            <v>1</v>
          </cell>
          <cell r="U547">
            <v>0</v>
          </cell>
          <cell r="V547">
            <v>0</v>
          </cell>
          <cell r="W547">
            <v>0</v>
          </cell>
          <cell r="X547">
            <v>0</v>
          </cell>
          <cell r="Y547">
            <v>0</v>
          </cell>
          <cell r="Z547">
            <v>0</v>
          </cell>
          <cell r="AA547">
            <v>0</v>
          </cell>
          <cell r="AB547">
            <v>0</v>
          </cell>
          <cell r="AC547">
            <v>0</v>
          </cell>
          <cell r="AD547">
            <v>0</v>
          </cell>
          <cell r="AE547" t="str">
            <v>Al 6x620</v>
          </cell>
          <cell r="AF547" t="str">
            <v>PE 60x630</v>
          </cell>
          <cell r="AG547">
            <v>0.14563799999999999</v>
          </cell>
          <cell r="AH547">
            <v>0.93533333333333324</v>
          </cell>
          <cell r="AI547">
            <v>0.93533333333333324</v>
          </cell>
          <cell r="AJ547">
            <v>9530</v>
          </cell>
          <cell r="AK547">
            <v>9530</v>
          </cell>
          <cell r="AL547" t="str">
            <v>0,0046(0,0023;0,0023)</v>
          </cell>
          <cell r="AM547" t="str">
            <v>túi hàn lưng xếp hông lệch</v>
          </cell>
          <cell r="AN547">
            <v>250</v>
          </cell>
          <cell r="AO547" t="str">
            <v>Công ty TNHH Thế hệ mới Vĩnh Phúc</v>
          </cell>
          <cell r="AP547" t="str">
            <v>X106818-1</v>
          </cell>
          <cell r="AQ547" t="str">
            <v>X106818-2</v>
          </cell>
          <cell r="AR547" t="str">
            <v>X106818-3</v>
          </cell>
          <cell r="AS547" t="str">
            <v>X106818-4</v>
          </cell>
          <cell r="AT547" t="str">
            <v>X106818-5</v>
          </cell>
          <cell r="AU547" t="str">
            <v>X106818-6</v>
          </cell>
          <cell r="AV547" t="str">
            <v>X105890-7</v>
          </cell>
          <cell r="AW547">
            <v>0</v>
          </cell>
          <cell r="AX547">
            <v>0</v>
          </cell>
          <cell r="AY547" t="str">
            <v>500x860</v>
          </cell>
          <cell r="AZ547" t="str">
            <v>A3</v>
          </cell>
          <cell r="BA547">
            <v>3500</v>
          </cell>
          <cell r="BB547" t="str">
            <v>Thùng 5 lớp 42x34x36</v>
          </cell>
          <cell r="BC547">
            <v>0</v>
          </cell>
          <cell r="BD547" t="str">
            <v xml:space="preserve">in chung cây trắng sp 1050 </v>
          </cell>
        </row>
        <row r="548">
          <cell r="A548" t="str">
            <v>sp 1071</v>
          </cell>
          <cell r="B548">
            <v>0</v>
          </cell>
          <cell r="C548">
            <v>0</v>
          </cell>
          <cell r="D548">
            <v>0</v>
          </cell>
          <cell r="E548">
            <v>0</v>
          </cell>
          <cell r="F548">
            <v>0</v>
          </cell>
          <cell r="G548" t="str">
            <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t="str">
            <v>19081114-1</v>
          </cell>
          <cell r="AQ548" t="str">
            <v>19081114-2</v>
          </cell>
          <cell r="AR548" t="str">
            <v>19081114-3</v>
          </cell>
          <cell r="AS548" t="str">
            <v>19081114-4</v>
          </cell>
          <cell r="AT548" t="str">
            <v>19081114-5</v>
          </cell>
          <cell r="AU548" t="str">
            <v>19081114-6</v>
          </cell>
          <cell r="AV548">
            <v>0</v>
          </cell>
          <cell r="AW548">
            <v>0</v>
          </cell>
          <cell r="AX548">
            <v>0</v>
          </cell>
          <cell r="AY548" t="str">
            <v>450x870</v>
          </cell>
          <cell r="AZ548" t="str">
            <v>D4</v>
          </cell>
          <cell r="BA548">
            <v>0</v>
          </cell>
          <cell r="BB548">
            <v>0</v>
          </cell>
          <cell r="BC548">
            <v>0</v>
          </cell>
          <cell r="BD548">
            <v>0</v>
          </cell>
        </row>
        <row r="549">
          <cell r="A549" t="str">
            <v>sp 1072</v>
          </cell>
          <cell r="B549" t="str">
            <v>Cuộn thuốc trừ ốc VT-Dax 700WP loại 12gr Việt Thắng</v>
          </cell>
          <cell r="C549">
            <v>2.335</v>
          </cell>
          <cell r="D549">
            <v>3</v>
          </cell>
          <cell r="E549" t="str">
            <v>PET 12x800</v>
          </cell>
          <cell r="F549">
            <v>6</v>
          </cell>
          <cell r="G549" t="str">
            <v>PET</v>
          </cell>
          <cell r="H549">
            <v>0</v>
          </cell>
          <cell r="I549">
            <v>1.2150000000000001</v>
          </cell>
          <cell r="J549">
            <v>0.26400000000000001</v>
          </cell>
          <cell r="K549">
            <v>0.01</v>
          </cell>
          <cell r="L549">
            <v>0.42299999999999999</v>
          </cell>
          <cell r="M549">
            <v>0.42299999999999999</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t="str">
            <v>Al 6x800</v>
          </cell>
          <cell r="AF549" t="str">
            <v>PE 80x800</v>
          </cell>
          <cell r="AG549">
            <v>8.5648000000000016E-2</v>
          </cell>
          <cell r="AH549">
            <v>1.2113333333333334</v>
          </cell>
          <cell r="AI549">
            <v>1.2113333333333334</v>
          </cell>
          <cell r="AJ549">
            <v>9530</v>
          </cell>
          <cell r="AK549">
            <v>9530</v>
          </cell>
          <cell r="AL549" t="str">
            <v>0,0046(0,0023;0,0023)</v>
          </cell>
          <cell r="AM549" t="str">
            <v>dạng cuộn 700m</v>
          </cell>
          <cell r="AN549">
            <v>260</v>
          </cell>
          <cell r="AO549" t="str">
            <v>Công ty Việt Thắng</v>
          </cell>
          <cell r="AP549" t="str">
            <v>21050947-1</v>
          </cell>
          <cell r="AQ549" t="str">
            <v>21050947-2</v>
          </cell>
          <cell r="AR549" t="str">
            <v>21050947-3</v>
          </cell>
          <cell r="AS549" t="str">
            <v>19081115-4</v>
          </cell>
          <cell r="AT549" t="str">
            <v>21050947-5</v>
          </cell>
          <cell r="AU549" t="str">
            <v>19081115-6</v>
          </cell>
          <cell r="AV549">
            <v>0</v>
          </cell>
          <cell r="AW549">
            <v>0</v>
          </cell>
          <cell r="AX549">
            <v>0</v>
          </cell>
          <cell r="AY549" t="str">
            <v>450x870</v>
          </cell>
          <cell r="AZ549" t="str">
            <v>D4</v>
          </cell>
          <cell r="BA549">
            <v>0</v>
          </cell>
          <cell r="BB549">
            <v>0</v>
          </cell>
          <cell r="BC549">
            <v>0</v>
          </cell>
          <cell r="BD549">
            <v>0</v>
          </cell>
        </row>
        <row r="550">
          <cell r="A550" t="str">
            <v>sp 1073</v>
          </cell>
          <cell r="B550" t="str">
            <v>Túi trân châu 3Q 2kg Green Jelly</v>
          </cell>
          <cell r="C550">
            <v>5.4599999999999991</v>
          </cell>
          <cell r="D550">
            <v>1</v>
          </cell>
          <cell r="E550" t="str">
            <v>PA 15x780</v>
          </cell>
          <cell r="F550">
            <v>7</v>
          </cell>
          <cell r="G550" t="str">
            <v xml:space="preserve">PA </v>
          </cell>
          <cell r="H550">
            <v>0.63</v>
          </cell>
          <cell r="I550">
            <v>2.02</v>
          </cell>
          <cell r="J550">
            <v>0.05</v>
          </cell>
          <cell r="K550">
            <v>0.01</v>
          </cell>
          <cell r="L550">
            <v>0.86</v>
          </cell>
          <cell r="M550">
            <v>1.1499999999999999</v>
          </cell>
          <cell r="N550">
            <v>0</v>
          </cell>
          <cell r="O550">
            <v>0.01</v>
          </cell>
          <cell r="P550">
            <v>0</v>
          </cell>
          <cell r="Q550">
            <v>0</v>
          </cell>
          <cell r="R550">
            <v>0</v>
          </cell>
          <cell r="S550">
            <v>0</v>
          </cell>
          <cell r="T550">
            <v>0.73</v>
          </cell>
          <cell r="U550">
            <v>0</v>
          </cell>
          <cell r="V550">
            <v>0</v>
          </cell>
          <cell r="W550">
            <v>0</v>
          </cell>
          <cell r="X550">
            <v>0</v>
          </cell>
          <cell r="Y550">
            <v>0</v>
          </cell>
          <cell r="Z550">
            <v>0</v>
          </cell>
          <cell r="AA550">
            <v>0</v>
          </cell>
          <cell r="AB550">
            <v>0</v>
          </cell>
          <cell r="AC550">
            <v>0</v>
          </cell>
          <cell r="AD550">
            <v>0</v>
          </cell>
          <cell r="AE550" t="str">
            <v>PE 60x780</v>
          </cell>
          <cell r="AF550">
            <v>0</v>
          </cell>
          <cell r="AG550">
            <v>5.6744999999999997E-2</v>
          </cell>
          <cell r="AH550">
            <v>1.1653333333333333</v>
          </cell>
          <cell r="AI550">
            <v>0</v>
          </cell>
          <cell r="AJ550">
            <v>9530</v>
          </cell>
          <cell r="AK550">
            <v>0</v>
          </cell>
          <cell r="AL550">
            <v>2.3E-3</v>
          </cell>
          <cell r="AM550" t="str">
            <v>túi ba biên</v>
          </cell>
          <cell r="AN550">
            <v>380</v>
          </cell>
          <cell r="AO550" t="str">
            <v>Công ty Green Jelly</v>
          </cell>
          <cell r="AP550" t="str">
            <v>F124439-1</v>
          </cell>
          <cell r="AQ550" t="str">
            <v>F124439-2</v>
          </cell>
          <cell r="AR550" t="str">
            <v>F124439-3</v>
          </cell>
          <cell r="AS550" t="str">
            <v>F124439-4</v>
          </cell>
          <cell r="AT550" t="str">
            <v>F124439-5</v>
          </cell>
          <cell r="AU550" t="str">
            <v>F124439-6</v>
          </cell>
          <cell r="AV550" t="str">
            <v>F124439-7</v>
          </cell>
          <cell r="AW550">
            <v>0</v>
          </cell>
          <cell r="AX550">
            <v>0</v>
          </cell>
          <cell r="AY550" t="str">
            <v>440x870</v>
          </cell>
          <cell r="AZ550" t="str">
            <v>Q2</v>
          </cell>
          <cell r="BA550">
            <v>0</v>
          </cell>
          <cell r="BB550">
            <v>0</v>
          </cell>
          <cell r="BC550">
            <v>0</v>
          </cell>
          <cell r="BD550">
            <v>0</v>
          </cell>
        </row>
        <row r="551">
          <cell r="A551" t="str">
            <v>sp 1074</v>
          </cell>
          <cell r="B551" t="str">
            <v>Túi men rượu hương nếp cái hoa vàng trung tiến 500gr</v>
          </cell>
          <cell r="C551">
            <v>10.650000000000002</v>
          </cell>
          <cell r="D551">
            <v>2</v>
          </cell>
          <cell r="E551" t="str">
            <v>OPP 20x780</v>
          </cell>
          <cell r="F551">
            <v>6</v>
          </cell>
          <cell r="G551" t="str">
            <v>OPP</v>
          </cell>
          <cell r="H551">
            <v>0.19</v>
          </cell>
          <cell r="I551">
            <v>5.32</v>
          </cell>
          <cell r="J551">
            <v>0.75</v>
          </cell>
          <cell r="K551">
            <v>1.03</v>
          </cell>
          <cell r="L551">
            <v>0.65</v>
          </cell>
          <cell r="M551">
            <v>1.1200000000000001</v>
          </cell>
          <cell r="N551">
            <v>0</v>
          </cell>
          <cell r="O551">
            <v>0.56000000000000005</v>
          </cell>
          <cell r="P551">
            <v>0.28000000000000003</v>
          </cell>
          <cell r="Q551">
            <v>0.75</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t="str">
            <v>PE sứ 40x780</v>
          </cell>
          <cell r="AF551">
            <v>0</v>
          </cell>
          <cell r="AG551">
            <v>4.3212000000000007E-2</v>
          </cell>
          <cell r="AH551">
            <v>1.1653333333333333</v>
          </cell>
          <cell r="AI551">
            <v>0</v>
          </cell>
          <cell r="AJ551">
            <v>9530</v>
          </cell>
          <cell r="AK551">
            <v>0</v>
          </cell>
          <cell r="AL551">
            <v>2.3E-3</v>
          </cell>
          <cell r="AM551" t="str">
            <v>túi ba biên</v>
          </cell>
          <cell r="AN551">
            <v>270</v>
          </cell>
          <cell r="AO551" t="str">
            <v>Cơ sở men Trung Tiến</v>
          </cell>
          <cell r="AP551" t="str">
            <v>F124247-1</v>
          </cell>
          <cell r="AQ551" t="str">
            <v>F124247-2</v>
          </cell>
          <cell r="AR551" t="str">
            <v>F124247-3</v>
          </cell>
          <cell r="AS551" t="str">
            <v>F124247-4</v>
          </cell>
          <cell r="AT551" t="str">
            <v>F124247-5</v>
          </cell>
          <cell r="AU551" t="str">
            <v>F124247-6</v>
          </cell>
          <cell r="AV551" t="str">
            <v>F124247-7</v>
          </cell>
          <cell r="AW551">
            <v>0</v>
          </cell>
          <cell r="AX551">
            <v>0</v>
          </cell>
          <cell r="AY551" t="str">
            <v>540x870</v>
          </cell>
          <cell r="AZ551" t="str">
            <v>Q2</v>
          </cell>
          <cell r="BA551">
            <v>4000</v>
          </cell>
          <cell r="BB551" t="str">
            <v>Thùng 5 lớp 42x34x36</v>
          </cell>
          <cell r="BC551">
            <v>0</v>
          </cell>
          <cell r="BD551" t="str">
            <v>Bỏ cây trắng do chạy PE sứ</v>
          </cell>
        </row>
        <row r="552">
          <cell r="A552" t="str">
            <v>sp 1075</v>
          </cell>
          <cell r="B552" t="str">
            <v>Túi giống lúa lai 838 cấp giống hạt lai F1 tiếng trung 1kg Thái Bình</v>
          </cell>
          <cell r="C552">
            <v>6.7349999999999994</v>
          </cell>
          <cell r="D552">
            <v>2</v>
          </cell>
          <cell r="E552" t="str">
            <v>PET 12x900</v>
          </cell>
          <cell r="F552">
            <v>7</v>
          </cell>
          <cell r="G552" t="str">
            <v>PET</v>
          </cell>
          <cell r="H552">
            <v>3.5000000000000003E-2</v>
          </cell>
          <cell r="I552">
            <v>2.1800000000000002</v>
          </cell>
          <cell r="J552">
            <v>0.01</v>
          </cell>
          <cell r="K552">
            <v>0.01</v>
          </cell>
          <cell r="L552">
            <v>0.63</v>
          </cell>
          <cell r="M552">
            <v>2.82</v>
          </cell>
          <cell r="N552">
            <v>0</v>
          </cell>
          <cell r="O552">
            <v>0</v>
          </cell>
          <cell r="P552">
            <v>7.0000000000000007E-2</v>
          </cell>
          <cell r="Q552">
            <v>0.98</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t="str">
            <v>PE 82x900</v>
          </cell>
          <cell r="AF552">
            <v>0</v>
          </cell>
          <cell r="AG552">
            <v>8.3385000000000001E-2</v>
          </cell>
          <cell r="AH552">
            <v>1.3493333333333333</v>
          </cell>
          <cell r="AI552">
            <v>0</v>
          </cell>
          <cell r="AJ552">
            <v>9530</v>
          </cell>
          <cell r="AK552">
            <v>0</v>
          </cell>
          <cell r="AL552">
            <v>2.3E-3</v>
          </cell>
          <cell r="AM552" t="str">
            <v>túi ba biên</v>
          </cell>
          <cell r="AN552">
            <v>310</v>
          </cell>
          <cell r="AO552" t="str">
            <v>Công ty Thái Bình</v>
          </cell>
          <cell r="AP552" t="str">
            <v>1909337-1</v>
          </cell>
          <cell r="AQ552" t="str">
            <v>1909337-2</v>
          </cell>
          <cell r="AR552" t="str">
            <v>1909337-3</v>
          </cell>
          <cell r="AS552" t="str">
            <v>1909337-4</v>
          </cell>
          <cell r="AT552" t="str">
            <v>1909337-5</v>
          </cell>
          <cell r="AU552" t="str">
            <v>1909337-6</v>
          </cell>
          <cell r="AV552">
            <v>0</v>
          </cell>
          <cell r="AW552" t="str">
            <v>20110138-8</v>
          </cell>
          <cell r="AX552">
            <v>0</v>
          </cell>
          <cell r="AY552" t="str">
            <v>620x1100</v>
          </cell>
          <cell r="AZ552" t="str">
            <v>I3</v>
          </cell>
          <cell r="BA552">
            <v>0</v>
          </cell>
          <cell r="BB552">
            <v>0</v>
          </cell>
          <cell r="BC552">
            <v>0</v>
          </cell>
          <cell r="BD552">
            <v>0</v>
          </cell>
        </row>
        <row r="553">
          <cell r="A553" t="str">
            <v>sp 1076</v>
          </cell>
          <cell r="B553" t="str">
            <v>Túi giống lúa lai 838 cấp giống hạt lai F1 tiếng trung 40kg Thái Bình</v>
          </cell>
          <cell r="C553">
            <v>6.91</v>
          </cell>
          <cell r="D553">
            <v>1</v>
          </cell>
          <cell r="E553" t="str">
            <v>OPP 18x690</v>
          </cell>
          <cell r="F553">
            <v>5</v>
          </cell>
          <cell r="G553" t="str">
            <v>OPP</v>
          </cell>
          <cell r="H553">
            <v>2</v>
          </cell>
          <cell r="I553">
            <v>0</v>
          </cell>
          <cell r="J553">
            <v>0.01</v>
          </cell>
          <cell r="K553">
            <v>0.01</v>
          </cell>
          <cell r="L553">
            <v>2.23</v>
          </cell>
          <cell r="M553">
            <v>1.67</v>
          </cell>
          <cell r="N553">
            <v>0</v>
          </cell>
          <cell r="O553">
            <v>0</v>
          </cell>
          <cell r="P553">
            <v>0.55000000000000004</v>
          </cell>
          <cell r="Q553">
            <v>0.44</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t="str">
            <v>dạng cuộn 6000m</v>
          </cell>
          <cell r="AN553">
            <v>670</v>
          </cell>
          <cell r="AO553" t="str">
            <v>Công ty Thái Bình</v>
          </cell>
          <cell r="AP553" t="str">
            <v>1909336-1</v>
          </cell>
          <cell r="AQ553" t="str">
            <v>1909336-2</v>
          </cell>
          <cell r="AR553" t="str">
            <v>1909336-3</v>
          </cell>
          <cell r="AS553" t="str">
            <v>1909336-4</v>
          </cell>
          <cell r="AT553" t="str">
            <v>1909336-5</v>
          </cell>
          <cell r="AU553">
            <v>0</v>
          </cell>
          <cell r="AV553">
            <v>0</v>
          </cell>
          <cell r="AW553">
            <v>0</v>
          </cell>
          <cell r="AX553">
            <v>0</v>
          </cell>
          <cell r="AY553" t="str">
            <v>1100x850</v>
          </cell>
          <cell r="AZ553" t="str">
            <v>L1</v>
          </cell>
          <cell r="BA553" t="str">
            <v>1c</v>
          </cell>
          <cell r="BB553" t="str">
            <v>giấy cartoon</v>
          </cell>
          <cell r="BC553">
            <v>0</v>
          </cell>
          <cell r="BD553">
            <v>0</v>
          </cell>
        </row>
        <row r="554">
          <cell r="A554" t="str">
            <v>sp 1077</v>
          </cell>
          <cell r="B554" t="str">
            <v>Cuộn bôt giặt Won 1kg Đức Giang</v>
          </cell>
          <cell r="C554">
            <v>0</v>
          </cell>
          <cell r="D554">
            <v>1</v>
          </cell>
          <cell r="E554" t="str">
            <v>PET 12x520</v>
          </cell>
          <cell r="F554">
            <v>7</v>
          </cell>
          <cell r="G554" t="str">
            <v>PET</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t="str">
            <v>MPET 12x520</v>
          </cell>
          <cell r="AF554" t="str">
            <v>PE 70x520</v>
          </cell>
          <cell r="AG554">
            <v>5.1142000000000014E-2</v>
          </cell>
          <cell r="AH554">
            <v>0.83333333333333337</v>
          </cell>
          <cell r="AI554">
            <v>1</v>
          </cell>
          <cell r="AJ554">
            <v>9530</v>
          </cell>
          <cell r="AK554">
            <v>9530</v>
          </cell>
          <cell r="AL554" t="str">
            <v>0,0055(0,0025;0,003)</v>
          </cell>
          <cell r="AM554" t="str">
            <v>dạng cuộn 500m</v>
          </cell>
          <cell r="AN554">
            <v>500</v>
          </cell>
          <cell r="AO554" t="str">
            <v>Công ty Cổ Phần Tập Đoàn Hóa Chất Đức Giang</v>
          </cell>
          <cell r="AP554" t="str">
            <v>1506971-1</v>
          </cell>
          <cell r="AQ554" t="str">
            <v>1506971-2</v>
          </cell>
          <cell r="AR554" t="str">
            <v>1506971-3</v>
          </cell>
          <cell r="AS554" t="str">
            <v>1506971-4</v>
          </cell>
          <cell r="AT554" t="str">
            <v>1506971-5</v>
          </cell>
          <cell r="AU554" t="str">
            <v>1506971-6</v>
          </cell>
          <cell r="AV554" t="str">
            <v>1506971-7</v>
          </cell>
          <cell r="AW554">
            <v>0</v>
          </cell>
          <cell r="AX554">
            <v>0</v>
          </cell>
          <cell r="AY554" t="str">
            <v>590x720</v>
          </cell>
          <cell r="AZ554" t="str">
            <v>U2</v>
          </cell>
          <cell r="BA554" t="str">
            <v>1c</v>
          </cell>
          <cell r="BB554" t="str">
            <v>giấy cartoon</v>
          </cell>
          <cell r="BC554">
            <v>0</v>
          </cell>
          <cell r="BD554">
            <v>0</v>
          </cell>
        </row>
        <row r="555">
          <cell r="A555" t="str">
            <v>sp 1078</v>
          </cell>
          <cell r="B555" t="str">
            <v>Túi trà quả cầu xanh tân cương 200g loại 21</v>
          </cell>
          <cell r="C555">
            <v>6.5600000000000005</v>
          </cell>
          <cell r="D555">
            <v>2</v>
          </cell>
          <cell r="E555" t="str">
            <v>PET 12x620</v>
          </cell>
          <cell r="F555">
            <v>5</v>
          </cell>
          <cell r="G555" t="str">
            <v>PET</v>
          </cell>
          <cell r="H555">
            <v>0</v>
          </cell>
          <cell r="I555">
            <v>0.15</v>
          </cell>
          <cell r="J555">
            <v>0</v>
          </cell>
          <cell r="K555">
            <v>0</v>
          </cell>
          <cell r="L555">
            <v>1.8</v>
          </cell>
          <cell r="M555">
            <v>3</v>
          </cell>
          <cell r="N555">
            <v>1.6</v>
          </cell>
          <cell r="O555">
            <v>0.01</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t="str">
            <v>MPET 12x620</v>
          </cell>
          <cell r="AF555" t="str">
            <v>PE 75x620</v>
          </cell>
          <cell r="AG555">
            <v>6.3844500000000012E-2</v>
          </cell>
          <cell r="AH555">
            <v>0.93533333333333324</v>
          </cell>
          <cell r="AI555">
            <v>1.22</v>
          </cell>
          <cell r="AJ555">
            <v>9530</v>
          </cell>
          <cell r="AK555">
            <v>9530</v>
          </cell>
          <cell r="AL555" t="str">
            <v>0,0053(0,0023;0,003)</v>
          </cell>
          <cell r="AM555" t="str">
            <v>túi hàn lưng xếp hông</v>
          </cell>
          <cell r="AN555">
            <v>340</v>
          </cell>
          <cell r="AO555" t="str">
            <v>Bùi Văn Sỹ</v>
          </cell>
          <cell r="AP555" t="str">
            <v>1904580-1</v>
          </cell>
          <cell r="AQ555" t="str">
            <v>1904580-2</v>
          </cell>
          <cell r="AR555" t="str">
            <v>1904580-3</v>
          </cell>
          <cell r="AS555" t="str">
            <v>1904580-4</v>
          </cell>
          <cell r="AT555" t="str">
            <v>1904580-5</v>
          </cell>
          <cell r="AU555">
            <v>0</v>
          </cell>
          <cell r="AV555">
            <v>0</v>
          </cell>
          <cell r="AW555">
            <v>0</v>
          </cell>
          <cell r="AX555">
            <v>0</v>
          </cell>
          <cell r="AY555" t="str">
            <v>680x860</v>
          </cell>
          <cell r="AZ555" t="str">
            <v>G3</v>
          </cell>
          <cell r="BA555">
            <v>2500</v>
          </cell>
          <cell r="BB555" t="str">
            <v>Thùng 5 lớp 42x34x33</v>
          </cell>
          <cell r="BC555">
            <v>0</v>
          </cell>
          <cell r="BD555" t="str">
            <v>in chung sp 1033</v>
          </cell>
        </row>
        <row r="556">
          <cell r="A556" t="str">
            <v>sp 1079</v>
          </cell>
          <cell r="B556" t="str">
            <v>Túi trà quả cầu xanh đặc sản 200g loại 21</v>
          </cell>
          <cell r="C556">
            <v>10.979999999999999</v>
          </cell>
          <cell r="D556">
            <v>2</v>
          </cell>
          <cell r="E556" t="str">
            <v>PET 12x620</v>
          </cell>
          <cell r="F556">
            <v>5</v>
          </cell>
          <cell r="G556" t="str">
            <v>PET</v>
          </cell>
          <cell r="H556">
            <v>0</v>
          </cell>
          <cell r="I556">
            <v>1.75</v>
          </cell>
          <cell r="J556">
            <v>0</v>
          </cell>
          <cell r="K556">
            <v>0</v>
          </cell>
          <cell r="L556">
            <v>3.52</v>
          </cell>
          <cell r="M556">
            <v>0</v>
          </cell>
          <cell r="N556">
            <v>4.0999999999999996</v>
          </cell>
          <cell r="O556">
            <v>1.61</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t="str">
            <v>MPET 12x620</v>
          </cell>
          <cell r="AF556" t="str">
            <v>PE 75x620</v>
          </cell>
          <cell r="AG556">
            <v>6.3844500000000012E-2</v>
          </cell>
          <cell r="AH556">
            <v>0.93533333333333324</v>
          </cell>
          <cell r="AI556">
            <v>1.22</v>
          </cell>
          <cell r="AJ556">
            <v>9530</v>
          </cell>
          <cell r="AK556">
            <v>9530</v>
          </cell>
          <cell r="AL556" t="str">
            <v>0,0053(0,0023;0,003)</v>
          </cell>
          <cell r="AM556" t="str">
            <v>túi hàn lưng xếp hông</v>
          </cell>
          <cell r="AN556">
            <v>340</v>
          </cell>
          <cell r="AO556" t="str">
            <v>Bùi Văn Sỹ</v>
          </cell>
          <cell r="AP556" t="str">
            <v>1904581-1</v>
          </cell>
          <cell r="AQ556" t="str">
            <v>1904580-2</v>
          </cell>
          <cell r="AR556" t="str">
            <v>1904580-3</v>
          </cell>
          <cell r="AS556" t="str">
            <v>1904581-4</v>
          </cell>
          <cell r="AT556" t="str">
            <v>1904581-5</v>
          </cell>
          <cell r="AU556">
            <v>0</v>
          </cell>
          <cell r="AV556">
            <v>0</v>
          </cell>
          <cell r="AW556">
            <v>0</v>
          </cell>
          <cell r="AX556">
            <v>0</v>
          </cell>
          <cell r="AY556" t="str">
            <v>680x860</v>
          </cell>
          <cell r="AZ556" t="str">
            <v>G3</v>
          </cell>
          <cell r="BA556">
            <v>2500</v>
          </cell>
          <cell r="BB556" t="str">
            <v>Thùng 5 lớp 42x34x33</v>
          </cell>
          <cell r="BC556">
            <v>0</v>
          </cell>
          <cell r="BD556" t="str">
            <v>in chung sp 1034</v>
          </cell>
        </row>
        <row r="557">
          <cell r="A557" t="str">
            <v>sp 1080</v>
          </cell>
          <cell r="B557" t="str">
            <v>Túi trà ấm nghiêng tân cương 100g loại 17</v>
          </cell>
          <cell r="C557">
            <v>7.637999999999999</v>
          </cell>
          <cell r="D557">
            <v>3</v>
          </cell>
          <cell r="E557" t="str">
            <v>PET 12x740</v>
          </cell>
          <cell r="F557">
            <v>7</v>
          </cell>
          <cell r="G557" t="str">
            <v>PET</v>
          </cell>
          <cell r="H557">
            <v>5.8000000000000003E-2</v>
          </cell>
          <cell r="I557">
            <v>2.4500000000000002</v>
          </cell>
          <cell r="J557">
            <v>0.76</v>
          </cell>
          <cell r="K557">
            <v>0.01</v>
          </cell>
          <cell r="L557">
            <v>1.34</v>
          </cell>
          <cell r="M557">
            <v>0.81</v>
          </cell>
          <cell r="N557">
            <v>2.2000000000000002</v>
          </cell>
          <cell r="O557">
            <v>0.01</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t="str">
            <v>MPET 12x740</v>
          </cell>
          <cell r="AF557" t="str">
            <v>PE 75x740</v>
          </cell>
          <cell r="AG557">
            <v>7.6201500000000005E-2</v>
          </cell>
          <cell r="AH557">
            <v>1.1193333333333333</v>
          </cell>
          <cell r="AI557">
            <v>1.46</v>
          </cell>
          <cell r="AJ557">
            <v>9530</v>
          </cell>
          <cell r="AK557">
            <v>9530</v>
          </cell>
          <cell r="AL557" t="str">
            <v>0,0053(0,0023;0,003)</v>
          </cell>
          <cell r="AM557" t="str">
            <v>túi hàn lưng xếp hông</v>
          </cell>
          <cell r="AN557">
            <v>270</v>
          </cell>
          <cell r="AO557" t="str">
            <v>Bùi Văn Sỹ</v>
          </cell>
          <cell r="AP557" t="str">
            <v>1909998-1</v>
          </cell>
          <cell r="AQ557" t="str">
            <v>1909998-2</v>
          </cell>
          <cell r="AR557" t="str">
            <v>1909998-3</v>
          </cell>
          <cell r="AS557" t="str">
            <v>1909998-4</v>
          </cell>
          <cell r="AT557" t="str">
            <v>1909998-5</v>
          </cell>
          <cell r="AU557" t="str">
            <v>1909998-6</v>
          </cell>
          <cell r="AV557" t="str">
            <v>1909998-7</v>
          </cell>
          <cell r="AW557">
            <v>0</v>
          </cell>
          <cell r="AX557">
            <v>0</v>
          </cell>
          <cell r="AY557" t="str">
            <v>540x860</v>
          </cell>
          <cell r="AZ557" t="str">
            <v>G4</v>
          </cell>
          <cell r="BA557">
            <v>3500</v>
          </cell>
          <cell r="BB557" t="str">
            <v>Thùng 5 lớp 42x34x33</v>
          </cell>
          <cell r="BC557">
            <v>0</v>
          </cell>
          <cell r="BD557">
            <v>0</v>
          </cell>
        </row>
        <row r="558">
          <cell r="A558" t="str">
            <v>sp 1081</v>
          </cell>
          <cell r="B558" t="str">
            <v>Túi trà ấm nghiêng đặc sản 100g loại 17</v>
          </cell>
          <cell r="C558">
            <v>4.88</v>
          </cell>
          <cell r="D558">
            <v>3</v>
          </cell>
          <cell r="E558" t="str">
            <v>PET 12x740</v>
          </cell>
          <cell r="F558">
            <v>7</v>
          </cell>
          <cell r="G558" t="str">
            <v>PET</v>
          </cell>
          <cell r="H558">
            <v>0</v>
          </cell>
          <cell r="I558">
            <v>0.35</v>
          </cell>
          <cell r="J558">
            <v>0.99</v>
          </cell>
          <cell r="K558">
            <v>0.23</v>
          </cell>
          <cell r="L558">
            <v>2</v>
          </cell>
          <cell r="M558">
            <v>0</v>
          </cell>
          <cell r="N558">
            <v>1.3</v>
          </cell>
          <cell r="O558">
            <v>0.01</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t="str">
            <v>MPET 12x740</v>
          </cell>
          <cell r="AF558" t="str">
            <v>PE 75x740</v>
          </cell>
          <cell r="AG558">
            <v>7.6201500000000005E-2</v>
          </cell>
          <cell r="AH558">
            <v>1.1193333333333333</v>
          </cell>
          <cell r="AI558">
            <v>1.46</v>
          </cell>
          <cell r="AJ558">
            <v>9530</v>
          </cell>
          <cell r="AK558">
            <v>9530</v>
          </cell>
          <cell r="AL558" t="str">
            <v>0,0053(0,0023;0,003)</v>
          </cell>
          <cell r="AM558" t="str">
            <v>túi hàn lưng xếp hông</v>
          </cell>
          <cell r="AN558">
            <v>270</v>
          </cell>
          <cell r="AO558" t="str">
            <v>Bùi Văn Sỹ</v>
          </cell>
          <cell r="AP558" t="str">
            <v>1909998-1</v>
          </cell>
          <cell r="AQ558" t="str">
            <v>1909999-2</v>
          </cell>
          <cell r="AR558" t="str">
            <v>1909998-3</v>
          </cell>
          <cell r="AS558" t="str">
            <v>1909998-4</v>
          </cell>
          <cell r="AT558" t="str">
            <v>1909999-5</v>
          </cell>
          <cell r="AU558" t="str">
            <v>1909999-6</v>
          </cell>
          <cell r="AV558" t="str">
            <v>1909999-7</v>
          </cell>
          <cell r="AW558">
            <v>0</v>
          </cell>
          <cell r="AX558">
            <v>0</v>
          </cell>
          <cell r="AY558" t="str">
            <v>540x860</v>
          </cell>
          <cell r="AZ558" t="str">
            <v>G4</v>
          </cell>
          <cell r="BA558">
            <v>3500</v>
          </cell>
          <cell r="BB558" t="str">
            <v>Thùng 5 lớp 42x34x33</v>
          </cell>
          <cell r="BC558">
            <v>0</v>
          </cell>
          <cell r="BD558" t="str">
            <v>in chung cây 1,3,4,5 với sp 1080</v>
          </cell>
        </row>
        <row r="559">
          <cell r="A559" t="str">
            <v>sp 1082</v>
          </cell>
          <cell r="B559" t="str">
            <v>Túi trà lụa tân cương 200g loại 5</v>
          </cell>
          <cell r="C559">
            <v>0</v>
          </cell>
          <cell r="D559">
            <v>2</v>
          </cell>
          <cell r="E559" t="str">
            <v>OPP mờ 20x620</v>
          </cell>
          <cell r="F559">
            <v>7</v>
          </cell>
          <cell r="G559" t="str">
            <v>OPP</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t="str">
            <v>MPET 12x620</v>
          </cell>
          <cell r="AF559" t="str">
            <v>PE 70x620</v>
          </cell>
          <cell r="AG559">
            <v>6.1845000000000011E-2</v>
          </cell>
          <cell r="AH559">
            <v>0.91999999999999993</v>
          </cell>
          <cell r="AI559">
            <v>1.2</v>
          </cell>
          <cell r="AJ559">
            <v>9530</v>
          </cell>
          <cell r="AK559">
            <v>9530</v>
          </cell>
          <cell r="AL559" t="str">
            <v>0,0053(0,0023;0,003)</v>
          </cell>
          <cell r="AM559" t="str">
            <v>túi hàn lưng xếp hông</v>
          </cell>
          <cell r="AN559">
            <v>340</v>
          </cell>
          <cell r="AO559" t="str">
            <v>Bùi Văn Sỹ</v>
          </cell>
          <cell r="AP559" t="str">
            <v>1909995-1</v>
          </cell>
          <cell r="AQ559" t="str">
            <v>1909995-2</v>
          </cell>
          <cell r="AR559" t="str">
            <v>1909995-3</v>
          </cell>
          <cell r="AS559" t="str">
            <v>1909995-4</v>
          </cell>
          <cell r="AT559" t="str">
            <v>1909995-5</v>
          </cell>
          <cell r="AU559" t="str">
            <v>1909995-6</v>
          </cell>
          <cell r="AV559" t="str">
            <v>1909995-7</v>
          </cell>
          <cell r="AW559">
            <v>0</v>
          </cell>
          <cell r="AX559">
            <v>0</v>
          </cell>
          <cell r="AY559" t="str">
            <v>680x860</v>
          </cell>
          <cell r="AZ559" t="str">
            <v>G4</v>
          </cell>
          <cell r="BA559">
            <v>2500</v>
          </cell>
          <cell r="BB559" t="str">
            <v>Thùng 5 lớp 42x34x33</v>
          </cell>
          <cell r="BC559">
            <v>0</v>
          </cell>
          <cell r="BD559">
            <v>0</v>
          </cell>
        </row>
        <row r="560">
          <cell r="A560" t="str">
            <v>sp 1083</v>
          </cell>
          <cell r="B560" t="str">
            <v>Túi trà thượng hạng tân cương 200g loại 15</v>
          </cell>
          <cell r="C560">
            <v>7.0249999999999995</v>
          </cell>
          <cell r="D560">
            <v>2</v>
          </cell>
          <cell r="E560" t="str">
            <v>PET 12x620</v>
          </cell>
          <cell r="F560">
            <v>6</v>
          </cell>
          <cell r="G560" t="str">
            <v>PET</v>
          </cell>
          <cell r="H560">
            <v>0.01</v>
          </cell>
          <cell r="I560">
            <v>2.41</v>
          </cell>
          <cell r="J560">
            <v>0.85299999999999998</v>
          </cell>
          <cell r="K560">
            <v>0.01</v>
          </cell>
          <cell r="L560">
            <v>2.7949999999999999</v>
          </cell>
          <cell r="M560">
            <v>0.75800000000000001</v>
          </cell>
          <cell r="N560">
            <v>0</v>
          </cell>
          <cell r="O560">
            <v>0</v>
          </cell>
          <cell r="P560">
            <v>0.189</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t="str">
            <v>MPET 12x620</v>
          </cell>
          <cell r="AF560" t="str">
            <v>PE 75x620</v>
          </cell>
          <cell r="AG560">
            <v>6.3844500000000012E-2</v>
          </cell>
          <cell r="AH560">
            <v>0.93533333333333324</v>
          </cell>
          <cell r="AI560">
            <v>1.22</v>
          </cell>
          <cell r="AJ560">
            <v>9530</v>
          </cell>
          <cell r="AK560">
            <v>9530</v>
          </cell>
          <cell r="AL560" t="str">
            <v>0,0053(0,0023;0,003)</v>
          </cell>
          <cell r="AM560" t="str">
            <v>túi hàn lưng xếp hông</v>
          </cell>
          <cell r="AN560">
            <v>340</v>
          </cell>
          <cell r="AO560" t="str">
            <v>Bùi Văn Sỹ</v>
          </cell>
          <cell r="AP560" t="str">
            <v>1909996-1</v>
          </cell>
          <cell r="AQ560" t="str">
            <v>1909996-2</v>
          </cell>
          <cell r="AR560" t="str">
            <v>1909996-3</v>
          </cell>
          <cell r="AS560" t="str">
            <v>1909996-4</v>
          </cell>
          <cell r="AT560" t="str">
            <v>1909996-5</v>
          </cell>
          <cell r="AU560" t="str">
            <v>1909996-6</v>
          </cell>
          <cell r="AV560">
            <v>0</v>
          </cell>
          <cell r="AW560">
            <v>0</v>
          </cell>
          <cell r="AX560">
            <v>0</v>
          </cell>
          <cell r="AY560" t="str">
            <v>680x680</v>
          </cell>
          <cell r="AZ560" t="str">
            <v>G4</v>
          </cell>
          <cell r="BA560">
            <v>2500</v>
          </cell>
          <cell r="BB560" t="str">
            <v>Thùng 5 lớp 42x34x33</v>
          </cell>
          <cell r="BC560">
            <v>0</v>
          </cell>
          <cell r="BD560">
            <v>0</v>
          </cell>
        </row>
        <row r="561">
          <cell r="A561" t="str">
            <v>sp 1084</v>
          </cell>
          <cell r="B561" t="str">
            <v>Túi trà thượng hạng đặc sản 200g loại 15</v>
          </cell>
          <cell r="C561">
            <v>10.459999999999999</v>
          </cell>
          <cell r="D561">
            <v>2</v>
          </cell>
          <cell r="E561" t="str">
            <v>PET 12x620</v>
          </cell>
          <cell r="F561">
            <v>6</v>
          </cell>
          <cell r="G561" t="str">
            <v>PET</v>
          </cell>
          <cell r="H561">
            <v>0.49</v>
          </cell>
          <cell r="I561">
            <v>3.18</v>
          </cell>
          <cell r="J561">
            <v>1.83</v>
          </cell>
          <cell r="K561">
            <v>0.49</v>
          </cell>
          <cell r="L561">
            <v>3.21</v>
          </cell>
          <cell r="M561">
            <v>0.7</v>
          </cell>
          <cell r="N561">
            <v>0</v>
          </cell>
          <cell r="O561">
            <v>0</v>
          </cell>
          <cell r="P561">
            <v>0.56000000000000005</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t="str">
            <v>MPET 12x620</v>
          </cell>
          <cell r="AF561" t="str">
            <v>PE 75x620</v>
          </cell>
          <cell r="AG561">
            <v>6.3844500000000012E-2</v>
          </cell>
          <cell r="AH561">
            <v>0.93533333333333324</v>
          </cell>
          <cell r="AI561">
            <v>1.22</v>
          </cell>
          <cell r="AJ561">
            <v>9530</v>
          </cell>
          <cell r="AK561">
            <v>9530</v>
          </cell>
          <cell r="AL561" t="str">
            <v>0,0053(0,0023;0,003)</v>
          </cell>
          <cell r="AM561" t="str">
            <v>túi hàn lưng xếp hông</v>
          </cell>
          <cell r="AN561">
            <v>340</v>
          </cell>
          <cell r="AO561" t="str">
            <v>Bùi Văn Sỹ</v>
          </cell>
          <cell r="AP561" t="str">
            <v>1909997-1</v>
          </cell>
          <cell r="AQ561" t="str">
            <v>1909996-2</v>
          </cell>
          <cell r="AR561" t="str">
            <v>1909997-3</v>
          </cell>
          <cell r="AS561" t="str">
            <v>1909997-4</v>
          </cell>
          <cell r="AT561" t="str">
            <v>1909997-5</v>
          </cell>
          <cell r="AU561" t="str">
            <v>1909996-6</v>
          </cell>
          <cell r="AV561">
            <v>0</v>
          </cell>
          <cell r="AW561">
            <v>0</v>
          </cell>
          <cell r="AX561">
            <v>0</v>
          </cell>
          <cell r="AY561" t="str">
            <v>680x680</v>
          </cell>
          <cell r="AZ561" t="str">
            <v>G4</v>
          </cell>
          <cell r="BA561">
            <v>2500</v>
          </cell>
          <cell r="BB561" t="str">
            <v>Thùng 5 lớp 42x34x33</v>
          </cell>
          <cell r="BC561">
            <v>0</v>
          </cell>
          <cell r="BD561" t="str">
            <v>dùng chung cây zdo số 2, và cây trắng số 6 sp 1083</v>
          </cell>
        </row>
        <row r="562">
          <cell r="A562" t="str">
            <v>sp 1085</v>
          </cell>
          <cell r="B562" t="str">
            <v>Cuộn trà túi lọc Giảo cổ lam 2gr Tuệ Linh</v>
          </cell>
          <cell r="C562">
            <v>9.67</v>
          </cell>
          <cell r="D562">
            <v>5</v>
          </cell>
          <cell r="E562" t="str">
            <v>OPP 30x795</v>
          </cell>
          <cell r="F562">
            <v>5</v>
          </cell>
          <cell r="G562" t="str">
            <v>OPP</v>
          </cell>
          <cell r="H562">
            <v>0.01</v>
          </cell>
          <cell r="I562">
            <v>3.96</v>
          </cell>
          <cell r="J562">
            <v>1.58</v>
          </cell>
          <cell r="K562">
            <v>0</v>
          </cell>
          <cell r="L562">
            <v>3.11</v>
          </cell>
          <cell r="M562">
            <v>0</v>
          </cell>
          <cell r="N562">
            <v>0</v>
          </cell>
          <cell r="O562">
            <v>0.35</v>
          </cell>
          <cell r="P562">
            <v>0.31</v>
          </cell>
          <cell r="Q562">
            <v>0.35</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t="str">
            <v>MCPP 25x795</v>
          </cell>
          <cell r="AF562">
            <v>0</v>
          </cell>
          <cell r="AG562">
            <v>3.9789750000000006E-2</v>
          </cell>
          <cell r="AH562">
            <v>1.2036666666666667</v>
          </cell>
          <cell r="AI562">
            <v>0</v>
          </cell>
          <cell r="AJ562">
            <v>9530</v>
          </cell>
          <cell r="AK562">
            <v>0</v>
          </cell>
          <cell r="AL562">
            <v>2.3E-3</v>
          </cell>
          <cell r="AM562" t="str">
            <v xml:space="preserve">dạng cuộn </v>
          </cell>
          <cell r="AN562">
            <v>155</v>
          </cell>
          <cell r="AO562" t="str">
            <v>Công ty CP chè Kim Anh</v>
          </cell>
          <cell r="AP562" t="e">
            <v>#N/A</v>
          </cell>
          <cell r="AQ562" t="e">
            <v>#N/A</v>
          </cell>
          <cell r="AR562" t="e">
            <v>#N/A</v>
          </cell>
          <cell r="AS562" t="e">
            <v>#N/A</v>
          </cell>
          <cell r="AT562" t="e">
            <v>#N/A</v>
          </cell>
          <cell r="AU562" t="e">
            <v>#N/A</v>
          </cell>
          <cell r="AV562" t="e">
            <v>#N/A</v>
          </cell>
          <cell r="AW562" t="e">
            <v>#N/A</v>
          </cell>
          <cell r="AX562" t="e">
            <v>#N/A</v>
          </cell>
          <cell r="AY562" t="e">
            <v>#N/A</v>
          </cell>
          <cell r="AZ562" t="e">
            <v>#N/A</v>
          </cell>
          <cell r="BA562">
            <v>0</v>
          </cell>
          <cell r="BB562">
            <v>0</v>
          </cell>
          <cell r="BC562">
            <v>0</v>
          </cell>
          <cell r="BD562">
            <v>0</v>
          </cell>
        </row>
        <row r="563">
          <cell r="A563" t="str">
            <v>sp 1086</v>
          </cell>
          <cell r="B563" t="str">
            <v>Cuộn không in bốn lớp khổ 510 Innovative</v>
          </cell>
          <cell r="C563">
            <v>0</v>
          </cell>
          <cell r="D563">
            <v>1</v>
          </cell>
          <cell r="E563" t="str">
            <v>PET 12x530</v>
          </cell>
          <cell r="F563">
            <v>1</v>
          </cell>
          <cell r="G563" t="str">
            <v>PET</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t="str">
            <v>Al 6x530</v>
          </cell>
          <cell r="AF563" t="str">
            <v>PA 15x530
 PE 110x530</v>
          </cell>
          <cell r="AG563">
            <v>8.0591800000000005E-2</v>
          </cell>
          <cell r="AH563">
            <v>0.85000000000000009</v>
          </cell>
          <cell r="AI563">
            <v>0.85000000000000009</v>
          </cell>
          <cell r="AJ563">
            <v>9530</v>
          </cell>
          <cell r="AK563">
            <v>9530</v>
          </cell>
          <cell r="AL563" t="str">
            <v>0,0075(0,0025;0,0025;0,0025)</v>
          </cell>
          <cell r="AM563" t="str">
            <v>dạng cuộn 500m</v>
          </cell>
          <cell r="AN563">
            <v>510</v>
          </cell>
          <cell r="AO563" t="str">
            <v>Công ty Innovative shield Việt Nam</v>
          </cell>
          <cell r="AP563">
            <v>0</v>
          </cell>
          <cell r="AQ563">
            <v>0</v>
          </cell>
          <cell r="AR563">
            <v>0</v>
          </cell>
          <cell r="AS563">
            <v>0</v>
          </cell>
          <cell r="AT563">
            <v>0</v>
          </cell>
          <cell r="AU563">
            <v>0</v>
          </cell>
          <cell r="AV563">
            <v>0</v>
          </cell>
          <cell r="AW563">
            <v>0</v>
          </cell>
          <cell r="AX563">
            <v>0</v>
          </cell>
          <cell r="AY563">
            <v>0</v>
          </cell>
          <cell r="AZ563">
            <v>0</v>
          </cell>
          <cell r="BA563" t="str">
            <v xml:space="preserve"> 1c </v>
          </cell>
          <cell r="BB563" t="str">
            <v>giấy cartoon</v>
          </cell>
          <cell r="BC563">
            <v>0</v>
          </cell>
          <cell r="BD563">
            <v>0</v>
          </cell>
        </row>
        <row r="564">
          <cell r="A564" t="str">
            <v>sp 1087</v>
          </cell>
          <cell r="B564" t="str">
            <v>Túi lúa BC15XN2 mới 2020 1kg Thái Bình</v>
          </cell>
          <cell r="C564">
            <v>8.7299999999999986</v>
          </cell>
          <cell r="D564">
            <v>2</v>
          </cell>
          <cell r="E564" t="str">
            <v>PET 12x900</v>
          </cell>
          <cell r="F564">
            <v>8</v>
          </cell>
          <cell r="G564" t="str">
            <v>PET</v>
          </cell>
          <cell r="H564">
            <v>0.02</v>
          </cell>
          <cell r="I564">
            <v>6.53</v>
          </cell>
          <cell r="J564">
            <v>0.25</v>
          </cell>
          <cell r="K564">
            <v>0.01</v>
          </cell>
          <cell r="L564">
            <v>1.37</v>
          </cell>
          <cell r="M564">
            <v>0.53</v>
          </cell>
          <cell r="N564">
            <v>0</v>
          </cell>
          <cell r="O564">
            <v>0.01</v>
          </cell>
          <cell r="P564">
            <v>0</v>
          </cell>
          <cell r="Q564">
            <v>0</v>
          </cell>
          <cell r="R564">
            <v>0</v>
          </cell>
          <cell r="S564">
            <v>0</v>
          </cell>
          <cell r="T564">
            <v>0.01</v>
          </cell>
          <cell r="U564">
            <v>0</v>
          </cell>
          <cell r="V564">
            <v>0</v>
          </cell>
          <cell r="W564">
            <v>0</v>
          </cell>
          <cell r="X564">
            <v>0</v>
          </cell>
          <cell r="Y564">
            <v>0</v>
          </cell>
          <cell r="Z564">
            <v>0</v>
          </cell>
          <cell r="AA564">
            <v>0</v>
          </cell>
          <cell r="AB564">
            <v>0</v>
          </cell>
          <cell r="AC564">
            <v>0</v>
          </cell>
          <cell r="AD564">
            <v>0</v>
          </cell>
          <cell r="AE564" t="str">
            <v>PE 82x900</v>
          </cell>
          <cell r="AF564">
            <v>0</v>
          </cell>
          <cell r="AG564">
            <v>8.3385000000000001E-2</v>
          </cell>
          <cell r="AH564">
            <v>1.349</v>
          </cell>
          <cell r="AI564">
            <v>0</v>
          </cell>
          <cell r="AJ564">
            <v>9530</v>
          </cell>
          <cell r="AK564">
            <v>0</v>
          </cell>
          <cell r="AL564">
            <v>2.3E-3</v>
          </cell>
          <cell r="AM564" t="str">
            <v>túi ba biên</v>
          </cell>
          <cell r="AN564">
            <v>310</v>
          </cell>
          <cell r="AO564" t="str">
            <v>Công ty Thái Bình</v>
          </cell>
          <cell r="AP564" t="str">
            <v>19101037-7</v>
          </cell>
          <cell r="AQ564" t="str">
            <v>19101037-2</v>
          </cell>
          <cell r="AR564" t="str">
            <v>19101037-3</v>
          </cell>
          <cell r="AS564" t="str">
            <v>19101037-4</v>
          </cell>
          <cell r="AT564" t="str">
            <v>19101037-5</v>
          </cell>
          <cell r="AU564" t="str">
            <v>19101037-6</v>
          </cell>
          <cell r="AV564" t="str">
            <v>19110566-7</v>
          </cell>
          <cell r="AW564" t="str">
            <v>20110138-8</v>
          </cell>
          <cell r="AX564">
            <v>0</v>
          </cell>
          <cell r="AY564" t="str">
            <v>620x1100</v>
          </cell>
          <cell r="AZ564" t="str">
            <v>L1</v>
          </cell>
          <cell r="BA564">
            <v>4000</v>
          </cell>
          <cell r="BB564" t="str">
            <v>bao dứa</v>
          </cell>
          <cell r="BC564">
            <v>0</v>
          </cell>
          <cell r="BD564">
            <v>0</v>
          </cell>
        </row>
        <row r="565">
          <cell r="A565" t="str">
            <v>sp 1088</v>
          </cell>
          <cell r="B565" t="str">
            <v>Túi lúa BC15XN2 mới 2020 40kg Thái Bình</v>
          </cell>
          <cell r="C565">
            <v>3.3299999999999996</v>
          </cell>
          <cell r="D565">
            <v>1</v>
          </cell>
          <cell r="E565" t="str">
            <v>OPP 20x690</v>
          </cell>
          <cell r="F565">
            <v>6</v>
          </cell>
          <cell r="G565" t="str">
            <v>OPP</v>
          </cell>
          <cell r="H565">
            <v>0.13</v>
          </cell>
          <cell r="I565">
            <v>0</v>
          </cell>
          <cell r="J565">
            <v>0.47</v>
          </cell>
          <cell r="K565">
            <v>0.17</v>
          </cell>
          <cell r="L565">
            <v>2.2999999999999998</v>
          </cell>
          <cell r="M565">
            <v>0.2</v>
          </cell>
          <cell r="N565">
            <v>0</v>
          </cell>
          <cell r="O565">
            <v>0.01</v>
          </cell>
          <cell r="P565">
            <v>0</v>
          </cell>
          <cell r="Q565">
            <v>0.04</v>
          </cell>
          <cell r="R565">
            <v>0</v>
          </cell>
          <cell r="S565">
            <v>0</v>
          </cell>
          <cell r="T565">
            <v>0.01</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t="str">
            <v>dạng cuộn 6000m</v>
          </cell>
          <cell r="AN565">
            <v>670</v>
          </cell>
          <cell r="AO565" t="str">
            <v>Công ty Thái Bình</v>
          </cell>
          <cell r="AP565" t="str">
            <v>19101038-1</v>
          </cell>
          <cell r="AQ565" t="str">
            <v>19101038-2</v>
          </cell>
          <cell r="AR565" t="str">
            <v>19101038-3</v>
          </cell>
          <cell r="AS565" t="str">
            <v>19101038-4</v>
          </cell>
          <cell r="AT565" t="str">
            <v>19101038-5</v>
          </cell>
          <cell r="AU565" t="str">
            <v>19101038-6</v>
          </cell>
          <cell r="AV565">
            <v>0</v>
          </cell>
          <cell r="AW565">
            <v>0</v>
          </cell>
          <cell r="AX565">
            <v>0</v>
          </cell>
          <cell r="AY565" t="str">
            <v>1100x850</v>
          </cell>
          <cell r="AZ565" t="str">
            <v>L1</v>
          </cell>
          <cell r="BA565" t="str">
            <v>1c</v>
          </cell>
          <cell r="BB565" t="str">
            <v>giấy cartoon</v>
          </cell>
          <cell r="BC565">
            <v>0</v>
          </cell>
          <cell r="BD565">
            <v>0</v>
          </cell>
        </row>
        <row r="566">
          <cell r="A566" t="str">
            <v>sp 1089</v>
          </cell>
          <cell r="B566" t="str">
            <v>Túi kẹo lạc vừng 250gr Đình Mạnh</v>
          </cell>
          <cell r="C566">
            <v>6.34</v>
          </cell>
          <cell r="D566">
            <v>2</v>
          </cell>
          <cell r="E566" t="str">
            <v>OPP 30x620</v>
          </cell>
          <cell r="F566">
            <v>6</v>
          </cell>
          <cell r="G566" t="str">
            <v>OPP</v>
          </cell>
          <cell r="H566">
            <v>0.01</v>
          </cell>
          <cell r="I566">
            <v>3.59</v>
          </cell>
          <cell r="J566">
            <v>0.52</v>
          </cell>
          <cell r="K566">
            <v>7.0000000000000007E-2</v>
          </cell>
          <cell r="L566">
            <v>0.67</v>
          </cell>
          <cell r="M566">
            <v>0.7</v>
          </cell>
          <cell r="N566">
            <v>0</v>
          </cell>
          <cell r="O566">
            <v>0</v>
          </cell>
          <cell r="P566">
            <v>0.01</v>
          </cell>
          <cell r="Q566">
            <v>0.77</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t="str">
            <v>CPP 40x620</v>
          </cell>
          <cell r="AF566">
            <v>0</v>
          </cell>
          <cell r="AG566">
            <v>0.04</v>
          </cell>
          <cell r="AH566">
            <v>0.92</v>
          </cell>
          <cell r="AI566">
            <v>0</v>
          </cell>
          <cell r="AJ566">
            <v>9530</v>
          </cell>
          <cell r="AK566">
            <v>0</v>
          </cell>
          <cell r="AL566">
            <v>2.3E-3</v>
          </cell>
          <cell r="AM566" t="str">
            <v>túi ba biên</v>
          </cell>
          <cell r="AN566">
            <v>235</v>
          </cell>
          <cell r="AO566" t="str">
            <v>Cơ sở bánh kẹo Đình Mạnh</v>
          </cell>
          <cell r="AP566" t="str">
            <v>19101040-1</v>
          </cell>
          <cell r="AQ566" t="str">
            <v>19101040-2</v>
          </cell>
          <cell r="AR566" t="str">
            <v>19101040-3</v>
          </cell>
          <cell r="AS566" t="str">
            <v>19101040-4</v>
          </cell>
          <cell r="AT566" t="str">
            <v>19101040-5</v>
          </cell>
          <cell r="AU566" t="str">
            <v>19101040-6</v>
          </cell>
          <cell r="AV566">
            <v>0</v>
          </cell>
          <cell r="AW566">
            <v>0</v>
          </cell>
          <cell r="AX566">
            <v>0</v>
          </cell>
          <cell r="AY566" t="str">
            <v>470x870</v>
          </cell>
          <cell r="AZ566" t="str">
            <v>Q2</v>
          </cell>
          <cell r="BA566">
            <v>6000</v>
          </cell>
          <cell r="BB566" t="str">
            <v>Thùng 5 lớp 42x34x36</v>
          </cell>
          <cell r="BC566">
            <v>0</v>
          </cell>
          <cell r="BD566">
            <v>0</v>
          </cell>
        </row>
        <row r="567">
          <cell r="A567" t="str">
            <v>sp 1090</v>
          </cell>
          <cell r="B567" t="str">
            <v>Túi trà logo tân cương in màu 500g loại 9</v>
          </cell>
          <cell r="C567">
            <v>10.780000000000001</v>
          </cell>
          <cell r="D567">
            <v>2</v>
          </cell>
          <cell r="E567" t="str">
            <v>PET 12x760</v>
          </cell>
          <cell r="F567">
            <v>2</v>
          </cell>
          <cell r="G567" t="str">
            <v>PET</v>
          </cell>
          <cell r="H567">
            <v>0</v>
          </cell>
          <cell r="I567">
            <v>3.82</v>
          </cell>
          <cell r="J567">
            <v>0</v>
          </cell>
          <cell r="K567">
            <v>0</v>
          </cell>
          <cell r="L567">
            <v>0.67</v>
          </cell>
          <cell r="M567">
            <v>0</v>
          </cell>
          <cell r="N567">
            <v>0</v>
          </cell>
          <cell r="O567">
            <v>0</v>
          </cell>
          <cell r="P567">
            <v>6.29</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t="str">
            <v>MPET 12x760</v>
          </cell>
          <cell r="AF567" t="str">
            <v>PE 80x760</v>
          </cell>
          <cell r="AG567">
            <v>0.08</v>
          </cell>
          <cell r="AH567">
            <v>1.1499999999999999</v>
          </cell>
          <cell r="AI567">
            <v>1.5</v>
          </cell>
          <cell r="AJ567">
            <v>9530</v>
          </cell>
          <cell r="AK567">
            <v>9530</v>
          </cell>
          <cell r="AL567" t="str">
            <v>0,0053(0,0023;0,003)</v>
          </cell>
          <cell r="AM567" t="str">
            <v>túi hàn lưng xếp hông</v>
          </cell>
          <cell r="AN567">
            <v>420</v>
          </cell>
          <cell r="AO567" t="str">
            <v>Bùi Văn Sỹ</v>
          </cell>
          <cell r="AP567" t="str">
            <v>20030161-1</v>
          </cell>
          <cell r="AQ567" t="str">
            <v>20030161-2</v>
          </cell>
          <cell r="AR567">
            <v>0</v>
          </cell>
          <cell r="AS567">
            <v>0</v>
          </cell>
          <cell r="AT567">
            <v>0</v>
          </cell>
          <cell r="AU567">
            <v>0</v>
          </cell>
          <cell r="AV567">
            <v>0</v>
          </cell>
          <cell r="AW567">
            <v>0</v>
          </cell>
          <cell r="AX567">
            <v>0</v>
          </cell>
          <cell r="AY567" t="str">
            <v>420x870</v>
          </cell>
          <cell r="AZ567" t="str">
            <v>G4</v>
          </cell>
          <cell r="BA567">
            <v>1500</v>
          </cell>
          <cell r="BB567" t="str">
            <v>Thùng 5 lớp 42x34x33</v>
          </cell>
          <cell r="BC567">
            <v>0</v>
          </cell>
          <cell r="BD567">
            <v>0</v>
          </cell>
        </row>
        <row r="568">
          <cell r="A568" t="str">
            <v>sp 1091</v>
          </cell>
          <cell r="B568" t="str">
            <v>Túi trà logo tân cương in màu 200g loại 9</v>
          </cell>
          <cell r="C568">
            <v>0</v>
          </cell>
          <cell r="D568">
            <v>2</v>
          </cell>
          <cell r="E568" t="str">
            <v>PET 12x620</v>
          </cell>
          <cell r="F568">
            <v>2</v>
          </cell>
          <cell r="G568" t="str">
            <v>PET</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t="str">
            <v>MPET 12x620</v>
          </cell>
          <cell r="AF568" t="str">
            <v>PE 75x620</v>
          </cell>
          <cell r="AG568">
            <v>6.3844500000000012E-2</v>
          </cell>
          <cell r="AH568">
            <v>0.93533333333333324</v>
          </cell>
          <cell r="AI568">
            <v>1.22</v>
          </cell>
          <cell r="AJ568">
            <v>9530</v>
          </cell>
          <cell r="AK568">
            <v>9530</v>
          </cell>
          <cell r="AL568" t="str">
            <v>0,0053(0,0023;0,003)</v>
          </cell>
          <cell r="AM568" t="str">
            <v>túi hàn lưng xếp hông</v>
          </cell>
          <cell r="AN568">
            <v>340</v>
          </cell>
          <cell r="AO568" t="str">
            <v>Bùi Văn Sỹ</v>
          </cell>
          <cell r="AP568">
            <v>0</v>
          </cell>
          <cell r="AQ568" t="str">
            <v>19101198-2</v>
          </cell>
          <cell r="AR568">
            <v>0</v>
          </cell>
          <cell r="AS568">
            <v>0</v>
          </cell>
          <cell r="AT568">
            <v>0</v>
          </cell>
          <cell r="AU568" t="str">
            <v>19101198-6</v>
          </cell>
          <cell r="AV568">
            <v>0</v>
          </cell>
          <cell r="AW568">
            <v>0</v>
          </cell>
          <cell r="AX568">
            <v>0</v>
          </cell>
          <cell r="AY568" t="str">
            <v>680x860</v>
          </cell>
          <cell r="AZ568" t="str">
            <v>G4</v>
          </cell>
          <cell r="BA568">
            <v>2500</v>
          </cell>
          <cell r="BB568" t="str">
            <v>Thùng 5 lớp 42x34x33</v>
          </cell>
          <cell r="BC568">
            <v>0</v>
          </cell>
          <cell r="BD568">
            <v>0</v>
          </cell>
        </row>
        <row r="569">
          <cell r="A569" t="str">
            <v>sp 1092</v>
          </cell>
          <cell r="B569" t="str">
            <v>Túi bột giặt NIF 6kg -MKL</v>
          </cell>
          <cell r="C569">
            <v>7.2200000000000006</v>
          </cell>
          <cell r="D569">
            <v>1</v>
          </cell>
          <cell r="E569" t="str">
            <v>PA 15x820</v>
          </cell>
          <cell r="F569">
            <v>6</v>
          </cell>
          <cell r="G569" t="str">
            <v xml:space="preserve">PA </v>
          </cell>
          <cell r="H569">
            <v>0.01</v>
          </cell>
          <cell r="I569">
            <v>0</v>
          </cell>
          <cell r="J569">
            <v>0.01</v>
          </cell>
          <cell r="K569">
            <v>0.31</v>
          </cell>
          <cell r="L569">
            <v>2.2999999999999998</v>
          </cell>
          <cell r="M569">
            <v>1.77</v>
          </cell>
          <cell r="N569">
            <v>0</v>
          </cell>
          <cell r="O569">
            <v>2.82</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t="str">
            <v>PE sứ 130x820</v>
          </cell>
          <cell r="AF569">
            <v>0</v>
          </cell>
          <cell r="AG569">
            <v>0.11328299999999999</v>
          </cell>
          <cell r="AH569">
            <v>1.6</v>
          </cell>
          <cell r="AI569">
            <v>0</v>
          </cell>
          <cell r="AJ569">
            <v>9530</v>
          </cell>
          <cell r="AK569">
            <v>0</v>
          </cell>
          <cell r="AL569">
            <v>3.0000000000000001E-3</v>
          </cell>
          <cell r="AM569" t="str">
            <v>túi hàn lưng xếp hông</v>
          </cell>
          <cell r="AN569">
            <v>535</v>
          </cell>
          <cell r="AO569" t="str">
            <v>Công ty CP Tập đoàn đầu tư và PT MKL</v>
          </cell>
          <cell r="AP569" t="str">
            <v>F124654-1</v>
          </cell>
          <cell r="AQ569" t="str">
            <v>F124654-2</v>
          </cell>
          <cell r="AR569" t="str">
            <v>F124654-3</v>
          </cell>
          <cell r="AS569" t="str">
            <v>F124654-4</v>
          </cell>
          <cell r="AT569" t="str">
            <v>F124654-5</v>
          </cell>
          <cell r="AU569" t="str">
            <v>F124654-6</v>
          </cell>
          <cell r="AV569">
            <v>0</v>
          </cell>
          <cell r="AW569">
            <v>0</v>
          </cell>
          <cell r="AX569">
            <v>0</v>
          </cell>
          <cell r="AY569" t="str">
            <v>535x870</v>
          </cell>
          <cell r="AZ569" t="str">
            <v>Q2</v>
          </cell>
          <cell r="BA569">
            <v>400</v>
          </cell>
          <cell r="BB569" t="str">
            <v>Thùng 3 lớp 60x30x30,5 lót nilong</v>
          </cell>
          <cell r="BC569">
            <v>0</v>
          </cell>
          <cell r="BD569">
            <v>0</v>
          </cell>
        </row>
        <row r="570">
          <cell r="A570" t="str">
            <v>sp 1093</v>
          </cell>
          <cell r="B570" t="str">
            <v>Túi trà quả cầu xanh tân cương 100gr loại 21</v>
          </cell>
          <cell r="C570">
            <v>4.6680000000000001</v>
          </cell>
          <cell r="D570">
            <v>3</v>
          </cell>
          <cell r="E570" t="str">
            <v>PET 12x740</v>
          </cell>
          <cell r="F570">
            <v>5</v>
          </cell>
          <cell r="G570" t="str">
            <v>PET</v>
          </cell>
          <cell r="H570">
            <v>0</v>
          </cell>
          <cell r="I570">
            <v>0.81799999999999995</v>
          </cell>
          <cell r="J570">
            <v>0</v>
          </cell>
          <cell r="K570">
            <v>0</v>
          </cell>
          <cell r="L570">
            <v>1.63</v>
          </cell>
          <cell r="M570">
            <v>1.05</v>
          </cell>
          <cell r="N570">
            <v>1.1599999999999999</v>
          </cell>
          <cell r="O570">
            <v>0.01</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t="str">
            <v>MPET 12x740</v>
          </cell>
          <cell r="AF570" t="str">
            <v>PE 75x740</v>
          </cell>
          <cell r="AG570">
            <v>7.6201500000000005E-2</v>
          </cell>
          <cell r="AH570">
            <v>1.1193333333333333</v>
          </cell>
          <cell r="AI570">
            <v>1.46</v>
          </cell>
          <cell r="AJ570">
            <v>9530</v>
          </cell>
          <cell r="AK570">
            <v>9530</v>
          </cell>
          <cell r="AL570" t="str">
            <v>0,0053(0,0023;0,003)</v>
          </cell>
          <cell r="AM570" t="str">
            <v>túi hàn lưng xếp hông</v>
          </cell>
          <cell r="AN570">
            <v>270</v>
          </cell>
          <cell r="AO570" t="str">
            <v>Bùi Văn Sỹ</v>
          </cell>
          <cell r="AP570" t="str">
            <v>1904578-1</v>
          </cell>
          <cell r="AQ570" t="str">
            <v>1904578-2</v>
          </cell>
          <cell r="AR570" t="str">
            <v>1904578-3</v>
          </cell>
          <cell r="AS570" t="str">
            <v>1904578-4</v>
          </cell>
          <cell r="AT570" t="str">
            <v>1904578-5</v>
          </cell>
          <cell r="AU570">
            <v>0</v>
          </cell>
          <cell r="AV570">
            <v>0</v>
          </cell>
          <cell r="AW570">
            <v>0</v>
          </cell>
          <cell r="AX570">
            <v>0</v>
          </cell>
          <cell r="AY570" t="str">
            <v>540x860</v>
          </cell>
          <cell r="AZ570" t="str">
            <v>G2</v>
          </cell>
          <cell r="BA570">
            <v>3500</v>
          </cell>
          <cell r="BB570" t="str">
            <v>Thùng 5 lớp 42x34x33</v>
          </cell>
          <cell r="BC570">
            <v>0</v>
          </cell>
          <cell r="BD570">
            <v>0</v>
          </cell>
        </row>
        <row r="571">
          <cell r="A571" t="str">
            <v>sp 1094</v>
          </cell>
          <cell r="B571" t="str">
            <v>Túi trà quả cầu xanh đặc sản 100gr loại 21</v>
          </cell>
          <cell r="C571">
            <v>3.44</v>
          </cell>
          <cell r="D571">
            <v>3</v>
          </cell>
          <cell r="E571" t="str">
            <v>PET 12x740</v>
          </cell>
          <cell r="F571">
            <v>5</v>
          </cell>
          <cell r="G571" t="str">
            <v>PET</v>
          </cell>
          <cell r="H571">
            <v>0</v>
          </cell>
          <cell r="I571">
            <v>0.11</v>
          </cell>
          <cell r="J571">
            <v>0</v>
          </cell>
          <cell r="K571">
            <v>1.06</v>
          </cell>
          <cell r="L571">
            <v>0.01</v>
          </cell>
          <cell r="M571">
            <v>0</v>
          </cell>
          <cell r="N571">
            <v>2.25</v>
          </cell>
          <cell r="O571">
            <v>0.01</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t="str">
            <v>MPET 12x740</v>
          </cell>
          <cell r="AF571" t="str">
            <v>PE 75x740</v>
          </cell>
          <cell r="AG571">
            <v>7.6201500000000005E-2</v>
          </cell>
          <cell r="AH571">
            <v>1.1193333333333333</v>
          </cell>
          <cell r="AI571">
            <v>1.46</v>
          </cell>
          <cell r="AJ571">
            <v>9530</v>
          </cell>
          <cell r="AK571">
            <v>9530</v>
          </cell>
          <cell r="AL571" t="str">
            <v>0,0053(0,0023;0,003)</v>
          </cell>
          <cell r="AM571" t="str">
            <v>túi hàn lưng xếp hông</v>
          </cell>
          <cell r="AN571">
            <v>270</v>
          </cell>
          <cell r="AO571" t="str">
            <v>Bùi Văn Sỹ</v>
          </cell>
          <cell r="AP571" t="str">
            <v>1904579-1</v>
          </cell>
          <cell r="AQ571" t="str">
            <v>1904578-2</v>
          </cell>
          <cell r="AR571" t="str">
            <v>1904578-3</v>
          </cell>
          <cell r="AS571" t="str">
            <v>1904579-4</v>
          </cell>
          <cell r="AT571" t="str">
            <v>1904579-5</v>
          </cell>
          <cell r="AU571">
            <v>0</v>
          </cell>
          <cell r="AV571">
            <v>0</v>
          </cell>
          <cell r="AW571">
            <v>0</v>
          </cell>
          <cell r="AX571">
            <v>0</v>
          </cell>
          <cell r="AY571" t="str">
            <v>540x860</v>
          </cell>
          <cell r="AZ571" t="str">
            <v>G3</v>
          </cell>
          <cell r="BA571">
            <v>3500</v>
          </cell>
          <cell r="BB571" t="str">
            <v>Thùng 5 lớp 42x34x33</v>
          </cell>
          <cell r="BC571">
            <v>0</v>
          </cell>
          <cell r="BD571">
            <v>0</v>
          </cell>
        </row>
        <row r="572">
          <cell r="A572" t="str">
            <v>sp 1095</v>
          </cell>
          <cell r="B572" t="str">
            <v>Túi bánh pingo hương sữa 414gr Libra</v>
          </cell>
          <cell r="C572">
            <v>6.51</v>
          </cell>
          <cell r="D572">
            <v>1</v>
          </cell>
          <cell r="E572" t="str">
            <v>OPP 30x610</v>
          </cell>
          <cell r="F572">
            <v>7</v>
          </cell>
          <cell r="G572" t="str">
            <v>OPP</v>
          </cell>
          <cell r="H572">
            <v>0</v>
          </cell>
          <cell r="I572">
            <v>1.48</v>
          </cell>
          <cell r="J572">
            <v>0.43</v>
          </cell>
          <cell r="K572">
            <v>0.01</v>
          </cell>
          <cell r="L572">
            <v>2.36</v>
          </cell>
          <cell r="M572">
            <v>0.7</v>
          </cell>
          <cell r="N572">
            <v>0</v>
          </cell>
          <cell r="O572">
            <v>0</v>
          </cell>
          <cell r="P572">
            <v>0.01</v>
          </cell>
          <cell r="Q572">
            <v>0.52</v>
          </cell>
          <cell r="R572">
            <v>1</v>
          </cell>
          <cell r="S572">
            <v>0</v>
          </cell>
          <cell r="T572">
            <v>0</v>
          </cell>
          <cell r="U572">
            <v>0</v>
          </cell>
          <cell r="V572">
            <v>0</v>
          </cell>
          <cell r="W572">
            <v>0</v>
          </cell>
          <cell r="X572">
            <v>0</v>
          </cell>
          <cell r="Y572">
            <v>0</v>
          </cell>
          <cell r="Z572">
            <v>0</v>
          </cell>
          <cell r="AA572">
            <v>0</v>
          </cell>
          <cell r="AB572">
            <v>0</v>
          </cell>
          <cell r="AC572">
            <v>0</v>
          </cell>
          <cell r="AD572">
            <v>0</v>
          </cell>
          <cell r="AE572" t="str">
            <v>CPP 40x610</v>
          </cell>
          <cell r="AF572">
            <v>0</v>
          </cell>
          <cell r="AG572">
            <v>3.8857000000000003E-2</v>
          </cell>
          <cell r="AH572">
            <v>0.91999999999999993</v>
          </cell>
          <cell r="AI572">
            <v>0</v>
          </cell>
          <cell r="AJ572">
            <v>9530</v>
          </cell>
          <cell r="AK572">
            <v>0</v>
          </cell>
          <cell r="AL572">
            <v>2.3E-3</v>
          </cell>
          <cell r="AM572" t="str">
            <v>túi hàn lưng</v>
          </cell>
          <cell r="AN572">
            <v>280</v>
          </cell>
          <cell r="AO572" t="str">
            <v>Công ty Libra</v>
          </cell>
          <cell r="AP572" t="str">
            <v>F124789G1-1</v>
          </cell>
          <cell r="AQ572" t="str">
            <v>F124789-2</v>
          </cell>
          <cell r="AR572" t="str">
            <v>F124789-3</v>
          </cell>
          <cell r="AS572" t="str">
            <v>F124789-4</v>
          </cell>
          <cell r="AT572" t="str">
            <v>F124789-5</v>
          </cell>
          <cell r="AU572" t="str">
            <v>F124789-6</v>
          </cell>
          <cell r="AV572" t="str">
            <v>F124789-7</v>
          </cell>
          <cell r="AW572">
            <v>0</v>
          </cell>
          <cell r="AX572">
            <v>0</v>
          </cell>
          <cell r="AY572" t="str">
            <v>560*870</v>
          </cell>
          <cell r="AZ572" t="str">
            <v>Q2</v>
          </cell>
          <cell r="BA572">
            <v>0</v>
          </cell>
          <cell r="BB572">
            <v>0</v>
          </cell>
          <cell r="BC572">
            <v>0</v>
          </cell>
          <cell r="BD572">
            <v>0</v>
          </cell>
        </row>
        <row r="573">
          <cell r="A573" t="str">
            <v>sp 1096</v>
          </cell>
          <cell r="B573" t="str">
            <v>Cuộn trà hương táo bigtea Vĩnh Phúc</v>
          </cell>
          <cell r="C573">
            <v>8.6399999999999988</v>
          </cell>
          <cell r="D573">
            <v>4</v>
          </cell>
          <cell r="E573" t="str">
            <v>OPP mờ 20x640</v>
          </cell>
          <cell r="F573">
            <v>7</v>
          </cell>
          <cell r="G573" t="str">
            <v>OPP</v>
          </cell>
          <cell r="H573">
            <v>7.0000000000000007E-2</v>
          </cell>
          <cell r="I573">
            <v>2.65</v>
          </cell>
          <cell r="J573">
            <v>0</v>
          </cell>
          <cell r="K573">
            <v>0.01</v>
          </cell>
          <cell r="L573">
            <v>1.47</v>
          </cell>
          <cell r="M573">
            <v>1.76</v>
          </cell>
          <cell r="N573">
            <v>0</v>
          </cell>
          <cell r="O573">
            <v>1.54</v>
          </cell>
          <cell r="P573">
            <v>1.1399999999999999</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t="str">
            <v>MCPP 35x640</v>
          </cell>
          <cell r="AF573">
            <v>0</v>
          </cell>
          <cell r="AG573">
            <v>3.2032000000000005E-2</v>
          </cell>
          <cell r="AH573">
            <v>0.96599999999999997</v>
          </cell>
          <cell r="AI573">
            <v>0</v>
          </cell>
          <cell r="AJ573">
            <v>9530</v>
          </cell>
          <cell r="AK573">
            <v>0</v>
          </cell>
          <cell r="AL573">
            <v>2.3E-3</v>
          </cell>
          <cell r="AM573" t="str">
            <v>dạng cuộn 1500m</v>
          </cell>
          <cell r="AN573">
            <v>155</v>
          </cell>
          <cell r="AO573" t="str">
            <v>Công ty TNHH Thế hệ mới Vĩnh Phúc</v>
          </cell>
          <cell r="AP573" t="str">
            <v>F124739-1</v>
          </cell>
          <cell r="AQ573" t="str">
            <v>F124739-2</v>
          </cell>
          <cell r="AR573" t="str">
            <v>F124739-3</v>
          </cell>
          <cell r="AS573" t="str">
            <v>F124739-4</v>
          </cell>
          <cell r="AT573" t="str">
            <v>F124739-5</v>
          </cell>
          <cell r="AU573" t="str">
            <v>F124739-6</v>
          </cell>
          <cell r="AV573" t="str">
            <v>F124739-7</v>
          </cell>
          <cell r="AW573">
            <v>0</v>
          </cell>
          <cell r="AX573">
            <v>0</v>
          </cell>
          <cell r="AY573" t="str">
            <v>462x870</v>
          </cell>
          <cell r="AZ573" t="str">
            <v>A3</v>
          </cell>
          <cell r="BA573">
            <v>0</v>
          </cell>
          <cell r="BB573">
            <v>0</v>
          </cell>
          <cell r="BC573">
            <v>0</v>
          </cell>
          <cell r="BD573">
            <v>0</v>
          </cell>
        </row>
        <row r="574">
          <cell r="A574" t="str">
            <v>sp 1097</v>
          </cell>
          <cell r="B574" t="str">
            <v>Cuộn trà hương xoài bigtea Vĩnh Phúc</v>
          </cell>
          <cell r="C574">
            <v>9.7099999999999991</v>
          </cell>
          <cell r="D574">
            <v>4</v>
          </cell>
          <cell r="E574" t="str">
            <v>OPP mờ 20x640</v>
          </cell>
          <cell r="F574">
            <v>7</v>
          </cell>
          <cell r="G574" t="str">
            <v>OPP</v>
          </cell>
          <cell r="H574">
            <v>0.72</v>
          </cell>
          <cell r="I574">
            <v>4.82</v>
          </cell>
          <cell r="J574">
            <v>0.21</v>
          </cell>
          <cell r="K574">
            <v>0.01</v>
          </cell>
          <cell r="L574">
            <v>1.87</v>
          </cell>
          <cell r="M574">
            <v>1.72</v>
          </cell>
          <cell r="N574">
            <v>0</v>
          </cell>
          <cell r="O574">
            <v>7.0000000000000007E-2</v>
          </cell>
          <cell r="P574">
            <v>0.28000000000000003</v>
          </cell>
          <cell r="Q574">
            <v>0.01</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t="str">
            <v>MCPP 35x640</v>
          </cell>
          <cell r="AF574">
            <v>0</v>
          </cell>
          <cell r="AG574">
            <v>3.2032000000000005E-2</v>
          </cell>
          <cell r="AH574">
            <v>0.96599999999999997</v>
          </cell>
          <cell r="AI574">
            <v>0</v>
          </cell>
          <cell r="AJ574">
            <v>9530</v>
          </cell>
          <cell r="AK574">
            <v>0</v>
          </cell>
          <cell r="AL574">
            <v>2.3E-3</v>
          </cell>
          <cell r="AM574" t="str">
            <v>dạng cuộn 1500m</v>
          </cell>
          <cell r="AN574">
            <v>155</v>
          </cell>
          <cell r="AO574" t="str">
            <v>Công ty TNHH Thế hệ mới Vĩnh Phúc</v>
          </cell>
          <cell r="AP574" t="str">
            <v>F124740-1</v>
          </cell>
          <cell r="AQ574" t="str">
            <v>F124739-2</v>
          </cell>
          <cell r="AR574" t="str">
            <v>F124740-3</v>
          </cell>
          <cell r="AS574" t="str">
            <v>F124740-4</v>
          </cell>
          <cell r="AT574" t="str">
            <v>F124740-5</v>
          </cell>
          <cell r="AU574" t="str">
            <v>F124740-6</v>
          </cell>
          <cell r="AV574" t="str">
            <v>F124739-7</v>
          </cell>
          <cell r="AW574">
            <v>0</v>
          </cell>
          <cell r="AX574">
            <v>0</v>
          </cell>
          <cell r="AY574" t="str">
            <v>462x870</v>
          </cell>
          <cell r="AZ574" t="str">
            <v>A3</v>
          </cell>
          <cell r="BA574">
            <v>0</v>
          </cell>
          <cell r="BB574">
            <v>0</v>
          </cell>
          <cell r="BC574">
            <v>0</v>
          </cell>
          <cell r="BD574" t="str">
            <v>Dùng chung cây zxanh(2),trắng(7) với sp 1096</v>
          </cell>
        </row>
        <row r="575">
          <cell r="A575" t="str">
            <v>sp 1098</v>
          </cell>
          <cell r="B575" t="str">
            <v>Cuộn trà hương dâu bigtea Vĩnh Phúc</v>
          </cell>
          <cell r="C575">
            <v>10.93</v>
          </cell>
          <cell r="D575">
            <v>4</v>
          </cell>
          <cell r="E575" t="str">
            <v>OPP mờ 20x640</v>
          </cell>
          <cell r="F575">
            <v>7</v>
          </cell>
          <cell r="G575" t="str">
            <v>OPP</v>
          </cell>
          <cell r="H575">
            <v>0.01</v>
          </cell>
          <cell r="I575">
            <v>3.83</v>
          </cell>
          <cell r="J575">
            <v>7.0000000000000007E-2</v>
          </cell>
          <cell r="K575">
            <v>1.84</v>
          </cell>
          <cell r="L575">
            <v>1.25</v>
          </cell>
          <cell r="M575">
            <v>2.06</v>
          </cell>
          <cell r="N575">
            <v>0</v>
          </cell>
          <cell r="O575">
            <v>1.4</v>
          </cell>
          <cell r="P575">
            <v>0.03</v>
          </cell>
          <cell r="Q575">
            <v>0.44</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t="str">
            <v>MCPP 35x640</v>
          </cell>
          <cell r="AF575">
            <v>0</v>
          </cell>
          <cell r="AG575">
            <v>3.2032000000000005E-2</v>
          </cell>
          <cell r="AH575">
            <v>0.96599999999999997</v>
          </cell>
          <cell r="AI575">
            <v>0</v>
          </cell>
          <cell r="AJ575">
            <v>9530</v>
          </cell>
          <cell r="AK575">
            <v>0</v>
          </cell>
          <cell r="AL575">
            <v>2.3E-3</v>
          </cell>
          <cell r="AM575" t="str">
            <v>dạng cuộn 1500m</v>
          </cell>
          <cell r="AN575">
            <v>155</v>
          </cell>
          <cell r="AO575" t="str">
            <v>Công ty TNHH Thế hệ mới Vĩnh Phúc</v>
          </cell>
          <cell r="AP575" t="str">
            <v>F124741-1</v>
          </cell>
          <cell r="AQ575" t="str">
            <v>F124739-2</v>
          </cell>
          <cell r="AR575" t="str">
            <v>F124741-3</v>
          </cell>
          <cell r="AS575" t="str">
            <v>F124741-4</v>
          </cell>
          <cell r="AT575" t="str">
            <v>F124741-5</v>
          </cell>
          <cell r="AU575" t="str">
            <v>F124741-6</v>
          </cell>
          <cell r="AV575" t="str">
            <v>F124739-7</v>
          </cell>
          <cell r="AW575">
            <v>0</v>
          </cell>
          <cell r="AX575">
            <v>0</v>
          </cell>
          <cell r="AY575" t="str">
            <v>462x870</v>
          </cell>
          <cell r="AZ575" t="str">
            <v>A3</v>
          </cell>
          <cell r="BA575">
            <v>0</v>
          </cell>
          <cell r="BB575">
            <v>0</v>
          </cell>
          <cell r="BC575">
            <v>0</v>
          </cell>
          <cell r="BD575" t="str">
            <v>Dùng chung cây zxanh(2),trắng(7) với sp 1096</v>
          </cell>
        </row>
        <row r="576">
          <cell r="A576" t="str">
            <v>sp 1099</v>
          </cell>
          <cell r="B576" t="str">
            <v>Cuộn trà hương đào bigtea Vĩnh Phúc</v>
          </cell>
          <cell r="C576">
            <v>14.729999999999999</v>
          </cell>
          <cell r="D576">
            <v>4</v>
          </cell>
          <cell r="E576" t="str">
            <v>OPP mờ 20x640</v>
          </cell>
          <cell r="F576">
            <v>7</v>
          </cell>
          <cell r="G576" t="str">
            <v>OPP</v>
          </cell>
          <cell r="H576">
            <v>0.01</v>
          </cell>
          <cell r="I576">
            <v>3.4</v>
          </cell>
          <cell r="J576">
            <v>0.56999999999999995</v>
          </cell>
          <cell r="K576">
            <v>1.1200000000000001</v>
          </cell>
          <cell r="L576">
            <v>5.9</v>
          </cell>
          <cell r="M576">
            <v>1.44</v>
          </cell>
          <cell r="N576">
            <v>0</v>
          </cell>
          <cell r="O576">
            <v>0.01</v>
          </cell>
          <cell r="P576">
            <v>0</v>
          </cell>
          <cell r="Q576">
            <v>2.2799999999999998</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t="str">
            <v>MCPP 35x640</v>
          </cell>
          <cell r="AF576">
            <v>0</v>
          </cell>
          <cell r="AG576">
            <v>3.2032000000000005E-2</v>
          </cell>
          <cell r="AH576">
            <v>0.96599999999999997</v>
          </cell>
          <cell r="AI576">
            <v>0</v>
          </cell>
          <cell r="AJ576">
            <v>9530</v>
          </cell>
          <cell r="AK576">
            <v>0</v>
          </cell>
          <cell r="AL576">
            <v>2.3E-3</v>
          </cell>
          <cell r="AM576" t="str">
            <v>dạng cuộn 1500m</v>
          </cell>
          <cell r="AN576">
            <v>155</v>
          </cell>
          <cell r="AO576" t="str">
            <v>Công ty TNHH Thế hệ mới Vĩnh Phúc</v>
          </cell>
          <cell r="AP576" t="str">
            <v>F124742-1</v>
          </cell>
          <cell r="AQ576" t="str">
            <v>F124739-2</v>
          </cell>
          <cell r="AR576" t="str">
            <v>F124742-3</v>
          </cell>
          <cell r="AS576" t="str">
            <v>F124742-4</v>
          </cell>
          <cell r="AT576" t="str">
            <v>F124742-5</v>
          </cell>
          <cell r="AU576" t="str">
            <v>F124742-6</v>
          </cell>
          <cell r="AV576" t="str">
            <v>F124739-7</v>
          </cell>
          <cell r="AW576">
            <v>0</v>
          </cell>
          <cell r="AX576">
            <v>0</v>
          </cell>
          <cell r="AY576" t="str">
            <v>462x870</v>
          </cell>
          <cell r="AZ576" t="str">
            <v>A3</v>
          </cell>
          <cell r="BA576">
            <v>0</v>
          </cell>
          <cell r="BB576">
            <v>0</v>
          </cell>
          <cell r="BC576">
            <v>0</v>
          </cell>
          <cell r="BD576" t="str">
            <v>Dùng chung cây zxanh(2),trắng(7) với sp 1096</v>
          </cell>
        </row>
        <row r="577">
          <cell r="A577" t="str">
            <v>sp 1100</v>
          </cell>
          <cell r="B577" t="str">
            <v>Cuộn trà hương trà xanh bigtea Vĩnh Phúc</v>
          </cell>
          <cell r="C577">
            <v>8.8299999999999983</v>
          </cell>
          <cell r="D577">
            <v>4</v>
          </cell>
          <cell r="E577" t="str">
            <v>OPP mờ 20x640</v>
          </cell>
          <cell r="F577">
            <v>7</v>
          </cell>
          <cell r="G577" t="str">
            <v>OPP</v>
          </cell>
          <cell r="H577">
            <v>0.77</v>
          </cell>
          <cell r="I577">
            <v>3.51</v>
          </cell>
          <cell r="J577">
            <v>0.22</v>
          </cell>
          <cell r="K577">
            <v>0.01</v>
          </cell>
          <cell r="L577">
            <v>2.85</v>
          </cell>
          <cell r="M577">
            <v>1.17</v>
          </cell>
          <cell r="N577">
            <v>0</v>
          </cell>
          <cell r="O577">
            <v>0</v>
          </cell>
          <cell r="P577">
            <v>0</v>
          </cell>
          <cell r="Q577">
            <v>0.28999999999999998</v>
          </cell>
          <cell r="R577">
            <v>0</v>
          </cell>
          <cell r="S577">
            <v>0</v>
          </cell>
          <cell r="T577">
            <v>0.01</v>
          </cell>
          <cell r="U577">
            <v>0</v>
          </cell>
          <cell r="V577">
            <v>0</v>
          </cell>
          <cell r="W577">
            <v>0</v>
          </cell>
          <cell r="X577">
            <v>0</v>
          </cell>
          <cell r="Y577">
            <v>0</v>
          </cell>
          <cell r="Z577">
            <v>0</v>
          </cell>
          <cell r="AA577">
            <v>0</v>
          </cell>
          <cell r="AB577">
            <v>0</v>
          </cell>
          <cell r="AC577">
            <v>0</v>
          </cell>
          <cell r="AD577">
            <v>0</v>
          </cell>
          <cell r="AE577" t="str">
            <v>MCPP 35x640</v>
          </cell>
          <cell r="AF577">
            <v>0</v>
          </cell>
          <cell r="AG577">
            <v>3.2032000000000005E-2</v>
          </cell>
          <cell r="AH577">
            <v>0.96599999999999997</v>
          </cell>
          <cell r="AI577">
            <v>0</v>
          </cell>
          <cell r="AJ577">
            <v>9530</v>
          </cell>
          <cell r="AK577">
            <v>0</v>
          </cell>
          <cell r="AL577">
            <v>2.3E-3</v>
          </cell>
          <cell r="AM577" t="str">
            <v>dạng cuộn 1500m</v>
          </cell>
          <cell r="AN577">
            <v>155</v>
          </cell>
          <cell r="AO577" t="str">
            <v>Công ty TNHH Thế hệ mới Vĩnh Phúc</v>
          </cell>
          <cell r="AP577" t="str">
            <v>F124744-1</v>
          </cell>
          <cell r="AQ577" t="str">
            <v>F124739-2</v>
          </cell>
          <cell r="AR577" t="str">
            <v>F124744-3</v>
          </cell>
          <cell r="AS577" t="str">
            <v>F124744-4</v>
          </cell>
          <cell r="AT577" t="str">
            <v>F124744-5</v>
          </cell>
          <cell r="AU577" t="str">
            <v>F124744-6</v>
          </cell>
          <cell r="AV577" t="str">
            <v>F124739-7</v>
          </cell>
          <cell r="AW577">
            <v>0</v>
          </cell>
          <cell r="AX577">
            <v>0</v>
          </cell>
          <cell r="AY577" t="str">
            <v>462x870</v>
          </cell>
          <cell r="AZ577" t="str">
            <v>A3</v>
          </cell>
          <cell r="BA577">
            <v>0</v>
          </cell>
          <cell r="BB577">
            <v>0</v>
          </cell>
          <cell r="BC577">
            <v>0</v>
          </cell>
          <cell r="BD577" t="str">
            <v>Dùng chung cây zxanh(2),trắng(7) với sp 1096</v>
          </cell>
        </row>
        <row r="578">
          <cell r="A578" t="str">
            <v>sp 1101</v>
          </cell>
          <cell r="B578" t="str">
            <v>Cuộn bánh pingo hương sữa 34.5gr Libra</v>
          </cell>
          <cell r="C578">
            <v>6.4699999999999989</v>
          </cell>
          <cell r="D578">
            <v>4</v>
          </cell>
          <cell r="E578" t="str">
            <v>PET 12x720</v>
          </cell>
          <cell r="F578">
            <v>7</v>
          </cell>
          <cell r="G578" t="str">
            <v>PET</v>
          </cell>
          <cell r="H578">
            <v>0.04</v>
          </cell>
          <cell r="I578">
            <v>2.4</v>
          </cell>
          <cell r="J578">
            <v>0.01</v>
          </cell>
          <cell r="K578">
            <v>0.08</v>
          </cell>
          <cell r="L578">
            <v>2.36</v>
          </cell>
          <cell r="M578">
            <v>1.1299999999999999</v>
          </cell>
          <cell r="N578">
            <v>0</v>
          </cell>
          <cell r="O578">
            <v>0</v>
          </cell>
          <cell r="P578">
            <v>0.02</v>
          </cell>
          <cell r="Q578">
            <v>0</v>
          </cell>
          <cell r="R578">
            <v>0.43</v>
          </cell>
          <cell r="S578">
            <v>0</v>
          </cell>
          <cell r="T578">
            <v>0</v>
          </cell>
          <cell r="U578">
            <v>0</v>
          </cell>
          <cell r="V578">
            <v>0</v>
          </cell>
          <cell r="W578">
            <v>0</v>
          </cell>
          <cell r="X578">
            <v>0</v>
          </cell>
          <cell r="Y578">
            <v>0</v>
          </cell>
          <cell r="Z578">
            <v>0</v>
          </cell>
          <cell r="AA578">
            <v>0</v>
          </cell>
          <cell r="AB578">
            <v>0</v>
          </cell>
          <cell r="AC578">
            <v>0</v>
          </cell>
          <cell r="AD578">
            <v>0</v>
          </cell>
          <cell r="AE578" t="str">
            <v>CPP 25x720</v>
          </cell>
          <cell r="AF578">
            <v>0</v>
          </cell>
          <cell r="AG578">
            <v>2.8476000000000001E-2</v>
          </cell>
          <cell r="AH578">
            <v>0.31949999999999995</v>
          </cell>
          <cell r="AI578">
            <v>0</v>
          </cell>
          <cell r="AJ578" t="str">
            <v>keo PP2450FX
ĐR I-2450A</v>
          </cell>
          <cell r="AK578">
            <v>0</v>
          </cell>
          <cell r="AL578">
            <v>1.1999999999999999E-3</v>
          </cell>
          <cell r="AM578" t="str">
            <v>dạng cuộn 1000m</v>
          </cell>
          <cell r="AN578">
            <v>175</v>
          </cell>
          <cell r="AO578" t="str">
            <v>Công ty Libra</v>
          </cell>
          <cell r="AP578" t="str">
            <v>F124923G1-1</v>
          </cell>
          <cell r="AQ578" t="str">
            <v>F124923-2</v>
          </cell>
          <cell r="AR578" t="str">
            <v>F124923-3</v>
          </cell>
          <cell r="AS578" t="str">
            <v>F124923-4</v>
          </cell>
          <cell r="AT578" t="str">
            <v>F124923-5</v>
          </cell>
          <cell r="AU578" t="str">
            <v>F124923-6</v>
          </cell>
          <cell r="AV578" t="str">
            <v>F124923-7</v>
          </cell>
          <cell r="AW578">
            <v>0</v>
          </cell>
          <cell r="AX578">
            <v>0</v>
          </cell>
          <cell r="AY578" t="str">
            <v>525x870</v>
          </cell>
          <cell r="AZ578" t="str">
            <v>Q3</v>
          </cell>
          <cell r="BA578">
            <v>0</v>
          </cell>
          <cell r="BB578">
            <v>0</v>
          </cell>
          <cell r="BC578">
            <v>0</v>
          </cell>
          <cell r="BD578">
            <v>0</v>
          </cell>
        </row>
        <row r="579">
          <cell r="A579" t="str">
            <v>sp 1102</v>
          </cell>
          <cell r="B579" t="str">
            <v>Cuộn men rượu hương nếp Trung Tiến</v>
          </cell>
          <cell r="C579">
            <v>6</v>
          </cell>
          <cell r="D579">
            <v>5</v>
          </cell>
          <cell r="E579" t="str">
            <v>OPP 20x910</v>
          </cell>
          <cell r="F579">
            <v>3</v>
          </cell>
          <cell r="G579" t="str">
            <v>OPP</v>
          </cell>
          <cell r="H579">
            <v>0.02</v>
          </cell>
          <cell r="I579">
            <v>0</v>
          </cell>
          <cell r="J579">
            <v>0</v>
          </cell>
          <cell r="K579">
            <v>0</v>
          </cell>
          <cell r="L579">
            <v>1.56</v>
          </cell>
          <cell r="M579">
            <v>3.69</v>
          </cell>
          <cell r="N579">
            <v>0</v>
          </cell>
          <cell r="O579">
            <v>0</v>
          </cell>
          <cell r="P579">
            <v>0.57999999999999996</v>
          </cell>
          <cell r="Q579">
            <v>0.15</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t="str">
            <v>PE 25x910</v>
          </cell>
          <cell r="AF579">
            <v>0</v>
          </cell>
          <cell r="AG579">
            <v>3.760575E-2</v>
          </cell>
          <cell r="AH579">
            <v>1.38</v>
          </cell>
          <cell r="AI579">
            <v>0</v>
          </cell>
          <cell r="AJ579">
            <v>9530</v>
          </cell>
          <cell r="AK579">
            <v>9530</v>
          </cell>
          <cell r="AL579">
            <v>2.3E-3</v>
          </cell>
          <cell r="AM579" t="str">
            <v>dạng cuộn 1000m</v>
          </cell>
          <cell r="AN579">
            <v>178</v>
          </cell>
          <cell r="AO579" t="str">
            <v>Cơ sở men Trung Tiến</v>
          </cell>
          <cell r="AP579" t="str">
            <v>F124728G1-1</v>
          </cell>
          <cell r="AQ579" t="str">
            <v>F124728-2</v>
          </cell>
          <cell r="AR579" t="str">
            <v>F124728-3</v>
          </cell>
          <cell r="AS579">
            <v>0</v>
          </cell>
          <cell r="AT579">
            <v>0</v>
          </cell>
          <cell r="AU579">
            <v>0</v>
          </cell>
          <cell r="AV579">
            <v>0</v>
          </cell>
          <cell r="AW579">
            <v>0</v>
          </cell>
          <cell r="AX579">
            <v>0</v>
          </cell>
          <cell r="AY579" t="str">
            <v>465x1100</v>
          </cell>
          <cell r="AZ579" t="str">
            <v>Q3</v>
          </cell>
          <cell r="BA579" t="str">
            <v>2c</v>
          </cell>
          <cell r="BB579" t="str">
            <v>giấy cartoon</v>
          </cell>
          <cell r="BC579">
            <v>0</v>
          </cell>
          <cell r="BD579">
            <v>0</v>
          </cell>
        </row>
        <row r="580">
          <cell r="A580" t="str">
            <v>sp 1103</v>
          </cell>
          <cell r="B580" t="str">
            <v>Túi kẹo mềm cao cấp suri 330gr Hữu Nghị</v>
          </cell>
          <cell r="C580">
            <v>6.99</v>
          </cell>
          <cell r="D580">
            <v>2</v>
          </cell>
          <cell r="E580" t="str">
            <v>OPP 30x860</v>
          </cell>
          <cell r="F580">
            <v>8</v>
          </cell>
          <cell r="G580" t="str">
            <v>OPP</v>
          </cell>
          <cell r="H580">
            <v>0.2</v>
          </cell>
          <cell r="I580">
            <v>3.27</v>
          </cell>
          <cell r="J580">
            <v>0.24</v>
          </cell>
          <cell r="K580">
            <v>0.7</v>
          </cell>
          <cell r="L580">
            <v>0.01</v>
          </cell>
          <cell r="M580">
            <v>0.3</v>
          </cell>
          <cell r="N580">
            <v>0</v>
          </cell>
          <cell r="O580">
            <v>0</v>
          </cell>
          <cell r="P580">
            <v>1.34</v>
          </cell>
          <cell r="Q580">
            <v>0</v>
          </cell>
          <cell r="R580">
            <v>0.53</v>
          </cell>
          <cell r="S580">
            <v>0</v>
          </cell>
          <cell r="T580">
            <v>0</v>
          </cell>
          <cell r="U580">
            <v>0</v>
          </cell>
          <cell r="V580">
            <v>0</v>
          </cell>
          <cell r="W580">
            <v>0.4</v>
          </cell>
          <cell r="X580">
            <v>0</v>
          </cell>
          <cell r="Y580">
            <v>0</v>
          </cell>
          <cell r="Z580">
            <v>0</v>
          </cell>
          <cell r="AA580">
            <v>0</v>
          </cell>
          <cell r="AB580">
            <v>0</v>
          </cell>
          <cell r="AC580">
            <v>0</v>
          </cell>
          <cell r="AD580">
            <v>0</v>
          </cell>
          <cell r="AE580" t="str">
            <v>CPP 50x860</v>
          </cell>
          <cell r="AF580">
            <v>0</v>
          </cell>
          <cell r="AG580">
            <v>6.2607999999999997E-2</v>
          </cell>
          <cell r="AH580">
            <v>1.1333333333333333</v>
          </cell>
          <cell r="AI580">
            <v>0</v>
          </cell>
          <cell r="AJ580">
            <v>9530</v>
          </cell>
          <cell r="AK580">
            <v>0</v>
          </cell>
          <cell r="AL580">
            <v>2E-3</v>
          </cell>
          <cell r="AM580" t="str">
            <v>túi ba biên</v>
          </cell>
          <cell r="AN580">
            <v>280</v>
          </cell>
          <cell r="AO580" t="str">
            <v>Công ty CP Thực Phẩm Hữu Nghị</v>
          </cell>
          <cell r="AP580" t="str">
            <v>X106474-1</v>
          </cell>
          <cell r="AQ580" t="str">
            <v>X106474-2</v>
          </cell>
          <cell r="AR580" t="str">
            <v>X106474-3</v>
          </cell>
          <cell r="AS580" t="str">
            <v>X106474-4</v>
          </cell>
          <cell r="AT580" t="str">
            <v>X106474-5</v>
          </cell>
          <cell r="AU580" t="str">
            <v>X106474-6</v>
          </cell>
          <cell r="AV580" t="str">
            <v>X106474-7</v>
          </cell>
          <cell r="AW580" t="str">
            <v>X106474-8</v>
          </cell>
          <cell r="AX580">
            <v>0</v>
          </cell>
          <cell r="AY580" t="str">
            <v>560x1100</v>
          </cell>
          <cell r="AZ580" t="str">
            <v>B2</v>
          </cell>
          <cell r="BA580">
            <v>0</v>
          </cell>
          <cell r="BB580">
            <v>0</v>
          </cell>
          <cell r="BC580">
            <v>0</v>
          </cell>
          <cell r="BD580">
            <v>0</v>
          </cell>
        </row>
        <row r="581">
          <cell r="A581" t="str">
            <v>sp 1104</v>
          </cell>
          <cell r="B581" t="str">
            <v>Túi trà bát giác TC không khối lượng loại 22</v>
          </cell>
          <cell r="C581">
            <v>9.25</v>
          </cell>
          <cell r="D581">
            <v>2</v>
          </cell>
          <cell r="E581" t="str">
            <v>PET 12x640</v>
          </cell>
          <cell r="F581">
            <v>7</v>
          </cell>
          <cell r="G581" t="str">
            <v>PET</v>
          </cell>
          <cell r="H581">
            <v>0.26</v>
          </cell>
          <cell r="I581">
            <v>0.74</v>
          </cell>
          <cell r="J581">
            <v>0</v>
          </cell>
          <cell r="K581">
            <v>1.95</v>
          </cell>
          <cell r="L581">
            <v>1.07</v>
          </cell>
          <cell r="M581">
            <v>0.53</v>
          </cell>
          <cell r="N581">
            <v>3.5</v>
          </cell>
          <cell r="O581">
            <v>0</v>
          </cell>
          <cell r="P581">
            <v>1.2</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t="str">
            <v>MPET 12x640</v>
          </cell>
          <cell r="AF581" t="str">
            <v>PE 75x640</v>
          </cell>
          <cell r="AG581">
            <v>6.5904000000000004E-2</v>
          </cell>
          <cell r="AH581">
            <v>0.96599999999999997</v>
          </cell>
          <cell r="AI581">
            <v>1.26</v>
          </cell>
          <cell r="AJ581">
            <v>9530</v>
          </cell>
          <cell r="AK581">
            <v>9530</v>
          </cell>
          <cell r="AL581" t="str">
            <v>0,0053(0,0023;0,003)</v>
          </cell>
          <cell r="AM581" t="str">
            <v>túi hàn lưng xếp hông</v>
          </cell>
          <cell r="AN581">
            <v>380</v>
          </cell>
          <cell r="AO581" t="str">
            <v>Bùi Văn Sỹ</v>
          </cell>
          <cell r="AP581" t="str">
            <v>X107447-1</v>
          </cell>
          <cell r="AQ581" t="str">
            <v>X107447-2</v>
          </cell>
          <cell r="AR581" t="str">
            <v>X107447-3</v>
          </cell>
          <cell r="AS581" t="str">
            <v>X107447-4</v>
          </cell>
          <cell r="AT581" t="str">
            <v>X107447-5</v>
          </cell>
          <cell r="AU581" t="str">
            <v>X107447-6</v>
          </cell>
          <cell r="AV581" t="str">
            <v>X107447-7</v>
          </cell>
          <cell r="AW581">
            <v>0</v>
          </cell>
          <cell r="AX581">
            <v>0</v>
          </cell>
          <cell r="AY581" t="str">
            <v>760x860</v>
          </cell>
          <cell r="AZ581" t="str">
            <v>G3</v>
          </cell>
          <cell r="BA581">
            <v>0</v>
          </cell>
          <cell r="BB581">
            <v>0</v>
          </cell>
          <cell r="BC581">
            <v>0</v>
          </cell>
          <cell r="BD581">
            <v>0</v>
          </cell>
        </row>
        <row r="582">
          <cell r="A582" t="str">
            <v>sp 1105</v>
          </cell>
          <cell r="B582" t="str">
            <v>Cuộn đường kính trắng Chúc Mừng Năm Mới 1kg-Vilitas</v>
          </cell>
          <cell r="C582">
            <v>4.8799999999999981</v>
          </cell>
          <cell r="D582">
            <v>2</v>
          </cell>
          <cell r="E582" t="str">
            <v>OPP 20x820</v>
          </cell>
          <cell r="F582">
            <v>8</v>
          </cell>
          <cell r="G582" t="str">
            <v>OPP</v>
          </cell>
          <cell r="H582">
            <v>0.13</v>
          </cell>
          <cell r="I582">
            <v>1.9</v>
          </cell>
          <cell r="J582">
            <v>0.36</v>
          </cell>
          <cell r="K582">
            <v>0.01</v>
          </cell>
          <cell r="L582">
            <v>1.88</v>
          </cell>
          <cell r="M582">
            <v>0.47</v>
          </cell>
          <cell r="N582">
            <v>0</v>
          </cell>
          <cell r="O582">
            <v>0.01</v>
          </cell>
          <cell r="P582">
            <v>0.01</v>
          </cell>
          <cell r="Q582">
            <v>0.1</v>
          </cell>
          <cell r="R582">
            <v>0.01</v>
          </cell>
          <cell r="S582">
            <v>0</v>
          </cell>
          <cell r="T582">
            <v>0</v>
          </cell>
          <cell r="U582">
            <v>0</v>
          </cell>
          <cell r="V582">
            <v>0</v>
          </cell>
          <cell r="W582">
            <v>0</v>
          </cell>
          <cell r="X582">
            <v>0</v>
          </cell>
          <cell r="Y582">
            <v>0</v>
          </cell>
          <cell r="Z582">
            <v>0</v>
          </cell>
          <cell r="AA582">
            <v>0</v>
          </cell>
          <cell r="AB582">
            <v>0</v>
          </cell>
          <cell r="AC582">
            <v>0</v>
          </cell>
          <cell r="AD582">
            <v>0</v>
          </cell>
          <cell r="AE582" t="str">
            <v>PE 45x820</v>
          </cell>
          <cell r="AF582">
            <v>0</v>
          </cell>
          <cell r="AG582">
            <v>4.9056500000000003E-2</v>
          </cell>
          <cell r="AH582">
            <v>1.242</v>
          </cell>
          <cell r="AI582">
            <v>0</v>
          </cell>
          <cell r="AJ582">
            <v>9530</v>
          </cell>
          <cell r="AK582">
            <v>0</v>
          </cell>
          <cell r="AL582">
            <v>2.3E-3</v>
          </cell>
          <cell r="AM582" t="str">
            <v>dạng cuộn 1000m</v>
          </cell>
          <cell r="AN582">
            <v>400</v>
          </cell>
          <cell r="AO582" t="str">
            <v>Công ty TNHH MTV Vilitas Thái Bình</v>
          </cell>
          <cell r="AP582" t="str">
            <v>1911228-1</v>
          </cell>
          <cell r="AQ582" t="str">
            <v>1911228-2</v>
          </cell>
          <cell r="AR582" t="str">
            <v>1911228-3</v>
          </cell>
          <cell r="AS582" t="str">
            <v>1911228-4</v>
          </cell>
          <cell r="AT582" t="str">
            <v>1911228-5</v>
          </cell>
          <cell r="AU582" t="str">
            <v>1911228-6</v>
          </cell>
          <cell r="AV582" t="str">
            <v>1911228-7</v>
          </cell>
          <cell r="AW582" t="str">
            <v>1911228-8</v>
          </cell>
          <cell r="AX582">
            <v>0</v>
          </cell>
          <cell r="AY582" t="str">
            <v>490x870</v>
          </cell>
          <cell r="AZ582" t="str">
            <v>Q3</v>
          </cell>
          <cell r="BA582">
            <v>0</v>
          </cell>
          <cell r="BB582">
            <v>0</v>
          </cell>
          <cell r="BC582">
            <v>0</v>
          </cell>
          <cell r="BD582">
            <v>0</v>
          </cell>
        </row>
        <row r="583">
          <cell r="A583" t="str">
            <v>sp 1106</v>
          </cell>
          <cell r="B583" t="str">
            <v>Cuộn thuốc thú y sutrim 100gr Năm Thái</v>
          </cell>
          <cell r="C583">
            <v>3.3599999999999994</v>
          </cell>
          <cell r="D583">
            <v>2</v>
          </cell>
          <cell r="E583" t="str">
            <v>OPP 30x580</v>
          </cell>
          <cell r="F583">
            <v>6</v>
          </cell>
          <cell r="G583" t="str">
            <v>OPP</v>
          </cell>
          <cell r="H583">
            <v>0.88</v>
          </cell>
          <cell r="I583">
            <v>1.33</v>
          </cell>
          <cell r="J583">
            <v>7.0000000000000007E-2</v>
          </cell>
          <cell r="K583">
            <v>0</v>
          </cell>
          <cell r="L583">
            <v>0.33</v>
          </cell>
          <cell r="M583">
            <v>0.28999999999999998</v>
          </cell>
          <cell r="N583">
            <v>0</v>
          </cell>
          <cell r="O583">
            <v>0.01</v>
          </cell>
          <cell r="P583">
            <v>0.01</v>
          </cell>
          <cell r="Q583">
            <v>0.44</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t="str">
            <v>Al 6x580</v>
          </cell>
          <cell r="AF583" t="str">
            <v>PE 80x590</v>
          </cell>
          <cell r="AG583">
            <v>6.8184800000000004E-2</v>
          </cell>
          <cell r="AH583">
            <v>0.95</v>
          </cell>
          <cell r="AI583">
            <v>0.95</v>
          </cell>
          <cell r="AJ583">
            <v>9530</v>
          </cell>
          <cell r="AK583">
            <v>9530</v>
          </cell>
          <cell r="AL583" t="str">
            <v>0,005( 0,0025;0,0025)</v>
          </cell>
          <cell r="AM583" t="str">
            <v>dạng cuộn 1000m</v>
          </cell>
          <cell r="AN583">
            <v>280</v>
          </cell>
          <cell r="AO583" t="str">
            <v>Công ty Năm Thái</v>
          </cell>
          <cell r="AP583" t="str">
            <v>F124859-1</v>
          </cell>
          <cell r="AQ583" t="str">
            <v>F124859-2</v>
          </cell>
          <cell r="AR583" t="str">
            <v>F124859-3</v>
          </cell>
          <cell r="AS583" t="str">
            <v>F124859-4</v>
          </cell>
          <cell r="AT583" t="str">
            <v>F124859-5</v>
          </cell>
          <cell r="AU583" t="str">
            <v>F124859-6</v>
          </cell>
          <cell r="AV583">
            <v>0</v>
          </cell>
          <cell r="AW583">
            <v>0</v>
          </cell>
          <cell r="AX583">
            <v>0</v>
          </cell>
          <cell r="AY583" t="str">
            <v>570x750</v>
          </cell>
          <cell r="AZ583" t="str">
            <v>Q3</v>
          </cell>
          <cell r="BA583">
            <v>0</v>
          </cell>
          <cell r="BB583">
            <v>0</v>
          </cell>
          <cell r="BC583">
            <v>0</v>
          </cell>
          <cell r="BD583">
            <v>0</v>
          </cell>
        </row>
        <row r="584">
          <cell r="A584" t="str">
            <v>sp 1107</v>
          </cell>
          <cell r="B584" t="str">
            <v>Túi bánh pingo hương sữa 186gr Libra</v>
          </cell>
          <cell r="C584">
            <v>0.32300000000000001</v>
          </cell>
          <cell r="D584">
            <v>1</v>
          </cell>
          <cell r="E584" t="str">
            <v>OPP 30x480</v>
          </cell>
          <cell r="F584">
            <v>7</v>
          </cell>
          <cell r="G584" t="str">
            <v>OPP</v>
          </cell>
          <cell r="H584">
            <v>3.6999999999999998E-2</v>
          </cell>
          <cell r="I584">
            <v>7.2999999999999995E-2</v>
          </cell>
          <cell r="J584">
            <v>7.2999999999999995E-2</v>
          </cell>
          <cell r="K584">
            <v>0.01</v>
          </cell>
          <cell r="L584">
            <v>0.01</v>
          </cell>
          <cell r="M584">
            <v>0</v>
          </cell>
          <cell r="N584">
            <v>0</v>
          </cell>
          <cell r="O584">
            <v>0</v>
          </cell>
          <cell r="P584">
            <v>0.01</v>
          </cell>
          <cell r="Q584">
            <v>0</v>
          </cell>
          <cell r="R584">
            <v>0.11</v>
          </cell>
          <cell r="S584">
            <v>0</v>
          </cell>
          <cell r="T584">
            <v>0</v>
          </cell>
          <cell r="U584">
            <v>0</v>
          </cell>
          <cell r="V584">
            <v>0</v>
          </cell>
          <cell r="W584">
            <v>0</v>
          </cell>
          <cell r="X584">
            <v>0</v>
          </cell>
          <cell r="Y584">
            <v>0</v>
          </cell>
          <cell r="Z584">
            <v>0</v>
          </cell>
          <cell r="AA584">
            <v>0</v>
          </cell>
          <cell r="AB584">
            <v>0</v>
          </cell>
          <cell r="AC584">
            <v>0</v>
          </cell>
          <cell r="AD584">
            <v>0</v>
          </cell>
          <cell r="AE584" t="str">
            <v>CPP 30x480</v>
          </cell>
          <cell r="AF584">
            <v>0</v>
          </cell>
          <cell r="AG584">
            <v>2.6207999999999999E-2</v>
          </cell>
          <cell r="AH584">
            <v>0.76666666666666672</v>
          </cell>
          <cell r="AI584">
            <v>0</v>
          </cell>
          <cell r="AJ584">
            <v>9530</v>
          </cell>
          <cell r="AK584">
            <v>0</v>
          </cell>
          <cell r="AL584">
            <v>2.5000000000000001E-3</v>
          </cell>
          <cell r="AM584" t="str">
            <v>túi bốn biên</v>
          </cell>
          <cell r="AN584">
            <v>240</v>
          </cell>
          <cell r="AO584" t="str">
            <v>Công ty Libra</v>
          </cell>
          <cell r="AP584" t="str">
            <v>F124871G1-1</v>
          </cell>
          <cell r="AQ584" t="str">
            <v>F124871-2</v>
          </cell>
          <cell r="AR584" t="str">
            <v>F124871-3</v>
          </cell>
          <cell r="AS584" t="str">
            <v>F124871G1-4</v>
          </cell>
          <cell r="AT584" t="str">
            <v>F124871-5</v>
          </cell>
          <cell r="AU584" t="str">
            <v>F124871-6</v>
          </cell>
          <cell r="AV584" t="str">
            <v>F124871-7</v>
          </cell>
          <cell r="AW584">
            <v>0</v>
          </cell>
          <cell r="AX584">
            <v>0</v>
          </cell>
          <cell r="AY584" t="str">
            <v>480x870</v>
          </cell>
          <cell r="AZ584" t="str">
            <v>Q3</v>
          </cell>
          <cell r="BA584">
            <v>0</v>
          </cell>
          <cell r="BB584">
            <v>0</v>
          </cell>
          <cell r="BC584">
            <v>0</v>
          </cell>
          <cell r="BD584">
            <v>0</v>
          </cell>
        </row>
        <row r="585">
          <cell r="A585" t="str">
            <v>sp 1108</v>
          </cell>
          <cell r="B585" t="str">
            <v>Cuộn bánh quẩy Hải sản cay 100gr -Anko</v>
          </cell>
          <cell r="C585">
            <v>8.2999999999999989</v>
          </cell>
          <cell r="D585">
            <v>2</v>
          </cell>
          <cell r="E585" t="str">
            <v>OPP 20x860</v>
          </cell>
          <cell r="F585">
            <v>7</v>
          </cell>
          <cell r="G585" t="str">
            <v>OPP</v>
          </cell>
          <cell r="H585">
            <v>0.63</v>
          </cell>
          <cell r="I585">
            <v>3.58</v>
          </cell>
          <cell r="J585">
            <v>0.08</v>
          </cell>
          <cell r="K585">
            <v>0.09</v>
          </cell>
          <cell r="L585">
            <v>1.81</v>
          </cell>
          <cell r="M585">
            <v>0.97</v>
          </cell>
          <cell r="N585">
            <v>0</v>
          </cell>
          <cell r="O585">
            <v>0</v>
          </cell>
          <cell r="P585">
            <v>0.39</v>
          </cell>
          <cell r="Q585">
            <v>0.74</v>
          </cell>
          <cell r="R585">
            <v>0</v>
          </cell>
          <cell r="S585">
            <v>0</v>
          </cell>
          <cell r="T585">
            <v>0.01</v>
          </cell>
          <cell r="U585">
            <v>0</v>
          </cell>
          <cell r="V585">
            <v>0</v>
          </cell>
          <cell r="W585">
            <v>0</v>
          </cell>
          <cell r="X585">
            <v>0</v>
          </cell>
          <cell r="Y585">
            <v>0</v>
          </cell>
          <cell r="Z585">
            <v>0</v>
          </cell>
          <cell r="AA585">
            <v>0</v>
          </cell>
          <cell r="AB585">
            <v>0</v>
          </cell>
          <cell r="AC585">
            <v>0</v>
          </cell>
          <cell r="AD585">
            <v>0</v>
          </cell>
          <cell r="AE585" t="str">
            <v>MPET 12x860</v>
          </cell>
          <cell r="AF585" t="str">
            <v>PE 45x860</v>
          </cell>
          <cell r="AG585">
            <v>6.5897499999999998E-2</v>
          </cell>
          <cell r="AH585">
            <v>1.4166666666666667</v>
          </cell>
          <cell r="AI585">
            <v>1.4166666666666667</v>
          </cell>
          <cell r="AJ585">
            <v>9530</v>
          </cell>
          <cell r="AK585">
            <v>9530</v>
          </cell>
          <cell r="AL585" t="str">
            <v>0,005(0,0025;0,0025)</v>
          </cell>
          <cell r="AM585" t="str">
            <v>dạng cuộn 1000m</v>
          </cell>
          <cell r="AN585">
            <v>420</v>
          </cell>
          <cell r="AO585" t="str">
            <v>Công ty SX&amp;TM ASI Miền Bắc</v>
          </cell>
          <cell r="AP585" t="str">
            <v>F124868G1-1</v>
          </cell>
          <cell r="AQ585" t="str">
            <v>F124868-2</v>
          </cell>
          <cell r="AR585" t="str">
            <v>F124868-3</v>
          </cell>
          <cell r="AS585" t="str">
            <v>F124868-4</v>
          </cell>
          <cell r="AT585" t="str">
            <v>F124868-5</v>
          </cell>
          <cell r="AU585" t="str">
            <v>F124868-6</v>
          </cell>
          <cell r="AV585" t="str">
            <v>F124868-7</v>
          </cell>
          <cell r="AW585">
            <v>0</v>
          </cell>
          <cell r="AX585">
            <v>0</v>
          </cell>
          <cell r="AY585" t="str">
            <v>540x860</v>
          </cell>
          <cell r="AZ585" t="str">
            <v>Q3</v>
          </cell>
          <cell r="BA585">
            <v>0</v>
          </cell>
          <cell r="BB585">
            <v>0</v>
          </cell>
          <cell r="BC585">
            <v>0</v>
          </cell>
          <cell r="BD585">
            <v>0</v>
          </cell>
        </row>
        <row r="586">
          <cell r="A586" t="str">
            <v>sp 1109</v>
          </cell>
          <cell r="B586" t="str">
            <v>Cuộn kẹo lạc vừng 300gr Đình Mạnh</v>
          </cell>
          <cell r="C586">
            <v>9.64</v>
          </cell>
          <cell r="D586">
            <v>3</v>
          </cell>
          <cell r="E586" t="str">
            <v>OPP 30x830</v>
          </cell>
          <cell r="F586">
            <v>6</v>
          </cell>
          <cell r="G586" t="str">
            <v>OPP</v>
          </cell>
          <cell r="H586">
            <v>0.01</v>
          </cell>
          <cell r="I586">
            <v>4.1399999999999997</v>
          </cell>
          <cell r="J586">
            <v>7.0000000000000007E-2</v>
          </cell>
          <cell r="K586">
            <v>0.61</v>
          </cell>
          <cell r="L586">
            <v>0.53</v>
          </cell>
          <cell r="M586">
            <v>2.4500000000000002</v>
          </cell>
          <cell r="N586">
            <v>0</v>
          </cell>
          <cell r="O586">
            <v>0</v>
          </cell>
          <cell r="P586">
            <v>1.22</v>
          </cell>
          <cell r="Q586">
            <v>0.61</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t="str">
            <v>CPP 40x830</v>
          </cell>
          <cell r="AF586">
            <v>0</v>
          </cell>
          <cell r="AG586">
            <v>5.2871000000000001E-2</v>
          </cell>
          <cell r="AH586">
            <v>0.12573333333333334</v>
          </cell>
          <cell r="AI586">
            <v>0</v>
          </cell>
          <cell r="AJ586">
            <v>9530</v>
          </cell>
          <cell r="AK586">
            <v>0</v>
          </cell>
          <cell r="AL586">
            <v>2.3E-3</v>
          </cell>
          <cell r="AM586" t="str">
            <v>dạng cuộn 1000m</v>
          </cell>
          <cell r="AN586">
            <v>270</v>
          </cell>
          <cell r="AO586" t="str">
            <v>Cơ sở bánh kẹo Đình Mạnh</v>
          </cell>
          <cell r="AP586" t="str">
            <v>F124861-1</v>
          </cell>
          <cell r="AQ586" t="str">
            <v>F124861-2</v>
          </cell>
          <cell r="AR586" t="str">
            <v>F124861-3</v>
          </cell>
          <cell r="AS586" t="str">
            <v>F124861-4</v>
          </cell>
          <cell r="AT586" t="str">
            <v>F124861-5</v>
          </cell>
          <cell r="AU586" t="str">
            <v>F124861-6</v>
          </cell>
          <cell r="AV586">
            <v>0</v>
          </cell>
          <cell r="AW586">
            <v>0</v>
          </cell>
          <cell r="AX586">
            <v>0</v>
          </cell>
          <cell r="AY586" t="str">
            <v>615x1100</v>
          </cell>
          <cell r="AZ586" t="str">
            <v>Q3</v>
          </cell>
          <cell r="BA586">
            <v>0</v>
          </cell>
          <cell r="BB586" t="str">
            <v>giấy cartoon</v>
          </cell>
          <cell r="BC586">
            <v>0</v>
          </cell>
          <cell r="BD586">
            <v>0</v>
          </cell>
        </row>
        <row r="587">
          <cell r="A587" t="str">
            <v>sp 1110</v>
          </cell>
          <cell r="B587" t="str">
            <v>Túi kẹo lạc kẹo dồi 320g Đình Mạnh</v>
          </cell>
          <cell r="C587">
            <v>13.650000000000002</v>
          </cell>
          <cell r="D587">
            <v>2</v>
          </cell>
          <cell r="E587" t="str">
            <v>OPP 30x920</v>
          </cell>
          <cell r="F587">
            <v>2</v>
          </cell>
          <cell r="G587" t="str">
            <v>OPP</v>
          </cell>
          <cell r="H587">
            <v>0.48</v>
          </cell>
          <cell r="I587">
            <v>5.53</v>
          </cell>
          <cell r="J587">
            <v>0.34</v>
          </cell>
          <cell r="K587">
            <v>1.17</v>
          </cell>
          <cell r="L587">
            <v>2</v>
          </cell>
          <cell r="M587">
            <v>0.96</v>
          </cell>
          <cell r="N587">
            <v>0</v>
          </cell>
          <cell r="O587">
            <v>0</v>
          </cell>
          <cell r="P587">
            <v>2.21</v>
          </cell>
          <cell r="Q587">
            <v>0.96</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t="str">
            <v>CPP 50x920</v>
          </cell>
          <cell r="AF587">
            <v>0</v>
          </cell>
          <cell r="AG587">
            <v>6.6976000000000008E-2</v>
          </cell>
          <cell r="AH587">
            <v>1.3953333333333333</v>
          </cell>
          <cell r="AI587">
            <v>0</v>
          </cell>
          <cell r="AJ587">
            <v>9530</v>
          </cell>
          <cell r="AK587">
            <v>0</v>
          </cell>
          <cell r="AL587">
            <v>2.3E-3</v>
          </cell>
          <cell r="AM587" t="str">
            <v>túi ba biên</v>
          </cell>
          <cell r="AN587">
            <v>290</v>
          </cell>
          <cell r="AO587" t="str">
            <v>Cơ sở bánh kẹo Đình Mạnh</v>
          </cell>
          <cell r="AP587" t="str">
            <v>F124869-1</v>
          </cell>
          <cell r="AQ587" t="str">
            <v>F124869-2</v>
          </cell>
          <cell r="AR587" t="str">
            <v>F124869-3</v>
          </cell>
          <cell r="AS587" t="str">
            <v>F124869-4</v>
          </cell>
          <cell r="AT587" t="str">
            <v>F124869-5</v>
          </cell>
          <cell r="AU587" t="str">
            <v>F124869-6</v>
          </cell>
          <cell r="AV587">
            <v>0</v>
          </cell>
          <cell r="AW587">
            <v>0</v>
          </cell>
          <cell r="AX587">
            <v>0</v>
          </cell>
          <cell r="AY587" t="str">
            <v>1100x580</v>
          </cell>
          <cell r="AZ587" t="str">
            <v>Q3</v>
          </cell>
          <cell r="BA587">
            <v>0</v>
          </cell>
          <cell r="BB587">
            <v>0</v>
          </cell>
          <cell r="BC587">
            <v>0</v>
          </cell>
          <cell r="BD587">
            <v>0</v>
          </cell>
        </row>
        <row r="588">
          <cell r="A588" t="str">
            <v>sp 1111</v>
          </cell>
          <cell r="B588" t="str">
            <v>Túi trà chữ đỏ lá vàng in 4 màu tân cương 100gr loại 10</v>
          </cell>
          <cell r="C588">
            <v>5.19</v>
          </cell>
          <cell r="D588">
            <v>3</v>
          </cell>
          <cell r="E588" t="str">
            <v>PET 12x740</v>
          </cell>
          <cell r="F588">
            <v>4</v>
          </cell>
          <cell r="G588" t="str">
            <v>PET</v>
          </cell>
          <cell r="H588">
            <v>0</v>
          </cell>
          <cell r="I588">
            <v>1.0900000000000001</v>
          </cell>
          <cell r="J588">
            <v>0.03</v>
          </cell>
          <cell r="K588">
            <v>0</v>
          </cell>
          <cell r="L588">
            <v>0</v>
          </cell>
          <cell r="M588">
            <v>0</v>
          </cell>
          <cell r="N588">
            <v>3.6</v>
          </cell>
          <cell r="O588">
            <v>0.46</v>
          </cell>
          <cell r="P588">
            <v>0.01</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t="str">
            <v>MPET 12x740</v>
          </cell>
          <cell r="AF588" t="str">
            <v>PE 75x740</v>
          </cell>
          <cell r="AG588">
            <v>7.6201500000000005E-2</v>
          </cell>
          <cell r="AH588">
            <v>1.1193333333333333</v>
          </cell>
          <cell r="AI588">
            <v>1.46</v>
          </cell>
          <cell r="AJ588">
            <v>9530</v>
          </cell>
          <cell r="AK588">
            <v>9530</v>
          </cell>
          <cell r="AL588" t="str">
            <v>0,0053(0,0023;0,003)</v>
          </cell>
          <cell r="AM588" t="str">
            <v>túi hàn lưng xếp hông</v>
          </cell>
          <cell r="AN588">
            <v>270</v>
          </cell>
          <cell r="AO588" t="str">
            <v>Bùi Văn Sỹ</v>
          </cell>
          <cell r="AP588" t="str">
            <v>1911696-1</v>
          </cell>
          <cell r="AQ588" t="str">
            <v>1911696-2</v>
          </cell>
          <cell r="AR588" t="str">
            <v>1911696-3</v>
          </cell>
          <cell r="AS588" t="str">
            <v>1911696-4</v>
          </cell>
          <cell r="AT588">
            <v>0</v>
          </cell>
          <cell r="AU588">
            <v>0</v>
          </cell>
          <cell r="AV588">
            <v>0</v>
          </cell>
          <cell r="AW588">
            <v>0</v>
          </cell>
          <cell r="AX588">
            <v>0</v>
          </cell>
          <cell r="AY588" t="str">
            <v>680x860</v>
          </cell>
          <cell r="AZ588" t="str">
            <v>G3</v>
          </cell>
          <cell r="BA588">
            <v>3500</v>
          </cell>
          <cell r="BB588" t="str">
            <v>Thùng 5 lớp 42x34x33</v>
          </cell>
          <cell r="BC588">
            <v>0</v>
          </cell>
          <cell r="BD588">
            <v>0</v>
          </cell>
        </row>
        <row r="589">
          <cell r="A589" t="str">
            <v>sp 1112</v>
          </cell>
          <cell r="B589" t="str">
            <v>Túi trà ấm nghiêng tân cương và đặc sản 200g loại 17</v>
          </cell>
          <cell r="C589">
            <v>6.9549999999999992</v>
          </cell>
          <cell r="D589">
            <v>2</v>
          </cell>
          <cell r="E589" t="str">
            <v>PET 12x620</v>
          </cell>
          <cell r="F589">
            <v>2</v>
          </cell>
          <cell r="G589" t="str">
            <v>PET</v>
          </cell>
          <cell r="H589">
            <v>0.215</v>
          </cell>
          <cell r="I589">
            <v>0.35</v>
          </cell>
          <cell r="J589">
            <v>0.86</v>
          </cell>
          <cell r="K589">
            <v>1.1399999999999999</v>
          </cell>
          <cell r="L589">
            <v>1.36</v>
          </cell>
          <cell r="M589">
            <v>3.01</v>
          </cell>
          <cell r="N589">
            <v>0.01</v>
          </cell>
          <cell r="O589">
            <v>0.01</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t="str">
            <v>MPET 12x620</v>
          </cell>
          <cell r="AF589" t="str">
            <v>PE75x620</v>
          </cell>
          <cell r="AG589">
            <v>6.3844500000000012E-2</v>
          </cell>
          <cell r="AH589">
            <v>0.93533333333333324</v>
          </cell>
          <cell r="AI589">
            <v>1.22</v>
          </cell>
          <cell r="AJ589">
            <v>9530</v>
          </cell>
          <cell r="AK589">
            <v>9530</v>
          </cell>
          <cell r="AL589" t="str">
            <v>0,0053(0,0023;0,003)</v>
          </cell>
          <cell r="AM589" t="str">
            <v>túi hàn lưng xếp hông</v>
          </cell>
          <cell r="AN589">
            <v>340</v>
          </cell>
          <cell r="AO589" t="str">
            <v>Bùi Văn Sỹ</v>
          </cell>
          <cell r="AP589" t="str">
            <v>1911697-1</v>
          </cell>
          <cell r="AQ589" t="str">
            <v>1911697-2</v>
          </cell>
          <cell r="AR589" t="str">
            <v>1911697-3</v>
          </cell>
          <cell r="AS589" t="str">
            <v>1911697-4</v>
          </cell>
          <cell r="AT589" t="str">
            <v>1911697-5</v>
          </cell>
          <cell r="AU589" t="str">
            <v>1911697-6</v>
          </cell>
          <cell r="AV589" t="str">
            <v>1911697-7</v>
          </cell>
          <cell r="AW589">
            <v>0</v>
          </cell>
          <cell r="AX589">
            <v>0</v>
          </cell>
          <cell r="AY589" t="str">
            <v>500x870</v>
          </cell>
          <cell r="AZ589" t="str">
            <v>G3</v>
          </cell>
          <cell r="BA589">
            <v>2500</v>
          </cell>
          <cell r="BB589" t="str">
            <v>Thùng 5 lớp 42x34x33</v>
          </cell>
          <cell r="BC589">
            <v>0</v>
          </cell>
          <cell r="BD589">
            <v>0</v>
          </cell>
        </row>
        <row r="590">
          <cell r="A590" t="str">
            <v>sp 1113</v>
          </cell>
          <cell r="B590" t="str">
            <v>Túi bánh nhân sữa chua doll doll 120gr Châu Á</v>
          </cell>
          <cell r="C590">
            <v>11.06</v>
          </cell>
          <cell r="D590">
            <v>2</v>
          </cell>
          <cell r="E590" t="str">
            <v>OPP 20x700</v>
          </cell>
          <cell r="F590">
            <v>4</v>
          </cell>
          <cell r="G590" t="str">
            <v>OPP</v>
          </cell>
          <cell r="H590">
            <v>0</v>
          </cell>
          <cell r="I590">
            <v>7.01</v>
          </cell>
          <cell r="J590">
            <v>0.8</v>
          </cell>
          <cell r="K590">
            <v>0</v>
          </cell>
          <cell r="L590">
            <v>0</v>
          </cell>
          <cell r="M590">
            <v>1.47</v>
          </cell>
          <cell r="N590">
            <v>1.47</v>
          </cell>
          <cell r="O590">
            <v>0</v>
          </cell>
          <cell r="P590">
            <v>0</v>
          </cell>
          <cell r="Q590">
            <v>0</v>
          </cell>
          <cell r="R590">
            <v>0.3</v>
          </cell>
          <cell r="S590">
            <v>0</v>
          </cell>
          <cell r="T590">
            <v>0.01</v>
          </cell>
          <cell r="U590">
            <v>0</v>
          </cell>
          <cell r="V590">
            <v>0</v>
          </cell>
          <cell r="W590">
            <v>0</v>
          </cell>
          <cell r="X590">
            <v>0</v>
          </cell>
          <cell r="Y590">
            <v>0</v>
          </cell>
          <cell r="Z590">
            <v>0</v>
          </cell>
          <cell r="AA590">
            <v>0</v>
          </cell>
          <cell r="AB590">
            <v>0</v>
          </cell>
          <cell r="AC590">
            <v>0</v>
          </cell>
          <cell r="AD590">
            <v>0</v>
          </cell>
          <cell r="AE590" t="str">
            <v>PE 40x700</v>
          </cell>
          <cell r="AF590">
            <v>0</v>
          </cell>
          <cell r="AG590">
            <v>3.8640000000000001E-2</v>
          </cell>
          <cell r="AH590">
            <v>1.1499999999999999</v>
          </cell>
          <cell r="AI590">
            <v>0</v>
          </cell>
          <cell r="AJ590">
            <v>9530</v>
          </cell>
          <cell r="AK590">
            <v>0</v>
          </cell>
          <cell r="AL590">
            <v>2.5000000000000001E-3</v>
          </cell>
          <cell r="AM590" t="str">
            <v>túi ba biên</v>
          </cell>
          <cell r="AN590">
            <v>250</v>
          </cell>
          <cell r="AO590" t="str">
            <v>Công ty TNHH Bánh Châu Á</v>
          </cell>
          <cell r="AP590" t="str">
            <v>F124870-1</v>
          </cell>
          <cell r="AQ590" t="str">
            <v>F124870-2</v>
          </cell>
          <cell r="AR590" t="str">
            <v>F124870-3</v>
          </cell>
          <cell r="AS590" t="str">
            <v>F124870-4</v>
          </cell>
          <cell r="AT590">
            <v>0</v>
          </cell>
          <cell r="AU590">
            <v>0</v>
          </cell>
          <cell r="AV590">
            <v>0</v>
          </cell>
          <cell r="AW590">
            <v>0</v>
          </cell>
          <cell r="AX590">
            <v>0</v>
          </cell>
          <cell r="AY590" t="str">
            <v>500x870</v>
          </cell>
          <cell r="AZ590" t="str">
            <v>Q3</v>
          </cell>
          <cell r="BA590">
            <v>0</v>
          </cell>
          <cell r="BB590">
            <v>0</v>
          </cell>
          <cell r="BC590">
            <v>0</v>
          </cell>
          <cell r="BD590">
            <v>0</v>
          </cell>
        </row>
        <row r="591">
          <cell r="A591" t="str">
            <v>sp 1113a</v>
          </cell>
          <cell r="B591" t="str">
            <v>Túi bánh nhân sữa chua doll doll 132gr Châu Á</v>
          </cell>
          <cell r="C591">
            <v>8.18</v>
          </cell>
          <cell r="D591">
            <v>2</v>
          </cell>
          <cell r="E591" t="str">
            <v>OPP 20x700</v>
          </cell>
          <cell r="F591">
            <v>4</v>
          </cell>
          <cell r="G591" t="str">
            <v>OPP</v>
          </cell>
          <cell r="H591">
            <v>0.123</v>
          </cell>
          <cell r="I591">
            <v>5.907</v>
          </cell>
          <cell r="J591">
            <v>0.98</v>
          </cell>
          <cell r="K591">
            <v>0</v>
          </cell>
          <cell r="L591">
            <v>0.123</v>
          </cell>
          <cell r="M591">
            <v>0.36899999999999999</v>
          </cell>
          <cell r="N591">
            <v>0.36</v>
          </cell>
          <cell r="O591">
            <v>0</v>
          </cell>
          <cell r="P591">
            <v>0</v>
          </cell>
          <cell r="Q591">
            <v>0</v>
          </cell>
          <cell r="R591">
            <v>0.123</v>
          </cell>
          <cell r="S591">
            <v>0.185</v>
          </cell>
          <cell r="T591">
            <v>0.01</v>
          </cell>
          <cell r="U591">
            <v>0</v>
          </cell>
          <cell r="V591">
            <v>0</v>
          </cell>
          <cell r="W591">
            <v>0</v>
          </cell>
          <cell r="X591">
            <v>0</v>
          </cell>
          <cell r="Y591">
            <v>0</v>
          </cell>
          <cell r="Z591">
            <v>0</v>
          </cell>
          <cell r="AA591">
            <v>0</v>
          </cell>
          <cell r="AB591">
            <v>0</v>
          </cell>
          <cell r="AC591">
            <v>0</v>
          </cell>
          <cell r="AD591">
            <v>0</v>
          </cell>
          <cell r="AE591" t="str">
            <v>PE 40x700</v>
          </cell>
          <cell r="AF591">
            <v>0</v>
          </cell>
          <cell r="AG591">
            <v>3.8640000000000001E-2</v>
          </cell>
          <cell r="AH591">
            <v>1.1499999999999999</v>
          </cell>
          <cell r="AI591">
            <v>0</v>
          </cell>
          <cell r="AJ591">
            <v>9530</v>
          </cell>
          <cell r="AK591">
            <v>0</v>
          </cell>
          <cell r="AL591">
            <v>2.5000000000000001E-3</v>
          </cell>
          <cell r="AM591" t="str">
            <v>túi ba biên</v>
          </cell>
          <cell r="AN591">
            <v>250</v>
          </cell>
          <cell r="AO591" t="str">
            <v>Công ty TNHH Bánh Châu Á</v>
          </cell>
          <cell r="AP591" t="str">
            <v>F124870G2-1</v>
          </cell>
          <cell r="AQ591" t="str">
            <v>F124870-2</v>
          </cell>
          <cell r="AR591" t="str">
            <v>F124870-3</v>
          </cell>
          <cell r="AS591" t="str">
            <v>F124870-4</v>
          </cell>
          <cell r="AT591">
            <v>0</v>
          </cell>
          <cell r="AU591">
            <v>0</v>
          </cell>
          <cell r="AV591">
            <v>0</v>
          </cell>
          <cell r="AW591">
            <v>0</v>
          </cell>
          <cell r="AX591">
            <v>0</v>
          </cell>
          <cell r="AY591" t="str">
            <v>500x870</v>
          </cell>
          <cell r="AZ591" t="str">
            <v>Q3</v>
          </cell>
          <cell r="BA591">
            <v>0</v>
          </cell>
          <cell r="BB591">
            <v>0</v>
          </cell>
          <cell r="BC591">
            <v>0</v>
          </cell>
          <cell r="BD591" t="str">
            <v>in chung sp 1113 trừ cây số 1</v>
          </cell>
        </row>
        <row r="592">
          <cell r="A592" t="str">
            <v>sp 1114</v>
          </cell>
          <cell r="B592" t="str">
            <v>Túi trà hương lài tam mã 70gr Vĩnh Phúc</v>
          </cell>
          <cell r="C592">
            <v>16.93</v>
          </cell>
          <cell r="D592">
            <v>3</v>
          </cell>
          <cell r="E592" t="str">
            <v>OPP 20x740</v>
          </cell>
          <cell r="F592">
            <v>7</v>
          </cell>
          <cell r="G592" t="str">
            <v>OPP</v>
          </cell>
          <cell r="H592">
            <v>0.86</v>
          </cell>
          <cell r="I592">
            <v>7.03</v>
          </cell>
          <cell r="J592">
            <v>1.47</v>
          </cell>
          <cell r="K592">
            <v>0.95</v>
          </cell>
          <cell r="L592">
            <v>4.34</v>
          </cell>
          <cell r="M592">
            <v>1.38</v>
          </cell>
          <cell r="N592">
            <v>0</v>
          </cell>
          <cell r="O592">
            <v>0.47</v>
          </cell>
          <cell r="P592">
            <v>0</v>
          </cell>
          <cell r="Q592">
            <v>0.43</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t="str">
            <v>MCPP 25x740</v>
          </cell>
          <cell r="AF592">
            <v>0</v>
          </cell>
          <cell r="AG592">
            <v>3.0303E-2</v>
          </cell>
          <cell r="AH592">
            <v>1.2166666666666668</v>
          </cell>
          <cell r="AI592">
            <v>0</v>
          </cell>
          <cell r="AJ592">
            <v>9530</v>
          </cell>
          <cell r="AK592">
            <v>0</v>
          </cell>
          <cell r="AL592">
            <v>2.5000000000000001E-3</v>
          </cell>
          <cell r="AM592" t="str">
            <v>túi hàn lưng xếp hông</v>
          </cell>
          <cell r="AN592">
            <v>200</v>
          </cell>
          <cell r="AO592" t="str">
            <v>Công ty TNHH Thế hệ mới Vĩnh Phúc</v>
          </cell>
          <cell r="AP592" t="str">
            <v>1911889-1</v>
          </cell>
          <cell r="AQ592" t="str">
            <v>1911889-2</v>
          </cell>
          <cell r="AR592" t="str">
            <v>1911889-3</v>
          </cell>
          <cell r="AS592" t="str">
            <v>1911889-4</v>
          </cell>
          <cell r="AT592" t="str">
            <v>1911889-5</v>
          </cell>
          <cell r="AU592" t="str">
            <v>1911889-6</v>
          </cell>
          <cell r="AV592" t="str">
            <v>1911889-7</v>
          </cell>
          <cell r="AW592">
            <v>0</v>
          </cell>
          <cell r="AX592">
            <v>0</v>
          </cell>
          <cell r="AY592" t="str">
            <v>600x870</v>
          </cell>
          <cell r="AZ592" t="str">
            <v>R1</v>
          </cell>
          <cell r="BA592">
            <v>0</v>
          </cell>
          <cell r="BB592">
            <v>0</v>
          </cell>
          <cell r="BC592">
            <v>0</v>
          </cell>
          <cell r="BD592">
            <v>0</v>
          </cell>
        </row>
        <row r="593">
          <cell r="A593" t="str">
            <v>sp 1115</v>
          </cell>
          <cell r="B593" t="str">
            <v>Cuộn đường kính trắng Lam Sơn White sugar 1kg</v>
          </cell>
          <cell r="C593">
            <v>1.825</v>
          </cell>
          <cell r="D593">
            <v>2</v>
          </cell>
          <cell r="E593" t="str">
            <v>OPP 20x820</v>
          </cell>
          <cell r="F593">
            <v>8</v>
          </cell>
          <cell r="G593" t="str">
            <v>OPP</v>
          </cell>
          <cell r="H593">
            <v>0</v>
          </cell>
          <cell r="I593">
            <v>0.63</v>
          </cell>
          <cell r="J593">
            <v>0.09</v>
          </cell>
          <cell r="K593">
            <v>0.01</v>
          </cell>
          <cell r="L593">
            <v>0.51900000000000002</v>
          </cell>
          <cell r="M593">
            <v>0.22</v>
          </cell>
          <cell r="N593">
            <v>0</v>
          </cell>
          <cell r="O593">
            <v>0.16500000000000001</v>
          </cell>
          <cell r="P593">
            <v>4.7E-2</v>
          </cell>
          <cell r="Q593">
            <v>0.13400000000000001</v>
          </cell>
          <cell r="R593">
            <v>0.01</v>
          </cell>
          <cell r="S593">
            <v>0</v>
          </cell>
          <cell r="T593">
            <v>0</v>
          </cell>
          <cell r="U593">
            <v>0</v>
          </cell>
          <cell r="V593">
            <v>0</v>
          </cell>
          <cell r="W593">
            <v>0</v>
          </cell>
          <cell r="X593">
            <v>0</v>
          </cell>
          <cell r="Y593">
            <v>0</v>
          </cell>
          <cell r="Z593">
            <v>0</v>
          </cell>
          <cell r="AA593">
            <v>0</v>
          </cell>
          <cell r="AB593">
            <v>0</v>
          </cell>
          <cell r="AC593">
            <v>0</v>
          </cell>
          <cell r="AD593">
            <v>0</v>
          </cell>
          <cell r="AE593" t="str">
            <v>PE 55x820</v>
          </cell>
          <cell r="AF593">
            <v>0</v>
          </cell>
          <cell r="AG593">
            <v>5.6641499999999997E-2</v>
          </cell>
          <cell r="AH593">
            <v>1.62</v>
          </cell>
          <cell r="AI593">
            <v>0</v>
          </cell>
          <cell r="AJ593">
            <v>9530</v>
          </cell>
          <cell r="AK593">
            <v>0</v>
          </cell>
          <cell r="AL593">
            <v>3.0000000000000001E-3</v>
          </cell>
          <cell r="AM593" t="str">
            <v>dạng cuộn 1000m</v>
          </cell>
          <cell r="AN593">
            <v>400</v>
          </cell>
          <cell r="AO593" t="str">
            <v>Công ty Cổ phần mía đường Lam Sơn</v>
          </cell>
          <cell r="AP593" t="str">
            <v>21010535-1</v>
          </cell>
          <cell r="AQ593" t="str">
            <v>19110723-2</v>
          </cell>
          <cell r="AR593" t="str">
            <v>21090264-3</v>
          </cell>
          <cell r="AS593" t="str">
            <v>21090264-4</v>
          </cell>
          <cell r="AT593" t="str">
            <v>19110723-5</v>
          </cell>
          <cell r="AU593" t="str">
            <v>21101092-6</v>
          </cell>
          <cell r="AV593" t="str">
            <v>19110723-7</v>
          </cell>
          <cell r="AW593" t="str">
            <v>21010535-8</v>
          </cell>
          <cell r="AX593">
            <v>0</v>
          </cell>
          <cell r="AY593" t="str">
            <v>500x870</v>
          </cell>
          <cell r="AZ593" t="str">
            <v>R1</v>
          </cell>
          <cell r="BA593">
            <v>0</v>
          </cell>
          <cell r="BB593">
            <v>0</v>
          </cell>
          <cell r="BC593">
            <v>0</v>
          </cell>
          <cell r="BD593">
            <v>0</v>
          </cell>
        </row>
        <row r="594">
          <cell r="A594" t="str">
            <v>sp 1116</v>
          </cell>
          <cell r="B594" t="str">
            <v>Cuộn đường vàng tinh khiết Lam Sơn 1kg Lasuco</v>
          </cell>
          <cell r="C594">
            <v>3.74</v>
          </cell>
          <cell r="D594">
            <v>2</v>
          </cell>
          <cell r="E594" t="str">
            <v>OPP 20x820</v>
          </cell>
          <cell r="F594">
            <v>8</v>
          </cell>
          <cell r="G594" t="str">
            <v>OPP</v>
          </cell>
          <cell r="H594">
            <v>1.2999999999999999E-2</v>
          </cell>
          <cell r="I594">
            <v>1.83</v>
          </cell>
          <cell r="J594">
            <v>0.21</v>
          </cell>
          <cell r="K594">
            <v>7.9000000000000001E-2</v>
          </cell>
          <cell r="L594">
            <v>0.85</v>
          </cell>
          <cell r="M594">
            <v>0.63</v>
          </cell>
          <cell r="N594">
            <v>0</v>
          </cell>
          <cell r="O594">
            <v>7.9000000000000001E-2</v>
          </cell>
          <cell r="P594">
            <v>3.9E-2</v>
          </cell>
          <cell r="Q594">
            <v>0</v>
          </cell>
          <cell r="R594">
            <v>0.01</v>
          </cell>
          <cell r="S594">
            <v>0</v>
          </cell>
          <cell r="T594">
            <v>0</v>
          </cell>
          <cell r="U594">
            <v>0</v>
          </cell>
          <cell r="V594">
            <v>0</v>
          </cell>
          <cell r="W594">
            <v>0</v>
          </cell>
          <cell r="X594">
            <v>0</v>
          </cell>
          <cell r="Y594">
            <v>0</v>
          </cell>
          <cell r="Z594">
            <v>0</v>
          </cell>
          <cell r="AA594">
            <v>0</v>
          </cell>
          <cell r="AB594">
            <v>0</v>
          </cell>
          <cell r="AC594">
            <v>0</v>
          </cell>
          <cell r="AD594">
            <v>0</v>
          </cell>
          <cell r="AE594" t="str">
            <v>PE 55x820</v>
          </cell>
          <cell r="AF594">
            <v>0</v>
          </cell>
          <cell r="AG594">
            <v>5.6641499999999997E-2</v>
          </cell>
          <cell r="AH594">
            <v>1.62</v>
          </cell>
          <cell r="AI594">
            <v>0</v>
          </cell>
          <cell r="AJ594">
            <v>9530</v>
          </cell>
          <cell r="AK594">
            <v>0</v>
          </cell>
          <cell r="AL594">
            <v>3.0000000000000001E-3</v>
          </cell>
          <cell r="AM594" t="str">
            <v>dạng cuộn 1000m</v>
          </cell>
          <cell r="AN594">
            <v>400</v>
          </cell>
          <cell r="AO594" t="str">
            <v>Công ty Cổ phần mía đường Lam Sơn</v>
          </cell>
          <cell r="AP594" t="str">
            <v>X109484G3-1</v>
          </cell>
          <cell r="AQ594" t="str">
            <v>X109484-2</v>
          </cell>
          <cell r="AR594" t="str">
            <v>X109484-3</v>
          </cell>
          <cell r="AS594" t="str">
            <v>X109484-4</v>
          </cell>
          <cell r="AT594" t="str">
            <v>X109484-5</v>
          </cell>
          <cell r="AU594" t="str">
            <v>X109484G3-6</v>
          </cell>
          <cell r="AV594" t="str">
            <v>X109484G3-7</v>
          </cell>
          <cell r="AW594" t="str">
            <v>X109484F1-8</v>
          </cell>
          <cell r="AX594">
            <v>0</v>
          </cell>
          <cell r="AY594" t="str">
            <v>520x870</v>
          </cell>
          <cell r="AZ594" t="str">
            <v>R1</v>
          </cell>
          <cell r="BA594">
            <v>0</v>
          </cell>
          <cell r="BB594">
            <v>0</v>
          </cell>
          <cell r="BC594">
            <v>0</v>
          </cell>
          <cell r="BD594">
            <v>0</v>
          </cell>
        </row>
        <row r="595">
          <cell r="A595" t="str">
            <v>sp 1116P</v>
          </cell>
          <cell r="B595" t="str">
            <v>Cuộn đường vàng tinh khiết Lam Sơn 1kg (màng PET) Lasuco</v>
          </cell>
          <cell r="C595">
            <v>4.1320000000000006</v>
          </cell>
          <cell r="D595">
            <v>2</v>
          </cell>
          <cell r="E595" t="str">
            <v>PET 12x820</v>
          </cell>
          <cell r="F595">
            <v>8</v>
          </cell>
          <cell r="G595" t="str">
            <v>PET</v>
          </cell>
          <cell r="H595">
            <v>3.4000000000000002E-2</v>
          </cell>
          <cell r="I595">
            <v>1.32</v>
          </cell>
          <cell r="J595">
            <v>0.24</v>
          </cell>
          <cell r="K595">
            <v>0.25700000000000001</v>
          </cell>
          <cell r="L595">
            <v>0.995</v>
          </cell>
          <cell r="M595">
            <v>0.92600000000000005</v>
          </cell>
          <cell r="N595">
            <v>0</v>
          </cell>
          <cell r="O595">
            <v>0.309</v>
          </cell>
          <cell r="P595">
            <v>0</v>
          </cell>
          <cell r="Q595">
            <v>0</v>
          </cell>
          <cell r="R595">
            <v>5.0999999999999997E-2</v>
          </cell>
          <cell r="S595">
            <v>0</v>
          </cell>
          <cell r="T595">
            <v>0</v>
          </cell>
          <cell r="U595">
            <v>0</v>
          </cell>
          <cell r="V595">
            <v>0</v>
          </cell>
          <cell r="W595">
            <v>0</v>
          </cell>
          <cell r="X595">
            <v>0</v>
          </cell>
          <cell r="Y595">
            <v>0</v>
          </cell>
          <cell r="Z595">
            <v>0</v>
          </cell>
          <cell r="AA595">
            <v>0</v>
          </cell>
          <cell r="AB595">
            <v>0</v>
          </cell>
          <cell r="AC595">
            <v>0</v>
          </cell>
          <cell r="AD595">
            <v>0</v>
          </cell>
          <cell r="AE595" t="str">
            <v>PE 60x820</v>
          </cell>
          <cell r="AF595">
            <v>0</v>
          </cell>
          <cell r="AG595">
            <v>5.9285999999999998E-2</v>
          </cell>
          <cell r="AH595">
            <v>1.62</v>
          </cell>
          <cell r="AI595">
            <v>0</v>
          </cell>
          <cell r="AJ595">
            <v>9530</v>
          </cell>
          <cell r="AK595">
            <v>0</v>
          </cell>
          <cell r="AL595">
            <v>3.0000000000000001E-3</v>
          </cell>
          <cell r="AM595" t="str">
            <v>dạng cuộn 1000m</v>
          </cell>
          <cell r="AN595">
            <v>400</v>
          </cell>
          <cell r="AO595" t="str">
            <v>Công ty Cổ phần mía đường Lam Sơn</v>
          </cell>
          <cell r="AP595" t="e">
            <v>#N/A</v>
          </cell>
          <cell r="AQ595" t="e">
            <v>#N/A</v>
          </cell>
          <cell r="AR595" t="e">
            <v>#N/A</v>
          </cell>
          <cell r="AS595" t="e">
            <v>#N/A</v>
          </cell>
          <cell r="AT595" t="e">
            <v>#N/A</v>
          </cell>
          <cell r="AU595" t="e">
            <v>#N/A</v>
          </cell>
          <cell r="AV595" t="e">
            <v>#N/A</v>
          </cell>
          <cell r="AW595" t="e">
            <v>#N/A</v>
          </cell>
          <cell r="AX595" t="e">
            <v>#N/A</v>
          </cell>
          <cell r="AY595" t="e">
            <v>#N/A</v>
          </cell>
          <cell r="AZ595" t="e">
            <v>#N/A</v>
          </cell>
          <cell r="BA595">
            <v>0</v>
          </cell>
          <cell r="BB595">
            <v>0</v>
          </cell>
          <cell r="BC595">
            <v>0</v>
          </cell>
          <cell r="BD595">
            <v>0</v>
          </cell>
        </row>
        <row r="596">
          <cell r="A596" t="str">
            <v>sp 1117</v>
          </cell>
          <cell r="B596" t="str">
            <v>Túi bánh mỳ Sandwich 275gr Bảo Ngọc</v>
          </cell>
          <cell r="C596">
            <v>2.77</v>
          </cell>
          <cell r="D596">
            <v>2</v>
          </cell>
          <cell r="E596" t="str">
            <v>OPP 20x900</v>
          </cell>
          <cell r="F596">
            <v>7</v>
          </cell>
          <cell r="G596" t="str">
            <v>OPP</v>
          </cell>
          <cell r="H596">
            <v>0.2</v>
          </cell>
          <cell r="I596">
            <v>0.4</v>
          </cell>
          <cell r="J596">
            <v>0.01</v>
          </cell>
          <cell r="K596">
            <v>0.5</v>
          </cell>
          <cell r="L596">
            <v>0.7</v>
          </cell>
          <cell r="M596">
            <v>0.75</v>
          </cell>
          <cell r="N596">
            <v>0</v>
          </cell>
          <cell r="O596">
            <v>0</v>
          </cell>
          <cell r="P596">
            <v>0.1</v>
          </cell>
          <cell r="Q596">
            <v>0.1</v>
          </cell>
          <cell r="R596">
            <v>0</v>
          </cell>
          <cell r="S596">
            <v>0</v>
          </cell>
          <cell r="T596">
            <v>0.01</v>
          </cell>
          <cell r="U596">
            <v>0</v>
          </cell>
          <cell r="V596">
            <v>0</v>
          </cell>
          <cell r="W596">
            <v>0</v>
          </cell>
          <cell r="X596">
            <v>0</v>
          </cell>
          <cell r="Y596">
            <v>0</v>
          </cell>
          <cell r="Z596">
            <v>0</v>
          </cell>
          <cell r="AA596">
            <v>0</v>
          </cell>
          <cell r="AB596">
            <v>0</v>
          </cell>
          <cell r="AC596">
            <v>0</v>
          </cell>
          <cell r="AD596">
            <v>0</v>
          </cell>
          <cell r="AE596" t="str">
            <v>CPP 25x900</v>
          </cell>
          <cell r="AF596">
            <v>0</v>
          </cell>
          <cell r="AG596">
            <v>3.6854999999999999E-2</v>
          </cell>
          <cell r="AH596">
            <v>1.1733333333333333</v>
          </cell>
          <cell r="AI596">
            <v>0</v>
          </cell>
          <cell r="AJ596">
            <v>9530</v>
          </cell>
          <cell r="AK596">
            <v>0</v>
          </cell>
          <cell r="AL596">
            <v>2E-3</v>
          </cell>
          <cell r="AM596" t="str">
            <v>túi hàn lưng xếp hông lệch</v>
          </cell>
          <cell r="AN596">
            <v>340</v>
          </cell>
          <cell r="AO596" t="str">
            <v>Công ty CP đầu tư SX Bảo Ngọc</v>
          </cell>
          <cell r="AP596" t="str">
            <v>F124949G1-1</v>
          </cell>
          <cell r="AQ596" t="str">
            <v>F124949G2-2</v>
          </cell>
          <cell r="AR596" t="str">
            <v>F124949-3</v>
          </cell>
          <cell r="AS596" t="str">
            <v>F124949-4</v>
          </cell>
          <cell r="AT596" t="str">
            <v>F124949-5</v>
          </cell>
          <cell r="AU596" t="str">
            <v>F124949-6</v>
          </cell>
          <cell r="AV596" t="str">
            <v>F124949-7</v>
          </cell>
          <cell r="AW596">
            <v>0</v>
          </cell>
          <cell r="AX596">
            <v>0</v>
          </cell>
          <cell r="AY596" t="str">
            <v>1100x680</v>
          </cell>
          <cell r="AZ596" t="str">
            <v>R1</v>
          </cell>
          <cell r="BA596">
            <v>0</v>
          </cell>
          <cell r="BB596">
            <v>0</v>
          </cell>
          <cell r="BC596">
            <v>0</v>
          </cell>
          <cell r="BD596">
            <v>0</v>
          </cell>
        </row>
        <row r="597">
          <cell r="A597" t="str">
            <v>sp 1118</v>
          </cell>
          <cell r="B597" t="str">
            <v>Túi thuốc trừ bệnh mancozeb xanh 80WP Redsun</v>
          </cell>
          <cell r="C597">
            <v>15.319999999999999</v>
          </cell>
          <cell r="D597">
            <v>2</v>
          </cell>
          <cell r="E597" t="str">
            <v>PET 12x780</v>
          </cell>
          <cell r="F597">
            <v>6</v>
          </cell>
          <cell r="G597" t="str">
            <v>PET</v>
          </cell>
          <cell r="H597">
            <v>1.19</v>
          </cell>
          <cell r="I597">
            <v>6.74</v>
          </cell>
          <cell r="J597">
            <v>0.01</v>
          </cell>
          <cell r="K597">
            <v>0</v>
          </cell>
          <cell r="L597">
            <v>3.53</v>
          </cell>
          <cell r="M597">
            <v>2.2799999999999998</v>
          </cell>
          <cell r="N597">
            <v>0</v>
          </cell>
          <cell r="O597">
            <v>0</v>
          </cell>
          <cell r="P597">
            <v>1.57</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t="str">
            <v>Al 6x780</v>
          </cell>
          <cell r="AF597" t="str">
            <v>PE 75x790</v>
          </cell>
          <cell r="AG597">
            <v>7.9899300000000006E-2</v>
          </cell>
          <cell r="AH597">
            <v>1.1806666666666665</v>
          </cell>
          <cell r="AI597">
            <v>1.1806666666666665</v>
          </cell>
          <cell r="AJ597">
            <v>9530</v>
          </cell>
          <cell r="AK597">
            <v>9530</v>
          </cell>
          <cell r="AL597" t="str">
            <v>0,0046(0,0023;0,0023)</v>
          </cell>
          <cell r="AM597" t="str">
            <v>túi ba biên</v>
          </cell>
          <cell r="AN597">
            <v>140</v>
          </cell>
          <cell r="AO597" t="str">
            <v>Công ty Redsun</v>
          </cell>
          <cell r="AP597" t="str">
            <v>1912271-1</v>
          </cell>
          <cell r="AQ597" t="str">
            <v>1912271-2</v>
          </cell>
          <cell r="AR597" t="str">
            <v>1912271-3</v>
          </cell>
          <cell r="AS597" t="str">
            <v>1912271-4</v>
          </cell>
          <cell r="AT597" t="str">
            <v>1912271-5</v>
          </cell>
          <cell r="AU597" t="str">
            <v>1912271-6</v>
          </cell>
          <cell r="AV597">
            <v>0</v>
          </cell>
          <cell r="AW597">
            <v>0</v>
          </cell>
          <cell r="AX597">
            <v>0</v>
          </cell>
          <cell r="AY597" t="str">
            <v>420x870</v>
          </cell>
          <cell r="AZ597" t="str">
            <v>R1</v>
          </cell>
          <cell r="BA597">
            <v>6000</v>
          </cell>
          <cell r="BB597" t="str">
            <v>Thùng 5 lớp 42x34x36</v>
          </cell>
          <cell r="BC597">
            <v>0</v>
          </cell>
          <cell r="BD597">
            <v>0</v>
          </cell>
        </row>
        <row r="598">
          <cell r="A598" t="str">
            <v>sp 1119</v>
          </cell>
          <cell r="B598" t="str">
            <v>Túi đựng hóa chất 1kg Đức Giang</v>
          </cell>
          <cell r="C598">
            <v>5.88</v>
          </cell>
          <cell r="D598">
            <v>2</v>
          </cell>
          <cell r="E598" t="str">
            <v>OPP 20x740</v>
          </cell>
          <cell r="F598">
            <v>1</v>
          </cell>
          <cell r="G598" t="str">
            <v>OPP</v>
          </cell>
          <cell r="H598">
            <v>0</v>
          </cell>
          <cell r="I598">
            <v>5.88</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t="str">
            <v>PE 80x740</v>
          </cell>
          <cell r="AF598">
            <v>0</v>
          </cell>
          <cell r="AG598">
            <v>6.8227999999999997E-2</v>
          </cell>
          <cell r="AH598">
            <v>1.2</v>
          </cell>
          <cell r="AI598">
            <v>0</v>
          </cell>
          <cell r="AJ598">
            <v>9530</v>
          </cell>
          <cell r="AK598">
            <v>0</v>
          </cell>
          <cell r="AL598">
            <v>2.5000000000000001E-3</v>
          </cell>
          <cell r="AM598" t="str">
            <v>túi ba biên</v>
          </cell>
          <cell r="AN598">
            <v>240</v>
          </cell>
          <cell r="AO598" t="str">
            <v>Công ty Cổ Phần Tập Đoàn Hóa Chất Đức Giang</v>
          </cell>
          <cell r="AP598" t="str">
            <v>F125042-1</v>
          </cell>
          <cell r="AQ598">
            <v>0</v>
          </cell>
          <cell r="AR598">
            <v>0</v>
          </cell>
          <cell r="AS598">
            <v>0</v>
          </cell>
          <cell r="AT598">
            <v>0</v>
          </cell>
          <cell r="AU598">
            <v>0</v>
          </cell>
          <cell r="AV598">
            <v>0</v>
          </cell>
          <cell r="AW598">
            <v>0</v>
          </cell>
          <cell r="AX598">
            <v>0</v>
          </cell>
          <cell r="AY598" t="str">
            <v>480x870</v>
          </cell>
          <cell r="AZ598" t="str">
            <v>R1</v>
          </cell>
          <cell r="BA598">
            <v>0</v>
          </cell>
          <cell r="BB598">
            <v>0</v>
          </cell>
          <cell r="BC598">
            <v>0</v>
          </cell>
          <cell r="BD598">
            <v>0</v>
          </cell>
        </row>
        <row r="599">
          <cell r="A599" t="str">
            <v>sp 1120</v>
          </cell>
          <cell r="B599" t="str">
            <v>Túi hoạt huyết dưỡng não 5 vỉ traphaco</v>
          </cell>
          <cell r="C599">
            <v>1</v>
          </cell>
          <cell r="D599">
            <v>3</v>
          </cell>
          <cell r="E599" t="str">
            <v>OPP 20x716</v>
          </cell>
          <cell r="F599">
            <v>2</v>
          </cell>
          <cell r="G599" t="str">
            <v>OPP</v>
          </cell>
          <cell r="H599">
            <v>0</v>
          </cell>
          <cell r="I599">
            <v>0</v>
          </cell>
          <cell r="J599">
            <v>0.12</v>
          </cell>
          <cell r="K599">
            <v>0.12</v>
          </cell>
          <cell r="L599">
            <v>0.48</v>
          </cell>
          <cell r="M599">
            <v>0</v>
          </cell>
          <cell r="N599">
            <v>0</v>
          </cell>
          <cell r="O599">
            <v>0.05</v>
          </cell>
          <cell r="P599">
            <v>0.05</v>
          </cell>
          <cell r="Q599">
            <v>0</v>
          </cell>
          <cell r="R599">
            <v>0</v>
          </cell>
          <cell r="S599">
            <v>0</v>
          </cell>
          <cell r="T599">
            <v>0.18</v>
          </cell>
          <cell r="U599">
            <v>0</v>
          </cell>
          <cell r="V599">
            <v>0</v>
          </cell>
          <cell r="W599">
            <v>0</v>
          </cell>
          <cell r="X599">
            <v>0</v>
          </cell>
          <cell r="Y599">
            <v>0</v>
          </cell>
          <cell r="Z599">
            <v>0</v>
          </cell>
          <cell r="AA599">
            <v>0</v>
          </cell>
          <cell r="AB599">
            <v>0</v>
          </cell>
          <cell r="AC599">
            <v>0</v>
          </cell>
          <cell r="AD599">
            <v>0</v>
          </cell>
          <cell r="AE599" t="str">
            <v>Al 6x716</v>
          </cell>
          <cell r="AF599" t="str">
            <v>PE 55x726</v>
          </cell>
          <cell r="AG599">
            <v>6.9068009999999999E-2</v>
          </cell>
          <cell r="AH599">
            <v>1.1933333333333334</v>
          </cell>
          <cell r="AI599">
            <v>1.1933333333333334</v>
          </cell>
          <cell r="AJ599">
            <v>9530</v>
          </cell>
          <cell r="AK599">
            <v>9530</v>
          </cell>
          <cell r="AL599" t="str">
            <v>0,005(0,0025;0,0025)</v>
          </cell>
          <cell r="AM599" t="str">
            <v>túi hàn lưng xếp hông</v>
          </cell>
          <cell r="AN599">
            <v>180</v>
          </cell>
          <cell r="AO599" t="str">
            <v>Công ty Cổ Phần Traphaco</v>
          </cell>
          <cell r="AP599" t="str">
            <v>1912540-1</v>
          </cell>
          <cell r="AQ599" t="str">
            <v>1912540-2</v>
          </cell>
          <cell r="AR599">
            <v>0</v>
          </cell>
          <cell r="AS599">
            <v>0</v>
          </cell>
          <cell r="AT599">
            <v>0</v>
          </cell>
          <cell r="AU599">
            <v>0</v>
          </cell>
          <cell r="AV599">
            <v>0</v>
          </cell>
          <cell r="AW599">
            <v>0</v>
          </cell>
          <cell r="AX599">
            <v>0</v>
          </cell>
          <cell r="AY599" t="str">
            <v>540x870</v>
          </cell>
          <cell r="AZ599" t="str">
            <v>R1</v>
          </cell>
          <cell r="BA599">
            <v>0</v>
          </cell>
          <cell r="BB599">
            <v>0</v>
          </cell>
          <cell r="BC599">
            <v>0</v>
          </cell>
          <cell r="BD599">
            <v>0</v>
          </cell>
        </row>
        <row r="600">
          <cell r="A600" t="str">
            <v>sp 1121</v>
          </cell>
          <cell r="B600" t="str">
            <v>Túi boganic forte 5 vỉ nang mềm traphaco</v>
          </cell>
          <cell r="C600">
            <v>0.53700000000000003</v>
          </cell>
          <cell r="D600">
            <v>3</v>
          </cell>
          <cell r="E600" t="str">
            <v>OPP 20x836</v>
          </cell>
          <cell r="F600">
            <v>2</v>
          </cell>
          <cell r="G600" t="str">
            <v>OPP</v>
          </cell>
          <cell r="H600">
            <v>0.03</v>
          </cell>
          <cell r="I600">
            <v>0</v>
          </cell>
          <cell r="J600">
            <v>0.11</v>
          </cell>
          <cell r="K600">
            <v>1.7000000000000001E-2</v>
          </cell>
          <cell r="L600">
            <v>0.22</v>
          </cell>
          <cell r="M600">
            <v>0</v>
          </cell>
          <cell r="N600">
            <v>0</v>
          </cell>
          <cell r="O600">
            <v>0.01</v>
          </cell>
          <cell r="P600">
            <v>0.11</v>
          </cell>
          <cell r="Q600">
            <v>0.03</v>
          </cell>
          <cell r="R600">
            <v>0</v>
          </cell>
          <cell r="S600">
            <v>0</v>
          </cell>
          <cell r="T600">
            <v>0.01</v>
          </cell>
          <cell r="U600">
            <v>0</v>
          </cell>
          <cell r="V600">
            <v>0</v>
          </cell>
          <cell r="W600">
            <v>0</v>
          </cell>
          <cell r="X600">
            <v>0</v>
          </cell>
          <cell r="Y600">
            <v>0</v>
          </cell>
          <cell r="Z600">
            <v>0</v>
          </cell>
          <cell r="AA600">
            <v>0</v>
          </cell>
          <cell r="AB600">
            <v>0</v>
          </cell>
          <cell r="AC600">
            <v>0</v>
          </cell>
          <cell r="AD600">
            <v>0</v>
          </cell>
          <cell r="AE600" t="str">
            <v>Al 6x836</v>
          </cell>
          <cell r="AF600" t="str">
            <v>PE 55x846</v>
          </cell>
          <cell r="AG600">
            <v>7.1340060000000011E-2</v>
          </cell>
          <cell r="AH600">
            <v>1.3933333333333333</v>
          </cell>
          <cell r="AI600">
            <v>1.3933333333333333</v>
          </cell>
          <cell r="AJ600">
            <v>9530</v>
          </cell>
          <cell r="AK600">
            <v>9530</v>
          </cell>
          <cell r="AL600" t="str">
            <v>0,005(0,0025;0,0025)</v>
          </cell>
          <cell r="AM600" t="str">
            <v>túi hàn lưng xếp hông</v>
          </cell>
          <cell r="AN600">
            <v>210</v>
          </cell>
          <cell r="AO600" t="str">
            <v>Công ty Cổ Phần Traphaco</v>
          </cell>
          <cell r="AP600" t="str">
            <v>21070492-1</v>
          </cell>
          <cell r="AQ600" t="str">
            <v>21070492-2</v>
          </cell>
          <cell r="AR600">
            <v>0</v>
          </cell>
          <cell r="AS600">
            <v>0</v>
          </cell>
          <cell r="AT600">
            <v>0</v>
          </cell>
          <cell r="AU600">
            <v>0</v>
          </cell>
          <cell r="AV600">
            <v>0</v>
          </cell>
          <cell r="AW600">
            <v>0</v>
          </cell>
          <cell r="AX600">
            <v>0</v>
          </cell>
          <cell r="AY600" t="str">
            <v>420x1100</v>
          </cell>
          <cell r="AZ600" t="str">
            <v>R1</v>
          </cell>
          <cell r="BA600">
            <v>0</v>
          </cell>
          <cell r="BB600">
            <v>0</v>
          </cell>
          <cell r="BC600">
            <v>0</v>
          </cell>
          <cell r="BD600">
            <v>0</v>
          </cell>
        </row>
        <row r="601">
          <cell r="A601" t="str">
            <v>sp 1122</v>
          </cell>
          <cell r="B601" t="str">
            <v>Túi Cebraton 5 vỉ nang mềm Traphaco</v>
          </cell>
          <cell r="C601">
            <v>0.22799999999999998</v>
          </cell>
          <cell r="D601">
            <v>3</v>
          </cell>
          <cell r="E601" t="str">
            <v>OPP 20x782</v>
          </cell>
          <cell r="F601">
            <v>2</v>
          </cell>
          <cell r="G601" t="str">
            <v>OPP</v>
          </cell>
          <cell r="H601">
            <v>0</v>
          </cell>
          <cell r="I601">
            <v>0</v>
          </cell>
          <cell r="J601">
            <v>0</v>
          </cell>
          <cell r="K601">
            <v>0</v>
          </cell>
          <cell r="L601">
            <v>0</v>
          </cell>
          <cell r="M601">
            <v>0</v>
          </cell>
          <cell r="N601">
            <v>0</v>
          </cell>
          <cell r="O601">
            <v>7.2999999999999995E-2</v>
          </cell>
          <cell r="P601">
            <v>0.01</v>
          </cell>
          <cell r="Q601">
            <v>0.14499999999999999</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t="str">
            <v>AL 6x782</v>
          </cell>
          <cell r="AF601" t="str">
            <v>PE 55x792</v>
          </cell>
          <cell r="AG601">
            <v>6.6731970000000015E-2</v>
          </cell>
          <cell r="AH601">
            <v>1.3033333333333335</v>
          </cell>
          <cell r="AI601">
            <v>1.3033333333333335</v>
          </cell>
          <cell r="AJ601">
            <v>9530</v>
          </cell>
          <cell r="AK601">
            <v>9530</v>
          </cell>
          <cell r="AL601" t="str">
            <v>0,005(0,0025;0,0025)</v>
          </cell>
          <cell r="AM601" t="str">
            <v>túi hàn lưng xếp hông</v>
          </cell>
          <cell r="AN601">
            <v>207</v>
          </cell>
          <cell r="AO601" t="str">
            <v>Công ty Cổ Phần Traphaco</v>
          </cell>
          <cell r="AP601" t="str">
            <v>1912542-1</v>
          </cell>
          <cell r="AQ601" t="str">
            <v>1912542-2</v>
          </cell>
          <cell r="AR601">
            <v>0</v>
          </cell>
          <cell r="AS601">
            <v>0</v>
          </cell>
          <cell r="AT601">
            <v>0</v>
          </cell>
          <cell r="AU601">
            <v>0</v>
          </cell>
          <cell r="AV601">
            <v>0</v>
          </cell>
          <cell r="AW601">
            <v>0</v>
          </cell>
          <cell r="AX601">
            <v>0</v>
          </cell>
          <cell r="AY601" t="str">
            <v>414x870</v>
          </cell>
          <cell r="AZ601" t="str">
            <v>R1</v>
          </cell>
          <cell r="BA601">
            <v>0</v>
          </cell>
          <cell r="BB601">
            <v>0</v>
          </cell>
          <cell r="BC601">
            <v>0</v>
          </cell>
          <cell r="BD601">
            <v>0</v>
          </cell>
        </row>
        <row r="602">
          <cell r="A602" t="str">
            <v>sp 1123</v>
          </cell>
          <cell r="B602" t="str">
            <v>Túi bột giặt hương hoa tự nhiên NIF 1,5kg MKL</v>
          </cell>
          <cell r="C602">
            <v>19.64</v>
          </cell>
          <cell r="D602">
            <v>1</v>
          </cell>
          <cell r="E602" t="str">
            <v>PET 12x560</v>
          </cell>
          <cell r="F602">
            <v>1</v>
          </cell>
          <cell r="G602" t="str">
            <v>PET</v>
          </cell>
          <cell r="H602">
            <v>0</v>
          </cell>
          <cell r="I602">
            <v>0</v>
          </cell>
          <cell r="J602">
            <v>0.01</v>
          </cell>
          <cell r="K602">
            <v>0.78</v>
          </cell>
          <cell r="L602">
            <v>9.84</v>
          </cell>
          <cell r="M602">
            <v>4.68</v>
          </cell>
          <cell r="N602">
            <v>0</v>
          </cell>
          <cell r="O602">
            <v>1.87</v>
          </cell>
          <cell r="P602">
            <v>2</v>
          </cell>
          <cell r="Q602">
            <v>0</v>
          </cell>
          <cell r="R602">
            <v>0.46</v>
          </cell>
          <cell r="S602">
            <v>0</v>
          </cell>
          <cell r="T602">
            <v>0</v>
          </cell>
          <cell r="U602">
            <v>0</v>
          </cell>
          <cell r="V602">
            <v>0</v>
          </cell>
          <cell r="W602">
            <v>0</v>
          </cell>
          <cell r="X602">
            <v>0</v>
          </cell>
          <cell r="Y602">
            <v>0</v>
          </cell>
          <cell r="Z602">
            <v>0</v>
          </cell>
          <cell r="AA602">
            <v>0</v>
          </cell>
          <cell r="AB602">
            <v>0</v>
          </cell>
          <cell r="AC602">
            <v>0</v>
          </cell>
          <cell r="AD602">
            <v>0</v>
          </cell>
          <cell r="AE602" t="str">
            <v>PE sứ 90x560</v>
          </cell>
          <cell r="AF602">
            <v>0</v>
          </cell>
          <cell r="AG602">
            <v>5.6028000000000008E-2</v>
          </cell>
          <cell r="AH602">
            <v>1.1000000000000001</v>
          </cell>
          <cell r="AI602">
            <v>0</v>
          </cell>
          <cell r="AJ602">
            <v>9530</v>
          </cell>
          <cell r="AK602">
            <v>0</v>
          </cell>
          <cell r="AL602">
            <v>3.0000000000000001E-3</v>
          </cell>
          <cell r="AM602" t="str">
            <v>túi hàn lưng xếp hông</v>
          </cell>
          <cell r="AN602">
            <v>380</v>
          </cell>
          <cell r="AO602" t="str">
            <v>Công ty CP Tập đoàn đầu tư và PT MKL</v>
          </cell>
          <cell r="AP602" t="str">
            <v>F125084-1</v>
          </cell>
          <cell r="AQ602" t="str">
            <v>F125084-2</v>
          </cell>
          <cell r="AR602" t="str">
            <v>F125084-3</v>
          </cell>
          <cell r="AS602" t="str">
            <v>F125084-4</v>
          </cell>
          <cell r="AT602" t="str">
            <v>F125084-5</v>
          </cell>
          <cell r="AU602" t="str">
            <v>F125084-6</v>
          </cell>
          <cell r="AV602" t="str">
            <v>F125084-7</v>
          </cell>
          <cell r="AW602">
            <v>0</v>
          </cell>
          <cell r="AX602">
            <v>0</v>
          </cell>
          <cell r="AY602" t="str">
            <v>760x870</v>
          </cell>
          <cell r="AZ602" t="str">
            <v>R1</v>
          </cell>
          <cell r="BA602">
            <v>0</v>
          </cell>
          <cell r="BB602">
            <v>0</v>
          </cell>
          <cell r="BC602">
            <v>0</v>
          </cell>
          <cell r="BD602">
            <v>0</v>
          </cell>
        </row>
        <row r="603">
          <cell r="A603" t="str">
            <v>sp 1124</v>
          </cell>
          <cell r="B603" t="str">
            <v>Cuộn màng tấm ốp văn hoa cơ điện</v>
          </cell>
          <cell r="C603">
            <v>0.2</v>
          </cell>
          <cell r="D603">
            <v>1</v>
          </cell>
          <cell r="E603" t="str">
            <v>PE 40x1240</v>
          </cell>
          <cell r="F603">
            <v>1</v>
          </cell>
          <cell r="G603" t="str">
            <v xml:space="preserve">PE </v>
          </cell>
          <cell r="H603">
            <v>0</v>
          </cell>
          <cell r="I603">
            <v>0</v>
          </cell>
          <cell r="J603">
            <v>0</v>
          </cell>
          <cell r="K603">
            <v>0</v>
          </cell>
          <cell r="L603">
            <v>0</v>
          </cell>
          <cell r="M603">
            <v>0</v>
          </cell>
          <cell r="N603">
            <v>0</v>
          </cell>
          <cell r="O603">
            <v>0</v>
          </cell>
          <cell r="P603">
            <v>0</v>
          </cell>
          <cell r="Q603">
            <v>0</v>
          </cell>
          <cell r="R603">
            <v>0.2</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t="str">
            <v>dạng cuộn 2,700m</v>
          </cell>
          <cell r="AN603">
            <v>1220</v>
          </cell>
          <cell r="AO603" t="str">
            <v>Công ty CP Cơ điện và Phát triển Hà Nội</v>
          </cell>
          <cell r="AP603" t="str">
            <v>X403403-1</v>
          </cell>
          <cell r="AQ603">
            <v>0</v>
          </cell>
          <cell r="AR603">
            <v>0</v>
          </cell>
          <cell r="AS603">
            <v>0</v>
          </cell>
          <cell r="AT603">
            <v>0</v>
          </cell>
          <cell r="AU603">
            <v>0</v>
          </cell>
          <cell r="AV603">
            <v>0</v>
          </cell>
          <cell r="AW603">
            <v>0</v>
          </cell>
          <cell r="AX603">
            <v>0</v>
          </cell>
          <cell r="AY603" t="str">
            <v>1300x831</v>
          </cell>
          <cell r="AZ603">
            <v>0</v>
          </cell>
          <cell r="BA603">
            <v>0</v>
          </cell>
          <cell r="BB603">
            <v>0</v>
          </cell>
          <cell r="BC603">
            <v>0</v>
          </cell>
          <cell r="BD603">
            <v>0</v>
          </cell>
        </row>
        <row r="604">
          <cell r="A604" t="str">
            <v>sp 1125</v>
          </cell>
          <cell r="B604" t="str">
            <v>Túi men rượu hương nếp Trung Tiến 500gr mới</v>
          </cell>
          <cell r="C604">
            <v>7.4199999999999982</v>
          </cell>
          <cell r="D604">
            <v>2</v>
          </cell>
          <cell r="E604" t="str">
            <v>OPP 20x790</v>
          </cell>
          <cell r="F604">
            <v>8</v>
          </cell>
          <cell r="G604" t="str">
            <v>OPP</v>
          </cell>
          <cell r="H604">
            <v>0.13</v>
          </cell>
          <cell r="I604">
            <v>4.13</v>
          </cell>
          <cell r="J604">
            <v>0.26</v>
          </cell>
          <cell r="K604">
            <v>0.18</v>
          </cell>
          <cell r="L604">
            <v>1.77</v>
          </cell>
          <cell r="M604">
            <v>0.64</v>
          </cell>
          <cell r="N604">
            <v>0</v>
          </cell>
          <cell r="O604">
            <v>0</v>
          </cell>
          <cell r="P604">
            <v>0.1</v>
          </cell>
          <cell r="Q604">
            <v>0.15</v>
          </cell>
          <cell r="R604">
            <v>0</v>
          </cell>
          <cell r="S604">
            <v>0.05</v>
          </cell>
          <cell r="T604">
            <v>0.01</v>
          </cell>
          <cell r="U604">
            <v>0</v>
          </cell>
          <cell r="V604">
            <v>0</v>
          </cell>
          <cell r="W604">
            <v>0</v>
          </cell>
          <cell r="X604">
            <v>0</v>
          </cell>
          <cell r="Y604">
            <v>0</v>
          </cell>
          <cell r="Z604">
            <v>0</v>
          </cell>
          <cell r="AA604">
            <v>0</v>
          </cell>
          <cell r="AB604">
            <v>0</v>
          </cell>
          <cell r="AC604">
            <v>0</v>
          </cell>
          <cell r="AD604">
            <v>0</v>
          </cell>
          <cell r="AE604" t="str">
            <v>CPP/MCPP35x395</v>
          </cell>
          <cell r="AF604">
            <v>0</v>
          </cell>
          <cell r="AG604">
            <v>3.9539500000000005E-2</v>
          </cell>
          <cell r="AH604">
            <v>1.3</v>
          </cell>
          <cell r="AI604">
            <v>0</v>
          </cell>
          <cell r="AJ604">
            <v>9530</v>
          </cell>
          <cell r="AK604">
            <v>0</v>
          </cell>
          <cell r="AL604">
            <v>2.5000000000000001E-3</v>
          </cell>
          <cell r="AM604" t="str">
            <v>túi ba biên</v>
          </cell>
          <cell r="AN604">
            <v>270</v>
          </cell>
          <cell r="AO604" t="str">
            <v>Cơ sở men Trung Tiến</v>
          </cell>
          <cell r="AP604" t="str">
            <v>F125145G1-1</v>
          </cell>
          <cell r="AQ604" t="str">
            <v>F125145-2</v>
          </cell>
          <cell r="AR604" t="str">
            <v>F125145NG1-3</v>
          </cell>
          <cell r="AS604" t="str">
            <v>F125145-4</v>
          </cell>
          <cell r="AT604" t="str">
            <v>F125145-5</v>
          </cell>
          <cell r="AU604" t="str">
            <v>F125145NG1-6</v>
          </cell>
          <cell r="AV604" t="str">
            <v>F125145-7</v>
          </cell>
          <cell r="AW604" t="str">
            <v>F125145-8</v>
          </cell>
          <cell r="AX604">
            <v>0</v>
          </cell>
          <cell r="AY604" t="str">
            <v>860x540</v>
          </cell>
          <cell r="AZ604" t="str">
            <v>R2</v>
          </cell>
          <cell r="BA604">
            <v>0</v>
          </cell>
          <cell r="BB604">
            <v>0</v>
          </cell>
          <cell r="BC604">
            <v>0</v>
          </cell>
          <cell r="BD604">
            <v>0</v>
          </cell>
        </row>
        <row r="605">
          <cell r="A605" t="str">
            <v>sp 1126</v>
          </cell>
          <cell r="B605" t="str">
            <v>Cuộn màng HS cozy hương đào túi nhúng T4 Vĩnh Phúc</v>
          </cell>
          <cell r="C605">
            <v>8.889999999999997</v>
          </cell>
          <cell r="D605">
            <v>4</v>
          </cell>
          <cell r="E605" t="str">
            <v>PET 12x640</v>
          </cell>
          <cell r="F605">
            <v>6</v>
          </cell>
          <cell r="G605" t="str">
            <v>PET</v>
          </cell>
          <cell r="H605">
            <v>0.44</v>
          </cell>
          <cell r="I605">
            <v>2.59</v>
          </cell>
          <cell r="J605">
            <v>0.13</v>
          </cell>
          <cell r="K605">
            <v>1.04</v>
          </cell>
          <cell r="L605">
            <v>2.36</v>
          </cell>
          <cell r="M605">
            <v>0.72</v>
          </cell>
          <cell r="N605">
            <v>0</v>
          </cell>
          <cell r="O605">
            <v>0</v>
          </cell>
          <cell r="P605">
            <v>1.41</v>
          </cell>
          <cell r="Q605">
            <v>0</v>
          </cell>
          <cell r="R605">
            <v>0</v>
          </cell>
          <cell r="S605">
            <v>0</v>
          </cell>
          <cell r="T605">
            <v>0.2</v>
          </cell>
          <cell r="U605">
            <v>0</v>
          </cell>
          <cell r="V605">
            <v>0</v>
          </cell>
          <cell r="W605">
            <v>0</v>
          </cell>
          <cell r="X605">
            <v>0</v>
          </cell>
          <cell r="Y605">
            <v>0</v>
          </cell>
          <cell r="Z605">
            <v>0</v>
          </cell>
          <cell r="AA605">
            <v>0</v>
          </cell>
          <cell r="AB605">
            <v>0</v>
          </cell>
          <cell r="AC605">
            <v>0</v>
          </cell>
          <cell r="AD605">
            <v>0</v>
          </cell>
          <cell r="AE605" t="str">
            <v>MCPP 35x640</v>
          </cell>
          <cell r="AF605">
            <v>0</v>
          </cell>
          <cell r="AG605">
            <v>3.1136E-2</v>
          </cell>
          <cell r="AH605">
            <v>0.28349999999999997</v>
          </cell>
          <cell r="AI605">
            <v>0</v>
          </cell>
          <cell r="AJ605">
            <v>9530</v>
          </cell>
          <cell r="AK605">
            <v>0</v>
          </cell>
          <cell r="AL605">
            <v>1.1999999999999999E-3</v>
          </cell>
          <cell r="AM605" t="str">
            <v>dạng cuộn 1,500m</v>
          </cell>
          <cell r="AN605">
            <v>155</v>
          </cell>
          <cell r="AO605" t="str">
            <v>Công ty TNHH Thế hệ mới Vĩnh Phúc</v>
          </cell>
          <cell r="AP605" t="str">
            <v>1803378-1</v>
          </cell>
          <cell r="AQ605" t="str">
            <v>1908187-2</v>
          </cell>
          <cell r="AR605" t="str">
            <v>1908187-3</v>
          </cell>
          <cell r="AS605" t="str">
            <v>1803378-4</v>
          </cell>
          <cell r="AT605" t="str">
            <v>1803378-5</v>
          </cell>
          <cell r="AU605" t="str">
            <v>1908217-6</v>
          </cell>
          <cell r="AV605">
            <v>0</v>
          </cell>
          <cell r="AW605">
            <v>0</v>
          </cell>
          <cell r="AX605">
            <v>0</v>
          </cell>
          <cell r="AY605" t="str">
            <v>462x750</v>
          </cell>
          <cell r="AZ605" t="str">
            <v>A1</v>
          </cell>
          <cell r="BA605">
            <v>0</v>
          </cell>
          <cell r="BB605" t="str">
            <v>giấy cartoon</v>
          </cell>
          <cell r="BC605">
            <v>0</v>
          </cell>
          <cell r="BD605" t="str">
            <v>in chung với bộ 319</v>
          </cell>
        </row>
        <row r="606">
          <cell r="A606" t="str">
            <v>sp 1127</v>
          </cell>
          <cell r="B606" t="str">
            <v>Cuộn thuốc thú y T.eimerin cầu trùng 100g Năm Thái</v>
          </cell>
          <cell r="C606">
            <v>0.33</v>
          </cell>
          <cell r="D606">
            <v>3</v>
          </cell>
          <cell r="E606" t="str">
            <v>OPP 30x770</v>
          </cell>
          <cell r="F606">
            <v>1</v>
          </cell>
          <cell r="G606" t="str">
            <v>OPP</v>
          </cell>
          <cell r="H606">
            <v>0</v>
          </cell>
          <cell r="I606">
            <v>0</v>
          </cell>
          <cell r="J606">
            <v>0</v>
          </cell>
          <cell r="K606">
            <v>0</v>
          </cell>
          <cell r="L606">
            <v>0</v>
          </cell>
          <cell r="M606">
            <v>0</v>
          </cell>
          <cell r="N606">
            <v>0</v>
          </cell>
          <cell r="O606">
            <v>0.33</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t="str">
            <v>MPET 12x770</v>
          </cell>
          <cell r="AF606" t="str">
            <v>PE 35x770</v>
          </cell>
          <cell r="AG606">
            <v>5.8885750000000014E-2</v>
          </cell>
          <cell r="AH606">
            <v>1.1653333333333333</v>
          </cell>
          <cell r="AI606">
            <v>1.1653333333333333</v>
          </cell>
          <cell r="AJ606">
            <v>9530</v>
          </cell>
          <cell r="AK606">
            <v>9530</v>
          </cell>
          <cell r="AL606" t="str">
            <v>0,0046(0,0023;0,0023)</v>
          </cell>
          <cell r="AM606" t="str">
            <v>dạng cuộn 1,000m</v>
          </cell>
          <cell r="AN606">
            <v>250</v>
          </cell>
          <cell r="AO606" t="str">
            <v>Công ty Năm Thái</v>
          </cell>
          <cell r="AP606" t="str">
            <v>2001174-1</v>
          </cell>
          <cell r="AQ606">
            <v>0</v>
          </cell>
          <cell r="AR606">
            <v>0</v>
          </cell>
          <cell r="AS606">
            <v>0</v>
          </cell>
          <cell r="AT606">
            <v>0</v>
          </cell>
          <cell r="AU606">
            <v>0</v>
          </cell>
          <cell r="AV606">
            <v>0</v>
          </cell>
          <cell r="AW606">
            <v>0</v>
          </cell>
          <cell r="AX606">
            <v>0</v>
          </cell>
          <cell r="AY606" t="str">
            <v>495x870</v>
          </cell>
          <cell r="AZ606" t="str">
            <v>R1</v>
          </cell>
          <cell r="BA606">
            <v>0</v>
          </cell>
          <cell r="BB606">
            <v>0</v>
          </cell>
          <cell r="BC606">
            <v>0</v>
          </cell>
          <cell r="BD606">
            <v>0</v>
          </cell>
        </row>
        <row r="607">
          <cell r="A607" t="str">
            <v>sp 1128</v>
          </cell>
          <cell r="B607" t="str">
            <v>Cuộn thuốc thú y T.I.C 100gr Năm Thái</v>
          </cell>
          <cell r="C607">
            <v>3.11</v>
          </cell>
          <cell r="D607">
            <v>3</v>
          </cell>
          <cell r="E607" t="str">
            <v>OPP 30x770</v>
          </cell>
          <cell r="F607">
            <v>1</v>
          </cell>
          <cell r="G607" t="str">
            <v>OPP</v>
          </cell>
          <cell r="H607">
            <v>0</v>
          </cell>
          <cell r="I607">
            <v>0</v>
          </cell>
          <cell r="J607">
            <v>1.33</v>
          </cell>
          <cell r="K607">
            <v>0</v>
          </cell>
          <cell r="L607">
            <v>1.77</v>
          </cell>
          <cell r="M607">
            <v>0</v>
          </cell>
          <cell r="N607">
            <v>0</v>
          </cell>
          <cell r="O607">
            <v>0.01</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t="str">
            <v>MPET 12x770</v>
          </cell>
          <cell r="AF607" t="str">
            <v>PE 35x770</v>
          </cell>
          <cell r="AG607">
            <v>5.8885750000000014E-2</v>
          </cell>
          <cell r="AH607">
            <v>1.1653333333333333</v>
          </cell>
          <cell r="AI607">
            <v>1.1653333333333333</v>
          </cell>
          <cell r="AJ607">
            <v>9530</v>
          </cell>
          <cell r="AK607">
            <v>9530</v>
          </cell>
          <cell r="AL607" t="str">
            <v>0,0046(0,0023;0,0023)</v>
          </cell>
          <cell r="AM607" t="str">
            <v>dạng cuộn 1,000m</v>
          </cell>
          <cell r="AN607">
            <v>250</v>
          </cell>
          <cell r="AO607" t="str">
            <v>Công ty Năm Thái</v>
          </cell>
          <cell r="AP607" t="str">
            <v>2001175-1</v>
          </cell>
          <cell r="AQ607">
            <v>0</v>
          </cell>
          <cell r="AR607">
            <v>0</v>
          </cell>
          <cell r="AS607">
            <v>0</v>
          </cell>
          <cell r="AT607">
            <v>0</v>
          </cell>
          <cell r="AU607">
            <v>0</v>
          </cell>
          <cell r="AV607">
            <v>0</v>
          </cell>
          <cell r="AW607">
            <v>0</v>
          </cell>
          <cell r="AX607">
            <v>0</v>
          </cell>
          <cell r="AY607" t="str">
            <v>495x870</v>
          </cell>
          <cell r="AZ607" t="str">
            <v>R1</v>
          </cell>
          <cell r="BA607">
            <v>0</v>
          </cell>
          <cell r="BB607">
            <v>0</v>
          </cell>
          <cell r="BC607">
            <v>0</v>
          </cell>
          <cell r="BD607">
            <v>0</v>
          </cell>
        </row>
        <row r="608">
          <cell r="A608" t="str">
            <v>sp 1129</v>
          </cell>
          <cell r="B608" t="str">
            <v>Cuộn thuốc thú y dozyvit - thái 100gr Năm Thái</v>
          </cell>
          <cell r="C608">
            <v>1.0900000000000001</v>
          </cell>
          <cell r="D608">
            <v>3</v>
          </cell>
          <cell r="E608" t="str">
            <v>OPP 30x770</v>
          </cell>
          <cell r="F608">
            <v>1</v>
          </cell>
          <cell r="G608" t="str">
            <v>OPP</v>
          </cell>
          <cell r="H608">
            <v>0</v>
          </cell>
          <cell r="I608">
            <v>0</v>
          </cell>
          <cell r="J608">
            <v>0</v>
          </cell>
          <cell r="K608">
            <v>0</v>
          </cell>
          <cell r="L608">
            <v>0</v>
          </cell>
          <cell r="M608">
            <v>0</v>
          </cell>
          <cell r="N608">
            <v>0</v>
          </cell>
          <cell r="O608">
            <v>1.0900000000000001</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t="str">
            <v>MPET 12x770</v>
          </cell>
          <cell r="AF608" t="str">
            <v>PE 35x770</v>
          </cell>
          <cell r="AG608">
            <v>5.8885750000000014E-2</v>
          </cell>
          <cell r="AH608">
            <v>1.1653333333333333</v>
          </cell>
          <cell r="AI608">
            <v>1.1653333333333333</v>
          </cell>
          <cell r="AJ608">
            <v>9530</v>
          </cell>
          <cell r="AK608">
            <v>9530</v>
          </cell>
          <cell r="AL608" t="str">
            <v>0,0046(0,0023;0,0023)</v>
          </cell>
          <cell r="AM608" t="str">
            <v>dạng cuộn 1,000m</v>
          </cell>
          <cell r="AN608">
            <v>250</v>
          </cell>
          <cell r="AO608" t="str">
            <v>Công ty Năm Thái</v>
          </cell>
          <cell r="AP608" t="str">
            <v>2001176-1</v>
          </cell>
          <cell r="AQ608">
            <v>0</v>
          </cell>
          <cell r="AR608">
            <v>0</v>
          </cell>
          <cell r="AS608">
            <v>0</v>
          </cell>
          <cell r="AT608">
            <v>0</v>
          </cell>
          <cell r="AU608">
            <v>0</v>
          </cell>
          <cell r="AV608">
            <v>0</v>
          </cell>
          <cell r="AW608">
            <v>0</v>
          </cell>
          <cell r="AX608">
            <v>0</v>
          </cell>
          <cell r="AY608" t="str">
            <v>495x870</v>
          </cell>
          <cell r="AZ608" t="str">
            <v>R1</v>
          </cell>
          <cell r="BA608">
            <v>0</v>
          </cell>
          <cell r="BB608">
            <v>0</v>
          </cell>
          <cell r="BC608">
            <v>0</v>
          </cell>
          <cell r="BD608">
            <v>0</v>
          </cell>
        </row>
        <row r="609">
          <cell r="A609" t="str">
            <v>sp 1130</v>
          </cell>
          <cell r="B609" t="str">
            <v>Cuộn thuốc thú y costop - TA 100gr Năm Thái</v>
          </cell>
          <cell r="C609">
            <v>1.3900000000000001</v>
          </cell>
          <cell r="D609">
            <v>3</v>
          </cell>
          <cell r="E609" t="str">
            <v>OPP 30x770</v>
          </cell>
          <cell r="F609">
            <v>1</v>
          </cell>
          <cell r="G609" t="str">
            <v>OPP</v>
          </cell>
          <cell r="H609">
            <v>0</v>
          </cell>
          <cell r="I609">
            <v>0</v>
          </cell>
          <cell r="J609">
            <v>0.46</v>
          </cell>
          <cell r="K609">
            <v>0</v>
          </cell>
          <cell r="L609">
            <v>0.92</v>
          </cell>
          <cell r="M609">
            <v>0</v>
          </cell>
          <cell r="N609">
            <v>0</v>
          </cell>
          <cell r="O609">
            <v>0.01</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t="str">
            <v>MPET 12x770</v>
          </cell>
          <cell r="AF609" t="str">
            <v>PE 35x770</v>
          </cell>
          <cell r="AG609">
            <v>5.8885750000000014E-2</v>
          </cell>
          <cell r="AH609">
            <v>1.1653333333333333</v>
          </cell>
          <cell r="AI609">
            <v>1.1653333333333333</v>
          </cell>
          <cell r="AJ609">
            <v>9530</v>
          </cell>
          <cell r="AK609">
            <v>9530</v>
          </cell>
          <cell r="AL609" t="str">
            <v>0,0046(0,0023;0,0023)</v>
          </cell>
          <cell r="AM609" t="str">
            <v>dạng cuộn 1,000m</v>
          </cell>
          <cell r="AN609">
            <v>250</v>
          </cell>
          <cell r="AO609" t="str">
            <v>Công ty Năm Thái</v>
          </cell>
          <cell r="AP609" t="str">
            <v>2001177-1</v>
          </cell>
          <cell r="AQ609">
            <v>0</v>
          </cell>
          <cell r="AR609">
            <v>0</v>
          </cell>
          <cell r="AS609">
            <v>0</v>
          </cell>
          <cell r="AT609">
            <v>0</v>
          </cell>
          <cell r="AU609">
            <v>0</v>
          </cell>
          <cell r="AV609">
            <v>0</v>
          </cell>
          <cell r="AW609">
            <v>0</v>
          </cell>
          <cell r="AX609">
            <v>0</v>
          </cell>
          <cell r="AY609" t="str">
            <v>495x870</v>
          </cell>
          <cell r="AZ609" t="str">
            <v>R1</v>
          </cell>
          <cell r="BA609">
            <v>0</v>
          </cell>
          <cell r="BB609">
            <v>0</v>
          </cell>
          <cell r="BC609">
            <v>0</v>
          </cell>
          <cell r="BD609">
            <v>0</v>
          </cell>
        </row>
        <row r="610">
          <cell r="A610" t="str">
            <v>sp 1131</v>
          </cell>
          <cell r="B610" t="str">
            <v>Cuộn thuốc thú y giải độc gan 100gr Năm Thái</v>
          </cell>
          <cell r="C610">
            <v>3.93</v>
          </cell>
          <cell r="D610">
            <v>3</v>
          </cell>
          <cell r="E610" t="str">
            <v>OPP 30x770</v>
          </cell>
          <cell r="F610">
            <v>1</v>
          </cell>
          <cell r="G610" t="str">
            <v>OPP</v>
          </cell>
          <cell r="H610">
            <v>0</v>
          </cell>
          <cell r="I610">
            <v>0</v>
          </cell>
          <cell r="J610">
            <v>1.7</v>
          </cell>
          <cell r="K610">
            <v>0</v>
          </cell>
          <cell r="L610">
            <v>2.13</v>
          </cell>
          <cell r="M610">
            <v>0</v>
          </cell>
          <cell r="N610">
            <v>0</v>
          </cell>
          <cell r="O610">
            <v>0.1</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t="str">
            <v>MPET 12x770</v>
          </cell>
          <cell r="AF610" t="str">
            <v>PE 35x770</v>
          </cell>
          <cell r="AG610">
            <v>5.8885750000000014E-2</v>
          </cell>
          <cell r="AH610">
            <v>1.1653333333333333</v>
          </cell>
          <cell r="AI610">
            <v>1.1653333333333333</v>
          </cell>
          <cell r="AJ610">
            <v>9530</v>
          </cell>
          <cell r="AK610">
            <v>9530</v>
          </cell>
          <cell r="AL610" t="str">
            <v>0,0046(0,0023;0,0023)</v>
          </cell>
          <cell r="AM610" t="str">
            <v>dạng cuộn 1,000m</v>
          </cell>
          <cell r="AN610">
            <v>250</v>
          </cell>
          <cell r="AO610" t="str">
            <v>Công ty Năm Thái</v>
          </cell>
          <cell r="AP610" t="str">
            <v>2001178-1</v>
          </cell>
          <cell r="AQ610">
            <v>0</v>
          </cell>
          <cell r="AR610">
            <v>0</v>
          </cell>
          <cell r="AS610">
            <v>0</v>
          </cell>
          <cell r="AT610">
            <v>0</v>
          </cell>
          <cell r="AU610">
            <v>0</v>
          </cell>
          <cell r="AV610">
            <v>0</v>
          </cell>
          <cell r="AW610">
            <v>0</v>
          </cell>
          <cell r="AX610">
            <v>0</v>
          </cell>
          <cell r="AY610" t="str">
            <v>495x870</v>
          </cell>
          <cell r="AZ610" t="str">
            <v>R1</v>
          </cell>
          <cell r="BA610">
            <v>0</v>
          </cell>
          <cell r="BB610">
            <v>0</v>
          </cell>
          <cell r="BC610">
            <v>0</v>
          </cell>
          <cell r="BD610">
            <v>0</v>
          </cell>
        </row>
        <row r="611">
          <cell r="A611" t="str">
            <v>sp 1132</v>
          </cell>
          <cell r="B611" t="str">
            <v>Cuộn thuốc thú y embrio stimulan 100gr Năm Thái</v>
          </cell>
          <cell r="C611">
            <v>7.17</v>
          </cell>
          <cell r="D611">
            <v>3</v>
          </cell>
          <cell r="E611" t="str">
            <v>OPP 30x770</v>
          </cell>
          <cell r="F611">
            <v>1</v>
          </cell>
          <cell r="G611" t="str">
            <v>OPP</v>
          </cell>
          <cell r="H611">
            <v>0</v>
          </cell>
          <cell r="I611">
            <v>0</v>
          </cell>
          <cell r="J611">
            <v>1.85</v>
          </cell>
          <cell r="K611">
            <v>0</v>
          </cell>
          <cell r="L611">
            <v>4.17</v>
          </cell>
          <cell r="M611">
            <v>0</v>
          </cell>
          <cell r="N611">
            <v>0</v>
          </cell>
          <cell r="O611">
            <v>1.1499999999999999</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t="str">
            <v>MPET 12x770</v>
          </cell>
          <cell r="AF611" t="str">
            <v>PE 35x770</v>
          </cell>
          <cell r="AG611">
            <v>5.8885750000000014E-2</v>
          </cell>
          <cell r="AH611">
            <v>1.1653333333333333</v>
          </cell>
          <cell r="AI611">
            <v>1.0579999999999998</v>
          </cell>
          <cell r="AJ611">
            <v>9530</v>
          </cell>
          <cell r="AK611">
            <v>9530</v>
          </cell>
          <cell r="AL611" t="str">
            <v>0,0046(0,0023;0,0023)</v>
          </cell>
          <cell r="AM611" t="str">
            <v>dạng cuộn 1,000m</v>
          </cell>
          <cell r="AN611">
            <v>250</v>
          </cell>
          <cell r="AO611" t="str">
            <v>Công ty Năm Thái</v>
          </cell>
          <cell r="AP611" t="str">
            <v>2001179-1</v>
          </cell>
          <cell r="AQ611">
            <v>0</v>
          </cell>
          <cell r="AR611">
            <v>0</v>
          </cell>
          <cell r="AS611">
            <v>0</v>
          </cell>
          <cell r="AT611">
            <v>0</v>
          </cell>
          <cell r="AU611">
            <v>0</v>
          </cell>
          <cell r="AV611">
            <v>0</v>
          </cell>
          <cell r="AW611">
            <v>0</v>
          </cell>
          <cell r="AX611">
            <v>0</v>
          </cell>
          <cell r="AY611" t="str">
            <v>495x870</v>
          </cell>
          <cell r="AZ611" t="str">
            <v>R1</v>
          </cell>
          <cell r="BA611">
            <v>0</v>
          </cell>
          <cell r="BB611">
            <v>0</v>
          </cell>
          <cell r="BC611">
            <v>0</v>
          </cell>
          <cell r="BD611">
            <v>0</v>
          </cell>
        </row>
        <row r="612">
          <cell r="A612" t="str">
            <v>sp 1133</v>
          </cell>
          <cell r="B612" t="str">
            <v>Cuộn thuốc thú y giải độc gan thận  lách - TA 100gr Năm Thái</v>
          </cell>
          <cell r="C612">
            <v>0.01</v>
          </cell>
          <cell r="D612">
            <v>3</v>
          </cell>
          <cell r="E612" t="str">
            <v>OPP 30x770</v>
          </cell>
          <cell r="F612">
            <v>1</v>
          </cell>
          <cell r="G612" t="str">
            <v>OPP</v>
          </cell>
          <cell r="H612">
            <v>0</v>
          </cell>
          <cell r="I612">
            <v>0</v>
          </cell>
          <cell r="J612">
            <v>0</v>
          </cell>
          <cell r="K612">
            <v>0</v>
          </cell>
          <cell r="L612">
            <v>0</v>
          </cell>
          <cell r="M612">
            <v>0</v>
          </cell>
          <cell r="N612">
            <v>0</v>
          </cell>
          <cell r="O612">
            <v>0.01</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t="str">
            <v>MPET 12x770</v>
          </cell>
          <cell r="AF612" t="str">
            <v>PE 35x770</v>
          </cell>
          <cell r="AG612">
            <v>5.8885750000000014E-2</v>
          </cell>
          <cell r="AH612">
            <v>1.1653333333333333</v>
          </cell>
          <cell r="AI612">
            <v>1.1653333333333333</v>
          </cell>
          <cell r="AJ612">
            <v>9530</v>
          </cell>
          <cell r="AK612">
            <v>9530</v>
          </cell>
          <cell r="AL612" t="str">
            <v>0,0046(0,0023;0,0023)</v>
          </cell>
          <cell r="AM612" t="str">
            <v>dạng cuộn 1,000m</v>
          </cell>
          <cell r="AN612">
            <v>250</v>
          </cell>
          <cell r="AO612" t="str">
            <v>Công ty Năm Thái</v>
          </cell>
          <cell r="AP612" t="str">
            <v>2001180-1</v>
          </cell>
          <cell r="AQ612">
            <v>0</v>
          </cell>
          <cell r="AR612">
            <v>0</v>
          </cell>
          <cell r="AS612">
            <v>0</v>
          </cell>
          <cell r="AT612">
            <v>0</v>
          </cell>
          <cell r="AU612">
            <v>0</v>
          </cell>
          <cell r="AV612">
            <v>0</v>
          </cell>
          <cell r="AW612">
            <v>0</v>
          </cell>
          <cell r="AX612">
            <v>0</v>
          </cell>
          <cell r="AY612" t="str">
            <v>495x870</v>
          </cell>
          <cell r="AZ612" t="str">
            <v>R1</v>
          </cell>
          <cell r="BA612">
            <v>0</v>
          </cell>
          <cell r="BB612" t="str">
            <v>giấy cartoon</v>
          </cell>
          <cell r="BC612">
            <v>0</v>
          </cell>
          <cell r="BD612">
            <v>0</v>
          </cell>
        </row>
        <row r="613">
          <cell r="A613" t="str">
            <v>sp 1134</v>
          </cell>
          <cell r="B613" t="str">
            <v>Cuộn thuốc thú y super vitamin S 100g Năm Thái</v>
          </cell>
          <cell r="C613">
            <v>10.259999999999998</v>
          </cell>
          <cell r="D613">
            <v>3</v>
          </cell>
          <cell r="E613" t="str">
            <v>OPP 30x770</v>
          </cell>
          <cell r="F613">
            <v>1</v>
          </cell>
          <cell r="G613" t="str">
            <v>OPP</v>
          </cell>
          <cell r="H613">
            <v>0</v>
          </cell>
          <cell r="I613">
            <v>0</v>
          </cell>
          <cell r="J613">
            <v>4.5599999999999996</v>
          </cell>
          <cell r="K613">
            <v>0</v>
          </cell>
          <cell r="L613">
            <v>5.57</v>
          </cell>
          <cell r="M613">
            <v>0</v>
          </cell>
          <cell r="N613">
            <v>0</v>
          </cell>
          <cell r="O613">
            <v>0.01</v>
          </cell>
          <cell r="P613">
            <v>0</v>
          </cell>
          <cell r="Q613">
            <v>0.12</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t="str">
            <v>MPET 12x770</v>
          </cell>
          <cell r="AF613" t="str">
            <v>PE 35x770</v>
          </cell>
          <cell r="AG613">
            <v>5.8885750000000014E-2</v>
          </cell>
          <cell r="AH613">
            <v>1.1653333333333333</v>
          </cell>
          <cell r="AI613">
            <v>1.1653333333333333</v>
          </cell>
          <cell r="AJ613">
            <v>9530</v>
          </cell>
          <cell r="AK613">
            <v>9530</v>
          </cell>
          <cell r="AL613" t="str">
            <v>0,0046(0,0023;0,0023)</v>
          </cell>
          <cell r="AM613" t="str">
            <v>dạng cuộn 1,000m</v>
          </cell>
          <cell r="AN613">
            <v>250</v>
          </cell>
          <cell r="AO613" t="str">
            <v>Công ty Năm Thái</v>
          </cell>
          <cell r="AP613" t="str">
            <v>2001181-1</v>
          </cell>
          <cell r="AQ613">
            <v>0</v>
          </cell>
          <cell r="AR613">
            <v>0</v>
          </cell>
          <cell r="AS613">
            <v>0</v>
          </cell>
          <cell r="AT613">
            <v>0</v>
          </cell>
          <cell r="AU613">
            <v>0</v>
          </cell>
          <cell r="AV613">
            <v>0</v>
          </cell>
          <cell r="AW613">
            <v>0</v>
          </cell>
          <cell r="AX613">
            <v>0</v>
          </cell>
          <cell r="AY613" t="str">
            <v>495x870</v>
          </cell>
          <cell r="AZ613" t="str">
            <v>R1</v>
          </cell>
          <cell r="BA613">
            <v>0</v>
          </cell>
          <cell r="BB613" t="str">
            <v>giấy cartoon</v>
          </cell>
          <cell r="BC613">
            <v>0</v>
          </cell>
          <cell r="BD613">
            <v>0</v>
          </cell>
        </row>
        <row r="614">
          <cell r="A614" t="str">
            <v>sp 1135</v>
          </cell>
          <cell r="B614" t="str">
            <v>Cuộn thuốc thú y super vitamin 100gr Năm Thái</v>
          </cell>
          <cell r="C614">
            <v>0.1</v>
          </cell>
          <cell r="D614">
            <v>3</v>
          </cell>
          <cell r="E614" t="str">
            <v>OPP 30x770</v>
          </cell>
          <cell r="F614">
            <v>1</v>
          </cell>
          <cell r="G614" t="str">
            <v>OPP</v>
          </cell>
          <cell r="H614">
            <v>0</v>
          </cell>
          <cell r="I614">
            <v>0</v>
          </cell>
          <cell r="J614">
            <v>0</v>
          </cell>
          <cell r="K614">
            <v>0</v>
          </cell>
          <cell r="L614">
            <v>0</v>
          </cell>
          <cell r="M614">
            <v>0</v>
          </cell>
          <cell r="N614">
            <v>0</v>
          </cell>
          <cell r="O614">
            <v>0.1</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t="str">
            <v>MPET 12x770</v>
          </cell>
          <cell r="AF614" t="str">
            <v>PE 35x770</v>
          </cell>
          <cell r="AG614">
            <v>5.8885750000000014E-2</v>
          </cell>
          <cell r="AH614">
            <v>1.1653333333333333</v>
          </cell>
          <cell r="AI614">
            <v>1.1653333333333333</v>
          </cell>
          <cell r="AJ614">
            <v>9530</v>
          </cell>
          <cell r="AK614">
            <v>9530</v>
          </cell>
          <cell r="AL614" t="str">
            <v>0,0046(0,0023;0,0023)</v>
          </cell>
          <cell r="AM614" t="str">
            <v>dạng cuộn 1,000m</v>
          </cell>
          <cell r="AN614">
            <v>250</v>
          </cell>
          <cell r="AO614" t="str">
            <v>Công ty Năm Thái</v>
          </cell>
          <cell r="AP614" t="str">
            <v>2001182-1</v>
          </cell>
          <cell r="AQ614">
            <v>0</v>
          </cell>
          <cell r="AR614">
            <v>0</v>
          </cell>
          <cell r="AS614">
            <v>0</v>
          </cell>
          <cell r="AT614">
            <v>0</v>
          </cell>
          <cell r="AU614">
            <v>0</v>
          </cell>
          <cell r="AV614">
            <v>0</v>
          </cell>
          <cell r="AW614">
            <v>0</v>
          </cell>
          <cell r="AX614">
            <v>0</v>
          </cell>
          <cell r="AY614" t="str">
            <v>495x870</v>
          </cell>
          <cell r="AZ614" t="str">
            <v>R1</v>
          </cell>
          <cell r="BA614">
            <v>0</v>
          </cell>
          <cell r="BB614">
            <v>0</v>
          </cell>
          <cell r="BC614">
            <v>0</v>
          </cell>
          <cell r="BD614">
            <v>0</v>
          </cell>
        </row>
        <row r="615">
          <cell r="A615" t="str">
            <v>sp 1136</v>
          </cell>
          <cell r="B615" t="str">
            <v>Túi khăn số mã vạch 082 Dr papie-Starmed</v>
          </cell>
          <cell r="C615">
            <v>6.9899999999999993</v>
          </cell>
          <cell r="D615">
            <v>4</v>
          </cell>
          <cell r="E615" t="str">
            <v>OPP mờ 20x800</v>
          </cell>
          <cell r="F615">
            <v>4</v>
          </cell>
          <cell r="G615" t="str">
            <v>OPP</v>
          </cell>
          <cell r="H615">
            <v>0.5</v>
          </cell>
          <cell r="I615">
            <v>5.6</v>
          </cell>
          <cell r="J615">
            <v>0</v>
          </cell>
          <cell r="K615">
            <v>0</v>
          </cell>
          <cell r="L615">
            <v>0</v>
          </cell>
          <cell r="M615">
            <v>0</v>
          </cell>
          <cell r="N615">
            <v>0</v>
          </cell>
          <cell r="O615">
            <v>0</v>
          </cell>
          <cell r="P615">
            <v>0.01</v>
          </cell>
          <cell r="Q615">
            <v>0.87</v>
          </cell>
          <cell r="R615">
            <v>0.01</v>
          </cell>
          <cell r="S615">
            <v>0</v>
          </cell>
          <cell r="T615">
            <v>0</v>
          </cell>
          <cell r="U615">
            <v>0</v>
          </cell>
          <cell r="V615">
            <v>0</v>
          </cell>
          <cell r="W615">
            <v>0</v>
          </cell>
          <cell r="X615">
            <v>0</v>
          </cell>
          <cell r="Y615">
            <v>0</v>
          </cell>
          <cell r="Z615">
            <v>0</v>
          </cell>
          <cell r="AA615">
            <v>0</v>
          </cell>
          <cell r="AB615">
            <v>0</v>
          </cell>
          <cell r="AC615">
            <v>0</v>
          </cell>
          <cell r="AD615">
            <v>0</v>
          </cell>
          <cell r="AE615" t="str">
            <v>Al 6x800</v>
          </cell>
          <cell r="AF615" t="str">
            <v>PE 75x810</v>
          </cell>
          <cell r="AG615">
            <v>8.3068000000000017E-2</v>
          </cell>
          <cell r="AH615">
            <v>1.2113333333333334</v>
          </cell>
          <cell r="AI615">
            <v>1.2113333333333334</v>
          </cell>
          <cell r="AJ615">
            <v>9530</v>
          </cell>
          <cell r="AK615">
            <v>9530</v>
          </cell>
          <cell r="AL615" t="str">
            <v>0,0046(0,0023;0,0023)</v>
          </cell>
          <cell r="AM615" t="str">
            <v>túi hàn lưng</v>
          </cell>
          <cell r="AN615">
            <v>146</v>
          </cell>
          <cell r="AO615" t="str">
            <v>Công ty CP Tập Đoàn Dược phẩm Starmed</v>
          </cell>
          <cell r="AP615" t="str">
            <v>2001258-1</v>
          </cell>
          <cell r="AQ615" t="str">
            <v>2001258-2</v>
          </cell>
          <cell r="AR615" t="str">
            <v>2001258-3</v>
          </cell>
          <cell r="AS615" t="str">
            <v>2001258-4</v>
          </cell>
          <cell r="AT615" t="str">
            <v>2003728-2</v>
          </cell>
          <cell r="AU615" t="str">
            <v>20071067-0</v>
          </cell>
          <cell r="AV615">
            <v>0</v>
          </cell>
          <cell r="AW615">
            <v>0</v>
          </cell>
          <cell r="AX615">
            <v>0</v>
          </cell>
          <cell r="AY615" t="str">
            <v>438x870</v>
          </cell>
          <cell r="AZ615" t="str">
            <v>R1</v>
          </cell>
          <cell r="BA615">
            <v>0</v>
          </cell>
          <cell r="BB615">
            <v>0</v>
          </cell>
          <cell r="BC615">
            <v>0</v>
          </cell>
          <cell r="BD615">
            <v>0</v>
          </cell>
        </row>
        <row r="616">
          <cell r="A616" t="str">
            <v>sp 1137</v>
          </cell>
          <cell r="B616" t="str">
            <v>Túi khăn số mã vạch 099 Dr papie-Starmed</v>
          </cell>
          <cell r="C616">
            <v>9.35</v>
          </cell>
          <cell r="D616">
            <v>4</v>
          </cell>
          <cell r="E616" t="str">
            <v>OPP mờ 20x800</v>
          </cell>
          <cell r="F616">
            <v>4</v>
          </cell>
          <cell r="G616" t="str">
            <v>OPP</v>
          </cell>
          <cell r="H616">
            <v>0.6</v>
          </cell>
          <cell r="I616">
            <v>8.35</v>
          </cell>
          <cell r="J616">
            <v>0</v>
          </cell>
          <cell r="K616">
            <v>0</v>
          </cell>
          <cell r="L616">
            <v>0</v>
          </cell>
          <cell r="M616">
            <v>0</v>
          </cell>
          <cell r="N616">
            <v>0</v>
          </cell>
          <cell r="O616">
            <v>0</v>
          </cell>
          <cell r="P616">
            <v>0.3</v>
          </cell>
          <cell r="Q616">
            <v>0</v>
          </cell>
          <cell r="R616">
            <v>0.1</v>
          </cell>
          <cell r="S616">
            <v>0</v>
          </cell>
          <cell r="T616">
            <v>0</v>
          </cell>
          <cell r="U616">
            <v>0</v>
          </cell>
          <cell r="V616">
            <v>0</v>
          </cell>
          <cell r="W616">
            <v>0</v>
          </cell>
          <cell r="X616">
            <v>0</v>
          </cell>
          <cell r="Y616">
            <v>0</v>
          </cell>
          <cell r="Z616">
            <v>0</v>
          </cell>
          <cell r="AA616">
            <v>0</v>
          </cell>
          <cell r="AB616">
            <v>0</v>
          </cell>
          <cell r="AC616">
            <v>0</v>
          </cell>
          <cell r="AD616">
            <v>0</v>
          </cell>
          <cell r="AE616" t="str">
            <v>Al 6x800</v>
          </cell>
          <cell r="AF616" t="str">
            <v>PE 75x810</v>
          </cell>
          <cell r="AG616">
            <v>8.3068000000000017E-2</v>
          </cell>
          <cell r="AH616">
            <v>1.2113333333333334</v>
          </cell>
          <cell r="AI616">
            <v>1.2113333333333334</v>
          </cell>
          <cell r="AJ616">
            <v>9530</v>
          </cell>
          <cell r="AK616">
            <v>9530</v>
          </cell>
          <cell r="AL616" t="str">
            <v>0,0046(0,0023;0,0023)</v>
          </cell>
          <cell r="AM616" t="str">
            <v>túi hàn lưng</v>
          </cell>
          <cell r="AN616">
            <v>146</v>
          </cell>
          <cell r="AO616" t="str">
            <v>Công ty CP Tập Đoàn Dược phẩm Starmed</v>
          </cell>
          <cell r="AP616" t="str">
            <v>2001259-1</v>
          </cell>
          <cell r="AQ616" t="str">
            <v>2001259-2</v>
          </cell>
          <cell r="AR616" t="str">
            <v>2001259-3</v>
          </cell>
          <cell r="AS616" t="str">
            <v>2001259-4</v>
          </cell>
          <cell r="AT616">
            <v>0</v>
          </cell>
          <cell r="AU616">
            <v>0</v>
          </cell>
          <cell r="AV616">
            <v>0</v>
          </cell>
          <cell r="AW616">
            <v>0</v>
          </cell>
          <cell r="AX616">
            <v>0</v>
          </cell>
          <cell r="AY616" t="str">
            <v>438x870</v>
          </cell>
          <cell r="AZ616" t="str">
            <v>R2</v>
          </cell>
          <cell r="BA616">
            <v>0</v>
          </cell>
          <cell r="BB616">
            <v>0</v>
          </cell>
          <cell r="BC616">
            <v>0</v>
          </cell>
          <cell r="BD616" t="str">
            <v>in chung bộ 1136 trừ cây đen</v>
          </cell>
        </row>
        <row r="617">
          <cell r="A617" t="str">
            <v>sp 1138</v>
          </cell>
          <cell r="B617">
            <v>0</v>
          </cell>
          <cell r="C617">
            <v>0</v>
          </cell>
          <cell r="D617">
            <v>0</v>
          </cell>
          <cell r="E617">
            <v>0</v>
          </cell>
          <cell r="F617">
            <v>0</v>
          </cell>
          <cell r="G617" t="str">
            <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t="str">
            <v>X108222-1</v>
          </cell>
          <cell r="AQ617">
            <v>0</v>
          </cell>
          <cell r="AR617">
            <v>0</v>
          </cell>
          <cell r="AS617">
            <v>0</v>
          </cell>
          <cell r="AT617">
            <v>0</v>
          </cell>
          <cell r="AU617">
            <v>0</v>
          </cell>
          <cell r="AV617">
            <v>0</v>
          </cell>
          <cell r="AW617">
            <v>0</v>
          </cell>
          <cell r="AX617">
            <v>0</v>
          </cell>
          <cell r="AY617" t="str">
            <v>1100x498</v>
          </cell>
          <cell r="AZ617" t="str">
            <v>B2</v>
          </cell>
          <cell r="BA617">
            <v>0</v>
          </cell>
          <cell r="BB617">
            <v>0</v>
          </cell>
          <cell r="BC617">
            <v>0</v>
          </cell>
          <cell r="BD617">
            <v>0</v>
          </cell>
        </row>
        <row r="618">
          <cell r="A618" t="str">
            <v>sp 1139</v>
          </cell>
          <cell r="B618" t="str">
            <v>Cuộn màng PE xingfa ba màu cơ điện</v>
          </cell>
          <cell r="C618">
            <v>2.1589999999999998</v>
          </cell>
          <cell r="D618">
            <v>1</v>
          </cell>
          <cell r="E618" t="str">
            <v>PE đt 60x1235</v>
          </cell>
          <cell r="F618">
            <v>3</v>
          </cell>
          <cell r="G618" t="str">
            <v xml:space="preserve">PE </v>
          </cell>
          <cell r="H618">
            <v>0.307</v>
          </cell>
          <cell r="I618">
            <v>0</v>
          </cell>
          <cell r="J618">
            <v>0.32800000000000001</v>
          </cell>
          <cell r="K618">
            <v>0.01</v>
          </cell>
          <cell r="L618">
            <v>0</v>
          </cell>
          <cell r="M618">
            <v>0.41</v>
          </cell>
          <cell r="N618">
            <v>0</v>
          </cell>
          <cell r="O618">
            <v>0</v>
          </cell>
          <cell r="P618">
            <v>0.93</v>
          </cell>
          <cell r="Q618">
            <v>0.16400000000000001</v>
          </cell>
          <cell r="R618">
            <v>0.01</v>
          </cell>
          <cell r="S618">
            <v>0</v>
          </cell>
          <cell r="T618">
            <v>0</v>
          </cell>
          <cell r="U618">
            <v>0</v>
          </cell>
          <cell r="V618">
            <v>0</v>
          </cell>
          <cell r="W618">
            <v>0</v>
          </cell>
          <cell r="X618">
            <v>0</v>
          </cell>
          <cell r="Y618">
            <v>0</v>
          </cell>
          <cell r="Z618">
            <v>0</v>
          </cell>
          <cell r="AA618">
            <v>0</v>
          </cell>
          <cell r="AB618">
            <v>0</v>
          </cell>
          <cell r="AC618">
            <v>0</v>
          </cell>
          <cell r="AD618">
            <v>0</v>
          </cell>
          <cell r="AE618" t="str">
            <v>PE 25x1235</v>
          </cell>
          <cell r="AF618">
            <v>0</v>
          </cell>
          <cell r="AG618">
            <v>0.101177375</v>
          </cell>
          <cell r="AH618">
            <v>1.6333333333333333</v>
          </cell>
          <cell r="AI618">
            <v>0</v>
          </cell>
          <cell r="AJ618">
            <v>9530</v>
          </cell>
          <cell r="AK618">
            <v>0</v>
          </cell>
          <cell r="AL618">
            <v>2E-3</v>
          </cell>
          <cell r="AM618" t="str">
            <v>dạng cuộn 1,500m</v>
          </cell>
          <cell r="AN618">
            <v>1250</v>
          </cell>
          <cell r="AO618" t="str">
            <v>Công ty CP Cơ điện và Phát triển Hà Nội</v>
          </cell>
          <cell r="AP618" t="str">
            <v>1902798-1</v>
          </cell>
          <cell r="AQ618" t="str">
            <v>1902798-2</v>
          </cell>
          <cell r="AR618" t="str">
            <v>1902798-3</v>
          </cell>
          <cell r="AS618">
            <v>0</v>
          </cell>
          <cell r="AT618">
            <v>0</v>
          </cell>
          <cell r="AU618">
            <v>0</v>
          </cell>
          <cell r="AV618">
            <v>0</v>
          </cell>
          <cell r="AW618">
            <v>0</v>
          </cell>
          <cell r="AX618">
            <v>0</v>
          </cell>
          <cell r="AY618" t="str">
            <v>906x1300</v>
          </cell>
          <cell r="AZ618">
            <v>0</v>
          </cell>
          <cell r="BA618" t="str">
            <v>01c</v>
          </cell>
          <cell r="BB618" t="str">
            <v>giấy cartoon</v>
          </cell>
          <cell r="BC618">
            <v>0</v>
          </cell>
          <cell r="BD618">
            <v>0</v>
          </cell>
        </row>
        <row r="619">
          <cell r="A619" t="str">
            <v>sp 1140</v>
          </cell>
          <cell r="B619" t="str">
            <v>Túi bánh kẹp kem sữa arita 270gr Hữu Nghị</v>
          </cell>
          <cell r="C619">
            <v>12.139999999999999</v>
          </cell>
          <cell r="D619">
            <v>2</v>
          </cell>
          <cell r="E619" t="str">
            <v>OPP 30x940</v>
          </cell>
          <cell r="F619">
            <v>6</v>
          </cell>
          <cell r="G619" t="str">
            <v>OPP</v>
          </cell>
          <cell r="H619">
            <v>0.1</v>
          </cell>
          <cell r="I619">
            <v>5</v>
          </cell>
          <cell r="J619">
            <v>0</v>
          </cell>
          <cell r="K619">
            <v>1.2</v>
          </cell>
          <cell r="L619">
            <v>0.2</v>
          </cell>
          <cell r="M619">
            <v>2.63</v>
          </cell>
          <cell r="N619">
            <v>0</v>
          </cell>
          <cell r="O619">
            <v>0</v>
          </cell>
          <cell r="P619">
            <v>1</v>
          </cell>
          <cell r="Q619">
            <v>2</v>
          </cell>
          <cell r="R619">
            <v>0</v>
          </cell>
          <cell r="S619">
            <v>0</v>
          </cell>
          <cell r="T619">
            <v>0.01</v>
          </cell>
          <cell r="U619">
            <v>0</v>
          </cell>
          <cell r="V619">
            <v>0</v>
          </cell>
          <cell r="W619">
            <v>0</v>
          </cell>
          <cell r="X619">
            <v>0</v>
          </cell>
          <cell r="Y619">
            <v>0</v>
          </cell>
          <cell r="Z619">
            <v>0</v>
          </cell>
          <cell r="AA619">
            <v>0</v>
          </cell>
          <cell r="AB619">
            <v>0</v>
          </cell>
          <cell r="AC619">
            <v>0</v>
          </cell>
          <cell r="AD619">
            <v>0</v>
          </cell>
          <cell r="AE619" t="str">
            <v>CPP 25x940</v>
          </cell>
          <cell r="AF619">
            <v>0</v>
          </cell>
          <cell r="AG619">
            <v>4.7046999999999999E-2</v>
          </cell>
          <cell r="AH619">
            <v>1.24</v>
          </cell>
          <cell r="AI619">
            <v>0</v>
          </cell>
          <cell r="AJ619">
            <v>9530</v>
          </cell>
          <cell r="AK619">
            <v>0</v>
          </cell>
          <cell r="AL619">
            <v>2E-3</v>
          </cell>
          <cell r="AM619" t="str">
            <v>túi hàn lưng</v>
          </cell>
          <cell r="AN619">
            <v>320</v>
          </cell>
          <cell r="AO619" t="str">
            <v>Công ty CP Thực Phẩm Hữu Nghị</v>
          </cell>
          <cell r="AP619" t="str">
            <v>X108061F1-1</v>
          </cell>
          <cell r="AQ619" t="str">
            <v>X108061F1-2</v>
          </cell>
          <cell r="AR619" t="str">
            <v>X108061F1-3</v>
          </cell>
          <cell r="AS619" t="str">
            <v>X108061F1-4</v>
          </cell>
          <cell r="AT619" t="str">
            <v>X108061F1-5</v>
          </cell>
          <cell r="AU619" t="str">
            <v>X108061F1-6</v>
          </cell>
          <cell r="AV619">
            <v>0</v>
          </cell>
          <cell r="AW619">
            <v>0</v>
          </cell>
          <cell r="AX619">
            <v>0</v>
          </cell>
          <cell r="AY619" t="str">
            <v>1100x640</v>
          </cell>
          <cell r="AZ619" t="str">
            <v>B2</v>
          </cell>
          <cell r="BA619">
            <v>0</v>
          </cell>
          <cell r="BB619">
            <v>0</v>
          </cell>
          <cell r="BC619">
            <v>0</v>
          </cell>
          <cell r="BD619">
            <v>0</v>
          </cell>
        </row>
        <row r="620">
          <cell r="A620" t="str">
            <v>sp 1141</v>
          </cell>
          <cell r="B620" t="str">
            <v>Túi thuốc thú y hai màu 1kg Năm Thái</v>
          </cell>
          <cell r="C620">
            <v>2.17</v>
          </cell>
          <cell r="D620">
            <v>1</v>
          </cell>
          <cell r="E620" t="str">
            <v>OPP 30x800</v>
          </cell>
          <cell r="F620">
            <v>2</v>
          </cell>
          <cell r="G620" t="str">
            <v>OPP</v>
          </cell>
          <cell r="H620">
            <v>0</v>
          </cell>
          <cell r="I620">
            <v>1.65</v>
          </cell>
          <cell r="J620">
            <v>0</v>
          </cell>
          <cell r="K620">
            <v>0</v>
          </cell>
          <cell r="L620">
            <v>0.51</v>
          </cell>
          <cell r="M620">
            <v>0</v>
          </cell>
          <cell r="N620">
            <v>0</v>
          </cell>
          <cell r="O620">
            <v>0.01</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t="str">
            <v>Al 6x800</v>
          </cell>
          <cell r="AF620" t="str">
            <v>PE120x810</v>
          </cell>
          <cell r="AG620">
            <v>5.8885750000000014E-2</v>
          </cell>
          <cell r="AH620">
            <v>1.58</v>
          </cell>
          <cell r="AI620">
            <v>1.58</v>
          </cell>
          <cell r="AJ620">
            <v>9530</v>
          </cell>
          <cell r="AK620">
            <v>9530</v>
          </cell>
          <cell r="AL620" t="str">
            <v>0,006(0,003;0,003)</v>
          </cell>
          <cell r="AM620" t="str">
            <v>túi ba biên đáy đứng</v>
          </cell>
          <cell r="AN620">
            <v>240</v>
          </cell>
          <cell r="AO620" t="str">
            <v>Công ty Năm Thái</v>
          </cell>
          <cell r="AP620" t="str">
            <v>F125351-1</v>
          </cell>
          <cell r="AQ620" t="str">
            <v>F125351-2</v>
          </cell>
          <cell r="AR620">
            <v>0</v>
          </cell>
          <cell r="AS620">
            <v>0</v>
          </cell>
          <cell r="AT620">
            <v>0</v>
          </cell>
          <cell r="AU620">
            <v>0</v>
          </cell>
          <cell r="AV620">
            <v>0</v>
          </cell>
          <cell r="AW620">
            <v>0</v>
          </cell>
          <cell r="AX620">
            <v>0</v>
          </cell>
          <cell r="AY620" t="str">
            <v>870x480</v>
          </cell>
          <cell r="AZ620" t="str">
            <v>R2</v>
          </cell>
          <cell r="BA620">
            <v>0</v>
          </cell>
          <cell r="BB620">
            <v>0</v>
          </cell>
          <cell r="BC620">
            <v>0</v>
          </cell>
          <cell r="BD620">
            <v>0</v>
          </cell>
        </row>
        <row r="621">
          <cell r="A621" t="str">
            <v>sp 1142</v>
          </cell>
          <cell r="B621" t="str">
            <v>Cuộn thuốc thú y Tydox TA 100gr Năm Thái</v>
          </cell>
          <cell r="C621">
            <v>0.157</v>
          </cell>
          <cell r="D621">
            <v>3</v>
          </cell>
          <cell r="E621" t="str">
            <v>OPP 30x770</v>
          </cell>
          <cell r="F621">
            <v>1</v>
          </cell>
          <cell r="G621" t="str">
            <v>OPP</v>
          </cell>
          <cell r="H621">
            <v>0</v>
          </cell>
          <cell r="I621">
            <v>0</v>
          </cell>
          <cell r="J621">
            <v>0</v>
          </cell>
          <cell r="K621">
            <v>0</v>
          </cell>
          <cell r="L621">
            <v>0</v>
          </cell>
          <cell r="M621">
            <v>0</v>
          </cell>
          <cell r="N621">
            <v>0</v>
          </cell>
          <cell r="O621">
            <v>0.157</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t="str">
            <v>MPET 12x770</v>
          </cell>
          <cell r="AF621" t="str">
            <v>PE 35x770</v>
          </cell>
          <cell r="AG621">
            <v>5.8885750000000014E-2</v>
          </cell>
          <cell r="AH621">
            <v>1.1653333333333333</v>
          </cell>
          <cell r="AI621">
            <v>1.1653333333333333</v>
          </cell>
          <cell r="AJ621">
            <v>9530</v>
          </cell>
          <cell r="AK621">
            <v>9530</v>
          </cell>
          <cell r="AL621" t="str">
            <v>0,0046(0,0023;0,0023)</v>
          </cell>
          <cell r="AM621" t="str">
            <v>dạng cuộn 1,000m</v>
          </cell>
          <cell r="AN621">
            <v>250</v>
          </cell>
          <cell r="AO621" t="str">
            <v>Công ty Năm Thái</v>
          </cell>
          <cell r="AP621" t="str">
            <v>2002252-1</v>
          </cell>
          <cell r="AQ621">
            <v>0</v>
          </cell>
          <cell r="AR621">
            <v>0</v>
          </cell>
          <cell r="AS621">
            <v>0</v>
          </cell>
          <cell r="AT621">
            <v>0</v>
          </cell>
          <cell r="AU621">
            <v>0</v>
          </cell>
          <cell r="AV621">
            <v>0</v>
          </cell>
          <cell r="AW621">
            <v>0</v>
          </cell>
          <cell r="AX621">
            <v>0</v>
          </cell>
          <cell r="AY621" t="str">
            <v>495x870</v>
          </cell>
          <cell r="AZ621" t="str">
            <v>R2</v>
          </cell>
          <cell r="BA621">
            <v>0</v>
          </cell>
          <cell r="BB621">
            <v>0</v>
          </cell>
          <cell r="BC621">
            <v>0</v>
          </cell>
          <cell r="BD621">
            <v>0</v>
          </cell>
        </row>
        <row r="622">
          <cell r="A622" t="str">
            <v>sp 1143</v>
          </cell>
          <cell r="B622" t="str">
            <v>Cuộn thuốc thú y Hepaton 100gr Năm Thái</v>
          </cell>
          <cell r="C622">
            <v>0.44</v>
          </cell>
          <cell r="D622">
            <v>3</v>
          </cell>
          <cell r="E622" t="str">
            <v>OPP 30x770</v>
          </cell>
          <cell r="F622">
            <v>1</v>
          </cell>
          <cell r="G622" t="str">
            <v>OPP</v>
          </cell>
          <cell r="H622">
            <v>0</v>
          </cell>
          <cell r="I622">
            <v>0</v>
          </cell>
          <cell r="J622">
            <v>0</v>
          </cell>
          <cell r="K622">
            <v>0</v>
          </cell>
          <cell r="L622">
            <v>0</v>
          </cell>
          <cell r="M622">
            <v>0</v>
          </cell>
          <cell r="N622">
            <v>0</v>
          </cell>
          <cell r="O622">
            <v>0.44</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t="str">
            <v>MPET 12x770</v>
          </cell>
          <cell r="AF622" t="str">
            <v>PE 35x770</v>
          </cell>
          <cell r="AG622">
            <v>5.8885750000000014E-2</v>
          </cell>
          <cell r="AH622">
            <v>1.1653333333333333</v>
          </cell>
          <cell r="AI622">
            <v>1.1653333333333333</v>
          </cell>
          <cell r="AJ622">
            <v>9530</v>
          </cell>
          <cell r="AK622">
            <v>9530</v>
          </cell>
          <cell r="AL622" t="str">
            <v>0,0046(0,0023;0,0023)</v>
          </cell>
          <cell r="AM622" t="str">
            <v>dạng cuộn 1,000m</v>
          </cell>
          <cell r="AN622">
            <v>250</v>
          </cell>
          <cell r="AO622" t="str">
            <v>Công ty Năm Thái</v>
          </cell>
          <cell r="AP622" t="str">
            <v>2002253-1</v>
          </cell>
          <cell r="AQ622">
            <v>0</v>
          </cell>
          <cell r="AR622">
            <v>0</v>
          </cell>
          <cell r="AS622">
            <v>0</v>
          </cell>
          <cell r="AT622">
            <v>0</v>
          </cell>
          <cell r="AU622">
            <v>0</v>
          </cell>
          <cell r="AV622">
            <v>0</v>
          </cell>
          <cell r="AW622">
            <v>0</v>
          </cell>
          <cell r="AX622">
            <v>0</v>
          </cell>
          <cell r="AY622" t="str">
            <v>495x870</v>
          </cell>
          <cell r="AZ622" t="str">
            <v>R2</v>
          </cell>
          <cell r="BA622">
            <v>0</v>
          </cell>
          <cell r="BB622">
            <v>0</v>
          </cell>
          <cell r="BC622">
            <v>0</v>
          </cell>
          <cell r="BD622">
            <v>0</v>
          </cell>
        </row>
        <row r="623">
          <cell r="A623" t="str">
            <v>sp 1144</v>
          </cell>
          <cell r="B623" t="str">
            <v>Cuộn thuốc thú y CCRD 100gr Năm Thái</v>
          </cell>
          <cell r="C623">
            <v>5.14</v>
          </cell>
          <cell r="D623">
            <v>3</v>
          </cell>
          <cell r="E623" t="str">
            <v>OPP 30x770</v>
          </cell>
          <cell r="F623">
            <v>1</v>
          </cell>
          <cell r="G623" t="str">
            <v>OPP</v>
          </cell>
          <cell r="H623">
            <v>0</v>
          </cell>
          <cell r="I623">
            <v>0</v>
          </cell>
          <cell r="J623">
            <v>1.44</v>
          </cell>
          <cell r="K623">
            <v>0</v>
          </cell>
          <cell r="L623">
            <v>3.6</v>
          </cell>
          <cell r="M623">
            <v>0</v>
          </cell>
          <cell r="N623">
            <v>0</v>
          </cell>
          <cell r="O623">
            <v>0.1</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t="str">
            <v>MPET 12x770</v>
          </cell>
          <cell r="AF623" t="str">
            <v>PE 35x770</v>
          </cell>
          <cell r="AG623">
            <v>5.8885750000000014E-2</v>
          </cell>
          <cell r="AH623">
            <v>1.1653333333333333</v>
          </cell>
          <cell r="AI623">
            <v>1.1653333333333333</v>
          </cell>
          <cell r="AJ623">
            <v>9530</v>
          </cell>
          <cell r="AK623">
            <v>9530</v>
          </cell>
          <cell r="AL623" t="str">
            <v>0,0046(0,0023;0,0023)</v>
          </cell>
          <cell r="AM623" t="str">
            <v>dạng cuộn 1,000m</v>
          </cell>
          <cell r="AN623">
            <v>250</v>
          </cell>
          <cell r="AO623" t="str">
            <v>Công ty Năm Thái</v>
          </cell>
          <cell r="AP623" t="str">
            <v>2002254-1</v>
          </cell>
          <cell r="AQ623">
            <v>0</v>
          </cell>
          <cell r="AR623">
            <v>0</v>
          </cell>
          <cell r="AS623">
            <v>0</v>
          </cell>
          <cell r="AT623">
            <v>0</v>
          </cell>
          <cell r="AU623">
            <v>0</v>
          </cell>
          <cell r="AV623">
            <v>0</v>
          </cell>
          <cell r="AW623">
            <v>0</v>
          </cell>
          <cell r="AX623">
            <v>0</v>
          </cell>
          <cell r="AY623" t="str">
            <v>495x870</v>
          </cell>
          <cell r="AZ623" t="str">
            <v>R2</v>
          </cell>
          <cell r="BA623">
            <v>0</v>
          </cell>
          <cell r="BB623">
            <v>0</v>
          </cell>
          <cell r="BC623">
            <v>0</v>
          </cell>
          <cell r="BD623">
            <v>0</v>
          </cell>
        </row>
        <row r="624">
          <cell r="A624" t="str">
            <v>sp 1145</v>
          </cell>
          <cell r="B624" t="str">
            <v>Cuộn thuốc thú y Tcoryzine 100gr Năm Thái</v>
          </cell>
          <cell r="C624">
            <v>3.5300000000000002</v>
          </cell>
          <cell r="D624">
            <v>3</v>
          </cell>
          <cell r="E624" t="str">
            <v>OPP 30x770</v>
          </cell>
          <cell r="F624">
            <v>1</v>
          </cell>
          <cell r="G624" t="str">
            <v>OPP</v>
          </cell>
          <cell r="H624">
            <v>0</v>
          </cell>
          <cell r="I624">
            <v>0</v>
          </cell>
          <cell r="J624">
            <v>1.57</v>
          </cell>
          <cell r="K624">
            <v>0</v>
          </cell>
          <cell r="L624">
            <v>1.57</v>
          </cell>
          <cell r="M624">
            <v>0</v>
          </cell>
          <cell r="N624">
            <v>0</v>
          </cell>
          <cell r="O624">
            <v>0.39</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t="str">
            <v>MPET 12x770</v>
          </cell>
          <cell r="AF624" t="str">
            <v>PE 35x770</v>
          </cell>
          <cell r="AG624">
            <v>5.8885750000000014E-2</v>
          </cell>
          <cell r="AH624">
            <v>1.1653333333333333</v>
          </cell>
          <cell r="AI624">
            <v>1.1653333333333333</v>
          </cell>
          <cell r="AJ624">
            <v>9530</v>
          </cell>
          <cell r="AK624">
            <v>9530</v>
          </cell>
          <cell r="AL624" t="str">
            <v>0,0046(0,0023;0,0023)</v>
          </cell>
          <cell r="AM624" t="str">
            <v>dạng cuộn 1,000m</v>
          </cell>
          <cell r="AN624">
            <v>250</v>
          </cell>
          <cell r="AO624" t="str">
            <v>Công ty Năm Thái</v>
          </cell>
          <cell r="AP624" t="str">
            <v>2002255-1</v>
          </cell>
          <cell r="AQ624">
            <v>0</v>
          </cell>
          <cell r="AR624">
            <v>0</v>
          </cell>
          <cell r="AS624">
            <v>0</v>
          </cell>
          <cell r="AT624">
            <v>0</v>
          </cell>
          <cell r="AU624">
            <v>0</v>
          </cell>
          <cell r="AV624">
            <v>0</v>
          </cell>
          <cell r="AW624">
            <v>0</v>
          </cell>
          <cell r="AX624">
            <v>0</v>
          </cell>
          <cell r="AY624" t="str">
            <v>525x870</v>
          </cell>
          <cell r="AZ624" t="str">
            <v>R2</v>
          </cell>
          <cell r="BA624">
            <v>0</v>
          </cell>
          <cell r="BB624">
            <v>0</v>
          </cell>
          <cell r="BC624">
            <v>0</v>
          </cell>
          <cell r="BD624">
            <v>0</v>
          </cell>
        </row>
        <row r="625">
          <cell r="A625" t="str">
            <v>sp 1146</v>
          </cell>
          <cell r="B625" t="str">
            <v>Cuộn thuốc thú y T.cúm gia súc 100gr Năm Thái</v>
          </cell>
          <cell r="C625">
            <v>1.1299999999999999</v>
          </cell>
          <cell r="D625">
            <v>3</v>
          </cell>
          <cell r="E625" t="str">
            <v>OPP 30x770</v>
          </cell>
          <cell r="F625">
            <v>1</v>
          </cell>
          <cell r="G625" t="str">
            <v>OPP</v>
          </cell>
          <cell r="H625">
            <v>0</v>
          </cell>
          <cell r="I625">
            <v>0</v>
          </cell>
          <cell r="J625">
            <v>0</v>
          </cell>
          <cell r="K625">
            <v>0</v>
          </cell>
          <cell r="L625">
            <v>0</v>
          </cell>
          <cell r="M625">
            <v>0</v>
          </cell>
          <cell r="N625">
            <v>0</v>
          </cell>
          <cell r="O625">
            <v>1.1299999999999999</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t="str">
            <v>MPET 12x770</v>
          </cell>
          <cell r="AF625" t="str">
            <v>PE 35x770</v>
          </cell>
          <cell r="AG625">
            <v>5.8885750000000014E-2</v>
          </cell>
          <cell r="AH625">
            <v>1.1653333333333333</v>
          </cell>
          <cell r="AI625">
            <v>1.1653333333333333</v>
          </cell>
          <cell r="AJ625">
            <v>9530</v>
          </cell>
          <cell r="AK625">
            <v>9530</v>
          </cell>
          <cell r="AL625" t="str">
            <v>0,0046(0,0023;0,0023)</v>
          </cell>
          <cell r="AM625" t="str">
            <v>dạng cuộn 1,000m</v>
          </cell>
          <cell r="AN625">
            <v>250</v>
          </cell>
          <cell r="AO625" t="str">
            <v>Công ty Năm Thái</v>
          </cell>
          <cell r="AP625" t="str">
            <v>2002256-1</v>
          </cell>
          <cell r="AQ625">
            <v>0</v>
          </cell>
          <cell r="AR625">
            <v>0</v>
          </cell>
          <cell r="AS625">
            <v>0</v>
          </cell>
          <cell r="AT625">
            <v>0</v>
          </cell>
          <cell r="AU625">
            <v>0</v>
          </cell>
          <cell r="AV625">
            <v>0</v>
          </cell>
          <cell r="AW625">
            <v>0</v>
          </cell>
          <cell r="AX625">
            <v>0</v>
          </cell>
          <cell r="AY625" t="str">
            <v>525x870</v>
          </cell>
          <cell r="AZ625" t="str">
            <v>R2</v>
          </cell>
          <cell r="BA625">
            <v>0</v>
          </cell>
          <cell r="BB625">
            <v>0</v>
          </cell>
          <cell r="BC625">
            <v>0</v>
          </cell>
          <cell r="BD625">
            <v>0</v>
          </cell>
        </row>
        <row r="626">
          <cell r="A626" t="str">
            <v>sp 1147</v>
          </cell>
          <cell r="B626" t="str">
            <v>Cuộn thuốc thú y gentafam 1 100gr Năm Thái</v>
          </cell>
          <cell r="C626">
            <v>0.38</v>
          </cell>
          <cell r="D626">
            <v>3</v>
          </cell>
          <cell r="E626" t="str">
            <v>OPP 30x770</v>
          </cell>
          <cell r="F626">
            <v>1</v>
          </cell>
          <cell r="G626" t="str">
            <v>OPP</v>
          </cell>
          <cell r="H626">
            <v>0</v>
          </cell>
          <cell r="I626">
            <v>0</v>
          </cell>
          <cell r="J626">
            <v>0</v>
          </cell>
          <cell r="K626">
            <v>0</v>
          </cell>
          <cell r="L626">
            <v>0</v>
          </cell>
          <cell r="M626">
            <v>0</v>
          </cell>
          <cell r="N626">
            <v>0</v>
          </cell>
          <cell r="O626">
            <v>0.38</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t="str">
            <v>MPET 12x770</v>
          </cell>
          <cell r="AF626" t="str">
            <v>PE 35x770</v>
          </cell>
          <cell r="AG626">
            <v>5.8885750000000014E-2</v>
          </cell>
          <cell r="AH626">
            <v>1.1653333333333333</v>
          </cell>
          <cell r="AI626">
            <v>1.1653333333333333</v>
          </cell>
          <cell r="AJ626">
            <v>9530</v>
          </cell>
          <cell r="AK626">
            <v>9530</v>
          </cell>
          <cell r="AL626" t="str">
            <v>0,0046(0,0023;0,0023)</v>
          </cell>
          <cell r="AM626" t="str">
            <v>dạng cuộn 1,000m</v>
          </cell>
          <cell r="AN626">
            <v>250</v>
          </cell>
          <cell r="AO626" t="str">
            <v>Công ty Năm Thái</v>
          </cell>
          <cell r="AP626" t="str">
            <v>2002257-1</v>
          </cell>
          <cell r="AQ626">
            <v>0</v>
          </cell>
          <cell r="AR626">
            <v>0</v>
          </cell>
          <cell r="AS626">
            <v>0</v>
          </cell>
          <cell r="AT626">
            <v>0</v>
          </cell>
          <cell r="AU626">
            <v>0</v>
          </cell>
          <cell r="AV626">
            <v>0</v>
          </cell>
          <cell r="AW626">
            <v>0</v>
          </cell>
          <cell r="AX626">
            <v>0</v>
          </cell>
          <cell r="AY626" t="str">
            <v>525x870</v>
          </cell>
          <cell r="AZ626" t="str">
            <v>R2</v>
          </cell>
          <cell r="BA626">
            <v>0</v>
          </cell>
          <cell r="BB626">
            <v>0</v>
          </cell>
          <cell r="BC626">
            <v>0</v>
          </cell>
          <cell r="BD626">
            <v>0</v>
          </cell>
        </row>
        <row r="627">
          <cell r="A627" t="str">
            <v>sp 1148</v>
          </cell>
          <cell r="B627" t="str">
            <v>Cuộn thuốc thú y Super cox 100gr Năm Thái</v>
          </cell>
          <cell r="C627">
            <v>0.1</v>
          </cell>
          <cell r="D627">
            <v>3</v>
          </cell>
          <cell r="E627" t="str">
            <v>OPP 30x770</v>
          </cell>
          <cell r="F627">
            <v>1</v>
          </cell>
          <cell r="G627" t="str">
            <v>OPP</v>
          </cell>
          <cell r="H627">
            <v>0</v>
          </cell>
          <cell r="I627">
            <v>0</v>
          </cell>
          <cell r="J627">
            <v>0</v>
          </cell>
          <cell r="K627">
            <v>0</v>
          </cell>
          <cell r="L627">
            <v>0</v>
          </cell>
          <cell r="M627">
            <v>0</v>
          </cell>
          <cell r="N627">
            <v>0</v>
          </cell>
          <cell r="O627">
            <v>0.1</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t="str">
            <v>MPET 12x770</v>
          </cell>
          <cell r="AF627" t="str">
            <v>PE 35x770</v>
          </cell>
          <cell r="AG627">
            <v>5.8885750000000014E-2</v>
          </cell>
          <cell r="AH627">
            <v>1.1653333333333333</v>
          </cell>
          <cell r="AI627">
            <v>1.1653333333333333</v>
          </cell>
          <cell r="AJ627">
            <v>9530</v>
          </cell>
          <cell r="AK627">
            <v>9530</v>
          </cell>
          <cell r="AL627" t="str">
            <v>0,0046(0,0023;0,0023)</v>
          </cell>
          <cell r="AM627" t="str">
            <v>dạng cuộn 1,000m</v>
          </cell>
          <cell r="AN627">
            <v>250</v>
          </cell>
          <cell r="AO627" t="str">
            <v>Công ty Năm Thái</v>
          </cell>
          <cell r="AP627" t="str">
            <v>2002258-1</v>
          </cell>
          <cell r="AQ627">
            <v>0</v>
          </cell>
          <cell r="AR627">
            <v>0</v>
          </cell>
          <cell r="AS627">
            <v>0</v>
          </cell>
          <cell r="AT627">
            <v>0</v>
          </cell>
          <cell r="AU627">
            <v>0</v>
          </cell>
          <cell r="AV627">
            <v>0</v>
          </cell>
          <cell r="AW627">
            <v>0</v>
          </cell>
          <cell r="AX627">
            <v>0</v>
          </cell>
          <cell r="AY627" t="str">
            <v>525x870</v>
          </cell>
          <cell r="AZ627" t="str">
            <v>R2</v>
          </cell>
          <cell r="BA627">
            <v>0</v>
          </cell>
          <cell r="BB627">
            <v>0</v>
          </cell>
          <cell r="BC627">
            <v>0</v>
          </cell>
          <cell r="BD627">
            <v>0</v>
          </cell>
        </row>
        <row r="628">
          <cell r="A628" t="str">
            <v>sp 1149</v>
          </cell>
          <cell r="B628" t="str">
            <v>Cuộn thuốc thú y antigum 100gr Năm Thái</v>
          </cell>
          <cell r="C628">
            <v>0.1</v>
          </cell>
          <cell r="D628">
            <v>3</v>
          </cell>
          <cell r="E628" t="str">
            <v>OPP 30x770</v>
          </cell>
          <cell r="F628">
            <v>1</v>
          </cell>
          <cell r="G628" t="str">
            <v>OPP</v>
          </cell>
          <cell r="H628">
            <v>0</v>
          </cell>
          <cell r="I628">
            <v>0</v>
          </cell>
          <cell r="J628">
            <v>0</v>
          </cell>
          <cell r="K628">
            <v>0</v>
          </cell>
          <cell r="L628">
            <v>0</v>
          </cell>
          <cell r="M628">
            <v>0</v>
          </cell>
          <cell r="N628">
            <v>0</v>
          </cell>
          <cell r="O628">
            <v>0.1</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t="str">
            <v>MPET 12x770</v>
          </cell>
          <cell r="AF628" t="str">
            <v>PE 35x770</v>
          </cell>
          <cell r="AG628">
            <v>5.8885750000000014E-2</v>
          </cell>
          <cell r="AH628">
            <v>1.1653333333333333</v>
          </cell>
          <cell r="AI628">
            <v>1.1653333333333333</v>
          </cell>
          <cell r="AJ628">
            <v>9530</v>
          </cell>
          <cell r="AK628">
            <v>9530</v>
          </cell>
          <cell r="AL628" t="str">
            <v>0,0046(0,0023;0,0023)</v>
          </cell>
          <cell r="AM628" t="str">
            <v>dạng cuộn 1,000m</v>
          </cell>
          <cell r="AN628">
            <v>250</v>
          </cell>
          <cell r="AO628" t="str">
            <v>Công ty Năm Thái</v>
          </cell>
          <cell r="AP628" t="str">
            <v>2002259-1</v>
          </cell>
          <cell r="AQ628">
            <v>0</v>
          </cell>
          <cell r="AR628">
            <v>0</v>
          </cell>
          <cell r="AS628">
            <v>0</v>
          </cell>
          <cell r="AT628">
            <v>0</v>
          </cell>
          <cell r="AU628">
            <v>0</v>
          </cell>
          <cell r="AV628">
            <v>0</v>
          </cell>
          <cell r="AW628">
            <v>0</v>
          </cell>
          <cell r="AX628">
            <v>0</v>
          </cell>
          <cell r="AY628" t="str">
            <v>525x870</v>
          </cell>
          <cell r="AZ628" t="str">
            <v>R2</v>
          </cell>
          <cell r="BA628">
            <v>0</v>
          </cell>
          <cell r="BB628">
            <v>0</v>
          </cell>
          <cell r="BC628">
            <v>0</v>
          </cell>
          <cell r="BD628">
            <v>0</v>
          </cell>
        </row>
        <row r="629">
          <cell r="A629" t="str">
            <v>sp 1150</v>
          </cell>
          <cell r="B629" t="str">
            <v>Cuộn thuốc thú y T.colivit 100gr Năm Thái</v>
          </cell>
          <cell r="C629">
            <v>0.99</v>
          </cell>
          <cell r="D629">
            <v>3</v>
          </cell>
          <cell r="E629" t="str">
            <v>OPP 30x770</v>
          </cell>
          <cell r="F629">
            <v>1</v>
          </cell>
          <cell r="G629" t="str">
            <v>OPP</v>
          </cell>
          <cell r="H629">
            <v>0</v>
          </cell>
          <cell r="I629">
            <v>0</v>
          </cell>
          <cell r="J629">
            <v>0</v>
          </cell>
          <cell r="K629">
            <v>0</v>
          </cell>
          <cell r="L629">
            <v>0</v>
          </cell>
          <cell r="M629">
            <v>0</v>
          </cell>
          <cell r="N629">
            <v>0</v>
          </cell>
          <cell r="O629">
            <v>0.99</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t="str">
            <v>MPET 12x770</v>
          </cell>
          <cell r="AF629" t="str">
            <v>PE 35x770</v>
          </cell>
          <cell r="AG629">
            <v>5.8885750000000014E-2</v>
          </cell>
          <cell r="AH629">
            <v>1.1653333333333333</v>
          </cell>
          <cell r="AI629">
            <v>1.1653333333333333</v>
          </cell>
          <cell r="AJ629">
            <v>9530</v>
          </cell>
          <cell r="AK629">
            <v>9530</v>
          </cell>
          <cell r="AL629" t="str">
            <v>0,0046(0,0023;0,0023)</v>
          </cell>
          <cell r="AM629" t="str">
            <v>dạng cuộn 1,000m</v>
          </cell>
          <cell r="AN629">
            <v>250</v>
          </cell>
          <cell r="AO629" t="str">
            <v>Công ty Năm Thái</v>
          </cell>
          <cell r="AP629" t="str">
            <v>2002260-1</v>
          </cell>
          <cell r="AQ629">
            <v>0</v>
          </cell>
          <cell r="AR629">
            <v>0</v>
          </cell>
          <cell r="AS629">
            <v>0</v>
          </cell>
          <cell r="AT629">
            <v>0</v>
          </cell>
          <cell r="AU629">
            <v>0</v>
          </cell>
          <cell r="AV629">
            <v>0</v>
          </cell>
          <cell r="AW629">
            <v>0</v>
          </cell>
          <cell r="AX629">
            <v>0</v>
          </cell>
          <cell r="AY629" t="str">
            <v>495x870</v>
          </cell>
          <cell r="AZ629" t="str">
            <v>R2</v>
          </cell>
          <cell r="BA629">
            <v>0</v>
          </cell>
          <cell r="BB629">
            <v>0</v>
          </cell>
          <cell r="BC629">
            <v>0</v>
          </cell>
          <cell r="BD629">
            <v>0</v>
          </cell>
        </row>
        <row r="630">
          <cell r="A630" t="str">
            <v>sp 1151</v>
          </cell>
          <cell r="B630" t="str">
            <v>Cuộn thuốc thú y T.umgiaca 100gr Năm Thái</v>
          </cell>
          <cell r="C630">
            <v>0.93799999999999994</v>
          </cell>
          <cell r="D630">
            <v>3</v>
          </cell>
          <cell r="E630" t="str">
            <v>OPP 30x770</v>
          </cell>
          <cell r="F630">
            <v>1</v>
          </cell>
          <cell r="G630" t="str">
            <v>OPP</v>
          </cell>
          <cell r="H630">
            <v>0</v>
          </cell>
          <cell r="I630">
            <v>0</v>
          </cell>
          <cell r="J630">
            <v>0</v>
          </cell>
          <cell r="K630">
            <v>0</v>
          </cell>
          <cell r="L630">
            <v>0</v>
          </cell>
          <cell r="M630">
            <v>0</v>
          </cell>
          <cell r="N630">
            <v>0</v>
          </cell>
          <cell r="O630">
            <v>0.93799999999999994</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t="str">
            <v>MPET 12x770</v>
          </cell>
          <cell r="AF630" t="str">
            <v>PE 35x770</v>
          </cell>
          <cell r="AG630">
            <v>5.8885750000000014E-2</v>
          </cell>
          <cell r="AH630">
            <v>1.1653333333333333</v>
          </cell>
          <cell r="AI630">
            <v>1.1653333333333333</v>
          </cell>
          <cell r="AJ630">
            <v>9530</v>
          </cell>
          <cell r="AK630">
            <v>9530</v>
          </cell>
          <cell r="AL630" t="str">
            <v>0,0046(0,0023;0,0023)</v>
          </cell>
          <cell r="AM630" t="str">
            <v>dạng cuộn 1,000m</v>
          </cell>
          <cell r="AN630">
            <v>250</v>
          </cell>
          <cell r="AO630" t="str">
            <v>Công ty Năm Thái</v>
          </cell>
          <cell r="AP630" t="str">
            <v>2002322-1</v>
          </cell>
          <cell r="AQ630">
            <v>0</v>
          </cell>
          <cell r="AR630">
            <v>0</v>
          </cell>
          <cell r="AS630">
            <v>0</v>
          </cell>
          <cell r="AT630">
            <v>0</v>
          </cell>
          <cell r="AU630">
            <v>0</v>
          </cell>
          <cell r="AV630">
            <v>0</v>
          </cell>
          <cell r="AW630">
            <v>0</v>
          </cell>
          <cell r="AX630">
            <v>0</v>
          </cell>
          <cell r="AY630" t="str">
            <v>495x870</v>
          </cell>
          <cell r="AZ630" t="str">
            <v>R2</v>
          </cell>
          <cell r="BA630">
            <v>0</v>
          </cell>
          <cell r="BB630">
            <v>0</v>
          </cell>
          <cell r="BC630">
            <v>0</v>
          </cell>
          <cell r="BD630">
            <v>0</v>
          </cell>
        </row>
        <row r="631">
          <cell r="A631" t="str">
            <v>sp 1152</v>
          </cell>
          <cell r="B631" t="str">
            <v>Cuộn màng nhôm Xingfa PPTD asa Cơ Điện</v>
          </cell>
          <cell r="C631">
            <v>1.76</v>
          </cell>
          <cell r="D631">
            <v>1</v>
          </cell>
          <cell r="E631" t="str">
            <v>PE đt 60x1240</v>
          </cell>
          <cell r="F631">
            <v>3</v>
          </cell>
          <cell r="G631" t="str">
            <v xml:space="preserve">PE </v>
          </cell>
          <cell r="H631">
            <v>0.34</v>
          </cell>
          <cell r="I631">
            <v>0</v>
          </cell>
          <cell r="J631">
            <v>0</v>
          </cell>
          <cell r="K631">
            <v>0</v>
          </cell>
          <cell r="L631">
            <v>0.86</v>
          </cell>
          <cell r="M631">
            <v>0.55000000000000004</v>
          </cell>
          <cell r="N631">
            <v>0</v>
          </cell>
          <cell r="O631">
            <v>0</v>
          </cell>
          <cell r="P631">
            <v>0.01</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t="str">
            <v>PE 25x1240</v>
          </cell>
          <cell r="AF631">
            <v>0</v>
          </cell>
          <cell r="AG631">
            <v>0.101587</v>
          </cell>
          <cell r="AH631">
            <v>1.64</v>
          </cell>
          <cell r="AI631">
            <v>0</v>
          </cell>
          <cell r="AJ631">
            <v>9530</v>
          </cell>
          <cell r="AK631">
            <v>0</v>
          </cell>
          <cell r="AL631">
            <v>2E-3</v>
          </cell>
          <cell r="AM631" t="str">
            <v>dạng cuộn 1,500m</v>
          </cell>
          <cell r="AN631">
            <v>1240</v>
          </cell>
          <cell r="AO631" t="str">
            <v>Công ty CP Cơ điện và Phát triển Hà Nội</v>
          </cell>
          <cell r="AP631" t="str">
            <v>1806095-1</v>
          </cell>
          <cell r="AQ631" t="str">
            <v>1806095-2</v>
          </cell>
          <cell r="AR631" t="str">
            <v>1806095-3</v>
          </cell>
          <cell r="AS631">
            <v>0</v>
          </cell>
          <cell r="AT631">
            <v>0</v>
          </cell>
          <cell r="AU631">
            <v>0</v>
          </cell>
          <cell r="AV631">
            <v>0</v>
          </cell>
          <cell r="AW631">
            <v>0</v>
          </cell>
          <cell r="AX631">
            <v>0</v>
          </cell>
          <cell r="AY631" t="str">
            <v>455x1300</v>
          </cell>
          <cell r="AZ631">
            <v>0</v>
          </cell>
          <cell r="BA631" t="str">
            <v>1c</v>
          </cell>
          <cell r="BB631" t="str">
            <v>giấy cartoon</v>
          </cell>
          <cell r="BC631">
            <v>0</v>
          </cell>
          <cell r="BD631">
            <v>0</v>
          </cell>
        </row>
        <row r="632">
          <cell r="A632" t="str">
            <v>sp 1153</v>
          </cell>
          <cell r="B632" t="str">
            <v>Cuộn thuốc thú y anti.crd.la 100gr Năm Thái</v>
          </cell>
          <cell r="C632">
            <v>0.1</v>
          </cell>
          <cell r="D632">
            <v>3</v>
          </cell>
          <cell r="E632" t="str">
            <v>OPP 30x770</v>
          </cell>
          <cell r="F632">
            <v>1</v>
          </cell>
          <cell r="G632" t="str">
            <v>OPP</v>
          </cell>
          <cell r="H632">
            <v>0</v>
          </cell>
          <cell r="I632">
            <v>0</v>
          </cell>
          <cell r="J632">
            <v>0</v>
          </cell>
          <cell r="K632">
            <v>0</v>
          </cell>
          <cell r="L632">
            <v>0</v>
          </cell>
          <cell r="M632">
            <v>0</v>
          </cell>
          <cell r="N632">
            <v>0</v>
          </cell>
          <cell r="O632">
            <v>0.1</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t="str">
            <v>MPET 12x770</v>
          </cell>
          <cell r="AF632" t="str">
            <v>PE 35x770</v>
          </cell>
          <cell r="AG632">
            <v>5.8885750000000014E-2</v>
          </cell>
          <cell r="AH632">
            <v>1.1653333333333333</v>
          </cell>
          <cell r="AI632">
            <v>1.1653333333333333</v>
          </cell>
          <cell r="AJ632">
            <v>9530</v>
          </cell>
          <cell r="AK632">
            <v>9530</v>
          </cell>
          <cell r="AL632" t="str">
            <v>0,0046(0,0023;0,0023)</v>
          </cell>
          <cell r="AM632" t="str">
            <v>dạng cuộn 1,000m</v>
          </cell>
          <cell r="AN632">
            <v>250</v>
          </cell>
          <cell r="AO632" t="str">
            <v>Công ty Năm Thái</v>
          </cell>
          <cell r="AP632" t="str">
            <v>2002433-1</v>
          </cell>
          <cell r="AQ632">
            <v>0</v>
          </cell>
          <cell r="AR632">
            <v>0</v>
          </cell>
          <cell r="AS632">
            <v>0</v>
          </cell>
          <cell r="AT632">
            <v>0</v>
          </cell>
          <cell r="AU632">
            <v>0</v>
          </cell>
          <cell r="AV632">
            <v>0</v>
          </cell>
          <cell r="AW632">
            <v>0</v>
          </cell>
          <cell r="AX632">
            <v>0</v>
          </cell>
          <cell r="AY632" t="str">
            <v>495x870</v>
          </cell>
          <cell r="AZ632" t="str">
            <v>R2</v>
          </cell>
          <cell r="BA632">
            <v>0</v>
          </cell>
          <cell r="BB632">
            <v>0</v>
          </cell>
          <cell r="BC632">
            <v>0</v>
          </cell>
          <cell r="BD632">
            <v>0</v>
          </cell>
        </row>
        <row r="633">
          <cell r="A633" t="str">
            <v>sp 1154</v>
          </cell>
          <cell r="B633" t="str">
            <v>Cuộn thuốc thú y fungicid 100gr Năm Thái</v>
          </cell>
          <cell r="C633">
            <v>3.83</v>
          </cell>
          <cell r="D633">
            <v>3</v>
          </cell>
          <cell r="E633" t="str">
            <v>OPP 30x770</v>
          </cell>
          <cell r="F633">
            <v>1</v>
          </cell>
          <cell r="G633" t="str">
            <v>OPP</v>
          </cell>
          <cell r="H633">
            <v>0</v>
          </cell>
          <cell r="I633">
            <v>0</v>
          </cell>
          <cell r="J633">
            <v>1.4</v>
          </cell>
          <cell r="K633">
            <v>0</v>
          </cell>
          <cell r="L633">
            <v>2.33</v>
          </cell>
          <cell r="M633">
            <v>0</v>
          </cell>
          <cell r="N633">
            <v>0</v>
          </cell>
          <cell r="O633">
            <v>0.1</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t="str">
            <v>MPET 12x770</v>
          </cell>
          <cell r="AF633" t="str">
            <v>PE 35x770</v>
          </cell>
          <cell r="AG633">
            <v>5.8885750000000014E-2</v>
          </cell>
          <cell r="AH633">
            <v>1.1653333333333333</v>
          </cell>
          <cell r="AI633">
            <v>1.1653333333333333</v>
          </cell>
          <cell r="AJ633">
            <v>9530</v>
          </cell>
          <cell r="AK633">
            <v>9530</v>
          </cell>
          <cell r="AL633" t="str">
            <v>0,0046(0,0023;0,0023)</v>
          </cell>
          <cell r="AM633" t="str">
            <v>dạng cuộn 1,000m</v>
          </cell>
          <cell r="AN633">
            <v>250</v>
          </cell>
          <cell r="AO633" t="str">
            <v>Công ty Năm Thái</v>
          </cell>
          <cell r="AP633" t="str">
            <v>2002434-1</v>
          </cell>
          <cell r="AQ633">
            <v>0</v>
          </cell>
          <cell r="AR633">
            <v>0</v>
          </cell>
          <cell r="AS633">
            <v>0</v>
          </cell>
          <cell r="AT633">
            <v>0</v>
          </cell>
          <cell r="AU633">
            <v>0</v>
          </cell>
          <cell r="AV633">
            <v>0</v>
          </cell>
          <cell r="AW633">
            <v>0</v>
          </cell>
          <cell r="AX633">
            <v>0</v>
          </cell>
          <cell r="AY633" t="str">
            <v>495x870</v>
          </cell>
          <cell r="AZ633" t="str">
            <v>R2</v>
          </cell>
          <cell r="BA633">
            <v>0</v>
          </cell>
          <cell r="BB633">
            <v>0</v>
          </cell>
          <cell r="BC633">
            <v>0</v>
          </cell>
          <cell r="BD633">
            <v>0</v>
          </cell>
        </row>
        <row r="634">
          <cell r="A634" t="str">
            <v>sp 1155</v>
          </cell>
          <cell r="B634" t="str">
            <v>Cuộn bánh gạo nhật NAKKI hương vị bò - Okifood</v>
          </cell>
          <cell r="C634">
            <v>1.7950000000000002</v>
          </cell>
          <cell r="D634">
            <v>8</v>
          </cell>
          <cell r="E634" t="str">
            <v>OPP 20x1020</v>
          </cell>
          <cell r="F634">
            <v>7</v>
          </cell>
          <cell r="G634" t="str">
            <v>OPP</v>
          </cell>
          <cell r="H634">
            <v>0.183</v>
          </cell>
          <cell r="I634">
            <v>0.69</v>
          </cell>
          <cell r="J634">
            <v>0.05</v>
          </cell>
          <cell r="K634">
            <v>3.6999999999999998E-2</v>
          </cell>
          <cell r="L634">
            <v>0.155</v>
          </cell>
          <cell r="M634">
            <v>0.4</v>
          </cell>
          <cell r="N634">
            <v>0</v>
          </cell>
          <cell r="O634">
            <v>7.0000000000000007E-2</v>
          </cell>
          <cell r="P634">
            <v>0.14000000000000001</v>
          </cell>
          <cell r="Q634">
            <v>0.01</v>
          </cell>
          <cell r="R634">
            <v>0</v>
          </cell>
          <cell r="S634">
            <v>0.06</v>
          </cell>
          <cell r="T634">
            <v>0</v>
          </cell>
          <cell r="U634">
            <v>0</v>
          </cell>
          <cell r="V634">
            <v>0</v>
          </cell>
          <cell r="W634">
            <v>0</v>
          </cell>
          <cell r="X634">
            <v>0</v>
          </cell>
          <cell r="Y634">
            <v>0</v>
          </cell>
          <cell r="Z634">
            <v>0</v>
          </cell>
          <cell r="AA634">
            <v>0</v>
          </cell>
          <cell r="AB634">
            <v>0</v>
          </cell>
          <cell r="AC634">
            <v>0</v>
          </cell>
          <cell r="AD634">
            <v>0</v>
          </cell>
          <cell r="AE634" t="str">
            <v>CPP 20x1020</v>
          </cell>
          <cell r="AF634">
            <v>0</v>
          </cell>
          <cell r="AG634">
            <v>3.7128000000000001E-2</v>
          </cell>
          <cell r="AH634">
            <v>0.45450000000000002</v>
          </cell>
          <cell r="AI634">
            <v>0</v>
          </cell>
          <cell r="AJ634">
            <v>9530</v>
          </cell>
          <cell r="AK634">
            <v>0</v>
          </cell>
          <cell r="AL634">
            <v>1.1999999999999999E-3</v>
          </cell>
          <cell r="AM634" t="str">
            <v>dạng cuộn 2,000m</v>
          </cell>
          <cell r="AN634">
            <v>125</v>
          </cell>
          <cell r="AO634" t="str">
            <v>Công ty TNHH Okifood Việt Nam</v>
          </cell>
          <cell r="AP634" t="str">
            <v>2002955-1</v>
          </cell>
          <cell r="AQ634" t="str">
            <v>2002955-2</v>
          </cell>
          <cell r="AR634" t="str">
            <v>2002955-3</v>
          </cell>
          <cell r="AS634" t="str">
            <v>2002955-4</v>
          </cell>
          <cell r="AT634" t="str">
            <v>2002955-5</v>
          </cell>
          <cell r="AU634" t="str">
            <v>2002955-6</v>
          </cell>
          <cell r="AV634" t="str">
            <v>2002955-7</v>
          </cell>
          <cell r="AW634">
            <v>0</v>
          </cell>
          <cell r="AX634">
            <v>0</v>
          </cell>
          <cell r="AY634" t="str">
            <v>468x1150</v>
          </cell>
          <cell r="AZ634" t="str">
            <v>R2</v>
          </cell>
          <cell r="BA634">
            <v>0</v>
          </cell>
          <cell r="BB634">
            <v>0</v>
          </cell>
          <cell r="BC634">
            <v>0</v>
          </cell>
          <cell r="BD634">
            <v>0</v>
          </cell>
        </row>
        <row r="635">
          <cell r="A635" t="str">
            <v>sp 1156</v>
          </cell>
          <cell r="B635" t="str">
            <v>Túi bánh gạo nhật NAKKI màu đỏ hương vị bò loại mặn 150gr - Okifood</v>
          </cell>
          <cell r="C635">
            <v>4.9899999999999993</v>
          </cell>
          <cell r="D635">
            <v>2</v>
          </cell>
          <cell r="E635" t="str">
            <v>OPP 30x840</v>
          </cell>
          <cell r="F635">
            <v>7</v>
          </cell>
          <cell r="G635" t="str">
            <v>OPP</v>
          </cell>
          <cell r="H635">
            <v>0.01</v>
          </cell>
          <cell r="I635">
            <v>2.39</v>
          </cell>
          <cell r="J635">
            <v>0.27</v>
          </cell>
          <cell r="K635">
            <v>0.01</v>
          </cell>
          <cell r="L635">
            <v>0.51</v>
          </cell>
          <cell r="M635">
            <v>0.24</v>
          </cell>
          <cell r="N635">
            <v>0</v>
          </cell>
          <cell r="O635">
            <v>0</v>
          </cell>
          <cell r="P635">
            <v>0.92</v>
          </cell>
          <cell r="Q635">
            <v>0.63</v>
          </cell>
          <cell r="R635">
            <v>0</v>
          </cell>
          <cell r="S635">
            <v>0.01</v>
          </cell>
          <cell r="T635">
            <v>0</v>
          </cell>
          <cell r="U635">
            <v>0</v>
          </cell>
          <cell r="V635">
            <v>0</v>
          </cell>
          <cell r="W635">
            <v>0</v>
          </cell>
          <cell r="X635">
            <v>0</v>
          </cell>
          <cell r="Y635">
            <v>0</v>
          </cell>
          <cell r="Z635">
            <v>0</v>
          </cell>
          <cell r="AA635">
            <v>0</v>
          </cell>
          <cell r="AB635">
            <v>0</v>
          </cell>
          <cell r="AC635">
            <v>0</v>
          </cell>
          <cell r="AD635">
            <v>0</v>
          </cell>
          <cell r="AE635" t="str">
            <v>MCPP 35x840</v>
          </cell>
          <cell r="AF635">
            <v>0</v>
          </cell>
          <cell r="AG635">
            <v>4.9686000000000008E-2</v>
          </cell>
          <cell r="AH635">
            <v>0.37349999999999994</v>
          </cell>
          <cell r="AI635">
            <v>0</v>
          </cell>
          <cell r="AJ635">
            <v>9530</v>
          </cell>
          <cell r="AK635">
            <v>0</v>
          </cell>
          <cell r="AL635">
            <v>1.1999999999999999E-3</v>
          </cell>
          <cell r="AM635" t="str">
            <v>túi hàn lưng</v>
          </cell>
          <cell r="AN635">
            <v>340</v>
          </cell>
          <cell r="AO635" t="str">
            <v>Công ty TNHH Okifood Việt Nam</v>
          </cell>
          <cell r="AP635" t="str">
            <v>2002956-1</v>
          </cell>
          <cell r="AQ635" t="str">
            <v>2002956-2</v>
          </cell>
          <cell r="AR635" t="str">
            <v>2002956-3</v>
          </cell>
          <cell r="AS635" t="str">
            <v>2002956-4</v>
          </cell>
          <cell r="AT635" t="str">
            <v>2002956-5</v>
          </cell>
          <cell r="AU635" t="str">
            <v>2002956-6</v>
          </cell>
          <cell r="AV635" t="str">
            <v>2002956-7</v>
          </cell>
          <cell r="AW635">
            <v>0</v>
          </cell>
          <cell r="AX635">
            <v>0</v>
          </cell>
          <cell r="AY635" t="str">
            <v>680x1100</v>
          </cell>
          <cell r="AZ635" t="str">
            <v>R2</v>
          </cell>
          <cell r="BA635">
            <v>0</v>
          </cell>
          <cell r="BB635">
            <v>0</v>
          </cell>
          <cell r="BC635">
            <v>0</v>
          </cell>
          <cell r="BD635">
            <v>0</v>
          </cell>
        </row>
        <row r="636">
          <cell r="A636" t="str">
            <v>sp 1157</v>
          </cell>
          <cell r="B636" t="str">
            <v>Túi thuốc thú y Zipper 4 màu 1 kg Hùng Nguyên</v>
          </cell>
          <cell r="C636">
            <v>12.19</v>
          </cell>
          <cell r="D636">
            <v>1</v>
          </cell>
          <cell r="E636" t="str">
            <v>PET 12x820</v>
          </cell>
          <cell r="F636">
            <v>4</v>
          </cell>
          <cell r="G636" t="str">
            <v>PET</v>
          </cell>
          <cell r="H636">
            <v>0</v>
          </cell>
          <cell r="I636">
            <v>7.2</v>
          </cell>
          <cell r="J636">
            <v>0.01</v>
          </cell>
          <cell r="K636">
            <v>2.2400000000000002</v>
          </cell>
          <cell r="L636">
            <v>0.81</v>
          </cell>
          <cell r="M636">
            <v>1.42</v>
          </cell>
          <cell r="N636">
            <v>0</v>
          </cell>
          <cell r="O636">
            <v>0.01</v>
          </cell>
          <cell r="P636">
            <v>0.5</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t="str">
            <v>MPET 12x820</v>
          </cell>
          <cell r="AF636" t="str">
            <v>PE 145x820</v>
          </cell>
          <cell r="AG636">
            <v>0.13753449999999998</v>
          </cell>
          <cell r="AH636">
            <v>1.62</v>
          </cell>
          <cell r="AI636">
            <v>1.62</v>
          </cell>
          <cell r="AJ636">
            <v>953</v>
          </cell>
          <cell r="AK636">
            <v>9530</v>
          </cell>
          <cell r="AL636" t="str">
            <v>0,006(0,003;0,003)</v>
          </cell>
          <cell r="AM636" t="str">
            <v>túi ba biên đáy đứng zipper</v>
          </cell>
          <cell r="AN636">
            <v>345</v>
          </cell>
          <cell r="AO636" t="str">
            <v>Công ty CP Hùng Nguyên</v>
          </cell>
          <cell r="AP636" t="str">
            <v>F125531-1</v>
          </cell>
          <cell r="AQ636" t="str">
            <v>F125531-2</v>
          </cell>
          <cell r="AR636" t="str">
            <v>F125531-3</v>
          </cell>
          <cell r="AS636" t="str">
            <v>F125531-4</v>
          </cell>
          <cell r="AT636">
            <v>0</v>
          </cell>
          <cell r="AU636">
            <v>0</v>
          </cell>
          <cell r="AV636">
            <v>0</v>
          </cell>
          <cell r="AW636">
            <v>0</v>
          </cell>
          <cell r="AX636">
            <v>0</v>
          </cell>
          <cell r="AY636" t="str">
            <v>870x516</v>
          </cell>
          <cell r="AZ636" t="str">
            <v>R2</v>
          </cell>
          <cell r="BA636">
            <v>0</v>
          </cell>
          <cell r="BB636">
            <v>0</v>
          </cell>
          <cell r="BC636">
            <v>0</v>
          </cell>
          <cell r="BD636">
            <v>0</v>
          </cell>
        </row>
        <row r="637">
          <cell r="A637" t="str">
            <v>sp 1158</v>
          </cell>
          <cell r="B637" t="str">
            <v>Cuộn bánh snacks ocean fish vị tôm nướng 25gr Libra</v>
          </cell>
          <cell r="C637">
            <v>7.2359999999999998</v>
          </cell>
          <cell r="D637">
            <v>2</v>
          </cell>
          <cell r="E637" t="str">
            <v>PET 12x660</v>
          </cell>
          <cell r="F637">
            <v>8</v>
          </cell>
          <cell r="G637" t="str">
            <v>PET</v>
          </cell>
          <cell r="H637">
            <v>0.01</v>
          </cell>
          <cell r="I637">
            <v>3.528</v>
          </cell>
          <cell r="J637">
            <v>0.48099999999999998</v>
          </cell>
          <cell r="K637">
            <v>0.57699999999999996</v>
          </cell>
          <cell r="L637">
            <v>0.93</v>
          </cell>
          <cell r="M637">
            <v>0</v>
          </cell>
          <cell r="N637">
            <v>0</v>
          </cell>
          <cell r="O637">
            <v>0</v>
          </cell>
          <cell r="P637">
            <v>1.7</v>
          </cell>
          <cell r="Q637">
            <v>0</v>
          </cell>
          <cell r="R637">
            <v>0.01</v>
          </cell>
          <cell r="S637">
            <v>0</v>
          </cell>
          <cell r="T637">
            <v>0</v>
          </cell>
          <cell r="U637">
            <v>0</v>
          </cell>
          <cell r="V637">
            <v>0</v>
          </cell>
          <cell r="W637">
            <v>0</v>
          </cell>
          <cell r="X637">
            <v>0</v>
          </cell>
          <cell r="Y637">
            <v>0</v>
          </cell>
          <cell r="Z637">
            <v>0</v>
          </cell>
          <cell r="AA637">
            <v>0</v>
          </cell>
          <cell r="AB637">
            <v>0</v>
          </cell>
          <cell r="AC637">
            <v>0</v>
          </cell>
          <cell r="AD637">
            <v>0</v>
          </cell>
          <cell r="AE637" t="str">
            <v>MPET 12x660</v>
          </cell>
          <cell r="AF637" t="str">
            <v>PE 35x660</v>
          </cell>
          <cell r="AG637">
            <v>4.3543500000000006E-2</v>
          </cell>
          <cell r="AH637">
            <v>0.99666666666666659</v>
          </cell>
          <cell r="AI637">
            <v>1.0833333333333335</v>
          </cell>
          <cell r="AJ637">
            <v>9530</v>
          </cell>
          <cell r="AK637">
            <v>9530</v>
          </cell>
          <cell r="AL637" t="str">
            <v>0,0048(0,0023;0,0025)</v>
          </cell>
          <cell r="AM637" t="str">
            <v>dạng cuộn 1,000m</v>
          </cell>
          <cell r="AN637">
            <v>320</v>
          </cell>
          <cell r="AO637" t="str">
            <v>Công ty Libra</v>
          </cell>
          <cell r="AP637" t="str">
            <v>F125535-1</v>
          </cell>
          <cell r="AQ637" t="str">
            <v>F125535-2</v>
          </cell>
          <cell r="AR637" t="str">
            <v>F125535-3</v>
          </cell>
          <cell r="AS637" t="str">
            <v>F125535-4</v>
          </cell>
          <cell r="AT637" t="str">
            <v>F125535-5</v>
          </cell>
          <cell r="AU637" t="str">
            <v>F125535-6</v>
          </cell>
          <cell r="AV637" t="str">
            <v>F125535-7</v>
          </cell>
          <cell r="AW637" t="str">
            <v>F125535-8</v>
          </cell>
          <cell r="AX637">
            <v>0</v>
          </cell>
          <cell r="AY637" t="str">
            <v>870x432</v>
          </cell>
          <cell r="AZ637" t="str">
            <v>R2</v>
          </cell>
          <cell r="BA637">
            <v>0</v>
          </cell>
          <cell r="BB637">
            <v>0</v>
          </cell>
          <cell r="BC637">
            <v>0</v>
          </cell>
          <cell r="BD637">
            <v>0</v>
          </cell>
        </row>
        <row r="638">
          <cell r="A638" t="str">
            <v>sp 1159</v>
          </cell>
          <cell r="B638" t="str">
            <v>Cuộn thuốc thú y TĐG 100gr Năm Thái</v>
          </cell>
          <cell r="C638">
            <v>1.1300000000000001</v>
          </cell>
          <cell r="D638">
            <v>3</v>
          </cell>
          <cell r="E638" t="str">
            <v>OPP 30x770</v>
          </cell>
          <cell r="F638">
            <v>1</v>
          </cell>
          <cell r="G638" t="str">
            <v>OPP</v>
          </cell>
          <cell r="H638">
            <v>0</v>
          </cell>
          <cell r="I638">
            <v>0</v>
          </cell>
          <cell r="J638">
            <v>0</v>
          </cell>
          <cell r="K638">
            <v>0</v>
          </cell>
          <cell r="L638">
            <v>1.1200000000000001</v>
          </cell>
          <cell r="M638">
            <v>0</v>
          </cell>
          <cell r="N638">
            <v>0</v>
          </cell>
          <cell r="O638">
            <v>0.01</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t="str">
            <v>MPET 12x770</v>
          </cell>
          <cell r="AF638" t="str">
            <v>PE 35x770</v>
          </cell>
          <cell r="AG638">
            <v>5.8885750000000014E-2</v>
          </cell>
          <cell r="AH638">
            <v>1.1653333333333333</v>
          </cell>
          <cell r="AI638">
            <v>1.1653333333333333</v>
          </cell>
          <cell r="AJ638">
            <v>9530</v>
          </cell>
          <cell r="AK638">
            <v>9530</v>
          </cell>
          <cell r="AL638" t="str">
            <v>0,0046(0,0023;0,0023)</v>
          </cell>
          <cell r="AM638" t="str">
            <v>dạng cuộn 1,000m</v>
          </cell>
          <cell r="AN638">
            <v>250</v>
          </cell>
          <cell r="AO638" t="str">
            <v>Công ty Năm Thái</v>
          </cell>
          <cell r="AP638" t="str">
            <v>20021185-1</v>
          </cell>
          <cell r="AQ638">
            <v>0</v>
          </cell>
          <cell r="AR638">
            <v>0</v>
          </cell>
          <cell r="AS638">
            <v>0</v>
          </cell>
          <cell r="AT638">
            <v>0</v>
          </cell>
          <cell r="AU638">
            <v>0</v>
          </cell>
          <cell r="AV638">
            <v>0</v>
          </cell>
          <cell r="AW638">
            <v>0</v>
          </cell>
          <cell r="AX638">
            <v>0</v>
          </cell>
          <cell r="AY638" t="str">
            <v>495x870</v>
          </cell>
          <cell r="AZ638" t="str">
            <v>R2</v>
          </cell>
          <cell r="BA638">
            <v>0</v>
          </cell>
          <cell r="BB638">
            <v>0</v>
          </cell>
          <cell r="BC638">
            <v>0</v>
          </cell>
          <cell r="BD638">
            <v>0</v>
          </cell>
        </row>
        <row r="639">
          <cell r="A639" t="str">
            <v>sp 1160</v>
          </cell>
          <cell r="B639" t="str">
            <v>Cuộn thuốc thú y sutrim 100gr Năm Thái KT250x175mm</v>
          </cell>
          <cell r="C639">
            <v>1.1200000000000001</v>
          </cell>
          <cell r="D639">
            <v>3</v>
          </cell>
          <cell r="E639" t="str">
            <v>OPP 30x770</v>
          </cell>
          <cell r="F639">
            <v>1</v>
          </cell>
          <cell r="G639" t="str">
            <v>OPP</v>
          </cell>
          <cell r="H639">
            <v>0</v>
          </cell>
          <cell r="I639">
            <v>0</v>
          </cell>
          <cell r="J639">
            <v>0</v>
          </cell>
          <cell r="K639">
            <v>0</v>
          </cell>
          <cell r="L639">
            <v>1.1100000000000001</v>
          </cell>
          <cell r="M639">
            <v>0</v>
          </cell>
          <cell r="N639">
            <v>0</v>
          </cell>
          <cell r="O639">
            <v>0.01</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t="str">
            <v>MPET 12x770</v>
          </cell>
          <cell r="AF639" t="str">
            <v>PE 35x770</v>
          </cell>
          <cell r="AG639">
            <v>5.8885750000000014E-2</v>
          </cell>
          <cell r="AH639">
            <v>1.1653333333333333</v>
          </cell>
          <cell r="AI639">
            <v>1.1653333333333333</v>
          </cell>
          <cell r="AJ639">
            <v>9530</v>
          </cell>
          <cell r="AK639">
            <v>9530</v>
          </cell>
          <cell r="AL639" t="str">
            <v>0,0046(0,0023;0,0023)</v>
          </cell>
          <cell r="AM639" t="str">
            <v>dạng cuộn 1,000m</v>
          </cell>
          <cell r="AN639">
            <v>250</v>
          </cell>
          <cell r="AO639" t="str">
            <v>Công ty Năm Thái</v>
          </cell>
          <cell r="AP639" t="str">
            <v>20021186-1</v>
          </cell>
          <cell r="AQ639">
            <v>0</v>
          </cell>
          <cell r="AR639">
            <v>0</v>
          </cell>
          <cell r="AS639">
            <v>0</v>
          </cell>
          <cell r="AT639">
            <v>0</v>
          </cell>
          <cell r="AU639">
            <v>0</v>
          </cell>
          <cell r="AV639">
            <v>0</v>
          </cell>
          <cell r="AW639">
            <v>0</v>
          </cell>
          <cell r="AX639">
            <v>0</v>
          </cell>
          <cell r="AY639" t="str">
            <v>525x870</v>
          </cell>
          <cell r="AZ639" t="str">
            <v>R2</v>
          </cell>
          <cell r="BA639">
            <v>0</v>
          </cell>
          <cell r="BB639">
            <v>0</v>
          </cell>
          <cell r="BC639">
            <v>0</v>
          </cell>
          <cell r="BD639">
            <v>0</v>
          </cell>
        </row>
        <row r="640">
          <cell r="A640" t="str">
            <v>sp 1161</v>
          </cell>
          <cell r="B640" t="str">
            <v>Túi viên nang cứng ích mẫu 67x150x16 Traphaco CNC</v>
          </cell>
          <cell r="C640">
            <v>5.8599999999999994</v>
          </cell>
          <cell r="D640">
            <v>4</v>
          </cell>
          <cell r="E640" t="str">
            <v>PET 12x760</v>
          </cell>
          <cell r="F640">
            <v>4</v>
          </cell>
          <cell r="G640" t="str">
            <v>PET</v>
          </cell>
          <cell r="H640">
            <v>0.47</v>
          </cell>
          <cell r="I640">
            <v>0</v>
          </cell>
          <cell r="J640">
            <v>0.47</v>
          </cell>
          <cell r="K640">
            <v>0</v>
          </cell>
          <cell r="L640">
            <v>1.4</v>
          </cell>
          <cell r="M640">
            <v>1.64</v>
          </cell>
          <cell r="N640">
            <v>0</v>
          </cell>
          <cell r="O640">
            <v>0.01</v>
          </cell>
          <cell r="P640">
            <v>1.87</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t="str">
            <v>Al 6x760</v>
          </cell>
          <cell r="AF640" t="str">
            <v>CPP 55x770</v>
          </cell>
          <cell r="AG640">
            <v>6.31636E-2</v>
          </cell>
          <cell r="AH640">
            <v>1.1499999999999999</v>
          </cell>
          <cell r="AI640">
            <v>1.1499999999999999</v>
          </cell>
          <cell r="AJ640">
            <v>9530</v>
          </cell>
          <cell r="AK640">
            <v>9530</v>
          </cell>
          <cell r="AL640" t="str">
            <v>0,0046(0,0023;0,0023)</v>
          </cell>
          <cell r="AM640" t="str">
            <v>túi hàn lưng xếp hông</v>
          </cell>
          <cell r="AN640">
            <v>150</v>
          </cell>
          <cell r="AO640" t="str">
            <v>Công ty Cổ Phần Công Nghệ Cao Traphaco</v>
          </cell>
          <cell r="AP640" t="str">
            <v>20021215-1</v>
          </cell>
          <cell r="AQ640" t="str">
            <v>20021215-2</v>
          </cell>
          <cell r="AR640">
            <v>0</v>
          </cell>
          <cell r="AS640">
            <v>0</v>
          </cell>
          <cell r="AT640">
            <v>0</v>
          </cell>
          <cell r="AU640">
            <v>0</v>
          </cell>
          <cell r="AV640">
            <v>0</v>
          </cell>
          <cell r="AW640">
            <v>0</v>
          </cell>
          <cell r="AX640">
            <v>0</v>
          </cell>
          <cell r="AY640" t="str">
            <v>420x870</v>
          </cell>
          <cell r="AZ640" t="str">
            <v>R2</v>
          </cell>
          <cell r="BA640">
            <v>0</v>
          </cell>
          <cell r="BB640">
            <v>0</v>
          </cell>
          <cell r="BC640">
            <v>0</v>
          </cell>
          <cell r="BD640">
            <v>0</v>
          </cell>
        </row>
        <row r="641">
          <cell r="A641" t="str">
            <v>sp 1162-ĐM01</v>
          </cell>
          <cell r="B641" t="str">
            <v>Cuộn đựng khăn ướt in một màu hở màng 13mm phúc tín đen mờ</v>
          </cell>
          <cell r="C641">
            <v>3.81</v>
          </cell>
          <cell r="D641">
            <v>4</v>
          </cell>
          <cell r="E641" t="str">
            <v>OPP mờ 20x680</v>
          </cell>
          <cell r="F641">
            <v>1</v>
          </cell>
          <cell r="G641" t="str">
            <v>OPP</v>
          </cell>
          <cell r="H641">
            <v>3.81</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t="str">
            <v>MCPP 25x680</v>
          </cell>
          <cell r="AF641">
            <v>0</v>
          </cell>
          <cell r="AG641">
            <v>2.7846000000000003E-2</v>
          </cell>
          <cell r="AH641">
            <v>0.30149999999999999</v>
          </cell>
          <cell r="AI641">
            <v>0</v>
          </cell>
          <cell r="AJ641" t="str">
            <v>keo PP2450FX
ĐR I-2450A</v>
          </cell>
          <cell r="AK641">
            <v>0</v>
          </cell>
          <cell r="AL641">
            <v>1.1999999999999999E-3</v>
          </cell>
          <cell r="AM641" t="str">
            <v>dạng cuộn 1650m</v>
          </cell>
          <cell r="AN641">
            <v>165</v>
          </cell>
          <cell r="AO641" t="str">
            <v>Công ty Phúc Tín</v>
          </cell>
          <cell r="AP641" t="e">
            <v>#N/A</v>
          </cell>
          <cell r="AQ641" t="e">
            <v>#N/A</v>
          </cell>
          <cell r="AR641" t="e">
            <v>#N/A</v>
          </cell>
          <cell r="AS641" t="e">
            <v>#N/A</v>
          </cell>
          <cell r="AT641" t="e">
            <v>#N/A</v>
          </cell>
          <cell r="AU641" t="e">
            <v>#N/A</v>
          </cell>
          <cell r="AV641" t="e">
            <v>#N/A</v>
          </cell>
          <cell r="AW641" t="e">
            <v>#N/A</v>
          </cell>
          <cell r="AX641" t="e">
            <v>#N/A</v>
          </cell>
          <cell r="AY641" t="e">
            <v>#N/A</v>
          </cell>
          <cell r="AZ641" t="e">
            <v>#N/A</v>
          </cell>
          <cell r="BA641">
            <v>0</v>
          </cell>
          <cell r="BB641">
            <v>0</v>
          </cell>
          <cell r="BC641">
            <v>0</v>
          </cell>
          <cell r="BD641" t="e">
            <v>#N/A</v>
          </cell>
        </row>
        <row r="642">
          <cell r="A642" t="str">
            <v>sp 1162-ĐB02</v>
          </cell>
          <cell r="B642" t="str">
            <v>Cuộn đựng khăn ướt in một màu hở màng 13mm phúc tín đen bóng</v>
          </cell>
          <cell r="C642">
            <v>2.84</v>
          </cell>
          <cell r="D642">
            <v>4</v>
          </cell>
          <cell r="E642" t="str">
            <v>OPP 20x680</v>
          </cell>
          <cell r="F642">
            <v>1</v>
          </cell>
          <cell r="G642" t="str">
            <v>OPP</v>
          </cell>
          <cell r="H642">
            <v>2.84</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t="str">
            <v>MCPP 25x680</v>
          </cell>
          <cell r="AF642">
            <v>0</v>
          </cell>
          <cell r="AG642">
            <v>2.7846000000000003E-2</v>
          </cell>
          <cell r="AH642">
            <v>0.30149999999999999</v>
          </cell>
          <cell r="AI642">
            <v>0</v>
          </cell>
          <cell r="AJ642" t="str">
            <v>keo PP2450FX
ĐR I-2450A</v>
          </cell>
          <cell r="AK642">
            <v>0</v>
          </cell>
          <cell r="AL642">
            <v>1.1999999999999999E-3</v>
          </cell>
          <cell r="AM642" t="str">
            <v>dạng cuộn 1650m</v>
          </cell>
          <cell r="AN642">
            <v>165</v>
          </cell>
          <cell r="AO642" t="str">
            <v>Công ty Phúc Tín</v>
          </cell>
          <cell r="AP642" t="e">
            <v>#N/A</v>
          </cell>
          <cell r="AQ642" t="e">
            <v>#N/A</v>
          </cell>
          <cell r="AR642" t="e">
            <v>#N/A</v>
          </cell>
          <cell r="AS642" t="e">
            <v>#N/A</v>
          </cell>
          <cell r="AT642" t="e">
            <v>#N/A</v>
          </cell>
          <cell r="AU642" t="e">
            <v>#N/A</v>
          </cell>
          <cell r="AV642" t="e">
            <v>#N/A</v>
          </cell>
          <cell r="AW642" t="e">
            <v>#N/A</v>
          </cell>
          <cell r="AX642" t="e">
            <v>#N/A</v>
          </cell>
          <cell r="AY642" t="e">
            <v>#N/A</v>
          </cell>
          <cell r="AZ642" t="e">
            <v>#N/A</v>
          </cell>
          <cell r="BA642">
            <v>0</v>
          </cell>
          <cell r="BB642">
            <v>0</v>
          </cell>
          <cell r="BC642">
            <v>0</v>
          </cell>
          <cell r="BD642" t="e">
            <v>#N/A</v>
          </cell>
        </row>
        <row r="643">
          <cell r="A643" t="str">
            <v>sp 1162-N06</v>
          </cell>
          <cell r="B643" t="str">
            <v>Cuộn đựng khăn ướt in một màu hở màng 13mm phúc tín nâu</v>
          </cell>
          <cell r="C643">
            <v>5.5679999999999996</v>
          </cell>
          <cell r="D643">
            <v>4</v>
          </cell>
          <cell r="E643" t="str">
            <v>OPP mờ 20x680</v>
          </cell>
          <cell r="F643">
            <v>1</v>
          </cell>
          <cell r="G643" t="str">
            <v>OPP</v>
          </cell>
          <cell r="H643">
            <v>0.998</v>
          </cell>
          <cell r="I643">
            <v>0</v>
          </cell>
          <cell r="J643">
            <v>0</v>
          </cell>
          <cell r="K643">
            <v>0.39</v>
          </cell>
          <cell r="L643">
            <v>0</v>
          </cell>
          <cell r="M643">
            <v>0</v>
          </cell>
          <cell r="N643">
            <v>0</v>
          </cell>
          <cell r="O643">
            <v>0</v>
          </cell>
          <cell r="P643">
            <v>1.59</v>
          </cell>
          <cell r="Q643">
            <v>0</v>
          </cell>
          <cell r="R643">
            <v>0</v>
          </cell>
          <cell r="S643">
            <v>0</v>
          </cell>
          <cell r="T643">
            <v>2.59</v>
          </cell>
          <cell r="U643">
            <v>0</v>
          </cell>
          <cell r="V643">
            <v>0</v>
          </cell>
          <cell r="W643">
            <v>0</v>
          </cell>
          <cell r="X643">
            <v>0</v>
          </cell>
          <cell r="Y643">
            <v>0</v>
          </cell>
          <cell r="Z643">
            <v>0</v>
          </cell>
          <cell r="AA643">
            <v>0</v>
          </cell>
          <cell r="AB643">
            <v>0</v>
          </cell>
          <cell r="AC643">
            <v>0</v>
          </cell>
          <cell r="AD643">
            <v>0</v>
          </cell>
          <cell r="AE643" t="str">
            <v>MCPP 25x680</v>
          </cell>
          <cell r="AF643">
            <v>0</v>
          </cell>
          <cell r="AG643">
            <v>2.7846000000000003E-2</v>
          </cell>
          <cell r="AH643">
            <v>0.30149999999999999</v>
          </cell>
          <cell r="AI643">
            <v>0</v>
          </cell>
          <cell r="AJ643" t="str">
            <v>keo PP2450FX
ĐR I-2450A</v>
          </cell>
          <cell r="AK643">
            <v>0</v>
          </cell>
          <cell r="AL643">
            <v>1.1999999999999999E-3</v>
          </cell>
          <cell r="AM643" t="str">
            <v>dạng cuộn 1650m</v>
          </cell>
          <cell r="AN643">
            <v>165</v>
          </cell>
          <cell r="AO643" t="str">
            <v>Công ty Phúc Tín</v>
          </cell>
          <cell r="AP643" t="e">
            <v>#N/A</v>
          </cell>
          <cell r="AQ643" t="e">
            <v>#N/A</v>
          </cell>
          <cell r="AR643" t="e">
            <v>#N/A</v>
          </cell>
          <cell r="AS643" t="e">
            <v>#N/A</v>
          </cell>
          <cell r="AT643" t="e">
            <v>#N/A</v>
          </cell>
          <cell r="AU643" t="e">
            <v>#N/A</v>
          </cell>
          <cell r="AV643" t="e">
            <v>#N/A</v>
          </cell>
          <cell r="AW643" t="e">
            <v>#N/A</v>
          </cell>
          <cell r="AX643" t="e">
            <v>#N/A</v>
          </cell>
          <cell r="AY643" t="e">
            <v>#N/A</v>
          </cell>
          <cell r="AZ643" t="e">
            <v>#N/A</v>
          </cell>
          <cell r="BA643">
            <v>0</v>
          </cell>
          <cell r="BB643">
            <v>0</v>
          </cell>
          <cell r="BC643">
            <v>0</v>
          </cell>
          <cell r="BD643" t="e">
            <v>#N/A</v>
          </cell>
        </row>
        <row r="644">
          <cell r="A644" t="str">
            <v>sp 1162-ĐĐ04</v>
          </cell>
          <cell r="B644" t="str">
            <v>Cuộn đựng khăn ướt in một màu hở màng 13mm phúc tín đỏ đô</v>
          </cell>
          <cell r="C644">
            <v>10.238</v>
          </cell>
          <cell r="D644">
            <v>4</v>
          </cell>
          <cell r="E644" t="str">
            <v>OPP mờ 20x680</v>
          </cell>
          <cell r="F644">
            <v>1</v>
          </cell>
          <cell r="G644" t="str">
            <v>OPP</v>
          </cell>
          <cell r="H644">
            <v>0.73799999999999999</v>
          </cell>
          <cell r="I644">
            <v>0</v>
          </cell>
          <cell r="J644">
            <v>0</v>
          </cell>
          <cell r="K644">
            <v>3.5</v>
          </cell>
          <cell r="L644">
            <v>2.21</v>
          </cell>
          <cell r="M644">
            <v>0</v>
          </cell>
          <cell r="N644">
            <v>0</v>
          </cell>
          <cell r="O644">
            <v>0</v>
          </cell>
          <cell r="P644">
            <v>3.78</v>
          </cell>
          <cell r="Q644">
            <v>0</v>
          </cell>
          <cell r="R644">
            <v>0</v>
          </cell>
          <cell r="S644">
            <v>0</v>
          </cell>
          <cell r="T644">
            <v>0.01</v>
          </cell>
          <cell r="U644">
            <v>0</v>
          </cell>
          <cell r="V644">
            <v>0</v>
          </cell>
          <cell r="W644">
            <v>0</v>
          </cell>
          <cell r="X644">
            <v>0</v>
          </cell>
          <cell r="Y644">
            <v>0</v>
          </cell>
          <cell r="Z644">
            <v>0</v>
          </cell>
          <cell r="AA644">
            <v>0</v>
          </cell>
          <cell r="AB644">
            <v>0</v>
          </cell>
          <cell r="AC644">
            <v>0</v>
          </cell>
          <cell r="AD644">
            <v>0</v>
          </cell>
          <cell r="AE644" t="str">
            <v>MCPP 25x680</v>
          </cell>
          <cell r="AF644">
            <v>0</v>
          </cell>
          <cell r="AG644">
            <v>2.7846000000000003E-2</v>
          </cell>
          <cell r="AH644">
            <v>0.30149999999999999</v>
          </cell>
          <cell r="AI644">
            <v>0</v>
          </cell>
          <cell r="AJ644" t="str">
            <v>keo PP2450FX
ĐR I-2450A</v>
          </cell>
          <cell r="AK644">
            <v>0</v>
          </cell>
          <cell r="AL644">
            <v>1.1999999999999999E-3</v>
          </cell>
          <cell r="AM644" t="str">
            <v>dạng cuộn 1650m</v>
          </cell>
          <cell r="AN644">
            <v>165</v>
          </cell>
          <cell r="AO644" t="str">
            <v>Công ty Phúc Tín</v>
          </cell>
          <cell r="AP644" t="e">
            <v>#N/A</v>
          </cell>
          <cell r="AQ644" t="e">
            <v>#N/A</v>
          </cell>
          <cell r="AR644" t="e">
            <v>#N/A</v>
          </cell>
          <cell r="AS644" t="e">
            <v>#N/A</v>
          </cell>
          <cell r="AT644" t="e">
            <v>#N/A</v>
          </cell>
          <cell r="AU644" t="e">
            <v>#N/A</v>
          </cell>
          <cell r="AV644" t="e">
            <v>#N/A</v>
          </cell>
          <cell r="AW644" t="e">
            <v>#N/A</v>
          </cell>
          <cell r="AX644" t="e">
            <v>#N/A</v>
          </cell>
          <cell r="AY644" t="e">
            <v>#N/A</v>
          </cell>
          <cell r="AZ644" t="e">
            <v>#N/A</v>
          </cell>
          <cell r="BA644">
            <v>0</v>
          </cell>
          <cell r="BB644">
            <v>0</v>
          </cell>
          <cell r="BC644">
            <v>0</v>
          </cell>
          <cell r="BD644" t="e">
            <v>#N/A</v>
          </cell>
        </row>
        <row r="645">
          <cell r="A645" t="str">
            <v>sp 1162-ĐT03</v>
          </cell>
          <cell r="B645" t="str">
            <v>Cuộn đựng khăn ướt in một màu hở màng 13mm phúc tín đỏ tươi</v>
          </cell>
          <cell r="C645">
            <v>3.62</v>
          </cell>
          <cell r="D645">
            <v>4</v>
          </cell>
          <cell r="E645" t="str">
            <v>OPP mờ 20x680</v>
          </cell>
          <cell r="F645">
            <v>1</v>
          </cell>
          <cell r="G645" t="str">
            <v>OPP</v>
          </cell>
          <cell r="H645">
            <v>0</v>
          </cell>
          <cell r="I645">
            <v>0</v>
          </cell>
          <cell r="J645">
            <v>0</v>
          </cell>
          <cell r="K645">
            <v>0</v>
          </cell>
          <cell r="L645">
            <v>0</v>
          </cell>
          <cell r="M645">
            <v>0</v>
          </cell>
          <cell r="N645">
            <v>0</v>
          </cell>
          <cell r="O645">
            <v>0</v>
          </cell>
          <cell r="P645">
            <v>3.22</v>
          </cell>
          <cell r="Q645">
            <v>0.4</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t="str">
            <v>MCPP 25x680</v>
          </cell>
          <cell r="AF645">
            <v>0</v>
          </cell>
          <cell r="AG645">
            <v>2.7846000000000003E-2</v>
          </cell>
          <cell r="AH645">
            <v>0.30149999999999999</v>
          </cell>
          <cell r="AI645">
            <v>0</v>
          </cell>
          <cell r="AJ645" t="str">
            <v>keo PP2450FX
ĐR I-2450A</v>
          </cell>
          <cell r="AK645">
            <v>0</v>
          </cell>
          <cell r="AL645">
            <v>1.1999999999999999E-3</v>
          </cell>
          <cell r="AM645" t="str">
            <v>dạng cuộn 1650m</v>
          </cell>
          <cell r="AN645">
            <v>165</v>
          </cell>
          <cell r="AO645" t="str">
            <v>Công ty Phúc Tín</v>
          </cell>
          <cell r="AP645" t="e">
            <v>#N/A</v>
          </cell>
          <cell r="AQ645" t="e">
            <v>#N/A</v>
          </cell>
          <cell r="AR645" t="e">
            <v>#N/A</v>
          </cell>
          <cell r="AS645" t="e">
            <v>#N/A</v>
          </cell>
          <cell r="AT645" t="e">
            <v>#N/A</v>
          </cell>
          <cell r="AU645" t="e">
            <v>#N/A</v>
          </cell>
          <cell r="AV645" t="e">
            <v>#N/A</v>
          </cell>
          <cell r="AW645" t="e">
            <v>#N/A</v>
          </cell>
          <cell r="AX645" t="e">
            <v>#N/A</v>
          </cell>
          <cell r="AY645" t="e">
            <v>#N/A</v>
          </cell>
          <cell r="AZ645" t="e">
            <v>#N/A</v>
          </cell>
          <cell r="BA645">
            <v>0</v>
          </cell>
          <cell r="BB645">
            <v>0</v>
          </cell>
          <cell r="BC645">
            <v>0</v>
          </cell>
          <cell r="BD645" t="e">
            <v>#N/A</v>
          </cell>
        </row>
        <row r="646">
          <cell r="A646" t="str">
            <v>sp 1162-VC10</v>
          </cell>
          <cell r="B646" t="str">
            <v>Cuộn đựng khăn ướt in một màu hở màng 13mm phúc tín vàng cháy</v>
          </cell>
          <cell r="C646">
            <v>6.49</v>
          </cell>
          <cell r="D646">
            <v>4</v>
          </cell>
          <cell r="E646" t="str">
            <v>OPP mờ 20x680</v>
          </cell>
          <cell r="F646">
            <v>1</v>
          </cell>
          <cell r="G646" t="str">
            <v>OPP</v>
          </cell>
          <cell r="H646">
            <v>0</v>
          </cell>
          <cell r="I646">
            <v>3.15</v>
          </cell>
          <cell r="J646">
            <v>0</v>
          </cell>
          <cell r="K646">
            <v>0</v>
          </cell>
          <cell r="L646">
            <v>3.34</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t="str">
            <v>MCPP 25x680</v>
          </cell>
          <cell r="AF646">
            <v>0</v>
          </cell>
          <cell r="AG646">
            <v>2.7846000000000003E-2</v>
          </cell>
          <cell r="AH646">
            <v>0.30149999999999999</v>
          </cell>
          <cell r="AI646">
            <v>0</v>
          </cell>
          <cell r="AJ646" t="str">
            <v>keo PP2450FX
ĐR I-2450A</v>
          </cell>
          <cell r="AK646">
            <v>0</v>
          </cell>
          <cell r="AL646">
            <v>1.1999999999999999E-3</v>
          </cell>
          <cell r="AM646" t="str">
            <v>dạng cuộn 1650m</v>
          </cell>
          <cell r="AN646">
            <v>165</v>
          </cell>
          <cell r="AO646" t="str">
            <v>Công ty Phúc Tín</v>
          </cell>
          <cell r="AP646" t="e">
            <v>#N/A</v>
          </cell>
          <cell r="AQ646" t="e">
            <v>#N/A</v>
          </cell>
          <cell r="AR646" t="e">
            <v>#N/A</v>
          </cell>
          <cell r="AS646" t="e">
            <v>#N/A</v>
          </cell>
          <cell r="AT646" t="e">
            <v>#N/A</v>
          </cell>
          <cell r="AU646" t="e">
            <v>#N/A</v>
          </cell>
          <cell r="AV646" t="e">
            <v>#N/A</v>
          </cell>
          <cell r="AW646" t="e">
            <v>#N/A</v>
          </cell>
          <cell r="AX646" t="e">
            <v>#N/A</v>
          </cell>
          <cell r="AY646" t="e">
            <v>#N/A</v>
          </cell>
          <cell r="AZ646" t="e">
            <v>#N/A</v>
          </cell>
          <cell r="BA646">
            <v>0</v>
          </cell>
          <cell r="BB646">
            <v>0</v>
          </cell>
          <cell r="BC646">
            <v>0</v>
          </cell>
          <cell r="BD646" t="e">
            <v>#N/A</v>
          </cell>
        </row>
        <row r="647">
          <cell r="A647" t="str">
            <v>sp 1162-XT08</v>
          </cell>
          <cell r="B647" t="str">
            <v>Cuộn đựng khăn ướt in một màu hở màng 13mm phúc tín xanh tím</v>
          </cell>
          <cell r="C647">
            <v>3.01</v>
          </cell>
          <cell r="D647">
            <v>4</v>
          </cell>
          <cell r="E647" t="str">
            <v>OPP mờ 20x680</v>
          </cell>
          <cell r="F647">
            <v>1</v>
          </cell>
          <cell r="G647" t="str">
            <v>OPP</v>
          </cell>
          <cell r="H647">
            <v>0.4</v>
          </cell>
          <cell r="I647">
            <v>0</v>
          </cell>
          <cell r="J647">
            <v>0</v>
          </cell>
          <cell r="K647">
            <v>0</v>
          </cell>
          <cell r="L647">
            <v>0</v>
          </cell>
          <cell r="M647">
            <v>0</v>
          </cell>
          <cell r="N647">
            <v>0</v>
          </cell>
          <cell r="O647">
            <v>0</v>
          </cell>
          <cell r="P647">
            <v>0</v>
          </cell>
          <cell r="Q647">
            <v>0</v>
          </cell>
          <cell r="R647">
            <v>2.61</v>
          </cell>
          <cell r="S647">
            <v>0</v>
          </cell>
          <cell r="T647">
            <v>0</v>
          </cell>
          <cell r="U647">
            <v>0</v>
          </cell>
          <cell r="V647">
            <v>0</v>
          </cell>
          <cell r="W647">
            <v>0</v>
          </cell>
          <cell r="X647">
            <v>0</v>
          </cell>
          <cell r="Y647">
            <v>0</v>
          </cell>
          <cell r="Z647">
            <v>0</v>
          </cell>
          <cell r="AA647">
            <v>0</v>
          </cell>
          <cell r="AB647">
            <v>0</v>
          </cell>
          <cell r="AC647">
            <v>0</v>
          </cell>
          <cell r="AD647">
            <v>0</v>
          </cell>
          <cell r="AE647" t="str">
            <v>MCPP 25x680</v>
          </cell>
          <cell r="AF647">
            <v>0</v>
          </cell>
          <cell r="AG647">
            <v>2.7846000000000003E-2</v>
          </cell>
          <cell r="AH647">
            <v>0.30149999999999999</v>
          </cell>
          <cell r="AI647">
            <v>0</v>
          </cell>
          <cell r="AJ647" t="str">
            <v>keo PP2450FX
ĐR I-2450A</v>
          </cell>
          <cell r="AK647">
            <v>0</v>
          </cell>
          <cell r="AL647">
            <v>1.1999999999999999E-3</v>
          </cell>
          <cell r="AM647" t="str">
            <v>dạng cuộn 1650m</v>
          </cell>
          <cell r="AN647">
            <v>165</v>
          </cell>
          <cell r="AO647" t="str">
            <v>Công ty Phúc Tín</v>
          </cell>
          <cell r="AP647" t="e">
            <v>#N/A</v>
          </cell>
          <cell r="AQ647" t="e">
            <v>#N/A</v>
          </cell>
          <cell r="AR647" t="e">
            <v>#N/A</v>
          </cell>
          <cell r="AS647" t="e">
            <v>#N/A</v>
          </cell>
          <cell r="AT647" t="e">
            <v>#N/A</v>
          </cell>
          <cell r="AU647" t="e">
            <v>#N/A</v>
          </cell>
          <cell r="AV647" t="e">
            <v>#N/A</v>
          </cell>
          <cell r="AW647" t="e">
            <v>#N/A</v>
          </cell>
          <cell r="AX647" t="e">
            <v>#N/A</v>
          </cell>
          <cell r="AY647" t="e">
            <v>#N/A</v>
          </cell>
          <cell r="AZ647" t="e">
            <v>#N/A</v>
          </cell>
          <cell r="BA647">
            <v>0</v>
          </cell>
          <cell r="BB647">
            <v>0</v>
          </cell>
          <cell r="BC647">
            <v>0</v>
          </cell>
          <cell r="BD647" t="e">
            <v>#N/A</v>
          </cell>
        </row>
        <row r="648">
          <cell r="A648" t="str">
            <v>sp 1162-VĐ11</v>
          </cell>
          <cell r="B648" t="str">
            <v>Cuộn đựng khăn ướt in một màu hở màng 13mm phúc tín vàng đồng</v>
          </cell>
          <cell r="C648">
            <v>6.2</v>
          </cell>
          <cell r="D648">
            <v>4</v>
          </cell>
          <cell r="E648" t="str">
            <v>OPP 20x680</v>
          </cell>
          <cell r="F648">
            <v>1</v>
          </cell>
          <cell r="G648" t="str">
            <v>OPP</v>
          </cell>
          <cell r="H648">
            <v>0</v>
          </cell>
          <cell r="I648">
            <v>0</v>
          </cell>
          <cell r="J648">
            <v>0</v>
          </cell>
          <cell r="K648">
            <v>0</v>
          </cell>
          <cell r="L648">
            <v>0</v>
          </cell>
          <cell r="M648">
            <v>0</v>
          </cell>
          <cell r="N648">
            <v>6.2</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t="str">
            <v>MCPP 25x680</v>
          </cell>
          <cell r="AF648">
            <v>0</v>
          </cell>
          <cell r="AG648">
            <v>2.7846000000000003E-2</v>
          </cell>
          <cell r="AH648">
            <v>0.30149999999999999</v>
          </cell>
          <cell r="AI648">
            <v>0</v>
          </cell>
          <cell r="AJ648" t="str">
            <v>keo PP2450FX
ĐR I-2450A</v>
          </cell>
          <cell r="AK648">
            <v>0</v>
          </cell>
          <cell r="AL648">
            <v>1.1999999999999999E-3</v>
          </cell>
          <cell r="AM648" t="str">
            <v>dạng cuộn 1650m</v>
          </cell>
          <cell r="AN648">
            <v>165</v>
          </cell>
          <cell r="AO648" t="str">
            <v>Công ty Phúc Tín</v>
          </cell>
          <cell r="AP648" t="e">
            <v>#N/A</v>
          </cell>
          <cell r="AQ648" t="e">
            <v>#N/A</v>
          </cell>
          <cell r="AR648" t="e">
            <v>#N/A</v>
          </cell>
          <cell r="AS648" t="e">
            <v>#N/A</v>
          </cell>
          <cell r="AT648" t="e">
            <v>#N/A</v>
          </cell>
          <cell r="AU648" t="e">
            <v>#N/A</v>
          </cell>
          <cell r="AV648" t="e">
            <v>#N/A</v>
          </cell>
          <cell r="AW648" t="e">
            <v>#N/A</v>
          </cell>
          <cell r="AX648" t="e">
            <v>#N/A</v>
          </cell>
          <cell r="AY648" t="e">
            <v>#N/A</v>
          </cell>
          <cell r="AZ648" t="e">
            <v>#N/A</v>
          </cell>
          <cell r="BA648">
            <v>0</v>
          </cell>
          <cell r="BB648">
            <v>0</v>
          </cell>
          <cell r="BC648">
            <v>0</v>
          </cell>
          <cell r="BD648" t="e">
            <v>#N/A</v>
          </cell>
        </row>
        <row r="649">
          <cell r="A649" t="str">
            <v>sp 1162-XD07</v>
          </cell>
          <cell r="B649" t="str">
            <v>Cuộn đựng khăn ướt in một màu hở màng 13mm phúc tín xanh dương</v>
          </cell>
          <cell r="C649">
            <v>7</v>
          </cell>
          <cell r="D649">
            <v>4</v>
          </cell>
          <cell r="E649" t="str">
            <v>OPP mờ 20x680</v>
          </cell>
          <cell r="F649">
            <v>1</v>
          </cell>
          <cell r="G649" t="str">
            <v>OPP</v>
          </cell>
          <cell r="H649">
            <v>0</v>
          </cell>
          <cell r="I649">
            <v>0</v>
          </cell>
          <cell r="J649">
            <v>1.8</v>
          </cell>
          <cell r="K649">
            <v>0</v>
          </cell>
          <cell r="L649">
            <v>0</v>
          </cell>
          <cell r="M649">
            <v>0</v>
          </cell>
          <cell r="N649">
            <v>0</v>
          </cell>
          <cell r="O649">
            <v>0</v>
          </cell>
          <cell r="P649">
            <v>0</v>
          </cell>
          <cell r="Q649">
            <v>0</v>
          </cell>
          <cell r="R649">
            <v>5.2</v>
          </cell>
          <cell r="S649">
            <v>0</v>
          </cell>
          <cell r="T649">
            <v>0</v>
          </cell>
          <cell r="U649">
            <v>0</v>
          </cell>
          <cell r="V649">
            <v>0</v>
          </cell>
          <cell r="W649">
            <v>0</v>
          </cell>
          <cell r="X649">
            <v>0</v>
          </cell>
          <cell r="Y649">
            <v>0</v>
          </cell>
          <cell r="Z649">
            <v>0</v>
          </cell>
          <cell r="AA649">
            <v>0</v>
          </cell>
          <cell r="AB649">
            <v>0</v>
          </cell>
          <cell r="AC649">
            <v>0</v>
          </cell>
          <cell r="AD649">
            <v>0</v>
          </cell>
          <cell r="AE649" t="str">
            <v>MCPP 25x680</v>
          </cell>
          <cell r="AF649">
            <v>0</v>
          </cell>
          <cell r="AG649">
            <v>2.7846000000000003E-2</v>
          </cell>
          <cell r="AH649">
            <v>0.30149999999999999</v>
          </cell>
          <cell r="AI649">
            <v>0</v>
          </cell>
          <cell r="AJ649" t="str">
            <v>keo PP2450FX
ĐR I-2450A</v>
          </cell>
          <cell r="AK649">
            <v>0</v>
          </cell>
          <cell r="AL649">
            <v>1.1999999999999999E-3</v>
          </cell>
          <cell r="AM649" t="str">
            <v>dạng cuộn 1650m</v>
          </cell>
          <cell r="AN649">
            <v>165</v>
          </cell>
          <cell r="AO649" t="str">
            <v>Công ty Phúc Tín</v>
          </cell>
          <cell r="AP649" t="e">
            <v>#N/A</v>
          </cell>
          <cell r="AQ649" t="e">
            <v>#N/A</v>
          </cell>
          <cell r="AR649" t="e">
            <v>#N/A</v>
          </cell>
          <cell r="AS649" t="e">
            <v>#N/A</v>
          </cell>
          <cell r="AT649" t="e">
            <v>#N/A</v>
          </cell>
          <cell r="AU649" t="e">
            <v>#N/A</v>
          </cell>
          <cell r="AV649" t="e">
            <v>#N/A</v>
          </cell>
          <cell r="AW649" t="e">
            <v>#N/A</v>
          </cell>
          <cell r="AX649" t="e">
            <v>#N/A</v>
          </cell>
          <cell r="AY649" t="e">
            <v>#N/A</v>
          </cell>
          <cell r="AZ649" t="e">
            <v>#N/A</v>
          </cell>
          <cell r="BA649">
            <v>0</v>
          </cell>
          <cell r="BB649">
            <v>0</v>
          </cell>
          <cell r="BC649">
            <v>0</v>
          </cell>
          <cell r="BD649" t="e">
            <v>#N/A</v>
          </cell>
        </row>
        <row r="650">
          <cell r="A650" t="str">
            <v>sp 1162-VK09</v>
          </cell>
          <cell r="B650" t="str">
            <v>Cuộn đựng khăn ướt in một màu hở màng 13mm phúc tín vàng kem</v>
          </cell>
          <cell r="C650">
            <v>7</v>
          </cell>
          <cell r="D650">
            <v>4</v>
          </cell>
          <cell r="E650" t="str">
            <v>OPP mờ 20x680</v>
          </cell>
          <cell r="F650">
            <v>1</v>
          </cell>
          <cell r="G650" t="str">
            <v>OPP</v>
          </cell>
          <cell r="H650">
            <v>0</v>
          </cell>
          <cell r="I650">
            <v>0</v>
          </cell>
          <cell r="J650">
            <v>1.8</v>
          </cell>
          <cell r="K650">
            <v>0</v>
          </cell>
          <cell r="L650">
            <v>0</v>
          </cell>
          <cell r="M650">
            <v>0</v>
          </cell>
          <cell r="N650">
            <v>0</v>
          </cell>
          <cell r="O650">
            <v>0</v>
          </cell>
          <cell r="P650">
            <v>0</v>
          </cell>
          <cell r="Q650">
            <v>0</v>
          </cell>
          <cell r="R650">
            <v>5.2</v>
          </cell>
          <cell r="S650">
            <v>0</v>
          </cell>
          <cell r="T650">
            <v>0</v>
          </cell>
          <cell r="U650">
            <v>0</v>
          </cell>
          <cell r="V650">
            <v>0</v>
          </cell>
          <cell r="W650">
            <v>0</v>
          </cell>
          <cell r="X650">
            <v>0</v>
          </cell>
          <cell r="Y650">
            <v>0</v>
          </cell>
          <cell r="Z650">
            <v>0</v>
          </cell>
          <cell r="AA650">
            <v>0</v>
          </cell>
          <cell r="AB650">
            <v>0</v>
          </cell>
          <cell r="AC650">
            <v>0</v>
          </cell>
          <cell r="AD650">
            <v>0</v>
          </cell>
          <cell r="AE650" t="str">
            <v>MCPP 25x680</v>
          </cell>
          <cell r="AF650">
            <v>0</v>
          </cell>
          <cell r="AG650">
            <v>2.7846000000000003E-2</v>
          </cell>
          <cell r="AH650">
            <v>0.30149999999999999</v>
          </cell>
          <cell r="AI650">
            <v>0</v>
          </cell>
          <cell r="AJ650" t="str">
            <v>keo PP2450FX
ĐR I-2450A</v>
          </cell>
          <cell r="AK650">
            <v>0</v>
          </cell>
          <cell r="AL650">
            <v>1.1999999999999999E-3</v>
          </cell>
          <cell r="AM650" t="str">
            <v>dạng cuộn 1650m</v>
          </cell>
          <cell r="AN650">
            <v>165</v>
          </cell>
          <cell r="AO650" t="str">
            <v>Công ty Phúc Tín</v>
          </cell>
          <cell r="AP650" t="e">
            <v>#N/A</v>
          </cell>
          <cell r="AQ650" t="e">
            <v>#N/A</v>
          </cell>
          <cell r="AR650" t="e">
            <v>#N/A</v>
          </cell>
          <cell r="AS650" t="e">
            <v>#N/A</v>
          </cell>
          <cell r="AT650" t="e">
            <v>#N/A</v>
          </cell>
          <cell r="AU650" t="e">
            <v>#N/A</v>
          </cell>
          <cell r="AV650" t="e">
            <v>#N/A</v>
          </cell>
          <cell r="AW650" t="e">
            <v>#N/A</v>
          </cell>
          <cell r="AX650" t="e">
            <v>#N/A</v>
          </cell>
          <cell r="AY650" t="e">
            <v>#N/A</v>
          </cell>
          <cell r="AZ650" t="e">
            <v>#N/A</v>
          </cell>
          <cell r="BA650">
            <v>0</v>
          </cell>
          <cell r="BB650">
            <v>0</v>
          </cell>
          <cell r="BC650">
            <v>0</v>
          </cell>
          <cell r="BD650" t="e">
            <v>#N/A</v>
          </cell>
        </row>
        <row r="651">
          <cell r="A651" t="str">
            <v>sp 1162-TS05</v>
          </cell>
          <cell r="B651" t="str">
            <v>Cuộn đựng khăn ướt in một màu hở màng 13mm phúc tín trắng sứ</v>
          </cell>
          <cell r="C651">
            <v>2.86</v>
          </cell>
          <cell r="D651">
            <v>4</v>
          </cell>
          <cell r="E651" t="str">
            <v>OPP mờ 20x680</v>
          </cell>
          <cell r="F651">
            <v>1</v>
          </cell>
          <cell r="G651" t="str">
            <v>OPP</v>
          </cell>
          <cell r="H651">
            <v>0</v>
          </cell>
          <cell r="I651">
            <v>0</v>
          </cell>
          <cell r="J651">
            <v>2.097</v>
          </cell>
          <cell r="K651">
            <v>0</v>
          </cell>
          <cell r="L651">
            <v>0</v>
          </cell>
          <cell r="M651">
            <v>0.76300000000000001</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t="str">
            <v>MCPP 25x680</v>
          </cell>
          <cell r="AF651">
            <v>0</v>
          </cell>
          <cell r="AG651">
            <v>2.7846000000000003E-2</v>
          </cell>
          <cell r="AH651">
            <v>0.30149999999999999</v>
          </cell>
          <cell r="AI651">
            <v>0</v>
          </cell>
          <cell r="AJ651" t="str">
            <v>keo PP2450FX
ĐR I-2450A</v>
          </cell>
          <cell r="AK651">
            <v>0</v>
          </cell>
          <cell r="AL651">
            <v>1.1999999999999999E-3</v>
          </cell>
          <cell r="AM651" t="str">
            <v>dạng cuộn 1650m</v>
          </cell>
          <cell r="AN651">
            <v>165</v>
          </cell>
          <cell r="AO651" t="str">
            <v>Công ty Phúc Tín</v>
          </cell>
          <cell r="AP651" t="e">
            <v>#N/A</v>
          </cell>
          <cell r="AQ651" t="e">
            <v>#N/A</v>
          </cell>
          <cell r="AR651" t="e">
            <v>#N/A</v>
          </cell>
          <cell r="AS651" t="e">
            <v>#N/A</v>
          </cell>
          <cell r="AT651" t="e">
            <v>#N/A</v>
          </cell>
          <cell r="AU651" t="e">
            <v>#N/A</v>
          </cell>
          <cell r="AV651" t="e">
            <v>#N/A</v>
          </cell>
          <cell r="AW651" t="e">
            <v>#N/A</v>
          </cell>
          <cell r="AX651" t="e">
            <v>#N/A</v>
          </cell>
          <cell r="AY651" t="e">
            <v>#N/A</v>
          </cell>
          <cell r="AZ651" t="e">
            <v>#N/A</v>
          </cell>
          <cell r="BA651">
            <v>0</v>
          </cell>
          <cell r="BB651">
            <v>0</v>
          </cell>
          <cell r="BC651">
            <v>0</v>
          </cell>
          <cell r="BD651" t="e">
            <v>#N/A</v>
          </cell>
        </row>
        <row r="652">
          <cell r="A652" t="str">
            <v>sp 1163</v>
          </cell>
          <cell r="B652" t="str">
            <v>Cuộn thuốc thú y TA.Gluco.K.C 100gr Năm Thái</v>
          </cell>
          <cell r="C652">
            <v>0.01</v>
          </cell>
          <cell r="D652">
            <v>3</v>
          </cell>
          <cell r="E652" t="str">
            <v>OPP 30x770</v>
          </cell>
          <cell r="F652">
            <v>1</v>
          </cell>
          <cell r="G652" t="str">
            <v>OPP</v>
          </cell>
          <cell r="H652">
            <v>0</v>
          </cell>
          <cell r="I652">
            <v>0</v>
          </cell>
          <cell r="J652">
            <v>0</v>
          </cell>
          <cell r="K652">
            <v>0</v>
          </cell>
          <cell r="L652">
            <v>0</v>
          </cell>
          <cell r="M652">
            <v>0</v>
          </cell>
          <cell r="N652">
            <v>0</v>
          </cell>
          <cell r="O652">
            <v>0.01</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t="str">
            <v>MPET 12x770</v>
          </cell>
          <cell r="AF652" t="str">
            <v>PE 35x770</v>
          </cell>
          <cell r="AG652">
            <v>5.8885750000000014E-2</v>
          </cell>
          <cell r="AH652">
            <v>1.1653333333333333</v>
          </cell>
          <cell r="AI652">
            <v>1.1653333333333333</v>
          </cell>
          <cell r="AJ652">
            <v>9530</v>
          </cell>
          <cell r="AK652">
            <v>9530</v>
          </cell>
          <cell r="AL652" t="str">
            <v>0,0046(0,0023;0,0023)</v>
          </cell>
          <cell r="AM652" t="str">
            <v>dạng cuộn 1,000m</v>
          </cell>
          <cell r="AN652">
            <v>250</v>
          </cell>
          <cell r="AO652" t="str">
            <v>Công ty Năm Thái</v>
          </cell>
          <cell r="AP652" t="str">
            <v>20030584-1</v>
          </cell>
          <cell r="AQ652">
            <v>0</v>
          </cell>
          <cell r="AR652">
            <v>0</v>
          </cell>
          <cell r="AS652">
            <v>0</v>
          </cell>
          <cell r="AT652">
            <v>0</v>
          </cell>
          <cell r="AU652">
            <v>0</v>
          </cell>
          <cell r="AV652">
            <v>0</v>
          </cell>
          <cell r="AW652">
            <v>0</v>
          </cell>
          <cell r="AX652">
            <v>0</v>
          </cell>
          <cell r="AY652" t="str">
            <v>495x870</v>
          </cell>
          <cell r="AZ652" t="str">
            <v>R2</v>
          </cell>
          <cell r="BA652">
            <v>0</v>
          </cell>
          <cell r="BB652">
            <v>0</v>
          </cell>
          <cell r="BC652">
            <v>0</v>
          </cell>
          <cell r="BD652">
            <v>0</v>
          </cell>
        </row>
        <row r="653">
          <cell r="A653" t="str">
            <v>sp 1164</v>
          </cell>
          <cell r="B653" t="str">
            <v>Cuộn thuốc thú y Gluco.K.C.B2 100gr Năm Thái</v>
          </cell>
          <cell r="C653">
            <v>1.1200000000000001</v>
          </cell>
          <cell r="D653">
            <v>3</v>
          </cell>
          <cell r="E653" t="str">
            <v>OPP 30x770</v>
          </cell>
          <cell r="F653">
            <v>1</v>
          </cell>
          <cell r="G653" t="str">
            <v>OPP</v>
          </cell>
          <cell r="H653">
            <v>0</v>
          </cell>
          <cell r="I653">
            <v>0</v>
          </cell>
          <cell r="J653">
            <v>0</v>
          </cell>
          <cell r="K653">
            <v>0</v>
          </cell>
          <cell r="L653">
            <v>0</v>
          </cell>
          <cell r="M653">
            <v>0</v>
          </cell>
          <cell r="N653">
            <v>0</v>
          </cell>
          <cell r="O653">
            <v>1.1200000000000001</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t="str">
            <v>MPET 12x770</v>
          </cell>
          <cell r="AF653" t="str">
            <v>PE 35x770</v>
          </cell>
          <cell r="AG653">
            <v>5.8885750000000014E-2</v>
          </cell>
          <cell r="AH653">
            <v>1.1653333333333333</v>
          </cell>
          <cell r="AI653">
            <v>1.1653333333333333</v>
          </cell>
          <cell r="AJ653">
            <v>9530</v>
          </cell>
          <cell r="AK653">
            <v>9530</v>
          </cell>
          <cell r="AL653" t="str">
            <v>0,0046(0,0023;0,0023)</v>
          </cell>
          <cell r="AM653" t="str">
            <v>dạng cuộn 1,000m</v>
          </cell>
          <cell r="AN653">
            <v>250</v>
          </cell>
          <cell r="AO653" t="str">
            <v>Công ty Năm Thái</v>
          </cell>
          <cell r="AP653" t="str">
            <v>20030583-1</v>
          </cell>
          <cell r="AQ653">
            <v>0</v>
          </cell>
          <cell r="AR653">
            <v>0</v>
          </cell>
          <cell r="AS653">
            <v>0</v>
          </cell>
          <cell r="AT653">
            <v>0</v>
          </cell>
          <cell r="AU653">
            <v>0</v>
          </cell>
          <cell r="AV653">
            <v>0</v>
          </cell>
          <cell r="AW653">
            <v>0</v>
          </cell>
          <cell r="AX653">
            <v>0</v>
          </cell>
          <cell r="AY653" t="str">
            <v>495x870</v>
          </cell>
          <cell r="AZ653" t="str">
            <v>R2</v>
          </cell>
          <cell r="BA653">
            <v>0</v>
          </cell>
          <cell r="BB653">
            <v>0</v>
          </cell>
          <cell r="BC653">
            <v>0</v>
          </cell>
          <cell r="BD653">
            <v>0</v>
          </cell>
        </row>
        <row r="654">
          <cell r="A654" t="str">
            <v>sp 1165</v>
          </cell>
          <cell r="B654" t="str">
            <v>Cuộn màng dán khay thịt nhật nguyên</v>
          </cell>
          <cell r="C654">
            <v>0.34</v>
          </cell>
          <cell r="D654">
            <v>2</v>
          </cell>
          <cell r="E654" t="str">
            <v>PET 12x740</v>
          </cell>
          <cell r="F654">
            <v>1</v>
          </cell>
          <cell r="G654" t="str">
            <v>PET</v>
          </cell>
          <cell r="H654">
            <v>0.34</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t="str">
            <v>PE 60x740</v>
          </cell>
          <cell r="AF654">
            <v>0</v>
          </cell>
          <cell r="AG654">
            <v>5.3502000000000001E-2</v>
          </cell>
          <cell r="AH654">
            <v>0.97333333333333327</v>
          </cell>
          <cell r="AI654">
            <v>0</v>
          </cell>
          <cell r="AJ654">
            <v>9530</v>
          </cell>
          <cell r="AK654">
            <v>0</v>
          </cell>
          <cell r="AL654">
            <v>2E-3</v>
          </cell>
          <cell r="AM654" t="str">
            <v>dạng cuộn 700m</v>
          </cell>
          <cell r="AN654">
            <v>360</v>
          </cell>
          <cell r="AO654" t="str">
            <v>Công ty Nhật Nguyên</v>
          </cell>
          <cell r="AP654" t="str">
            <v>X102176-1</v>
          </cell>
          <cell r="AQ654">
            <v>0</v>
          </cell>
          <cell r="AR654">
            <v>0</v>
          </cell>
          <cell r="AS654">
            <v>0</v>
          </cell>
          <cell r="AT654">
            <v>0</v>
          </cell>
          <cell r="AU654">
            <v>0</v>
          </cell>
          <cell r="AV654">
            <v>0</v>
          </cell>
          <cell r="AW654">
            <v>0</v>
          </cell>
          <cell r="AX654">
            <v>0</v>
          </cell>
          <cell r="AY654" t="str">
            <v>520x850</v>
          </cell>
          <cell r="AZ654" t="str">
            <v>P1</v>
          </cell>
          <cell r="BA654">
            <v>0</v>
          </cell>
          <cell r="BB654" t="str">
            <v>giấy cartoon</v>
          </cell>
          <cell r="BC654">
            <v>0</v>
          </cell>
          <cell r="BD654" t="str">
            <v>In chung sp 857</v>
          </cell>
        </row>
        <row r="655">
          <cell r="A655" t="str">
            <v>sp 1166</v>
          </cell>
          <cell r="B655" t="str">
            <v>Cuộn thuốc thú y không in ghép PE sứ khổ 240 Winvet</v>
          </cell>
          <cell r="C655">
            <v>0</v>
          </cell>
          <cell r="D655">
            <v>4</v>
          </cell>
          <cell r="E655" t="str">
            <v>OPP 20x980</v>
          </cell>
          <cell r="F655">
            <v>0</v>
          </cell>
          <cell r="G655" t="str">
            <v>OPP</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t="str">
            <v>PE sứ 80x980</v>
          </cell>
          <cell r="AF655">
            <v>0</v>
          </cell>
          <cell r="AG655">
            <v>9.0356000000000006E-2</v>
          </cell>
          <cell r="AH655">
            <v>1.4873333333333332</v>
          </cell>
          <cell r="AI655">
            <v>0</v>
          </cell>
          <cell r="AJ655">
            <v>0</v>
          </cell>
          <cell r="AK655">
            <v>0</v>
          </cell>
          <cell r="AL655">
            <v>0</v>
          </cell>
          <cell r="AM655">
            <v>0</v>
          </cell>
          <cell r="AN655">
            <v>0</v>
          </cell>
          <cell r="AO655">
            <v>0</v>
          </cell>
          <cell r="AP655" t="e">
            <v>#N/A</v>
          </cell>
          <cell r="AQ655" t="e">
            <v>#N/A</v>
          </cell>
          <cell r="AR655" t="e">
            <v>#N/A</v>
          </cell>
          <cell r="AS655" t="e">
            <v>#N/A</v>
          </cell>
          <cell r="AT655" t="e">
            <v>#N/A</v>
          </cell>
          <cell r="AU655" t="e">
            <v>#N/A</v>
          </cell>
          <cell r="AV655" t="e">
            <v>#N/A</v>
          </cell>
          <cell r="AW655" t="e">
            <v>#N/A</v>
          </cell>
          <cell r="AX655" t="e">
            <v>#N/A</v>
          </cell>
          <cell r="AY655" t="e">
            <v>#N/A</v>
          </cell>
          <cell r="AZ655" t="e">
            <v>#N/A</v>
          </cell>
          <cell r="BA655">
            <v>0</v>
          </cell>
          <cell r="BB655">
            <v>0</v>
          </cell>
          <cell r="BC655">
            <v>0</v>
          </cell>
          <cell r="BD655" t="e">
            <v>#N/A</v>
          </cell>
        </row>
        <row r="656">
          <cell r="A656" t="str">
            <v>sp 1167</v>
          </cell>
          <cell r="B656" t="str">
            <v>Túi ngô nếp TBM 18 100gr Thái Bình</v>
          </cell>
          <cell r="C656">
            <v>12.007999999999997</v>
          </cell>
          <cell r="D656">
            <v>3</v>
          </cell>
          <cell r="E656" t="str">
            <v>PET 12x800</v>
          </cell>
          <cell r="F656">
            <v>7</v>
          </cell>
          <cell r="G656" t="str">
            <v>PET</v>
          </cell>
          <cell r="H656">
            <v>0.31</v>
          </cell>
          <cell r="I656">
            <v>4.0999999999999996</v>
          </cell>
          <cell r="J656">
            <v>0.01</v>
          </cell>
          <cell r="K656">
            <v>0.94799999999999995</v>
          </cell>
          <cell r="L656">
            <v>4.0999999999999996</v>
          </cell>
          <cell r="M656">
            <v>2.52</v>
          </cell>
          <cell r="N656">
            <v>0</v>
          </cell>
          <cell r="O656">
            <v>0.01</v>
          </cell>
          <cell r="P656">
            <v>0</v>
          </cell>
          <cell r="Q656">
            <v>0</v>
          </cell>
          <cell r="R656">
            <v>0</v>
          </cell>
          <cell r="S656">
            <v>0</v>
          </cell>
          <cell r="T656">
            <v>0.01</v>
          </cell>
          <cell r="U656">
            <v>0</v>
          </cell>
          <cell r="V656">
            <v>0</v>
          </cell>
          <cell r="W656">
            <v>0</v>
          </cell>
          <cell r="X656">
            <v>0</v>
          </cell>
          <cell r="Y656">
            <v>0</v>
          </cell>
          <cell r="Z656">
            <v>0</v>
          </cell>
          <cell r="AA656">
            <v>0</v>
          </cell>
          <cell r="AB656">
            <v>0</v>
          </cell>
          <cell r="AC656">
            <v>0</v>
          </cell>
          <cell r="AD656">
            <v>0</v>
          </cell>
          <cell r="AE656" t="str">
            <v>MPET 12x800</v>
          </cell>
          <cell r="AF656" t="str">
            <v>PE 85x800</v>
          </cell>
          <cell r="AG656">
            <v>8.9780000000000026E-2</v>
          </cell>
          <cell r="AH656">
            <v>1.2113333333333334</v>
          </cell>
          <cell r="AI656">
            <v>1.2113333333333334</v>
          </cell>
          <cell r="AJ656">
            <v>9530</v>
          </cell>
          <cell r="AK656">
            <v>9530</v>
          </cell>
          <cell r="AL656" t="str">
            <v>0,0046(0,0023;0,0023)</v>
          </cell>
          <cell r="AM656" t="str">
            <v>túi ba biên</v>
          </cell>
          <cell r="AN656">
            <v>170</v>
          </cell>
          <cell r="AO656" t="str">
            <v>Công ty Thái Bình</v>
          </cell>
          <cell r="AP656" t="str">
            <v>20030258-1</v>
          </cell>
          <cell r="AQ656" t="str">
            <v>20030258-2</v>
          </cell>
          <cell r="AR656" t="str">
            <v>20030258-3</v>
          </cell>
          <cell r="AS656" t="str">
            <v>20030258-4</v>
          </cell>
          <cell r="AT656" t="str">
            <v>20030258-5</v>
          </cell>
          <cell r="AU656" t="str">
            <v>20030258-6</v>
          </cell>
          <cell r="AV656" t="str">
            <v>20030258-7</v>
          </cell>
          <cell r="AW656">
            <v>0</v>
          </cell>
          <cell r="AX656">
            <v>0</v>
          </cell>
          <cell r="AY656" t="str">
            <v>510x870</v>
          </cell>
          <cell r="AZ656" t="str">
            <v>R2</v>
          </cell>
          <cell r="BA656">
            <v>0</v>
          </cell>
          <cell r="BB656">
            <v>0</v>
          </cell>
          <cell r="BC656">
            <v>0</v>
          </cell>
          <cell r="BD656">
            <v>0</v>
          </cell>
        </row>
        <row r="657">
          <cell r="A657" t="str">
            <v>sp 1168</v>
          </cell>
          <cell r="B657">
            <v>0</v>
          </cell>
          <cell r="C657">
            <v>0</v>
          </cell>
          <cell r="D657">
            <v>0</v>
          </cell>
          <cell r="E657">
            <v>0</v>
          </cell>
          <cell r="F657">
            <v>0</v>
          </cell>
          <cell r="G657" t="str">
            <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t="str">
            <v>20030259-1</v>
          </cell>
          <cell r="AQ657" t="str">
            <v>20030259-2</v>
          </cell>
          <cell r="AR657" t="str">
            <v>20030259-3</v>
          </cell>
          <cell r="AS657" t="str">
            <v>20030259-4</v>
          </cell>
          <cell r="AT657" t="str">
            <v>20030259-5</v>
          </cell>
          <cell r="AU657" t="str">
            <v>20030259-6</v>
          </cell>
          <cell r="AV657" t="str">
            <v>20030259-7</v>
          </cell>
          <cell r="AW657">
            <v>0</v>
          </cell>
          <cell r="AX657">
            <v>0</v>
          </cell>
          <cell r="AY657" t="str">
            <v>480x870</v>
          </cell>
          <cell r="AZ657" t="str">
            <v>R2</v>
          </cell>
          <cell r="BA657">
            <v>0</v>
          </cell>
          <cell r="BB657">
            <v>0</v>
          </cell>
          <cell r="BC657">
            <v>0</v>
          </cell>
          <cell r="BD657">
            <v>0</v>
          </cell>
        </row>
        <row r="658">
          <cell r="A658" t="str">
            <v>sp 1169</v>
          </cell>
          <cell r="B658" t="str">
            <v>Cuộn thuốc thú y T.Flox C 100gr Năm Thái</v>
          </cell>
          <cell r="C658">
            <v>3.96</v>
          </cell>
          <cell r="D658">
            <v>3</v>
          </cell>
          <cell r="E658" t="str">
            <v>OPP 30x770</v>
          </cell>
          <cell r="F658">
            <v>1</v>
          </cell>
          <cell r="G658" t="str">
            <v>OPP</v>
          </cell>
          <cell r="H658">
            <v>0.88</v>
          </cell>
          <cell r="I658">
            <v>0</v>
          </cell>
          <cell r="J658">
            <v>0.88</v>
          </cell>
          <cell r="K658">
            <v>0</v>
          </cell>
          <cell r="L658">
            <v>0.44</v>
          </cell>
          <cell r="M658">
            <v>0</v>
          </cell>
          <cell r="N658">
            <v>0</v>
          </cell>
          <cell r="O658">
            <v>1.76</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t="str">
            <v>MPET 12x770</v>
          </cell>
          <cell r="AF658" t="str">
            <v>PE 35x770</v>
          </cell>
          <cell r="AG658">
            <v>5.8885750000000014E-2</v>
          </cell>
          <cell r="AH658">
            <v>1.1653333333333333</v>
          </cell>
          <cell r="AI658">
            <v>1.1653333333333333</v>
          </cell>
          <cell r="AJ658">
            <v>9530</v>
          </cell>
          <cell r="AK658">
            <v>9530</v>
          </cell>
          <cell r="AL658" t="str">
            <v>0,0046(0,0023;0,0023)</v>
          </cell>
          <cell r="AM658" t="str">
            <v>dạng cuộn 1,000m</v>
          </cell>
          <cell r="AN658">
            <v>250</v>
          </cell>
          <cell r="AO658" t="str">
            <v>Công ty Năm Thái</v>
          </cell>
          <cell r="AP658" t="str">
            <v>20030582-1</v>
          </cell>
          <cell r="AQ658">
            <v>0</v>
          </cell>
          <cell r="AR658">
            <v>0</v>
          </cell>
          <cell r="AS658">
            <v>0</v>
          </cell>
          <cell r="AT658">
            <v>0</v>
          </cell>
          <cell r="AU658">
            <v>0</v>
          </cell>
          <cell r="AV658">
            <v>0</v>
          </cell>
          <cell r="AW658">
            <v>0</v>
          </cell>
          <cell r="AX658">
            <v>0</v>
          </cell>
          <cell r="AY658" t="str">
            <v>495x870</v>
          </cell>
          <cell r="AZ658" t="str">
            <v>R2</v>
          </cell>
          <cell r="BA658">
            <v>0</v>
          </cell>
          <cell r="BB658">
            <v>0</v>
          </cell>
          <cell r="BC658">
            <v>0</v>
          </cell>
          <cell r="BD658">
            <v>0</v>
          </cell>
        </row>
        <row r="659">
          <cell r="A659" t="str">
            <v>sp 1170</v>
          </cell>
          <cell r="B659" t="str">
            <v>Túi trà lụa đỏ tân cương và đặc sản thượng hạng 100gr loại 23</v>
          </cell>
          <cell r="C659">
            <v>5.4399999999999995</v>
          </cell>
          <cell r="D659">
            <v>3</v>
          </cell>
          <cell r="E659" t="str">
            <v>OPP mờ 20x740</v>
          </cell>
          <cell r="F659">
            <v>6</v>
          </cell>
          <cell r="G659" t="str">
            <v>OPP</v>
          </cell>
          <cell r="H659">
            <v>0.24</v>
          </cell>
          <cell r="I659">
            <v>1.83</v>
          </cell>
          <cell r="J659">
            <v>1.1599999999999999</v>
          </cell>
          <cell r="K659">
            <v>0.01</v>
          </cell>
          <cell r="L659">
            <v>1.47</v>
          </cell>
          <cell r="M659">
            <v>0.73</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t="str">
            <v>MPET 12x740</v>
          </cell>
          <cell r="AF659" t="str">
            <v>PE 70x740</v>
          </cell>
          <cell r="AG659">
            <v>7.3815000000000019E-2</v>
          </cell>
          <cell r="AH659">
            <v>1.1193333333333333</v>
          </cell>
          <cell r="AI659">
            <v>1.46</v>
          </cell>
          <cell r="AJ659">
            <v>9530</v>
          </cell>
          <cell r="AK659">
            <v>9530</v>
          </cell>
          <cell r="AL659" t="str">
            <v>0,0053(0,0023;0,003)</v>
          </cell>
          <cell r="AM659" t="str">
            <v>túi hàn lưng xếp hông</v>
          </cell>
          <cell r="AN659">
            <v>270</v>
          </cell>
          <cell r="AO659" t="str">
            <v>Bùi Văn Sỹ</v>
          </cell>
          <cell r="AP659" t="str">
            <v>17041138-1</v>
          </cell>
          <cell r="AQ659" t="str">
            <v>17041138-2</v>
          </cell>
          <cell r="AR659" t="str">
            <v>17041138-3</v>
          </cell>
          <cell r="AS659" t="str">
            <v>17041138-4</v>
          </cell>
          <cell r="AT659" t="str">
            <v>17041138-5</v>
          </cell>
          <cell r="AU659" t="str">
            <v>17041138-6</v>
          </cell>
          <cell r="AV659" t="str">
            <v>17041138-7</v>
          </cell>
          <cell r="AW659">
            <v>0</v>
          </cell>
          <cell r="AX659">
            <v>0</v>
          </cell>
          <cell r="AY659" t="str">
            <v>540x850</v>
          </cell>
          <cell r="AZ659" t="str">
            <v>F4</v>
          </cell>
          <cell r="BA659">
            <v>3500</v>
          </cell>
          <cell r="BB659" t="str">
            <v>Thùng 5 lớp 42x34x33</v>
          </cell>
          <cell r="BC659">
            <v>0</v>
          </cell>
          <cell r="BD659" t="str">
            <v>in chung sản phầm 1006</v>
          </cell>
        </row>
        <row r="660">
          <cell r="A660" t="str">
            <v>sp 1171</v>
          </cell>
          <cell r="B660" t="str">
            <v>Túi bánh Sapie chocolate Pie bánh mềm phủ socola 180gr - Anko</v>
          </cell>
          <cell r="C660">
            <v>6.3340000000000005</v>
          </cell>
          <cell r="D660">
            <v>1</v>
          </cell>
          <cell r="E660" t="str">
            <v>OPP 20x710</v>
          </cell>
          <cell r="F660">
            <v>8</v>
          </cell>
          <cell r="G660" t="str">
            <v>OPP</v>
          </cell>
          <cell r="H660">
            <v>0.19</v>
          </cell>
          <cell r="I660">
            <v>3.2</v>
          </cell>
          <cell r="J660">
            <v>9.0999999999999998E-2</v>
          </cell>
          <cell r="K660">
            <v>0.23400000000000001</v>
          </cell>
          <cell r="L660">
            <v>0.32400000000000001</v>
          </cell>
          <cell r="M660">
            <v>0.18</v>
          </cell>
          <cell r="N660">
            <v>0.13</v>
          </cell>
          <cell r="O660">
            <v>0</v>
          </cell>
          <cell r="P660">
            <v>1.583</v>
          </cell>
          <cell r="Q660">
            <v>0.33700000000000002</v>
          </cell>
          <cell r="R660">
            <v>0</v>
          </cell>
          <cell r="S660">
            <v>6.5000000000000002E-2</v>
          </cell>
          <cell r="T660">
            <v>0</v>
          </cell>
          <cell r="U660">
            <v>0</v>
          </cell>
          <cell r="V660">
            <v>0</v>
          </cell>
          <cell r="W660">
            <v>0</v>
          </cell>
          <cell r="X660">
            <v>0</v>
          </cell>
          <cell r="Y660">
            <v>0</v>
          </cell>
          <cell r="Z660">
            <v>0</v>
          </cell>
          <cell r="AA660">
            <v>0</v>
          </cell>
          <cell r="AB660">
            <v>0</v>
          </cell>
          <cell r="AC660">
            <v>0</v>
          </cell>
          <cell r="AD660">
            <v>0</v>
          </cell>
          <cell r="AE660" t="str">
            <v>PE 50x710</v>
          </cell>
          <cell r="AF660">
            <v>0</v>
          </cell>
          <cell r="AG660">
            <v>4.5759500000000002E-2</v>
          </cell>
          <cell r="AH660">
            <v>1.0733333333333333</v>
          </cell>
          <cell r="AI660">
            <v>0</v>
          </cell>
          <cell r="AJ660">
            <v>9530</v>
          </cell>
          <cell r="AK660">
            <v>0</v>
          </cell>
          <cell r="AL660">
            <v>2.3E-3</v>
          </cell>
          <cell r="AM660" t="str">
            <v>túi ba biên</v>
          </cell>
          <cell r="AN660">
            <v>265</v>
          </cell>
          <cell r="AO660" t="str">
            <v>Công ty SX&amp;TM ASI Miền Bắc</v>
          </cell>
          <cell r="AP660" t="str">
            <v>21061221-1</v>
          </cell>
          <cell r="AQ660" t="str">
            <v>21061221-2</v>
          </cell>
          <cell r="AR660" t="str">
            <v>21090188-3</v>
          </cell>
          <cell r="AS660" t="str">
            <v>21100379-4</v>
          </cell>
          <cell r="AT660" t="str">
            <v>20030890-5</v>
          </cell>
          <cell r="AU660" t="str">
            <v>21100379-6</v>
          </cell>
          <cell r="AV660" t="str">
            <v>20030890-7</v>
          </cell>
          <cell r="AW660" t="str">
            <v>21090188-8</v>
          </cell>
          <cell r="AX660">
            <v>0</v>
          </cell>
          <cell r="AY660" t="str">
            <v xml:space="preserve"> 530x870</v>
          </cell>
          <cell r="AZ660" t="str">
            <v>R3</v>
          </cell>
          <cell r="BA660">
            <v>0</v>
          </cell>
          <cell r="BB660">
            <v>0</v>
          </cell>
          <cell r="BC660">
            <v>0</v>
          </cell>
          <cell r="BD660">
            <v>0</v>
          </cell>
        </row>
        <row r="661">
          <cell r="A661" t="str">
            <v>sp 1172</v>
          </cell>
          <cell r="B661" t="str">
            <v>Túi gạo nhất hương 10kg Thái Bình</v>
          </cell>
          <cell r="C661">
            <v>10.180000000000001</v>
          </cell>
          <cell r="D661">
            <v>1</v>
          </cell>
          <cell r="E661" t="str">
            <v>OPP 20x740</v>
          </cell>
          <cell r="F661">
            <v>7</v>
          </cell>
          <cell r="G661" t="str">
            <v>OPP</v>
          </cell>
          <cell r="H661">
            <v>0.01</v>
          </cell>
          <cell r="I661">
            <v>1.77</v>
          </cell>
          <cell r="J661">
            <v>0</v>
          </cell>
          <cell r="K661">
            <v>1.77</v>
          </cell>
          <cell r="L661">
            <v>3.36</v>
          </cell>
          <cell r="M661">
            <v>2.37</v>
          </cell>
          <cell r="N661">
            <v>0</v>
          </cell>
          <cell r="O661">
            <v>0.01</v>
          </cell>
          <cell r="P661">
            <v>0.89</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t="str">
            <v>dạng cuộn 6,000m</v>
          </cell>
          <cell r="AN661">
            <v>370</v>
          </cell>
          <cell r="AO661" t="str">
            <v>Công ty Thái Bình</v>
          </cell>
          <cell r="AP661" t="str">
            <v>20030971-1</v>
          </cell>
          <cell r="AQ661" t="str">
            <v>20030971-2</v>
          </cell>
          <cell r="AR661" t="str">
            <v>20030971-3</v>
          </cell>
          <cell r="AS661" t="str">
            <v>20030971-4</v>
          </cell>
          <cell r="AT661" t="str">
            <v>20030971-5</v>
          </cell>
          <cell r="AU661" t="str">
            <v>20030971-6</v>
          </cell>
          <cell r="AV661" t="str">
            <v>20030971-7</v>
          </cell>
          <cell r="AW661">
            <v>0</v>
          </cell>
          <cell r="AX661">
            <v>0</v>
          </cell>
          <cell r="AY661" t="str">
            <v>600x870</v>
          </cell>
          <cell r="AZ661" t="str">
            <v>R3</v>
          </cell>
          <cell r="BA661">
            <v>0</v>
          </cell>
          <cell r="BB661">
            <v>0</v>
          </cell>
          <cell r="BC661">
            <v>0</v>
          </cell>
          <cell r="BD661">
            <v>0</v>
          </cell>
        </row>
        <row r="662">
          <cell r="A662" t="str">
            <v>sp 1173</v>
          </cell>
          <cell r="B662" t="str">
            <v>Cuộn bánh gạo nhật NAKKI vị phô mai ngô - Okifood</v>
          </cell>
          <cell r="C662">
            <v>0.68</v>
          </cell>
          <cell r="D662">
            <v>8</v>
          </cell>
          <cell r="E662" t="str">
            <v>OPP mờ 20x1020</v>
          </cell>
          <cell r="F662">
            <v>4</v>
          </cell>
          <cell r="G662" t="str">
            <v>OPP</v>
          </cell>
          <cell r="H662">
            <v>0</v>
          </cell>
          <cell r="I662">
            <v>0.23</v>
          </cell>
          <cell r="J662">
            <v>0</v>
          </cell>
          <cell r="K662">
            <v>0</v>
          </cell>
          <cell r="L662">
            <v>0.26</v>
          </cell>
          <cell r="M662">
            <v>0</v>
          </cell>
          <cell r="N662">
            <v>0</v>
          </cell>
          <cell r="O662">
            <v>0.01</v>
          </cell>
          <cell r="P662">
            <v>0.17</v>
          </cell>
          <cell r="Q662">
            <v>0.01</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t="str">
            <v>CPP 20x1020</v>
          </cell>
          <cell r="AF662">
            <v>0</v>
          </cell>
          <cell r="AG662">
            <v>3.7128000000000001E-2</v>
          </cell>
          <cell r="AH662">
            <v>0.44999999999999996</v>
          </cell>
          <cell r="AI662">
            <v>0</v>
          </cell>
          <cell r="AJ662" t="str">
            <v>keo PP2450FX
ĐR I-2450A</v>
          </cell>
          <cell r="AK662">
            <v>0</v>
          </cell>
          <cell r="AL662">
            <v>1.1999999999999999E-3</v>
          </cell>
          <cell r="AM662" t="str">
            <v>dạng cuộn 2,000m</v>
          </cell>
          <cell r="AN662">
            <v>125</v>
          </cell>
          <cell r="AO662" t="str">
            <v>Công ty TNHH Okifood Việt Nam</v>
          </cell>
          <cell r="AP662" t="str">
            <v>X108725-1</v>
          </cell>
          <cell r="AQ662" t="str">
            <v>X108725-2</v>
          </cell>
          <cell r="AR662" t="str">
            <v>X108725-3</v>
          </cell>
          <cell r="AS662" t="str">
            <v>X108725-4</v>
          </cell>
          <cell r="AT662">
            <v>0</v>
          </cell>
          <cell r="AU662">
            <v>0</v>
          </cell>
          <cell r="AV662">
            <v>0</v>
          </cell>
          <cell r="AW662">
            <v>0</v>
          </cell>
          <cell r="AX662">
            <v>0</v>
          </cell>
          <cell r="AY662" t="str">
            <v>1150x500</v>
          </cell>
          <cell r="AZ662" t="str">
            <v>R3</v>
          </cell>
          <cell r="BA662">
            <v>0</v>
          </cell>
          <cell r="BB662">
            <v>0</v>
          </cell>
          <cell r="BC662">
            <v>0</v>
          </cell>
          <cell r="BD662">
            <v>0</v>
          </cell>
        </row>
        <row r="663">
          <cell r="A663" t="str">
            <v>sp 1174</v>
          </cell>
          <cell r="B663" t="str">
            <v>Cuộn thuốc thú y TA.Neo 40 100g Năm Thái</v>
          </cell>
          <cell r="C663">
            <v>0.46</v>
          </cell>
          <cell r="D663">
            <v>3</v>
          </cell>
          <cell r="E663" t="str">
            <v>OPP 30x770</v>
          </cell>
          <cell r="F663">
            <v>1</v>
          </cell>
          <cell r="G663" t="str">
            <v>OPP</v>
          </cell>
          <cell r="H663">
            <v>0</v>
          </cell>
          <cell r="I663">
            <v>0</v>
          </cell>
          <cell r="J663">
            <v>0</v>
          </cell>
          <cell r="K663">
            <v>0</v>
          </cell>
          <cell r="L663">
            <v>0</v>
          </cell>
          <cell r="M663">
            <v>0</v>
          </cell>
          <cell r="N663">
            <v>0</v>
          </cell>
          <cell r="O663">
            <v>0.46</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t="str">
            <v>MPET 12x770</v>
          </cell>
          <cell r="AF663" t="str">
            <v>PE 35x770</v>
          </cell>
          <cell r="AG663">
            <v>5.8885750000000014E-2</v>
          </cell>
          <cell r="AH663">
            <v>1.1653333333333333</v>
          </cell>
          <cell r="AI663">
            <v>1.1653333333333333</v>
          </cell>
          <cell r="AJ663">
            <v>9530</v>
          </cell>
          <cell r="AK663">
            <v>9530</v>
          </cell>
          <cell r="AL663" t="str">
            <v>0,0046(0,0023;0,0023)</v>
          </cell>
          <cell r="AM663" t="str">
            <v>dạng cuộn 1,000m</v>
          </cell>
          <cell r="AN663">
            <v>250</v>
          </cell>
          <cell r="AO663" t="str">
            <v>Công ty Năm Thái</v>
          </cell>
          <cell r="AP663" t="str">
            <v>20031171-1</v>
          </cell>
          <cell r="AQ663">
            <v>0</v>
          </cell>
          <cell r="AR663">
            <v>0</v>
          </cell>
          <cell r="AS663">
            <v>0</v>
          </cell>
          <cell r="AT663">
            <v>0</v>
          </cell>
          <cell r="AU663">
            <v>0</v>
          </cell>
          <cell r="AV663">
            <v>0</v>
          </cell>
          <cell r="AW663">
            <v>0</v>
          </cell>
          <cell r="AX663">
            <v>0</v>
          </cell>
          <cell r="AY663" t="str">
            <v>495x870</v>
          </cell>
          <cell r="AZ663" t="str">
            <v>R3</v>
          </cell>
          <cell r="BA663">
            <v>0</v>
          </cell>
          <cell r="BB663">
            <v>0</v>
          </cell>
          <cell r="BC663">
            <v>0</v>
          </cell>
          <cell r="BD663">
            <v>0</v>
          </cell>
        </row>
        <row r="664">
          <cell r="A664" t="str">
            <v>sp 1175</v>
          </cell>
          <cell r="B664" t="str">
            <v>Cuộn thuốc thú y in một màu trắng khổ 260 100gr Bắc Việt</v>
          </cell>
          <cell r="C664">
            <v>7</v>
          </cell>
          <cell r="D664">
            <v>3</v>
          </cell>
          <cell r="E664" t="str">
            <v>PET 12x800</v>
          </cell>
          <cell r="F664">
            <v>3</v>
          </cell>
          <cell r="G664" t="str">
            <v>PET</v>
          </cell>
          <cell r="H664">
            <v>0</v>
          </cell>
          <cell r="I664">
            <v>7</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t="str">
            <v>Al 6x800</v>
          </cell>
          <cell r="AF664" t="str">
            <v>PE 100x810</v>
          </cell>
          <cell r="AG664">
            <v>0.10044800000000001</v>
          </cell>
          <cell r="AH664">
            <v>1.2113333333333334</v>
          </cell>
          <cell r="AI664">
            <v>1.2113333333333334</v>
          </cell>
          <cell r="AJ664">
            <v>9530</v>
          </cell>
          <cell r="AK664">
            <v>9530</v>
          </cell>
          <cell r="AL664" t="str">
            <v>0,0046(0,0023;0,0023)</v>
          </cell>
          <cell r="AM664" t="str">
            <v>dạng cuộn 500m</v>
          </cell>
          <cell r="AN664">
            <v>260</v>
          </cell>
          <cell r="AO664" t="str">
            <v>Công ty Bắc Việt</v>
          </cell>
          <cell r="AP664">
            <v>0</v>
          </cell>
          <cell r="AQ664">
            <v>0</v>
          </cell>
          <cell r="AR664">
            <v>0</v>
          </cell>
          <cell r="AS664">
            <v>0</v>
          </cell>
          <cell r="AT664">
            <v>0</v>
          </cell>
          <cell r="AU664">
            <v>0</v>
          </cell>
          <cell r="AV664" t="str">
            <v>F123486-7</v>
          </cell>
          <cell r="AW664">
            <v>0</v>
          </cell>
          <cell r="AX664">
            <v>0</v>
          </cell>
          <cell r="AY664" t="str">
            <v>450x1100</v>
          </cell>
          <cell r="AZ664" t="str">
            <v>A2</v>
          </cell>
          <cell r="BA664">
            <v>0</v>
          </cell>
          <cell r="BB664">
            <v>0</v>
          </cell>
          <cell r="BC664">
            <v>0</v>
          </cell>
          <cell r="BD664" t="str">
            <v>in chung cây số 7 của sp 1062</v>
          </cell>
        </row>
        <row r="665">
          <cell r="A665" t="str">
            <v>sp 1176</v>
          </cell>
          <cell r="B665" t="str">
            <v>Cuộn màng PE xingfa lion in 4 màu Cơ Điện</v>
          </cell>
          <cell r="C665">
            <v>3.4260000000000002</v>
          </cell>
          <cell r="D665">
            <v>1</v>
          </cell>
          <cell r="E665" t="str">
            <v>PE đt 60x1235</v>
          </cell>
          <cell r="F665">
            <v>4</v>
          </cell>
          <cell r="G665" t="str">
            <v xml:space="preserve">PE </v>
          </cell>
          <cell r="H665">
            <v>0.1</v>
          </cell>
          <cell r="I665">
            <v>0</v>
          </cell>
          <cell r="J665">
            <v>0</v>
          </cell>
          <cell r="K665">
            <v>0.98599999999999999</v>
          </cell>
          <cell r="L665">
            <v>0</v>
          </cell>
          <cell r="M665">
            <v>1.06</v>
          </cell>
          <cell r="N665">
            <v>0</v>
          </cell>
          <cell r="O665">
            <v>0</v>
          </cell>
          <cell r="P665">
            <v>0</v>
          </cell>
          <cell r="Q665">
            <v>0</v>
          </cell>
          <cell r="R665">
            <v>0</v>
          </cell>
          <cell r="S665">
            <v>1.28</v>
          </cell>
          <cell r="T665">
            <v>0</v>
          </cell>
          <cell r="U665">
            <v>0</v>
          </cell>
          <cell r="V665">
            <v>0</v>
          </cell>
          <cell r="W665">
            <v>0</v>
          </cell>
          <cell r="X665">
            <v>0</v>
          </cell>
          <cell r="Y665">
            <v>0</v>
          </cell>
          <cell r="Z665">
            <v>0</v>
          </cell>
          <cell r="AA665">
            <v>0</v>
          </cell>
          <cell r="AB665">
            <v>0</v>
          </cell>
          <cell r="AC665">
            <v>0</v>
          </cell>
          <cell r="AD665">
            <v>0</v>
          </cell>
          <cell r="AE665" t="str">
            <v>PE 30x1235</v>
          </cell>
          <cell r="AF665">
            <v>0</v>
          </cell>
          <cell r="AG665">
            <v>0.10688925000000001</v>
          </cell>
          <cell r="AH665">
            <v>1.5133333333333332</v>
          </cell>
          <cell r="AI665">
            <v>0</v>
          </cell>
          <cell r="AJ665">
            <v>9530</v>
          </cell>
          <cell r="AK665">
            <v>0</v>
          </cell>
          <cell r="AL665">
            <v>2E-3</v>
          </cell>
          <cell r="AM665" t="str">
            <v>dạng cuộn 1,500m</v>
          </cell>
          <cell r="AN665">
            <v>1235</v>
          </cell>
          <cell r="AO665" t="str">
            <v>Công ty Cơ Điện</v>
          </cell>
          <cell r="AP665" t="str">
            <v>1803432-1</v>
          </cell>
          <cell r="AQ665" t="str">
            <v>1803432-2</v>
          </cell>
          <cell r="AR665" t="str">
            <v>1803432-3</v>
          </cell>
          <cell r="AS665" t="str">
            <v>1803432-4</v>
          </cell>
          <cell r="AT665">
            <v>0</v>
          </cell>
          <cell r="AU665">
            <v>0</v>
          </cell>
          <cell r="AV665">
            <v>0</v>
          </cell>
          <cell r="AW665">
            <v>0</v>
          </cell>
          <cell r="AX665">
            <v>0</v>
          </cell>
          <cell r="AY665" t="str">
            <v>560x1300</v>
          </cell>
          <cell r="AZ665">
            <v>0</v>
          </cell>
          <cell r="BA665">
            <v>0</v>
          </cell>
          <cell r="BB665">
            <v>0</v>
          </cell>
          <cell r="BC665">
            <v>0</v>
          </cell>
          <cell r="BD665">
            <v>0</v>
          </cell>
        </row>
        <row r="666">
          <cell r="A666" t="str">
            <v>sp 1177</v>
          </cell>
          <cell r="B666" t="str">
            <v>Túi nhôm hà thủ ô 66x180x40mm CNC Traphaco</v>
          </cell>
          <cell r="C666">
            <v>4.3999999999999995</v>
          </cell>
          <cell r="D666">
            <v>3</v>
          </cell>
          <cell r="E666" t="str">
            <v>PET 12x716</v>
          </cell>
          <cell r="F666">
            <v>2</v>
          </cell>
          <cell r="G666" t="str">
            <v>PET</v>
          </cell>
          <cell r="H666">
            <v>0.47</v>
          </cell>
          <cell r="I666">
            <v>0</v>
          </cell>
          <cell r="J666">
            <v>0.23</v>
          </cell>
          <cell r="K666">
            <v>0.47</v>
          </cell>
          <cell r="L666">
            <v>1.43</v>
          </cell>
          <cell r="M666">
            <v>0</v>
          </cell>
          <cell r="N666">
            <v>0</v>
          </cell>
          <cell r="O666">
            <v>0.01</v>
          </cell>
          <cell r="P666">
            <v>1.79</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t="str">
            <v>Al 6x716</v>
          </cell>
          <cell r="AF666" t="str">
            <v>CPP 55x726</v>
          </cell>
          <cell r="AG666">
            <v>5.9506759999999999E-2</v>
          </cell>
          <cell r="AH666">
            <v>1.0825333333333331</v>
          </cell>
          <cell r="AI666">
            <v>1.0825333333333331</v>
          </cell>
          <cell r="AJ666">
            <v>9530</v>
          </cell>
          <cell r="AK666">
            <v>9530</v>
          </cell>
          <cell r="AL666" t="str">
            <v>0,0046(0,0023;0,0023)</v>
          </cell>
          <cell r="AM666" t="str">
            <v>túi hàn lưng xếp hông</v>
          </cell>
          <cell r="AN666">
            <v>180</v>
          </cell>
          <cell r="AO666" t="str">
            <v>Công ty Cổ Phần Công Nghệ Cao Traphaco</v>
          </cell>
          <cell r="AP666" t="str">
            <v>20031376-1</v>
          </cell>
          <cell r="AQ666" t="str">
            <v>20031376-2</v>
          </cell>
          <cell r="AR666">
            <v>0</v>
          </cell>
          <cell r="AS666">
            <v>0</v>
          </cell>
          <cell r="AT666">
            <v>0</v>
          </cell>
          <cell r="AU666">
            <v>0</v>
          </cell>
          <cell r="AV666">
            <v>0</v>
          </cell>
          <cell r="AW666">
            <v>0</v>
          </cell>
          <cell r="AX666">
            <v>0</v>
          </cell>
          <cell r="AY666" t="str">
            <v>410x870</v>
          </cell>
          <cell r="AZ666" t="str">
            <v>R3</v>
          </cell>
          <cell r="BA666">
            <v>0</v>
          </cell>
          <cell r="BB666">
            <v>0</v>
          </cell>
          <cell r="BC666">
            <v>0</v>
          </cell>
          <cell r="BD666">
            <v>0</v>
          </cell>
        </row>
        <row r="667">
          <cell r="A667" t="str">
            <v>sp 1178</v>
          </cell>
          <cell r="B667" t="str">
            <v>Cuộn màng in logo hunter TH Việt</v>
          </cell>
          <cell r="C667">
            <v>2.11</v>
          </cell>
          <cell r="D667">
            <v>1</v>
          </cell>
          <cell r="E667" t="str">
            <v>PE 60x1270</v>
          </cell>
          <cell r="F667">
            <v>1</v>
          </cell>
          <cell r="G667" t="str">
            <v xml:space="preserve">PE </v>
          </cell>
          <cell r="H667">
            <v>2.11</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t="str">
            <v>dạng cuộn 2,000m</v>
          </cell>
          <cell r="AN667">
            <v>1270</v>
          </cell>
          <cell r="AO667" t="str">
            <v>Công ty TH Việt</v>
          </cell>
          <cell r="AP667" t="str">
            <v>1903096-1</v>
          </cell>
          <cell r="AQ667">
            <v>0</v>
          </cell>
          <cell r="AR667">
            <v>0</v>
          </cell>
          <cell r="AS667">
            <v>0</v>
          </cell>
          <cell r="AT667">
            <v>0</v>
          </cell>
          <cell r="AU667">
            <v>0</v>
          </cell>
          <cell r="AV667">
            <v>0</v>
          </cell>
          <cell r="AW667">
            <v>0</v>
          </cell>
          <cell r="AX667">
            <v>0</v>
          </cell>
          <cell r="AY667" t="str">
            <v>600x1320</v>
          </cell>
          <cell r="AZ667" t="str">
            <v>R3</v>
          </cell>
          <cell r="BA667">
            <v>0</v>
          </cell>
          <cell r="BB667">
            <v>0</v>
          </cell>
          <cell r="BC667">
            <v>0</v>
          </cell>
          <cell r="BD667">
            <v>0</v>
          </cell>
        </row>
        <row r="668">
          <cell r="A668" t="str">
            <v>sp 1179</v>
          </cell>
          <cell r="B668" t="str">
            <v>Túi gạo nhật Japonica 5kg Richy</v>
          </cell>
          <cell r="C668">
            <v>8.5489999999999995</v>
          </cell>
          <cell r="D668">
            <v>1</v>
          </cell>
          <cell r="E668" t="str">
            <v>PA 15x700</v>
          </cell>
          <cell r="F668">
            <v>8</v>
          </cell>
          <cell r="G668" t="str">
            <v xml:space="preserve">PA </v>
          </cell>
          <cell r="H668">
            <v>2.42</v>
          </cell>
          <cell r="I668">
            <v>0.72899999999999998</v>
          </cell>
          <cell r="J668">
            <v>0.01</v>
          </cell>
          <cell r="K668">
            <v>1.0900000000000001</v>
          </cell>
          <cell r="L668">
            <v>1.21</v>
          </cell>
          <cell r="M668">
            <v>2.42</v>
          </cell>
          <cell r="N668">
            <v>0</v>
          </cell>
          <cell r="O668">
            <v>0</v>
          </cell>
          <cell r="P668">
            <v>0</v>
          </cell>
          <cell r="Q668">
            <v>0.66</v>
          </cell>
          <cell r="R668">
            <v>0</v>
          </cell>
          <cell r="S668">
            <v>0</v>
          </cell>
          <cell r="T668">
            <v>0.01</v>
          </cell>
          <cell r="U668">
            <v>0</v>
          </cell>
          <cell r="V668">
            <v>0</v>
          </cell>
          <cell r="W668">
            <v>0</v>
          </cell>
          <cell r="X668">
            <v>0</v>
          </cell>
          <cell r="Y668">
            <v>0</v>
          </cell>
          <cell r="Z668">
            <v>0</v>
          </cell>
          <cell r="AA668">
            <v>0</v>
          </cell>
          <cell r="AB668">
            <v>0</v>
          </cell>
          <cell r="AC668">
            <v>0</v>
          </cell>
          <cell r="AD668">
            <v>0</v>
          </cell>
          <cell r="AE668" t="str">
            <v>PE 110x700</v>
          </cell>
          <cell r="AF668">
            <v>0</v>
          </cell>
          <cell r="AG668">
            <v>8.3299999999999999E-2</v>
          </cell>
          <cell r="AH668">
            <v>1.38</v>
          </cell>
          <cell r="AI668">
            <v>0</v>
          </cell>
          <cell r="AJ668">
            <v>9530</v>
          </cell>
          <cell r="AK668">
            <v>0</v>
          </cell>
          <cell r="AL668">
            <v>3.0000000000000001E-3</v>
          </cell>
          <cell r="AM668" t="str">
            <v>túi bốn biên</v>
          </cell>
          <cell r="AN668">
            <v>700</v>
          </cell>
          <cell r="AO668" t="str">
            <v>Công ty CP thực phẩm Richy Miền Bắc</v>
          </cell>
          <cell r="AP668" t="str">
            <v>20040180-1</v>
          </cell>
          <cell r="AQ668" t="str">
            <v>20040180-2</v>
          </cell>
          <cell r="AR668" t="str">
            <v>20040180-3</v>
          </cell>
          <cell r="AS668" t="str">
            <v>20040180-4</v>
          </cell>
          <cell r="AT668" t="str">
            <v>20040180-5</v>
          </cell>
          <cell r="AU668" t="str">
            <v>20040180-6</v>
          </cell>
          <cell r="AV668" t="str">
            <v>20040180-7</v>
          </cell>
          <cell r="AW668" t="str">
            <v>20040180-8</v>
          </cell>
          <cell r="AX668">
            <v>0</v>
          </cell>
          <cell r="AY668" t="str">
            <v>460x870</v>
          </cell>
          <cell r="AZ668" t="str">
            <v>R3</v>
          </cell>
          <cell r="BA668">
            <v>0</v>
          </cell>
          <cell r="BB668">
            <v>0</v>
          </cell>
          <cell r="BC668">
            <v>0</v>
          </cell>
          <cell r="BD668">
            <v>0</v>
          </cell>
        </row>
        <row r="669">
          <cell r="A669" t="str">
            <v>sp 1180</v>
          </cell>
          <cell r="B669" t="str">
            <v>Túi bánh gạo nhật NAKKI vị ngọt dịu hương cốm 135gr - Okifood</v>
          </cell>
          <cell r="C669">
            <v>2.302</v>
          </cell>
          <cell r="D669">
            <v>2</v>
          </cell>
          <cell r="E669" t="str">
            <v>OPP mờ 20x880</v>
          </cell>
          <cell r="F669">
            <v>8</v>
          </cell>
          <cell r="G669" t="str">
            <v>OPP</v>
          </cell>
          <cell r="H669">
            <v>3.5999999999999997E-2</v>
          </cell>
          <cell r="I669">
            <v>1.38</v>
          </cell>
          <cell r="J669">
            <v>7.0000000000000007E-2</v>
          </cell>
          <cell r="K669">
            <v>7.0000000000000007E-2</v>
          </cell>
          <cell r="L669">
            <v>0.5</v>
          </cell>
          <cell r="M669">
            <v>0</v>
          </cell>
          <cell r="N669">
            <v>0</v>
          </cell>
          <cell r="O669">
            <v>0.12</v>
          </cell>
          <cell r="P669">
            <v>0.09</v>
          </cell>
          <cell r="Q669">
            <v>0</v>
          </cell>
          <cell r="R669">
            <v>0</v>
          </cell>
          <cell r="S669">
            <v>0</v>
          </cell>
          <cell r="T669">
            <v>3.5999999999999997E-2</v>
          </cell>
          <cell r="U669">
            <v>0</v>
          </cell>
          <cell r="V669">
            <v>0</v>
          </cell>
          <cell r="W669">
            <v>0</v>
          </cell>
          <cell r="X669">
            <v>0</v>
          </cell>
          <cell r="Y669">
            <v>0</v>
          </cell>
          <cell r="Z669">
            <v>0</v>
          </cell>
          <cell r="AA669">
            <v>0</v>
          </cell>
          <cell r="AB669">
            <v>0</v>
          </cell>
          <cell r="AC669">
            <v>0</v>
          </cell>
          <cell r="AD669">
            <v>0</v>
          </cell>
          <cell r="AE669" t="str">
            <v>MCPP 35x880</v>
          </cell>
          <cell r="AF669">
            <v>0</v>
          </cell>
          <cell r="AG669">
            <v>4.4044000000000007E-2</v>
          </cell>
          <cell r="AH669">
            <v>0.45674999999999993</v>
          </cell>
          <cell r="AI669">
            <v>0</v>
          </cell>
          <cell r="AJ669" t="str">
            <v>keo PP2450FX
ĐR I-2450A</v>
          </cell>
          <cell r="AK669">
            <v>0</v>
          </cell>
          <cell r="AL669">
            <v>1.4E-3</v>
          </cell>
          <cell r="AM669" t="str">
            <v>túi hàn lưng</v>
          </cell>
          <cell r="AN669">
            <v>300</v>
          </cell>
          <cell r="AO669" t="str">
            <v>Công ty TNHH Okifood Việt Nam</v>
          </cell>
          <cell r="AP669" t="str">
            <v>X108779-1</v>
          </cell>
          <cell r="AQ669" t="str">
            <v>X108779-2</v>
          </cell>
          <cell r="AR669" t="str">
            <v>X108779-3</v>
          </cell>
          <cell r="AS669" t="str">
            <v>X108779-4</v>
          </cell>
          <cell r="AT669" t="str">
            <v>X108779-5</v>
          </cell>
          <cell r="AU669" t="str">
            <v>X108779-6</v>
          </cell>
          <cell r="AV669" t="str">
            <v>X108779-7</v>
          </cell>
          <cell r="AW669" t="str">
            <v>X108779-8</v>
          </cell>
          <cell r="AX669">
            <v>0</v>
          </cell>
          <cell r="AY669" t="str">
            <v>1100x600</v>
          </cell>
          <cell r="AZ669" t="str">
            <v>R3</v>
          </cell>
          <cell r="BA669">
            <v>0</v>
          </cell>
          <cell r="BB669">
            <v>0</v>
          </cell>
          <cell r="BC669">
            <v>0</v>
          </cell>
          <cell r="BD669">
            <v>0</v>
          </cell>
        </row>
        <row r="670">
          <cell r="A670" t="str">
            <v>sp 1181</v>
          </cell>
          <cell r="B670" t="str">
            <v>Cuộn màng PE trong in chữ suncopanel TH Việt</v>
          </cell>
          <cell r="C670">
            <v>2.2199999999999998</v>
          </cell>
          <cell r="D670">
            <v>1</v>
          </cell>
          <cell r="E670" t="str">
            <v>PE 50x1030</v>
          </cell>
          <cell r="F670">
            <v>1</v>
          </cell>
          <cell r="G670" t="str">
            <v xml:space="preserve">PE </v>
          </cell>
          <cell r="H670">
            <v>0</v>
          </cell>
          <cell r="I670">
            <v>0</v>
          </cell>
          <cell r="J670">
            <v>0</v>
          </cell>
          <cell r="K670">
            <v>0</v>
          </cell>
          <cell r="L670">
            <v>2.21</v>
          </cell>
          <cell r="M670">
            <v>0</v>
          </cell>
          <cell r="N670">
            <v>0</v>
          </cell>
          <cell r="O670">
            <v>0</v>
          </cell>
          <cell r="P670">
            <v>0.01</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t="str">
            <v>dạng cuộn 1,500m</v>
          </cell>
          <cell r="AN670">
            <v>1030</v>
          </cell>
          <cell r="AO670" t="str">
            <v>Công ty TH Việt</v>
          </cell>
          <cell r="AP670" t="str">
            <v>2004179-1</v>
          </cell>
          <cell r="AQ670" t="str">
            <v>20040436-1</v>
          </cell>
          <cell r="AR670">
            <v>0</v>
          </cell>
          <cell r="AS670">
            <v>0</v>
          </cell>
          <cell r="AT670">
            <v>0</v>
          </cell>
          <cell r="AU670">
            <v>0</v>
          </cell>
          <cell r="AV670">
            <v>0</v>
          </cell>
          <cell r="AW670">
            <v>0</v>
          </cell>
          <cell r="AX670">
            <v>0</v>
          </cell>
          <cell r="AY670" t="str">
            <v>500x1300</v>
          </cell>
          <cell r="AZ670" t="str">
            <v>R3</v>
          </cell>
          <cell r="BA670">
            <v>0</v>
          </cell>
          <cell r="BB670">
            <v>0</v>
          </cell>
          <cell r="BC670">
            <v>0</v>
          </cell>
          <cell r="BD670" t="str">
            <v>Chạy cùng cây trục in phủ</v>
          </cell>
        </row>
        <row r="671">
          <cell r="A671" t="str">
            <v>sp 1182</v>
          </cell>
          <cell r="B671" t="str">
            <v>Cuộn màng PE đen trắng in chữ TPG TH Việt</v>
          </cell>
          <cell r="C671">
            <v>2.9299999999999997</v>
          </cell>
          <cell r="D671">
            <v>1</v>
          </cell>
          <cell r="E671" t="str">
            <v>PE đt 60x1240</v>
          </cell>
          <cell r="F671">
            <v>2</v>
          </cell>
          <cell r="G671" t="str">
            <v xml:space="preserve">PE </v>
          </cell>
          <cell r="H671">
            <v>0.01</v>
          </cell>
          <cell r="I671">
            <v>0</v>
          </cell>
          <cell r="J671">
            <v>0</v>
          </cell>
          <cell r="K671">
            <v>0</v>
          </cell>
          <cell r="L671">
            <v>2.1</v>
          </cell>
          <cell r="M671">
            <v>0.44</v>
          </cell>
          <cell r="N671">
            <v>0</v>
          </cell>
          <cell r="O671">
            <v>0</v>
          </cell>
          <cell r="P671">
            <v>0.05</v>
          </cell>
          <cell r="Q671">
            <v>0.33</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t="str">
            <v>PE 25x1240</v>
          </cell>
          <cell r="AF671">
            <v>0</v>
          </cell>
          <cell r="AG671">
            <v>0.101587</v>
          </cell>
          <cell r="AH671">
            <v>1.5199999999999998</v>
          </cell>
          <cell r="AI671">
            <v>0</v>
          </cell>
          <cell r="AJ671">
            <v>9530</v>
          </cell>
          <cell r="AK671">
            <v>0</v>
          </cell>
          <cell r="AL671">
            <v>2E-3</v>
          </cell>
          <cell r="AM671" t="str">
            <v>dạng cuộn 1,500m</v>
          </cell>
          <cell r="AN671">
            <v>1240</v>
          </cell>
          <cell r="AO671" t="str">
            <v>Công ty TH Việt</v>
          </cell>
          <cell r="AP671" t="str">
            <v>2004097-1</v>
          </cell>
          <cell r="AQ671" t="str">
            <v>2004097-2</v>
          </cell>
          <cell r="AR671">
            <v>0</v>
          </cell>
          <cell r="AS671">
            <v>0</v>
          </cell>
          <cell r="AT671">
            <v>0</v>
          </cell>
          <cell r="AU671">
            <v>0</v>
          </cell>
          <cell r="AV671">
            <v>0</v>
          </cell>
          <cell r="AW671">
            <v>0</v>
          </cell>
          <cell r="AX671">
            <v>0</v>
          </cell>
          <cell r="AY671" t="str">
            <v>440x1310</v>
          </cell>
          <cell r="AZ671" t="str">
            <v>R3</v>
          </cell>
          <cell r="BA671">
            <v>0</v>
          </cell>
          <cell r="BB671">
            <v>0</v>
          </cell>
          <cell r="BC671">
            <v>0</v>
          </cell>
          <cell r="BD671">
            <v>0</v>
          </cell>
        </row>
        <row r="672">
          <cell r="A672" t="str">
            <v>sp 1183</v>
          </cell>
          <cell r="B672" t="str">
            <v>Túi hạt giống cải cúc ta và cải cúc tẻ chọn lọc Việt Nhật (09SP)</v>
          </cell>
          <cell r="C672">
            <v>6.0300000000000011</v>
          </cell>
          <cell r="D672">
            <v>3</v>
          </cell>
          <cell r="E672" t="str">
            <v>PET 12x740</v>
          </cell>
          <cell r="F672">
            <v>7</v>
          </cell>
          <cell r="G672" t="str">
            <v>PET</v>
          </cell>
          <cell r="H672">
            <v>0.38</v>
          </cell>
          <cell r="I672">
            <v>2.97</v>
          </cell>
          <cell r="J672">
            <v>0.59</v>
          </cell>
          <cell r="K672">
            <v>0.1</v>
          </cell>
          <cell r="L672">
            <v>0.66</v>
          </cell>
          <cell r="M672">
            <v>0.77</v>
          </cell>
          <cell r="N672">
            <v>0</v>
          </cell>
          <cell r="O672">
            <v>0.03</v>
          </cell>
          <cell r="P672">
            <v>0.03</v>
          </cell>
          <cell r="Q672">
            <v>0.49</v>
          </cell>
          <cell r="R672">
            <v>0.01</v>
          </cell>
          <cell r="S672">
            <v>0</v>
          </cell>
          <cell r="T672">
            <v>0</v>
          </cell>
          <cell r="U672">
            <v>0</v>
          </cell>
          <cell r="V672">
            <v>0</v>
          </cell>
          <cell r="W672">
            <v>0</v>
          </cell>
          <cell r="X672">
            <v>0</v>
          </cell>
          <cell r="Y672">
            <v>0</v>
          </cell>
          <cell r="Z672">
            <v>0</v>
          </cell>
          <cell r="AA672">
            <v>0</v>
          </cell>
          <cell r="AB672">
            <v>0</v>
          </cell>
          <cell r="AC672">
            <v>0</v>
          </cell>
          <cell r="AD672">
            <v>0</v>
          </cell>
          <cell r="AE672" t="str">
            <v>MPET 12x740</v>
          </cell>
          <cell r="AF672" t="str">
            <v>PE 85x740</v>
          </cell>
          <cell r="AG672">
            <v>7.869530000000001E-2</v>
          </cell>
          <cell r="AH672">
            <v>1.1193333333333333</v>
          </cell>
          <cell r="AI672">
            <v>1.1193333333333333</v>
          </cell>
          <cell r="AJ672">
            <v>9530</v>
          </cell>
          <cell r="AK672">
            <v>9530</v>
          </cell>
          <cell r="AL672" t="str">
            <v>0,0046(0,0023;0,0023)</v>
          </cell>
          <cell r="AM672" t="str">
            <v>túi ba biên</v>
          </cell>
          <cell r="AN672">
            <v>180</v>
          </cell>
          <cell r="AO672" t="str">
            <v>Công ty TNHH SX&amp;TM Việt Nhật</v>
          </cell>
          <cell r="AP672" t="str">
            <v>20110209-1</v>
          </cell>
          <cell r="AQ672" t="str">
            <v>20110209-2</v>
          </cell>
          <cell r="AR672" t="str">
            <v>20110209-3</v>
          </cell>
          <cell r="AS672" t="str">
            <v>20110209-4</v>
          </cell>
          <cell r="AT672" t="str">
            <v>20110209-5</v>
          </cell>
          <cell r="AU672" t="str">
            <v>20110209-6</v>
          </cell>
          <cell r="AV672" t="str">
            <v>20110209-7</v>
          </cell>
          <cell r="AW672" t="str">
            <v>20110209-8</v>
          </cell>
          <cell r="AX672">
            <v>0</v>
          </cell>
          <cell r="AY672" t="str">
            <v xml:space="preserve"> </v>
          </cell>
          <cell r="AZ672" t="str">
            <v>S1</v>
          </cell>
          <cell r="BA672">
            <v>0</v>
          </cell>
          <cell r="BB672">
            <v>0</v>
          </cell>
          <cell r="BC672">
            <v>0</v>
          </cell>
          <cell r="BD672">
            <v>0</v>
          </cell>
        </row>
        <row r="673">
          <cell r="A673" t="str">
            <v>sp 1184</v>
          </cell>
          <cell r="B673" t="str">
            <v>Cuộn hạt giống đậu bụi cove và cải cúc nếp chọn lọc Việt Nhật (03SP)</v>
          </cell>
          <cell r="C673">
            <v>10.37</v>
          </cell>
          <cell r="D673">
            <v>3</v>
          </cell>
          <cell r="E673" t="str">
            <v>OPP 20x740</v>
          </cell>
          <cell r="F673">
            <v>7</v>
          </cell>
          <cell r="G673" t="str">
            <v>OPP</v>
          </cell>
          <cell r="H673">
            <v>0.88</v>
          </cell>
          <cell r="I673">
            <v>3.17</v>
          </cell>
          <cell r="J673">
            <v>1.23</v>
          </cell>
          <cell r="K673">
            <v>0.79</v>
          </cell>
          <cell r="L673">
            <v>1.32</v>
          </cell>
          <cell r="M673">
            <v>1.76</v>
          </cell>
          <cell r="N673">
            <v>0</v>
          </cell>
          <cell r="O673">
            <v>0.7</v>
          </cell>
          <cell r="P673">
            <v>0.35</v>
          </cell>
          <cell r="Q673">
            <v>0.17</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t="str">
            <v>MPET 12x740</v>
          </cell>
          <cell r="AF673" t="str">
            <v>PE 75x740</v>
          </cell>
          <cell r="AG673">
            <v>7.7237500000000001E-2</v>
          </cell>
          <cell r="AH673">
            <v>1.1193333333333333</v>
          </cell>
          <cell r="AI673">
            <v>1.46</v>
          </cell>
          <cell r="AJ673">
            <v>9530</v>
          </cell>
          <cell r="AK673">
            <v>9530</v>
          </cell>
          <cell r="AL673" t="str">
            <v>0,0053(0,0023;0,003)</v>
          </cell>
          <cell r="AM673" t="str">
            <v>dạng cuộn 1,000m</v>
          </cell>
          <cell r="AN673">
            <v>240</v>
          </cell>
          <cell r="AO673" t="str">
            <v>Công ty TNHH SX&amp;TM Việt Nhật</v>
          </cell>
          <cell r="AP673" t="str">
            <v>20040559-1</v>
          </cell>
          <cell r="AQ673" t="str">
            <v>20040559-2</v>
          </cell>
          <cell r="AR673" t="str">
            <v>20040559-3</v>
          </cell>
          <cell r="AS673" t="str">
            <v>20040559-4</v>
          </cell>
          <cell r="AT673" t="str">
            <v>20040559-5</v>
          </cell>
          <cell r="AU673" t="str">
            <v>20040559-6</v>
          </cell>
          <cell r="AV673" t="str">
            <v>20040559-7</v>
          </cell>
          <cell r="AW673">
            <v>0</v>
          </cell>
          <cell r="AX673">
            <v>0</v>
          </cell>
          <cell r="AY673" t="str">
            <v>540x870</v>
          </cell>
          <cell r="AZ673" t="str">
            <v>S1</v>
          </cell>
          <cell r="BA673">
            <v>0</v>
          </cell>
          <cell r="BB673">
            <v>0</v>
          </cell>
          <cell r="BC673">
            <v>0</v>
          </cell>
          <cell r="BD673">
            <v>0</v>
          </cell>
        </row>
        <row r="674">
          <cell r="A674" t="str">
            <v>sp 1185</v>
          </cell>
          <cell r="B674" t="str">
            <v>Cuộn thuốc thú y Oxytatrasul 100gr Hùng Nguyên</v>
          </cell>
          <cell r="C674">
            <v>6.5179999999999998</v>
          </cell>
          <cell r="D674">
            <v>2</v>
          </cell>
          <cell r="E674" t="str">
            <v>PET 12x540</v>
          </cell>
          <cell r="F674">
            <v>2</v>
          </cell>
          <cell r="G674" t="str">
            <v>PET</v>
          </cell>
          <cell r="H674">
            <v>0.01</v>
          </cell>
          <cell r="I674">
            <v>0.82799999999999996</v>
          </cell>
          <cell r="J674">
            <v>0</v>
          </cell>
          <cell r="K674">
            <v>1.42</v>
          </cell>
          <cell r="L674">
            <v>4.25</v>
          </cell>
          <cell r="M674">
            <v>0</v>
          </cell>
          <cell r="N674">
            <v>0</v>
          </cell>
          <cell r="O674">
            <v>0</v>
          </cell>
          <cell r="P674">
            <v>0.01</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t="str">
            <v>MPET 12x540</v>
          </cell>
          <cell r="AF674" t="str">
            <v>PE 80x540</v>
          </cell>
          <cell r="AG674">
            <v>5.8104000000000003E-2</v>
          </cell>
          <cell r="AH674">
            <v>0.81266666666666665</v>
          </cell>
          <cell r="AI674">
            <v>0.81266666666666665</v>
          </cell>
          <cell r="AJ674">
            <v>9530</v>
          </cell>
          <cell r="AK674">
            <v>9530</v>
          </cell>
          <cell r="AL674" t="str">
            <v>0,0046(0,0023;0,0023)</v>
          </cell>
          <cell r="AM674" t="str">
            <v>dạng cuộn 500m</v>
          </cell>
          <cell r="AN674">
            <v>260</v>
          </cell>
          <cell r="AO674" t="str">
            <v>Công ty CP Hùng Nguyên</v>
          </cell>
          <cell r="AP674" t="str">
            <v>20040886-1</v>
          </cell>
          <cell r="AQ674" t="str">
            <v>20040886-2</v>
          </cell>
          <cell r="AR674" t="str">
            <v>20040886-3</v>
          </cell>
          <cell r="AS674" t="str">
            <v>20040886-4</v>
          </cell>
          <cell r="AT674">
            <v>0</v>
          </cell>
          <cell r="AU674">
            <v>0</v>
          </cell>
          <cell r="AV674">
            <v>0</v>
          </cell>
          <cell r="AW674">
            <v>0</v>
          </cell>
          <cell r="AX674">
            <v>0</v>
          </cell>
          <cell r="AY674" t="str">
            <v>570x750</v>
          </cell>
          <cell r="AZ674" t="str">
            <v>S1</v>
          </cell>
          <cell r="BA674">
            <v>0</v>
          </cell>
          <cell r="BB674">
            <v>0</v>
          </cell>
          <cell r="BC674">
            <v>0</v>
          </cell>
          <cell r="BD674">
            <v>0</v>
          </cell>
        </row>
        <row r="675">
          <cell r="A675" t="str">
            <v>sp 1186</v>
          </cell>
          <cell r="B675" t="str">
            <v>Cuộn thuốc thú y NGH-Anticoocid 50gr - Hùng Nguyên</v>
          </cell>
          <cell r="C675">
            <v>10.100000000000001</v>
          </cell>
          <cell r="D675">
            <v>3</v>
          </cell>
          <cell r="E675" t="str">
            <v>PET 12x740</v>
          </cell>
          <cell r="F675">
            <v>3</v>
          </cell>
          <cell r="G675" t="str">
            <v>PET</v>
          </cell>
          <cell r="H675">
            <v>1.61</v>
          </cell>
          <cell r="I675">
            <v>4.6500000000000004</v>
          </cell>
          <cell r="J675">
            <v>0</v>
          </cell>
          <cell r="K675">
            <v>0</v>
          </cell>
          <cell r="L675">
            <v>0</v>
          </cell>
          <cell r="M675">
            <v>2.02</v>
          </cell>
          <cell r="N675">
            <v>0</v>
          </cell>
          <cell r="O675">
            <v>0</v>
          </cell>
          <cell r="P675">
            <v>1.82</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t="str">
            <v>MPET 12x740</v>
          </cell>
          <cell r="AF675" t="str">
            <v>PE 80x740</v>
          </cell>
          <cell r="AG675">
            <v>7.9624E-2</v>
          </cell>
          <cell r="AH675">
            <v>1.1193333333333333</v>
          </cell>
          <cell r="AI675">
            <v>1.1193333333333333</v>
          </cell>
          <cell r="AJ675">
            <v>9530</v>
          </cell>
          <cell r="AK675">
            <v>9530</v>
          </cell>
          <cell r="AL675" t="str">
            <v>0,0046(0,0023;0,0023)</v>
          </cell>
          <cell r="AM675" t="str">
            <v>dạng cuộn 500m</v>
          </cell>
          <cell r="AN675">
            <v>240</v>
          </cell>
          <cell r="AO675" t="str">
            <v>Công ty CP Hùng Nguyên</v>
          </cell>
          <cell r="AP675" t="str">
            <v>20040887-1</v>
          </cell>
          <cell r="AQ675" t="str">
            <v>20040887-2</v>
          </cell>
          <cell r="AR675" t="str">
            <v>20040887-3</v>
          </cell>
          <cell r="AS675">
            <v>0</v>
          </cell>
          <cell r="AT675">
            <v>0</v>
          </cell>
          <cell r="AU675">
            <v>0</v>
          </cell>
          <cell r="AV675">
            <v>0</v>
          </cell>
          <cell r="AW675">
            <v>0</v>
          </cell>
          <cell r="AX675">
            <v>0</v>
          </cell>
          <cell r="AY675" t="str">
            <v>480x820</v>
          </cell>
          <cell r="AZ675" t="str">
            <v>S1</v>
          </cell>
          <cell r="BA675">
            <v>0</v>
          </cell>
          <cell r="BB675">
            <v>0</v>
          </cell>
          <cell r="BC675">
            <v>0</v>
          </cell>
          <cell r="BD675">
            <v>0</v>
          </cell>
        </row>
        <row r="676">
          <cell r="A676" t="str">
            <v>sp 1187</v>
          </cell>
          <cell r="B676" t="str">
            <v>Cuộn màng PE đen trắng in không ghép chữ BVN nhôm Việt Nhật TH Việt</v>
          </cell>
          <cell r="C676">
            <v>12.97</v>
          </cell>
          <cell r="D676">
            <v>1</v>
          </cell>
          <cell r="E676" t="str">
            <v>PE đt 55x1230</v>
          </cell>
          <cell r="F676">
            <v>2</v>
          </cell>
          <cell r="G676" t="str">
            <v xml:space="preserve">PE </v>
          </cell>
          <cell r="H676">
            <v>0.23</v>
          </cell>
          <cell r="I676">
            <v>0</v>
          </cell>
          <cell r="J676">
            <v>3.06</v>
          </cell>
          <cell r="K676">
            <v>4.4800000000000004</v>
          </cell>
          <cell r="L676">
            <v>0</v>
          </cell>
          <cell r="M676">
            <v>5.19</v>
          </cell>
          <cell r="N676">
            <v>0</v>
          </cell>
          <cell r="O676">
            <v>0</v>
          </cell>
          <cell r="P676">
            <v>0</v>
          </cell>
          <cell r="Q676">
            <v>0</v>
          </cell>
          <cell r="R676">
            <v>0.01</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t="str">
            <v>dạng cuộn 1,500m</v>
          </cell>
          <cell r="AN676">
            <v>1230</v>
          </cell>
          <cell r="AO676" t="str">
            <v>Công ty TH Việt</v>
          </cell>
          <cell r="AP676" t="str">
            <v>20040810-1</v>
          </cell>
          <cell r="AQ676" t="str">
            <v>20040436-1</v>
          </cell>
          <cell r="AR676">
            <v>0</v>
          </cell>
          <cell r="AS676">
            <v>0</v>
          </cell>
          <cell r="AT676">
            <v>0</v>
          </cell>
          <cell r="AU676">
            <v>0</v>
          </cell>
          <cell r="AV676">
            <v>0</v>
          </cell>
          <cell r="AW676">
            <v>0</v>
          </cell>
          <cell r="AX676">
            <v>0</v>
          </cell>
          <cell r="AY676" t="str">
            <v>500x1350</v>
          </cell>
          <cell r="AZ676" t="str">
            <v>S1</v>
          </cell>
          <cell r="BA676">
            <v>0</v>
          </cell>
          <cell r="BB676">
            <v>0</v>
          </cell>
          <cell r="BC676">
            <v>0</v>
          </cell>
          <cell r="BD676" t="str">
            <v>trục in phủ 1188</v>
          </cell>
        </row>
        <row r="677">
          <cell r="A677" t="str">
            <v>sp 1188</v>
          </cell>
          <cell r="B677">
            <v>0</v>
          </cell>
          <cell r="C677">
            <v>0</v>
          </cell>
          <cell r="D677">
            <v>0</v>
          </cell>
          <cell r="E677">
            <v>0</v>
          </cell>
          <cell r="F677">
            <v>0</v>
          </cell>
          <cell r="G677" t="str">
            <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t="str">
            <v>20040436-1</v>
          </cell>
          <cell r="AQ677">
            <v>0</v>
          </cell>
          <cell r="AR677">
            <v>0</v>
          </cell>
          <cell r="AS677">
            <v>0</v>
          </cell>
          <cell r="AT677">
            <v>0</v>
          </cell>
          <cell r="AU677">
            <v>0</v>
          </cell>
          <cell r="AV677">
            <v>0</v>
          </cell>
          <cell r="AW677">
            <v>0</v>
          </cell>
          <cell r="AX677">
            <v>0</v>
          </cell>
          <cell r="AY677" t="str">
            <v>520x1350</v>
          </cell>
          <cell r="AZ677" t="str">
            <v>S1</v>
          </cell>
          <cell r="BA677">
            <v>0</v>
          </cell>
          <cell r="BB677">
            <v>0</v>
          </cell>
          <cell r="BC677">
            <v>0</v>
          </cell>
          <cell r="BD677">
            <v>0</v>
          </cell>
        </row>
        <row r="678">
          <cell r="A678" t="str">
            <v>sp 1189</v>
          </cell>
          <cell r="B678" t="str">
            <v>Cuộn màng PE đen trắng in không ghép chữ arkuda TH Việt</v>
          </cell>
          <cell r="C678">
            <v>12.27</v>
          </cell>
          <cell r="D678">
            <v>1</v>
          </cell>
          <cell r="E678" t="str">
            <v>PE đt 70x1230</v>
          </cell>
          <cell r="F678">
            <v>4</v>
          </cell>
          <cell r="G678" t="str">
            <v xml:space="preserve">PE </v>
          </cell>
          <cell r="H678">
            <v>0.33</v>
          </cell>
          <cell r="I678">
            <v>0</v>
          </cell>
          <cell r="J678">
            <v>0</v>
          </cell>
          <cell r="K678">
            <v>0</v>
          </cell>
          <cell r="L678">
            <v>2.0299999999999998</v>
          </cell>
          <cell r="M678">
            <v>8</v>
          </cell>
          <cell r="N678">
            <v>0</v>
          </cell>
          <cell r="O678">
            <v>0</v>
          </cell>
          <cell r="P678">
            <v>1.9</v>
          </cell>
          <cell r="Q678">
            <v>0</v>
          </cell>
          <cell r="R678">
            <v>0.01</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t="str">
            <v>dạng cuộn 1,500m</v>
          </cell>
          <cell r="AN678">
            <v>1230</v>
          </cell>
          <cell r="AO678" t="str">
            <v>Công ty TH Việt</v>
          </cell>
          <cell r="AP678" t="e">
            <v>#N/A</v>
          </cell>
          <cell r="AQ678" t="e">
            <v>#N/A</v>
          </cell>
          <cell r="AR678" t="e">
            <v>#N/A</v>
          </cell>
          <cell r="AS678" t="e">
            <v>#N/A</v>
          </cell>
          <cell r="AT678" t="e">
            <v>#N/A</v>
          </cell>
          <cell r="AU678" t="e">
            <v>#N/A</v>
          </cell>
          <cell r="AV678" t="e">
            <v>#N/A</v>
          </cell>
          <cell r="AW678" t="e">
            <v>#N/A</v>
          </cell>
          <cell r="AX678" t="e">
            <v>#N/A</v>
          </cell>
          <cell r="AY678" t="e">
            <v>#N/A</v>
          </cell>
          <cell r="AZ678" t="e">
            <v>#N/A</v>
          </cell>
          <cell r="BA678">
            <v>0</v>
          </cell>
          <cell r="BB678">
            <v>0</v>
          </cell>
          <cell r="BC678">
            <v>0</v>
          </cell>
          <cell r="BD678" t="e">
            <v>#N/A</v>
          </cell>
        </row>
        <row r="679">
          <cell r="A679" t="str">
            <v>sp 1190</v>
          </cell>
          <cell r="B679" t="str">
            <v>Túi nhôm tradin extra 2 vỉ x 10 viên nang cứng CNC Traphaco</v>
          </cell>
          <cell r="C679">
            <v>2.6100000000000003</v>
          </cell>
          <cell r="D679">
            <v>4</v>
          </cell>
          <cell r="E679" t="str">
            <v>PET 12x760</v>
          </cell>
          <cell r="F679">
            <v>2</v>
          </cell>
          <cell r="G679" t="str">
            <v>PET</v>
          </cell>
          <cell r="H679">
            <v>0.22700000000000001</v>
          </cell>
          <cell r="I679">
            <v>0</v>
          </cell>
          <cell r="J679">
            <v>0.68100000000000005</v>
          </cell>
          <cell r="K679">
            <v>0.45400000000000001</v>
          </cell>
          <cell r="L679">
            <v>0</v>
          </cell>
          <cell r="M679">
            <v>0.45400000000000001</v>
          </cell>
          <cell r="N679">
            <v>0</v>
          </cell>
          <cell r="O679">
            <v>0.79400000000000004</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t="str">
            <v>Al 6x760</v>
          </cell>
          <cell r="AF679" t="str">
            <v>CPP 55x770</v>
          </cell>
          <cell r="AG679">
            <v>6.3790600000000003E-2</v>
          </cell>
          <cell r="AH679">
            <v>1.25</v>
          </cell>
          <cell r="AI679">
            <v>1.25</v>
          </cell>
          <cell r="AJ679">
            <v>9530</v>
          </cell>
          <cell r="AK679">
            <v>9530</v>
          </cell>
          <cell r="AL679" t="str">
            <v>0,005(0,0025;0,0025)</v>
          </cell>
          <cell r="AM679" t="str">
            <v>túi hàn lưng xếp hông</v>
          </cell>
          <cell r="AN679">
            <v>150</v>
          </cell>
          <cell r="AO679" t="str">
            <v>Công ty Cổ Phần Công Nghệ Cao Traphaco</v>
          </cell>
          <cell r="AP679" t="str">
            <v>21040596-1</v>
          </cell>
          <cell r="AQ679" t="str">
            <v>20050185-2</v>
          </cell>
          <cell r="AR679">
            <v>0</v>
          </cell>
          <cell r="AS679">
            <v>0</v>
          </cell>
          <cell r="AT679">
            <v>0</v>
          </cell>
          <cell r="AU679">
            <v>0</v>
          </cell>
          <cell r="AV679">
            <v>0</v>
          </cell>
          <cell r="AW679">
            <v>0</v>
          </cell>
          <cell r="AX679">
            <v>0</v>
          </cell>
          <cell r="AY679" t="str">
            <v>450x870</v>
          </cell>
          <cell r="AZ679" t="str">
            <v>S1</v>
          </cell>
          <cell r="BA679">
            <v>0</v>
          </cell>
          <cell r="BB679">
            <v>0</v>
          </cell>
          <cell r="BC679">
            <v>0</v>
          </cell>
          <cell r="BD679">
            <v>0</v>
          </cell>
        </row>
        <row r="680">
          <cell r="A680" t="str">
            <v>sp 1191</v>
          </cell>
          <cell r="B680" t="str">
            <v>Cuộn màng PE đen trắng in không ghép chữ BVN nhôm Việt Nhật VT63 TH Việt</v>
          </cell>
          <cell r="C680">
            <v>1.6500000000000001</v>
          </cell>
          <cell r="D680">
            <v>1</v>
          </cell>
          <cell r="E680" t="str">
            <v>PE đt 70x1230</v>
          </cell>
          <cell r="F680">
            <v>1</v>
          </cell>
          <cell r="G680" t="str">
            <v xml:space="preserve">PE </v>
          </cell>
          <cell r="H680">
            <v>0.28000000000000003</v>
          </cell>
          <cell r="I680">
            <v>0</v>
          </cell>
          <cell r="J680">
            <v>1.08</v>
          </cell>
          <cell r="K680">
            <v>0.28000000000000003</v>
          </cell>
          <cell r="L680">
            <v>0</v>
          </cell>
          <cell r="M680">
            <v>0</v>
          </cell>
          <cell r="N680">
            <v>0</v>
          </cell>
          <cell r="O680">
            <v>0</v>
          </cell>
          <cell r="P680">
            <v>0</v>
          </cell>
          <cell r="Q680">
            <v>0</v>
          </cell>
          <cell r="R680">
            <v>0.01</v>
          </cell>
          <cell r="S680">
            <v>0</v>
          </cell>
          <cell r="T680">
            <v>0</v>
          </cell>
          <cell r="U680">
            <v>0</v>
          </cell>
          <cell r="V680">
            <v>0</v>
          </cell>
          <cell r="W680">
            <v>0</v>
          </cell>
          <cell r="X680">
            <v>0</v>
          </cell>
          <cell r="Y680">
            <v>0</v>
          </cell>
          <cell r="Z680">
            <v>0</v>
          </cell>
          <cell r="AA680">
            <v>0</v>
          </cell>
          <cell r="AB680">
            <v>0</v>
          </cell>
          <cell r="AC680">
            <v>0</v>
          </cell>
          <cell r="AD680">
            <v>0</v>
          </cell>
          <cell r="AE680" t="str">
            <v>PE đt 70x1230</v>
          </cell>
          <cell r="AF680">
            <v>0</v>
          </cell>
          <cell r="AG680">
            <v>8.4378000000000009E-2</v>
          </cell>
          <cell r="AH680">
            <v>0</v>
          </cell>
          <cell r="AI680">
            <v>0</v>
          </cell>
          <cell r="AJ680" t="str">
            <v>medium FB110</v>
          </cell>
          <cell r="AK680" t="str">
            <v>đóng rắn I 9300</v>
          </cell>
          <cell r="AL680">
            <v>0</v>
          </cell>
          <cell r="AM680" t="str">
            <v>dạng cuộn 6,000m</v>
          </cell>
          <cell r="AN680">
            <v>1230</v>
          </cell>
          <cell r="AO680" t="str">
            <v>Công ty TH Việt</v>
          </cell>
          <cell r="AP680" t="str">
            <v>20050254-1</v>
          </cell>
          <cell r="AQ680">
            <v>0</v>
          </cell>
          <cell r="AR680">
            <v>0</v>
          </cell>
          <cell r="AS680">
            <v>0</v>
          </cell>
          <cell r="AT680">
            <v>0</v>
          </cell>
          <cell r="AU680">
            <v>0</v>
          </cell>
          <cell r="AV680">
            <v>0</v>
          </cell>
          <cell r="AW680">
            <v>0</v>
          </cell>
          <cell r="AX680">
            <v>0</v>
          </cell>
          <cell r="AY680" t="str">
            <v>450x1300</v>
          </cell>
          <cell r="AZ680" t="str">
            <v>S1</v>
          </cell>
          <cell r="BA680">
            <v>0</v>
          </cell>
          <cell r="BB680">
            <v>0</v>
          </cell>
          <cell r="BC680">
            <v>0</v>
          </cell>
          <cell r="BD680">
            <v>0</v>
          </cell>
        </row>
        <row r="681">
          <cell r="A681" t="str">
            <v>sp 1192</v>
          </cell>
          <cell r="B681" t="str">
            <v>Túi PA in hình con gà đỏ KT 300x450 mm Bao Bì Việt</v>
          </cell>
          <cell r="C681">
            <v>0.69000000000000006</v>
          </cell>
          <cell r="D681">
            <v>1</v>
          </cell>
          <cell r="E681" t="str">
            <v>PA 15x620</v>
          </cell>
          <cell r="F681">
            <v>1</v>
          </cell>
          <cell r="G681" t="str">
            <v xml:space="preserve">PA </v>
          </cell>
          <cell r="H681">
            <v>0</v>
          </cell>
          <cell r="I681">
            <v>0</v>
          </cell>
          <cell r="J681">
            <v>0</v>
          </cell>
          <cell r="K681">
            <v>0</v>
          </cell>
          <cell r="L681">
            <v>0.68</v>
          </cell>
          <cell r="M681">
            <v>0</v>
          </cell>
          <cell r="N681">
            <v>0</v>
          </cell>
          <cell r="O681">
            <v>0</v>
          </cell>
          <cell r="P681">
            <v>0.01</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t="str">
            <v>PE 65x620</v>
          </cell>
          <cell r="AF681">
            <v>0</v>
          </cell>
          <cell r="AG681">
            <v>4.7972500000000001E-2</v>
          </cell>
          <cell r="AH681">
            <v>0.93533333333333324</v>
          </cell>
          <cell r="AI681">
            <v>0</v>
          </cell>
          <cell r="AJ681">
            <v>9530</v>
          </cell>
          <cell r="AK681">
            <v>0</v>
          </cell>
          <cell r="AL681">
            <v>2.3E-3</v>
          </cell>
          <cell r="AM681" t="str">
            <v>túi ba biên</v>
          </cell>
          <cell r="AN681">
            <v>450</v>
          </cell>
          <cell r="AO681" t="str">
            <v>Công ty Bao Bì Việt</v>
          </cell>
          <cell r="AP681" t="str">
            <v>20050352-1</v>
          </cell>
          <cell r="AQ681">
            <v>0</v>
          </cell>
          <cell r="AR681">
            <v>0</v>
          </cell>
          <cell r="AS681">
            <v>0</v>
          </cell>
          <cell r="AT681">
            <v>0</v>
          </cell>
          <cell r="AU681">
            <v>0</v>
          </cell>
          <cell r="AV681">
            <v>0</v>
          </cell>
          <cell r="AW681">
            <v>0</v>
          </cell>
          <cell r="AX681">
            <v>0</v>
          </cell>
          <cell r="AY681" t="str">
            <v>450x870</v>
          </cell>
          <cell r="AZ681" t="str">
            <v>S1</v>
          </cell>
          <cell r="BA681">
            <v>0</v>
          </cell>
          <cell r="BB681">
            <v>0</v>
          </cell>
          <cell r="BC681">
            <v>0</v>
          </cell>
          <cell r="BD681">
            <v>0</v>
          </cell>
        </row>
        <row r="682">
          <cell r="A682" t="str">
            <v>sp 1193</v>
          </cell>
          <cell r="B682" t="str">
            <v>Túi bánh trứng chà bông không in karro 26gr x 24 richy</v>
          </cell>
          <cell r="C682">
            <v>0</v>
          </cell>
          <cell r="D682">
            <v>4</v>
          </cell>
          <cell r="E682" t="str">
            <v>OPP 20x840</v>
          </cell>
          <cell r="F682">
            <v>0</v>
          </cell>
          <cell r="G682" t="str">
            <v>OPP</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t="str">
            <v>CPP 30x840</v>
          </cell>
          <cell r="AF682">
            <v>0</v>
          </cell>
          <cell r="AG682">
            <v>3.8219999999999997E-2</v>
          </cell>
          <cell r="AH682">
            <v>0.38733333333333331</v>
          </cell>
          <cell r="AI682">
            <v>0</v>
          </cell>
          <cell r="AJ682" t="str">
            <v>keo PP2450FX
ĐR I-2450A</v>
          </cell>
          <cell r="AK682">
            <v>0</v>
          </cell>
          <cell r="AL682">
            <v>1.4E-3</v>
          </cell>
          <cell r="AM682" t="str">
            <v>túi bốn biên</v>
          </cell>
          <cell r="AN682">
            <v>465</v>
          </cell>
          <cell r="AO682" t="str">
            <v>Công ty CP thực phẩm Richy Miền Bắc</v>
          </cell>
          <cell r="AP682">
            <v>0</v>
          </cell>
          <cell r="AQ682">
            <v>0</v>
          </cell>
          <cell r="AR682">
            <v>0</v>
          </cell>
          <cell r="AS682">
            <v>0</v>
          </cell>
          <cell r="AT682">
            <v>0</v>
          </cell>
          <cell r="AU682">
            <v>0</v>
          </cell>
          <cell r="AV682">
            <v>0</v>
          </cell>
          <cell r="AW682">
            <v>0</v>
          </cell>
          <cell r="AX682">
            <v>0</v>
          </cell>
          <cell r="AY682">
            <v>0</v>
          </cell>
          <cell r="AZ682" t="str">
            <v>S1</v>
          </cell>
          <cell r="BA682">
            <v>0</v>
          </cell>
          <cell r="BB682">
            <v>0</v>
          </cell>
          <cell r="BC682">
            <v>0</v>
          </cell>
          <cell r="BD682">
            <v>0</v>
          </cell>
        </row>
        <row r="683">
          <cell r="A683" t="str">
            <v>sp 1194</v>
          </cell>
          <cell r="B683" t="str">
            <v>Cuộn màng bánh HCT cookies- Hoàng Chiến Thắng</v>
          </cell>
          <cell r="C683">
            <v>5.01</v>
          </cell>
          <cell r="D683">
            <v>5</v>
          </cell>
          <cell r="E683" t="str">
            <v>OPP 20x820</v>
          </cell>
          <cell r="F683">
            <v>3</v>
          </cell>
          <cell r="G683" t="str">
            <v>OPP</v>
          </cell>
          <cell r="H683">
            <v>0</v>
          </cell>
          <cell r="I683">
            <v>3.03</v>
          </cell>
          <cell r="J683">
            <v>0</v>
          </cell>
          <cell r="K683">
            <v>0</v>
          </cell>
          <cell r="L683">
            <v>0.62</v>
          </cell>
          <cell r="M683">
            <v>0</v>
          </cell>
          <cell r="N683">
            <v>1.35</v>
          </cell>
          <cell r="O683">
            <v>0</v>
          </cell>
          <cell r="P683">
            <v>0</v>
          </cell>
          <cell r="Q683">
            <v>0.01</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t="str">
            <v>CPP 20x820</v>
          </cell>
          <cell r="AF683">
            <v>0</v>
          </cell>
          <cell r="AG683">
            <v>2.9848E-2</v>
          </cell>
          <cell r="AH683">
            <v>0.32400000000000001</v>
          </cell>
          <cell r="AI683">
            <v>0</v>
          </cell>
          <cell r="AJ683" t="str">
            <v>keo PP2450FX
ĐR I-2450A</v>
          </cell>
          <cell r="AK683">
            <v>0</v>
          </cell>
          <cell r="AL683">
            <v>1.1999999999999999E-3</v>
          </cell>
          <cell r="AM683" t="str">
            <v>dạng cuộn 1,000m</v>
          </cell>
          <cell r="AN683">
            <v>160</v>
          </cell>
          <cell r="AO683" t="str">
            <v>Công ty TNHH Hoàng Chiến Thắng</v>
          </cell>
          <cell r="AP683" t="str">
            <v>X108968-1</v>
          </cell>
          <cell r="AQ683" t="str">
            <v>X108968-2</v>
          </cell>
          <cell r="AR683" t="str">
            <v>X108968-3</v>
          </cell>
          <cell r="AS683">
            <v>0</v>
          </cell>
          <cell r="AT683">
            <v>0</v>
          </cell>
          <cell r="AU683">
            <v>0</v>
          </cell>
          <cell r="AV683">
            <v>0</v>
          </cell>
          <cell r="AW683">
            <v>0</v>
          </cell>
          <cell r="AX683">
            <v>0</v>
          </cell>
          <cell r="AY683" t="str">
            <v>870x475</v>
          </cell>
          <cell r="AZ683" t="str">
            <v>S1</v>
          </cell>
          <cell r="BA683">
            <v>0</v>
          </cell>
          <cell r="BB683">
            <v>0</v>
          </cell>
          <cell r="BC683">
            <v>0</v>
          </cell>
          <cell r="BD683">
            <v>0</v>
          </cell>
        </row>
        <row r="684">
          <cell r="A684" t="str">
            <v>sp 1195</v>
          </cell>
          <cell r="B684" t="str">
            <v>Cuộn bánh kẹp kem xoài mango Diamond Food</v>
          </cell>
          <cell r="C684">
            <v>13.48</v>
          </cell>
          <cell r="D684">
            <v>5</v>
          </cell>
          <cell r="E684" t="str">
            <v>OPP mờ 20x720</v>
          </cell>
          <cell r="F684">
            <v>6</v>
          </cell>
          <cell r="G684" t="str">
            <v>OPP</v>
          </cell>
          <cell r="H684">
            <v>0.01</v>
          </cell>
          <cell r="I684">
            <v>2.12</v>
          </cell>
          <cell r="J684">
            <v>0.01</v>
          </cell>
          <cell r="K684">
            <v>0.01</v>
          </cell>
          <cell r="L684">
            <v>8.83</v>
          </cell>
          <cell r="M684">
            <v>2.31</v>
          </cell>
          <cell r="N684">
            <v>0</v>
          </cell>
          <cell r="O684">
            <v>0</v>
          </cell>
          <cell r="P684">
            <v>0</v>
          </cell>
          <cell r="Q684">
            <v>0.19</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t="str">
            <v>MCPP 25x720</v>
          </cell>
          <cell r="AF684">
            <v>0</v>
          </cell>
          <cell r="AG684">
            <v>2.9484E-2</v>
          </cell>
          <cell r="AH684">
            <v>0.28399999999999997</v>
          </cell>
          <cell r="AI684">
            <v>0</v>
          </cell>
          <cell r="AJ684" t="str">
            <v>keo PP2450FX
ĐR I-2450A</v>
          </cell>
          <cell r="AK684">
            <v>0</v>
          </cell>
          <cell r="AL684">
            <v>1.1999999999999999E-3</v>
          </cell>
          <cell r="AM684" t="str">
            <v>dạng cuộn 1,000m</v>
          </cell>
          <cell r="AN684">
            <v>140</v>
          </cell>
          <cell r="AO684" t="str">
            <v>Công ty Diamond food</v>
          </cell>
          <cell r="AP684" t="str">
            <v>F126122-1</v>
          </cell>
          <cell r="AQ684" t="str">
            <v>F126122-2</v>
          </cell>
          <cell r="AR684" t="str">
            <v>F126122-3</v>
          </cell>
          <cell r="AS684" t="str">
            <v>F126122-4</v>
          </cell>
          <cell r="AT684" t="str">
            <v>F126122-5</v>
          </cell>
          <cell r="AU684" t="str">
            <v>F126122-6</v>
          </cell>
          <cell r="AV684">
            <v>0</v>
          </cell>
          <cell r="AW684">
            <v>0</v>
          </cell>
          <cell r="AX684">
            <v>0</v>
          </cell>
          <cell r="AY684" t="str">
            <v>780x410</v>
          </cell>
          <cell r="AZ684" t="str">
            <v>S1</v>
          </cell>
          <cell r="BA684">
            <v>0</v>
          </cell>
          <cell r="BB684">
            <v>0</v>
          </cell>
          <cell r="BC684">
            <v>0</v>
          </cell>
          <cell r="BD684">
            <v>0</v>
          </cell>
        </row>
        <row r="685">
          <cell r="A685" t="str">
            <v>sp 1196</v>
          </cell>
          <cell r="B685" t="str">
            <v>Túi hương trầm liên đức hương thơm đậu tàn KT 160x465</v>
          </cell>
          <cell r="C685">
            <v>7.6399999999999988</v>
          </cell>
          <cell r="D685">
            <v>4</v>
          </cell>
          <cell r="E685" t="str">
            <v>OPP 20x660</v>
          </cell>
          <cell r="F685">
            <v>6</v>
          </cell>
          <cell r="G685" t="str">
            <v>OPP</v>
          </cell>
          <cell r="H685">
            <v>0.01</v>
          </cell>
          <cell r="I685">
            <v>2.13</v>
          </cell>
          <cell r="J685">
            <v>0.01</v>
          </cell>
          <cell r="K685">
            <v>0.36</v>
          </cell>
          <cell r="L685">
            <v>3.43</v>
          </cell>
          <cell r="M685">
            <v>1.37</v>
          </cell>
          <cell r="N685">
            <v>0</v>
          </cell>
          <cell r="O685">
            <v>0</v>
          </cell>
          <cell r="P685">
            <v>0.26</v>
          </cell>
          <cell r="Q685">
            <v>0.06</v>
          </cell>
          <cell r="R685">
            <v>0</v>
          </cell>
          <cell r="S685">
            <v>0.01</v>
          </cell>
          <cell r="T685">
            <v>0</v>
          </cell>
          <cell r="U685">
            <v>0</v>
          </cell>
          <cell r="V685">
            <v>0</v>
          </cell>
          <cell r="W685">
            <v>0</v>
          </cell>
          <cell r="X685">
            <v>0</v>
          </cell>
          <cell r="Y685">
            <v>0</v>
          </cell>
          <cell r="Z685">
            <v>0</v>
          </cell>
          <cell r="AA685">
            <v>0</v>
          </cell>
          <cell r="AB685">
            <v>0</v>
          </cell>
          <cell r="AC685">
            <v>0</v>
          </cell>
          <cell r="AD685">
            <v>0</v>
          </cell>
          <cell r="AE685" t="str">
            <v>PE 30x660</v>
          </cell>
          <cell r="AF685">
            <v>0</v>
          </cell>
          <cell r="AG685">
            <v>3.0327000000000003E-2</v>
          </cell>
          <cell r="AH685">
            <v>0.78</v>
          </cell>
          <cell r="AI685">
            <v>0</v>
          </cell>
          <cell r="AJ685">
            <v>9530</v>
          </cell>
          <cell r="AK685">
            <v>0</v>
          </cell>
          <cell r="AL685">
            <v>1.8E-3</v>
          </cell>
          <cell r="AM685" t="str">
            <v>túi ba biên</v>
          </cell>
          <cell r="AN685">
            <v>465</v>
          </cell>
          <cell r="AO685" t="str">
            <v>Doanh nghiệp tư nhân Bảy Lương</v>
          </cell>
          <cell r="AP685" t="str">
            <v>20051246-1</v>
          </cell>
          <cell r="AQ685" t="str">
            <v>20051246-2</v>
          </cell>
          <cell r="AR685" t="str">
            <v>20051246-3</v>
          </cell>
          <cell r="AS685" t="str">
            <v>20051246-4</v>
          </cell>
          <cell r="AT685" t="str">
            <v>20051246-5</v>
          </cell>
          <cell r="AU685" t="str">
            <v>20051246-6</v>
          </cell>
          <cell r="AV685">
            <v>0</v>
          </cell>
          <cell r="AW685">
            <v>0</v>
          </cell>
          <cell r="AX685">
            <v>0</v>
          </cell>
          <cell r="AY685" t="str">
            <v>465x870</v>
          </cell>
          <cell r="AZ685" t="str">
            <v>S1</v>
          </cell>
          <cell r="BA685">
            <v>0</v>
          </cell>
          <cell r="BB685">
            <v>0</v>
          </cell>
          <cell r="BC685">
            <v>0</v>
          </cell>
          <cell r="BD685">
            <v>0</v>
          </cell>
        </row>
        <row r="686">
          <cell r="A686" t="str">
            <v>sp 1197</v>
          </cell>
          <cell r="B686" t="str">
            <v>Túi gạo không in HCK 1kg KT 200x280mm Thái Bình</v>
          </cell>
          <cell r="C686">
            <v>0</v>
          </cell>
          <cell r="D686">
            <v>2</v>
          </cell>
          <cell r="E686" t="str">
            <v>PA 15x800</v>
          </cell>
          <cell r="F686">
            <v>0</v>
          </cell>
          <cell r="G686" t="str">
            <v xml:space="preserve">PA </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t="str">
            <v>PE 85x800</v>
          </cell>
          <cell r="AF686">
            <v>0</v>
          </cell>
          <cell r="AG686">
            <v>7.6700000000000018E-2</v>
          </cell>
          <cell r="AH686">
            <v>1.2113333333333334</v>
          </cell>
          <cell r="AI686">
            <v>0</v>
          </cell>
          <cell r="AJ686">
            <v>9530</v>
          </cell>
          <cell r="AK686">
            <v>0</v>
          </cell>
          <cell r="AL686">
            <v>2.3E-3</v>
          </cell>
          <cell r="AM686" t="str">
            <v>túi ba biên</v>
          </cell>
          <cell r="AN686">
            <v>200</v>
          </cell>
          <cell r="AO686" t="str">
            <v>Công ty Thái Bình</v>
          </cell>
          <cell r="AP686">
            <v>0</v>
          </cell>
          <cell r="AQ686">
            <v>0</v>
          </cell>
          <cell r="AR686">
            <v>0</v>
          </cell>
          <cell r="AS686">
            <v>0</v>
          </cell>
          <cell r="AT686">
            <v>0</v>
          </cell>
          <cell r="AU686">
            <v>0</v>
          </cell>
          <cell r="AV686">
            <v>0</v>
          </cell>
          <cell r="AW686">
            <v>0</v>
          </cell>
          <cell r="AX686">
            <v>0</v>
          </cell>
          <cell r="AY686">
            <v>0</v>
          </cell>
          <cell r="AZ686">
            <v>0</v>
          </cell>
          <cell r="BA686">
            <v>0</v>
          </cell>
          <cell r="BB686">
            <v>0</v>
          </cell>
          <cell r="BC686">
            <v>0</v>
          </cell>
          <cell r="BD686">
            <v>0</v>
          </cell>
        </row>
        <row r="687">
          <cell r="A687" t="str">
            <v>sp 1198</v>
          </cell>
          <cell r="B687" t="str">
            <v>Cuộn bột giặt Owell 4.1kg - Hải Phòng</v>
          </cell>
          <cell r="C687">
            <v>5.9160000000000013</v>
          </cell>
          <cell r="D687">
            <v>1</v>
          </cell>
          <cell r="E687" t="str">
            <v>PA 15x750</v>
          </cell>
          <cell r="F687">
            <v>6</v>
          </cell>
          <cell r="G687" t="str">
            <v xml:space="preserve">PA </v>
          </cell>
          <cell r="H687">
            <v>5.6000000000000001E-2</v>
          </cell>
          <cell r="I687">
            <v>0</v>
          </cell>
          <cell r="J687">
            <v>0.78</v>
          </cell>
          <cell r="K687">
            <v>0.67</v>
          </cell>
          <cell r="L687">
            <v>1.45</v>
          </cell>
          <cell r="M687">
            <v>0.22</v>
          </cell>
          <cell r="N687">
            <v>0</v>
          </cell>
          <cell r="O687">
            <v>0</v>
          </cell>
          <cell r="P687">
            <v>2.46</v>
          </cell>
          <cell r="Q687">
            <v>0</v>
          </cell>
          <cell r="R687">
            <v>0.28000000000000003</v>
          </cell>
          <cell r="S687">
            <v>0</v>
          </cell>
          <cell r="T687">
            <v>0</v>
          </cell>
          <cell r="U687">
            <v>0</v>
          </cell>
          <cell r="V687">
            <v>0</v>
          </cell>
          <cell r="W687">
            <v>0</v>
          </cell>
          <cell r="X687">
            <v>0</v>
          </cell>
          <cell r="Y687">
            <v>0</v>
          </cell>
          <cell r="Z687">
            <v>0</v>
          </cell>
          <cell r="AA687">
            <v>0</v>
          </cell>
          <cell r="AB687">
            <v>0</v>
          </cell>
          <cell r="AC687">
            <v>0</v>
          </cell>
          <cell r="AD687">
            <v>0</v>
          </cell>
          <cell r="AE687" t="str">
            <v>PE sứ 130x750</v>
          </cell>
          <cell r="AF687">
            <v>0</v>
          </cell>
          <cell r="AG687">
            <v>0.1036125</v>
          </cell>
          <cell r="AH687">
            <v>1.48</v>
          </cell>
          <cell r="AI687">
            <v>0</v>
          </cell>
          <cell r="AJ687">
            <v>9530</v>
          </cell>
          <cell r="AK687">
            <v>0</v>
          </cell>
          <cell r="AL687">
            <v>3.0000000000000001E-3</v>
          </cell>
          <cell r="AM687" t="str">
            <v>dạng cuộn 1,000m</v>
          </cell>
          <cell r="AN687">
            <v>730</v>
          </cell>
          <cell r="AO687" t="str">
            <v>Công ty CP PT&amp;TM Hải Phòng</v>
          </cell>
          <cell r="AP687" t="str">
            <v>1809279-1</v>
          </cell>
          <cell r="AQ687" t="str">
            <v>20051157-2</v>
          </cell>
          <cell r="AR687" t="str">
            <v>1809279-3</v>
          </cell>
          <cell r="AS687" t="str">
            <v>1809279-4</v>
          </cell>
          <cell r="AT687" t="str">
            <v>1809279-5</v>
          </cell>
          <cell r="AU687" t="str">
            <v>1809279-6</v>
          </cell>
          <cell r="AV687" t="str">
            <v>1809279-7</v>
          </cell>
          <cell r="AW687">
            <v>0</v>
          </cell>
          <cell r="AX687">
            <v>0</v>
          </cell>
          <cell r="AY687" t="str">
            <v>480x810</v>
          </cell>
          <cell r="AZ687" t="str">
            <v>S1</v>
          </cell>
          <cell r="BA687">
            <v>0</v>
          </cell>
          <cell r="BB687">
            <v>0</v>
          </cell>
          <cell r="BC687">
            <v>0</v>
          </cell>
          <cell r="BD687">
            <v>0</v>
          </cell>
        </row>
        <row r="688">
          <cell r="A688" t="str">
            <v>sp 1199</v>
          </cell>
          <cell r="B688" t="str">
            <v>Túi nhôm không in KT 70x190x40-TPP France</v>
          </cell>
          <cell r="C688">
            <v>0</v>
          </cell>
          <cell r="D688">
            <v>3</v>
          </cell>
          <cell r="E688" t="str">
            <v>PET 12x740</v>
          </cell>
          <cell r="F688">
            <v>0</v>
          </cell>
          <cell r="G688" t="str">
            <v>PET</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t="str">
            <v>Al 6x740</v>
          </cell>
          <cell r="AF688" t="str">
            <v>PE 70x750</v>
          </cell>
          <cell r="AG688">
            <v>7.237940000000001E-2</v>
          </cell>
          <cell r="AH688">
            <v>1.1193333333333333</v>
          </cell>
          <cell r="AI688">
            <v>1.1193333333333333</v>
          </cell>
          <cell r="AJ688">
            <v>9530</v>
          </cell>
          <cell r="AK688">
            <v>9530</v>
          </cell>
          <cell r="AL688" t="str">
            <v>0,0046(0,0023;0,0023)</v>
          </cell>
          <cell r="AM688" t="str">
            <v>túi hàn lưng xếp hông</v>
          </cell>
          <cell r="AN688">
            <v>190</v>
          </cell>
          <cell r="AO688" t="str">
            <v>Công ty CP Liên Doanh Dược Phẩm TPP France</v>
          </cell>
          <cell r="AP688">
            <v>0</v>
          </cell>
          <cell r="AQ688">
            <v>0</v>
          </cell>
          <cell r="AR688">
            <v>0</v>
          </cell>
          <cell r="AS688">
            <v>0</v>
          </cell>
          <cell r="AT688">
            <v>0</v>
          </cell>
          <cell r="AU688">
            <v>0</v>
          </cell>
          <cell r="AV688">
            <v>0</v>
          </cell>
          <cell r="AW688">
            <v>0</v>
          </cell>
          <cell r="AX688">
            <v>0</v>
          </cell>
          <cell r="AY688">
            <v>0</v>
          </cell>
          <cell r="AZ688">
            <v>0</v>
          </cell>
          <cell r="BA688">
            <v>0</v>
          </cell>
          <cell r="BB688">
            <v>0</v>
          </cell>
          <cell r="BC688">
            <v>0</v>
          </cell>
          <cell r="BD688">
            <v>0</v>
          </cell>
        </row>
        <row r="689">
          <cell r="A689" t="str">
            <v>sp 1200</v>
          </cell>
          <cell r="B689" t="str">
            <v>Túi nhôm không in KT 110x230x75-TPP France</v>
          </cell>
          <cell r="C689">
            <v>0</v>
          </cell>
          <cell r="D689">
            <v>2</v>
          </cell>
          <cell r="E689" t="str">
            <v>PET 12x800</v>
          </cell>
          <cell r="F689">
            <v>0</v>
          </cell>
          <cell r="G689" t="str">
            <v>PET</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t="str">
            <v>Al 6x800</v>
          </cell>
          <cell r="AF689" t="str">
            <v>PE 70x810</v>
          </cell>
          <cell r="AG689">
            <v>7.8248000000000012E-2</v>
          </cell>
          <cell r="AH689">
            <v>1.2113333333333334</v>
          </cell>
          <cell r="AI689">
            <v>1.2113333333333334</v>
          </cell>
          <cell r="AJ689">
            <v>9530</v>
          </cell>
          <cell r="AK689">
            <v>9530</v>
          </cell>
          <cell r="AL689" t="str">
            <v>0,0046(0,0023;0,0023)</v>
          </cell>
          <cell r="AM689" t="str">
            <v>túi hàn lưng xếp hông</v>
          </cell>
          <cell r="AN689">
            <v>230</v>
          </cell>
          <cell r="AO689" t="str">
            <v>Công ty CP Liên Doanh Dược Phẩm TPP France</v>
          </cell>
          <cell r="AP689">
            <v>0</v>
          </cell>
          <cell r="AQ689">
            <v>0</v>
          </cell>
          <cell r="AR689">
            <v>0</v>
          </cell>
          <cell r="AS689">
            <v>0</v>
          </cell>
          <cell r="AT689">
            <v>0</v>
          </cell>
          <cell r="AU689">
            <v>0</v>
          </cell>
          <cell r="AV689">
            <v>0</v>
          </cell>
          <cell r="AW689">
            <v>0</v>
          </cell>
          <cell r="AX689">
            <v>0</v>
          </cell>
          <cell r="AY689">
            <v>0</v>
          </cell>
          <cell r="AZ689">
            <v>0</v>
          </cell>
          <cell r="BA689">
            <v>0</v>
          </cell>
          <cell r="BB689">
            <v>0</v>
          </cell>
          <cell r="BC689">
            <v>0</v>
          </cell>
          <cell r="BD689">
            <v>0</v>
          </cell>
        </row>
        <row r="690">
          <cell r="A690" t="str">
            <v>sp 1201</v>
          </cell>
          <cell r="B690" t="str">
            <v>Túi nhôm andiabet 5 vỉ x 10 viên nang cứng Traphaco</v>
          </cell>
          <cell r="C690">
            <v>13.335999999999999</v>
          </cell>
          <cell r="D690">
            <v>3</v>
          </cell>
          <cell r="E690" t="str">
            <v>OPP 20x698</v>
          </cell>
          <cell r="F690">
            <v>2</v>
          </cell>
          <cell r="G690" t="str">
            <v>OPP</v>
          </cell>
          <cell r="H690">
            <v>0.01</v>
          </cell>
          <cell r="I690">
            <v>0</v>
          </cell>
          <cell r="J690">
            <v>0.01</v>
          </cell>
          <cell r="K690">
            <v>0</v>
          </cell>
          <cell r="L690">
            <v>4.5599999999999996</v>
          </cell>
          <cell r="M690">
            <v>3.0459999999999998</v>
          </cell>
          <cell r="N690">
            <v>0</v>
          </cell>
          <cell r="O690">
            <v>5.71</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t="str">
            <v>Al 6x698</v>
          </cell>
          <cell r="AF690" t="str">
            <v>PE 55x698</v>
          </cell>
          <cell r="AG690">
            <v>5.9563830000000005E-2</v>
          </cell>
          <cell r="AH690">
            <v>1.1466666666666667</v>
          </cell>
          <cell r="AI690">
            <v>1.1466666666666667</v>
          </cell>
          <cell r="AJ690">
            <v>9530</v>
          </cell>
          <cell r="AK690">
            <v>9530</v>
          </cell>
          <cell r="AL690" t="str">
            <v>0,005(0,0025;0,0025)</v>
          </cell>
          <cell r="AM690" t="str">
            <v>túi hàn lưng xếp hông</v>
          </cell>
          <cell r="AN690">
            <v>180</v>
          </cell>
          <cell r="AO690" t="str">
            <v>Công ty Cổ Phần Traphaco</v>
          </cell>
          <cell r="AP690" t="str">
            <v>20051349-1</v>
          </cell>
          <cell r="AQ690" t="str">
            <v>20051349-2</v>
          </cell>
          <cell r="AR690">
            <v>0</v>
          </cell>
          <cell r="AS690">
            <v>0</v>
          </cell>
          <cell r="AT690">
            <v>0</v>
          </cell>
          <cell r="AU690">
            <v>0</v>
          </cell>
          <cell r="AV690">
            <v>0</v>
          </cell>
          <cell r="AW690">
            <v>0</v>
          </cell>
          <cell r="AX690">
            <v>0</v>
          </cell>
          <cell r="AY690" t="str">
            <v>540x870</v>
          </cell>
          <cell r="AZ690" t="str">
            <v>S1</v>
          </cell>
          <cell r="BA690">
            <v>0</v>
          </cell>
          <cell r="BB690">
            <v>0</v>
          </cell>
          <cell r="BC690">
            <v>0</v>
          </cell>
          <cell r="BD690">
            <v>0</v>
          </cell>
        </row>
        <row r="691">
          <cell r="A691" t="str">
            <v>sp 1202</v>
          </cell>
          <cell r="B691" t="str">
            <v>Túi nhôm Lubrex gold 6 vỉ x 10 viên nang cứng Traphaco</v>
          </cell>
          <cell r="C691">
            <v>3.01</v>
          </cell>
          <cell r="D691">
            <v>3</v>
          </cell>
          <cell r="E691" t="str">
            <v>OPP 20x780</v>
          </cell>
          <cell r="F691">
            <v>2</v>
          </cell>
          <cell r="G691" t="str">
            <v>OPP</v>
          </cell>
          <cell r="H691">
            <v>0</v>
          </cell>
          <cell r="I691">
            <v>0</v>
          </cell>
          <cell r="J691">
            <v>0.25</v>
          </cell>
          <cell r="K691">
            <v>0</v>
          </cell>
          <cell r="L691">
            <v>1.5</v>
          </cell>
          <cell r="M691">
            <v>0.5</v>
          </cell>
          <cell r="N691">
            <v>0</v>
          </cell>
          <cell r="O691">
            <v>0.5</v>
          </cell>
          <cell r="P691">
            <v>0.01</v>
          </cell>
          <cell r="Q691">
            <v>0.25</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t="str">
            <v>Al 6x780</v>
          </cell>
          <cell r="AF691" t="str">
            <v>PE 55x790</v>
          </cell>
          <cell r="AG691">
            <v>6.7414650000000007E-2</v>
          </cell>
          <cell r="AH691">
            <v>1.3</v>
          </cell>
          <cell r="AI691">
            <v>1.3</v>
          </cell>
          <cell r="AJ691">
            <v>9530</v>
          </cell>
          <cell r="AK691">
            <v>9530</v>
          </cell>
          <cell r="AL691" t="str">
            <v>0,005(0,0025;0,0025)</v>
          </cell>
          <cell r="AM691" t="str">
            <v>túi hàn lưng xếp hông</v>
          </cell>
          <cell r="AN691">
            <v>198</v>
          </cell>
          <cell r="AO691" t="str">
            <v>Công ty Cổ Phần Traphaco</v>
          </cell>
          <cell r="AP691" t="str">
            <v>20051371-1</v>
          </cell>
          <cell r="AQ691" t="str">
            <v>20051371-2</v>
          </cell>
          <cell r="AR691">
            <v>0</v>
          </cell>
          <cell r="AS691">
            <v>0</v>
          </cell>
          <cell r="AT691">
            <v>0</v>
          </cell>
          <cell r="AU691">
            <v>0</v>
          </cell>
          <cell r="AV691">
            <v>0</v>
          </cell>
          <cell r="AW691">
            <v>0</v>
          </cell>
          <cell r="AX691">
            <v>0</v>
          </cell>
          <cell r="AY691" t="str">
            <v>594x870</v>
          </cell>
          <cell r="AZ691" t="str">
            <v>S1</v>
          </cell>
          <cell r="BA691">
            <v>0</v>
          </cell>
          <cell r="BB691">
            <v>0</v>
          </cell>
          <cell r="BC691">
            <v>0</v>
          </cell>
          <cell r="BD691">
            <v>0</v>
          </cell>
        </row>
        <row r="692">
          <cell r="A692" t="str">
            <v>sp 1203</v>
          </cell>
          <cell r="B692" t="str">
            <v>Túi nhôm Boganic forte 10 vỉ x 10 viên nang mềm Traphaco</v>
          </cell>
          <cell r="C692">
            <v>11.649999999999999</v>
          </cell>
          <cell r="D692">
            <v>3</v>
          </cell>
          <cell r="E692" t="str">
            <v>OPP 20x860</v>
          </cell>
          <cell r="F692">
            <v>2</v>
          </cell>
          <cell r="G692" t="str">
            <v>OPP</v>
          </cell>
          <cell r="H692">
            <v>1.82</v>
          </cell>
          <cell r="I692">
            <v>0</v>
          </cell>
          <cell r="J692">
            <v>1.0900000000000001</v>
          </cell>
          <cell r="K692">
            <v>0</v>
          </cell>
          <cell r="L692">
            <v>2.54</v>
          </cell>
          <cell r="M692">
            <v>2.91</v>
          </cell>
          <cell r="N692">
            <v>0</v>
          </cell>
          <cell r="O692">
            <v>0.01</v>
          </cell>
          <cell r="P692">
            <v>3.27</v>
          </cell>
          <cell r="Q692">
            <v>0</v>
          </cell>
          <cell r="R692">
            <v>0</v>
          </cell>
          <cell r="S692">
            <v>0</v>
          </cell>
          <cell r="T692">
            <v>0.01</v>
          </cell>
          <cell r="U692">
            <v>0</v>
          </cell>
          <cell r="V692">
            <v>0</v>
          </cell>
          <cell r="W692">
            <v>0</v>
          </cell>
          <cell r="X692">
            <v>0</v>
          </cell>
          <cell r="Y692">
            <v>0</v>
          </cell>
          <cell r="Z692">
            <v>0</v>
          </cell>
          <cell r="AA692">
            <v>0</v>
          </cell>
          <cell r="AB692">
            <v>0</v>
          </cell>
          <cell r="AC692">
            <v>0</v>
          </cell>
          <cell r="AD692">
            <v>0</v>
          </cell>
          <cell r="AE692" t="str">
            <v>Al 6x860</v>
          </cell>
          <cell r="AF692" t="str">
            <v>PE 55x870</v>
          </cell>
          <cell r="AG692">
            <v>7.2534750000000009E-2</v>
          </cell>
          <cell r="AH692">
            <v>1.4166666666666667</v>
          </cell>
          <cell r="AI692">
            <v>1.4166666666666667</v>
          </cell>
          <cell r="AJ692">
            <v>9530</v>
          </cell>
          <cell r="AK692">
            <v>9530</v>
          </cell>
          <cell r="AL692" t="str">
            <v>0,005(0,0025;0,0025)</v>
          </cell>
          <cell r="AM692" t="str">
            <v>túi hàn lưng xếp hông</v>
          </cell>
          <cell r="AN692">
            <v>220</v>
          </cell>
          <cell r="AO692" t="str">
            <v>Công ty Cổ Phần Traphaco</v>
          </cell>
          <cell r="AP692" t="str">
            <v>20051370-1</v>
          </cell>
          <cell r="AQ692" t="str">
            <v>20051370-2</v>
          </cell>
          <cell r="AR692">
            <v>0</v>
          </cell>
          <cell r="AS692">
            <v>0</v>
          </cell>
          <cell r="AT692">
            <v>0</v>
          </cell>
          <cell r="AU692">
            <v>0</v>
          </cell>
          <cell r="AV692">
            <v>0</v>
          </cell>
          <cell r="AW692">
            <v>0</v>
          </cell>
          <cell r="AX692">
            <v>0</v>
          </cell>
          <cell r="AY692" t="str">
            <v>440x1100</v>
          </cell>
          <cell r="AZ692" t="str">
            <v>S1</v>
          </cell>
          <cell r="BA692">
            <v>0</v>
          </cell>
          <cell r="BB692">
            <v>0</v>
          </cell>
          <cell r="BC692">
            <v>0</v>
          </cell>
          <cell r="BD692">
            <v>0</v>
          </cell>
        </row>
        <row r="693">
          <cell r="A693" t="str">
            <v>sp 1204</v>
          </cell>
          <cell r="B693" t="str">
            <v>Cuộn thuốc thú y T.Colivit in 4 màu 100g khổ 280 Năm Thái</v>
          </cell>
          <cell r="C693">
            <v>4.4399999999999995</v>
          </cell>
          <cell r="D693">
            <v>3</v>
          </cell>
          <cell r="E693" t="str">
            <v>OPP 30x860</v>
          </cell>
          <cell r="F693">
            <v>4</v>
          </cell>
          <cell r="G693" t="str">
            <v>OPP</v>
          </cell>
          <cell r="H693">
            <v>1.38</v>
          </cell>
          <cell r="I693">
            <v>0</v>
          </cell>
          <cell r="J693">
            <v>0</v>
          </cell>
          <cell r="K693">
            <v>0.01</v>
          </cell>
          <cell r="L693">
            <v>1.48</v>
          </cell>
          <cell r="M693">
            <v>1.38</v>
          </cell>
          <cell r="N693">
            <v>0</v>
          </cell>
          <cell r="O693">
            <v>0.01</v>
          </cell>
          <cell r="P693">
            <v>0.09</v>
          </cell>
          <cell r="Q693">
            <v>0.09</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t="str">
            <v>Al 6x860</v>
          </cell>
          <cell r="AF693" t="str">
            <v>PE 80x870</v>
          </cell>
          <cell r="AG693">
            <v>0.10110160000000001</v>
          </cell>
          <cell r="AH693">
            <v>1.4166666666666667</v>
          </cell>
          <cell r="AI693">
            <v>1.7</v>
          </cell>
          <cell r="AJ693">
            <v>9530</v>
          </cell>
          <cell r="AK693">
            <v>9530</v>
          </cell>
          <cell r="AL693" t="str">
            <v>0,0055(0,0025;0,003)</v>
          </cell>
          <cell r="AM693" t="str">
            <v>dạng cuộn 700m</v>
          </cell>
          <cell r="AN693">
            <v>280</v>
          </cell>
          <cell r="AO693" t="str">
            <v>Công ty Năm Thái</v>
          </cell>
          <cell r="AP693" t="str">
            <v>20060514-1</v>
          </cell>
          <cell r="AQ693" t="str">
            <v>20060514-2</v>
          </cell>
          <cell r="AR693" t="str">
            <v>20060514-3</v>
          </cell>
          <cell r="AS693" t="str">
            <v>20060514-4</v>
          </cell>
          <cell r="AT693">
            <v>0</v>
          </cell>
          <cell r="AU693">
            <v>0</v>
          </cell>
          <cell r="AV693">
            <v>0</v>
          </cell>
          <cell r="AW693">
            <v>0</v>
          </cell>
          <cell r="AX693">
            <v>0</v>
          </cell>
          <cell r="AY693" t="str">
            <v>570x1100</v>
          </cell>
          <cell r="AZ693" t="str">
            <v>S1</v>
          </cell>
          <cell r="BA693">
            <v>0</v>
          </cell>
          <cell r="BB693">
            <v>0</v>
          </cell>
          <cell r="BC693">
            <v>0</v>
          </cell>
          <cell r="BD693">
            <v>0</v>
          </cell>
        </row>
        <row r="694">
          <cell r="A694" t="str">
            <v>sp 1205</v>
          </cell>
          <cell r="B694" t="str">
            <v>Túi nhôm không in KT 120x185x45mm - TPP France</v>
          </cell>
          <cell r="C694">
            <v>0</v>
          </cell>
          <cell r="D694">
            <v>2</v>
          </cell>
          <cell r="E694" t="str">
            <v>PET 12x720</v>
          </cell>
          <cell r="F694">
            <v>0</v>
          </cell>
          <cell r="G694" t="str">
            <v>PET</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t="str">
            <v>Al 6x720</v>
          </cell>
          <cell r="AF694" t="str">
            <v>PE 70x730</v>
          </cell>
          <cell r="AG694">
            <v>7.1401300000000001E-2</v>
          </cell>
          <cell r="AH694">
            <v>1.1039999999999999</v>
          </cell>
          <cell r="AI694">
            <v>1.1039999999999999</v>
          </cell>
          <cell r="AJ694">
            <v>9530</v>
          </cell>
          <cell r="AK694">
            <v>9530</v>
          </cell>
          <cell r="AL694" t="str">
            <v>0,0046(0,0023;0,0023)</v>
          </cell>
          <cell r="AM694" t="str">
            <v>túi hàn lưng xếp hông</v>
          </cell>
          <cell r="AN694">
            <v>185</v>
          </cell>
          <cell r="AO694" t="str">
            <v>Công ty Cổ Phần Traphaco</v>
          </cell>
          <cell r="AP694">
            <v>0</v>
          </cell>
          <cell r="AQ694">
            <v>0</v>
          </cell>
          <cell r="AR694">
            <v>0</v>
          </cell>
          <cell r="AS694">
            <v>0</v>
          </cell>
          <cell r="AT694">
            <v>0</v>
          </cell>
          <cell r="AU694">
            <v>0</v>
          </cell>
          <cell r="AV694">
            <v>0</v>
          </cell>
          <cell r="AW694">
            <v>0</v>
          </cell>
          <cell r="AX694">
            <v>0</v>
          </cell>
          <cell r="AY694">
            <v>0</v>
          </cell>
          <cell r="AZ694">
            <v>0</v>
          </cell>
          <cell r="BA694">
            <v>0</v>
          </cell>
          <cell r="BB694">
            <v>0</v>
          </cell>
          <cell r="BC694">
            <v>0</v>
          </cell>
          <cell r="BD694">
            <v>0</v>
          </cell>
        </row>
        <row r="695">
          <cell r="A695" t="str">
            <v>sp 1206</v>
          </cell>
          <cell r="B695" t="str">
            <v>Túi nhôm sáng mắt 3 vỉ x 10 viên nang mềm Traphaco</v>
          </cell>
          <cell r="C695">
            <v>9.17</v>
          </cell>
          <cell r="D695">
            <v>3</v>
          </cell>
          <cell r="E695" t="str">
            <v>OPP 20x720</v>
          </cell>
          <cell r="F695">
            <v>2</v>
          </cell>
          <cell r="G695" t="str">
            <v>OPP</v>
          </cell>
          <cell r="H695">
            <v>0.74</v>
          </cell>
          <cell r="I695">
            <v>0</v>
          </cell>
          <cell r="J695">
            <v>1.49</v>
          </cell>
          <cell r="K695">
            <v>0</v>
          </cell>
          <cell r="L695">
            <v>1.49</v>
          </cell>
          <cell r="M695">
            <v>0.99</v>
          </cell>
          <cell r="N695">
            <v>0</v>
          </cell>
          <cell r="O695">
            <v>2.11</v>
          </cell>
          <cell r="P695">
            <v>1.86</v>
          </cell>
          <cell r="Q695">
            <v>0.49</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t="str">
            <v>Al 6x720</v>
          </cell>
          <cell r="AF695" t="str">
            <v>PE 55x730</v>
          </cell>
          <cell r="AG695">
            <v>6.2294550000000004E-2</v>
          </cell>
          <cell r="AH695">
            <v>1.1833333333333333</v>
          </cell>
          <cell r="AI695">
            <v>1.1833333333333333</v>
          </cell>
          <cell r="AJ695">
            <v>9530</v>
          </cell>
          <cell r="AK695">
            <v>9530</v>
          </cell>
          <cell r="AL695" t="str">
            <v>0,005(0,0025;0,0025)</v>
          </cell>
          <cell r="AM695" t="str">
            <v>túi hàn lưng xếp hông</v>
          </cell>
          <cell r="AN695">
            <v>190</v>
          </cell>
          <cell r="AO695" t="str">
            <v>Công ty Cổ Phần Traphaco</v>
          </cell>
          <cell r="AP695" t="str">
            <v>22050016-1</v>
          </cell>
          <cell r="AQ695" t="str">
            <v>22050016-2</v>
          </cell>
          <cell r="AR695">
            <v>0</v>
          </cell>
          <cell r="AS695">
            <v>0</v>
          </cell>
          <cell r="AT695">
            <v>0</v>
          </cell>
          <cell r="AU695">
            <v>0</v>
          </cell>
          <cell r="AV695">
            <v>0</v>
          </cell>
          <cell r="AW695">
            <v>0</v>
          </cell>
          <cell r="AX695">
            <v>0</v>
          </cell>
          <cell r="AY695" t="str">
            <v>570x870</v>
          </cell>
          <cell r="AZ695" t="str">
            <v>S1</v>
          </cell>
          <cell r="BA695">
            <v>0</v>
          </cell>
          <cell r="BB695">
            <v>0</v>
          </cell>
          <cell r="BC695">
            <v>0</v>
          </cell>
          <cell r="BD695">
            <v>0</v>
          </cell>
        </row>
        <row r="696">
          <cell r="A696" t="str">
            <v>sp 1207</v>
          </cell>
          <cell r="B696" t="str">
            <v>Túi nhôm không in KT 73x207x44mm Traphaco</v>
          </cell>
          <cell r="C696">
            <v>0</v>
          </cell>
          <cell r="D696">
            <v>3</v>
          </cell>
          <cell r="E696" t="str">
            <v>OPP 20x780</v>
          </cell>
          <cell r="F696">
            <v>0</v>
          </cell>
          <cell r="G696" t="str">
            <v>OPP</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t="str">
            <v>Al 6x780</v>
          </cell>
          <cell r="AF696" t="str">
            <v>PE 55x780</v>
          </cell>
          <cell r="AG696">
            <v>0.42370380000000007</v>
          </cell>
          <cell r="AH696">
            <v>1.2833333333333334</v>
          </cell>
          <cell r="AI696">
            <v>1.2833333333333334</v>
          </cell>
          <cell r="AJ696">
            <v>9530</v>
          </cell>
          <cell r="AK696">
            <v>9530</v>
          </cell>
          <cell r="AL696" t="str">
            <v>0,005(0,0025;0,0025)</v>
          </cell>
          <cell r="AM696" t="str">
            <v>túi hàn lưng xếp hông</v>
          </cell>
          <cell r="AN696">
            <v>207</v>
          </cell>
          <cell r="AO696" t="str">
            <v>Công ty Cổ Phần Traphaco</v>
          </cell>
          <cell r="AP696">
            <v>0</v>
          </cell>
          <cell r="AQ696">
            <v>0</v>
          </cell>
          <cell r="AR696">
            <v>0</v>
          </cell>
          <cell r="AS696">
            <v>0</v>
          </cell>
          <cell r="AT696">
            <v>0</v>
          </cell>
          <cell r="AU696">
            <v>0</v>
          </cell>
          <cell r="AV696">
            <v>0</v>
          </cell>
          <cell r="AW696">
            <v>0</v>
          </cell>
          <cell r="AX696">
            <v>0</v>
          </cell>
          <cell r="AY696">
            <v>0</v>
          </cell>
          <cell r="AZ696">
            <v>0</v>
          </cell>
          <cell r="BA696">
            <v>0</v>
          </cell>
          <cell r="BB696">
            <v>0</v>
          </cell>
          <cell r="BC696">
            <v>0</v>
          </cell>
          <cell r="BD696">
            <v>0</v>
          </cell>
        </row>
        <row r="697">
          <cell r="A697" t="str">
            <v>sp 1208</v>
          </cell>
          <cell r="B697" t="str">
            <v>Túi bánh gạo lứt HCT 180gr-Chiến Thắng</v>
          </cell>
          <cell r="C697">
            <v>6.5429999999999993</v>
          </cell>
          <cell r="D697">
            <v>2</v>
          </cell>
          <cell r="E697" t="str">
            <v>OPP 30x930</v>
          </cell>
          <cell r="F697">
            <v>4</v>
          </cell>
          <cell r="G697" t="str">
            <v>OPP</v>
          </cell>
          <cell r="H697">
            <v>0</v>
          </cell>
          <cell r="I697">
            <v>2.609</v>
          </cell>
          <cell r="J697">
            <v>0.13700000000000001</v>
          </cell>
          <cell r="K697">
            <v>0</v>
          </cell>
          <cell r="L697">
            <v>0.96099999999999997</v>
          </cell>
          <cell r="M697">
            <v>1.6479999999999999</v>
          </cell>
          <cell r="N697">
            <v>0.68700000000000006</v>
          </cell>
          <cell r="O697">
            <v>0</v>
          </cell>
          <cell r="P697">
            <v>0.48099999999999998</v>
          </cell>
          <cell r="Q697">
            <v>0</v>
          </cell>
          <cell r="R697">
            <v>0.01</v>
          </cell>
          <cell r="S697">
            <v>0.01</v>
          </cell>
          <cell r="T697">
            <v>0</v>
          </cell>
          <cell r="U697">
            <v>0</v>
          </cell>
          <cell r="V697">
            <v>0</v>
          </cell>
          <cell r="W697">
            <v>0</v>
          </cell>
          <cell r="X697">
            <v>0</v>
          </cell>
          <cell r="Y697">
            <v>0</v>
          </cell>
          <cell r="Z697">
            <v>0</v>
          </cell>
          <cell r="AA697">
            <v>0</v>
          </cell>
          <cell r="AB697">
            <v>0</v>
          </cell>
          <cell r="AC697">
            <v>0</v>
          </cell>
          <cell r="AD697">
            <v>0</v>
          </cell>
          <cell r="AE697" t="str">
            <v>PE 40x930</v>
          </cell>
          <cell r="AF697">
            <v>0</v>
          </cell>
          <cell r="AG697">
            <v>5.9799000000000012E-2</v>
          </cell>
          <cell r="AH697">
            <v>1.4106666666666665</v>
          </cell>
          <cell r="AI697">
            <v>0</v>
          </cell>
          <cell r="AJ697">
            <v>9530</v>
          </cell>
          <cell r="AK697">
            <v>0</v>
          </cell>
          <cell r="AL697">
            <v>2.3E-3</v>
          </cell>
          <cell r="AM697" t="str">
            <v>túi bốn biên</v>
          </cell>
          <cell r="AN697">
            <v>260</v>
          </cell>
          <cell r="AO697" t="str">
            <v>Công ty TNHH Hoàng Chiến Thắng</v>
          </cell>
          <cell r="AP697" t="str">
            <v>X109140-1</v>
          </cell>
          <cell r="AQ697" t="str">
            <v>X109140-2</v>
          </cell>
          <cell r="AR697" t="str">
            <v>X109140-3</v>
          </cell>
          <cell r="AS697" t="str">
            <v>X109140-4</v>
          </cell>
          <cell r="AT697">
            <v>0</v>
          </cell>
          <cell r="AU697">
            <v>0</v>
          </cell>
          <cell r="AV697">
            <v>0</v>
          </cell>
          <cell r="AW697">
            <v>0</v>
          </cell>
          <cell r="AX697">
            <v>0</v>
          </cell>
          <cell r="AY697" t="str">
            <v>1100x520</v>
          </cell>
          <cell r="AZ697" t="str">
            <v>S2</v>
          </cell>
          <cell r="BA697">
            <v>0</v>
          </cell>
          <cell r="BB697">
            <v>0</v>
          </cell>
          <cell r="BC697">
            <v>0</v>
          </cell>
          <cell r="BD697">
            <v>0</v>
          </cell>
        </row>
        <row r="698">
          <cell r="A698" t="str">
            <v>sp 1209</v>
          </cell>
          <cell r="B698" t="str">
            <v>Túi thuốc thú y 1kg Nasavet</v>
          </cell>
          <cell r="C698">
            <v>0.46300000000000002</v>
          </cell>
          <cell r="D698">
            <v>1</v>
          </cell>
          <cell r="E698" t="str">
            <v>OPP 30x660</v>
          </cell>
          <cell r="F698">
            <v>1</v>
          </cell>
          <cell r="G698" t="str">
            <v>OPP</v>
          </cell>
          <cell r="H698">
            <v>0</v>
          </cell>
          <cell r="I698">
            <v>0.46300000000000002</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t="str">
            <v>Al 6x660</v>
          </cell>
          <cell r="AF698" t="str">
            <v>PE 85x670</v>
          </cell>
          <cell r="AG698">
            <v>8.0642100000000008E-2</v>
          </cell>
          <cell r="AH698">
            <v>1.32</v>
          </cell>
          <cell r="AI698">
            <v>1.32</v>
          </cell>
          <cell r="AJ698">
            <v>9530</v>
          </cell>
          <cell r="AK698">
            <v>9530</v>
          </cell>
          <cell r="AL698" t="str">
            <v>0,006(0,003;0,003)</v>
          </cell>
          <cell r="AM698" t="str">
            <v>túi ba biên</v>
          </cell>
          <cell r="AN698">
            <v>240</v>
          </cell>
          <cell r="AO698" t="str">
            <v>Công ty thuốc thú y Nasavet</v>
          </cell>
          <cell r="AP698" t="str">
            <v>20060348-1</v>
          </cell>
          <cell r="AQ698">
            <v>0</v>
          </cell>
          <cell r="AR698">
            <v>0</v>
          </cell>
          <cell r="AS698">
            <v>0</v>
          </cell>
          <cell r="AT698">
            <v>0</v>
          </cell>
          <cell r="AU698">
            <v>0</v>
          </cell>
          <cell r="AV698">
            <v>0</v>
          </cell>
          <cell r="AW698">
            <v>0</v>
          </cell>
          <cell r="AX698">
            <v>0</v>
          </cell>
          <cell r="AY698" t="str">
            <v>480x870</v>
          </cell>
          <cell r="AZ698" t="str">
            <v>S2</v>
          </cell>
          <cell r="BA698">
            <v>0</v>
          </cell>
          <cell r="BB698">
            <v>0</v>
          </cell>
          <cell r="BC698">
            <v>0</v>
          </cell>
          <cell r="BD698">
            <v>0</v>
          </cell>
        </row>
        <row r="699">
          <cell r="A699" t="str">
            <v>sp 1210</v>
          </cell>
          <cell r="B699" t="str">
            <v>Cuộn bánh snacks ocean fish vị cà chua 25gr Libra</v>
          </cell>
          <cell r="C699">
            <v>10.482000000000001</v>
          </cell>
          <cell r="D699">
            <v>2</v>
          </cell>
          <cell r="E699" t="str">
            <v>PET 12x660</v>
          </cell>
          <cell r="F699">
            <v>8</v>
          </cell>
          <cell r="G699" t="str">
            <v>PET</v>
          </cell>
          <cell r="H699">
            <v>0.58699999999999997</v>
          </cell>
          <cell r="I699">
            <v>3</v>
          </cell>
          <cell r="J699">
            <v>1.6140000000000001</v>
          </cell>
          <cell r="K699">
            <v>0.48899999999999999</v>
          </cell>
          <cell r="L699">
            <v>2.7869999999999999</v>
          </cell>
          <cell r="M699">
            <v>1.0760000000000001</v>
          </cell>
          <cell r="N699">
            <v>0</v>
          </cell>
          <cell r="O699">
            <v>0.24399999999999999</v>
          </cell>
          <cell r="P699">
            <v>9.8000000000000004E-2</v>
          </cell>
          <cell r="Q699">
            <v>0</v>
          </cell>
          <cell r="R699">
            <v>0.58699999999999997</v>
          </cell>
          <cell r="S699">
            <v>0</v>
          </cell>
          <cell r="T699">
            <v>0</v>
          </cell>
          <cell r="U699">
            <v>0</v>
          </cell>
          <cell r="V699">
            <v>0</v>
          </cell>
          <cell r="W699">
            <v>0</v>
          </cell>
          <cell r="X699">
            <v>0</v>
          </cell>
          <cell r="Y699">
            <v>0</v>
          </cell>
          <cell r="Z699">
            <v>0</v>
          </cell>
          <cell r="AA699">
            <v>0</v>
          </cell>
          <cell r="AB699">
            <v>0</v>
          </cell>
          <cell r="AC699">
            <v>0</v>
          </cell>
          <cell r="AD699">
            <v>0</v>
          </cell>
          <cell r="AE699" t="str">
            <v>MPET 12x660</v>
          </cell>
          <cell r="AF699" t="str">
            <v>PE 35x660</v>
          </cell>
          <cell r="AG699">
            <v>4.3543500000000006E-2</v>
          </cell>
          <cell r="AH699">
            <v>0.99666666666666659</v>
          </cell>
          <cell r="AI699">
            <v>1.0833333333333335</v>
          </cell>
          <cell r="AJ699">
            <v>9530</v>
          </cell>
          <cell r="AK699">
            <v>9530</v>
          </cell>
          <cell r="AL699" t="str">
            <v>0,0048(0,0023;0,0025)</v>
          </cell>
          <cell r="AM699" t="str">
            <v>dạng cuộn 1,000m</v>
          </cell>
          <cell r="AN699">
            <v>320</v>
          </cell>
          <cell r="AO699" t="str">
            <v>Công ty Libra</v>
          </cell>
          <cell r="AP699" t="str">
            <v>F125535-1</v>
          </cell>
          <cell r="AQ699" t="str">
            <v>F126128-2</v>
          </cell>
          <cell r="AR699" t="str">
            <v>F125535-3</v>
          </cell>
          <cell r="AS699" t="str">
            <v>F125535-4</v>
          </cell>
          <cell r="AT699" t="str">
            <v>F125535-5</v>
          </cell>
          <cell r="AU699" t="str">
            <v>F125535-6</v>
          </cell>
          <cell r="AV699" t="str">
            <v>F125535-7</v>
          </cell>
          <cell r="AW699" t="str">
            <v>F125535-8</v>
          </cell>
          <cell r="AX699">
            <v>0</v>
          </cell>
          <cell r="AY699" t="str">
            <v>432x870</v>
          </cell>
          <cell r="AZ699" t="str">
            <v>S2</v>
          </cell>
          <cell r="BA699">
            <v>0</v>
          </cell>
          <cell r="BB699">
            <v>0</v>
          </cell>
          <cell r="BC699">
            <v>0</v>
          </cell>
          <cell r="BD699" t="str">
            <v>Chạy chung sp 1158 trừ cây số 2</v>
          </cell>
        </row>
        <row r="700">
          <cell r="A700" t="str">
            <v>sp 1211</v>
          </cell>
          <cell r="B700" t="str">
            <v>Túi bánh gạo nhật NAKKI vị ngọt dịu hương cốm 200gr - Okifood</v>
          </cell>
          <cell r="C700">
            <v>12.02</v>
          </cell>
          <cell r="D700">
            <v>1</v>
          </cell>
          <cell r="E700" t="str">
            <v>OPP mờ 20x590</v>
          </cell>
          <cell r="F700">
            <v>7</v>
          </cell>
          <cell r="G700" t="str">
            <v>OPP</v>
          </cell>
          <cell r="H700">
            <v>0.6</v>
          </cell>
          <cell r="I700">
            <v>4.53</v>
          </cell>
          <cell r="J700">
            <v>0.94</v>
          </cell>
          <cell r="K700">
            <v>0.22</v>
          </cell>
          <cell r="L700">
            <v>3.37</v>
          </cell>
          <cell r="M700">
            <v>1.54</v>
          </cell>
          <cell r="N700">
            <v>0</v>
          </cell>
          <cell r="O700">
            <v>0.22</v>
          </cell>
          <cell r="P700">
            <v>0.33</v>
          </cell>
          <cell r="Q700">
            <v>0.27</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t="str">
            <v>MCPP 35x590</v>
          </cell>
          <cell r="AF700">
            <v>0</v>
          </cell>
          <cell r="AG700">
            <v>2.95295E-2</v>
          </cell>
          <cell r="AH700">
            <v>0.23199999999999998</v>
          </cell>
          <cell r="AI700">
            <v>0</v>
          </cell>
          <cell r="AJ700" t="str">
            <v>keo PP2450FX
ĐR I-2450A</v>
          </cell>
          <cell r="AK700">
            <v>0</v>
          </cell>
          <cell r="AL700">
            <v>1.1999999999999999E-3</v>
          </cell>
          <cell r="AM700" t="str">
            <v>túi hàn lưng</v>
          </cell>
          <cell r="AN700">
            <v>300</v>
          </cell>
          <cell r="AO700" t="str">
            <v>Công ty TNHH Okifood Việt Nam</v>
          </cell>
          <cell r="AP700" t="str">
            <v>X109172-1</v>
          </cell>
          <cell r="AQ700" t="str">
            <v>X109172-2</v>
          </cell>
          <cell r="AR700" t="str">
            <v>X109172-3</v>
          </cell>
          <cell r="AS700" t="str">
            <v>X109172-4</v>
          </cell>
          <cell r="AT700" t="str">
            <v>X109172-5</v>
          </cell>
          <cell r="AU700" t="str">
            <v>X109172-6</v>
          </cell>
          <cell r="AV700" t="str">
            <v>X109172-7</v>
          </cell>
          <cell r="AW700">
            <v>0</v>
          </cell>
          <cell r="AX700">
            <v>0</v>
          </cell>
          <cell r="AY700" t="str">
            <v>870x600</v>
          </cell>
          <cell r="AZ700" t="str">
            <v>S2</v>
          </cell>
          <cell r="BA700">
            <v>0</v>
          </cell>
          <cell r="BB700">
            <v>0</v>
          </cell>
          <cell r="BC700">
            <v>0</v>
          </cell>
          <cell r="BD700">
            <v>0</v>
          </cell>
        </row>
        <row r="701">
          <cell r="A701" t="str">
            <v>sp 1212</v>
          </cell>
          <cell r="B701" t="str">
            <v>Cuộn bánh gạo Nhật Nakki hương cốm vị dịu ngọt Okifood</v>
          </cell>
          <cell r="C701">
            <v>1.8</v>
          </cell>
          <cell r="D701">
            <v>5</v>
          </cell>
          <cell r="E701" t="str">
            <v>OPP mờ 20x1040</v>
          </cell>
          <cell r="F701">
            <v>4</v>
          </cell>
          <cell r="G701" t="str">
            <v>OPP</v>
          </cell>
          <cell r="H701">
            <v>0.01</v>
          </cell>
          <cell r="I701">
            <v>0.79</v>
          </cell>
          <cell r="J701">
            <v>0</v>
          </cell>
          <cell r="K701">
            <v>0</v>
          </cell>
          <cell r="L701">
            <v>0.66</v>
          </cell>
          <cell r="M701">
            <v>0.1</v>
          </cell>
          <cell r="N701">
            <v>0</v>
          </cell>
          <cell r="O701">
            <v>0</v>
          </cell>
          <cell r="P701">
            <v>0.23</v>
          </cell>
          <cell r="Q701">
            <v>0.01</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t="str">
            <v>CPP 20x1040</v>
          </cell>
          <cell r="AF701">
            <v>0</v>
          </cell>
          <cell r="AG701">
            <v>3.7856000000000001E-2</v>
          </cell>
          <cell r="AH701">
            <v>4.1200000000000001E-2</v>
          </cell>
          <cell r="AI701">
            <v>0</v>
          </cell>
          <cell r="AJ701" t="str">
            <v>keo PP2450FX
ĐR I-2450A</v>
          </cell>
          <cell r="AK701">
            <v>0</v>
          </cell>
          <cell r="AL701">
            <v>1.1999999999999999E-3</v>
          </cell>
          <cell r="AM701" t="str">
            <v>dạng cuộn 1,000m</v>
          </cell>
          <cell r="AN701">
            <v>204</v>
          </cell>
          <cell r="AO701" t="str">
            <v>Công ty TNHH Okifood Việt Nam</v>
          </cell>
          <cell r="AP701" t="str">
            <v>F126299-1</v>
          </cell>
          <cell r="AQ701" t="str">
            <v>F126299G1-2</v>
          </cell>
          <cell r="AR701" t="str">
            <v>F126299-3</v>
          </cell>
          <cell r="AS701" t="str">
            <v>F126299-4</v>
          </cell>
          <cell r="AT701">
            <v>0</v>
          </cell>
          <cell r="AU701">
            <v>0</v>
          </cell>
          <cell r="AV701">
            <v>0</v>
          </cell>
          <cell r="AW701">
            <v>0</v>
          </cell>
          <cell r="AX701">
            <v>0</v>
          </cell>
          <cell r="AY701" t="str">
            <v>1200x460</v>
          </cell>
          <cell r="AZ701" t="str">
            <v>S2</v>
          </cell>
          <cell r="BA701">
            <v>0</v>
          </cell>
          <cell r="BB701">
            <v>0</v>
          </cell>
          <cell r="BC701">
            <v>0</v>
          </cell>
          <cell r="BD701">
            <v>0</v>
          </cell>
        </row>
        <row r="702">
          <cell r="A702" t="str">
            <v>sp 1213</v>
          </cell>
          <cell r="B702" t="str">
            <v>Cuộn bánh gạo nhật Nakki vị mặn hương vị bò cũ Okiffood</v>
          </cell>
          <cell r="C702">
            <v>1.7349999999999999</v>
          </cell>
          <cell r="D702">
            <v>8</v>
          </cell>
          <cell r="E702" t="str">
            <v>OPP mờ 20x1020</v>
          </cell>
          <cell r="F702">
            <v>5</v>
          </cell>
          <cell r="G702" t="str">
            <v>OPP</v>
          </cell>
          <cell r="H702">
            <v>0.21</v>
          </cell>
          <cell r="I702">
            <v>0.51700000000000002</v>
          </cell>
          <cell r="J702">
            <v>7.0000000000000007E-2</v>
          </cell>
          <cell r="K702">
            <v>0</v>
          </cell>
          <cell r="L702">
            <v>0.33</v>
          </cell>
          <cell r="M702">
            <v>0.17799999999999999</v>
          </cell>
          <cell r="N702">
            <v>0</v>
          </cell>
          <cell r="O702">
            <v>0.1</v>
          </cell>
          <cell r="P702">
            <v>0.19</v>
          </cell>
          <cell r="Q702">
            <v>0.14000000000000001</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t="str">
            <v>CPP 20x1020</v>
          </cell>
          <cell r="AF702">
            <v>0</v>
          </cell>
          <cell r="AG702">
            <v>3.7128000000000001E-2</v>
          </cell>
          <cell r="AH702">
            <v>3.9999999999999994E-2</v>
          </cell>
          <cell r="AI702">
            <v>0</v>
          </cell>
          <cell r="AJ702" t="str">
            <v>keo PP2450FX
ĐR I-2450A</v>
          </cell>
          <cell r="AK702">
            <v>0</v>
          </cell>
          <cell r="AL702">
            <v>1.1999999999999999E-3</v>
          </cell>
          <cell r="AM702" t="str">
            <v>dạng cuộn 1,000m</v>
          </cell>
          <cell r="AN702">
            <v>125</v>
          </cell>
          <cell r="AO702" t="str">
            <v>Công ty TNHH Okifood Việt Nam</v>
          </cell>
          <cell r="AP702" t="str">
            <v>X109188-1</v>
          </cell>
          <cell r="AQ702" t="str">
            <v>X109188-2</v>
          </cell>
          <cell r="AR702" t="str">
            <v>X109188-3</v>
          </cell>
          <cell r="AS702" t="str">
            <v>X109188-4</v>
          </cell>
          <cell r="AT702" t="str">
            <v>X109188G1-5</v>
          </cell>
          <cell r="AU702">
            <v>0</v>
          </cell>
          <cell r="AV702">
            <v>0</v>
          </cell>
          <cell r="AW702">
            <v>0</v>
          </cell>
          <cell r="AX702">
            <v>0</v>
          </cell>
          <cell r="AY702" t="str">
            <v>1200x468</v>
          </cell>
          <cell r="AZ702" t="str">
            <v>S2</v>
          </cell>
          <cell r="BA702">
            <v>0</v>
          </cell>
          <cell r="BB702">
            <v>0</v>
          </cell>
          <cell r="BC702">
            <v>0</v>
          </cell>
          <cell r="BD702">
            <v>0</v>
          </cell>
        </row>
        <row r="703">
          <cell r="A703" t="str">
            <v>sp 1214</v>
          </cell>
          <cell r="B703" t="str">
            <v>Túi bánh gạo Nhật Nakki màu vàng hương vị bò loại mặn (cũ) 150gr Okifood</v>
          </cell>
          <cell r="C703">
            <v>3.7040000000000002</v>
          </cell>
          <cell r="D703">
            <v>2</v>
          </cell>
          <cell r="E703" t="str">
            <v>OPP 30x840</v>
          </cell>
          <cell r="F703">
            <v>7</v>
          </cell>
          <cell r="G703" t="str">
            <v>OPP</v>
          </cell>
          <cell r="H703">
            <v>6.9000000000000006E-2</v>
          </cell>
          <cell r="I703">
            <v>2.27</v>
          </cell>
          <cell r="J703">
            <v>0.27500000000000002</v>
          </cell>
          <cell r="K703">
            <v>0.2</v>
          </cell>
          <cell r="L703">
            <v>0.17</v>
          </cell>
          <cell r="M703">
            <v>0.41</v>
          </cell>
          <cell r="N703">
            <v>0</v>
          </cell>
          <cell r="O703">
            <v>0</v>
          </cell>
          <cell r="P703">
            <v>0.31</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t="str">
            <v>CPP 35x840</v>
          </cell>
          <cell r="AF703">
            <v>0</v>
          </cell>
          <cell r="AG703">
            <v>4.9686000000000008E-2</v>
          </cell>
          <cell r="AH703">
            <v>0.33200000000000002</v>
          </cell>
          <cell r="AI703">
            <v>0</v>
          </cell>
          <cell r="AJ703" t="str">
            <v>keo PP2450FX
ĐR I-2450A</v>
          </cell>
          <cell r="AK703">
            <v>0</v>
          </cell>
          <cell r="AL703">
            <v>1.1999999999999999E-3</v>
          </cell>
          <cell r="AM703" t="str">
            <v>túi hàn lưng</v>
          </cell>
          <cell r="AN703">
            <v>840</v>
          </cell>
          <cell r="AO703" t="str">
            <v>Công ty TNHH Okifood Việt Nam</v>
          </cell>
          <cell r="AP703" t="str">
            <v>X109189-1</v>
          </cell>
          <cell r="AQ703" t="str">
            <v>X109189-2</v>
          </cell>
          <cell r="AR703" t="str">
            <v>X109189-3</v>
          </cell>
          <cell r="AS703" t="str">
            <v>X109189-4</v>
          </cell>
          <cell r="AT703" t="str">
            <v>X109189-5</v>
          </cell>
          <cell r="AU703" t="str">
            <v>X109189-6</v>
          </cell>
          <cell r="AV703" t="str">
            <v>X109189-7</v>
          </cell>
          <cell r="AW703">
            <v>0</v>
          </cell>
          <cell r="AX703">
            <v>0</v>
          </cell>
          <cell r="AY703" t="str">
            <v>1100x680</v>
          </cell>
          <cell r="AZ703" t="str">
            <v>S2</v>
          </cell>
          <cell r="BA703">
            <v>0</v>
          </cell>
          <cell r="BB703">
            <v>0</v>
          </cell>
          <cell r="BC703">
            <v>0</v>
          </cell>
          <cell r="BD703">
            <v>0</v>
          </cell>
        </row>
        <row r="704">
          <cell r="A704" t="str">
            <v>sp 1215</v>
          </cell>
          <cell r="B704" t="str">
            <v>Cuộn thuốc thú y in một màu trắng 100gr khổ 250 Năm Thái</v>
          </cell>
          <cell r="C704">
            <v>2.64</v>
          </cell>
          <cell r="D704">
            <v>3</v>
          </cell>
          <cell r="E704" t="str">
            <v>OPP 30x770</v>
          </cell>
          <cell r="F704">
            <v>1</v>
          </cell>
          <cell r="G704" t="str">
            <v>OPP</v>
          </cell>
          <cell r="H704">
            <v>0</v>
          </cell>
          <cell r="I704">
            <v>2.64</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t="str">
            <v>MPET 12x770</v>
          </cell>
          <cell r="AF704" t="str">
            <v>PE 35x770</v>
          </cell>
          <cell r="AG704">
            <v>5.8885750000000014E-2</v>
          </cell>
          <cell r="AH704">
            <v>1.1653333333333333</v>
          </cell>
          <cell r="AI704">
            <v>1.1653333333333333</v>
          </cell>
          <cell r="AJ704">
            <v>9530</v>
          </cell>
          <cell r="AK704">
            <v>9530</v>
          </cell>
          <cell r="AL704" t="str">
            <v>0,0046(0,0023;0,0023)</v>
          </cell>
          <cell r="AM704" t="str">
            <v>dạng cuộn 1,000m</v>
          </cell>
          <cell r="AN704">
            <v>250</v>
          </cell>
          <cell r="AO704" t="str">
            <v>Công ty Năm Thái</v>
          </cell>
          <cell r="AP704">
            <v>0</v>
          </cell>
          <cell r="AQ704">
            <v>0</v>
          </cell>
          <cell r="AR704">
            <v>0</v>
          </cell>
          <cell r="AS704">
            <v>0</v>
          </cell>
          <cell r="AT704">
            <v>0</v>
          </cell>
          <cell r="AU704">
            <v>0</v>
          </cell>
          <cell r="AV704" t="str">
            <v>1507601-7</v>
          </cell>
          <cell r="AW704">
            <v>0</v>
          </cell>
          <cell r="AX704">
            <v>0</v>
          </cell>
          <cell r="AY704" t="str">
            <v>480x850</v>
          </cell>
          <cell r="AZ704" t="str">
            <v>N2</v>
          </cell>
          <cell r="BA704">
            <v>0</v>
          </cell>
          <cell r="BB704">
            <v>0</v>
          </cell>
          <cell r="BC704">
            <v>0</v>
          </cell>
          <cell r="BD704" t="str">
            <v>in chung cây trắng sp 367</v>
          </cell>
        </row>
        <row r="705">
          <cell r="A705" t="str">
            <v>sp 1216</v>
          </cell>
          <cell r="B705" t="str">
            <v>Cuộn thuốc thú y Winvet 100gr Winvet</v>
          </cell>
          <cell r="C705">
            <v>5.0799999999999992</v>
          </cell>
          <cell r="D705">
            <v>3</v>
          </cell>
          <cell r="E705" t="str">
            <v>PET 12x800</v>
          </cell>
          <cell r="F705">
            <v>3</v>
          </cell>
          <cell r="G705" t="str">
            <v>PET</v>
          </cell>
          <cell r="H705">
            <v>0</v>
          </cell>
          <cell r="I705">
            <v>4.0199999999999996</v>
          </cell>
          <cell r="J705">
            <v>0</v>
          </cell>
          <cell r="K705">
            <v>0</v>
          </cell>
          <cell r="L705">
            <v>0.21</v>
          </cell>
          <cell r="M705">
            <v>0.84</v>
          </cell>
          <cell r="N705">
            <v>0</v>
          </cell>
          <cell r="O705">
            <v>0.01</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t="str">
            <v>Al 6x800</v>
          </cell>
          <cell r="AF705" t="str">
            <v>PE 100x810</v>
          </cell>
          <cell r="AG705">
            <v>0.10044800000000001</v>
          </cell>
          <cell r="AH705">
            <v>1.2113333333333334</v>
          </cell>
          <cell r="AI705">
            <v>1.58</v>
          </cell>
          <cell r="AJ705">
            <v>9530</v>
          </cell>
          <cell r="AK705">
            <v>9530</v>
          </cell>
          <cell r="AL705">
            <v>0</v>
          </cell>
          <cell r="AM705">
            <v>0</v>
          </cell>
          <cell r="AN705">
            <v>0</v>
          </cell>
          <cell r="AO705">
            <v>0</v>
          </cell>
          <cell r="AP705" t="str">
            <v>20060667-1</v>
          </cell>
          <cell r="AQ705" t="str">
            <v>20060667-2</v>
          </cell>
          <cell r="AR705" t="str">
            <v>20060667-3</v>
          </cell>
          <cell r="AS705">
            <v>0</v>
          </cell>
          <cell r="AT705">
            <v>0</v>
          </cell>
          <cell r="AU705">
            <v>0</v>
          </cell>
          <cell r="AV705">
            <v>0</v>
          </cell>
          <cell r="AW705">
            <v>0</v>
          </cell>
          <cell r="AX705">
            <v>0</v>
          </cell>
          <cell r="AY705" t="str">
            <v>540x870</v>
          </cell>
          <cell r="AZ705" t="str">
            <v>S2</v>
          </cell>
          <cell r="BA705">
            <v>0</v>
          </cell>
          <cell r="BB705">
            <v>0</v>
          </cell>
          <cell r="BC705">
            <v>0</v>
          </cell>
          <cell r="BD705">
            <v>0</v>
          </cell>
        </row>
        <row r="706">
          <cell r="A706" t="str">
            <v>sp 1217</v>
          </cell>
          <cell r="B706" t="str">
            <v>Túi thuốc thú y Winvett 1kg Winvet</v>
          </cell>
          <cell r="C706">
            <v>4.2939999999999996</v>
          </cell>
          <cell r="D706">
            <v>1</v>
          </cell>
          <cell r="E706" t="str">
            <v>PET 12x720</v>
          </cell>
          <cell r="F706">
            <v>3</v>
          </cell>
          <cell r="G706" t="str">
            <v>PET</v>
          </cell>
          <cell r="H706">
            <v>0</v>
          </cell>
          <cell r="I706">
            <v>3.8140000000000001</v>
          </cell>
          <cell r="J706">
            <v>0</v>
          </cell>
          <cell r="K706">
            <v>0</v>
          </cell>
          <cell r="L706">
            <v>0.47</v>
          </cell>
          <cell r="M706">
            <v>0</v>
          </cell>
          <cell r="N706">
            <v>0</v>
          </cell>
          <cell r="O706">
            <v>0.01</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t="str">
            <v>Al 6x720</v>
          </cell>
          <cell r="AF706" t="str">
            <v>PE 120x730</v>
          </cell>
          <cell r="AG706">
            <v>0.10372319999999999</v>
          </cell>
          <cell r="AH706">
            <v>1.42</v>
          </cell>
          <cell r="AI706">
            <v>1.42</v>
          </cell>
          <cell r="AJ706">
            <v>9530</v>
          </cell>
          <cell r="AK706">
            <v>9530</v>
          </cell>
          <cell r="AL706" t="str">
            <v>0,006(0,003;0,003)</v>
          </cell>
          <cell r="AM706" t="str">
            <v>túi ba biên</v>
          </cell>
          <cell r="AN706">
            <v>240</v>
          </cell>
          <cell r="AO706" t="str">
            <v>Công ty Bắc Việt</v>
          </cell>
          <cell r="AP706" t="str">
            <v>21030387-1</v>
          </cell>
          <cell r="AQ706" t="str">
            <v>21030387-2</v>
          </cell>
          <cell r="AR706" t="str">
            <v>21030387-3</v>
          </cell>
          <cell r="AS706">
            <v>0</v>
          </cell>
          <cell r="AT706">
            <v>0</v>
          </cell>
          <cell r="AU706">
            <v>0</v>
          </cell>
          <cell r="AV706">
            <v>0</v>
          </cell>
          <cell r="AW706">
            <v>0</v>
          </cell>
          <cell r="AX706">
            <v>0</v>
          </cell>
          <cell r="AY706" t="str">
            <v>480x870</v>
          </cell>
          <cell r="AZ706" t="str">
            <v>S2</v>
          </cell>
          <cell r="BA706">
            <v>0</v>
          </cell>
          <cell r="BB706">
            <v>0</v>
          </cell>
          <cell r="BC706">
            <v>0</v>
          </cell>
          <cell r="BD706">
            <v>0</v>
          </cell>
        </row>
        <row r="707">
          <cell r="A707" t="str">
            <v>sp 1218</v>
          </cell>
          <cell r="B707" t="str">
            <v>Cuộn hạt giống cải bẹ mào gà 09 chọn lọc Japan và cải xanh lùn thanh giang Việt Nhật (03SP)</v>
          </cell>
          <cell r="C707">
            <v>6.6800000000000006</v>
          </cell>
          <cell r="D707">
            <v>3</v>
          </cell>
          <cell r="E707" t="str">
            <v>PET 12x740</v>
          </cell>
          <cell r="F707">
            <v>7</v>
          </cell>
          <cell r="G707" t="str">
            <v>PET</v>
          </cell>
          <cell r="H707">
            <v>0.17</v>
          </cell>
          <cell r="I707">
            <v>2.87</v>
          </cell>
          <cell r="J707">
            <v>0.52</v>
          </cell>
          <cell r="K707">
            <v>0.26</v>
          </cell>
          <cell r="L707">
            <v>1.04</v>
          </cell>
          <cell r="M707">
            <v>0.69</v>
          </cell>
          <cell r="N707">
            <v>0</v>
          </cell>
          <cell r="O707">
            <v>0.26</v>
          </cell>
          <cell r="P707">
            <v>0.87</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t="str">
            <v>MPET 12x740</v>
          </cell>
          <cell r="AF707" t="str">
            <v>PE 85x740</v>
          </cell>
          <cell r="AG707">
            <v>8.3046500000000009E-2</v>
          </cell>
          <cell r="AH707">
            <v>1.1193333333333333</v>
          </cell>
          <cell r="AI707">
            <v>1.1193333333333333</v>
          </cell>
          <cell r="AJ707">
            <v>9530</v>
          </cell>
          <cell r="AK707">
            <v>9530</v>
          </cell>
          <cell r="AL707" t="str">
            <v>0,0046(0,0023;0,0023)</v>
          </cell>
          <cell r="AM707" t="str">
            <v>dạng cuộn 700m</v>
          </cell>
          <cell r="AN707">
            <v>240</v>
          </cell>
          <cell r="AO707" t="str">
            <v>Công ty TNHH SX&amp;TM Việt Nhật</v>
          </cell>
          <cell r="AP707" t="str">
            <v>20060705-1</v>
          </cell>
          <cell r="AQ707" t="str">
            <v>20060705-2</v>
          </cell>
          <cell r="AR707" t="str">
            <v>20060705-3</v>
          </cell>
          <cell r="AS707" t="str">
            <v>20060705-4</v>
          </cell>
          <cell r="AT707" t="str">
            <v>20060705-5</v>
          </cell>
          <cell r="AU707" t="str">
            <v>20060705-6</v>
          </cell>
          <cell r="AV707" t="str">
            <v>20060705-7</v>
          </cell>
          <cell r="AW707">
            <v>0</v>
          </cell>
          <cell r="AX707">
            <v>0</v>
          </cell>
          <cell r="AY707" t="str">
            <v>540x870</v>
          </cell>
          <cell r="AZ707" t="str">
            <v>S2</v>
          </cell>
          <cell r="BA707">
            <v>0</v>
          </cell>
          <cell r="BB707">
            <v>0</v>
          </cell>
          <cell r="BC707">
            <v>0</v>
          </cell>
          <cell r="BD707">
            <v>0</v>
          </cell>
        </row>
        <row r="708">
          <cell r="A708" t="str">
            <v>sp 1219</v>
          </cell>
          <cell r="B708" t="str">
            <v>Túi PE đựng vỉ thuốc Nhân Hưng KT 58x150x28mm Cát Linh</v>
          </cell>
          <cell r="C708">
            <v>3.8899999999999997</v>
          </cell>
          <cell r="D708">
            <v>4</v>
          </cell>
          <cell r="E708" t="str">
            <v>OPP 20x790</v>
          </cell>
          <cell r="F708">
            <v>2</v>
          </cell>
          <cell r="G708" t="str">
            <v>OPP</v>
          </cell>
          <cell r="H708">
            <v>0.21</v>
          </cell>
          <cell r="I708">
            <v>0</v>
          </cell>
          <cell r="J708">
            <v>1.72</v>
          </cell>
          <cell r="K708">
            <v>0</v>
          </cell>
          <cell r="L708">
            <v>1.94</v>
          </cell>
          <cell r="M708">
            <v>0</v>
          </cell>
          <cell r="N708">
            <v>0</v>
          </cell>
          <cell r="O708">
            <v>0.01</v>
          </cell>
          <cell r="P708">
            <v>0</v>
          </cell>
          <cell r="Q708">
            <v>0</v>
          </cell>
          <cell r="R708">
            <v>0.01</v>
          </cell>
          <cell r="S708">
            <v>0</v>
          </cell>
          <cell r="T708">
            <v>0</v>
          </cell>
          <cell r="U708">
            <v>0</v>
          </cell>
          <cell r="V708">
            <v>0</v>
          </cell>
          <cell r="W708">
            <v>0</v>
          </cell>
          <cell r="X708">
            <v>0</v>
          </cell>
          <cell r="Y708">
            <v>0</v>
          </cell>
          <cell r="Z708">
            <v>0</v>
          </cell>
          <cell r="AA708">
            <v>0</v>
          </cell>
          <cell r="AB708">
            <v>0</v>
          </cell>
          <cell r="AC708">
            <v>0</v>
          </cell>
          <cell r="AD708">
            <v>0</v>
          </cell>
          <cell r="AE708" t="str">
            <v>PE 50x790</v>
          </cell>
          <cell r="AF708">
            <v>0</v>
          </cell>
          <cell r="AG708">
            <v>5.0915500000000009E-2</v>
          </cell>
          <cell r="AH708">
            <v>1.196</v>
          </cell>
          <cell r="AI708">
            <v>0</v>
          </cell>
          <cell r="AJ708">
            <v>9530</v>
          </cell>
          <cell r="AK708">
            <v>0</v>
          </cell>
          <cell r="AL708">
            <v>2.3E-3</v>
          </cell>
          <cell r="AM708" t="str">
            <v>túi hàn lưng xếp hông</v>
          </cell>
          <cell r="AN708">
            <v>150</v>
          </cell>
          <cell r="AO708" t="str">
            <v>Công ty TNHH Dược Phẩm Cát Linh</v>
          </cell>
          <cell r="AP708" t="str">
            <v>X109176-1</v>
          </cell>
          <cell r="AQ708" t="str">
            <v>X109176-2</v>
          </cell>
          <cell r="AR708">
            <v>0</v>
          </cell>
          <cell r="AS708">
            <v>0</v>
          </cell>
          <cell r="AT708">
            <v>0</v>
          </cell>
          <cell r="AU708">
            <v>0</v>
          </cell>
          <cell r="AV708">
            <v>0</v>
          </cell>
          <cell r="AW708">
            <v>0</v>
          </cell>
          <cell r="AX708">
            <v>0</v>
          </cell>
          <cell r="AY708" t="str">
            <v>870x450</v>
          </cell>
          <cell r="AZ708" t="str">
            <v>S2</v>
          </cell>
          <cell r="BA708">
            <v>0</v>
          </cell>
          <cell r="BB708">
            <v>0</v>
          </cell>
          <cell r="BC708">
            <v>0</v>
          </cell>
          <cell r="BD708">
            <v>0</v>
          </cell>
        </row>
        <row r="709">
          <cell r="A709" t="str">
            <v>sp 1220</v>
          </cell>
          <cell r="B709" t="str">
            <v>Cuộn kem sữa chua tươi vị cam 40gr Love Milk</v>
          </cell>
          <cell r="C709">
            <v>9.9299999999999979</v>
          </cell>
          <cell r="D709">
            <v>8</v>
          </cell>
          <cell r="E709" t="str">
            <v>OPP 20x820</v>
          </cell>
          <cell r="F709">
            <v>6</v>
          </cell>
          <cell r="G709" t="str">
            <v>OPP</v>
          </cell>
          <cell r="H709">
            <v>1.04</v>
          </cell>
          <cell r="I709">
            <v>3.56</v>
          </cell>
          <cell r="J709">
            <v>0.62</v>
          </cell>
          <cell r="K709">
            <v>0.21</v>
          </cell>
          <cell r="L709">
            <v>1.78</v>
          </cell>
          <cell r="M709">
            <v>2.5099999999999998</v>
          </cell>
          <cell r="N709">
            <v>0</v>
          </cell>
          <cell r="O709">
            <v>0</v>
          </cell>
          <cell r="P709">
            <v>0</v>
          </cell>
          <cell r="Q709">
            <v>0.2</v>
          </cell>
          <cell r="R709">
            <v>0</v>
          </cell>
          <cell r="S709">
            <v>0</v>
          </cell>
          <cell r="T709">
            <v>0.01</v>
          </cell>
          <cell r="U709">
            <v>0</v>
          </cell>
          <cell r="V709">
            <v>0</v>
          </cell>
          <cell r="W709">
            <v>0</v>
          </cell>
          <cell r="X709">
            <v>0</v>
          </cell>
          <cell r="Y709">
            <v>0</v>
          </cell>
          <cell r="Z709">
            <v>0</v>
          </cell>
          <cell r="AA709">
            <v>0</v>
          </cell>
          <cell r="AB709">
            <v>0</v>
          </cell>
          <cell r="AC709">
            <v>0</v>
          </cell>
          <cell r="AD709">
            <v>0</v>
          </cell>
          <cell r="AE709" t="str">
            <v>PE sứ 40x820</v>
          </cell>
          <cell r="AF709">
            <v>0</v>
          </cell>
          <cell r="AG709">
            <v>4.5428000000000003E-2</v>
          </cell>
          <cell r="AH709">
            <v>1.35</v>
          </cell>
          <cell r="AI709">
            <v>0</v>
          </cell>
          <cell r="AJ709">
            <v>9530</v>
          </cell>
          <cell r="AK709">
            <v>0</v>
          </cell>
          <cell r="AL709">
            <v>2.5000000000000001E-3</v>
          </cell>
          <cell r="AM709" t="str">
            <v>dạng cuộn 1,000m</v>
          </cell>
          <cell r="AN709">
            <v>100</v>
          </cell>
          <cell r="AO709" t="str">
            <v>Công ty TNHH Love Milk</v>
          </cell>
          <cell r="AP709" t="str">
            <v>X109178-1</v>
          </cell>
          <cell r="AQ709" t="str">
            <v>X109178-2</v>
          </cell>
          <cell r="AR709" t="str">
            <v>X109178-3</v>
          </cell>
          <cell r="AS709" t="str">
            <v>X109178-4</v>
          </cell>
          <cell r="AT709" t="str">
            <v>X109178-5</v>
          </cell>
          <cell r="AU709" t="str">
            <v>X109178-6</v>
          </cell>
          <cell r="AV709">
            <v>0</v>
          </cell>
          <cell r="AW709">
            <v>0</v>
          </cell>
          <cell r="AX709">
            <v>0</v>
          </cell>
          <cell r="AY709" t="str">
            <v>870x540</v>
          </cell>
          <cell r="AZ709" t="str">
            <v>S2</v>
          </cell>
          <cell r="BA709">
            <v>0</v>
          </cell>
          <cell r="BB709">
            <v>0</v>
          </cell>
          <cell r="BC709">
            <v>0</v>
          </cell>
          <cell r="BD709">
            <v>0</v>
          </cell>
        </row>
        <row r="710">
          <cell r="A710" t="str">
            <v>sp 1221</v>
          </cell>
          <cell r="B710" t="str">
            <v>Cuộn kem sữa chua tươi vị sữa chua 40gr Love Milk</v>
          </cell>
          <cell r="C710">
            <v>4.37</v>
          </cell>
          <cell r="D710">
            <v>8</v>
          </cell>
          <cell r="E710" t="str">
            <v>OPP 20x820</v>
          </cell>
          <cell r="F710">
            <v>6</v>
          </cell>
          <cell r="G710" t="str">
            <v>OPP</v>
          </cell>
          <cell r="H710">
            <v>0.41</v>
          </cell>
          <cell r="I710">
            <v>3.12</v>
          </cell>
          <cell r="J710">
            <v>0.01</v>
          </cell>
          <cell r="K710">
            <v>0.41</v>
          </cell>
          <cell r="L710">
            <v>0</v>
          </cell>
          <cell r="M710">
            <v>0</v>
          </cell>
          <cell r="N710">
            <v>0</v>
          </cell>
          <cell r="O710">
            <v>0</v>
          </cell>
          <cell r="P710">
            <v>0</v>
          </cell>
          <cell r="Q710">
            <v>0.41</v>
          </cell>
          <cell r="R710">
            <v>0</v>
          </cell>
          <cell r="S710">
            <v>0</v>
          </cell>
          <cell r="T710">
            <v>0.01</v>
          </cell>
          <cell r="U710">
            <v>0</v>
          </cell>
          <cell r="V710">
            <v>0</v>
          </cell>
          <cell r="W710">
            <v>0</v>
          </cell>
          <cell r="X710">
            <v>0</v>
          </cell>
          <cell r="Y710">
            <v>0</v>
          </cell>
          <cell r="Z710">
            <v>0</v>
          </cell>
          <cell r="AA710">
            <v>0</v>
          </cell>
          <cell r="AB710">
            <v>0</v>
          </cell>
          <cell r="AC710">
            <v>0</v>
          </cell>
          <cell r="AD710">
            <v>0</v>
          </cell>
          <cell r="AE710" t="str">
            <v>PE sứ 40x820</v>
          </cell>
          <cell r="AF710">
            <v>0</v>
          </cell>
          <cell r="AG710">
            <v>4.5428000000000003E-2</v>
          </cell>
          <cell r="AH710">
            <v>1.35</v>
          </cell>
          <cell r="AI710">
            <v>0</v>
          </cell>
          <cell r="AJ710">
            <v>9530</v>
          </cell>
          <cell r="AK710">
            <v>0</v>
          </cell>
          <cell r="AL710">
            <v>2.5000000000000001E-3</v>
          </cell>
          <cell r="AM710" t="str">
            <v>dạng cuộn 1,000m</v>
          </cell>
          <cell r="AN710">
            <v>100</v>
          </cell>
          <cell r="AO710" t="str">
            <v>Công ty TNHH Love Milk</v>
          </cell>
          <cell r="AP710" t="str">
            <v>X109180-1</v>
          </cell>
          <cell r="AQ710" t="str">
            <v>X109178-2</v>
          </cell>
          <cell r="AR710" t="str">
            <v>X109178-3</v>
          </cell>
          <cell r="AS710" t="str">
            <v>X109178-4</v>
          </cell>
          <cell r="AT710" t="str">
            <v>X109178-5</v>
          </cell>
          <cell r="AU710" t="str">
            <v>X109178-6</v>
          </cell>
          <cell r="AV710">
            <v>0</v>
          </cell>
          <cell r="AW710">
            <v>0</v>
          </cell>
          <cell r="AX710">
            <v>0</v>
          </cell>
          <cell r="AY710" t="str">
            <v>870x540</v>
          </cell>
          <cell r="AZ710" t="str">
            <v>S2</v>
          </cell>
          <cell r="BA710">
            <v>0</v>
          </cell>
          <cell r="BB710">
            <v>0</v>
          </cell>
          <cell r="BC710">
            <v>0</v>
          </cell>
          <cell r="BD710">
            <v>0</v>
          </cell>
        </row>
        <row r="711">
          <cell r="A711" t="str">
            <v>sp 1222</v>
          </cell>
          <cell r="B711" t="str">
            <v>Cuộn kem sữa chua tươi vị dâu 40gr Love Milk</v>
          </cell>
          <cell r="C711">
            <v>6.35</v>
          </cell>
          <cell r="D711">
            <v>8</v>
          </cell>
          <cell r="E711" t="str">
            <v>OPP 20x820</v>
          </cell>
          <cell r="F711">
            <v>6</v>
          </cell>
          <cell r="G711" t="str">
            <v>OPP</v>
          </cell>
          <cell r="H711">
            <v>0.2</v>
          </cell>
          <cell r="I711">
            <v>3.29</v>
          </cell>
          <cell r="J711">
            <v>0.3</v>
          </cell>
          <cell r="K711">
            <v>0.41</v>
          </cell>
          <cell r="L711">
            <v>0.3</v>
          </cell>
          <cell r="M711">
            <v>0</v>
          </cell>
          <cell r="N711">
            <v>0</v>
          </cell>
          <cell r="O711">
            <v>0</v>
          </cell>
          <cell r="P711">
            <v>1.64</v>
          </cell>
          <cell r="Q711">
            <v>0</v>
          </cell>
          <cell r="R711">
            <v>0</v>
          </cell>
          <cell r="S711">
            <v>0</v>
          </cell>
          <cell r="T711">
            <v>0.2</v>
          </cell>
          <cell r="U711">
            <v>0</v>
          </cell>
          <cell r="V711">
            <v>0.01</v>
          </cell>
          <cell r="W711">
            <v>0</v>
          </cell>
          <cell r="X711">
            <v>0</v>
          </cell>
          <cell r="Y711">
            <v>0</v>
          </cell>
          <cell r="Z711">
            <v>0</v>
          </cell>
          <cell r="AA711">
            <v>0</v>
          </cell>
          <cell r="AB711">
            <v>0</v>
          </cell>
          <cell r="AC711">
            <v>0</v>
          </cell>
          <cell r="AD711">
            <v>0</v>
          </cell>
          <cell r="AE711" t="str">
            <v>PE sứ 40x820</v>
          </cell>
          <cell r="AF711">
            <v>0</v>
          </cell>
          <cell r="AG711">
            <v>4.5428000000000003E-2</v>
          </cell>
          <cell r="AH711">
            <v>1.35</v>
          </cell>
          <cell r="AI711">
            <v>0</v>
          </cell>
          <cell r="AJ711">
            <v>9530</v>
          </cell>
          <cell r="AK711">
            <v>0</v>
          </cell>
          <cell r="AL711">
            <v>2.5000000000000001E-3</v>
          </cell>
          <cell r="AM711" t="str">
            <v>dạng cuộn 1,000m</v>
          </cell>
          <cell r="AN711">
            <v>100</v>
          </cell>
          <cell r="AO711" t="str">
            <v>Công ty TNHH Love Milk</v>
          </cell>
          <cell r="AP711" t="str">
            <v>X109181-1</v>
          </cell>
          <cell r="AQ711" t="str">
            <v>X109178-2</v>
          </cell>
          <cell r="AR711" t="str">
            <v>X109178-3</v>
          </cell>
          <cell r="AS711" t="str">
            <v>X109178-4</v>
          </cell>
          <cell r="AT711" t="str">
            <v>X109178-5</v>
          </cell>
          <cell r="AU711" t="str">
            <v>X109178-6</v>
          </cell>
          <cell r="AV711">
            <v>0</v>
          </cell>
          <cell r="AW711">
            <v>0</v>
          </cell>
          <cell r="AX711">
            <v>0</v>
          </cell>
          <cell r="AY711" t="str">
            <v>870x540</v>
          </cell>
          <cell r="AZ711" t="str">
            <v>S2</v>
          </cell>
          <cell r="BA711">
            <v>0</v>
          </cell>
          <cell r="BB711">
            <v>0</v>
          </cell>
          <cell r="BC711">
            <v>0</v>
          </cell>
          <cell r="BD711">
            <v>0</v>
          </cell>
        </row>
        <row r="712">
          <cell r="A712" t="str">
            <v>sp 1223</v>
          </cell>
          <cell r="B712" t="str">
            <v>Cuộn thuốc thú y coli 102 10gr SCO Đức Hạnh</v>
          </cell>
          <cell r="C712">
            <v>13</v>
          </cell>
          <cell r="D712">
            <v>4</v>
          </cell>
          <cell r="E712" t="str">
            <v>OPP 20x668</v>
          </cell>
          <cell r="F712">
            <v>4</v>
          </cell>
          <cell r="G712" t="str">
            <v>OPP</v>
          </cell>
          <cell r="H712">
            <v>0.73</v>
          </cell>
          <cell r="I712">
            <v>4.95</v>
          </cell>
          <cell r="J712">
            <v>0</v>
          </cell>
          <cell r="K712">
            <v>0</v>
          </cell>
          <cell r="L712">
            <v>2.93</v>
          </cell>
          <cell r="M712">
            <v>3.66</v>
          </cell>
          <cell r="N712">
            <v>0</v>
          </cell>
          <cell r="O712">
            <v>0.18</v>
          </cell>
          <cell r="P712">
            <v>0.55000000000000004</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t="str">
            <v>MPET 12x668</v>
          </cell>
          <cell r="AF712" t="str">
            <v>PE 45x668</v>
          </cell>
          <cell r="AG712">
            <v>5.1185500000000002E-2</v>
          </cell>
          <cell r="AH712">
            <v>1.0966666666666667</v>
          </cell>
          <cell r="AI712">
            <v>1.0966666666666667</v>
          </cell>
          <cell r="AJ712">
            <v>9530</v>
          </cell>
          <cell r="AK712">
            <v>9530</v>
          </cell>
          <cell r="AL712" t="str">
            <v>0,005(0,0025;0,0025)</v>
          </cell>
          <cell r="AM712" t="str">
            <v>dạng cuộn 500m</v>
          </cell>
          <cell r="AN712">
            <v>162</v>
          </cell>
          <cell r="AO712" t="str">
            <v>Công ty CP Tập Đoàn Đức Hạnh Marphavet</v>
          </cell>
          <cell r="AP712" t="str">
            <v>20060828-1</v>
          </cell>
          <cell r="AQ712" t="str">
            <v>20060828-2</v>
          </cell>
          <cell r="AR712" t="str">
            <v>20060828-3</v>
          </cell>
          <cell r="AS712" t="str">
            <v>20060828-4</v>
          </cell>
          <cell r="AT712">
            <v>0</v>
          </cell>
          <cell r="AU712">
            <v>0</v>
          </cell>
          <cell r="AV712">
            <v>0</v>
          </cell>
          <cell r="AW712">
            <v>0</v>
          </cell>
          <cell r="AX712">
            <v>0</v>
          </cell>
          <cell r="AY712" t="str">
            <v>500x870</v>
          </cell>
          <cell r="AZ712" t="str">
            <v>S2</v>
          </cell>
          <cell r="BA712">
            <v>0</v>
          </cell>
          <cell r="BB712">
            <v>0</v>
          </cell>
          <cell r="BC712">
            <v>0</v>
          </cell>
          <cell r="BD712">
            <v>0</v>
          </cell>
        </row>
        <row r="713">
          <cell r="A713" t="str">
            <v>sp 1224</v>
          </cell>
          <cell r="B713" t="str">
            <v>Túi nhôm không in Vinphathymo KT 130x200x60mm Vĩnh Phúc</v>
          </cell>
          <cell r="C713">
            <v>0</v>
          </cell>
          <cell r="D713">
            <v>2</v>
          </cell>
          <cell r="E713" t="str">
            <v>PET 12x820</v>
          </cell>
          <cell r="F713">
            <v>0</v>
          </cell>
          <cell r="G713" t="str">
            <v>PET</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t="str">
            <v>Al 6x820</v>
          </cell>
          <cell r="AF713" t="str">
            <v>PE 70x830</v>
          </cell>
          <cell r="AG713">
            <v>8.0204200000000003E-2</v>
          </cell>
          <cell r="AH713">
            <v>1.8930041152263373</v>
          </cell>
          <cell r="AI713">
            <v>1.8930041152263373</v>
          </cell>
          <cell r="AJ713">
            <v>9530</v>
          </cell>
          <cell r="AK713">
            <v>9530</v>
          </cell>
          <cell r="AL713" t="str">
            <v>0,0046(0,0023;0,0023)</v>
          </cell>
          <cell r="AM713" t="str">
            <v>túi hàn lưng xếp hông</v>
          </cell>
          <cell r="AN713">
            <v>200</v>
          </cell>
          <cell r="AO713" t="str">
            <v>Công ty Cổ Phần Dược Phẩm Vĩnh Phúc -Vinphaco</v>
          </cell>
          <cell r="AP713">
            <v>0</v>
          </cell>
          <cell r="AQ713">
            <v>0</v>
          </cell>
          <cell r="AR713">
            <v>0</v>
          </cell>
          <cell r="AS713">
            <v>0</v>
          </cell>
          <cell r="AT713">
            <v>0</v>
          </cell>
          <cell r="AU713">
            <v>0</v>
          </cell>
          <cell r="AV713">
            <v>0</v>
          </cell>
          <cell r="AW713">
            <v>0</v>
          </cell>
          <cell r="AX713">
            <v>0</v>
          </cell>
          <cell r="AY713">
            <v>0</v>
          </cell>
          <cell r="AZ713">
            <v>0</v>
          </cell>
          <cell r="BA713">
            <v>0</v>
          </cell>
          <cell r="BB713">
            <v>0</v>
          </cell>
          <cell r="BC713">
            <v>0</v>
          </cell>
          <cell r="BD713">
            <v>0</v>
          </cell>
        </row>
        <row r="714">
          <cell r="A714" t="str">
            <v>sp 1225</v>
          </cell>
          <cell r="B714" t="str">
            <v>Túi nhôm không in Natfiben KT 75x172x56mm Vĩnh Phúc</v>
          </cell>
          <cell r="C714">
            <v>0</v>
          </cell>
          <cell r="D714">
            <v>3</v>
          </cell>
          <cell r="E714" t="str">
            <v>PET 12x860</v>
          </cell>
          <cell r="F714">
            <v>0</v>
          </cell>
          <cell r="G714" t="str">
            <v>PET</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t="str">
            <v>Al 6x860</v>
          </cell>
          <cell r="AF714" t="str">
            <v>PE 70x870</v>
          </cell>
          <cell r="AG714">
            <v>8.41166E-2</v>
          </cell>
          <cell r="AH714">
            <v>1.8039215686274508</v>
          </cell>
          <cell r="AI714">
            <v>1.8039215686274508</v>
          </cell>
          <cell r="AJ714">
            <v>9530</v>
          </cell>
          <cell r="AK714">
            <v>9530</v>
          </cell>
          <cell r="AL714" t="str">
            <v>0,0046(0,0023;0,0023)</v>
          </cell>
          <cell r="AM714" t="str">
            <v>túi hàn lưng xếp hông</v>
          </cell>
          <cell r="AN714">
            <v>172</v>
          </cell>
          <cell r="AO714" t="str">
            <v>Công ty Cổ Phần Dược Phẩm Vĩnh Phúc -Vinphaco</v>
          </cell>
          <cell r="AP714" t="e">
            <v>#N/A</v>
          </cell>
          <cell r="AQ714" t="e">
            <v>#N/A</v>
          </cell>
          <cell r="AR714" t="e">
            <v>#N/A</v>
          </cell>
          <cell r="AS714" t="e">
            <v>#N/A</v>
          </cell>
          <cell r="AT714" t="e">
            <v>#N/A</v>
          </cell>
          <cell r="AU714" t="e">
            <v>#N/A</v>
          </cell>
          <cell r="AV714" t="e">
            <v>#N/A</v>
          </cell>
          <cell r="AW714" t="e">
            <v>#N/A</v>
          </cell>
          <cell r="AX714" t="e">
            <v>#N/A</v>
          </cell>
          <cell r="AY714" t="e">
            <v>#N/A</v>
          </cell>
          <cell r="AZ714" t="e">
            <v>#N/A</v>
          </cell>
          <cell r="BA714">
            <v>0</v>
          </cell>
          <cell r="BB714">
            <v>0</v>
          </cell>
          <cell r="BC714">
            <v>0</v>
          </cell>
          <cell r="BD714" t="e">
            <v>#N/A</v>
          </cell>
        </row>
        <row r="715">
          <cell r="A715" t="str">
            <v>sp 1226</v>
          </cell>
          <cell r="B715" t="str">
            <v>Cuộn bánh coffee braka xuất khẩu Libra</v>
          </cell>
          <cell r="C715">
            <v>10.642000000000001</v>
          </cell>
          <cell r="D715">
            <v>4</v>
          </cell>
          <cell r="E715" t="str">
            <v>OPP 30x900</v>
          </cell>
          <cell r="F715">
            <v>8</v>
          </cell>
          <cell r="G715" t="str">
            <v>OPP</v>
          </cell>
          <cell r="H715">
            <v>0.83</v>
          </cell>
          <cell r="I715">
            <v>4.07</v>
          </cell>
          <cell r="J715">
            <v>0.01</v>
          </cell>
          <cell r="K715">
            <v>0.71199999999999997</v>
          </cell>
          <cell r="L715">
            <v>1.61</v>
          </cell>
          <cell r="M715">
            <v>2.27</v>
          </cell>
          <cell r="N715">
            <v>0.24</v>
          </cell>
          <cell r="O715">
            <v>0.01</v>
          </cell>
          <cell r="P715">
            <v>0.24</v>
          </cell>
          <cell r="Q715">
            <v>0</v>
          </cell>
          <cell r="R715">
            <v>0</v>
          </cell>
          <cell r="S715">
            <v>0</v>
          </cell>
          <cell r="T715">
            <v>0.65</v>
          </cell>
          <cell r="U715">
            <v>0</v>
          </cell>
          <cell r="V715">
            <v>0</v>
          </cell>
          <cell r="W715">
            <v>0</v>
          </cell>
          <cell r="X715">
            <v>0</v>
          </cell>
          <cell r="Y715">
            <v>0</v>
          </cell>
          <cell r="Z715">
            <v>0</v>
          </cell>
          <cell r="AA715">
            <v>0</v>
          </cell>
          <cell r="AB715">
            <v>0</v>
          </cell>
          <cell r="AC715">
            <v>0</v>
          </cell>
          <cell r="AD715">
            <v>0</v>
          </cell>
          <cell r="AE715" t="str">
            <v>MCPP 35x900</v>
          </cell>
          <cell r="AF715">
            <v>0</v>
          </cell>
          <cell r="AG715">
            <v>5.3235000000000011E-2</v>
          </cell>
          <cell r="AH715">
            <v>1.8726591760299627</v>
          </cell>
          <cell r="AI715">
            <v>0</v>
          </cell>
          <cell r="AJ715">
            <v>9530</v>
          </cell>
          <cell r="AK715">
            <v>9530</v>
          </cell>
          <cell r="AL715">
            <v>2.5000000000000001E-3</v>
          </cell>
          <cell r="AM715" t="str">
            <v>dạng cuộn 1,000m</v>
          </cell>
          <cell r="AN715">
            <v>220</v>
          </cell>
          <cell r="AO715" t="str">
            <v>Công ty Libra</v>
          </cell>
          <cell r="AP715" t="str">
            <v>F812232-1</v>
          </cell>
          <cell r="AQ715" t="str">
            <v>F812232-2</v>
          </cell>
          <cell r="AR715" t="str">
            <v>F812232-3</v>
          </cell>
          <cell r="AS715" t="str">
            <v>F812232-4</v>
          </cell>
          <cell r="AT715" t="str">
            <v>F812232-5</v>
          </cell>
          <cell r="AU715" t="str">
            <v>F812232-6</v>
          </cell>
          <cell r="AV715" t="str">
            <v>F812232-7</v>
          </cell>
          <cell r="AW715" t="str">
            <v>F812232-8</v>
          </cell>
          <cell r="AX715">
            <v>0</v>
          </cell>
          <cell r="AY715" t="str">
            <v>1100x438</v>
          </cell>
          <cell r="AZ715" t="str">
            <v>S2</v>
          </cell>
          <cell r="BA715">
            <v>0</v>
          </cell>
          <cell r="BB715">
            <v>0</v>
          </cell>
          <cell r="BC715">
            <v>0</v>
          </cell>
          <cell r="BD715">
            <v>0</v>
          </cell>
        </row>
        <row r="716">
          <cell r="A716" t="str">
            <v>sp 1227</v>
          </cell>
          <cell r="B716" t="str">
            <v>Cuộn bánh coffe braka nội địa Libra</v>
          </cell>
          <cell r="C716">
            <v>28.840000000000003</v>
          </cell>
          <cell r="D716">
            <v>4</v>
          </cell>
          <cell r="E716" t="str">
            <v>OPP 30x900</v>
          </cell>
          <cell r="F716">
            <v>8</v>
          </cell>
          <cell r="G716" t="str">
            <v>OPP</v>
          </cell>
          <cell r="H716">
            <v>1.1200000000000001</v>
          </cell>
          <cell r="I716">
            <v>10</v>
          </cell>
          <cell r="J716">
            <v>0.01</v>
          </cell>
          <cell r="K716">
            <v>1.69</v>
          </cell>
          <cell r="L716">
            <v>5.64</v>
          </cell>
          <cell r="M716">
            <v>2.5</v>
          </cell>
          <cell r="N716">
            <v>5.9</v>
          </cell>
          <cell r="O716">
            <v>0.28000000000000003</v>
          </cell>
          <cell r="P716">
            <v>1.69</v>
          </cell>
          <cell r="Q716">
            <v>0</v>
          </cell>
          <cell r="R716">
            <v>0</v>
          </cell>
          <cell r="S716">
            <v>0</v>
          </cell>
          <cell r="T716">
            <v>0.01</v>
          </cell>
          <cell r="U716">
            <v>0</v>
          </cell>
          <cell r="V716">
            <v>0</v>
          </cell>
          <cell r="W716">
            <v>0</v>
          </cell>
          <cell r="X716">
            <v>0</v>
          </cell>
          <cell r="Y716">
            <v>0</v>
          </cell>
          <cell r="Z716">
            <v>0</v>
          </cell>
          <cell r="AA716">
            <v>0</v>
          </cell>
          <cell r="AB716">
            <v>0</v>
          </cell>
          <cell r="AC716">
            <v>0</v>
          </cell>
          <cell r="AD716">
            <v>0</v>
          </cell>
          <cell r="AE716" t="str">
            <v>MCPP 35x900</v>
          </cell>
          <cell r="AF716">
            <v>0</v>
          </cell>
          <cell r="AG716">
            <v>5.3235000000000011E-2</v>
          </cell>
          <cell r="AH716">
            <v>1.3646666666666665</v>
          </cell>
          <cell r="AI716">
            <v>0</v>
          </cell>
          <cell r="AJ716">
            <v>9530</v>
          </cell>
          <cell r="AK716">
            <v>0</v>
          </cell>
          <cell r="AL716">
            <v>2.3E-3</v>
          </cell>
          <cell r="AM716" t="str">
            <v>dạng cuộn 1,000m</v>
          </cell>
          <cell r="AN716">
            <v>220</v>
          </cell>
          <cell r="AO716" t="str">
            <v>Công ty Libra</v>
          </cell>
          <cell r="AP716" t="str">
            <v>F812232G1-1</v>
          </cell>
          <cell r="AQ716" t="str">
            <v>F812232-2</v>
          </cell>
          <cell r="AR716" t="str">
            <v>F812232-3</v>
          </cell>
          <cell r="AS716" t="str">
            <v>F812232-4</v>
          </cell>
          <cell r="AT716" t="str">
            <v>F812232-5</v>
          </cell>
          <cell r="AU716" t="str">
            <v>F812232-6</v>
          </cell>
          <cell r="AV716" t="str">
            <v>F812232-7</v>
          </cell>
          <cell r="AW716" t="str">
            <v>F812232-8</v>
          </cell>
          <cell r="AX716">
            <v>0</v>
          </cell>
          <cell r="AY716" t="str">
            <v>1100x438</v>
          </cell>
          <cell r="AZ716" t="str">
            <v>S2</v>
          </cell>
          <cell r="BA716">
            <v>0</v>
          </cell>
          <cell r="BB716">
            <v>0</v>
          </cell>
          <cell r="BC716">
            <v>0</v>
          </cell>
          <cell r="BD716" t="str">
            <v>Chạy chung sp 1226 trừ cây Nâu nền</v>
          </cell>
        </row>
        <row r="717">
          <cell r="A717" t="str">
            <v>sp 1228</v>
          </cell>
          <cell r="B717" t="str">
            <v>Cuộn màng Al Minh Huy Titan Xingfa Cơ Điện</v>
          </cell>
          <cell r="C717">
            <v>1.03</v>
          </cell>
          <cell r="D717">
            <v>1</v>
          </cell>
          <cell r="E717" t="str">
            <v>PE đt 60x1220</v>
          </cell>
          <cell r="F717">
            <v>3</v>
          </cell>
          <cell r="G717" t="str">
            <v xml:space="preserve">PE </v>
          </cell>
          <cell r="H717">
            <v>0.06</v>
          </cell>
          <cell r="I717">
            <v>0</v>
          </cell>
          <cell r="J717">
            <v>0.49</v>
          </cell>
          <cell r="K717">
            <v>0.01</v>
          </cell>
          <cell r="L717">
            <v>0</v>
          </cell>
          <cell r="M717">
            <v>0.37</v>
          </cell>
          <cell r="N717">
            <v>0</v>
          </cell>
          <cell r="O717">
            <v>0</v>
          </cell>
          <cell r="P717">
            <v>0.1</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t="str">
            <v>PE 30x1220</v>
          </cell>
          <cell r="AF717">
            <v>0</v>
          </cell>
          <cell r="AG717">
            <v>0.105591</v>
          </cell>
          <cell r="AH717">
            <v>1.4933333333333334</v>
          </cell>
          <cell r="AI717">
            <v>0</v>
          </cell>
          <cell r="AJ717">
            <v>9530</v>
          </cell>
          <cell r="AK717">
            <v>0</v>
          </cell>
          <cell r="AL717">
            <v>2E-3</v>
          </cell>
          <cell r="AM717" t="str">
            <v>dạng cuộn 1,500m</v>
          </cell>
          <cell r="AN717">
            <v>1220</v>
          </cell>
          <cell r="AO717" t="str">
            <v>Công ty Cơ Điện</v>
          </cell>
          <cell r="AP717" t="str">
            <v>20070555-1</v>
          </cell>
          <cell r="AQ717" t="str">
            <v>20070555-2</v>
          </cell>
          <cell r="AR717" t="str">
            <v>20070555-3</v>
          </cell>
          <cell r="AS717">
            <v>0</v>
          </cell>
          <cell r="AT717">
            <v>0</v>
          </cell>
          <cell r="AU717">
            <v>0</v>
          </cell>
          <cell r="AV717">
            <v>0</v>
          </cell>
          <cell r="AW717">
            <v>0</v>
          </cell>
          <cell r="AX717">
            <v>0</v>
          </cell>
          <cell r="AY717" t="str">
            <v>796x1300</v>
          </cell>
          <cell r="AZ717">
            <v>0</v>
          </cell>
          <cell r="BA717">
            <v>0</v>
          </cell>
          <cell r="BB717">
            <v>0</v>
          </cell>
          <cell r="BC717">
            <v>0</v>
          </cell>
          <cell r="BD717">
            <v>0</v>
          </cell>
        </row>
        <row r="718">
          <cell r="A718" t="str">
            <v>sp 1229</v>
          </cell>
          <cell r="B718" t="str">
            <v>Cuộn trà tan loại que ice tea hương đào Vĩnh Phúc</v>
          </cell>
          <cell r="C718">
            <v>6.6529999999999996</v>
          </cell>
          <cell r="D718">
            <v>1</v>
          </cell>
          <cell r="E718" t="str">
            <v>PET 12x820</v>
          </cell>
          <cell r="F718">
            <v>7</v>
          </cell>
          <cell r="G718" t="str">
            <v>PET</v>
          </cell>
          <cell r="H718">
            <v>0.01</v>
          </cell>
          <cell r="I718">
            <v>4.8620000000000001</v>
          </cell>
          <cell r="J718">
            <v>6.4000000000000001E-2</v>
          </cell>
          <cell r="K718">
            <v>0.24199999999999999</v>
          </cell>
          <cell r="L718">
            <v>1.05</v>
          </cell>
          <cell r="M718">
            <v>0.109</v>
          </cell>
          <cell r="N718">
            <v>0</v>
          </cell>
          <cell r="O718">
            <v>0</v>
          </cell>
          <cell r="P718">
            <v>0.30599999999999999</v>
          </cell>
          <cell r="Q718">
            <v>0</v>
          </cell>
          <cell r="R718">
            <v>0</v>
          </cell>
          <cell r="S718">
            <v>0</v>
          </cell>
          <cell r="T718">
            <v>0</v>
          </cell>
          <cell r="U718">
            <v>0</v>
          </cell>
          <cell r="V718">
            <v>0.01</v>
          </cell>
          <cell r="W718">
            <v>0</v>
          </cell>
          <cell r="X718">
            <v>0</v>
          </cell>
          <cell r="Y718">
            <v>0</v>
          </cell>
          <cell r="Z718">
            <v>0</v>
          </cell>
          <cell r="AA718">
            <v>0</v>
          </cell>
          <cell r="AB718">
            <v>0</v>
          </cell>
          <cell r="AC718">
            <v>0</v>
          </cell>
          <cell r="AD718">
            <v>0</v>
          </cell>
          <cell r="AE718" t="str">
            <v>Al 6x820</v>
          </cell>
          <cell r="AF718" t="str">
            <v>CPP 60x830</v>
          </cell>
          <cell r="AG718">
            <v>7.1881199999999992E-2</v>
          </cell>
          <cell r="AH718">
            <v>1.242</v>
          </cell>
          <cell r="AI718">
            <v>1.242</v>
          </cell>
          <cell r="AJ718">
            <v>9530</v>
          </cell>
          <cell r="AK718">
            <v>9530</v>
          </cell>
          <cell r="AL718" t="str">
            <v>0,0046(0,0023;0,0023)</v>
          </cell>
          <cell r="AM718" t="str">
            <v>dạng cuộn 1,000m</v>
          </cell>
          <cell r="AN718">
            <v>800</v>
          </cell>
          <cell r="AO718" t="str">
            <v>Công ty TNHH Thế hệ mới Vĩnh Phúc</v>
          </cell>
          <cell r="AP718" t="str">
            <v>F126602-1</v>
          </cell>
          <cell r="AQ718" t="str">
            <v>F126602-2</v>
          </cell>
          <cell r="AR718" t="str">
            <v>F126602-3</v>
          </cell>
          <cell r="AS718" t="str">
            <v>F126602-4</v>
          </cell>
          <cell r="AT718" t="str">
            <v>F126602-5</v>
          </cell>
          <cell r="AU718" t="str">
            <v>F126602-6</v>
          </cell>
          <cell r="AV718" t="str">
            <v>F126602-7</v>
          </cell>
          <cell r="AW718">
            <v>0</v>
          </cell>
          <cell r="AX718">
            <v>0</v>
          </cell>
          <cell r="AY718" t="str">
            <v>1100x450</v>
          </cell>
          <cell r="AZ718" t="str">
            <v>A2</v>
          </cell>
          <cell r="BA718">
            <v>0</v>
          </cell>
          <cell r="BB718">
            <v>0</v>
          </cell>
          <cell r="BC718">
            <v>0</v>
          </cell>
          <cell r="BD718">
            <v>0</v>
          </cell>
        </row>
        <row r="719">
          <cell r="A719" t="str">
            <v>sp 1230</v>
          </cell>
          <cell r="B719" t="str">
            <v>Túi nhôm không in KT 300x400mm Traphaco</v>
          </cell>
          <cell r="C719">
            <v>0</v>
          </cell>
          <cell r="D719">
            <v>1</v>
          </cell>
          <cell r="E719" t="str">
            <v>PET 12x620</v>
          </cell>
          <cell r="F719">
            <v>0</v>
          </cell>
          <cell r="G719" t="str">
            <v>PET</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t="str">
            <v>Al 6x620</v>
          </cell>
          <cell r="AF719" t="str">
            <v>PE 120x630</v>
          </cell>
          <cell r="AG719">
            <v>8.9317199999999999E-2</v>
          </cell>
          <cell r="AH719">
            <v>1.0166666666666666</v>
          </cell>
          <cell r="AI719">
            <v>1.6266666666666665</v>
          </cell>
          <cell r="AJ719">
            <v>9530</v>
          </cell>
          <cell r="AK719">
            <v>9530</v>
          </cell>
          <cell r="AL719" t="str">
            <v>0,0065(0,0025,0,004)</v>
          </cell>
          <cell r="AM719" t="str">
            <v>túi ba biên</v>
          </cell>
          <cell r="AN719">
            <v>400</v>
          </cell>
          <cell r="AO719" t="str">
            <v>Công ty Cổ Phần Traphaco</v>
          </cell>
          <cell r="AP719">
            <v>0</v>
          </cell>
          <cell r="AQ719">
            <v>0</v>
          </cell>
          <cell r="AR719">
            <v>0</v>
          </cell>
          <cell r="AS719">
            <v>0</v>
          </cell>
          <cell r="AT719">
            <v>0</v>
          </cell>
          <cell r="AU719">
            <v>0</v>
          </cell>
          <cell r="AV719">
            <v>0</v>
          </cell>
          <cell r="AW719">
            <v>0</v>
          </cell>
          <cell r="AX719">
            <v>0</v>
          </cell>
          <cell r="AY719">
            <v>0</v>
          </cell>
          <cell r="AZ719">
            <v>0</v>
          </cell>
          <cell r="BA719">
            <v>0</v>
          </cell>
          <cell r="BB719">
            <v>0</v>
          </cell>
          <cell r="BC719">
            <v>0</v>
          </cell>
          <cell r="BD719">
            <v>0</v>
          </cell>
        </row>
        <row r="720">
          <cell r="A720" t="str">
            <v>sp 1231</v>
          </cell>
          <cell r="B720" t="str">
            <v>Cuộn đường trắng thượng hạng Lam Sơn 1kg - Lasuco</v>
          </cell>
          <cell r="C720">
            <v>4.1859999999999999</v>
          </cell>
          <cell r="D720">
            <v>2</v>
          </cell>
          <cell r="E720" t="str">
            <v>OPP 20x820</v>
          </cell>
          <cell r="F720">
            <v>8</v>
          </cell>
          <cell r="G720" t="str">
            <v>OPP</v>
          </cell>
          <cell r="H720">
            <v>0</v>
          </cell>
          <cell r="I720">
            <v>2.59</v>
          </cell>
          <cell r="J720">
            <v>0.622</v>
          </cell>
          <cell r="K720">
            <v>2.3E-2</v>
          </cell>
          <cell r="L720">
            <v>0.218</v>
          </cell>
          <cell r="M720">
            <v>4.7E-2</v>
          </cell>
          <cell r="N720">
            <v>0</v>
          </cell>
          <cell r="O720">
            <v>7.8E-2</v>
          </cell>
          <cell r="P720">
            <v>0.11700000000000001</v>
          </cell>
          <cell r="Q720">
            <v>4.7E-2</v>
          </cell>
          <cell r="R720">
            <v>1.6E-2</v>
          </cell>
          <cell r="S720">
            <v>0</v>
          </cell>
          <cell r="T720">
            <v>0</v>
          </cell>
          <cell r="U720">
            <v>0</v>
          </cell>
          <cell r="V720">
            <v>0</v>
          </cell>
          <cell r="W720">
            <v>0.42799999999999999</v>
          </cell>
          <cell r="X720">
            <v>0</v>
          </cell>
          <cell r="Y720">
            <v>0</v>
          </cell>
          <cell r="Z720">
            <v>0</v>
          </cell>
          <cell r="AA720">
            <v>0</v>
          </cell>
          <cell r="AB720">
            <v>0</v>
          </cell>
          <cell r="AC720">
            <v>0</v>
          </cell>
          <cell r="AD720">
            <v>0</v>
          </cell>
          <cell r="AE720" t="str">
            <v>PE 55x820</v>
          </cell>
          <cell r="AF720">
            <v>0</v>
          </cell>
          <cell r="AG720">
            <v>5.6641499999999997E-2</v>
          </cell>
          <cell r="AH720">
            <v>1.62</v>
          </cell>
          <cell r="AI720">
            <v>0</v>
          </cell>
          <cell r="AJ720">
            <v>9530</v>
          </cell>
          <cell r="AK720">
            <v>0</v>
          </cell>
          <cell r="AL720">
            <v>3.0000000000000001E-3</v>
          </cell>
          <cell r="AM720" t="str">
            <v>dạng cuộn 1,000m</v>
          </cell>
          <cell r="AN720">
            <v>400</v>
          </cell>
          <cell r="AO720" t="str">
            <v>Công ty Cổ phần mía đường Lam Sơn</v>
          </cell>
          <cell r="AP720" t="str">
            <v>X109482G2-1</v>
          </cell>
          <cell r="AQ720" t="str">
            <v>X109482-2</v>
          </cell>
          <cell r="AR720" t="str">
            <v>X109482-3</v>
          </cell>
          <cell r="AS720" t="str">
            <v>X109482G2-4</v>
          </cell>
          <cell r="AT720" t="str">
            <v>X109482-5</v>
          </cell>
          <cell r="AU720" t="str">
            <v>X109482-6</v>
          </cell>
          <cell r="AV720" t="str">
            <v>X109482-7</v>
          </cell>
          <cell r="AW720" t="str">
            <v>X109482G2-8</v>
          </cell>
          <cell r="AX720">
            <v>0</v>
          </cell>
          <cell r="AY720" t="str">
            <v>520x870</v>
          </cell>
          <cell r="AZ720" t="str">
            <v>S2</v>
          </cell>
          <cell r="BA720">
            <v>0</v>
          </cell>
          <cell r="BB720">
            <v>0</v>
          </cell>
          <cell r="BC720">
            <v>0</v>
          </cell>
          <cell r="BD720">
            <v>0</v>
          </cell>
        </row>
        <row r="721">
          <cell r="A721" t="str">
            <v>sp 1232</v>
          </cell>
          <cell r="B721" t="str">
            <v>Túi bánh Trung thu khổ 320mm Nhật Nguyệt</v>
          </cell>
          <cell r="C721">
            <v>1.1200000000000001</v>
          </cell>
          <cell r="D721">
            <v>2</v>
          </cell>
          <cell r="E721" t="str">
            <v>OPP 20x660</v>
          </cell>
          <cell r="F721">
            <v>1</v>
          </cell>
          <cell r="G721" t="str">
            <v>OPP</v>
          </cell>
          <cell r="H721">
            <v>1.1200000000000001</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t="str">
            <v>PE 35x660</v>
          </cell>
          <cell r="AF721">
            <v>0</v>
          </cell>
          <cell r="AG721">
            <v>3.3379500000000006E-2</v>
          </cell>
          <cell r="AH721">
            <v>0.99666666666666659</v>
          </cell>
          <cell r="AI721">
            <v>0</v>
          </cell>
          <cell r="AJ721">
            <v>9530</v>
          </cell>
          <cell r="AK721">
            <v>0</v>
          </cell>
          <cell r="AL721">
            <v>2.3E-3</v>
          </cell>
          <cell r="AM721" t="str">
            <v>dạng cuộn 1,000m</v>
          </cell>
          <cell r="AN721">
            <v>320</v>
          </cell>
          <cell r="AO721" t="str">
            <v>Công ty CP DVTM&amp;ĐT Nhật Nguyệt</v>
          </cell>
          <cell r="AP721" t="str">
            <v>X109439-1</v>
          </cell>
          <cell r="AQ721">
            <v>0</v>
          </cell>
          <cell r="AR721">
            <v>0</v>
          </cell>
          <cell r="AS721">
            <v>0</v>
          </cell>
          <cell r="AT721">
            <v>0</v>
          </cell>
          <cell r="AU721">
            <v>0</v>
          </cell>
          <cell r="AV721">
            <v>0</v>
          </cell>
          <cell r="AW721">
            <v>0</v>
          </cell>
          <cell r="AX721">
            <v>0</v>
          </cell>
          <cell r="AY721" t="str">
            <v>750x540</v>
          </cell>
          <cell r="AZ721" t="str">
            <v>S2</v>
          </cell>
          <cell r="BA721">
            <v>0</v>
          </cell>
          <cell r="BB721">
            <v>0</v>
          </cell>
          <cell r="BC721">
            <v>0</v>
          </cell>
          <cell r="BD721">
            <v>0</v>
          </cell>
        </row>
        <row r="722">
          <cell r="A722" t="str">
            <v>sp 1233</v>
          </cell>
          <cell r="B722" t="str">
            <v>Túi PA in hình con gà xanh KT 270x400 mm Bao Bì Việt</v>
          </cell>
          <cell r="C722">
            <v>0.16999999999999998</v>
          </cell>
          <cell r="D722">
            <v>1</v>
          </cell>
          <cell r="E722" t="str">
            <v>PA 15x820</v>
          </cell>
          <cell r="F722">
            <v>1</v>
          </cell>
          <cell r="G722" t="str">
            <v xml:space="preserve">PA </v>
          </cell>
          <cell r="H722">
            <v>0</v>
          </cell>
          <cell r="I722">
            <v>0</v>
          </cell>
          <cell r="J722">
            <v>0</v>
          </cell>
          <cell r="K722">
            <v>0</v>
          </cell>
          <cell r="L722">
            <v>0</v>
          </cell>
          <cell r="M722">
            <v>0</v>
          </cell>
          <cell r="N722">
            <v>0</v>
          </cell>
          <cell r="O722">
            <v>0</v>
          </cell>
          <cell r="P722">
            <v>0</v>
          </cell>
          <cell r="Q722">
            <v>0</v>
          </cell>
          <cell r="R722">
            <v>0.06</v>
          </cell>
          <cell r="S722">
            <v>0</v>
          </cell>
          <cell r="T722">
            <v>0</v>
          </cell>
          <cell r="U722">
            <v>0</v>
          </cell>
          <cell r="V722">
            <v>0</v>
          </cell>
          <cell r="W722">
            <v>0.11</v>
          </cell>
          <cell r="X722">
            <v>0</v>
          </cell>
          <cell r="Y722">
            <v>0</v>
          </cell>
          <cell r="Z722">
            <v>0</v>
          </cell>
          <cell r="AA722">
            <v>0</v>
          </cell>
          <cell r="AB722">
            <v>0</v>
          </cell>
          <cell r="AC722">
            <v>0</v>
          </cell>
          <cell r="AD722">
            <v>0</v>
          </cell>
          <cell r="AE722" t="str">
            <v>PE 65x820</v>
          </cell>
          <cell r="AF722">
            <v>0</v>
          </cell>
          <cell r="AG722">
            <v>6.344749999999999E-2</v>
          </cell>
          <cell r="AH722">
            <v>1.35</v>
          </cell>
          <cell r="AI722">
            <v>0</v>
          </cell>
          <cell r="AJ722">
            <v>9530</v>
          </cell>
          <cell r="AK722">
            <v>0</v>
          </cell>
          <cell r="AL722">
            <v>2.5000000000000001E-3</v>
          </cell>
          <cell r="AM722" t="str">
            <v>túi ba biên</v>
          </cell>
          <cell r="AN722">
            <v>400</v>
          </cell>
          <cell r="AO722" t="str">
            <v>Công ty Bao Bì Việt</v>
          </cell>
          <cell r="AP722" t="str">
            <v>20070965-1</v>
          </cell>
          <cell r="AQ722">
            <v>0</v>
          </cell>
          <cell r="AR722">
            <v>0</v>
          </cell>
          <cell r="AS722">
            <v>0</v>
          </cell>
          <cell r="AT722">
            <v>0</v>
          </cell>
          <cell r="AU722">
            <v>0</v>
          </cell>
          <cell r="AV722">
            <v>0</v>
          </cell>
          <cell r="AW722">
            <v>0</v>
          </cell>
          <cell r="AX722">
            <v>0</v>
          </cell>
          <cell r="AY722" t="str">
            <v>540x870</v>
          </cell>
          <cell r="AZ722" t="str">
            <v>S3</v>
          </cell>
          <cell r="BA722">
            <v>0</v>
          </cell>
          <cell r="BB722">
            <v>0</v>
          </cell>
          <cell r="BC722">
            <v>0</v>
          </cell>
          <cell r="BD722">
            <v>0</v>
          </cell>
        </row>
        <row r="723">
          <cell r="A723" t="str">
            <v>sp 1234</v>
          </cell>
          <cell r="B723" t="str">
            <v>Cuộn màng PE trong ghép PE trong chữ Tung Wang TH Việt</v>
          </cell>
          <cell r="C723">
            <v>6.33</v>
          </cell>
          <cell r="D723">
            <v>1</v>
          </cell>
          <cell r="E723" t="str">
            <v>PE 30x1280</v>
          </cell>
          <cell r="F723">
            <v>2</v>
          </cell>
          <cell r="G723" t="str">
            <v xml:space="preserve">PE </v>
          </cell>
          <cell r="H723">
            <v>0</v>
          </cell>
          <cell r="I723">
            <v>0</v>
          </cell>
          <cell r="J723">
            <v>0</v>
          </cell>
          <cell r="K723">
            <v>1.2</v>
          </cell>
          <cell r="L723">
            <v>4.45</v>
          </cell>
          <cell r="M723">
            <v>0</v>
          </cell>
          <cell r="N723">
            <v>0</v>
          </cell>
          <cell r="O723">
            <v>0</v>
          </cell>
          <cell r="P723">
            <v>0.01</v>
          </cell>
          <cell r="Q723">
            <v>0.56999999999999995</v>
          </cell>
          <cell r="R723">
            <v>0</v>
          </cell>
          <cell r="S723">
            <v>0</v>
          </cell>
          <cell r="T723">
            <v>0.1</v>
          </cell>
          <cell r="U723">
            <v>0</v>
          </cell>
          <cell r="V723">
            <v>0</v>
          </cell>
          <cell r="W723">
            <v>0</v>
          </cell>
          <cell r="X723">
            <v>0</v>
          </cell>
          <cell r="Y723">
            <v>0</v>
          </cell>
          <cell r="Z723">
            <v>0</v>
          </cell>
          <cell r="AA723">
            <v>0</v>
          </cell>
          <cell r="AB723">
            <v>0</v>
          </cell>
          <cell r="AC723">
            <v>0</v>
          </cell>
          <cell r="AD723">
            <v>0</v>
          </cell>
          <cell r="AE723" t="str">
            <v>PE 30x1280</v>
          </cell>
          <cell r="AF723">
            <v>0</v>
          </cell>
          <cell r="AG723">
            <v>7.1040000000000006E-2</v>
          </cell>
          <cell r="AH723">
            <v>1.9473333333333331</v>
          </cell>
          <cell r="AI723">
            <v>0</v>
          </cell>
          <cell r="AJ723">
            <v>9530</v>
          </cell>
          <cell r="AK723">
            <v>0</v>
          </cell>
          <cell r="AL723">
            <v>2.3E-3</v>
          </cell>
          <cell r="AM723" t="str">
            <v>dạng cuộn 1,500m</v>
          </cell>
          <cell r="AN723">
            <v>1260</v>
          </cell>
          <cell r="AO723" t="str">
            <v>Công ty TH Việt</v>
          </cell>
          <cell r="AP723" t="str">
            <v>19031361-0</v>
          </cell>
          <cell r="AQ723" t="str">
            <v>19031159-1</v>
          </cell>
          <cell r="AR723">
            <v>0</v>
          </cell>
          <cell r="AS723">
            <v>0</v>
          </cell>
          <cell r="AT723">
            <v>0</v>
          </cell>
          <cell r="AU723">
            <v>0</v>
          </cell>
          <cell r="AV723">
            <v>0</v>
          </cell>
          <cell r="AW723">
            <v>0</v>
          </cell>
          <cell r="AX723">
            <v>0</v>
          </cell>
          <cell r="AY723" t="str">
            <v>500x1320</v>
          </cell>
          <cell r="AZ723">
            <v>0</v>
          </cell>
          <cell r="BA723">
            <v>0</v>
          </cell>
          <cell r="BB723">
            <v>0</v>
          </cell>
          <cell r="BC723">
            <v>0</v>
          </cell>
          <cell r="BD723">
            <v>0</v>
          </cell>
        </row>
        <row r="724">
          <cell r="A724" t="str">
            <v>sp 1235</v>
          </cell>
          <cell r="B724" t="str">
            <v>Cuộn hạt giống cải ngọt cọng xanh A1 Việt Nhật và Japan Việt Nhật (03SP)</v>
          </cell>
          <cell r="C724">
            <v>3.6799999999999997</v>
          </cell>
          <cell r="D724">
            <v>3</v>
          </cell>
          <cell r="E724" t="str">
            <v>PET 12x740</v>
          </cell>
          <cell r="F724">
            <v>3</v>
          </cell>
          <cell r="G724" t="str">
            <v>PET</v>
          </cell>
          <cell r="H724">
            <v>0.11</v>
          </cell>
          <cell r="I724">
            <v>1.9059999999999999</v>
          </cell>
          <cell r="J724">
            <v>0.34</v>
          </cell>
          <cell r="K724">
            <v>0</v>
          </cell>
          <cell r="L724">
            <v>0.4</v>
          </cell>
          <cell r="M724">
            <v>0.92400000000000004</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t="str">
            <v>MPET 12x740</v>
          </cell>
          <cell r="AF724" t="str">
            <v>PE 85x740</v>
          </cell>
          <cell r="AG724">
            <v>8.3046500000000009E-2</v>
          </cell>
          <cell r="AH724">
            <v>1.1193333333333333</v>
          </cell>
          <cell r="AI724">
            <v>1.1193333333333333</v>
          </cell>
          <cell r="AJ724">
            <v>9530</v>
          </cell>
          <cell r="AK724">
            <v>9530</v>
          </cell>
          <cell r="AL724" t="str">
            <v>0,0046(0,0023;0,0023)</v>
          </cell>
          <cell r="AM724" t="str">
            <v>dạng cuộn 700m</v>
          </cell>
          <cell r="AN724">
            <v>240</v>
          </cell>
          <cell r="AO724" t="str">
            <v>Công ty TNHH SX&amp;TM Việt Nhật</v>
          </cell>
          <cell r="AP724" t="str">
            <v>1908564-1</v>
          </cell>
          <cell r="AQ724" t="str">
            <v>1908564-2</v>
          </cell>
          <cell r="AR724" t="str">
            <v>1908564-3</v>
          </cell>
          <cell r="AS724" t="str">
            <v>1908564-4</v>
          </cell>
          <cell r="AT724" t="str">
            <v>1905368-5</v>
          </cell>
          <cell r="AU724">
            <v>0</v>
          </cell>
          <cell r="AV724">
            <v>0</v>
          </cell>
          <cell r="AW724">
            <v>0</v>
          </cell>
          <cell r="AX724">
            <v>0</v>
          </cell>
          <cell r="AY724" t="str">
            <v>510x800</v>
          </cell>
          <cell r="AZ724" t="str">
            <v>S3</v>
          </cell>
          <cell r="BA724">
            <v>0</v>
          </cell>
          <cell r="BB724">
            <v>0</v>
          </cell>
          <cell r="BC724">
            <v>0</v>
          </cell>
          <cell r="BD724">
            <v>0</v>
          </cell>
        </row>
        <row r="725">
          <cell r="A725" t="str">
            <v>sp 1236</v>
          </cell>
          <cell r="B725" t="str">
            <v>Túi thuốc trừ sâu Tasieu 5WG tôn ngộ không 88.8 loại 25.5gr Việt Thắng</v>
          </cell>
          <cell r="C725">
            <v>9.2200000000000006</v>
          </cell>
          <cell r="D725">
            <v>3</v>
          </cell>
          <cell r="E725" t="str">
            <v>PET 12x680</v>
          </cell>
          <cell r="F725">
            <v>7</v>
          </cell>
          <cell r="G725" t="str">
            <v>PET</v>
          </cell>
          <cell r="H725">
            <v>0.4</v>
          </cell>
          <cell r="I725">
            <v>3.79</v>
          </cell>
          <cell r="J725">
            <v>0.17</v>
          </cell>
          <cell r="K725">
            <v>0.51</v>
          </cell>
          <cell r="L725">
            <v>1.43</v>
          </cell>
          <cell r="M725">
            <v>2.1800000000000002</v>
          </cell>
          <cell r="N725">
            <v>0</v>
          </cell>
          <cell r="O725">
            <v>0</v>
          </cell>
          <cell r="P725">
            <v>0.51</v>
          </cell>
          <cell r="Q725">
            <v>0</v>
          </cell>
          <cell r="R725">
            <v>0.23</v>
          </cell>
          <cell r="S725">
            <v>0</v>
          </cell>
          <cell r="T725">
            <v>0</v>
          </cell>
          <cell r="U725">
            <v>0</v>
          </cell>
          <cell r="V725">
            <v>0</v>
          </cell>
          <cell r="W725">
            <v>0</v>
          </cell>
          <cell r="X725">
            <v>0</v>
          </cell>
          <cell r="Y725">
            <v>0</v>
          </cell>
          <cell r="Z725">
            <v>0</v>
          </cell>
          <cell r="AA725">
            <v>0</v>
          </cell>
          <cell r="AB725">
            <v>0</v>
          </cell>
          <cell r="AC725">
            <v>0</v>
          </cell>
          <cell r="AD725">
            <v>0</v>
          </cell>
          <cell r="AE725" t="str">
            <v>Al 6x680</v>
          </cell>
          <cell r="AF725" t="str">
            <v>PE 95x690</v>
          </cell>
          <cell r="AG725">
            <v>8.2235800000000012E-2</v>
          </cell>
          <cell r="AH725">
            <v>1.0426666666666666</v>
          </cell>
          <cell r="AI725">
            <v>1.36</v>
          </cell>
          <cell r="AJ725">
            <v>9530</v>
          </cell>
          <cell r="AK725">
            <v>9530</v>
          </cell>
          <cell r="AL725" t="str">
            <v>0,0053(0,0023;0,003)</v>
          </cell>
          <cell r="AM725" t="str">
            <v>túi ba biên</v>
          </cell>
          <cell r="AN725">
            <v>160</v>
          </cell>
          <cell r="AO725" t="str">
            <v>Công ty Việt Thắng</v>
          </cell>
          <cell r="AP725" t="str">
            <v>X109473-1</v>
          </cell>
          <cell r="AQ725" t="str">
            <v>X109473-2</v>
          </cell>
          <cell r="AR725" t="str">
            <v>X109473-3</v>
          </cell>
          <cell r="AS725" t="str">
            <v>X109473-4</v>
          </cell>
          <cell r="AT725" t="str">
            <v>X109473-5</v>
          </cell>
          <cell r="AU725" t="str">
            <v>X109473-6</v>
          </cell>
          <cell r="AV725" t="str">
            <v>X109473-7</v>
          </cell>
          <cell r="AW725">
            <v>0</v>
          </cell>
          <cell r="AX725">
            <v>0</v>
          </cell>
          <cell r="AY725" t="str">
            <v>480x870</v>
          </cell>
          <cell r="AZ725" t="str">
            <v>D4</v>
          </cell>
          <cell r="BA725">
            <v>0</v>
          </cell>
          <cell r="BB725">
            <v>0</v>
          </cell>
          <cell r="BC725">
            <v>0</v>
          </cell>
          <cell r="BD725">
            <v>0</v>
          </cell>
        </row>
        <row r="726">
          <cell r="A726" t="str">
            <v>sp 1237</v>
          </cell>
          <cell r="B726" t="str">
            <v>Túi khăn hạ sốt Dr.papie không mã vạch -Starmed</v>
          </cell>
          <cell r="C726">
            <v>5.2799999999999994</v>
          </cell>
          <cell r="D726">
            <v>4</v>
          </cell>
          <cell r="E726" t="str">
            <v>OPP mờ 20x800</v>
          </cell>
          <cell r="F726">
            <v>4</v>
          </cell>
          <cell r="G726" t="str">
            <v>OPP</v>
          </cell>
          <cell r="H726">
            <v>0.32</v>
          </cell>
          <cell r="I726">
            <v>4.09</v>
          </cell>
          <cell r="J726">
            <v>0</v>
          </cell>
          <cell r="K726">
            <v>0</v>
          </cell>
          <cell r="L726">
            <v>0.43</v>
          </cell>
          <cell r="M726">
            <v>0</v>
          </cell>
          <cell r="N726">
            <v>0</v>
          </cell>
          <cell r="O726">
            <v>0</v>
          </cell>
          <cell r="P726">
            <v>0.43</v>
          </cell>
          <cell r="Q726">
            <v>0</v>
          </cell>
          <cell r="R726">
            <v>0.01</v>
          </cell>
          <cell r="S726">
            <v>0</v>
          </cell>
          <cell r="T726">
            <v>0</v>
          </cell>
          <cell r="U726">
            <v>0</v>
          </cell>
          <cell r="V726">
            <v>0</v>
          </cell>
          <cell r="W726">
            <v>0</v>
          </cell>
          <cell r="X726">
            <v>0</v>
          </cell>
          <cell r="Y726">
            <v>0</v>
          </cell>
          <cell r="Z726">
            <v>0</v>
          </cell>
          <cell r="AA726">
            <v>0</v>
          </cell>
          <cell r="AB726">
            <v>0</v>
          </cell>
          <cell r="AC726">
            <v>0</v>
          </cell>
          <cell r="AD726">
            <v>0</v>
          </cell>
          <cell r="AE726" t="str">
            <v>Al 6x800</v>
          </cell>
          <cell r="AF726" t="str">
            <v>PE 75x810</v>
          </cell>
          <cell r="AG726">
            <v>8.2428000000000001E-2</v>
          </cell>
          <cell r="AH726">
            <v>1.2113333333333334</v>
          </cell>
          <cell r="AI726">
            <v>1.2113333333333334</v>
          </cell>
          <cell r="AJ726">
            <v>9530</v>
          </cell>
          <cell r="AK726">
            <v>9530</v>
          </cell>
          <cell r="AL726" t="str">
            <v>0,0046(0,0023;0,0023)</v>
          </cell>
          <cell r="AM726" t="str">
            <v>túi hàn lưng</v>
          </cell>
          <cell r="AN726">
            <v>146</v>
          </cell>
          <cell r="AO726" t="str">
            <v>Công ty CP Tập Đoàn Dược phẩm Starmed</v>
          </cell>
          <cell r="AP726" t="e">
            <v>#N/A</v>
          </cell>
          <cell r="AQ726" t="e">
            <v>#N/A</v>
          </cell>
          <cell r="AR726" t="e">
            <v>#N/A</v>
          </cell>
          <cell r="AS726" t="e">
            <v>#N/A</v>
          </cell>
          <cell r="AT726" t="e">
            <v>#N/A</v>
          </cell>
          <cell r="AU726" t="e">
            <v>#N/A</v>
          </cell>
          <cell r="AV726" t="e">
            <v>#N/A</v>
          </cell>
          <cell r="AW726" t="e">
            <v>#N/A</v>
          </cell>
          <cell r="AX726" t="e">
            <v>#N/A</v>
          </cell>
          <cell r="AY726" t="e">
            <v>#N/A</v>
          </cell>
          <cell r="AZ726" t="e">
            <v>#N/A</v>
          </cell>
          <cell r="BA726">
            <v>0</v>
          </cell>
          <cell r="BB726">
            <v>0</v>
          </cell>
          <cell r="BC726">
            <v>0</v>
          </cell>
          <cell r="BD726" t="e">
            <v>#N/A</v>
          </cell>
        </row>
        <row r="727">
          <cell r="A727" t="str">
            <v>sp 1238</v>
          </cell>
          <cell r="B727" t="str">
            <v>Túi trà lụa ấm nghiêng TC&amp;ĐS 200g loại 24</v>
          </cell>
          <cell r="C727">
            <v>9.27</v>
          </cell>
          <cell r="D727">
            <v>2</v>
          </cell>
          <cell r="E727" t="str">
            <v>OPP mờ 20x620</v>
          </cell>
          <cell r="F727">
            <v>7</v>
          </cell>
          <cell r="G727" t="str">
            <v>OPP</v>
          </cell>
          <cell r="H727">
            <v>0</v>
          </cell>
          <cell r="I727">
            <v>3.87</v>
          </cell>
          <cell r="J727">
            <v>0.55000000000000004</v>
          </cell>
          <cell r="K727">
            <v>0.01</v>
          </cell>
          <cell r="L727">
            <v>3.18</v>
          </cell>
          <cell r="M727">
            <v>0.83</v>
          </cell>
          <cell r="N727">
            <v>0</v>
          </cell>
          <cell r="O727">
            <v>0.83</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t="str">
            <v>MPET 12x620</v>
          </cell>
          <cell r="AF727" t="str">
            <v>PE 70x620</v>
          </cell>
          <cell r="AG727">
            <v>6.1845000000000011E-2</v>
          </cell>
          <cell r="AH727">
            <v>0.93533333333333324</v>
          </cell>
          <cell r="AI727">
            <v>1.22</v>
          </cell>
          <cell r="AJ727">
            <v>9530</v>
          </cell>
          <cell r="AK727">
            <v>9530</v>
          </cell>
          <cell r="AL727" t="str">
            <v>0,0053(0,0023;0,003)</v>
          </cell>
          <cell r="AM727" t="str">
            <v>túi hàn lưng xếp hông</v>
          </cell>
          <cell r="AN727">
            <v>340</v>
          </cell>
          <cell r="AO727" t="str">
            <v>Bùi Văn Sỹ</v>
          </cell>
          <cell r="AP727">
            <v>0</v>
          </cell>
          <cell r="AQ727">
            <v>0</v>
          </cell>
          <cell r="AR727">
            <v>0</v>
          </cell>
          <cell r="AS727">
            <v>0</v>
          </cell>
          <cell r="AT727">
            <v>0</v>
          </cell>
          <cell r="AU727">
            <v>0</v>
          </cell>
          <cell r="AV727">
            <v>0</v>
          </cell>
          <cell r="AW727">
            <v>0</v>
          </cell>
          <cell r="AX727">
            <v>0</v>
          </cell>
          <cell r="AY727">
            <v>0</v>
          </cell>
          <cell r="AZ727" t="str">
            <v>H1</v>
          </cell>
          <cell r="BA727">
            <v>0</v>
          </cell>
          <cell r="BB727">
            <v>0</v>
          </cell>
          <cell r="BC727">
            <v>0</v>
          </cell>
          <cell r="BD727">
            <v>0</v>
          </cell>
        </row>
        <row r="728">
          <cell r="A728" t="str">
            <v>sp 1239</v>
          </cell>
          <cell r="B728" t="str">
            <v>Túi trà lụa ấm nghiêng TC&amp;ĐS 500g loại 24</v>
          </cell>
          <cell r="C728">
            <v>10.52</v>
          </cell>
          <cell r="D728">
            <v>2</v>
          </cell>
          <cell r="E728" t="str">
            <v>OPP mờ 20x760</v>
          </cell>
          <cell r="F728">
            <v>7</v>
          </cell>
          <cell r="G728" t="str">
            <v>OPP</v>
          </cell>
          <cell r="H728">
            <v>0.11</v>
          </cell>
          <cell r="I728">
            <v>3.79</v>
          </cell>
          <cell r="J728">
            <v>1.78</v>
          </cell>
          <cell r="K728">
            <v>0.55000000000000004</v>
          </cell>
          <cell r="L728">
            <v>2.11</v>
          </cell>
          <cell r="M728">
            <v>2.0699999999999998</v>
          </cell>
          <cell r="N728">
            <v>0</v>
          </cell>
          <cell r="O728">
            <v>0.11</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t="str">
            <v>MPET 12x760</v>
          </cell>
          <cell r="AF728" t="str">
            <v>PE 70x760</v>
          </cell>
          <cell r="AG728">
            <v>7.5810000000000016E-2</v>
          </cell>
          <cell r="AH728">
            <v>1.1499999999999999</v>
          </cell>
          <cell r="AI728">
            <v>1.5</v>
          </cell>
          <cell r="AJ728">
            <v>9530</v>
          </cell>
          <cell r="AK728">
            <v>9530</v>
          </cell>
          <cell r="AL728" t="str">
            <v>0,0053(0,0023;0,003)</v>
          </cell>
          <cell r="AM728" t="str">
            <v>túi hàn lưng xếp hông</v>
          </cell>
          <cell r="AN728">
            <v>420</v>
          </cell>
          <cell r="AO728" t="str">
            <v>Bùi Văn Sỹ</v>
          </cell>
          <cell r="AP728">
            <v>0</v>
          </cell>
          <cell r="AQ728">
            <v>0</v>
          </cell>
          <cell r="AR728">
            <v>0</v>
          </cell>
          <cell r="AS728">
            <v>0</v>
          </cell>
          <cell r="AT728">
            <v>0</v>
          </cell>
          <cell r="AU728">
            <v>0</v>
          </cell>
          <cell r="AV728">
            <v>0</v>
          </cell>
          <cell r="AW728">
            <v>0</v>
          </cell>
          <cell r="AX728">
            <v>0</v>
          </cell>
          <cell r="AY728">
            <v>0</v>
          </cell>
          <cell r="AZ728" t="str">
            <v>H1</v>
          </cell>
          <cell r="BA728">
            <v>0</v>
          </cell>
          <cell r="BB728">
            <v>0</v>
          </cell>
          <cell r="BC728">
            <v>0</v>
          </cell>
          <cell r="BD728">
            <v>0</v>
          </cell>
        </row>
        <row r="729">
          <cell r="A729" t="str">
            <v>sp 1240</v>
          </cell>
          <cell r="B729" t="str">
            <v>Túi trà bóng cao cấp tân cương 100gr loại 25</v>
          </cell>
          <cell r="C729">
            <v>13.348000000000001</v>
          </cell>
          <cell r="D729">
            <v>3</v>
          </cell>
          <cell r="E729" t="str">
            <v>PET 12x740</v>
          </cell>
          <cell r="F729">
            <v>7</v>
          </cell>
          <cell r="G729" t="str">
            <v>PET</v>
          </cell>
          <cell r="H729">
            <v>0.01</v>
          </cell>
          <cell r="I729">
            <v>9.6720000000000006</v>
          </cell>
          <cell r="J729">
            <v>1.4970000000000001</v>
          </cell>
          <cell r="K729">
            <v>0</v>
          </cell>
          <cell r="L729">
            <v>1.7270000000000001</v>
          </cell>
          <cell r="M729">
            <v>0.442</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t="str">
            <v>MPET 12x740</v>
          </cell>
          <cell r="AF729" t="str">
            <v>PE 75x740</v>
          </cell>
          <cell r="AG729">
            <v>7.6201500000000005E-2</v>
          </cell>
          <cell r="AH729">
            <v>1.1193333333333333</v>
          </cell>
          <cell r="AI729">
            <v>1.46</v>
          </cell>
          <cell r="AJ729">
            <v>9530</v>
          </cell>
          <cell r="AK729">
            <v>9530</v>
          </cell>
          <cell r="AL729" t="str">
            <v>0,0053(0,0023;0,003)</v>
          </cell>
          <cell r="AM729" t="str">
            <v>túi hàn lưng xếp hông</v>
          </cell>
          <cell r="AN729">
            <v>270</v>
          </cell>
          <cell r="AO729" t="str">
            <v>Bùi Văn Sỹ</v>
          </cell>
          <cell r="AP729" t="str">
            <v>HD32008017-1</v>
          </cell>
          <cell r="AQ729" t="str">
            <v>HD32008017-2</v>
          </cell>
          <cell r="AR729" t="str">
            <v>HD32008017-3</v>
          </cell>
          <cell r="AS729" t="str">
            <v>HD32008017-4</v>
          </cell>
          <cell r="AT729" t="str">
            <v>HD32008017-5</v>
          </cell>
          <cell r="AU729" t="str">
            <v>HD32008017-6</v>
          </cell>
          <cell r="AV729" t="str">
            <v>HD32008017-7</v>
          </cell>
          <cell r="AW729">
            <v>0</v>
          </cell>
          <cell r="AX729">
            <v>0</v>
          </cell>
          <cell r="AY729" t="str">
            <v>540x870</v>
          </cell>
          <cell r="AZ729" t="str">
            <v>H1</v>
          </cell>
          <cell r="BA729">
            <v>0</v>
          </cell>
          <cell r="BB729">
            <v>0</v>
          </cell>
          <cell r="BC729">
            <v>0</v>
          </cell>
          <cell r="BD729">
            <v>0</v>
          </cell>
        </row>
        <row r="730">
          <cell r="A730" t="str">
            <v>sp 1241</v>
          </cell>
          <cell r="B730" t="str">
            <v>Túi trà bóng cao cấp đặc sản 100gr loại 25</v>
          </cell>
          <cell r="C730">
            <v>10.212</v>
          </cell>
          <cell r="D730">
            <v>3</v>
          </cell>
          <cell r="E730" t="str">
            <v>PET 12x740</v>
          </cell>
          <cell r="F730">
            <v>7</v>
          </cell>
          <cell r="G730" t="str">
            <v>PET</v>
          </cell>
          <cell r="H730">
            <v>0.58099999999999996</v>
          </cell>
          <cell r="I730">
            <v>6.26</v>
          </cell>
          <cell r="J730">
            <v>0.46500000000000002</v>
          </cell>
          <cell r="K730">
            <v>0.46500000000000002</v>
          </cell>
          <cell r="L730">
            <v>1.976</v>
          </cell>
          <cell r="M730">
            <v>0</v>
          </cell>
          <cell r="N730">
            <v>0</v>
          </cell>
          <cell r="O730">
            <v>0</v>
          </cell>
          <cell r="P730">
            <v>0.46500000000000002</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t="str">
            <v>MPET 12x740</v>
          </cell>
          <cell r="AF730" t="str">
            <v>PE 75x740</v>
          </cell>
          <cell r="AG730">
            <v>7.6201500000000005E-2</v>
          </cell>
          <cell r="AH730">
            <v>1.1193333333333333</v>
          </cell>
          <cell r="AI730">
            <v>1.46</v>
          </cell>
          <cell r="AJ730">
            <v>9530</v>
          </cell>
          <cell r="AK730">
            <v>9530</v>
          </cell>
          <cell r="AL730" t="str">
            <v>0,0053(0,0023;0,003)</v>
          </cell>
          <cell r="AM730" t="str">
            <v>túi hàn lưng xếp hông</v>
          </cell>
          <cell r="AN730">
            <v>270</v>
          </cell>
          <cell r="AO730" t="str">
            <v>Bùi Văn Sỹ</v>
          </cell>
          <cell r="AP730" t="str">
            <v>HD32008017-1</v>
          </cell>
          <cell r="AQ730" t="str">
            <v>HD32008017-2</v>
          </cell>
          <cell r="AR730" t="str">
            <v>HD32008017J1-1</v>
          </cell>
          <cell r="AS730" t="str">
            <v>HD32008017-4</v>
          </cell>
          <cell r="AT730" t="str">
            <v>HD32008017-5</v>
          </cell>
          <cell r="AU730" t="str">
            <v>HD32008017-6</v>
          </cell>
          <cell r="AV730" t="str">
            <v>HD32008017-7</v>
          </cell>
          <cell r="AW730">
            <v>0</v>
          </cell>
          <cell r="AX730">
            <v>0</v>
          </cell>
          <cell r="AY730" t="str">
            <v>540x870</v>
          </cell>
          <cell r="AZ730" t="str">
            <v>H1</v>
          </cell>
          <cell r="BA730">
            <v>0</v>
          </cell>
          <cell r="BB730">
            <v>0</v>
          </cell>
          <cell r="BC730">
            <v>0</v>
          </cell>
          <cell r="BD730" t="str">
            <v>Chạy chung sản phẩm 1240</v>
          </cell>
        </row>
        <row r="731">
          <cell r="A731" t="str">
            <v>sp 1242</v>
          </cell>
          <cell r="B731" t="str">
            <v>Túi nhôm evita 3 vỉ x 10 viên nang mềm Traphaco</v>
          </cell>
          <cell r="C731">
            <v>1.26</v>
          </cell>
          <cell r="D731">
            <v>3</v>
          </cell>
          <cell r="E731" t="str">
            <v>PET 12x680</v>
          </cell>
          <cell r="F731">
            <v>2</v>
          </cell>
          <cell r="G731" t="str">
            <v>PET</v>
          </cell>
          <cell r="H731">
            <v>0</v>
          </cell>
          <cell r="I731">
            <v>0</v>
          </cell>
          <cell r="J731">
            <v>0.25</v>
          </cell>
          <cell r="K731">
            <v>0.25</v>
          </cell>
          <cell r="L731">
            <v>0.25</v>
          </cell>
          <cell r="M731">
            <v>0</v>
          </cell>
          <cell r="N731">
            <v>0</v>
          </cell>
          <cell r="O731">
            <v>0.5</v>
          </cell>
          <cell r="P731">
            <v>0</v>
          </cell>
          <cell r="Q731">
            <v>0</v>
          </cell>
          <cell r="R731">
            <v>0.01</v>
          </cell>
          <cell r="S731">
            <v>0</v>
          </cell>
          <cell r="T731">
            <v>0</v>
          </cell>
          <cell r="U731">
            <v>0</v>
          </cell>
          <cell r="V731">
            <v>0</v>
          </cell>
          <cell r="W731">
            <v>0</v>
          </cell>
          <cell r="X731">
            <v>0</v>
          </cell>
          <cell r="Y731">
            <v>0</v>
          </cell>
          <cell r="Z731">
            <v>0</v>
          </cell>
          <cell r="AA731">
            <v>0</v>
          </cell>
          <cell r="AB731">
            <v>0</v>
          </cell>
          <cell r="AC731">
            <v>0</v>
          </cell>
          <cell r="AD731">
            <v>0</v>
          </cell>
          <cell r="AE731" t="str">
            <v>Al 6x680</v>
          </cell>
          <cell r="AF731" t="str">
            <v>PE 65x690</v>
          </cell>
          <cell r="AG731">
            <v>5.2536800000000002E-2</v>
          </cell>
          <cell r="AH731">
            <v>1.1166666666666667</v>
          </cell>
          <cell r="AI731">
            <v>1.1166666666666667</v>
          </cell>
          <cell r="AJ731">
            <v>9530</v>
          </cell>
          <cell r="AK731">
            <v>9530</v>
          </cell>
          <cell r="AL731" t="str">
            <v>0,005(0,0025;0,0025)</v>
          </cell>
          <cell r="AM731" t="str">
            <v>túi hàn lưng xếp hông</v>
          </cell>
          <cell r="AN731">
            <v>180</v>
          </cell>
          <cell r="AO731" t="str">
            <v>Công ty Cổ Phần Traphaco</v>
          </cell>
          <cell r="AP731" t="str">
            <v>20080566-1</v>
          </cell>
          <cell r="AQ731" t="str">
            <v>20080566-2</v>
          </cell>
          <cell r="AR731">
            <v>0</v>
          </cell>
          <cell r="AS731">
            <v>0</v>
          </cell>
          <cell r="AT731">
            <v>0</v>
          </cell>
          <cell r="AU731">
            <v>0</v>
          </cell>
          <cell r="AV731">
            <v>0</v>
          </cell>
          <cell r="AW731">
            <v>0</v>
          </cell>
          <cell r="AX731">
            <v>0</v>
          </cell>
          <cell r="AY731" t="str">
            <v>540x870</v>
          </cell>
          <cell r="AZ731" t="str">
            <v>S3</v>
          </cell>
          <cell r="BA731">
            <v>0</v>
          </cell>
          <cell r="BB731">
            <v>0</v>
          </cell>
          <cell r="BC731">
            <v>0</v>
          </cell>
          <cell r="BD731">
            <v>0</v>
          </cell>
        </row>
        <row r="732">
          <cell r="A732" t="str">
            <v>sp 1243</v>
          </cell>
          <cell r="B732" t="str">
            <v>Túi hạt giống đậu bắp xanh Việt nhật Japan và xà lách cuộn đăm Việt Nhật</v>
          </cell>
          <cell r="C732">
            <v>8.4600000000000009</v>
          </cell>
          <cell r="D732">
            <v>3</v>
          </cell>
          <cell r="E732" t="str">
            <v>OPP 30x740</v>
          </cell>
          <cell r="F732">
            <v>7</v>
          </cell>
          <cell r="G732" t="str">
            <v>OPP</v>
          </cell>
          <cell r="H732">
            <v>0.01</v>
          </cell>
          <cell r="I732">
            <v>4.0149999999999997</v>
          </cell>
          <cell r="J732">
            <v>0.54</v>
          </cell>
          <cell r="K732">
            <v>0.19</v>
          </cell>
          <cell r="L732">
            <v>2.085</v>
          </cell>
          <cell r="M732">
            <v>0.69499999999999995</v>
          </cell>
          <cell r="N732">
            <v>0</v>
          </cell>
          <cell r="O732">
            <v>0.27</v>
          </cell>
          <cell r="P732">
            <v>0.42499999999999999</v>
          </cell>
          <cell r="Q732">
            <v>0.23</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t="str">
            <v>MPET 12x740</v>
          </cell>
          <cell r="AF732" t="str">
            <v>PE 75x740</v>
          </cell>
          <cell r="AG732">
            <v>8.3971500000000004E-2</v>
          </cell>
          <cell r="AH732">
            <v>1.1193333333333333</v>
          </cell>
          <cell r="AI732">
            <v>1.1193333333333333</v>
          </cell>
          <cell r="AJ732">
            <v>9530</v>
          </cell>
          <cell r="AK732">
            <v>9530</v>
          </cell>
          <cell r="AL732" t="str">
            <v>0,0046(0,0023;0,0023)</v>
          </cell>
          <cell r="AM732" t="str">
            <v>túi ba biên</v>
          </cell>
          <cell r="AN732">
            <v>180</v>
          </cell>
          <cell r="AO732" t="str">
            <v>Công ty TNHH SX&amp;TM Việt Nhật</v>
          </cell>
          <cell r="AP732" t="e">
            <v>#N/A</v>
          </cell>
          <cell r="AQ732" t="e">
            <v>#N/A</v>
          </cell>
          <cell r="AR732" t="e">
            <v>#N/A</v>
          </cell>
          <cell r="AS732" t="e">
            <v>#N/A</v>
          </cell>
          <cell r="AT732" t="e">
            <v>#N/A</v>
          </cell>
          <cell r="AU732" t="e">
            <v>#N/A</v>
          </cell>
          <cell r="AV732" t="e">
            <v>#N/A</v>
          </cell>
          <cell r="AW732" t="e">
            <v>#N/A</v>
          </cell>
          <cell r="AX732" t="e">
            <v>#N/A</v>
          </cell>
          <cell r="AY732" t="e">
            <v>#N/A</v>
          </cell>
          <cell r="AZ732" t="e">
            <v>#N/A</v>
          </cell>
          <cell r="BA732">
            <v>0</v>
          </cell>
          <cell r="BB732">
            <v>0</v>
          </cell>
          <cell r="BC732">
            <v>0</v>
          </cell>
          <cell r="BD732">
            <v>0</v>
          </cell>
        </row>
        <row r="733">
          <cell r="A733" t="str">
            <v>sp 1244</v>
          </cell>
          <cell r="B733" t="str">
            <v>Cuộn bánh coffee baraka xuất khẩu  45gr KT 215x138mm</v>
          </cell>
          <cell r="C733">
            <v>5.1480000000000006</v>
          </cell>
          <cell r="D733">
            <v>4</v>
          </cell>
          <cell r="E733" t="str">
            <v>OPP 30x880</v>
          </cell>
          <cell r="F733">
            <v>8</v>
          </cell>
          <cell r="G733" t="str">
            <v>OPP</v>
          </cell>
          <cell r="H733">
            <v>0.11899999999999999</v>
          </cell>
          <cell r="I733">
            <v>2.54</v>
          </cell>
          <cell r="J733">
            <v>5.8999999999999997E-2</v>
          </cell>
          <cell r="K733">
            <v>0.17799999999999999</v>
          </cell>
          <cell r="L733">
            <v>0.88900000000000001</v>
          </cell>
          <cell r="M733">
            <v>0</v>
          </cell>
          <cell r="N733">
            <v>0.47399999999999998</v>
          </cell>
          <cell r="O733">
            <v>5.8999999999999997E-2</v>
          </cell>
          <cell r="P733">
            <v>0</v>
          </cell>
          <cell r="Q733">
            <v>0</v>
          </cell>
          <cell r="R733">
            <v>0</v>
          </cell>
          <cell r="S733">
            <v>0</v>
          </cell>
          <cell r="T733">
            <v>0.83</v>
          </cell>
          <cell r="U733">
            <v>0</v>
          </cell>
          <cell r="V733">
            <v>0</v>
          </cell>
          <cell r="W733">
            <v>0</v>
          </cell>
          <cell r="X733">
            <v>0</v>
          </cell>
          <cell r="Y733">
            <v>0</v>
          </cell>
          <cell r="Z733">
            <v>0</v>
          </cell>
          <cell r="AA733">
            <v>0</v>
          </cell>
          <cell r="AB733">
            <v>0</v>
          </cell>
          <cell r="AC733">
            <v>0</v>
          </cell>
          <cell r="AD733">
            <v>0</v>
          </cell>
          <cell r="AE733" t="str">
            <v>MCPP 35x880</v>
          </cell>
          <cell r="AF733">
            <v>0</v>
          </cell>
          <cell r="AG733">
            <v>5.2052000000000008E-2</v>
          </cell>
          <cell r="AH733">
            <v>1.3339999999999999</v>
          </cell>
          <cell r="AI733">
            <v>0</v>
          </cell>
          <cell r="AJ733">
            <v>9530</v>
          </cell>
          <cell r="AK733">
            <v>0</v>
          </cell>
          <cell r="AL733">
            <v>2.3E-3</v>
          </cell>
          <cell r="AM733" t="str">
            <v>dạng cuộn 1,000m</v>
          </cell>
          <cell r="AN733">
            <v>215</v>
          </cell>
          <cell r="AO733" t="str">
            <v>Công ty Libra</v>
          </cell>
          <cell r="AP733" t="str">
            <v>F126665-1</v>
          </cell>
          <cell r="AQ733" t="str">
            <v>F126665-2</v>
          </cell>
          <cell r="AR733" t="str">
            <v>F126665-3</v>
          </cell>
          <cell r="AS733" t="str">
            <v>F126665-4</v>
          </cell>
          <cell r="AT733" t="str">
            <v>F126665-5</v>
          </cell>
          <cell r="AU733" t="str">
            <v>F126665-6</v>
          </cell>
          <cell r="AV733" t="str">
            <v>F126665-7</v>
          </cell>
          <cell r="AW733" t="str">
            <v>F126665-8</v>
          </cell>
          <cell r="AX733">
            <v>0</v>
          </cell>
          <cell r="AY733" t="str">
            <v>552x1100</v>
          </cell>
          <cell r="AZ733" t="str">
            <v>S3</v>
          </cell>
          <cell r="BA733">
            <v>0</v>
          </cell>
          <cell r="BB733">
            <v>0</v>
          </cell>
          <cell r="BC733">
            <v>0</v>
          </cell>
          <cell r="BD733">
            <v>0</v>
          </cell>
        </row>
        <row r="734">
          <cell r="A734" t="str">
            <v>sp 1245</v>
          </cell>
          <cell r="B734" t="str">
            <v>Cuộn bánh coffee baraka nội địa 45gr KT 215x138mm</v>
          </cell>
          <cell r="C734">
            <v>9.956999999999999</v>
          </cell>
          <cell r="D734">
            <v>4</v>
          </cell>
          <cell r="E734" t="str">
            <v>OPP 30x880</v>
          </cell>
          <cell r="F734">
            <v>8</v>
          </cell>
          <cell r="G734" t="str">
            <v>OPP</v>
          </cell>
          <cell r="H734">
            <v>0.81699999999999995</v>
          </cell>
          <cell r="I734">
            <v>5.0369999999999999</v>
          </cell>
          <cell r="J734">
            <v>0.13600000000000001</v>
          </cell>
          <cell r="K734">
            <v>0.27200000000000002</v>
          </cell>
          <cell r="L734">
            <v>0.81699999999999995</v>
          </cell>
          <cell r="M734">
            <v>2.4500000000000002</v>
          </cell>
          <cell r="N734">
            <v>0.13600000000000001</v>
          </cell>
          <cell r="O734">
            <v>0.01</v>
          </cell>
          <cell r="P734">
            <v>0</v>
          </cell>
          <cell r="Q734">
            <v>0.27200000000000002</v>
          </cell>
          <cell r="R734">
            <v>0</v>
          </cell>
          <cell r="S734">
            <v>0</v>
          </cell>
          <cell r="T734">
            <v>0.01</v>
          </cell>
          <cell r="U734">
            <v>0</v>
          </cell>
          <cell r="V734">
            <v>0</v>
          </cell>
          <cell r="W734">
            <v>0</v>
          </cell>
          <cell r="X734">
            <v>0</v>
          </cell>
          <cell r="Y734">
            <v>0</v>
          </cell>
          <cell r="Z734">
            <v>0</v>
          </cell>
          <cell r="AA734">
            <v>0</v>
          </cell>
          <cell r="AB734">
            <v>0</v>
          </cell>
          <cell r="AC734">
            <v>0</v>
          </cell>
          <cell r="AD734">
            <v>0</v>
          </cell>
          <cell r="AE734" t="str">
            <v>MCPP 35x880</v>
          </cell>
          <cell r="AF734">
            <v>0</v>
          </cell>
          <cell r="AG734">
            <v>5.2052000000000008E-2</v>
          </cell>
          <cell r="AH734">
            <v>1.3339999999999999</v>
          </cell>
          <cell r="AI734">
            <v>0</v>
          </cell>
          <cell r="AJ734">
            <v>9530</v>
          </cell>
          <cell r="AK734">
            <v>0</v>
          </cell>
          <cell r="AL734">
            <v>2.3E-3</v>
          </cell>
          <cell r="AM734" t="str">
            <v>dạng cuộn 1,000m</v>
          </cell>
          <cell r="AN734">
            <v>215</v>
          </cell>
          <cell r="AO734" t="str">
            <v>Công ty Libra</v>
          </cell>
          <cell r="AP734" t="str">
            <v>F126666G2-1</v>
          </cell>
          <cell r="AQ734" t="str">
            <v>F126665-2</v>
          </cell>
          <cell r="AR734" t="str">
            <v>F126665-3</v>
          </cell>
          <cell r="AS734" t="str">
            <v>F126665-4</v>
          </cell>
          <cell r="AT734" t="str">
            <v>F126665-5</v>
          </cell>
          <cell r="AU734" t="str">
            <v>F126665-6</v>
          </cell>
          <cell r="AV734" t="str">
            <v>F126665-7</v>
          </cell>
          <cell r="AW734" t="str">
            <v>F126665-8</v>
          </cell>
          <cell r="AX734">
            <v>0</v>
          </cell>
          <cell r="AY734" t="str">
            <v>552x1100</v>
          </cell>
          <cell r="AZ734" t="str">
            <v>S3</v>
          </cell>
          <cell r="BA734">
            <v>0</v>
          </cell>
          <cell r="BB734">
            <v>0</v>
          </cell>
          <cell r="BC734">
            <v>0</v>
          </cell>
          <cell r="BD734" t="str">
            <v>Chạy chung sản phẩm 1244 trừ cây số 1</v>
          </cell>
        </row>
        <row r="735">
          <cell r="A735" t="str">
            <v>sp 1246</v>
          </cell>
          <cell r="B735" t="str">
            <v>Cuộn men rượu nếp hoa vàng Trung Tiến</v>
          </cell>
          <cell r="C735">
            <v>2.4679999999999995</v>
          </cell>
          <cell r="D735">
            <v>5</v>
          </cell>
          <cell r="E735" t="str">
            <v>OPP 20x910</v>
          </cell>
          <cell r="F735">
            <v>2</v>
          </cell>
          <cell r="G735" t="str">
            <v>OPP</v>
          </cell>
          <cell r="H735">
            <v>0.39100000000000001</v>
          </cell>
          <cell r="I735">
            <v>0.33500000000000002</v>
          </cell>
          <cell r="J735">
            <v>0</v>
          </cell>
          <cell r="K735">
            <v>0</v>
          </cell>
          <cell r="L735">
            <v>0.95</v>
          </cell>
          <cell r="M735">
            <v>0.44700000000000001</v>
          </cell>
          <cell r="N735">
            <v>0</v>
          </cell>
          <cell r="O735">
            <v>0</v>
          </cell>
          <cell r="P735">
            <v>0</v>
          </cell>
          <cell r="Q735">
            <v>0.01</v>
          </cell>
          <cell r="R735">
            <v>0</v>
          </cell>
          <cell r="S735">
            <v>0</v>
          </cell>
          <cell r="T735">
            <v>0.33500000000000002</v>
          </cell>
          <cell r="U735">
            <v>0</v>
          </cell>
          <cell r="V735">
            <v>0</v>
          </cell>
          <cell r="W735">
            <v>0</v>
          </cell>
          <cell r="X735">
            <v>0</v>
          </cell>
          <cell r="Y735">
            <v>0</v>
          </cell>
          <cell r="Z735">
            <v>0</v>
          </cell>
          <cell r="AA735">
            <v>0</v>
          </cell>
          <cell r="AB735">
            <v>0</v>
          </cell>
          <cell r="AC735">
            <v>0</v>
          </cell>
          <cell r="AD735">
            <v>0</v>
          </cell>
          <cell r="AE735" t="str">
            <v>PE sứ 25x910</v>
          </cell>
          <cell r="AF735">
            <v>0</v>
          </cell>
          <cell r="AG735">
            <v>3.7719500000000003E-2</v>
          </cell>
          <cell r="AH735">
            <v>1.2</v>
          </cell>
          <cell r="AI735">
            <v>0</v>
          </cell>
          <cell r="AJ735">
            <v>9530</v>
          </cell>
          <cell r="AK735">
            <v>0</v>
          </cell>
          <cell r="AL735">
            <v>2E-3</v>
          </cell>
          <cell r="AM735" t="str">
            <v>dạng cuộn 1,800m</v>
          </cell>
          <cell r="AN735">
            <v>178</v>
          </cell>
          <cell r="AO735" t="str">
            <v>Cơ sở men Trung Tiến</v>
          </cell>
          <cell r="AP735" t="str">
            <v>F126667-1</v>
          </cell>
          <cell r="AQ735" t="str">
            <v>F126667-2</v>
          </cell>
          <cell r="AR735">
            <v>0</v>
          </cell>
          <cell r="AS735">
            <v>0</v>
          </cell>
          <cell r="AT735">
            <v>0</v>
          </cell>
          <cell r="AU735">
            <v>0</v>
          </cell>
          <cell r="AV735">
            <v>0</v>
          </cell>
          <cell r="AW735">
            <v>0</v>
          </cell>
          <cell r="AX735">
            <v>0</v>
          </cell>
          <cell r="AY735" t="str">
            <v>465x1100</v>
          </cell>
          <cell r="AZ735" t="str">
            <v>S3</v>
          </cell>
          <cell r="BA735">
            <v>0</v>
          </cell>
          <cell r="BB735">
            <v>0</v>
          </cell>
          <cell r="BC735">
            <v>0</v>
          </cell>
          <cell r="BD735">
            <v>0</v>
          </cell>
        </row>
        <row r="736">
          <cell r="A736" t="str">
            <v>sp 1247</v>
          </cell>
          <cell r="B736" t="str">
            <v>Cuộn màng khẩu trang không in khổ 285 - Đại Dương Xanh</v>
          </cell>
          <cell r="C736">
            <v>0</v>
          </cell>
          <cell r="D736">
            <v>3</v>
          </cell>
          <cell r="E736" t="str">
            <v>OPP 20x920</v>
          </cell>
          <cell r="F736">
            <v>0</v>
          </cell>
          <cell r="G736" t="str">
            <v>OPP</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t="str">
            <v>PE sứ 35x920</v>
          </cell>
          <cell r="AF736">
            <v>0</v>
          </cell>
          <cell r="AG736">
            <v>4.6690000000000002E-2</v>
          </cell>
          <cell r="AH736">
            <v>1.2133333333333334</v>
          </cell>
          <cell r="AI736">
            <v>0</v>
          </cell>
          <cell r="AJ736">
            <v>9530</v>
          </cell>
          <cell r="AK736">
            <v>0</v>
          </cell>
          <cell r="AL736">
            <v>2E-3</v>
          </cell>
          <cell r="AM736" t="str">
            <v>dạng cuộn 1,000m</v>
          </cell>
          <cell r="AN736">
            <v>300</v>
          </cell>
          <cell r="AO736" t="str">
            <v>Công ty CP thiết bị y tế Đại Dương Xanh</v>
          </cell>
          <cell r="AP736" t="e">
            <v>#N/A</v>
          </cell>
          <cell r="AQ736" t="e">
            <v>#N/A</v>
          </cell>
          <cell r="AR736" t="e">
            <v>#N/A</v>
          </cell>
          <cell r="AS736" t="e">
            <v>#N/A</v>
          </cell>
          <cell r="AT736" t="e">
            <v>#N/A</v>
          </cell>
          <cell r="AU736" t="e">
            <v>#N/A</v>
          </cell>
          <cell r="AV736" t="e">
            <v>#N/A</v>
          </cell>
          <cell r="AW736" t="e">
            <v>#N/A</v>
          </cell>
          <cell r="AX736" t="e">
            <v>#N/A</v>
          </cell>
          <cell r="AY736" t="e">
            <v>#N/A</v>
          </cell>
          <cell r="AZ736" t="e">
            <v>#N/A</v>
          </cell>
          <cell r="BA736">
            <v>0</v>
          </cell>
          <cell r="BB736">
            <v>0</v>
          </cell>
          <cell r="BC736">
            <v>0</v>
          </cell>
          <cell r="BD736" t="e">
            <v>#N/A</v>
          </cell>
        </row>
        <row r="737">
          <cell r="A737" t="str">
            <v>sp 1248</v>
          </cell>
          <cell r="B737" t="str">
            <v>Túi nhôm không in KT 105x210x65mm TPP France</v>
          </cell>
          <cell r="C737">
            <v>0</v>
          </cell>
          <cell r="D737">
            <v>2</v>
          </cell>
          <cell r="E737" t="str">
            <v>PET 12x740</v>
          </cell>
          <cell r="F737">
            <v>0</v>
          </cell>
          <cell r="G737" t="str">
            <v>PET</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t="str">
            <v>Al 6 x 740</v>
          </cell>
          <cell r="AF737" t="str">
            <v>PE 70x740</v>
          </cell>
          <cell r="AG737">
            <v>7.237940000000001E-2</v>
          </cell>
          <cell r="AH737">
            <v>1.1193333333333333</v>
          </cell>
          <cell r="AI737">
            <v>1.1193333333333333</v>
          </cell>
          <cell r="AJ737">
            <v>9530</v>
          </cell>
          <cell r="AK737">
            <v>9530</v>
          </cell>
          <cell r="AL737" t="str">
            <v>0,0046(0,0023;0,0023)</v>
          </cell>
          <cell r="AM737" t="str">
            <v>túi hàn lưng xếp hông</v>
          </cell>
          <cell r="AN737">
            <v>210</v>
          </cell>
          <cell r="AO737" t="str">
            <v>Công ty CP Liên Doanh Dược Phẩm TPP France</v>
          </cell>
          <cell r="AP737" t="e">
            <v>#N/A</v>
          </cell>
          <cell r="AQ737" t="e">
            <v>#N/A</v>
          </cell>
          <cell r="AR737" t="e">
            <v>#N/A</v>
          </cell>
          <cell r="AS737" t="e">
            <v>#N/A</v>
          </cell>
          <cell r="AT737" t="e">
            <v>#N/A</v>
          </cell>
          <cell r="AU737" t="e">
            <v>#N/A</v>
          </cell>
          <cell r="AV737" t="e">
            <v>#N/A</v>
          </cell>
          <cell r="AW737" t="e">
            <v>#N/A</v>
          </cell>
          <cell r="AX737" t="e">
            <v>#N/A</v>
          </cell>
          <cell r="AY737" t="e">
            <v>#N/A</v>
          </cell>
          <cell r="AZ737" t="e">
            <v>#N/A</v>
          </cell>
          <cell r="BA737">
            <v>0</v>
          </cell>
          <cell r="BB737">
            <v>0</v>
          </cell>
          <cell r="BC737">
            <v>0</v>
          </cell>
          <cell r="BD737" t="e">
            <v>#N/A</v>
          </cell>
        </row>
        <row r="738">
          <cell r="A738" t="str">
            <v>sp 1249</v>
          </cell>
          <cell r="B738" t="str">
            <v>Cuộn thuốc thú y Bcomplex +K3+C 100gr Trường Hằng</v>
          </cell>
          <cell r="C738">
            <v>2.056</v>
          </cell>
          <cell r="D738">
            <v>3</v>
          </cell>
          <cell r="E738" t="str">
            <v>OPP 30x800</v>
          </cell>
          <cell r="F738">
            <v>2</v>
          </cell>
          <cell r="G738" t="str">
            <v>OPP</v>
          </cell>
          <cell r="H738">
            <v>0</v>
          </cell>
          <cell r="I738">
            <v>0</v>
          </cell>
          <cell r="J738">
            <v>0.432</v>
          </cell>
          <cell r="K738">
            <v>0</v>
          </cell>
          <cell r="L738">
            <v>0</v>
          </cell>
          <cell r="M738">
            <v>0.64800000000000002</v>
          </cell>
          <cell r="N738">
            <v>0</v>
          </cell>
          <cell r="O738">
            <v>0</v>
          </cell>
          <cell r="P738">
            <v>0.01</v>
          </cell>
          <cell r="Q738">
            <v>0.21</v>
          </cell>
          <cell r="R738">
            <v>0.75600000000000001</v>
          </cell>
          <cell r="S738">
            <v>0</v>
          </cell>
          <cell r="T738">
            <v>0</v>
          </cell>
          <cell r="U738">
            <v>0</v>
          </cell>
          <cell r="V738">
            <v>0</v>
          </cell>
          <cell r="W738">
            <v>0</v>
          </cell>
          <cell r="X738">
            <v>0</v>
          </cell>
          <cell r="Y738">
            <v>0</v>
          </cell>
          <cell r="Z738">
            <v>0</v>
          </cell>
          <cell r="AA738">
            <v>0</v>
          </cell>
          <cell r="AB738">
            <v>0</v>
          </cell>
          <cell r="AC738">
            <v>0</v>
          </cell>
          <cell r="AD738">
            <v>0</v>
          </cell>
          <cell r="AE738" t="str">
            <v>PE 35x800</v>
          </cell>
          <cell r="AF738">
            <v>0</v>
          </cell>
          <cell r="AG738">
            <v>4.7740000000000005E-2</v>
          </cell>
          <cell r="AH738">
            <v>1.2113333333333334</v>
          </cell>
          <cell r="AI738">
            <v>0</v>
          </cell>
          <cell r="AJ738">
            <v>9530</v>
          </cell>
          <cell r="AK738">
            <v>0</v>
          </cell>
          <cell r="AL738">
            <v>2.3E-3</v>
          </cell>
          <cell r="AM738" t="str">
            <v>dạng cuộn 1,000m</v>
          </cell>
          <cell r="AN738">
            <v>260</v>
          </cell>
          <cell r="AO738" t="str">
            <v>Công ty Trường Hằng</v>
          </cell>
          <cell r="AP738" t="str">
            <v>20080603-1</v>
          </cell>
          <cell r="AQ738" t="str">
            <v>20080603-2</v>
          </cell>
          <cell r="AR738">
            <v>0</v>
          </cell>
          <cell r="AS738">
            <v>0</v>
          </cell>
          <cell r="AT738">
            <v>0</v>
          </cell>
          <cell r="AU738">
            <v>0</v>
          </cell>
          <cell r="AV738">
            <v>0</v>
          </cell>
          <cell r="AW738">
            <v>0</v>
          </cell>
          <cell r="AX738">
            <v>0</v>
          </cell>
          <cell r="AY738" t="str">
            <v>510x870</v>
          </cell>
          <cell r="AZ738" t="str">
            <v>S3</v>
          </cell>
          <cell r="BA738">
            <v>0</v>
          </cell>
          <cell r="BB738">
            <v>0</v>
          </cell>
          <cell r="BC738">
            <v>0</v>
          </cell>
          <cell r="BD738">
            <v>0</v>
          </cell>
        </row>
        <row r="739">
          <cell r="A739" t="str">
            <v>sp 1250</v>
          </cell>
          <cell r="B739" t="str">
            <v>Cuộn hạt giống cải ngọt cọng xanh A1 Japan và cải bẹ vàng ngọt Hà Giang Japan (03SP)</v>
          </cell>
          <cell r="C739">
            <v>6.8419999999999987</v>
          </cell>
          <cell r="D739">
            <v>3</v>
          </cell>
          <cell r="E739" t="str">
            <v>PET 12x740</v>
          </cell>
          <cell r="F739">
            <v>3</v>
          </cell>
          <cell r="G739" t="str">
            <v>PET</v>
          </cell>
          <cell r="H739">
            <v>0.17399999999999999</v>
          </cell>
          <cell r="I739">
            <v>3.53</v>
          </cell>
          <cell r="J739">
            <v>0.11600000000000001</v>
          </cell>
          <cell r="K739">
            <v>0.01</v>
          </cell>
          <cell r="L739">
            <v>0.46400000000000002</v>
          </cell>
          <cell r="M739">
            <v>1.62</v>
          </cell>
          <cell r="N739">
            <v>0</v>
          </cell>
          <cell r="O739">
            <v>0.40600000000000003</v>
          </cell>
          <cell r="P739">
            <v>0.40600000000000003</v>
          </cell>
          <cell r="Q739">
            <v>0</v>
          </cell>
          <cell r="R739">
            <v>0.11600000000000001</v>
          </cell>
          <cell r="S739">
            <v>0</v>
          </cell>
          <cell r="T739">
            <v>0</v>
          </cell>
          <cell r="U739">
            <v>0</v>
          </cell>
          <cell r="V739">
            <v>0</v>
          </cell>
          <cell r="W739">
            <v>0</v>
          </cell>
          <cell r="X739">
            <v>0</v>
          </cell>
          <cell r="Y739">
            <v>0</v>
          </cell>
          <cell r="Z739">
            <v>0</v>
          </cell>
          <cell r="AA739">
            <v>0</v>
          </cell>
          <cell r="AB739">
            <v>0</v>
          </cell>
          <cell r="AC739">
            <v>0</v>
          </cell>
          <cell r="AD739">
            <v>0</v>
          </cell>
          <cell r="AE739" t="str">
            <v>MPET 12x740</v>
          </cell>
          <cell r="AF739" t="str">
            <v>PE 85x740</v>
          </cell>
          <cell r="AG739">
            <v>8.3046500000000009E-2</v>
          </cell>
          <cell r="AH739">
            <v>1.1193333333333333</v>
          </cell>
          <cell r="AI739">
            <v>1.46</v>
          </cell>
          <cell r="AJ739">
            <v>9530</v>
          </cell>
          <cell r="AK739">
            <v>9530</v>
          </cell>
          <cell r="AL739" t="str">
            <v>0,0046(0,0023;0,0023)</v>
          </cell>
          <cell r="AM739" t="str">
            <v>dạng cuộn 700m</v>
          </cell>
          <cell r="AN739">
            <v>240</v>
          </cell>
          <cell r="AO739" t="str">
            <v>Công ty TNHH SX&amp;TM Việt Nhật</v>
          </cell>
          <cell r="AP739" t="str">
            <v>20080652-1</v>
          </cell>
          <cell r="AQ739" t="str">
            <v>20080652-2</v>
          </cell>
          <cell r="AR739" t="str">
            <v>20080652-3</v>
          </cell>
          <cell r="AS739" t="str">
            <v>20080652-4</v>
          </cell>
          <cell r="AT739" t="str">
            <v>20080652-5</v>
          </cell>
          <cell r="AU739" t="str">
            <v>20080652-6</v>
          </cell>
          <cell r="AV739" t="str">
            <v>20080652-7</v>
          </cell>
          <cell r="AW739" t="str">
            <v>20080652-8</v>
          </cell>
          <cell r="AX739">
            <v>0</v>
          </cell>
          <cell r="AY739" t="str">
            <v>540x870</v>
          </cell>
          <cell r="AZ739" t="str">
            <v>S3</v>
          </cell>
          <cell r="BA739">
            <v>0</v>
          </cell>
          <cell r="BB739">
            <v>0</v>
          </cell>
          <cell r="BC739">
            <v>0</v>
          </cell>
          <cell r="BD739">
            <v>0</v>
          </cell>
        </row>
        <row r="740">
          <cell r="A740" t="str">
            <v>sp 1251</v>
          </cell>
          <cell r="B740" t="str">
            <v>Túi trà ấm cây TC loại đặc biệt 100gr loại 26</v>
          </cell>
          <cell r="C740">
            <v>5.2080000000000002</v>
          </cell>
          <cell r="D740">
            <v>3</v>
          </cell>
          <cell r="E740" t="str">
            <v>PET 12x740</v>
          </cell>
          <cell r="F740">
            <v>6</v>
          </cell>
          <cell r="G740" t="str">
            <v>PET</v>
          </cell>
          <cell r="H740">
            <v>0</v>
          </cell>
          <cell r="I740">
            <v>0.57899999999999996</v>
          </cell>
          <cell r="J740">
            <v>0.23200000000000001</v>
          </cell>
          <cell r="K740">
            <v>0.23200000000000001</v>
          </cell>
          <cell r="L740">
            <v>0.34699999999999998</v>
          </cell>
          <cell r="M740">
            <v>1.8520000000000001</v>
          </cell>
          <cell r="N740">
            <v>1.85</v>
          </cell>
          <cell r="O740">
            <v>0.11600000000000001</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t="str">
            <v>MPET 12x740</v>
          </cell>
          <cell r="AF740" t="str">
            <v>PE 75x740</v>
          </cell>
          <cell r="AG740">
            <v>7.6201500000000005E-2</v>
          </cell>
          <cell r="AH740">
            <v>1.1193333333333333</v>
          </cell>
          <cell r="AI740">
            <v>1.46</v>
          </cell>
          <cell r="AJ740">
            <v>9530</v>
          </cell>
          <cell r="AK740">
            <v>9530</v>
          </cell>
          <cell r="AL740" t="str">
            <v>0,0053(0,0023;0,003)</v>
          </cell>
          <cell r="AM740" t="str">
            <v>túi hàn lưng xếp hông</v>
          </cell>
          <cell r="AN740">
            <v>270</v>
          </cell>
          <cell r="AO740" t="str">
            <v>Bùi Văn Sỹ</v>
          </cell>
          <cell r="AP740" t="str">
            <v>20080653-1</v>
          </cell>
          <cell r="AQ740" t="str">
            <v>20080653-2</v>
          </cell>
          <cell r="AR740" t="str">
            <v>20080653-3</v>
          </cell>
          <cell r="AS740" t="str">
            <v>20080653-4</v>
          </cell>
          <cell r="AT740" t="str">
            <v>20080653-5</v>
          </cell>
          <cell r="AU740" t="str">
            <v>20080653-6</v>
          </cell>
          <cell r="AV740">
            <v>0</v>
          </cell>
          <cell r="AW740">
            <v>0</v>
          </cell>
          <cell r="AX740">
            <v>0</v>
          </cell>
          <cell r="AY740" t="str">
            <v>540x870</v>
          </cell>
          <cell r="AZ740" t="str">
            <v>H1</v>
          </cell>
          <cell r="BA740">
            <v>0</v>
          </cell>
          <cell r="BB740">
            <v>0</v>
          </cell>
          <cell r="BC740">
            <v>0</v>
          </cell>
          <cell r="BD740">
            <v>0</v>
          </cell>
        </row>
        <row r="741">
          <cell r="A741" t="str">
            <v>sp 1252</v>
          </cell>
          <cell r="B741" t="str">
            <v>Túi trà ấm cây đặc sản loại đặc biệt 100gr loại 26</v>
          </cell>
          <cell r="C741">
            <v>0</v>
          </cell>
          <cell r="D741">
            <v>3</v>
          </cell>
          <cell r="E741" t="str">
            <v>PET 12x740</v>
          </cell>
          <cell r="F741">
            <v>6</v>
          </cell>
          <cell r="G741" t="str">
            <v>PET</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t="str">
            <v>MPET 12x740</v>
          </cell>
          <cell r="AF741" t="str">
            <v>PE 75x740</v>
          </cell>
          <cell r="AG741">
            <v>7.6201500000000005E-2</v>
          </cell>
          <cell r="AH741">
            <v>1.1193333333333333</v>
          </cell>
          <cell r="AI741">
            <v>1.46</v>
          </cell>
          <cell r="AJ741">
            <v>9530</v>
          </cell>
          <cell r="AK741">
            <v>9530</v>
          </cell>
          <cell r="AL741" t="str">
            <v>0,0053(0,0023;0,003)</v>
          </cell>
          <cell r="AM741" t="str">
            <v>túi hàn lưng xếp hông</v>
          </cell>
          <cell r="AN741">
            <v>270</v>
          </cell>
          <cell r="AO741" t="str">
            <v>Bùi Văn Sỹ</v>
          </cell>
          <cell r="AP741" t="str">
            <v>20080654-1</v>
          </cell>
          <cell r="AQ741" t="str">
            <v>20080653-2</v>
          </cell>
          <cell r="AR741" t="str">
            <v>20080653-3</v>
          </cell>
          <cell r="AS741" t="str">
            <v>20080653-4</v>
          </cell>
          <cell r="AT741" t="str">
            <v>20080653-5</v>
          </cell>
          <cell r="AU741" t="str">
            <v>20080653-6</v>
          </cell>
          <cell r="AV741">
            <v>0</v>
          </cell>
          <cell r="AW741">
            <v>0</v>
          </cell>
          <cell r="AX741">
            <v>0</v>
          </cell>
          <cell r="AY741" t="str">
            <v>540x870</v>
          </cell>
          <cell r="AZ741" t="str">
            <v>H1</v>
          </cell>
          <cell r="BA741">
            <v>0</v>
          </cell>
          <cell r="BB741">
            <v>0</v>
          </cell>
          <cell r="BC741">
            <v>0</v>
          </cell>
          <cell r="BD741">
            <v>0</v>
          </cell>
        </row>
        <row r="742">
          <cell r="A742" t="str">
            <v>sp 1253</v>
          </cell>
          <cell r="B742" t="str">
            <v>Túi không in PE đựng nhân bánh KT 330x455mm Quảng Long</v>
          </cell>
          <cell r="C742">
            <v>0</v>
          </cell>
          <cell r="D742">
            <v>1</v>
          </cell>
          <cell r="E742" t="str">
            <v>PA 15x680</v>
          </cell>
          <cell r="F742">
            <v>0</v>
          </cell>
          <cell r="G742" t="str">
            <v xml:space="preserve">PA </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t="str">
            <v>PE 85x680</v>
          </cell>
          <cell r="AF742">
            <v>0</v>
          </cell>
          <cell r="AG742">
            <v>6.5195000000000017E-2</v>
          </cell>
          <cell r="AH742">
            <v>1.0273333333333332</v>
          </cell>
          <cell r="AI742">
            <v>0</v>
          </cell>
          <cell r="AJ742">
            <v>9530</v>
          </cell>
          <cell r="AK742">
            <v>0</v>
          </cell>
          <cell r="AL742">
            <v>2.3E-3</v>
          </cell>
          <cell r="AM742" t="str">
            <v>túi ba biên</v>
          </cell>
          <cell r="AN742">
            <v>455</v>
          </cell>
          <cell r="AO742" t="str">
            <v>Công ty TNHH TP Quảng Long</v>
          </cell>
          <cell r="AP742">
            <v>0</v>
          </cell>
          <cell r="AQ742">
            <v>0</v>
          </cell>
          <cell r="AR742">
            <v>0</v>
          </cell>
          <cell r="AS742">
            <v>0</v>
          </cell>
          <cell r="AT742">
            <v>0</v>
          </cell>
          <cell r="AU742">
            <v>0</v>
          </cell>
          <cell r="AV742">
            <v>0</v>
          </cell>
          <cell r="AW742">
            <v>0</v>
          </cell>
          <cell r="AX742">
            <v>0</v>
          </cell>
          <cell r="AY742">
            <v>0</v>
          </cell>
          <cell r="AZ742">
            <v>0</v>
          </cell>
          <cell r="BA742">
            <v>0</v>
          </cell>
          <cell r="BB742">
            <v>0</v>
          </cell>
          <cell r="BC742">
            <v>0</v>
          </cell>
          <cell r="BD742">
            <v>0</v>
          </cell>
        </row>
        <row r="743">
          <cell r="A743" t="str">
            <v>sp 1254</v>
          </cell>
          <cell r="B743" t="str">
            <v>Cuộn màng không in đóng khay hành bánh Trung thu khổ 255mm Quảng Long</v>
          </cell>
          <cell r="C743">
            <v>0</v>
          </cell>
          <cell r="D743">
            <v>3</v>
          </cell>
          <cell r="E743" t="str">
            <v>OPP 20x790</v>
          </cell>
          <cell r="F743">
            <v>0</v>
          </cell>
          <cell r="G743" t="str">
            <v>OPP</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t="str">
            <v>CPP 35x790</v>
          </cell>
          <cell r="AF743">
            <v>0</v>
          </cell>
          <cell r="AG743">
            <v>3.9539500000000005E-2</v>
          </cell>
          <cell r="AH743">
            <v>1.04</v>
          </cell>
          <cell r="AI743">
            <v>0</v>
          </cell>
          <cell r="AJ743">
            <v>9530</v>
          </cell>
          <cell r="AK743">
            <v>0</v>
          </cell>
          <cell r="AL743">
            <v>2E-3</v>
          </cell>
          <cell r="AM743" t="str">
            <v>dạng cuộn 1,000m</v>
          </cell>
          <cell r="AN743">
            <v>255</v>
          </cell>
          <cell r="AO743" t="str">
            <v>Công ty TNHH TP Quảng Long</v>
          </cell>
          <cell r="AP743">
            <v>0</v>
          </cell>
          <cell r="AQ743">
            <v>0</v>
          </cell>
          <cell r="AR743">
            <v>0</v>
          </cell>
          <cell r="AS743">
            <v>0</v>
          </cell>
          <cell r="AT743">
            <v>0</v>
          </cell>
          <cell r="AU743">
            <v>0</v>
          </cell>
          <cell r="AV743">
            <v>0</v>
          </cell>
          <cell r="AW743">
            <v>0</v>
          </cell>
          <cell r="AX743">
            <v>0</v>
          </cell>
          <cell r="AY743">
            <v>0</v>
          </cell>
          <cell r="AZ743">
            <v>0</v>
          </cell>
          <cell r="BA743">
            <v>0</v>
          </cell>
          <cell r="BB743">
            <v>0</v>
          </cell>
          <cell r="BC743">
            <v>0</v>
          </cell>
          <cell r="BD743">
            <v>0</v>
          </cell>
        </row>
        <row r="744">
          <cell r="A744" t="str">
            <v>sp 1255</v>
          </cell>
          <cell r="B744" t="str">
            <v>Cuộn hạt giống mào gà 92, cải chíp 86, bẹ dưa 94 Lucky</v>
          </cell>
          <cell r="C744">
            <v>8.145999999999999</v>
          </cell>
          <cell r="D744">
            <v>3</v>
          </cell>
          <cell r="E744" t="str">
            <v>PET 12x800</v>
          </cell>
          <cell r="F744">
            <v>6</v>
          </cell>
          <cell r="G744" t="str">
            <v>PET</v>
          </cell>
          <cell r="H744">
            <v>0.54</v>
          </cell>
          <cell r="I744">
            <v>3.258</v>
          </cell>
          <cell r="J744">
            <v>0.65</v>
          </cell>
          <cell r="K744">
            <v>0</v>
          </cell>
          <cell r="L744">
            <v>0.43</v>
          </cell>
          <cell r="M744">
            <v>3.258</v>
          </cell>
          <cell r="N744">
            <v>0</v>
          </cell>
          <cell r="O744">
            <v>0</v>
          </cell>
          <cell r="P744">
            <v>0.01</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t="str">
            <v>MPET 12x800</v>
          </cell>
          <cell r="AF744" t="str">
            <v>PE 100x800</v>
          </cell>
          <cell r="AG744">
            <v>0.10088000000000003</v>
          </cell>
          <cell r="AH744">
            <v>1.2113333333333334</v>
          </cell>
          <cell r="AI744">
            <v>1.2113333333333334</v>
          </cell>
          <cell r="AJ744">
            <v>9530</v>
          </cell>
          <cell r="AK744">
            <v>9530</v>
          </cell>
          <cell r="AL744" t="str">
            <v>0,0046(0,0023;0,0023)</v>
          </cell>
          <cell r="AM744" t="str">
            <v>dạng cuộn 600m</v>
          </cell>
          <cell r="AN744">
            <v>260</v>
          </cell>
          <cell r="AO744" t="str">
            <v>Công ty Giống Lucky</v>
          </cell>
          <cell r="AP744" t="str">
            <v>20081014-1</v>
          </cell>
          <cell r="AQ744" t="str">
            <v>20081014-2</v>
          </cell>
          <cell r="AR744" t="str">
            <v>20081014-3</v>
          </cell>
          <cell r="AS744" t="str">
            <v>20081014-4</v>
          </cell>
          <cell r="AT744" t="str">
            <v>20081014-5</v>
          </cell>
          <cell r="AU744" t="str">
            <v>20081014-6</v>
          </cell>
          <cell r="AV744">
            <v>0</v>
          </cell>
          <cell r="AW744">
            <v>0</v>
          </cell>
          <cell r="AX744">
            <v>0</v>
          </cell>
          <cell r="AY744" t="str">
            <v>570x870</v>
          </cell>
          <cell r="AZ744" t="str">
            <v>S3</v>
          </cell>
          <cell r="BA744">
            <v>0</v>
          </cell>
          <cell r="BB744">
            <v>0</v>
          </cell>
          <cell r="BC744">
            <v>0</v>
          </cell>
          <cell r="BD744">
            <v>0</v>
          </cell>
        </row>
        <row r="745">
          <cell r="A745" t="str">
            <v>sp 1256</v>
          </cell>
          <cell r="B745" t="str">
            <v>Cuộn hạt giống  cải cúc tẻ 1007, cải chíp 1086, bẹ dưa 1094 Sao Việt</v>
          </cell>
          <cell r="C745">
            <v>4.5200000000000005</v>
          </cell>
          <cell r="D745">
            <v>3</v>
          </cell>
          <cell r="E745" t="str">
            <v>PET 12x800</v>
          </cell>
          <cell r="F745">
            <v>6</v>
          </cell>
          <cell r="G745" t="str">
            <v>PET</v>
          </cell>
          <cell r="H745">
            <v>0.01</v>
          </cell>
          <cell r="I745">
            <v>1.46</v>
          </cell>
          <cell r="J745">
            <v>0.22500000000000001</v>
          </cell>
          <cell r="K745">
            <v>0.67500000000000004</v>
          </cell>
          <cell r="L745">
            <v>1.1200000000000001</v>
          </cell>
          <cell r="M745">
            <v>0</v>
          </cell>
          <cell r="N745">
            <v>0</v>
          </cell>
          <cell r="O745">
            <v>0</v>
          </cell>
          <cell r="P745">
            <v>1.03</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t="str">
            <v>MPET 12x800</v>
          </cell>
          <cell r="AF745" t="str">
            <v>PE 100x800</v>
          </cell>
          <cell r="AG745">
            <v>0.10088000000000003</v>
          </cell>
          <cell r="AH745">
            <v>1.2113333333333334</v>
          </cell>
          <cell r="AI745">
            <v>1.2113333333333334</v>
          </cell>
          <cell r="AJ745">
            <v>9530</v>
          </cell>
          <cell r="AK745">
            <v>9530</v>
          </cell>
          <cell r="AL745" t="str">
            <v>0,0046(0,0023;0,0023)</v>
          </cell>
          <cell r="AM745" t="str">
            <v>dạng cuộn 600m</v>
          </cell>
          <cell r="AN745">
            <v>260</v>
          </cell>
          <cell r="AO745" t="str">
            <v>Công ty Giống Lucky</v>
          </cell>
          <cell r="AP745" t="str">
            <v>21070327-1</v>
          </cell>
          <cell r="AQ745" t="str">
            <v>21070327-2</v>
          </cell>
          <cell r="AR745" t="str">
            <v>21070327-3</v>
          </cell>
          <cell r="AS745" t="str">
            <v>21070327-4</v>
          </cell>
          <cell r="AT745" t="str">
            <v>21070327-5</v>
          </cell>
          <cell r="AU745" t="str">
            <v>20081014-6</v>
          </cell>
          <cell r="AV745">
            <v>0</v>
          </cell>
          <cell r="AW745">
            <v>0</v>
          </cell>
          <cell r="AX745">
            <v>0</v>
          </cell>
          <cell r="AY745" t="str">
            <v>570x870</v>
          </cell>
          <cell r="AZ745" t="str">
            <v>S3</v>
          </cell>
          <cell r="BA745">
            <v>0</v>
          </cell>
          <cell r="BB745">
            <v>0</v>
          </cell>
          <cell r="BC745">
            <v>0</v>
          </cell>
          <cell r="BD745" t="str">
            <v>Dùng chung cây trắng với sp 1255</v>
          </cell>
        </row>
        <row r="746">
          <cell r="A746" t="str">
            <v>sp 1257</v>
          </cell>
          <cell r="B746" t="str">
            <v>Cuộn bột giặt NANO cộng 350gr Alo Sun</v>
          </cell>
          <cell r="C746">
            <v>2.1359999999999997</v>
          </cell>
          <cell r="D746">
            <v>2</v>
          </cell>
          <cell r="E746" t="str">
            <v>PET 12x690</v>
          </cell>
          <cell r="F746">
            <v>5</v>
          </cell>
          <cell r="G746" t="str">
            <v>PET</v>
          </cell>
          <cell r="H746">
            <v>0</v>
          </cell>
          <cell r="I746">
            <v>0</v>
          </cell>
          <cell r="J746">
            <v>0.124</v>
          </cell>
          <cell r="K746">
            <v>0</v>
          </cell>
          <cell r="L746">
            <v>1.2450000000000001</v>
          </cell>
          <cell r="M746">
            <v>0.747</v>
          </cell>
          <cell r="N746">
            <v>0</v>
          </cell>
          <cell r="O746">
            <v>0.01</v>
          </cell>
          <cell r="P746">
            <v>0</v>
          </cell>
          <cell r="Q746">
            <v>0</v>
          </cell>
          <cell r="R746">
            <v>0.01</v>
          </cell>
          <cell r="S746">
            <v>0</v>
          </cell>
          <cell r="T746">
            <v>0</v>
          </cell>
          <cell r="U746">
            <v>0</v>
          </cell>
          <cell r="V746">
            <v>0</v>
          </cell>
          <cell r="W746">
            <v>0</v>
          </cell>
          <cell r="X746">
            <v>0</v>
          </cell>
          <cell r="Y746">
            <v>0</v>
          </cell>
          <cell r="Z746">
            <v>0</v>
          </cell>
          <cell r="AA746">
            <v>0</v>
          </cell>
          <cell r="AB746">
            <v>0</v>
          </cell>
          <cell r="AC746">
            <v>0</v>
          </cell>
          <cell r="AD746">
            <v>0</v>
          </cell>
          <cell r="AE746" t="str">
            <v>PE sứ 60x690</v>
          </cell>
          <cell r="AF746">
            <v>0</v>
          </cell>
          <cell r="AG746">
            <v>5.0093999999999993E-2</v>
          </cell>
          <cell r="AH746">
            <v>1.36</v>
          </cell>
          <cell r="AI746">
            <v>0</v>
          </cell>
          <cell r="AJ746">
            <v>9530</v>
          </cell>
          <cell r="AK746">
            <v>0</v>
          </cell>
          <cell r="AL746">
            <v>3.0000000000000001E-3</v>
          </cell>
          <cell r="AM746" t="str">
            <v>dạng cuộn 1,000m</v>
          </cell>
          <cell r="AN746">
            <v>334</v>
          </cell>
          <cell r="AO746" t="str">
            <v>Công ty TNHH SX TM Alo Sun</v>
          </cell>
          <cell r="AP746" t="str">
            <v>F126752-1</v>
          </cell>
          <cell r="AQ746" t="str">
            <v>F126752-2</v>
          </cell>
          <cell r="AR746" t="str">
            <v>F126752-3</v>
          </cell>
          <cell r="AS746" t="str">
            <v>F126752-4</v>
          </cell>
          <cell r="AT746" t="str">
            <v>F126752-5</v>
          </cell>
          <cell r="AU746">
            <v>0</v>
          </cell>
          <cell r="AV746">
            <v>0</v>
          </cell>
          <cell r="AW746">
            <v>0</v>
          </cell>
          <cell r="AX746">
            <v>0</v>
          </cell>
          <cell r="AY746" t="str">
            <v>470x870</v>
          </cell>
          <cell r="AZ746" t="str">
            <v>S3</v>
          </cell>
          <cell r="BA746">
            <v>0</v>
          </cell>
          <cell r="BB746">
            <v>0</v>
          </cell>
          <cell r="BC746">
            <v>0</v>
          </cell>
          <cell r="BD746">
            <v>0</v>
          </cell>
        </row>
        <row r="747">
          <cell r="A747" t="str">
            <v>sp 1258</v>
          </cell>
          <cell r="B747" t="str">
            <v>Cuộn thuốc thú y Amoxil -100 loại 100gr Hùng Nguyên</v>
          </cell>
          <cell r="C747">
            <v>10.029999999999998</v>
          </cell>
          <cell r="D747">
            <v>3</v>
          </cell>
          <cell r="E747" t="str">
            <v>PET 12x800</v>
          </cell>
          <cell r="F747">
            <v>3</v>
          </cell>
          <cell r="G747" t="str">
            <v>PET</v>
          </cell>
          <cell r="H747">
            <v>0</v>
          </cell>
          <cell r="I747">
            <v>4.609</v>
          </cell>
          <cell r="J747">
            <v>1.603</v>
          </cell>
          <cell r="K747">
            <v>0.40100000000000002</v>
          </cell>
          <cell r="L747">
            <v>2.4049999999999998</v>
          </cell>
          <cell r="M747">
            <v>0.80200000000000005</v>
          </cell>
          <cell r="N747">
            <v>0</v>
          </cell>
          <cell r="O747">
            <v>0</v>
          </cell>
          <cell r="P747">
            <v>0.01</v>
          </cell>
          <cell r="Q747">
            <v>0</v>
          </cell>
          <cell r="R747">
            <v>0.2</v>
          </cell>
          <cell r="S747">
            <v>0</v>
          </cell>
          <cell r="T747">
            <v>0</v>
          </cell>
          <cell r="U747">
            <v>0</v>
          </cell>
          <cell r="V747">
            <v>0</v>
          </cell>
          <cell r="W747">
            <v>0</v>
          </cell>
          <cell r="X747">
            <v>0</v>
          </cell>
          <cell r="Y747">
            <v>0</v>
          </cell>
          <cell r="Z747">
            <v>0</v>
          </cell>
          <cell r="AA747">
            <v>0</v>
          </cell>
          <cell r="AB747">
            <v>0</v>
          </cell>
          <cell r="AC747">
            <v>0</v>
          </cell>
          <cell r="AD747">
            <v>0</v>
          </cell>
          <cell r="AE747" t="str">
            <v>MPET 12x800</v>
          </cell>
          <cell r="AF747" t="str">
            <v>PE 80x800</v>
          </cell>
          <cell r="AG747">
            <v>8.6080000000000004E-2</v>
          </cell>
          <cell r="AH747">
            <v>1.2113333333333334</v>
          </cell>
          <cell r="AI747">
            <v>1.2113333333333334</v>
          </cell>
          <cell r="AJ747">
            <v>9530</v>
          </cell>
          <cell r="AK747">
            <v>9530</v>
          </cell>
          <cell r="AL747" t="str">
            <v>0,0046(0,0023;0,0023)</v>
          </cell>
          <cell r="AM747" t="str">
            <v>dạng cuộn 500m</v>
          </cell>
          <cell r="AN747">
            <v>260</v>
          </cell>
          <cell r="AO747" t="str">
            <v>Công ty CP Hùng Nguyên</v>
          </cell>
          <cell r="AP747" t="str">
            <v>F126749-1</v>
          </cell>
          <cell r="AQ747" t="str">
            <v>F126749-2</v>
          </cell>
          <cell r="AR747" t="str">
            <v>F126749-3</v>
          </cell>
          <cell r="AS747">
            <v>0</v>
          </cell>
          <cell r="AT747">
            <v>0</v>
          </cell>
          <cell r="AU747">
            <v>0</v>
          </cell>
          <cell r="AV747">
            <v>0</v>
          </cell>
          <cell r="AW747">
            <v>0</v>
          </cell>
          <cell r="AX747">
            <v>0</v>
          </cell>
          <cell r="AY747" t="str">
            <v>570x870</v>
          </cell>
          <cell r="AZ747" t="str">
            <v>S3</v>
          </cell>
          <cell r="BA747">
            <v>0</v>
          </cell>
          <cell r="BB747">
            <v>0</v>
          </cell>
          <cell r="BC747">
            <v>0</v>
          </cell>
          <cell r="BD747">
            <v>0</v>
          </cell>
        </row>
        <row r="748">
          <cell r="A748" t="str">
            <v>sp 1259</v>
          </cell>
          <cell r="B748" t="str">
            <v>Cuộn bánh trung thu không in khổ 270 Gia Trịnh</v>
          </cell>
          <cell r="C748">
            <v>0</v>
          </cell>
          <cell r="D748">
            <v>2</v>
          </cell>
          <cell r="E748" t="str">
            <v>OPP mờ 20x560</v>
          </cell>
          <cell r="F748">
            <v>0</v>
          </cell>
          <cell r="G748" t="str">
            <v>OPP</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t="str">
            <v>PE 45x560</v>
          </cell>
          <cell r="AF748">
            <v>0</v>
          </cell>
          <cell r="AG748">
            <v>3.3502000000000004E-2</v>
          </cell>
          <cell r="AH748">
            <v>0.84333333333333338</v>
          </cell>
          <cell r="AI748">
            <v>0</v>
          </cell>
          <cell r="AJ748">
            <v>9530</v>
          </cell>
          <cell r="AK748">
            <v>9530</v>
          </cell>
          <cell r="AL748">
            <v>2.3E-3</v>
          </cell>
          <cell r="AM748" t="str">
            <v>dạng cuộn 700m</v>
          </cell>
          <cell r="AN748">
            <v>270</v>
          </cell>
          <cell r="AO748" t="str">
            <v>Công ty Gia Thịnh Bakery</v>
          </cell>
          <cell r="AP748">
            <v>0</v>
          </cell>
          <cell r="AQ748">
            <v>0</v>
          </cell>
          <cell r="AR748">
            <v>0</v>
          </cell>
          <cell r="AS748">
            <v>0</v>
          </cell>
          <cell r="AT748">
            <v>0</v>
          </cell>
          <cell r="AU748">
            <v>0</v>
          </cell>
          <cell r="AV748">
            <v>0</v>
          </cell>
          <cell r="AW748">
            <v>0</v>
          </cell>
          <cell r="AX748">
            <v>0</v>
          </cell>
          <cell r="AY748">
            <v>0</v>
          </cell>
          <cell r="AZ748">
            <v>0</v>
          </cell>
          <cell r="BA748">
            <v>0</v>
          </cell>
          <cell r="BB748">
            <v>0</v>
          </cell>
          <cell r="BC748">
            <v>0</v>
          </cell>
          <cell r="BD748" t="e">
            <v>#N/A</v>
          </cell>
        </row>
        <row r="749">
          <cell r="A749" t="str">
            <v>sp 1260</v>
          </cell>
          <cell r="B749" t="str">
            <v>Túi xúc xích ND500gr Nghĩa Thành</v>
          </cell>
          <cell r="C749">
            <v>8.2789999999999999</v>
          </cell>
          <cell r="D749">
            <v>2</v>
          </cell>
          <cell r="E749" t="str">
            <v>PA 15x800</v>
          </cell>
          <cell r="F749">
            <v>3</v>
          </cell>
          <cell r="G749" t="str">
            <v xml:space="preserve">PA </v>
          </cell>
          <cell r="H749">
            <v>0.218</v>
          </cell>
          <cell r="I749">
            <v>2.726</v>
          </cell>
          <cell r="J749">
            <v>0</v>
          </cell>
          <cell r="K749">
            <v>2.1800000000000002</v>
          </cell>
          <cell r="L749">
            <v>0.54500000000000004</v>
          </cell>
          <cell r="M749">
            <v>0</v>
          </cell>
          <cell r="N749">
            <v>0</v>
          </cell>
          <cell r="O749">
            <v>0</v>
          </cell>
          <cell r="P749">
            <v>2.61</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t="str">
            <v>PE 70x800</v>
          </cell>
          <cell r="AF749">
            <v>0</v>
          </cell>
          <cell r="AG749">
            <v>6.5600000000000019E-2</v>
          </cell>
          <cell r="AH749">
            <v>1.2113333333333334</v>
          </cell>
          <cell r="AI749">
            <v>0</v>
          </cell>
          <cell r="AJ749">
            <v>9530</v>
          </cell>
          <cell r="AK749">
            <v>0</v>
          </cell>
          <cell r="AL749">
            <v>2.3E-3</v>
          </cell>
          <cell r="AM749" t="str">
            <v>túi ba biên</v>
          </cell>
          <cell r="AN749">
            <v>245</v>
          </cell>
          <cell r="AO749" t="str">
            <v>Công ty TNHH MTV chế biến thực phẩm xuất khẩu Nghĩa Thành</v>
          </cell>
          <cell r="AP749" t="str">
            <v>F126735NG2-1</v>
          </cell>
          <cell r="AQ749" t="str">
            <v>F126735-2</v>
          </cell>
          <cell r="AR749" t="str">
            <v>F126735-3</v>
          </cell>
          <cell r="AS749">
            <v>0</v>
          </cell>
          <cell r="AT749">
            <v>0</v>
          </cell>
          <cell r="AU749">
            <v>0</v>
          </cell>
          <cell r="AV749">
            <v>0</v>
          </cell>
          <cell r="AW749">
            <v>0</v>
          </cell>
          <cell r="AX749">
            <v>0</v>
          </cell>
          <cell r="AY749" t="str">
            <v>490x870</v>
          </cell>
          <cell r="AZ749" t="str">
            <v>S3</v>
          </cell>
          <cell r="BA749">
            <v>0</v>
          </cell>
          <cell r="BB749">
            <v>0</v>
          </cell>
          <cell r="BC749">
            <v>0</v>
          </cell>
          <cell r="BD749" t="e">
            <v>#N/A</v>
          </cell>
        </row>
        <row r="750">
          <cell r="A750" t="str">
            <v>sp 1261</v>
          </cell>
          <cell r="B750" t="str">
            <v>Cuộn trà giấy hương sen - Kim Anh</v>
          </cell>
          <cell r="C750">
            <v>11.229999999999999</v>
          </cell>
          <cell r="D750">
            <v>11</v>
          </cell>
          <cell r="E750" t="str">
            <v>Giấy 55x740</v>
          </cell>
          <cell r="F750">
            <v>4</v>
          </cell>
          <cell r="G750" t="str">
            <v>Giấ</v>
          </cell>
          <cell r="H750">
            <v>0.68</v>
          </cell>
          <cell r="I750">
            <v>0</v>
          </cell>
          <cell r="J750">
            <v>0.68</v>
          </cell>
          <cell r="K750">
            <v>0</v>
          </cell>
          <cell r="L750">
            <v>3.06</v>
          </cell>
          <cell r="M750">
            <v>6.8</v>
          </cell>
          <cell r="N750">
            <v>0</v>
          </cell>
          <cell r="O750">
            <v>0.01</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t="str">
            <v>MCPP 25x740</v>
          </cell>
          <cell r="AF750">
            <v>0</v>
          </cell>
          <cell r="AG750">
            <v>6.4195000000000002E-2</v>
          </cell>
          <cell r="AH750">
            <v>2.4333333333333336</v>
          </cell>
          <cell r="AI750">
            <v>0</v>
          </cell>
          <cell r="AJ750">
            <v>9530</v>
          </cell>
          <cell r="AK750">
            <v>0</v>
          </cell>
          <cell r="AL750">
            <v>5.0000000000000001E-3</v>
          </cell>
          <cell r="AM750" t="str">
            <v>dạng cuộn 1,500m</v>
          </cell>
          <cell r="AN750">
            <v>65.5</v>
          </cell>
          <cell r="AO750" t="str">
            <v>Công ty CP chè Kim Anh</v>
          </cell>
          <cell r="AP750" t="str">
            <v>X109684-1</v>
          </cell>
          <cell r="AQ750" t="str">
            <v>X109684-2</v>
          </cell>
          <cell r="AR750" t="str">
            <v>X109684-3</v>
          </cell>
          <cell r="AS750" t="str">
            <v>X109684-4</v>
          </cell>
          <cell r="AT750">
            <v>0</v>
          </cell>
          <cell r="AU750">
            <v>0</v>
          </cell>
          <cell r="AV750">
            <v>0</v>
          </cell>
          <cell r="AW750">
            <v>0</v>
          </cell>
          <cell r="AX750">
            <v>0</v>
          </cell>
          <cell r="AY750" t="str">
            <v>462x870</v>
          </cell>
          <cell r="AZ750">
            <v>0</v>
          </cell>
          <cell r="BA750">
            <v>0</v>
          </cell>
          <cell r="BB750">
            <v>0</v>
          </cell>
          <cell r="BC750">
            <v>0</v>
          </cell>
          <cell r="BD750" t="e">
            <v>#N/A</v>
          </cell>
        </row>
        <row r="751">
          <cell r="A751" t="str">
            <v>sp 1262</v>
          </cell>
          <cell r="B751" t="str">
            <v>Cuộn giấy trà hương nhài - Kim Anh</v>
          </cell>
          <cell r="C751">
            <v>17.067</v>
          </cell>
          <cell r="D751">
            <v>11</v>
          </cell>
          <cell r="E751" t="str">
            <v>Giấy 55x740</v>
          </cell>
          <cell r="F751">
            <v>4</v>
          </cell>
          <cell r="G751" t="str">
            <v>Giấ</v>
          </cell>
          <cell r="H751">
            <v>0.71799999999999997</v>
          </cell>
          <cell r="I751">
            <v>0</v>
          </cell>
          <cell r="J751">
            <v>2.1549999999999998</v>
          </cell>
          <cell r="K751">
            <v>0</v>
          </cell>
          <cell r="L751">
            <v>7.54</v>
          </cell>
          <cell r="M751">
            <v>2.5139999999999998</v>
          </cell>
          <cell r="N751">
            <v>0</v>
          </cell>
          <cell r="O751">
            <v>0.01</v>
          </cell>
          <cell r="P751">
            <v>4.13</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t="str">
            <v>MCPP 25x740</v>
          </cell>
          <cell r="AF751">
            <v>0</v>
          </cell>
          <cell r="AG751">
            <v>6.4195000000000002E-2</v>
          </cell>
          <cell r="AH751">
            <v>2.4333333333333336</v>
          </cell>
          <cell r="AI751">
            <v>0</v>
          </cell>
          <cell r="AJ751">
            <v>9530</v>
          </cell>
          <cell r="AK751">
            <v>0</v>
          </cell>
          <cell r="AL751">
            <v>5.0000000000000001E-3</v>
          </cell>
          <cell r="AM751" t="str">
            <v>dạng cuộn 1,500m</v>
          </cell>
          <cell r="AN751">
            <v>65.5</v>
          </cell>
          <cell r="AO751" t="str">
            <v>Công ty CP chè Kim Anh</v>
          </cell>
          <cell r="AP751" t="str">
            <v>X109685-1</v>
          </cell>
          <cell r="AQ751" t="str">
            <v>X109684-2</v>
          </cell>
          <cell r="AR751" t="str">
            <v>X109684-3</v>
          </cell>
          <cell r="AS751" t="str">
            <v>X109684-4</v>
          </cell>
          <cell r="AT751">
            <v>0</v>
          </cell>
          <cell r="AU751">
            <v>0</v>
          </cell>
          <cell r="AV751">
            <v>0</v>
          </cell>
          <cell r="AW751">
            <v>0</v>
          </cell>
          <cell r="AX751">
            <v>0</v>
          </cell>
          <cell r="AY751" t="str">
            <v>462x870</v>
          </cell>
          <cell r="AZ751">
            <v>0</v>
          </cell>
          <cell r="BA751">
            <v>0</v>
          </cell>
          <cell r="BB751">
            <v>0</v>
          </cell>
          <cell r="BC751">
            <v>0</v>
          </cell>
          <cell r="BD751" t="e">
            <v>#N/A</v>
          </cell>
        </row>
        <row r="752">
          <cell r="A752" t="str">
            <v>sp 1263</v>
          </cell>
          <cell r="B752" t="str">
            <v>Cuộn giấy trà hương cúc - Kim Anh</v>
          </cell>
          <cell r="C752">
            <v>8.9220000000000006</v>
          </cell>
          <cell r="D752">
            <v>11</v>
          </cell>
          <cell r="E752" t="str">
            <v>Giấy 55x740</v>
          </cell>
          <cell r="F752">
            <v>4</v>
          </cell>
          <cell r="G752" t="str">
            <v>Giấ</v>
          </cell>
          <cell r="H752">
            <v>0.182</v>
          </cell>
          <cell r="I752">
            <v>0</v>
          </cell>
          <cell r="J752">
            <v>1.82</v>
          </cell>
          <cell r="K752">
            <v>0</v>
          </cell>
          <cell r="L752">
            <v>2.1800000000000002</v>
          </cell>
          <cell r="M752">
            <v>4.7300000000000004</v>
          </cell>
          <cell r="N752">
            <v>0</v>
          </cell>
          <cell r="O752">
            <v>0.01</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t="str">
            <v>MCPP 25x740</v>
          </cell>
          <cell r="AF752">
            <v>0</v>
          </cell>
          <cell r="AG752">
            <v>6.4195000000000002E-2</v>
          </cell>
          <cell r="AH752">
            <v>2.4333333333333336</v>
          </cell>
          <cell r="AI752">
            <v>0</v>
          </cell>
          <cell r="AJ752">
            <v>9530</v>
          </cell>
          <cell r="AK752">
            <v>0</v>
          </cell>
          <cell r="AL752">
            <v>5.0000000000000001E-3</v>
          </cell>
          <cell r="AM752" t="str">
            <v>dạng cuộn 1,500m</v>
          </cell>
          <cell r="AN752">
            <v>65.5</v>
          </cell>
          <cell r="AO752" t="str">
            <v>Công ty CP chè Kim Anh</v>
          </cell>
          <cell r="AP752" t="str">
            <v>X109686-1</v>
          </cell>
          <cell r="AQ752" t="str">
            <v>X109684-2</v>
          </cell>
          <cell r="AR752" t="str">
            <v>X109684-3</v>
          </cell>
          <cell r="AS752" t="str">
            <v>X109684-4</v>
          </cell>
          <cell r="AT752">
            <v>0</v>
          </cell>
          <cell r="AU752">
            <v>0</v>
          </cell>
          <cell r="AV752">
            <v>0</v>
          </cell>
          <cell r="AW752">
            <v>0</v>
          </cell>
          <cell r="AX752">
            <v>0</v>
          </cell>
          <cell r="AY752" t="str">
            <v>462x870</v>
          </cell>
          <cell r="AZ752">
            <v>0</v>
          </cell>
          <cell r="BA752">
            <v>0</v>
          </cell>
          <cell r="BB752">
            <v>0</v>
          </cell>
          <cell r="BC752">
            <v>0</v>
          </cell>
          <cell r="BD752" t="e">
            <v>#N/A</v>
          </cell>
        </row>
        <row r="753">
          <cell r="A753" t="str">
            <v>sp 1264</v>
          </cell>
          <cell r="B753" t="str">
            <v>Cuộn giấy trà hương dâu -Kim Anh</v>
          </cell>
          <cell r="C753">
            <v>12.815</v>
          </cell>
          <cell r="D753">
            <v>11</v>
          </cell>
          <cell r="E753" t="str">
            <v>Giấy 55x740</v>
          </cell>
          <cell r="F753">
            <v>4</v>
          </cell>
          <cell r="G753" t="str">
            <v>Giấ</v>
          </cell>
          <cell r="H753">
            <v>0.01</v>
          </cell>
          <cell r="I753">
            <v>0</v>
          </cell>
          <cell r="J753">
            <v>0</v>
          </cell>
          <cell r="K753">
            <v>2.1349999999999998</v>
          </cell>
          <cell r="L753">
            <v>0</v>
          </cell>
          <cell r="M753">
            <v>7.93</v>
          </cell>
          <cell r="N753">
            <v>0</v>
          </cell>
          <cell r="O753">
            <v>0.76</v>
          </cell>
          <cell r="P753">
            <v>1.98</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t="str">
            <v>MCPP 25x740</v>
          </cell>
          <cell r="AF753">
            <v>0</v>
          </cell>
          <cell r="AG753">
            <v>6.4195000000000002E-2</v>
          </cell>
          <cell r="AH753">
            <v>2.4333333333333336</v>
          </cell>
          <cell r="AI753">
            <v>0</v>
          </cell>
          <cell r="AJ753">
            <v>9530</v>
          </cell>
          <cell r="AK753">
            <v>0</v>
          </cell>
          <cell r="AL753">
            <v>5.0000000000000001E-3</v>
          </cell>
          <cell r="AM753" t="str">
            <v>dạng cuộn 1,500m</v>
          </cell>
          <cell r="AN753">
            <v>65.5</v>
          </cell>
          <cell r="AO753" t="str">
            <v>Công ty CP chè Kim Anh</v>
          </cell>
          <cell r="AP753" t="str">
            <v>X109687-1</v>
          </cell>
          <cell r="AQ753" t="str">
            <v>X109684-2</v>
          </cell>
          <cell r="AR753" t="str">
            <v>X109684-3</v>
          </cell>
          <cell r="AS753" t="str">
            <v>X109684-4</v>
          </cell>
          <cell r="AT753">
            <v>0</v>
          </cell>
          <cell r="AU753">
            <v>0</v>
          </cell>
          <cell r="AV753">
            <v>0</v>
          </cell>
          <cell r="AW753">
            <v>0</v>
          </cell>
          <cell r="AX753">
            <v>0</v>
          </cell>
          <cell r="AY753" t="str">
            <v>462x870</v>
          </cell>
          <cell r="AZ753">
            <v>0</v>
          </cell>
          <cell r="BA753">
            <v>0</v>
          </cell>
          <cell r="BB753">
            <v>0</v>
          </cell>
          <cell r="BC753">
            <v>0</v>
          </cell>
          <cell r="BD753" t="e">
            <v>#N/A</v>
          </cell>
        </row>
        <row r="754">
          <cell r="A754" t="str">
            <v>sp 1265</v>
          </cell>
          <cell r="B754" t="str">
            <v>Cuộn giấy trà hương đào - Kim Anh</v>
          </cell>
          <cell r="C754">
            <v>11.817</v>
          </cell>
          <cell r="D754">
            <v>11</v>
          </cell>
          <cell r="E754" t="str">
            <v>Giấy 55x740</v>
          </cell>
          <cell r="F754">
            <v>4</v>
          </cell>
          <cell r="G754" t="str">
            <v>Giấ</v>
          </cell>
          <cell r="H754">
            <v>0.17</v>
          </cell>
          <cell r="I754">
            <v>0</v>
          </cell>
          <cell r="J754">
            <v>0</v>
          </cell>
          <cell r="K754">
            <v>0</v>
          </cell>
          <cell r="L754">
            <v>0.34</v>
          </cell>
          <cell r="M754">
            <v>7.88</v>
          </cell>
          <cell r="N754">
            <v>0</v>
          </cell>
          <cell r="O754">
            <v>0</v>
          </cell>
          <cell r="P754">
            <v>3.427</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t="str">
            <v>MCPP 25x740</v>
          </cell>
          <cell r="AF754">
            <v>0</v>
          </cell>
          <cell r="AG754">
            <v>6.4195000000000002E-2</v>
          </cell>
          <cell r="AH754">
            <v>2.4333333333333336</v>
          </cell>
          <cell r="AI754">
            <v>0</v>
          </cell>
          <cell r="AJ754">
            <v>9530</v>
          </cell>
          <cell r="AK754">
            <v>0</v>
          </cell>
          <cell r="AL754">
            <v>5.0000000000000001E-3</v>
          </cell>
          <cell r="AM754" t="str">
            <v>dạng cuộn 1,500m</v>
          </cell>
          <cell r="AN754">
            <v>65.5</v>
          </cell>
          <cell r="AO754" t="str">
            <v>Công ty CP chè Kim Anh</v>
          </cell>
          <cell r="AP754" t="str">
            <v>X109688-1</v>
          </cell>
          <cell r="AQ754" t="str">
            <v>X109684-2</v>
          </cell>
          <cell r="AR754" t="str">
            <v>X109684-3</v>
          </cell>
          <cell r="AS754" t="str">
            <v>X109684-4</v>
          </cell>
          <cell r="AT754">
            <v>0</v>
          </cell>
          <cell r="AU754">
            <v>0</v>
          </cell>
          <cell r="AV754">
            <v>0</v>
          </cell>
          <cell r="AW754">
            <v>0</v>
          </cell>
          <cell r="AX754">
            <v>0</v>
          </cell>
          <cell r="AY754" t="str">
            <v>462x870</v>
          </cell>
          <cell r="AZ754">
            <v>0</v>
          </cell>
          <cell r="BA754">
            <v>0</v>
          </cell>
          <cell r="BB754">
            <v>0</v>
          </cell>
          <cell r="BC754">
            <v>0</v>
          </cell>
          <cell r="BD754" t="e">
            <v>#N/A</v>
          </cell>
        </row>
        <row r="755">
          <cell r="A755" t="str">
            <v>sp 1266</v>
          </cell>
          <cell r="B755" t="str">
            <v>Cuộn giấy chè thảo mộc - Kim Anh</v>
          </cell>
          <cell r="C755">
            <v>16.853999999999999</v>
          </cell>
          <cell r="D755">
            <v>11</v>
          </cell>
          <cell r="E755" t="str">
            <v>Giấy 55x740</v>
          </cell>
          <cell r="F755">
            <v>4</v>
          </cell>
          <cell r="G755" t="str">
            <v>Giấ</v>
          </cell>
          <cell r="H755">
            <v>0.01</v>
          </cell>
          <cell r="I755">
            <v>0</v>
          </cell>
          <cell r="J755">
            <v>0</v>
          </cell>
          <cell r="K755">
            <v>0.35399999999999998</v>
          </cell>
          <cell r="L755">
            <v>0</v>
          </cell>
          <cell r="M755">
            <v>12.6</v>
          </cell>
          <cell r="N755">
            <v>0</v>
          </cell>
          <cell r="O755">
            <v>0.53</v>
          </cell>
          <cell r="P755">
            <v>3.36</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t="str">
            <v>MCPP 25x740</v>
          </cell>
          <cell r="AF755">
            <v>0</v>
          </cell>
          <cell r="AG755">
            <v>6.4195000000000002E-2</v>
          </cell>
          <cell r="AH755">
            <v>2.4333333333333336</v>
          </cell>
          <cell r="AI755">
            <v>0</v>
          </cell>
          <cell r="AJ755">
            <v>9530</v>
          </cell>
          <cell r="AK755">
            <v>0</v>
          </cell>
          <cell r="AL755">
            <v>5.0000000000000001E-3</v>
          </cell>
          <cell r="AM755" t="str">
            <v>dạng cuộn 1,500m</v>
          </cell>
          <cell r="AN755">
            <v>65.5</v>
          </cell>
          <cell r="AO755" t="str">
            <v>Công ty CP chè Kim Anh</v>
          </cell>
          <cell r="AP755" t="str">
            <v>X109689-1</v>
          </cell>
          <cell r="AQ755" t="str">
            <v>X109684-2</v>
          </cell>
          <cell r="AR755" t="str">
            <v>X109684-3</v>
          </cell>
          <cell r="AS755" t="str">
            <v>X109684-4</v>
          </cell>
          <cell r="AT755">
            <v>0</v>
          </cell>
          <cell r="AU755">
            <v>0</v>
          </cell>
          <cell r="AV755">
            <v>0</v>
          </cell>
          <cell r="AW755">
            <v>0</v>
          </cell>
          <cell r="AX755">
            <v>0</v>
          </cell>
          <cell r="AY755" t="str">
            <v>462x870</v>
          </cell>
          <cell r="AZ755">
            <v>0</v>
          </cell>
          <cell r="BA755">
            <v>0</v>
          </cell>
          <cell r="BB755">
            <v>0</v>
          </cell>
          <cell r="BC755">
            <v>0</v>
          </cell>
          <cell r="BD755" t="e">
            <v>#N/A</v>
          </cell>
        </row>
        <row r="756">
          <cell r="A756" t="str">
            <v>sp 1267</v>
          </cell>
          <cell r="B756" t="str">
            <v>Cuộn giấy chè thảo đen - Kim Anh</v>
          </cell>
          <cell r="C756">
            <v>2.9879999999999995</v>
          </cell>
          <cell r="D756">
            <v>11</v>
          </cell>
          <cell r="E756" t="str">
            <v>Giấy 55x740</v>
          </cell>
          <cell r="F756">
            <v>4</v>
          </cell>
          <cell r="G756" t="str">
            <v>Giấ</v>
          </cell>
          <cell r="H756">
            <v>0.17499999999999999</v>
          </cell>
          <cell r="I756">
            <v>0</v>
          </cell>
          <cell r="J756">
            <v>0</v>
          </cell>
          <cell r="K756">
            <v>0</v>
          </cell>
          <cell r="L756">
            <v>0.70199999999999996</v>
          </cell>
          <cell r="M756">
            <v>1.75</v>
          </cell>
          <cell r="N756">
            <v>0</v>
          </cell>
          <cell r="O756">
            <v>0.35099999999999998</v>
          </cell>
          <cell r="P756">
            <v>0.01</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t="str">
            <v>MCPP 25x740</v>
          </cell>
          <cell r="AF756">
            <v>0</v>
          </cell>
          <cell r="AG756">
            <v>6.4195000000000002E-2</v>
          </cell>
          <cell r="AH756">
            <v>2.4333333333333336</v>
          </cell>
          <cell r="AI756">
            <v>0</v>
          </cell>
          <cell r="AJ756">
            <v>9530</v>
          </cell>
          <cell r="AK756">
            <v>0</v>
          </cell>
          <cell r="AL756">
            <v>5.0000000000000001E-3</v>
          </cell>
          <cell r="AM756" t="str">
            <v>dạng cuộn 1,500m</v>
          </cell>
          <cell r="AN756">
            <v>65.5</v>
          </cell>
          <cell r="AO756" t="str">
            <v>Công ty CP chè Kim Anh</v>
          </cell>
          <cell r="AP756" t="str">
            <v>X109690-1</v>
          </cell>
          <cell r="AQ756" t="str">
            <v>X109684-2</v>
          </cell>
          <cell r="AR756" t="str">
            <v>X109684-3</v>
          </cell>
          <cell r="AS756" t="str">
            <v>X109684-4</v>
          </cell>
          <cell r="AT756">
            <v>0</v>
          </cell>
          <cell r="AU756">
            <v>0</v>
          </cell>
          <cell r="AV756">
            <v>0</v>
          </cell>
          <cell r="AW756">
            <v>0</v>
          </cell>
          <cell r="AX756">
            <v>0</v>
          </cell>
          <cell r="AY756" t="str">
            <v>462x870</v>
          </cell>
          <cell r="AZ756">
            <v>0</v>
          </cell>
          <cell r="BA756">
            <v>0</v>
          </cell>
          <cell r="BB756">
            <v>0</v>
          </cell>
          <cell r="BC756">
            <v>0</v>
          </cell>
          <cell r="BD756" t="e">
            <v>#N/A</v>
          </cell>
        </row>
        <row r="757">
          <cell r="A757" t="str">
            <v>sp 1268</v>
          </cell>
          <cell r="B757" t="str">
            <v>Cuộn giấy chè giảo cổ lam - Kim Anh</v>
          </cell>
          <cell r="C757">
            <v>5.7130000000000001</v>
          </cell>
          <cell r="D757">
            <v>11</v>
          </cell>
          <cell r="E757" t="str">
            <v>Giấy 55x740</v>
          </cell>
          <cell r="F757">
            <v>4</v>
          </cell>
          <cell r="G757" t="str">
            <v>Giấ</v>
          </cell>
          <cell r="H757">
            <v>0.52</v>
          </cell>
          <cell r="I757">
            <v>0</v>
          </cell>
          <cell r="J757">
            <v>0</v>
          </cell>
          <cell r="K757">
            <v>0</v>
          </cell>
          <cell r="L757">
            <v>0</v>
          </cell>
          <cell r="M757">
            <v>2.08</v>
          </cell>
          <cell r="N757">
            <v>0</v>
          </cell>
          <cell r="O757">
            <v>0.52</v>
          </cell>
          <cell r="P757">
            <v>0.17299999999999999</v>
          </cell>
          <cell r="Q757">
            <v>0</v>
          </cell>
          <cell r="R757">
            <v>2.42</v>
          </cell>
          <cell r="S757">
            <v>0</v>
          </cell>
          <cell r="T757">
            <v>0</v>
          </cell>
          <cell r="U757">
            <v>0</v>
          </cell>
          <cell r="V757">
            <v>0</v>
          </cell>
          <cell r="W757">
            <v>0</v>
          </cell>
          <cell r="X757">
            <v>0</v>
          </cell>
          <cell r="Y757">
            <v>0</v>
          </cell>
          <cell r="Z757">
            <v>0</v>
          </cell>
          <cell r="AA757">
            <v>0</v>
          </cell>
          <cell r="AB757">
            <v>0</v>
          </cell>
          <cell r="AC757">
            <v>0</v>
          </cell>
          <cell r="AD757">
            <v>0</v>
          </cell>
          <cell r="AE757" t="str">
            <v>MCPP 25x740</v>
          </cell>
          <cell r="AF757">
            <v>0</v>
          </cell>
          <cell r="AG757">
            <v>6.4195000000000002E-2</v>
          </cell>
          <cell r="AH757">
            <v>2.4333333333333336</v>
          </cell>
          <cell r="AI757">
            <v>0</v>
          </cell>
          <cell r="AJ757">
            <v>9530</v>
          </cell>
          <cell r="AK757">
            <v>0</v>
          </cell>
          <cell r="AL757">
            <v>5.0000000000000001E-3</v>
          </cell>
          <cell r="AM757" t="str">
            <v>dạng cuộn 1,500m</v>
          </cell>
          <cell r="AN757">
            <v>65.5</v>
          </cell>
          <cell r="AO757" t="str">
            <v>Công ty CP chè Kim Anh</v>
          </cell>
          <cell r="AP757" t="str">
            <v>X109691-1</v>
          </cell>
          <cell r="AQ757" t="str">
            <v>X109684-2</v>
          </cell>
          <cell r="AR757" t="str">
            <v>X109684-3</v>
          </cell>
          <cell r="AS757" t="str">
            <v>X109684-4</v>
          </cell>
          <cell r="AT757">
            <v>0</v>
          </cell>
          <cell r="AU757">
            <v>0</v>
          </cell>
          <cell r="AV757">
            <v>0</v>
          </cell>
          <cell r="AW757">
            <v>0</v>
          </cell>
          <cell r="AX757">
            <v>0</v>
          </cell>
          <cell r="AY757" t="str">
            <v>462x870</v>
          </cell>
          <cell r="AZ757">
            <v>0</v>
          </cell>
          <cell r="BA757">
            <v>0</v>
          </cell>
          <cell r="BB757">
            <v>0</v>
          </cell>
          <cell r="BC757">
            <v>0</v>
          </cell>
          <cell r="BD757" t="e">
            <v>#N/A</v>
          </cell>
        </row>
        <row r="758">
          <cell r="A758" t="str">
            <v>sp 1269</v>
          </cell>
          <cell r="B758" t="str">
            <v>Cuộn giấy chè cà gai leo - Kim Anh</v>
          </cell>
          <cell r="C758">
            <v>16.404000000000003</v>
          </cell>
          <cell r="D758">
            <v>11</v>
          </cell>
          <cell r="E758" t="str">
            <v>Giấy 55x740</v>
          </cell>
          <cell r="F758">
            <v>4</v>
          </cell>
          <cell r="G758" t="str">
            <v>Giấ</v>
          </cell>
          <cell r="H758">
            <v>0.182</v>
          </cell>
          <cell r="I758">
            <v>8.3800000000000008</v>
          </cell>
          <cell r="J758">
            <v>0.72</v>
          </cell>
          <cell r="K758">
            <v>1.0900000000000001</v>
          </cell>
          <cell r="L758">
            <v>0</v>
          </cell>
          <cell r="M758">
            <v>5.83</v>
          </cell>
          <cell r="N758">
            <v>0</v>
          </cell>
          <cell r="O758">
            <v>0.01</v>
          </cell>
          <cell r="P758">
            <v>0.182</v>
          </cell>
          <cell r="Q758">
            <v>0</v>
          </cell>
          <cell r="R758">
            <v>0.01</v>
          </cell>
          <cell r="S758">
            <v>0</v>
          </cell>
          <cell r="T758">
            <v>0</v>
          </cell>
          <cell r="U758">
            <v>0</v>
          </cell>
          <cell r="V758">
            <v>0</v>
          </cell>
          <cell r="W758">
            <v>0</v>
          </cell>
          <cell r="X758">
            <v>0</v>
          </cell>
          <cell r="Y758">
            <v>0</v>
          </cell>
          <cell r="Z758">
            <v>0</v>
          </cell>
          <cell r="AA758">
            <v>0</v>
          </cell>
          <cell r="AB758">
            <v>0</v>
          </cell>
          <cell r="AC758">
            <v>0</v>
          </cell>
          <cell r="AD758">
            <v>0</v>
          </cell>
          <cell r="AE758" t="str">
            <v>MCPP 25x740</v>
          </cell>
          <cell r="AF758">
            <v>0</v>
          </cell>
          <cell r="AG758">
            <v>6.4195000000000002E-2</v>
          </cell>
          <cell r="AH758">
            <v>2.4333333333333336</v>
          </cell>
          <cell r="AI758">
            <v>0</v>
          </cell>
          <cell r="AJ758">
            <v>9530</v>
          </cell>
          <cell r="AK758">
            <v>0</v>
          </cell>
          <cell r="AL758">
            <v>5.0000000000000001E-3</v>
          </cell>
          <cell r="AM758" t="str">
            <v>dạng cuộn 1,500m</v>
          </cell>
          <cell r="AN758">
            <v>65.5</v>
          </cell>
          <cell r="AO758" t="str">
            <v>Công ty CP chè Kim Anh</v>
          </cell>
          <cell r="AP758" t="str">
            <v>X109692-1</v>
          </cell>
          <cell r="AQ758" t="str">
            <v>X109684-2</v>
          </cell>
          <cell r="AR758" t="str">
            <v>X109684-3</v>
          </cell>
          <cell r="AS758" t="str">
            <v>X109684-4</v>
          </cell>
          <cell r="AT758">
            <v>0</v>
          </cell>
          <cell r="AU758">
            <v>0</v>
          </cell>
          <cell r="AV758">
            <v>0</v>
          </cell>
          <cell r="AW758">
            <v>0</v>
          </cell>
          <cell r="AX758">
            <v>0</v>
          </cell>
          <cell r="AY758" t="str">
            <v>462x870</v>
          </cell>
          <cell r="AZ758">
            <v>0</v>
          </cell>
          <cell r="BA758">
            <v>0</v>
          </cell>
          <cell r="BB758">
            <v>0</v>
          </cell>
          <cell r="BC758">
            <v>0</v>
          </cell>
          <cell r="BD758" t="e">
            <v>#N/A</v>
          </cell>
        </row>
        <row r="759">
          <cell r="A759" t="str">
            <v>sp 1270</v>
          </cell>
          <cell r="B759" t="str">
            <v>Túi trà hương nhài 100gr zipper - Kim Anh</v>
          </cell>
          <cell r="C759">
            <v>8.7409999999999997</v>
          </cell>
          <cell r="D759">
            <v>1</v>
          </cell>
          <cell r="E759" t="str">
            <v>OPP mờ 20x540</v>
          </cell>
          <cell r="F759">
            <v>8</v>
          </cell>
          <cell r="G759" t="str">
            <v>OPP</v>
          </cell>
          <cell r="H759">
            <v>0.318</v>
          </cell>
          <cell r="I759">
            <v>3</v>
          </cell>
          <cell r="J759">
            <v>0.318</v>
          </cell>
          <cell r="K759">
            <v>0.47799999999999998</v>
          </cell>
          <cell r="L759">
            <v>1.4330000000000001</v>
          </cell>
          <cell r="M759">
            <v>1.5920000000000001</v>
          </cell>
          <cell r="N759">
            <v>0</v>
          </cell>
          <cell r="O759">
            <v>0.79600000000000004</v>
          </cell>
          <cell r="P759">
            <v>0.01</v>
          </cell>
          <cell r="Q759">
            <v>0.63700000000000001</v>
          </cell>
          <cell r="R759">
            <v>0</v>
          </cell>
          <cell r="S759">
            <v>0</v>
          </cell>
          <cell r="T759">
            <v>0.159</v>
          </cell>
          <cell r="U759">
            <v>0</v>
          </cell>
          <cell r="V759">
            <v>0</v>
          </cell>
          <cell r="W759">
            <v>0</v>
          </cell>
          <cell r="X759">
            <v>0</v>
          </cell>
          <cell r="Y759">
            <v>0</v>
          </cell>
          <cell r="Z759">
            <v>0</v>
          </cell>
          <cell r="AA759">
            <v>0</v>
          </cell>
          <cell r="AB759">
            <v>0</v>
          </cell>
          <cell r="AC759">
            <v>0</v>
          </cell>
          <cell r="AD759">
            <v>0</v>
          </cell>
          <cell r="AE759" t="str">
            <v>MPET 12x540</v>
          </cell>
          <cell r="AF759" t="str">
            <v>PE 90x540</v>
          </cell>
          <cell r="AG759">
            <v>6.3423000000000007E-2</v>
          </cell>
          <cell r="AH759">
            <v>1.06</v>
          </cell>
          <cell r="AI759">
            <v>1.06</v>
          </cell>
          <cell r="AJ759">
            <v>9530</v>
          </cell>
          <cell r="AK759">
            <v>9530</v>
          </cell>
          <cell r="AL759" t="str">
            <v>0,006(0,003,0,003)</v>
          </cell>
          <cell r="AM759" t="str">
            <v>túi ba biên zipper đáy đứng</v>
          </cell>
          <cell r="AN759">
            <v>150</v>
          </cell>
          <cell r="AO759" t="str">
            <v>Công ty CP chè Kim Anh</v>
          </cell>
          <cell r="AP759" t="str">
            <v>X109701-1</v>
          </cell>
          <cell r="AQ759" t="str">
            <v>X109701-2</v>
          </cell>
          <cell r="AR759" t="str">
            <v>X109701-3</v>
          </cell>
          <cell r="AS759" t="str">
            <v>X109701-4</v>
          </cell>
          <cell r="AT759" t="str">
            <v>X109701-5</v>
          </cell>
          <cell r="AU759" t="str">
            <v>X109701-6</v>
          </cell>
          <cell r="AV759" t="str">
            <v>X109701-7</v>
          </cell>
          <cell r="AW759" t="str">
            <v>X109701-8</v>
          </cell>
          <cell r="AX759">
            <v>0</v>
          </cell>
          <cell r="AY759" t="str">
            <v>450x870</v>
          </cell>
          <cell r="AZ759">
            <v>0</v>
          </cell>
          <cell r="BA759">
            <v>0</v>
          </cell>
          <cell r="BB759">
            <v>0</v>
          </cell>
          <cell r="BC759">
            <v>0</v>
          </cell>
          <cell r="BD759" t="e">
            <v>#N/A</v>
          </cell>
        </row>
        <row r="760">
          <cell r="A760" t="str">
            <v>sp 1271</v>
          </cell>
          <cell r="B760" t="str">
            <v>Túi trà hương sen 100gr zipper Kim Anh</v>
          </cell>
          <cell r="C760">
            <v>9.6489999999999991</v>
          </cell>
          <cell r="D760">
            <v>1</v>
          </cell>
          <cell r="E760" t="str">
            <v>OPP mờ 20x540</v>
          </cell>
          <cell r="F760">
            <v>8</v>
          </cell>
          <cell r="G760" t="str">
            <v>OPP</v>
          </cell>
          <cell r="H760">
            <v>0</v>
          </cell>
          <cell r="I760">
            <v>3</v>
          </cell>
          <cell r="J760">
            <v>1.9430000000000001</v>
          </cell>
          <cell r="K760">
            <v>0.32400000000000001</v>
          </cell>
          <cell r="L760">
            <v>1.9430000000000001</v>
          </cell>
          <cell r="M760">
            <v>1.619</v>
          </cell>
          <cell r="N760">
            <v>0</v>
          </cell>
          <cell r="O760">
            <v>0.01</v>
          </cell>
          <cell r="P760">
            <v>0.48599999999999999</v>
          </cell>
          <cell r="Q760">
            <v>0.32400000000000001</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t="str">
            <v>MPET 12x540</v>
          </cell>
          <cell r="AF760" t="str">
            <v>PE 90x540</v>
          </cell>
          <cell r="AG760">
            <v>6.3423000000000007E-2</v>
          </cell>
          <cell r="AH760">
            <v>1.06</v>
          </cell>
          <cell r="AI760">
            <v>1.06</v>
          </cell>
          <cell r="AJ760">
            <v>9530</v>
          </cell>
          <cell r="AK760">
            <v>9530</v>
          </cell>
          <cell r="AL760" t="str">
            <v>0,006(0,003,0,003)</v>
          </cell>
          <cell r="AM760" t="str">
            <v>túi ba biên zipper đáy đứng</v>
          </cell>
          <cell r="AN760">
            <v>150</v>
          </cell>
          <cell r="AO760" t="str">
            <v>Công ty CP chè Kim Anh</v>
          </cell>
          <cell r="AP760" t="str">
            <v>X109702-1</v>
          </cell>
          <cell r="AQ760" t="str">
            <v>X109701-2</v>
          </cell>
          <cell r="AR760" t="str">
            <v>X109702-3</v>
          </cell>
          <cell r="AS760" t="str">
            <v>X109702-4</v>
          </cell>
          <cell r="AT760" t="str">
            <v>X109702-5</v>
          </cell>
          <cell r="AU760" t="str">
            <v>X109702-6</v>
          </cell>
          <cell r="AV760" t="str">
            <v>X109701-8</v>
          </cell>
          <cell r="AW760">
            <v>0</v>
          </cell>
          <cell r="AX760">
            <v>0</v>
          </cell>
          <cell r="AY760" t="str">
            <v>450x870</v>
          </cell>
          <cell r="AZ760">
            <v>0</v>
          </cell>
          <cell r="BA760">
            <v>0</v>
          </cell>
          <cell r="BB760">
            <v>0</v>
          </cell>
          <cell r="BC760">
            <v>0</v>
          </cell>
          <cell r="BD760" t="e">
            <v>#N/A</v>
          </cell>
        </row>
        <row r="761">
          <cell r="A761" t="str">
            <v>sp 1272</v>
          </cell>
          <cell r="B761" t="str">
            <v>Túi trà xanh 100gr zipper - Kim Anh</v>
          </cell>
          <cell r="C761">
            <v>5.093</v>
          </cell>
          <cell r="D761">
            <v>1</v>
          </cell>
          <cell r="E761" t="str">
            <v>OPP mờ 20x540</v>
          </cell>
          <cell r="F761">
            <v>8</v>
          </cell>
          <cell r="G761" t="str">
            <v>OPP</v>
          </cell>
          <cell r="H761">
            <v>0.14899999999999999</v>
          </cell>
          <cell r="I761">
            <v>3</v>
          </cell>
          <cell r="J761">
            <v>0.44600000000000001</v>
          </cell>
          <cell r="K761">
            <v>0.44600000000000001</v>
          </cell>
          <cell r="L761">
            <v>0.01</v>
          </cell>
          <cell r="M761">
            <v>0</v>
          </cell>
          <cell r="N761">
            <v>0</v>
          </cell>
          <cell r="O761">
            <v>0.29799999999999999</v>
          </cell>
          <cell r="P761">
            <v>0.29799999999999999</v>
          </cell>
          <cell r="Q761">
            <v>0</v>
          </cell>
          <cell r="R761">
            <v>0</v>
          </cell>
          <cell r="S761">
            <v>0</v>
          </cell>
          <cell r="T761">
            <v>0.44600000000000001</v>
          </cell>
          <cell r="U761">
            <v>0</v>
          </cell>
          <cell r="V761">
            <v>0</v>
          </cell>
          <cell r="W761">
            <v>0</v>
          </cell>
          <cell r="X761">
            <v>0</v>
          </cell>
          <cell r="Y761">
            <v>0</v>
          </cell>
          <cell r="Z761">
            <v>0</v>
          </cell>
          <cell r="AA761">
            <v>0</v>
          </cell>
          <cell r="AB761">
            <v>0</v>
          </cell>
          <cell r="AC761">
            <v>0</v>
          </cell>
          <cell r="AD761">
            <v>0</v>
          </cell>
          <cell r="AE761" t="str">
            <v>MPET 12x540</v>
          </cell>
          <cell r="AF761" t="str">
            <v>PE 90x540</v>
          </cell>
          <cell r="AG761">
            <v>6.3423000000000007E-2</v>
          </cell>
          <cell r="AH761">
            <v>1.06</v>
          </cell>
          <cell r="AI761">
            <v>1.06</v>
          </cell>
          <cell r="AJ761">
            <v>9530</v>
          </cell>
          <cell r="AK761">
            <v>9530</v>
          </cell>
          <cell r="AL761" t="str">
            <v>0,006(0,003,0,003)</v>
          </cell>
          <cell r="AM761" t="str">
            <v>túi ba biên zipper đáy đứng</v>
          </cell>
          <cell r="AN761">
            <v>150</v>
          </cell>
          <cell r="AO761" t="str">
            <v>Công ty CP chè Kim Anh</v>
          </cell>
          <cell r="AP761" t="str">
            <v>X109701-1</v>
          </cell>
          <cell r="AQ761" t="str">
            <v>X109704-2</v>
          </cell>
          <cell r="AR761" t="str">
            <v>X109701-3</v>
          </cell>
          <cell r="AS761" t="str">
            <v>X109704--4</v>
          </cell>
          <cell r="AT761" t="str">
            <v>X109704--5</v>
          </cell>
          <cell r="AU761" t="str">
            <v>X109704--6</v>
          </cell>
          <cell r="AV761" t="str">
            <v>X109704--7</v>
          </cell>
          <cell r="AW761" t="str">
            <v>X109701-8</v>
          </cell>
          <cell r="AX761">
            <v>0</v>
          </cell>
          <cell r="AY761" t="str">
            <v>450x870</v>
          </cell>
          <cell r="AZ761">
            <v>0</v>
          </cell>
          <cell r="BA761">
            <v>0</v>
          </cell>
          <cell r="BB761">
            <v>0</v>
          </cell>
          <cell r="BC761">
            <v>0</v>
          </cell>
          <cell r="BD761" t="e">
            <v>#N/A</v>
          </cell>
        </row>
        <row r="762">
          <cell r="A762" t="str">
            <v>sp 1273</v>
          </cell>
          <cell r="B762" t="str">
            <v>Túi muối tinh I ốt 999 -250gr Hằng Hải</v>
          </cell>
          <cell r="C762">
            <v>5.8079999999999998</v>
          </cell>
          <cell r="D762">
            <v>3</v>
          </cell>
          <cell r="E762" t="str">
            <v>OPP 20x704</v>
          </cell>
          <cell r="F762">
            <v>7</v>
          </cell>
          <cell r="G762" t="str">
            <v>OPP</v>
          </cell>
          <cell r="H762">
            <v>0.01</v>
          </cell>
          <cell r="I762">
            <v>0.245</v>
          </cell>
          <cell r="J762">
            <v>0.245</v>
          </cell>
          <cell r="K762">
            <v>8.2000000000000003E-2</v>
          </cell>
          <cell r="L762">
            <v>0.32700000000000001</v>
          </cell>
          <cell r="M762">
            <v>3.59</v>
          </cell>
          <cell r="N762">
            <v>0</v>
          </cell>
          <cell r="O762">
            <v>0</v>
          </cell>
          <cell r="P762">
            <v>1.145</v>
          </cell>
          <cell r="Q762">
            <v>0.16400000000000001</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t="str">
            <v>PE 45x704</v>
          </cell>
          <cell r="AF762">
            <v>0</v>
          </cell>
          <cell r="AG762">
            <v>4.1877499999999998E-2</v>
          </cell>
          <cell r="AH762">
            <v>0.30666666666666664</v>
          </cell>
          <cell r="AI762">
            <v>0</v>
          </cell>
          <cell r="AJ762">
            <v>9530</v>
          </cell>
          <cell r="AK762">
            <v>0</v>
          </cell>
          <cell r="AL762">
            <v>2.3E-3</v>
          </cell>
          <cell r="AM762" t="str">
            <v>túi ba biên</v>
          </cell>
          <cell r="AN762">
            <v>159</v>
          </cell>
          <cell r="AO762" t="str">
            <v>Công ty TNHH TM Hằng Hải</v>
          </cell>
          <cell r="AP762" t="str">
            <v>1803797-1</v>
          </cell>
          <cell r="AQ762" t="str">
            <v>1803797-2</v>
          </cell>
          <cell r="AR762" t="str">
            <v>1803797-3</v>
          </cell>
          <cell r="AS762" t="str">
            <v>1803797-4</v>
          </cell>
          <cell r="AT762" t="str">
            <v>1803797-5</v>
          </cell>
          <cell r="AU762" t="str">
            <v>1803797-6</v>
          </cell>
          <cell r="AV762" t="str">
            <v>1803797-7</v>
          </cell>
          <cell r="AW762">
            <v>0</v>
          </cell>
          <cell r="AX762">
            <v>0</v>
          </cell>
          <cell r="AY762" t="str">
            <v>477x770</v>
          </cell>
          <cell r="AZ762">
            <v>0</v>
          </cell>
          <cell r="BA762">
            <v>0</v>
          </cell>
          <cell r="BB762">
            <v>0</v>
          </cell>
          <cell r="BC762">
            <v>0</v>
          </cell>
          <cell r="BD762" t="e">
            <v>#N/A</v>
          </cell>
        </row>
        <row r="763">
          <cell r="A763" t="str">
            <v>sp 1274</v>
          </cell>
          <cell r="B763" t="str">
            <v>Cuộn màng nhôm đen trắng in chữ CPM TH Việt</v>
          </cell>
          <cell r="C763">
            <v>0.85</v>
          </cell>
          <cell r="D763">
            <v>1</v>
          </cell>
          <cell r="E763" t="str">
            <v>PE đt 40x1285</v>
          </cell>
          <cell r="F763">
            <v>2</v>
          </cell>
          <cell r="G763" t="str">
            <v xml:space="preserve">PE </v>
          </cell>
          <cell r="H763">
            <v>0</v>
          </cell>
          <cell r="I763">
            <v>0</v>
          </cell>
          <cell r="J763">
            <v>3.6999999999999998E-2</v>
          </cell>
          <cell r="K763">
            <v>0.58399999999999996</v>
          </cell>
          <cell r="L763">
            <v>0</v>
          </cell>
          <cell r="M763">
            <v>0</v>
          </cell>
          <cell r="N763">
            <v>0</v>
          </cell>
          <cell r="O763">
            <v>0</v>
          </cell>
          <cell r="P763">
            <v>0.01</v>
          </cell>
          <cell r="Q763">
            <v>0</v>
          </cell>
          <cell r="R763">
            <v>0.219</v>
          </cell>
          <cell r="S763">
            <v>0</v>
          </cell>
          <cell r="T763">
            <v>0</v>
          </cell>
          <cell r="U763">
            <v>0</v>
          </cell>
          <cell r="V763">
            <v>0</v>
          </cell>
          <cell r="W763">
            <v>0</v>
          </cell>
          <cell r="X763">
            <v>0</v>
          </cell>
          <cell r="Y763">
            <v>0</v>
          </cell>
          <cell r="Z763">
            <v>0</v>
          </cell>
          <cell r="AA763">
            <v>0</v>
          </cell>
          <cell r="AB763">
            <v>0</v>
          </cell>
          <cell r="AC763">
            <v>0</v>
          </cell>
          <cell r="AD763">
            <v>0</v>
          </cell>
          <cell r="AE763" t="str">
            <v>PE 20x1285</v>
          </cell>
          <cell r="AF763">
            <v>0</v>
          </cell>
          <cell r="AG763">
            <v>7.4144500000000002E-2</v>
          </cell>
          <cell r="AH763">
            <v>1.6999999999999997</v>
          </cell>
          <cell r="AI763">
            <v>0</v>
          </cell>
          <cell r="AJ763">
            <v>9530</v>
          </cell>
          <cell r="AK763">
            <v>0</v>
          </cell>
          <cell r="AL763">
            <v>2E-3</v>
          </cell>
          <cell r="AM763" t="str">
            <v>dạng cuộn 2,030m</v>
          </cell>
          <cell r="AN763">
            <v>1285</v>
          </cell>
          <cell r="AO763" t="str">
            <v>Công ty TH Việt</v>
          </cell>
          <cell r="AP763" t="e">
            <v>#N/A</v>
          </cell>
          <cell r="AQ763" t="e">
            <v>#N/A</v>
          </cell>
          <cell r="AR763" t="e">
            <v>#N/A</v>
          </cell>
          <cell r="AS763" t="e">
            <v>#N/A</v>
          </cell>
          <cell r="AT763" t="e">
            <v>#N/A</v>
          </cell>
          <cell r="AU763" t="e">
            <v>#N/A</v>
          </cell>
          <cell r="AV763" t="e">
            <v>#N/A</v>
          </cell>
          <cell r="AW763" t="e">
            <v>#N/A</v>
          </cell>
          <cell r="AX763" t="e">
            <v>#N/A</v>
          </cell>
          <cell r="AY763" t="e">
            <v>#N/A</v>
          </cell>
          <cell r="AZ763" t="e">
            <v>#N/A</v>
          </cell>
          <cell r="BA763">
            <v>0</v>
          </cell>
          <cell r="BB763">
            <v>0</v>
          </cell>
          <cell r="BC763">
            <v>0</v>
          </cell>
          <cell r="BD763" t="e">
            <v>#N/A</v>
          </cell>
        </row>
        <row r="764">
          <cell r="A764" t="str">
            <v>sp 1275</v>
          </cell>
          <cell r="B764" t="str">
            <v>Cuộn bánh  in 3 màu Marika</v>
          </cell>
          <cell r="C764">
            <v>6.1629999999999994</v>
          </cell>
          <cell r="D764">
            <v>8</v>
          </cell>
          <cell r="E764" t="str">
            <v>CPP 20x740</v>
          </cell>
          <cell r="F764">
            <v>3</v>
          </cell>
          <cell r="G764" t="str">
            <v>CPP</v>
          </cell>
          <cell r="H764">
            <v>0.01</v>
          </cell>
          <cell r="I764">
            <v>2.9540000000000002</v>
          </cell>
          <cell r="J764">
            <v>0</v>
          </cell>
          <cell r="K764">
            <v>0</v>
          </cell>
          <cell r="L764">
            <v>0</v>
          </cell>
          <cell r="M764">
            <v>2.5499999999999998</v>
          </cell>
          <cell r="N764">
            <v>0</v>
          </cell>
          <cell r="O764">
            <v>0</v>
          </cell>
          <cell r="P764">
            <v>0.01</v>
          </cell>
          <cell r="Q764">
            <v>0.63900000000000001</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t="str">
            <v>PET 12x740</v>
          </cell>
          <cell r="AF764">
            <v>0</v>
          </cell>
          <cell r="AG764">
            <v>2.5900000000000003E-2</v>
          </cell>
          <cell r="AH764">
            <v>0.97333333333333327</v>
          </cell>
          <cell r="AI764">
            <v>0</v>
          </cell>
          <cell r="AJ764">
            <v>9530</v>
          </cell>
          <cell r="AK764">
            <v>0</v>
          </cell>
          <cell r="AL764">
            <v>2E-3</v>
          </cell>
          <cell r="AM764" t="str">
            <v>dạng cuộn 1,500m</v>
          </cell>
          <cell r="AN764">
            <v>90</v>
          </cell>
          <cell r="AO764" t="str">
            <v>Công ty Marika</v>
          </cell>
          <cell r="AP764" t="str">
            <v>20091119-1</v>
          </cell>
          <cell r="AQ764" t="str">
            <v>20091119-2</v>
          </cell>
          <cell r="AR764" t="str">
            <v>20091119-3</v>
          </cell>
          <cell r="AS764">
            <v>0</v>
          </cell>
          <cell r="AT764">
            <v>0</v>
          </cell>
          <cell r="AU764">
            <v>0</v>
          </cell>
          <cell r="AV764">
            <v>0</v>
          </cell>
          <cell r="AW764">
            <v>0</v>
          </cell>
          <cell r="AX764">
            <v>0</v>
          </cell>
          <cell r="AY764" t="str">
            <v>455x850</v>
          </cell>
          <cell r="AZ764">
            <v>0</v>
          </cell>
          <cell r="BA764">
            <v>0</v>
          </cell>
          <cell r="BB764">
            <v>0</v>
          </cell>
          <cell r="BC764">
            <v>0</v>
          </cell>
          <cell r="BD764" t="e">
            <v>#N/A</v>
          </cell>
        </row>
        <row r="765">
          <cell r="A765" t="str">
            <v>sp 1276</v>
          </cell>
          <cell r="B765" t="str">
            <v>Cuộn hạt giống cải xanh lá to 22, củ cải ngắn lai 13, cải cúc tẻ 07 lucky</v>
          </cell>
          <cell r="C765">
            <v>4.149</v>
          </cell>
          <cell r="D765">
            <v>3</v>
          </cell>
          <cell r="E765" t="str">
            <v>PET 12x800</v>
          </cell>
          <cell r="F765">
            <v>6</v>
          </cell>
          <cell r="G765" t="str">
            <v>PET</v>
          </cell>
          <cell r="H765">
            <v>0</v>
          </cell>
          <cell r="I765">
            <v>1.58</v>
          </cell>
          <cell r="J765">
            <v>0.19800000000000001</v>
          </cell>
          <cell r="K765">
            <v>9.9000000000000005E-2</v>
          </cell>
          <cell r="L765">
            <v>0.59299999999999997</v>
          </cell>
          <cell r="M765">
            <v>1.58</v>
          </cell>
          <cell r="N765">
            <v>0</v>
          </cell>
          <cell r="O765">
            <v>0</v>
          </cell>
          <cell r="P765">
            <v>9.9000000000000005E-2</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t="str">
            <v>MPET 12x800</v>
          </cell>
          <cell r="AF765" t="str">
            <v>PE100x800</v>
          </cell>
          <cell r="AG765">
            <v>0.10088000000000003</v>
          </cell>
          <cell r="AH765">
            <v>1.2113333333333334</v>
          </cell>
          <cell r="AI765">
            <v>1.2113333333333334</v>
          </cell>
          <cell r="AJ765">
            <v>9530</v>
          </cell>
          <cell r="AK765">
            <v>9530</v>
          </cell>
          <cell r="AL765" t="str">
            <v>0,0046 (0,0023,0,0023)</v>
          </cell>
          <cell r="AM765" t="str">
            <v>dạng cuộn 700m</v>
          </cell>
          <cell r="AN765">
            <v>260</v>
          </cell>
          <cell r="AO765" t="str">
            <v>Công ty Giống lucky</v>
          </cell>
          <cell r="AP765" t="str">
            <v>20090095-1</v>
          </cell>
          <cell r="AQ765" t="str">
            <v>20090095-2</v>
          </cell>
          <cell r="AR765" t="str">
            <v>20090095-3</v>
          </cell>
          <cell r="AS765" t="str">
            <v>20090095-4</v>
          </cell>
          <cell r="AT765" t="str">
            <v>20090095-5</v>
          </cell>
          <cell r="AU765" t="str">
            <v>20081014-6</v>
          </cell>
          <cell r="AV765">
            <v>0</v>
          </cell>
          <cell r="AW765">
            <v>0</v>
          </cell>
          <cell r="AX765">
            <v>0</v>
          </cell>
          <cell r="AY765" t="str">
            <v>570x870</v>
          </cell>
          <cell r="AZ765">
            <v>0</v>
          </cell>
          <cell r="BA765">
            <v>0</v>
          </cell>
          <cell r="BB765">
            <v>0</v>
          </cell>
          <cell r="BC765">
            <v>0</v>
          </cell>
          <cell r="BD765" t="e">
            <v>#N/A</v>
          </cell>
        </row>
        <row r="766">
          <cell r="A766" t="str">
            <v>sp 1277</v>
          </cell>
          <cell r="B766" t="str">
            <v>Cuộn hạt giống cải xanh lá to 1022, củ cải ngắn lai 1013, cải mào gà 1092 Sao Việt</v>
          </cell>
          <cell r="C766">
            <v>0.64100000000000001</v>
          </cell>
          <cell r="D766">
            <v>3</v>
          </cell>
          <cell r="E766" t="str">
            <v>PET 12x800</v>
          </cell>
          <cell r="F766">
            <v>6</v>
          </cell>
          <cell r="G766" t="str">
            <v>PET</v>
          </cell>
          <cell r="H766">
            <v>0.105</v>
          </cell>
          <cell r="I766">
            <v>0</v>
          </cell>
          <cell r="J766">
            <v>0.21</v>
          </cell>
          <cell r="K766">
            <v>0.316</v>
          </cell>
          <cell r="L766">
            <v>0</v>
          </cell>
          <cell r="M766">
            <v>0</v>
          </cell>
          <cell r="N766">
            <v>0</v>
          </cell>
          <cell r="O766">
            <v>0</v>
          </cell>
          <cell r="P766">
            <v>0.01</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t="str">
            <v>MPET 12x800</v>
          </cell>
          <cell r="AF766" t="str">
            <v>PE100x800</v>
          </cell>
          <cell r="AG766">
            <v>0.10088000000000003</v>
          </cell>
          <cell r="AH766">
            <v>1.2113333333333334</v>
          </cell>
          <cell r="AI766">
            <v>1.2113333333333334</v>
          </cell>
          <cell r="AJ766">
            <v>9530</v>
          </cell>
          <cell r="AK766">
            <v>9530</v>
          </cell>
          <cell r="AL766" t="str">
            <v>0,0046 (0,0023,0,0023)</v>
          </cell>
          <cell r="AM766" t="str">
            <v>dạng cuộn 700m</v>
          </cell>
          <cell r="AN766">
            <v>260</v>
          </cell>
          <cell r="AO766" t="str">
            <v>Công ty Giống lucky</v>
          </cell>
          <cell r="AP766" t="str">
            <v>21070327-1</v>
          </cell>
          <cell r="AQ766" t="str">
            <v>21070327-2</v>
          </cell>
          <cell r="AR766" t="str">
            <v>21070327-3</v>
          </cell>
          <cell r="AS766" t="str">
            <v>21070327-4</v>
          </cell>
          <cell r="AT766" t="str">
            <v>21070327-5</v>
          </cell>
          <cell r="AU766" t="str">
            <v>20081014-6</v>
          </cell>
          <cell r="AV766">
            <v>0</v>
          </cell>
          <cell r="AW766">
            <v>0</v>
          </cell>
          <cell r="AX766">
            <v>0</v>
          </cell>
          <cell r="AY766" t="str">
            <v>570x870</v>
          </cell>
          <cell r="AZ766">
            <v>0</v>
          </cell>
          <cell r="BA766">
            <v>0</v>
          </cell>
          <cell r="BB766">
            <v>0</v>
          </cell>
          <cell r="BC766">
            <v>0</v>
          </cell>
          <cell r="BD766" t="e">
            <v>#N/A</v>
          </cell>
        </row>
        <row r="767">
          <cell r="A767" t="str">
            <v>sp 1278</v>
          </cell>
          <cell r="B767" t="str">
            <v>Túi nhôm không in KT 71x205x55mm - TPP France</v>
          </cell>
          <cell r="C767">
            <v>0</v>
          </cell>
          <cell r="D767">
            <v>3</v>
          </cell>
          <cell r="E767" t="str">
            <v>PET 12x840</v>
          </cell>
          <cell r="F767">
            <v>0</v>
          </cell>
          <cell r="G767" t="str">
            <v>PET</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t="str">
            <v>Al 6x840</v>
          </cell>
          <cell r="AF767" t="str">
            <v>PE70x850</v>
          </cell>
          <cell r="AG767">
            <v>8.2160400000000008E-2</v>
          </cell>
          <cell r="AH767">
            <v>1.2726666666666666</v>
          </cell>
          <cell r="AI767">
            <v>1.2726666666666666</v>
          </cell>
          <cell r="AJ767">
            <v>9530</v>
          </cell>
          <cell r="AK767">
            <v>9530</v>
          </cell>
          <cell r="AL767" t="str">
            <v>0,0046(0,0023;0,0023)</v>
          </cell>
          <cell r="AM767" t="str">
            <v>túi hàn lưng xếp hông</v>
          </cell>
          <cell r="AN767">
            <v>205</v>
          </cell>
          <cell r="AO767" t="str">
            <v>Công ty CP Liên Doanh Dược Phẩm TPP France</v>
          </cell>
          <cell r="AP767">
            <v>0</v>
          </cell>
          <cell r="AQ767">
            <v>0</v>
          </cell>
          <cell r="AR767">
            <v>0</v>
          </cell>
          <cell r="AS767">
            <v>0</v>
          </cell>
          <cell r="AT767">
            <v>0</v>
          </cell>
          <cell r="AU767">
            <v>0</v>
          </cell>
          <cell r="AV767">
            <v>0</v>
          </cell>
          <cell r="AW767">
            <v>0</v>
          </cell>
          <cell r="AX767">
            <v>0</v>
          </cell>
          <cell r="AY767">
            <v>0</v>
          </cell>
          <cell r="AZ767">
            <v>0</v>
          </cell>
          <cell r="BA767">
            <v>0</v>
          </cell>
          <cell r="BB767">
            <v>0</v>
          </cell>
          <cell r="BC767">
            <v>0</v>
          </cell>
          <cell r="BD767" t="e">
            <v>#N/A</v>
          </cell>
        </row>
        <row r="768">
          <cell r="A768" t="str">
            <v>sp 1279</v>
          </cell>
          <cell r="B768" t="str">
            <v>Túi nhôm không in KT 65x160x40mm - TPP France</v>
          </cell>
          <cell r="C768">
            <v>0</v>
          </cell>
          <cell r="D768">
            <v>3</v>
          </cell>
          <cell r="E768" t="str">
            <v>PET 12x710</v>
          </cell>
          <cell r="F768">
            <v>0</v>
          </cell>
          <cell r="G768" t="str">
            <v>PET</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t="str">
            <v>Al 6x710</v>
          </cell>
          <cell r="AF768" t="str">
            <v>PE70x720</v>
          </cell>
          <cell r="AG768">
            <v>6.9445099999999996E-2</v>
          </cell>
          <cell r="AH768">
            <v>1.0733333333333333</v>
          </cell>
          <cell r="AI768">
            <v>1.0733333333333333</v>
          </cell>
          <cell r="AJ768">
            <v>9530</v>
          </cell>
          <cell r="AK768">
            <v>9530</v>
          </cell>
          <cell r="AL768" t="str">
            <v>0,0046(0,0023;0,0023)</v>
          </cell>
          <cell r="AM768" t="str">
            <v>túi hàn lưng xếp hông</v>
          </cell>
          <cell r="AN768">
            <v>160</v>
          </cell>
          <cell r="AO768" t="str">
            <v>Công ty CP Liên Doanh Dược Phẩm TPP France</v>
          </cell>
          <cell r="AP768">
            <v>0</v>
          </cell>
          <cell r="AQ768">
            <v>0</v>
          </cell>
          <cell r="AR768">
            <v>0</v>
          </cell>
          <cell r="AS768">
            <v>0</v>
          </cell>
          <cell r="AT768">
            <v>0</v>
          </cell>
          <cell r="AU768">
            <v>0</v>
          </cell>
          <cell r="AV768">
            <v>0</v>
          </cell>
          <cell r="AW768">
            <v>0</v>
          </cell>
          <cell r="AX768">
            <v>0</v>
          </cell>
          <cell r="AY768">
            <v>0</v>
          </cell>
          <cell r="AZ768">
            <v>0</v>
          </cell>
          <cell r="BA768">
            <v>0</v>
          </cell>
          <cell r="BB768">
            <v>0</v>
          </cell>
          <cell r="BC768">
            <v>0</v>
          </cell>
          <cell r="BD768" t="e">
            <v>#N/A</v>
          </cell>
        </row>
        <row r="769">
          <cell r="A769" t="str">
            <v>sp 1280</v>
          </cell>
          <cell r="B769" t="str">
            <v>Túi nhôm livibilnic 2 vỉ x 20 viên nén bao phim Traphaco</v>
          </cell>
          <cell r="C769">
            <v>4.2240000000000002</v>
          </cell>
          <cell r="D769">
            <v>3</v>
          </cell>
          <cell r="E769" t="str">
            <v>OPP 20x620</v>
          </cell>
          <cell r="F769">
            <v>1</v>
          </cell>
          <cell r="G769" t="str">
            <v>OPP</v>
          </cell>
          <cell r="H769">
            <v>0</v>
          </cell>
          <cell r="I769">
            <v>0</v>
          </cell>
          <cell r="J769">
            <v>1.1240000000000001</v>
          </cell>
          <cell r="K769">
            <v>0</v>
          </cell>
          <cell r="L769">
            <v>3.09</v>
          </cell>
          <cell r="M769">
            <v>0</v>
          </cell>
          <cell r="N769">
            <v>0</v>
          </cell>
          <cell r="O769">
            <v>0.01</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t="str">
            <v>Al 6x620</v>
          </cell>
          <cell r="AF769" t="str">
            <v>PE 55x630</v>
          </cell>
          <cell r="AG769">
            <v>5.2907700000000002E-2</v>
          </cell>
          <cell r="AH769">
            <v>1.0166666666666666</v>
          </cell>
          <cell r="AI769">
            <v>1.0166666666666666</v>
          </cell>
          <cell r="AJ769">
            <v>9530</v>
          </cell>
          <cell r="AK769">
            <v>9530</v>
          </cell>
          <cell r="AL769" t="str">
            <v>0,005(0,0025;0,0025)</v>
          </cell>
          <cell r="AM769" t="str">
            <v>túi hàn lưng xếp hông</v>
          </cell>
          <cell r="AN769">
            <v>160</v>
          </cell>
          <cell r="AO769" t="str">
            <v>Công ty Traphaco</v>
          </cell>
          <cell r="AP769" t="str">
            <v>20090313-1</v>
          </cell>
          <cell r="AQ769">
            <v>0</v>
          </cell>
          <cell r="AR769">
            <v>0</v>
          </cell>
          <cell r="AS769">
            <v>0</v>
          </cell>
          <cell r="AT769">
            <v>0</v>
          </cell>
          <cell r="AU769">
            <v>0</v>
          </cell>
          <cell r="AV769">
            <v>0</v>
          </cell>
          <cell r="AW769">
            <v>0</v>
          </cell>
          <cell r="AX769">
            <v>0</v>
          </cell>
          <cell r="AY769" t="str">
            <v>480x870</v>
          </cell>
          <cell r="AZ769">
            <v>0</v>
          </cell>
          <cell r="BA769">
            <v>0</v>
          </cell>
          <cell r="BB769">
            <v>0</v>
          </cell>
          <cell r="BC769">
            <v>0</v>
          </cell>
          <cell r="BD769" t="e">
            <v>#N/A</v>
          </cell>
        </row>
        <row r="770">
          <cell r="A770" t="str">
            <v>sp 1281</v>
          </cell>
          <cell r="B770" t="str">
            <v>Túi bánh phủ mờ 350gr Marika</v>
          </cell>
          <cell r="C770">
            <v>0</v>
          </cell>
          <cell r="D770">
            <v>1</v>
          </cell>
          <cell r="E770" t="str">
            <v>PET 12x670</v>
          </cell>
          <cell r="F770">
            <v>8</v>
          </cell>
          <cell r="G770" t="str">
            <v>PET</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t="str">
            <v>PE 110x670</v>
          </cell>
          <cell r="AF770">
            <v>0</v>
          </cell>
          <cell r="AG770">
            <v>7.9428500000000013E-2</v>
          </cell>
          <cell r="AH770">
            <v>1.32</v>
          </cell>
          <cell r="AI770">
            <v>0</v>
          </cell>
          <cell r="AJ770">
            <v>9530</v>
          </cell>
          <cell r="AK770">
            <v>0</v>
          </cell>
          <cell r="AL770">
            <v>3.0000000000000001E-3</v>
          </cell>
          <cell r="AM770" t="str">
            <v>túi ba biên đáy đứng</v>
          </cell>
          <cell r="AN770">
            <v>190</v>
          </cell>
          <cell r="AO770" t="str">
            <v>Công ty Marika</v>
          </cell>
          <cell r="AP770" t="str">
            <v>20091007-1</v>
          </cell>
          <cell r="AQ770" t="str">
            <v>20091007-2</v>
          </cell>
          <cell r="AR770" t="str">
            <v>20091007-3</v>
          </cell>
          <cell r="AS770" t="str">
            <v>20091007-4</v>
          </cell>
          <cell r="AT770" t="str">
            <v>20091007-5</v>
          </cell>
          <cell r="AU770" t="str">
            <v>20091007-6</v>
          </cell>
          <cell r="AV770" t="str">
            <v>20091007-7</v>
          </cell>
          <cell r="AW770" t="str">
            <v>20091007-8</v>
          </cell>
          <cell r="AX770">
            <v>0</v>
          </cell>
          <cell r="AY770" t="str">
            <v>570x1050</v>
          </cell>
          <cell r="AZ770">
            <v>0</v>
          </cell>
          <cell r="BA770">
            <v>0</v>
          </cell>
          <cell r="BB770">
            <v>0</v>
          </cell>
          <cell r="BC770">
            <v>0</v>
          </cell>
          <cell r="BD770" t="e">
            <v>#N/A</v>
          </cell>
        </row>
        <row r="771">
          <cell r="A771" t="str">
            <v>sp 1282</v>
          </cell>
          <cell r="B771" t="str">
            <v>Túi kẹo CEME 4KM phủ mờ 400gr Marika</v>
          </cell>
          <cell r="C771">
            <v>0</v>
          </cell>
          <cell r="D771">
            <v>1</v>
          </cell>
          <cell r="E771" t="str">
            <v>PET 12x660</v>
          </cell>
          <cell r="F771">
            <v>8</v>
          </cell>
          <cell r="G771" t="str">
            <v>PET</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t="str">
            <v>PE 110x660</v>
          </cell>
          <cell r="AF771">
            <v>0</v>
          </cell>
          <cell r="AG771">
            <v>7.8243000000000007E-2</v>
          </cell>
          <cell r="AH771">
            <v>1.3</v>
          </cell>
          <cell r="AI771">
            <v>0</v>
          </cell>
          <cell r="AJ771">
            <v>9530</v>
          </cell>
          <cell r="AK771">
            <v>0</v>
          </cell>
          <cell r="AL771">
            <v>3.0000000000000001E-3</v>
          </cell>
          <cell r="AM771" t="str">
            <v>túi ba biên đáy đứng</v>
          </cell>
          <cell r="AN771">
            <v>190</v>
          </cell>
          <cell r="AO771" t="str">
            <v>Công ty Marika</v>
          </cell>
          <cell r="AP771" t="str">
            <v>20091006-1</v>
          </cell>
          <cell r="AQ771" t="str">
            <v>20091006-2</v>
          </cell>
          <cell r="AR771" t="str">
            <v>20091006-3</v>
          </cell>
          <cell r="AS771" t="str">
            <v>20091006-4</v>
          </cell>
          <cell r="AT771" t="str">
            <v>20091006-5</v>
          </cell>
          <cell r="AU771" t="str">
            <v>20091006-6</v>
          </cell>
          <cell r="AV771" t="str">
            <v>20091006-7</v>
          </cell>
          <cell r="AW771" t="str">
            <v>20091007-8</v>
          </cell>
          <cell r="AX771">
            <v>0</v>
          </cell>
          <cell r="AY771" t="str">
            <v>570x1050</v>
          </cell>
          <cell r="AZ771">
            <v>0</v>
          </cell>
          <cell r="BA771">
            <v>0</v>
          </cell>
          <cell r="BB771">
            <v>0</v>
          </cell>
          <cell r="BC771">
            <v>0</v>
          </cell>
          <cell r="BD771" t="e">
            <v>#N/A</v>
          </cell>
        </row>
        <row r="772">
          <cell r="A772" t="str">
            <v>sp 1283</v>
          </cell>
          <cell r="B772" t="str">
            <v>Túi hạt giống cải làn hoa vàng Japan và Việt Nhật (12SP)</v>
          </cell>
          <cell r="C772">
            <v>5.9489999999999998</v>
          </cell>
          <cell r="D772">
            <v>3</v>
          </cell>
          <cell r="E772" t="str">
            <v>OPP 30x740</v>
          </cell>
          <cell r="F772">
            <v>3</v>
          </cell>
          <cell r="G772" t="str">
            <v>OPP</v>
          </cell>
          <cell r="H772">
            <v>4.3999999999999997E-2</v>
          </cell>
          <cell r="I772">
            <v>3.0510000000000002</v>
          </cell>
          <cell r="J772">
            <v>0.01</v>
          </cell>
          <cell r="K772">
            <v>0.01</v>
          </cell>
          <cell r="L772">
            <v>0.65400000000000003</v>
          </cell>
          <cell r="M772">
            <v>1.9179999999999999</v>
          </cell>
          <cell r="N772">
            <v>0</v>
          </cell>
          <cell r="O772">
            <v>0</v>
          </cell>
          <cell r="P772">
            <v>0</v>
          </cell>
          <cell r="Q772">
            <v>0.26200000000000001</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t="str">
            <v>MPET 12x740</v>
          </cell>
          <cell r="AF772" t="str">
            <v>PE75x740</v>
          </cell>
          <cell r="AG772">
            <v>8.3971500000000004E-2</v>
          </cell>
          <cell r="AH772">
            <v>1.1193333333333333</v>
          </cell>
          <cell r="AI772">
            <v>1.1193333333333333</v>
          </cell>
          <cell r="AJ772">
            <v>9530</v>
          </cell>
          <cell r="AK772">
            <v>9530</v>
          </cell>
          <cell r="AL772" t="str">
            <v>0,0046(0,0023,0023)</v>
          </cell>
          <cell r="AM772" t="str">
            <v>túi ba biên</v>
          </cell>
          <cell r="AN772">
            <v>180</v>
          </cell>
          <cell r="AO772" t="str">
            <v>Công ty TNHH SX&amp;TM Việt Nhật</v>
          </cell>
          <cell r="AP772" t="str">
            <v>19061016-1</v>
          </cell>
          <cell r="AQ772" t="str">
            <v>19061016-2</v>
          </cell>
          <cell r="AR772" t="str">
            <v>19061016-3</v>
          </cell>
          <cell r="AS772" t="str">
            <v>19061016-4</v>
          </cell>
          <cell r="AT772" t="str">
            <v>19061016-5</v>
          </cell>
          <cell r="AU772">
            <v>0</v>
          </cell>
          <cell r="AV772">
            <v>0</v>
          </cell>
          <cell r="AW772">
            <v>0</v>
          </cell>
          <cell r="AX772">
            <v>0</v>
          </cell>
          <cell r="AY772" t="str">
            <v>720x800</v>
          </cell>
          <cell r="AZ772">
            <v>0</v>
          </cell>
          <cell r="BA772">
            <v>0</v>
          </cell>
          <cell r="BB772">
            <v>0</v>
          </cell>
          <cell r="BC772">
            <v>0</v>
          </cell>
          <cell r="BD772" t="e">
            <v>#N/A</v>
          </cell>
        </row>
        <row r="773">
          <cell r="A773" t="str">
            <v>sp 1284</v>
          </cell>
          <cell r="B773" t="str">
            <v>Cuộn màng không in đóng gói khẩu trang khổ 260mm - Hưng Thịnh</v>
          </cell>
          <cell r="C773">
            <v>0</v>
          </cell>
          <cell r="D773">
            <v>4</v>
          </cell>
          <cell r="E773" t="str">
            <v>OPP 20x1060</v>
          </cell>
          <cell r="F773">
            <v>4</v>
          </cell>
          <cell r="G773" t="str">
            <v>OPP</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t="str">
            <v>PE 25x1060</v>
          </cell>
          <cell r="AF773">
            <v>0</v>
          </cell>
          <cell r="AG773">
            <v>4.3804500000000003E-2</v>
          </cell>
          <cell r="AH773">
            <v>1.6099999999999999</v>
          </cell>
          <cell r="AI773">
            <v>0</v>
          </cell>
          <cell r="AJ773">
            <v>9530</v>
          </cell>
          <cell r="AK773">
            <v>0</v>
          </cell>
          <cell r="AL773">
            <v>2.3E-3</v>
          </cell>
          <cell r="AM773" t="str">
            <v>dạng cuộn 1,000m</v>
          </cell>
          <cell r="AN773">
            <v>260</v>
          </cell>
          <cell r="AO773" t="str">
            <v>Công tu SX&amp;TM Quốc tế Hưng Thịnh Phát</v>
          </cell>
          <cell r="AP773">
            <v>0</v>
          </cell>
          <cell r="AQ773">
            <v>0</v>
          </cell>
          <cell r="AR773">
            <v>0</v>
          </cell>
          <cell r="AS773">
            <v>0</v>
          </cell>
          <cell r="AT773">
            <v>0</v>
          </cell>
          <cell r="AU773">
            <v>0</v>
          </cell>
          <cell r="AV773">
            <v>0</v>
          </cell>
          <cell r="AW773">
            <v>0</v>
          </cell>
          <cell r="AX773">
            <v>0</v>
          </cell>
          <cell r="AY773">
            <v>0</v>
          </cell>
          <cell r="AZ773">
            <v>0</v>
          </cell>
          <cell r="BA773">
            <v>0</v>
          </cell>
          <cell r="BB773">
            <v>0</v>
          </cell>
          <cell r="BC773">
            <v>0</v>
          </cell>
          <cell r="BD773" t="e">
            <v>#N/A</v>
          </cell>
        </row>
        <row r="774">
          <cell r="A774" t="str">
            <v>sp 1285</v>
          </cell>
          <cell r="B774" t="str">
            <v>Túi bánh crackers khoai tây 230gr Libra</v>
          </cell>
          <cell r="C774">
            <v>6.8289999999999997</v>
          </cell>
          <cell r="D774">
            <v>2</v>
          </cell>
          <cell r="E774" t="str">
            <v>OPP 30x1080</v>
          </cell>
          <cell r="F774">
            <v>6</v>
          </cell>
          <cell r="G774" t="str">
            <v>OPP</v>
          </cell>
          <cell r="H774">
            <v>5.0999999999999997E-2</v>
          </cell>
          <cell r="I774">
            <v>2.6360000000000001</v>
          </cell>
          <cell r="J774">
            <v>0.41699999999999998</v>
          </cell>
          <cell r="K774">
            <v>0.112</v>
          </cell>
          <cell r="L774">
            <v>2.4729999999999999</v>
          </cell>
          <cell r="M774">
            <v>0.85499999999999998</v>
          </cell>
          <cell r="N774">
            <v>0</v>
          </cell>
          <cell r="O774">
            <v>0.26500000000000001</v>
          </cell>
          <cell r="P774">
            <v>0</v>
          </cell>
          <cell r="Q774">
            <v>0.02</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t="str">
            <v>PE 35x1080</v>
          </cell>
          <cell r="AF774">
            <v>0</v>
          </cell>
          <cell r="AG774">
            <v>6.4449000000000006E-2</v>
          </cell>
          <cell r="AH774">
            <v>2.14</v>
          </cell>
          <cell r="AI774">
            <v>0</v>
          </cell>
          <cell r="AJ774">
            <v>9530</v>
          </cell>
          <cell r="AK774">
            <v>0</v>
          </cell>
          <cell r="AL774">
            <v>3.0000000000000001E-3</v>
          </cell>
          <cell r="AM774" t="str">
            <v>túi bốn biên</v>
          </cell>
          <cell r="AN774">
            <v>356</v>
          </cell>
          <cell r="AO774" t="str">
            <v>Công ty Libra</v>
          </cell>
          <cell r="AP774" t="str">
            <v>20090977-1</v>
          </cell>
          <cell r="AQ774" t="str">
            <v>20090977-2</v>
          </cell>
          <cell r="AR774" t="str">
            <v>20090977-3</v>
          </cell>
          <cell r="AS774" t="str">
            <v>20090977-4</v>
          </cell>
          <cell r="AT774" t="str">
            <v>20090977-5</v>
          </cell>
          <cell r="AU774" t="str">
            <v>20090977-6</v>
          </cell>
          <cell r="AV774">
            <v>0</v>
          </cell>
          <cell r="AW774">
            <v>0</v>
          </cell>
          <cell r="AX774">
            <v>0</v>
          </cell>
          <cell r="AY774" t="str">
            <v>712x1200</v>
          </cell>
          <cell r="AZ774">
            <v>0</v>
          </cell>
          <cell r="BA774">
            <v>0</v>
          </cell>
          <cell r="BB774">
            <v>0</v>
          </cell>
          <cell r="BC774">
            <v>0</v>
          </cell>
          <cell r="BD774" t="e">
            <v>#N/A</v>
          </cell>
        </row>
        <row r="775">
          <cell r="A775" t="str">
            <v>sp 1286</v>
          </cell>
          <cell r="B775" t="str">
            <v>Túi bánh crackers ngô 230gr Libra</v>
          </cell>
          <cell r="C775">
            <v>7.3310000000000004</v>
          </cell>
          <cell r="D775">
            <v>2</v>
          </cell>
          <cell r="E775" t="str">
            <v>OPP 30x1080</v>
          </cell>
          <cell r="F775">
            <v>6</v>
          </cell>
          <cell r="G775" t="str">
            <v>OPP</v>
          </cell>
          <cell r="H775">
            <v>0.27100000000000002</v>
          </cell>
          <cell r="I775">
            <v>4.7270000000000003</v>
          </cell>
          <cell r="J775">
            <v>7.6999999999999999E-2</v>
          </cell>
          <cell r="K775">
            <v>0.01</v>
          </cell>
          <cell r="L775">
            <v>1.9370000000000001</v>
          </cell>
          <cell r="M775">
            <v>0.23200000000000001</v>
          </cell>
          <cell r="N775">
            <v>0</v>
          </cell>
          <cell r="O775">
            <v>0</v>
          </cell>
          <cell r="P775">
            <v>7.6999999999999999E-2</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t="str">
            <v>PE 35x1080</v>
          </cell>
          <cell r="AF775">
            <v>0</v>
          </cell>
          <cell r="AG775">
            <v>6.4449000000000006E-2</v>
          </cell>
          <cell r="AH775">
            <v>2.14</v>
          </cell>
          <cell r="AI775">
            <v>0</v>
          </cell>
          <cell r="AJ775">
            <v>9530</v>
          </cell>
          <cell r="AK775">
            <v>0</v>
          </cell>
          <cell r="AL775">
            <v>3.0000000000000001E-3</v>
          </cell>
          <cell r="AM775" t="str">
            <v>túi bốn biên</v>
          </cell>
          <cell r="AN775">
            <v>356</v>
          </cell>
          <cell r="AO775" t="str">
            <v>Công ty Libra</v>
          </cell>
          <cell r="AP775" t="str">
            <v>20090976-1</v>
          </cell>
          <cell r="AQ775" t="str">
            <v>20090976-2</v>
          </cell>
          <cell r="AR775" t="str">
            <v>20090976-3</v>
          </cell>
          <cell r="AS775" t="str">
            <v>20090976-4</v>
          </cell>
          <cell r="AT775" t="str">
            <v>20090976-5</v>
          </cell>
          <cell r="AU775" t="str">
            <v>20100259-6</v>
          </cell>
          <cell r="AV775">
            <v>0</v>
          </cell>
          <cell r="AW775">
            <v>0</v>
          </cell>
          <cell r="AX775">
            <v>0</v>
          </cell>
          <cell r="AY775" t="str">
            <v>712x1200</v>
          </cell>
          <cell r="AZ775">
            <v>0</v>
          </cell>
          <cell r="BA775">
            <v>0</v>
          </cell>
          <cell r="BB775">
            <v>0</v>
          </cell>
          <cell r="BC775">
            <v>0</v>
          </cell>
          <cell r="BD775" t="e">
            <v>#N/A</v>
          </cell>
        </row>
        <row r="776">
          <cell r="A776" t="str">
            <v>sp 1287</v>
          </cell>
          <cell r="B776" t="str">
            <v>Cuộn màng Tonmat pannel Đức Thiện</v>
          </cell>
          <cell r="C776">
            <v>9.0629999999999988</v>
          </cell>
          <cell r="D776">
            <v>1</v>
          </cell>
          <cell r="E776" t="str">
            <v>PE 25x 1190</v>
          </cell>
          <cell r="F776">
            <v>3</v>
          </cell>
          <cell r="G776" t="str">
            <v xml:space="preserve">PE </v>
          </cell>
          <cell r="H776">
            <v>0</v>
          </cell>
          <cell r="I776">
            <v>1.6459999999999999</v>
          </cell>
          <cell r="J776">
            <v>4.3890000000000002</v>
          </cell>
          <cell r="K776">
            <v>0</v>
          </cell>
          <cell r="L776">
            <v>0</v>
          </cell>
          <cell r="M776">
            <v>0</v>
          </cell>
          <cell r="N776">
            <v>0</v>
          </cell>
          <cell r="O776">
            <v>1.92</v>
          </cell>
          <cell r="P776">
            <v>0.54900000000000004</v>
          </cell>
          <cell r="Q776">
            <v>0.01</v>
          </cell>
          <cell r="R776">
            <v>0.54900000000000004</v>
          </cell>
          <cell r="S776">
            <v>0</v>
          </cell>
          <cell r="T776">
            <v>0</v>
          </cell>
          <cell r="U776">
            <v>0</v>
          </cell>
          <cell r="V776">
            <v>0</v>
          </cell>
          <cell r="W776">
            <v>0</v>
          </cell>
          <cell r="X776">
            <v>0</v>
          </cell>
          <cell r="Y776">
            <v>0</v>
          </cell>
          <cell r="Z776">
            <v>0</v>
          </cell>
          <cell r="AA776">
            <v>0</v>
          </cell>
          <cell r="AB776">
            <v>0</v>
          </cell>
          <cell r="AC776">
            <v>0</v>
          </cell>
          <cell r="AD776">
            <v>0</v>
          </cell>
          <cell r="AE776" t="str">
            <v>PE 25x1190</v>
          </cell>
          <cell r="AF776">
            <v>0</v>
          </cell>
          <cell r="AG776">
            <v>5.5037500000000003E-2</v>
          </cell>
          <cell r="AH776">
            <v>1.4533333333333334</v>
          </cell>
          <cell r="AI776">
            <v>0</v>
          </cell>
          <cell r="AJ776">
            <v>9530</v>
          </cell>
          <cell r="AK776">
            <v>0</v>
          </cell>
          <cell r="AL776">
            <v>2E-3</v>
          </cell>
          <cell r="AM776" t="str">
            <v>dạng cuộn 2,000m</v>
          </cell>
          <cell r="AN776">
            <v>1190</v>
          </cell>
          <cell r="AO776" t="str">
            <v>Công ty Đức Thiện</v>
          </cell>
          <cell r="AP776" t="e">
            <v>#N/A</v>
          </cell>
          <cell r="AQ776" t="e">
            <v>#N/A</v>
          </cell>
          <cell r="AR776" t="e">
            <v>#N/A</v>
          </cell>
          <cell r="AS776" t="e">
            <v>#N/A</v>
          </cell>
          <cell r="AT776" t="e">
            <v>#N/A</v>
          </cell>
          <cell r="AU776" t="e">
            <v>#N/A</v>
          </cell>
          <cell r="AV776" t="e">
            <v>#N/A</v>
          </cell>
          <cell r="AW776" t="e">
            <v>#N/A</v>
          </cell>
          <cell r="AX776" t="e">
            <v>#N/A</v>
          </cell>
          <cell r="AY776" t="e">
            <v>#N/A</v>
          </cell>
          <cell r="AZ776" t="e">
            <v>#N/A</v>
          </cell>
          <cell r="BA776">
            <v>0</v>
          </cell>
          <cell r="BB776">
            <v>0</v>
          </cell>
          <cell r="BC776">
            <v>0</v>
          </cell>
          <cell r="BD776" t="e">
            <v>#N/A</v>
          </cell>
        </row>
        <row r="777">
          <cell r="A777" t="str">
            <v>sp 1288</v>
          </cell>
          <cell r="B777" t="str">
            <v xml:space="preserve">Cuộn bánh braka coffee KT 134x103mm Libra </v>
          </cell>
          <cell r="C777">
            <v>7.246999999999999</v>
          </cell>
          <cell r="D777">
            <v>6</v>
          </cell>
          <cell r="E777" t="str">
            <v>OPP 20x820</v>
          </cell>
          <cell r="F777">
            <v>8</v>
          </cell>
          <cell r="G777" t="str">
            <v>OPP</v>
          </cell>
          <cell r="H777">
            <v>0.313</v>
          </cell>
          <cell r="I777">
            <v>4.2300000000000004</v>
          </cell>
          <cell r="J777">
            <v>3.9E-2</v>
          </cell>
          <cell r="K777">
            <v>0.01</v>
          </cell>
          <cell r="L777">
            <v>1.1299999999999999</v>
          </cell>
          <cell r="M777">
            <v>0.54800000000000004</v>
          </cell>
          <cell r="N777">
            <v>0.43</v>
          </cell>
          <cell r="O777">
            <v>3.9E-2</v>
          </cell>
          <cell r="P777">
            <v>0.39</v>
          </cell>
          <cell r="Q777">
            <v>0</v>
          </cell>
          <cell r="R777">
            <v>0</v>
          </cell>
          <cell r="S777">
            <v>0</v>
          </cell>
          <cell r="T777">
            <v>0.11799999999999999</v>
          </cell>
          <cell r="U777">
            <v>0</v>
          </cell>
          <cell r="V777">
            <v>0</v>
          </cell>
          <cell r="W777">
            <v>0</v>
          </cell>
          <cell r="X777">
            <v>0</v>
          </cell>
          <cell r="Y777">
            <v>0</v>
          </cell>
          <cell r="Z777">
            <v>0</v>
          </cell>
          <cell r="AA777">
            <v>0</v>
          </cell>
          <cell r="AB777">
            <v>0</v>
          </cell>
          <cell r="AC777">
            <v>0</v>
          </cell>
          <cell r="AD777">
            <v>0</v>
          </cell>
          <cell r="AE777" t="str">
            <v>MCPP 25x820</v>
          </cell>
          <cell r="AF777">
            <v>0</v>
          </cell>
          <cell r="AG777">
            <v>3.3578999999999998E-2</v>
          </cell>
          <cell r="AH777">
            <v>1.242</v>
          </cell>
          <cell r="AI777">
            <v>0</v>
          </cell>
          <cell r="AJ777">
            <v>9530</v>
          </cell>
          <cell r="AK777">
            <v>0</v>
          </cell>
          <cell r="AL777">
            <v>2.3E-3</v>
          </cell>
          <cell r="AM777" t="str">
            <v>dạng cuộn 1,000m</v>
          </cell>
          <cell r="AN777">
            <v>133.5</v>
          </cell>
          <cell r="AO777" t="str">
            <v>Công ty Libra</v>
          </cell>
          <cell r="AP777" t="str">
            <v>F126903-1</v>
          </cell>
          <cell r="AQ777" t="str">
            <v>F126903-2</v>
          </cell>
          <cell r="AR777" t="str">
            <v>F126903-3</v>
          </cell>
          <cell r="AS777" t="str">
            <v>F126903-4</v>
          </cell>
          <cell r="AT777" t="str">
            <v>F126903-5</v>
          </cell>
          <cell r="AU777" t="str">
            <v>F126903-6</v>
          </cell>
          <cell r="AV777" t="str">
            <v>F126903-7</v>
          </cell>
          <cell r="AW777" t="str">
            <v>F126903-8</v>
          </cell>
          <cell r="AX777">
            <v>0</v>
          </cell>
          <cell r="AY777" t="str">
            <v>515x870</v>
          </cell>
          <cell r="AZ777">
            <v>0</v>
          </cell>
          <cell r="BA777">
            <v>0</v>
          </cell>
          <cell r="BB777">
            <v>0</v>
          </cell>
          <cell r="BC777">
            <v>0</v>
          </cell>
          <cell r="BD777" t="e">
            <v>#N/A</v>
          </cell>
        </row>
        <row r="778">
          <cell r="A778" t="str">
            <v>sp 1289</v>
          </cell>
          <cell r="B778" t="str">
            <v>Cuộn hạt giống cô ve leo hạt trắng 08, hạt đen 04, tứ quý 16 lucky</v>
          </cell>
          <cell r="C778">
            <v>5.4849999999999994</v>
          </cell>
          <cell r="D778">
            <v>3</v>
          </cell>
          <cell r="E778" t="str">
            <v>PET 12x800</v>
          </cell>
          <cell r="F778">
            <v>6</v>
          </cell>
          <cell r="G778" t="str">
            <v>PET</v>
          </cell>
          <cell r="H778">
            <v>0.19</v>
          </cell>
          <cell r="I778">
            <v>2.6890000000000001</v>
          </cell>
          <cell r="J778">
            <v>0.01</v>
          </cell>
          <cell r="K778">
            <v>9.6000000000000002E-2</v>
          </cell>
          <cell r="L778">
            <v>0.01</v>
          </cell>
          <cell r="M778">
            <v>2.4900000000000002</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t="str">
            <v>MPET 12x800</v>
          </cell>
          <cell r="AF778" t="str">
            <v>PE 100x800</v>
          </cell>
          <cell r="AG778">
            <v>0.10088000000000003</v>
          </cell>
          <cell r="AH778">
            <v>1.2113333333333334</v>
          </cell>
          <cell r="AI778">
            <v>1.2113333333333334</v>
          </cell>
          <cell r="AJ778">
            <v>9530</v>
          </cell>
          <cell r="AK778">
            <v>9530</v>
          </cell>
          <cell r="AL778" t="str">
            <v>0,0046(0,0023;0,0023)</v>
          </cell>
          <cell r="AM778" t="str">
            <v>dạng cuộn 700m</v>
          </cell>
          <cell r="AN778">
            <v>260</v>
          </cell>
          <cell r="AO778" t="str">
            <v>Công ty Giống Lucky</v>
          </cell>
          <cell r="AP778" t="str">
            <v>20090847-1</v>
          </cell>
          <cell r="AQ778" t="str">
            <v>20090847-2</v>
          </cell>
          <cell r="AR778" t="str">
            <v>20090847-3</v>
          </cell>
          <cell r="AS778" t="str">
            <v>20090847-4</v>
          </cell>
          <cell r="AT778" t="str">
            <v>20090847-5</v>
          </cell>
          <cell r="AU778" t="str">
            <v>20081014-6</v>
          </cell>
          <cell r="AV778">
            <v>0</v>
          </cell>
          <cell r="AW778">
            <v>0</v>
          </cell>
          <cell r="AX778">
            <v>0</v>
          </cell>
          <cell r="AY778" t="str">
            <v>570x870</v>
          </cell>
          <cell r="AZ778">
            <v>0</v>
          </cell>
          <cell r="BA778">
            <v>0</v>
          </cell>
          <cell r="BB778">
            <v>0</v>
          </cell>
          <cell r="BC778">
            <v>0</v>
          </cell>
          <cell r="BD778" t="e">
            <v>#N/A</v>
          </cell>
        </row>
        <row r="779">
          <cell r="A779" t="str">
            <v>sp 1290</v>
          </cell>
          <cell r="B779" t="str">
            <v>Cuộn hạt giống cô ve leo hạt trắng 1008, hạt đen 1004, tứ quý 1016 Sao Việt</v>
          </cell>
          <cell r="C779">
            <v>6.1849999999999996</v>
          </cell>
          <cell r="D779">
            <v>3</v>
          </cell>
          <cell r="E779" t="str">
            <v>PET 12x800</v>
          </cell>
          <cell r="F779">
            <v>6</v>
          </cell>
          <cell r="G779" t="str">
            <v>PET</v>
          </cell>
          <cell r="H779">
            <v>0.01</v>
          </cell>
          <cell r="I779">
            <v>2.68</v>
          </cell>
          <cell r="J779">
            <v>0</v>
          </cell>
          <cell r="K779">
            <v>0.82499999999999996</v>
          </cell>
          <cell r="L779">
            <v>2.4700000000000002</v>
          </cell>
          <cell r="M779">
            <v>0</v>
          </cell>
          <cell r="N779">
            <v>0</v>
          </cell>
          <cell r="O779">
            <v>0</v>
          </cell>
          <cell r="P779">
            <v>0.2</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t="str">
            <v>MPET 12x800</v>
          </cell>
          <cell r="AF779" t="str">
            <v>PE 100x800</v>
          </cell>
          <cell r="AG779">
            <v>0.10088000000000003</v>
          </cell>
          <cell r="AH779">
            <v>1.2113333333333334</v>
          </cell>
          <cell r="AI779">
            <v>1.2113333333333334</v>
          </cell>
          <cell r="AJ779">
            <v>9530</v>
          </cell>
          <cell r="AK779">
            <v>9530</v>
          </cell>
          <cell r="AL779" t="str">
            <v>0,0046(0,0023;0,0023)</v>
          </cell>
          <cell r="AM779" t="str">
            <v>dạng cuộn 700m</v>
          </cell>
          <cell r="AN779">
            <v>260</v>
          </cell>
          <cell r="AO779" t="str">
            <v>Công ty Giống Lucky</v>
          </cell>
          <cell r="AP779" t="str">
            <v>21070442-1</v>
          </cell>
          <cell r="AQ779" t="str">
            <v>21070442-2</v>
          </cell>
          <cell r="AR779" t="str">
            <v>21070442-3</v>
          </cell>
          <cell r="AS779" t="str">
            <v>21070442-4</v>
          </cell>
          <cell r="AT779" t="str">
            <v>21070442-5</v>
          </cell>
          <cell r="AU779" t="str">
            <v>20081014-6</v>
          </cell>
          <cell r="AV779">
            <v>0</v>
          </cell>
          <cell r="AW779">
            <v>0</v>
          </cell>
          <cell r="AX779">
            <v>0</v>
          </cell>
          <cell r="AY779" t="str">
            <v>570x870</v>
          </cell>
          <cell r="AZ779">
            <v>0</v>
          </cell>
          <cell r="BA779">
            <v>0</v>
          </cell>
          <cell r="BB779">
            <v>0</v>
          </cell>
          <cell r="BC779">
            <v>0</v>
          </cell>
          <cell r="BD779" t="e">
            <v>#N/A</v>
          </cell>
        </row>
        <row r="780">
          <cell r="A780" t="str">
            <v>sp 1291</v>
          </cell>
          <cell r="B780" t="str">
            <v>Túi thuốc thú y 1kg mã CD 2121 in 3 màu Năm Thái</v>
          </cell>
          <cell r="C780">
            <v>3.1769999999999996</v>
          </cell>
          <cell r="D780">
            <v>1</v>
          </cell>
          <cell r="E780" t="str">
            <v>OPP 30x800</v>
          </cell>
          <cell r="F780">
            <v>3</v>
          </cell>
          <cell r="G780" t="str">
            <v>OPP</v>
          </cell>
          <cell r="H780">
            <v>0.52800000000000002</v>
          </cell>
          <cell r="I780">
            <v>0.95</v>
          </cell>
          <cell r="J780">
            <v>0.21099999999999999</v>
          </cell>
          <cell r="K780">
            <v>0</v>
          </cell>
          <cell r="L780">
            <v>1.478</v>
          </cell>
          <cell r="M780">
            <v>0</v>
          </cell>
          <cell r="N780">
            <v>0</v>
          </cell>
          <cell r="O780">
            <v>0.01</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t="str">
            <v>Al 6x800</v>
          </cell>
          <cell r="AF780" t="str">
            <v>PE 120x810</v>
          </cell>
          <cell r="AG780">
            <v>0.12210240000000001</v>
          </cell>
          <cell r="AH780">
            <v>1.58</v>
          </cell>
          <cell r="AI780">
            <v>1.8433333333333335</v>
          </cell>
          <cell r="AJ780">
            <v>9530</v>
          </cell>
          <cell r="AK780">
            <v>9530</v>
          </cell>
          <cell r="AL780" t="str">
            <v>0,0065(0,003;0,0035)</v>
          </cell>
          <cell r="AM780" t="str">
            <v>túi ba biên đáy đứng</v>
          </cell>
          <cell r="AN780">
            <v>240</v>
          </cell>
          <cell r="AO780" t="str">
            <v>Công ty Năm Thái</v>
          </cell>
          <cell r="AP780" t="str">
            <v>20091059-1</v>
          </cell>
          <cell r="AQ780" t="str">
            <v>20091059-2</v>
          </cell>
          <cell r="AR780" t="str">
            <v>20091059-3</v>
          </cell>
          <cell r="AS780">
            <v>0</v>
          </cell>
          <cell r="AT780">
            <v>0</v>
          </cell>
          <cell r="AU780">
            <v>0</v>
          </cell>
          <cell r="AV780">
            <v>0</v>
          </cell>
          <cell r="AW780">
            <v>0</v>
          </cell>
          <cell r="AX780">
            <v>0</v>
          </cell>
          <cell r="AY780" t="str">
            <v>480x870</v>
          </cell>
          <cell r="AZ780">
            <v>0</v>
          </cell>
          <cell r="BA780">
            <v>0</v>
          </cell>
          <cell r="BB780">
            <v>0</v>
          </cell>
          <cell r="BC780">
            <v>0</v>
          </cell>
          <cell r="BD780" t="e">
            <v>#N/A</v>
          </cell>
        </row>
        <row r="781">
          <cell r="A781" t="str">
            <v>sp 1292</v>
          </cell>
          <cell r="B781" t="str">
            <v>Cuộn màng Javta Panel Đức Thiện</v>
          </cell>
          <cell r="C781">
            <v>7.8230000000000004</v>
          </cell>
          <cell r="D781">
            <v>1</v>
          </cell>
          <cell r="E781" t="str">
            <v>PE 30x1180</v>
          </cell>
          <cell r="F781">
            <v>2</v>
          </cell>
          <cell r="G781" t="str">
            <v xml:space="preserve">PE </v>
          </cell>
          <cell r="H781">
            <v>0.44</v>
          </cell>
          <cell r="I781">
            <v>0</v>
          </cell>
          <cell r="J781">
            <v>2.0129999999999999</v>
          </cell>
          <cell r="K781">
            <v>0.44</v>
          </cell>
          <cell r="L781">
            <v>2.68</v>
          </cell>
          <cell r="M781">
            <v>0</v>
          </cell>
          <cell r="N781">
            <v>0</v>
          </cell>
          <cell r="O781">
            <v>0</v>
          </cell>
          <cell r="P781">
            <v>0</v>
          </cell>
          <cell r="Q781">
            <v>0.01</v>
          </cell>
          <cell r="R781">
            <v>0.01</v>
          </cell>
          <cell r="S781">
            <v>0</v>
          </cell>
          <cell r="T781">
            <v>2.23</v>
          </cell>
          <cell r="U781">
            <v>0</v>
          </cell>
          <cell r="V781">
            <v>0</v>
          </cell>
          <cell r="W781">
            <v>0</v>
          </cell>
          <cell r="X781">
            <v>0</v>
          </cell>
          <cell r="Y781">
            <v>0</v>
          </cell>
          <cell r="Z781">
            <v>0</v>
          </cell>
          <cell r="AA781">
            <v>0</v>
          </cell>
          <cell r="AB781">
            <v>0</v>
          </cell>
          <cell r="AC781">
            <v>0</v>
          </cell>
          <cell r="AD781">
            <v>0</v>
          </cell>
          <cell r="AE781" t="str">
            <v>PE 30x1180</v>
          </cell>
          <cell r="AF781">
            <v>0</v>
          </cell>
          <cell r="AG781">
            <v>6.5489999999999993E-2</v>
          </cell>
          <cell r="AH781">
            <v>1.5599999999999998</v>
          </cell>
          <cell r="AI781">
            <v>0</v>
          </cell>
          <cell r="AJ781">
            <v>9530</v>
          </cell>
          <cell r="AK781">
            <v>0</v>
          </cell>
          <cell r="AL781">
            <v>2E-3</v>
          </cell>
          <cell r="AM781" t="str">
            <v>dạng cuộn 4,000m</v>
          </cell>
          <cell r="AN781">
            <v>1220</v>
          </cell>
          <cell r="AO781" t="str">
            <v>Công ty Đức Thiện</v>
          </cell>
          <cell r="AP781" t="e">
            <v>#N/A</v>
          </cell>
          <cell r="AQ781" t="e">
            <v>#N/A</v>
          </cell>
          <cell r="AR781" t="e">
            <v>#N/A</v>
          </cell>
          <cell r="AS781" t="e">
            <v>#N/A</v>
          </cell>
          <cell r="AT781" t="e">
            <v>#N/A</v>
          </cell>
          <cell r="AU781" t="e">
            <v>#N/A</v>
          </cell>
          <cell r="AV781" t="e">
            <v>#N/A</v>
          </cell>
          <cell r="AW781" t="e">
            <v>#N/A</v>
          </cell>
          <cell r="AX781" t="e">
            <v>#N/A</v>
          </cell>
          <cell r="AY781" t="e">
            <v>#N/A</v>
          </cell>
          <cell r="AZ781" t="e">
            <v>#N/A</v>
          </cell>
          <cell r="BA781">
            <v>0</v>
          </cell>
          <cell r="BB781">
            <v>0</v>
          </cell>
          <cell r="BC781">
            <v>0</v>
          </cell>
          <cell r="BD781" t="e">
            <v>#N/A</v>
          </cell>
        </row>
        <row r="782">
          <cell r="A782" t="str">
            <v>sp 1293</v>
          </cell>
          <cell r="B782" t="str">
            <v>Túi bột giặt đựng nước okashi 200ml - Hòa Hợp</v>
          </cell>
          <cell r="C782">
            <v>3.4800000000000004</v>
          </cell>
          <cell r="D782">
            <v>1</v>
          </cell>
          <cell r="E782" t="str">
            <v>PET 12x820</v>
          </cell>
          <cell r="F782">
            <v>8</v>
          </cell>
          <cell r="G782" t="str">
            <v>PET</v>
          </cell>
          <cell r="H782">
            <v>4.8000000000000001E-2</v>
          </cell>
          <cell r="I782">
            <v>0.38700000000000001</v>
          </cell>
          <cell r="J782">
            <v>0.58099999999999996</v>
          </cell>
          <cell r="K782">
            <v>1.45</v>
          </cell>
          <cell r="L782">
            <v>0.24</v>
          </cell>
          <cell r="M782">
            <v>9.7000000000000003E-2</v>
          </cell>
          <cell r="N782">
            <v>0.629</v>
          </cell>
          <cell r="O782">
            <v>0</v>
          </cell>
          <cell r="P782">
            <v>0</v>
          </cell>
          <cell r="Q782">
            <v>0</v>
          </cell>
          <cell r="R782">
            <v>4.8000000000000001E-2</v>
          </cell>
          <cell r="S782">
            <v>0</v>
          </cell>
          <cell r="T782">
            <v>0</v>
          </cell>
          <cell r="U782">
            <v>0</v>
          </cell>
          <cell r="V782">
            <v>0</v>
          </cell>
          <cell r="W782">
            <v>0</v>
          </cell>
          <cell r="X782">
            <v>0</v>
          </cell>
          <cell r="Y782">
            <v>0</v>
          </cell>
          <cell r="Z782">
            <v>0</v>
          </cell>
          <cell r="AA782">
            <v>0</v>
          </cell>
          <cell r="AB782">
            <v>0</v>
          </cell>
          <cell r="AC782">
            <v>0</v>
          </cell>
          <cell r="AD782">
            <v>0</v>
          </cell>
          <cell r="AE782" t="str">
            <v>MPET 12x820</v>
          </cell>
          <cell r="AF782" t="str">
            <v>PA15x820/PE145x820</v>
          </cell>
          <cell r="AG782">
            <v>0.15167949999999999</v>
          </cell>
          <cell r="AH782">
            <v>2.0270270270270272</v>
          </cell>
          <cell r="AI782">
            <v>2.7</v>
          </cell>
          <cell r="AJ782">
            <v>9530</v>
          </cell>
          <cell r="AK782">
            <v>9530</v>
          </cell>
          <cell r="AL782" t="str">
            <v>0,0095 (0,003;0,003;0,0035))</v>
          </cell>
          <cell r="AM782" t="str">
            <v>túi ba biên đáy đứng</v>
          </cell>
          <cell r="AN782">
            <v>229</v>
          </cell>
          <cell r="AO782" t="str">
            <v>Công ty TNHH Bột giặt và Hóa Mỹ Phẩm Quốc Tế</v>
          </cell>
          <cell r="AP782" t="str">
            <v>F126819-1</v>
          </cell>
          <cell r="AQ782" t="str">
            <v>F126819-2</v>
          </cell>
          <cell r="AR782" t="str">
            <v>F126819-3</v>
          </cell>
          <cell r="AS782" t="str">
            <v>F126819-4</v>
          </cell>
          <cell r="AT782" t="str">
            <v>F126819-5</v>
          </cell>
          <cell r="AU782" t="str">
            <v>F126819-6</v>
          </cell>
          <cell r="AV782" t="str">
            <v>F126819-7</v>
          </cell>
          <cell r="AW782" t="str">
            <v>F126819-8</v>
          </cell>
          <cell r="AX782">
            <v>0</v>
          </cell>
          <cell r="AY782" t="str">
            <v>458x880</v>
          </cell>
          <cell r="AZ782">
            <v>0</v>
          </cell>
          <cell r="BA782">
            <v>0</v>
          </cell>
          <cell r="BB782">
            <v>0</v>
          </cell>
          <cell r="BC782">
            <v>0</v>
          </cell>
          <cell r="BD782" t="e">
            <v>#N/A</v>
          </cell>
        </row>
        <row r="783">
          <cell r="A783" t="str">
            <v>sp 1294</v>
          </cell>
          <cell r="B783" t="str">
            <v>Cuộn thuốc thú y Canci poly vit ADE 200gr Trường Hằng</v>
          </cell>
          <cell r="C783">
            <v>4.7619999999999996</v>
          </cell>
          <cell r="D783">
            <v>3</v>
          </cell>
          <cell r="E783" t="str">
            <v>OPP 30x800</v>
          </cell>
          <cell r="F783">
            <v>3</v>
          </cell>
          <cell r="G783" t="str">
            <v>OPP</v>
          </cell>
          <cell r="H783">
            <v>0</v>
          </cell>
          <cell r="I783">
            <v>0</v>
          </cell>
          <cell r="J783">
            <v>0.216</v>
          </cell>
          <cell r="K783">
            <v>0.01</v>
          </cell>
          <cell r="L783">
            <v>2.8079999999999998</v>
          </cell>
          <cell r="M783">
            <v>1.728</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t="str">
            <v>PE 35x800</v>
          </cell>
          <cell r="AF783">
            <v>0</v>
          </cell>
          <cell r="AG783">
            <v>4.7740000000000005E-2</v>
          </cell>
          <cell r="AH783">
            <v>1.2113333333333334</v>
          </cell>
          <cell r="AI783">
            <v>0</v>
          </cell>
          <cell r="AJ783">
            <v>9530</v>
          </cell>
          <cell r="AK783">
            <v>0</v>
          </cell>
          <cell r="AL783">
            <v>2.3E-3</v>
          </cell>
          <cell r="AM783" t="str">
            <v>dạng cuộn 1,000m</v>
          </cell>
          <cell r="AN783">
            <v>260</v>
          </cell>
          <cell r="AO783" t="str">
            <v>Công ty Trường Hằng</v>
          </cell>
          <cell r="AP783" t="str">
            <v>20100218-1</v>
          </cell>
          <cell r="AQ783" t="str">
            <v>20100218-2</v>
          </cell>
          <cell r="AR783">
            <v>0</v>
          </cell>
          <cell r="AS783">
            <v>0</v>
          </cell>
          <cell r="AT783">
            <v>0</v>
          </cell>
          <cell r="AU783">
            <v>0</v>
          </cell>
          <cell r="AV783">
            <v>0</v>
          </cell>
          <cell r="AW783">
            <v>0</v>
          </cell>
          <cell r="AX783">
            <v>0</v>
          </cell>
          <cell r="AY783">
            <v>0</v>
          </cell>
          <cell r="AZ783">
            <v>0</v>
          </cell>
          <cell r="BA783">
            <v>0</v>
          </cell>
          <cell r="BB783">
            <v>0</v>
          </cell>
          <cell r="BC783">
            <v>0</v>
          </cell>
          <cell r="BD783" t="e">
            <v>#N/A</v>
          </cell>
        </row>
        <row r="784">
          <cell r="A784" t="str">
            <v>sp 1295</v>
          </cell>
          <cell r="B784" t="str">
            <v>Cuộn trà mokhtar tea mint Vĩnh Phúc</v>
          </cell>
          <cell r="C784">
            <v>10.673999999999999</v>
          </cell>
          <cell r="D784">
            <v>4</v>
          </cell>
          <cell r="E784" t="str">
            <v>OPP mờ 20x640</v>
          </cell>
          <cell r="F784">
            <v>6</v>
          </cell>
          <cell r="G784" t="str">
            <v>OPP</v>
          </cell>
          <cell r="H784">
            <v>0.216</v>
          </cell>
          <cell r="I784">
            <v>6.63</v>
          </cell>
          <cell r="J784">
            <v>0.216</v>
          </cell>
          <cell r="K784">
            <v>7.1999999999999995E-2</v>
          </cell>
          <cell r="L784">
            <v>3.53</v>
          </cell>
          <cell r="M784">
            <v>0</v>
          </cell>
          <cell r="N784">
            <v>0</v>
          </cell>
          <cell r="O784">
            <v>0.01</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t="str">
            <v>MCPP 35x640</v>
          </cell>
          <cell r="AF784">
            <v>0</v>
          </cell>
          <cell r="AG784">
            <v>3.2032000000000005E-2</v>
          </cell>
          <cell r="AH784">
            <v>0.96599999999999997</v>
          </cell>
          <cell r="AI784">
            <v>0</v>
          </cell>
          <cell r="AJ784">
            <v>9530</v>
          </cell>
          <cell r="AK784">
            <v>0</v>
          </cell>
          <cell r="AL784">
            <v>2.3E-3</v>
          </cell>
          <cell r="AM784" t="str">
            <v>dạng cuộn 1,500m</v>
          </cell>
          <cell r="AN784">
            <v>155</v>
          </cell>
          <cell r="AO784" t="str">
            <v>Công ty TNHH Thế hệ mới Vĩnh Phúc</v>
          </cell>
          <cell r="AP784" t="str">
            <v>F127056-1</v>
          </cell>
          <cell r="AQ784" t="str">
            <v>F127056-2</v>
          </cell>
          <cell r="AR784" t="str">
            <v>F127056-3</v>
          </cell>
          <cell r="AS784" t="str">
            <v>F127056-4</v>
          </cell>
          <cell r="AT784" t="str">
            <v>F127056-5</v>
          </cell>
          <cell r="AU784" t="str">
            <v>F127056-6</v>
          </cell>
          <cell r="AV784">
            <v>0</v>
          </cell>
          <cell r="AW784">
            <v>0</v>
          </cell>
          <cell r="AX784">
            <v>0</v>
          </cell>
          <cell r="AY784" t="str">
            <v>462x870</v>
          </cell>
          <cell r="AZ784">
            <v>0</v>
          </cell>
          <cell r="BA784">
            <v>0</v>
          </cell>
          <cell r="BB784">
            <v>0</v>
          </cell>
          <cell r="BC784">
            <v>0</v>
          </cell>
          <cell r="BD784" t="e">
            <v>#N/A</v>
          </cell>
        </row>
        <row r="785">
          <cell r="A785" t="str">
            <v>sp 1296</v>
          </cell>
          <cell r="B785" t="str">
            <v>Cuộn trà mokhtar tea cardamon Vĩnh Phúc</v>
          </cell>
          <cell r="C785">
            <v>8.64</v>
          </cell>
          <cell r="D785">
            <v>4</v>
          </cell>
          <cell r="E785" t="str">
            <v>OPP mờ 20x640</v>
          </cell>
          <cell r="F785">
            <v>6</v>
          </cell>
          <cell r="G785" t="str">
            <v>OPP</v>
          </cell>
          <cell r="H785">
            <v>0.14399999999999999</v>
          </cell>
          <cell r="I785">
            <v>4.6120000000000001</v>
          </cell>
          <cell r="J785">
            <v>0.36</v>
          </cell>
          <cell r="K785">
            <v>0.28799999999999998</v>
          </cell>
          <cell r="L785">
            <v>2.66</v>
          </cell>
          <cell r="M785">
            <v>0.432</v>
          </cell>
          <cell r="N785">
            <v>0</v>
          </cell>
          <cell r="O785">
            <v>0</v>
          </cell>
          <cell r="P785">
            <v>0.14399999999999999</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t="str">
            <v>MCPP 35x640</v>
          </cell>
          <cell r="AF785">
            <v>0</v>
          </cell>
          <cell r="AG785">
            <v>3.2032000000000005E-2</v>
          </cell>
          <cell r="AH785">
            <v>0.96599999999999997</v>
          </cell>
          <cell r="AI785">
            <v>0</v>
          </cell>
          <cell r="AJ785">
            <v>9530</v>
          </cell>
          <cell r="AK785">
            <v>0</v>
          </cell>
          <cell r="AL785">
            <v>2.3E-3</v>
          </cell>
          <cell r="AM785" t="str">
            <v>dạng cuộn 1,500m</v>
          </cell>
          <cell r="AN785">
            <v>155</v>
          </cell>
          <cell r="AO785" t="str">
            <v>Công ty TNHH Thế hệ mới Vĩnh Phúc</v>
          </cell>
          <cell r="AP785" t="str">
            <v>F127058-1</v>
          </cell>
          <cell r="AQ785" t="str">
            <v>F127058-2</v>
          </cell>
          <cell r="AR785" t="str">
            <v>F127058-3</v>
          </cell>
          <cell r="AS785" t="str">
            <v>F127058-4</v>
          </cell>
          <cell r="AT785" t="str">
            <v>F127058-5</v>
          </cell>
          <cell r="AU785" t="str">
            <v>F127056-6</v>
          </cell>
          <cell r="AV785">
            <v>0</v>
          </cell>
          <cell r="AW785">
            <v>0</v>
          </cell>
          <cell r="AX785">
            <v>0</v>
          </cell>
          <cell r="AY785" t="str">
            <v>462x870</v>
          </cell>
          <cell r="AZ785">
            <v>0</v>
          </cell>
          <cell r="BA785">
            <v>0</v>
          </cell>
          <cell r="BB785">
            <v>0</v>
          </cell>
          <cell r="BC785">
            <v>0</v>
          </cell>
          <cell r="BD785" t="e">
            <v>#N/A</v>
          </cell>
        </row>
        <row r="786">
          <cell r="A786" t="str">
            <v>sp 1297</v>
          </cell>
          <cell r="B786" t="str">
            <v>Cuộn trà mokhtar tea lemon Vĩnh Phúc</v>
          </cell>
          <cell r="C786">
            <v>8.8559999999999999</v>
          </cell>
          <cell r="D786">
            <v>4</v>
          </cell>
          <cell r="E786" t="str">
            <v>OPP mờ 20x640</v>
          </cell>
          <cell r="F786">
            <v>6</v>
          </cell>
          <cell r="G786" t="str">
            <v>OPP</v>
          </cell>
          <cell r="H786">
            <v>0.504</v>
          </cell>
          <cell r="I786">
            <v>5.47</v>
          </cell>
          <cell r="J786">
            <v>0.216</v>
          </cell>
          <cell r="K786">
            <v>7.1999999999999995E-2</v>
          </cell>
          <cell r="L786">
            <v>2.5939999999999999</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t="str">
            <v>MCPP 35x640</v>
          </cell>
          <cell r="AF786">
            <v>0</v>
          </cell>
          <cell r="AG786">
            <v>3.2032000000000005E-2</v>
          </cell>
          <cell r="AH786">
            <v>0.96599999999999997</v>
          </cell>
          <cell r="AI786">
            <v>0</v>
          </cell>
          <cell r="AJ786">
            <v>9530</v>
          </cell>
          <cell r="AK786">
            <v>0</v>
          </cell>
          <cell r="AL786">
            <v>2.3E-3</v>
          </cell>
          <cell r="AM786" t="str">
            <v>dạng cuộn 1,500m</v>
          </cell>
          <cell r="AN786">
            <v>155</v>
          </cell>
          <cell r="AO786" t="str">
            <v>Công ty TNHH Thế hệ mới Vĩnh Phúc</v>
          </cell>
          <cell r="AP786" t="str">
            <v>F127059-1</v>
          </cell>
          <cell r="AQ786" t="str">
            <v>F127059-2</v>
          </cell>
          <cell r="AR786" t="str">
            <v>F127059-3</v>
          </cell>
          <cell r="AS786" t="str">
            <v>F127059-4</v>
          </cell>
          <cell r="AT786" t="str">
            <v>F127059-5</v>
          </cell>
          <cell r="AU786" t="str">
            <v>F127056-6</v>
          </cell>
          <cell r="AV786">
            <v>0</v>
          </cell>
          <cell r="AW786">
            <v>0</v>
          </cell>
          <cell r="AX786">
            <v>0</v>
          </cell>
          <cell r="AY786" t="str">
            <v>462x870</v>
          </cell>
          <cell r="AZ786">
            <v>0</v>
          </cell>
          <cell r="BA786">
            <v>0</v>
          </cell>
          <cell r="BB786">
            <v>0</v>
          </cell>
          <cell r="BC786">
            <v>0</v>
          </cell>
          <cell r="BD786" t="e">
            <v>#N/A</v>
          </cell>
        </row>
        <row r="787">
          <cell r="A787" t="str">
            <v>sp 1298</v>
          </cell>
          <cell r="B787" t="str">
            <v>Cuộn trà mokhtar tea Jasmine Vĩnh Phúc</v>
          </cell>
          <cell r="C787">
            <v>11.861999999999998</v>
          </cell>
          <cell r="D787">
            <v>4</v>
          </cell>
          <cell r="E787" t="str">
            <v>OPP mờ 20x640</v>
          </cell>
          <cell r="F787">
            <v>6</v>
          </cell>
          <cell r="G787" t="str">
            <v>OPP</v>
          </cell>
          <cell r="H787">
            <v>0.72</v>
          </cell>
          <cell r="I787">
            <v>5.39</v>
          </cell>
          <cell r="J787">
            <v>1.94</v>
          </cell>
          <cell r="K787">
            <v>0</v>
          </cell>
          <cell r="L787">
            <v>2.2999999999999998</v>
          </cell>
          <cell r="M787">
            <v>0</v>
          </cell>
          <cell r="N787">
            <v>0</v>
          </cell>
          <cell r="O787">
            <v>1.512</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t="str">
            <v>MCPP 35x640</v>
          </cell>
          <cell r="AF787">
            <v>0</v>
          </cell>
          <cell r="AG787">
            <v>3.2032000000000005E-2</v>
          </cell>
          <cell r="AH787">
            <v>0.96599999999999997</v>
          </cell>
          <cell r="AI787">
            <v>0</v>
          </cell>
          <cell r="AJ787">
            <v>9530</v>
          </cell>
          <cell r="AK787">
            <v>0</v>
          </cell>
          <cell r="AL787">
            <v>2.3E-3</v>
          </cell>
          <cell r="AM787" t="str">
            <v>dạng cuộn 1,500m</v>
          </cell>
          <cell r="AN787">
            <v>155</v>
          </cell>
          <cell r="AO787" t="str">
            <v>Công ty TNHH Thế hệ mới Vĩnh Phúc</v>
          </cell>
          <cell r="AP787" t="str">
            <v>F127061-1</v>
          </cell>
          <cell r="AQ787" t="str">
            <v>F127061-2</v>
          </cell>
          <cell r="AR787" t="str">
            <v>F127061-3</v>
          </cell>
          <cell r="AS787" t="str">
            <v>F127061-4</v>
          </cell>
          <cell r="AT787" t="str">
            <v>F127061-5</v>
          </cell>
          <cell r="AU787" t="str">
            <v>F127056-6</v>
          </cell>
          <cell r="AV787">
            <v>0</v>
          </cell>
          <cell r="AW787">
            <v>0</v>
          </cell>
          <cell r="AX787">
            <v>0</v>
          </cell>
          <cell r="AY787" t="str">
            <v>462x870</v>
          </cell>
          <cell r="AZ787">
            <v>0</v>
          </cell>
          <cell r="BA787">
            <v>0</v>
          </cell>
          <cell r="BB787">
            <v>0</v>
          </cell>
          <cell r="BC787">
            <v>0</v>
          </cell>
          <cell r="BD787" t="e">
            <v>#N/A</v>
          </cell>
        </row>
        <row r="788">
          <cell r="A788" t="str">
            <v>sp 1299</v>
          </cell>
          <cell r="B788" t="str">
            <v>Túi men rượu hương nếp bắc Việt 500gr Trung Tiến</v>
          </cell>
          <cell r="C788">
            <v>10.398999999999999</v>
          </cell>
          <cell r="D788">
            <v>2</v>
          </cell>
          <cell r="E788" t="str">
            <v>OPP 20x790</v>
          </cell>
          <cell r="F788">
            <v>8</v>
          </cell>
          <cell r="G788" t="str">
            <v>OPP</v>
          </cell>
          <cell r="H788">
            <v>0.873</v>
          </cell>
          <cell r="I788">
            <v>2.3279999999999998</v>
          </cell>
          <cell r="J788">
            <v>0.01</v>
          </cell>
          <cell r="K788">
            <v>0.873</v>
          </cell>
          <cell r="L788">
            <v>3.1040000000000001</v>
          </cell>
          <cell r="M788">
            <v>2.5219999999999998</v>
          </cell>
          <cell r="N788">
            <v>0</v>
          </cell>
          <cell r="O788">
            <v>0</v>
          </cell>
          <cell r="P788">
            <v>0.48499999999999999</v>
          </cell>
          <cell r="Q788">
            <v>0.19400000000000001</v>
          </cell>
          <cell r="R788">
            <v>0</v>
          </cell>
          <cell r="S788">
            <v>0</v>
          </cell>
          <cell r="T788">
            <v>0.01</v>
          </cell>
          <cell r="U788">
            <v>0</v>
          </cell>
          <cell r="V788">
            <v>0</v>
          </cell>
          <cell r="W788">
            <v>0</v>
          </cell>
          <cell r="X788">
            <v>0</v>
          </cell>
          <cell r="Y788">
            <v>0</v>
          </cell>
          <cell r="Z788">
            <v>0</v>
          </cell>
          <cell r="AA788">
            <v>0</v>
          </cell>
          <cell r="AB788">
            <v>0</v>
          </cell>
          <cell r="AC788">
            <v>0</v>
          </cell>
          <cell r="AD788">
            <v>0</v>
          </cell>
          <cell r="AE788" t="str">
            <v>CPP35/MCPP35x395</v>
          </cell>
          <cell r="AF788">
            <v>0</v>
          </cell>
          <cell r="AG788">
            <v>3.9539500000000005E-2</v>
          </cell>
          <cell r="AH788">
            <v>1.196</v>
          </cell>
          <cell r="AI788">
            <v>0</v>
          </cell>
          <cell r="AJ788">
            <v>9530</v>
          </cell>
          <cell r="AK788">
            <v>0</v>
          </cell>
          <cell r="AL788">
            <v>2.3E-3</v>
          </cell>
          <cell r="AM788" t="str">
            <v>túi ba biên</v>
          </cell>
          <cell r="AN788">
            <v>270</v>
          </cell>
          <cell r="AO788" t="str">
            <v>Cơ sở men Trung Tiến</v>
          </cell>
          <cell r="AP788" t="e">
            <v>#N/A</v>
          </cell>
          <cell r="AQ788" t="e">
            <v>#N/A</v>
          </cell>
          <cell r="AR788" t="e">
            <v>#N/A</v>
          </cell>
          <cell r="AS788" t="e">
            <v>#N/A</v>
          </cell>
          <cell r="AT788" t="e">
            <v>#N/A</v>
          </cell>
          <cell r="AU788" t="e">
            <v>#N/A</v>
          </cell>
          <cell r="AV788" t="e">
            <v>#N/A</v>
          </cell>
          <cell r="AW788" t="e">
            <v>#N/A</v>
          </cell>
          <cell r="AX788" t="e">
            <v>#N/A</v>
          </cell>
          <cell r="AY788" t="e">
            <v>#N/A</v>
          </cell>
          <cell r="AZ788" t="e">
            <v>#N/A</v>
          </cell>
          <cell r="BA788">
            <v>0</v>
          </cell>
          <cell r="BB788">
            <v>0</v>
          </cell>
          <cell r="BC788">
            <v>0</v>
          </cell>
          <cell r="BD788" t="e">
            <v>#N/A</v>
          </cell>
        </row>
        <row r="789">
          <cell r="A789" t="str">
            <v>sp 1300</v>
          </cell>
          <cell r="B789" t="str">
            <v>Túi hạt giống bí mật đỏ và cải bẹ xanh mỡ Việt Nhật (12SP)</v>
          </cell>
          <cell r="C789">
            <v>7.8329999999999993</v>
          </cell>
          <cell r="D789">
            <v>3</v>
          </cell>
          <cell r="E789" t="str">
            <v>OPP 30x740</v>
          </cell>
          <cell r="F789">
            <v>3</v>
          </cell>
          <cell r="G789" t="str">
            <v>OPP</v>
          </cell>
          <cell r="H789">
            <v>0.31</v>
          </cell>
          <cell r="I789">
            <v>3.839</v>
          </cell>
          <cell r="J789">
            <v>0.42699999999999999</v>
          </cell>
          <cell r="K789">
            <v>0.31</v>
          </cell>
          <cell r="L789">
            <v>1.59</v>
          </cell>
          <cell r="M789">
            <v>1.163</v>
          </cell>
          <cell r="N789">
            <v>0</v>
          </cell>
          <cell r="O789">
            <v>0</v>
          </cell>
          <cell r="P789">
            <v>0</v>
          </cell>
          <cell r="Q789">
            <v>0.19400000000000001</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t="str">
            <v>MPET 12x740</v>
          </cell>
          <cell r="AF789" t="str">
            <v>PE75x740</v>
          </cell>
          <cell r="AG789">
            <v>8.3971500000000004E-2</v>
          </cell>
          <cell r="AH789">
            <v>1.1193333333333333</v>
          </cell>
          <cell r="AI789">
            <v>1.1193333333333333</v>
          </cell>
          <cell r="AJ789">
            <v>9530</v>
          </cell>
          <cell r="AK789">
            <v>9530</v>
          </cell>
          <cell r="AL789" t="str">
            <v>0,0046(0,0023;0,0023)</v>
          </cell>
          <cell r="AM789" t="str">
            <v>túi ba biên</v>
          </cell>
          <cell r="AN789">
            <v>180</v>
          </cell>
          <cell r="AO789" t="str">
            <v>Công ty TNHH SX&amp;TM Việt Nhật</v>
          </cell>
          <cell r="AP789" t="str">
            <v>19071143-1</v>
          </cell>
          <cell r="AQ789" t="str">
            <v>19071143-2</v>
          </cell>
          <cell r="AR789" t="str">
            <v>19071143-3</v>
          </cell>
          <cell r="AS789" t="str">
            <v>19071143-4</v>
          </cell>
          <cell r="AT789" t="str">
            <v>19071143-5</v>
          </cell>
          <cell r="AU789">
            <v>0</v>
          </cell>
          <cell r="AV789">
            <v>0</v>
          </cell>
          <cell r="AW789">
            <v>0</v>
          </cell>
          <cell r="AX789">
            <v>0</v>
          </cell>
          <cell r="AY789" t="str">
            <v>720x800</v>
          </cell>
          <cell r="AZ789">
            <v>0</v>
          </cell>
          <cell r="BA789">
            <v>0</v>
          </cell>
          <cell r="BB789">
            <v>0</v>
          </cell>
          <cell r="BC789">
            <v>0</v>
          </cell>
          <cell r="BD789" t="e">
            <v>#N/A</v>
          </cell>
        </row>
        <row r="790">
          <cell r="A790" t="str">
            <v>sp 1301</v>
          </cell>
          <cell r="B790" t="str">
            <v>Túi không in HCK KT 165x250mm - Nghĩa Thành</v>
          </cell>
          <cell r="C790">
            <v>0</v>
          </cell>
          <cell r="D790">
            <v>2</v>
          </cell>
          <cell r="E790" t="str">
            <v>PA 15x1000</v>
          </cell>
          <cell r="F790">
            <v>0</v>
          </cell>
          <cell r="G790" t="str">
            <v xml:space="preserve">PA </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t="str">
            <v>PE 60x1000</v>
          </cell>
          <cell r="AF790">
            <v>0</v>
          </cell>
          <cell r="AG790">
            <v>7.2749999999999995E-2</v>
          </cell>
          <cell r="AH790">
            <v>1.3199999999999998</v>
          </cell>
          <cell r="AI790">
            <v>0</v>
          </cell>
          <cell r="AJ790">
            <v>9530</v>
          </cell>
          <cell r="AK790">
            <v>0</v>
          </cell>
          <cell r="AL790">
            <v>2E-3</v>
          </cell>
          <cell r="AM790" t="str">
            <v>túi ba biên</v>
          </cell>
          <cell r="AN790">
            <v>250</v>
          </cell>
          <cell r="AO790" t="str">
            <v>Công ty TNHH MTV chế biến thực phẩm xuất khẩu Nghĩa Thành</v>
          </cell>
          <cell r="AP790">
            <v>0</v>
          </cell>
          <cell r="AQ790">
            <v>0</v>
          </cell>
          <cell r="AR790">
            <v>0</v>
          </cell>
          <cell r="AS790">
            <v>0</v>
          </cell>
          <cell r="AT790">
            <v>0</v>
          </cell>
          <cell r="AU790">
            <v>0</v>
          </cell>
          <cell r="AV790">
            <v>0</v>
          </cell>
          <cell r="AW790">
            <v>0</v>
          </cell>
          <cell r="AX790">
            <v>0</v>
          </cell>
          <cell r="AY790">
            <v>0</v>
          </cell>
          <cell r="AZ790">
            <v>0</v>
          </cell>
          <cell r="BA790">
            <v>0</v>
          </cell>
          <cell r="BB790">
            <v>0</v>
          </cell>
          <cell r="BC790">
            <v>0</v>
          </cell>
          <cell r="BD790" t="e">
            <v>#N/A</v>
          </cell>
        </row>
        <row r="791">
          <cell r="A791" t="str">
            <v>sp 1302</v>
          </cell>
          <cell r="B791" t="str">
            <v>Cuộn bánh bao không in ghép PE khổ 355 Phú Mỹ</v>
          </cell>
          <cell r="C791">
            <v>0</v>
          </cell>
          <cell r="D791">
            <v>2</v>
          </cell>
          <cell r="E791" t="str">
            <v>OPP 20x730</v>
          </cell>
          <cell r="F791">
            <v>0</v>
          </cell>
          <cell r="G791" t="str">
            <v>OPP</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t="str">
            <v>PE 55x730</v>
          </cell>
          <cell r="AF791">
            <v>0</v>
          </cell>
          <cell r="AG791">
            <v>5.0424749999999997E-2</v>
          </cell>
          <cell r="AH791">
            <v>1.1039999999999999</v>
          </cell>
          <cell r="AI791">
            <v>0</v>
          </cell>
          <cell r="AJ791">
            <v>9530</v>
          </cell>
          <cell r="AK791">
            <v>0</v>
          </cell>
          <cell r="AL791">
            <v>2.3E-3</v>
          </cell>
          <cell r="AM791" t="str">
            <v>dạng cuộn 500m</v>
          </cell>
          <cell r="AN791">
            <v>355</v>
          </cell>
          <cell r="AO791" t="str">
            <v>Công ty Phú Mỹ</v>
          </cell>
          <cell r="AP791">
            <v>0</v>
          </cell>
          <cell r="AQ791">
            <v>0</v>
          </cell>
          <cell r="AR791">
            <v>0</v>
          </cell>
          <cell r="AS791">
            <v>0</v>
          </cell>
          <cell r="AT791">
            <v>0</v>
          </cell>
          <cell r="AU791">
            <v>0</v>
          </cell>
          <cell r="AV791">
            <v>0</v>
          </cell>
          <cell r="AW791">
            <v>0</v>
          </cell>
          <cell r="AX791">
            <v>0</v>
          </cell>
          <cell r="AY791">
            <v>0</v>
          </cell>
          <cell r="AZ791">
            <v>0</v>
          </cell>
          <cell r="BA791">
            <v>0</v>
          </cell>
          <cell r="BB791">
            <v>0</v>
          </cell>
          <cell r="BC791">
            <v>0</v>
          </cell>
          <cell r="BD791" t="e">
            <v>#N/A</v>
          </cell>
        </row>
        <row r="792">
          <cell r="A792" t="str">
            <v>sp 1303</v>
          </cell>
          <cell r="B792" t="str">
            <v>Túi Cát Linh in 1 màu KT 65x180x50mm - Cát Linh</v>
          </cell>
          <cell r="C792">
            <v>3.2699999999999996</v>
          </cell>
          <cell r="D792">
            <v>3</v>
          </cell>
          <cell r="E792" t="str">
            <v>OPP 20x770</v>
          </cell>
          <cell r="F792">
            <v>1</v>
          </cell>
          <cell r="G792" t="str">
            <v>OPP</v>
          </cell>
          <cell r="H792">
            <v>0</v>
          </cell>
          <cell r="I792">
            <v>0</v>
          </cell>
          <cell r="J792">
            <v>1.544</v>
          </cell>
          <cell r="K792">
            <v>0</v>
          </cell>
          <cell r="L792">
            <v>1.716</v>
          </cell>
          <cell r="M792">
            <v>0</v>
          </cell>
          <cell r="N792">
            <v>0</v>
          </cell>
          <cell r="O792">
            <v>0.01</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t="str">
            <v>PE 50x770</v>
          </cell>
          <cell r="AF792">
            <v>0</v>
          </cell>
          <cell r="AG792">
            <v>4.9626500000000004E-2</v>
          </cell>
          <cell r="AH792">
            <v>1.1653333333333333</v>
          </cell>
          <cell r="AI792">
            <v>0</v>
          </cell>
          <cell r="AJ792">
            <v>9530</v>
          </cell>
          <cell r="AK792">
            <v>0</v>
          </cell>
          <cell r="AL792">
            <v>2.3E-3</v>
          </cell>
          <cell r="AM792" t="str">
            <v>túi hàn lưng xếp hông</v>
          </cell>
          <cell r="AN792">
            <v>180</v>
          </cell>
          <cell r="AO792" t="str">
            <v>Công ty TNHH Dược Phẩm Cát Linh</v>
          </cell>
          <cell r="AP792" t="str">
            <v>X110029-1</v>
          </cell>
          <cell r="AQ792">
            <v>0</v>
          </cell>
          <cell r="AR792">
            <v>0</v>
          </cell>
          <cell r="AS792">
            <v>0</v>
          </cell>
          <cell r="AT792">
            <v>0</v>
          </cell>
          <cell r="AU792">
            <v>0</v>
          </cell>
          <cell r="AV792">
            <v>0</v>
          </cell>
          <cell r="AW792">
            <v>0</v>
          </cell>
          <cell r="AX792">
            <v>0</v>
          </cell>
          <cell r="AY792" t="str">
            <v>540x870</v>
          </cell>
          <cell r="AZ792">
            <v>0</v>
          </cell>
          <cell r="BA792">
            <v>0</v>
          </cell>
          <cell r="BB792">
            <v>0</v>
          </cell>
          <cell r="BC792">
            <v>0</v>
          </cell>
          <cell r="BD792" t="e">
            <v>#N/A</v>
          </cell>
        </row>
        <row r="793">
          <cell r="A793" t="str">
            <v>sp 1304</v>
          </cell>
          <cell r="B793" t="str">
            <v>Túi nước giặt xả remix nền xanh 3.6L - Hóa Mỹ Phẩm</v>
          </cell>
          <cell r="C793">
            <v>6.9089999999999998</v>
          </cell>
          <cell r="D793">
            <v>1</v>
          </cell>
          <cell r="E793" t="str">
            <v>PET 12x890</v>
          </cell>
          <cell r="F793">
            <v>7</v>
          </cell>
          <cell r="G793" t="str">
            <v>PET</v>
          </cell>
          <cell r="H793">
            <v>0.223</v>
          </cell>
          <cell r="I793">
            <v>3.12</v>
          </cell>
          <cell r="J793">
            <v>1.56</v>
          </cell>
          <cell r="K793">
            <v>0.33400000000000002</v>
          </cell>
          <cell r="L793">
            <v>0.223</v>
          </cell>
          <cell r="M793">
            <v>0</v>
          </cell>
          <cell r="N793">
            <v>0.33400000000000002</v>
          </cell>
          <cell r="O793">
            <v>0</v>
          </cell>
          <cell r="P793">
            <v>0</v>
          </cell>
          <cell r="Q793">
            <v>0</v>
          </cell>
          <cell r="R793">
            <v>1.115</v>
          </cell>
          <cell r="S793">
            <v>0</v>
          </cell>
          <cell r="T793">
            <v>0</v>
          </cell>
          <cell r="U793">
            <v>0</v>
          </cell>
          <cell r="V793">
            <v>0</v>
          </cell>
          <cell r="W793">
            <v>0</v>
          </cell>
          <cell r="X793">
            <v>0</v>
          </cell>
          <cell r="Y793">
            <v>0</v>
          </cell>
          <cell r="Z793">
            <v>0</v>
          </cell>
          <cell r="AA793">
            <v>0</v>
          </cell>
          <cell r="AB793">
            <v>0</v>
          </cell>
          <cell r="AC793">
            <v>0</v>
          </cell>
          <cell r="AD793">
            <v>0</v>
          </cell>
          <cell r="AE793" t="str">
            <v>MPET 12x890</v>
          </cell>
          <cell r="AF793" t="str">
            <v>PA15x890
PE170x890</v>
          </cell>
          <cell r="AG793">
            <v>0.18520900000000001</v>
          </cell>
          <cell r="AH793">
            <v>2.1771771771771768</v>
          </cell>
          <cell r="AI793">
            <v>1.76</v>
          </cell>
          <cell r="AJ793">
            <v>9530</v>
          </cell>
          <cell r="AK793">
            <v>9530</v>
          </cell>
          <cell r="AL793" t="str">
            <v>0,0095(0,003;0,003;0,0035)</v>
          </cell>
          <cell r="AM793" t="str">
            <v>túi đáy đứng</v>
          </cell>
          <cell r="AN793">
            <v>270</v>
          </cell>
          <cell r="AO793" t="str">
            <v>Công ty TNHH Bột giặt và Hóa Mỹ Phẩm Quốc Tế</v>
          </cell>
          <cell r="AP793" t="str">
            <v>F127181-1</v>
          </cell>
          <cell r="AQ793" t="str">
            <v>F127181-2</v>
          </cell>
          <cell r="AR793" t="str">
            <v>F127181-3</v>
          </cell>
          <cell r="AS793" t="str">
            <v>F127181-4</v>
          </cell>
          <cell r="AT793" t="str">
            <v>F127181-5</v>
          </cell>
          <cell r="AU793" t="str">
            <v>F127181-6</v>
          </cell>
          <cell r="AV793" t="str">
            <v>F127181-7</v>
          </cell>
          <cell r="AW793">
            <v>0</v>
          </cell>
          <cell r="AX793">
            <v>0</v>
          </cell>
          <cell r="AY793" t="str">
            <v>540x1100</v>
          </cell>
          <cell r="AZ793">
            <v>0</v>
          </cell>
          <cell r="BA793">
            <v>0</v>
          </cell>
          <cell r="BB793">
            <v>0</v>
          </cell>
          <cell r="BC793">
            <v>0</v>
          </cell>
          <cell r="BD793" t="e">
            <v>#N/A</v>
          </cell>
        </row>
        <row r="794">
          <cell r="A794" t="str">
            <v>sp 1305</v>
          </cell>
          <cell r="B794" t="str">
            <v>Túi nước giặt xả remix nền đỏ 3.6L - Hóa Mỹ Phẩm</v>
          </cell>
          <cell r="C794">
            <v>7.3819999999999997</v>
          </cell>
          <cell r="D794">
            <v>1</v>
          </cell>
          <cell r="E794" t="str">
            <v>PET 12x890</v>
          </cell>
          <cell r="F794">
            <v>7</v>
          </cell>
          <cell r="G794" t="str">
            <v>PET</v>
          </cell>
          <cell r="H794">
            <v>0</v>
          </cell>
          <cell r="I794">
            <v>4.8079999999999998</v>
          </cell>
          <cell r="J794">
            <v>0.32</v>
          </cell>
          <cell r="K794">
            <v>0.96199999999999997</v>
          </cell>
          <cell r="L794">
            <v>0.107</v>
          </cell>
          <cell r="M794">
            <v>0.64100000000000001</v>
          </cell>
          <cell r="N794">
            <v>0.42699999999999999</v>
          </cell>
          <cell r="O794">
            <v>0</v>
          </cell>
          <cell r="P794">
            <v>0.107</v>
          </cell>
          <cell r="Q794">
            <v>0</v>
          </cell>
          <cell r="R794">
            <v>0.01</v>
          </cell>
          <cell r="S794">
            <v>0</v>
          </cell>
          <cell r="T794">
            <v>0</v>
          </cell>
          <cell r="U794">
            <v>0</v>
          </cell>
          <cell r="V794">
            <v>0</v>
          </cell>
          <cell r="W794">
            <v>0</v>
          </cell>
          <cell r="X794">
            <v>0</v>
          </cell>
          <cell r="Y794">
            <v>0</v>
          </cell>
          <cell r="Z794">
            <v>0</v>
          </cell>
          <cell r="AA794">
            <v>0</v>
          </cell>
          <cell r="AB794">
            <v>0</v>
          </cell>
          <cell r="AC794">
            <v>0</v>
          </cell>
          <cell r="AD794">
            <v>0</v>
          </cell>
          <cell r="AE794" t="str">
            <v>MPET 12x890</v>
          </cell>
          <cell r="AF794" t="str">
            <v>PA15x890
PE170x890</v>
          </cell>
          <cell r="AG794">
            <v>0.18520900000000001</v>
          </cell>
          <cell r="AH794">
            <v>2.1771771771771768</v>
          </cell>
          <cell r="AI794">
            <v>1.76</v>
          </cell>
          <cell r="AJ794">
            <v>9530</v>
          </cell>
          <cell r="AK794">
            <v>9530</v>
          </cell>
          <cell r="AL794" t="str">
            <v>0,0095(0,003;0,003;0,0025)</v>
          </cell>
          <cell r="AM794" t="str">
            <v>túi đáy đứng</v>
          </cell>
          <cell r="AN794">
            <v>270</v>
          </cell>
          <cell r="AO794" t="str">
            <v>Công ty TNHH Bột giặt và Hóa Mỹ Phẩm Quốc Tế</v>
          </cell>
          <cell r="AP794" t="str">
            <v>F127181-1</v>
          </cell>
          <cell r="AQ794" t="str">
            <v>F127181-2</v>
          </cell>
          <cell r="AR794" t="str">
            <v>F127181-3</v>
          </cell>
          <cell r="AS794" t="str">
            <v>F127181-4</v>
          </cell>
          <cell r="AT794" t="str">
            <v>F127181-5</v>
          </cell>
          <cell r="AU794" t="str">
            <v>F127181-6</v>
          </cell>
          <cell r="AV794" t="str">
            <v>F127181-7</v>
          </cell>
          <cell r="AW794">
            <v>0</v>
          </cell>
          <cell r="AX794">
            <v>0</v>
          </cell>
          <cell r="AY794" t="str">
            <v>540x1100</v>
          </cell>
          <cell r="AZ794">
            <v>0</v>
          </cell>
          <cell r="BA794">
            <v>0</v>
          </cell>
          <cell r="BB794">
            <v>0</v>
          </cell>
          <cell r="BC794">
            <v>0</v>
          </cell>
          <cell r="BD794" t="e">
            <v>#N/A</v>
          </cell>
        </row>
        <row r="795">
          <cell r="A795" t="str">
            <v>sp 1306</v>
          </cell>
          <cell r="B795" t="str">
            <v>Túi trà lụa TC 100gr loại 5</v>
          </cell>
          <cell r="C795">
            <v>8.8260000000000005</v>
          </cell>
          <cell r="D795">
            <v>3</v>
          </cell>
          <cell r="E795" t="str">
            <v>OPP mờ 20x740</v>
          </cell>
          <cell r="F795">
            <v>7</v>
          </cell>
          <cell r="G795" t="str">
            <v>OPP</v>
          </cell>
          <cell r="H795">
            <v>0.01</v>
          </cell>
          <cell r="I795">
            <v>4.1219999999999999</v>
          </cell>
          <cell r="J795">
            <v>0.34300000000000003</v>
          </cell>
          <cell r="K795">
            <v>0.63</v>
          </cell>
          <cell r="L795">
            <v>2.7480000000000002</v>
          </cell>
          <cell r="M795">
            <v>0.91600000000000004</v>
          </cell>
          <cell r="N795">
            <v>0</v>
          </cell>
          <cell r="O795">
            <v>0</v>
          </cell>
          <cell r="P795">
            <v>0</v>
          </cell>
          <cell r="Q795">
            <v>0</v>
          </cell>
          <cell r="R795">
            <v>0</v>
          </cell>
          <cell r="S795">
            <v>5.7000000000000002E-2</v>
          </cell>
          <cell r="T795">
            <v>0</v>
          </cell>
          <cell r="U795">
            <v>0</v>
          </cell>
          <cell r="V795">
            <v>0</v>
          </cell>
          <cell r="W795">
            <v>0</v>
          </cell>
          <cell r="X795">
            <v>0</v>
          </cell>
          <cell r="Y795">
            <v>0</v>
          </cell>
          <cell r="Z795">
            <v>0</v>
          </cell>
          <cell r="AA795">
            <v>0</v>
          </cell>
          <cell r="AB795">
            <v>0</v>
          </cell>
          <cell r="AC795">
            <v>0</v>
          </cell>
          <cell r="AD795">
            <v>0</v>
          </cell>
          <cell r="AE795" t="str">
            <v>MPET 12x740</v>
          </cell>
          <cell r="AF795" t="str">
            <v>PE 70x740</v>
          </cell>
          <cell r="AG795">
            <v>7.3815000000000019E-2</v>
          </cell>
          <cell r="AH795">
            <v>1.1193333333333333</v>
          </cell>
          <cell r="AI795">
            <v>1.46</v>
          </cell>
          <cell r="AJ795">
            <v>9530</v>
          </cell>
          <cell r="AK795">
            <v>9530</v>
          </cell>
          <cell r="AL795" t="str">
            <v>0,0053(0,0023;0,003)</v>
          </cell>
          <cell r="AM795" t="str">
            <v>túi hàn lưng xếp hông</v>
          </cell>
          <cell r="AN795">
            <v>270</v>
          </cell>
          <cell r="AO795" t="str">
            <v>Bùi Văn Sỹ</v>
          </cell>
          <cell r="AP795" t="str">
            <v>20101231-1</v>
          </cell>
          <cell r="AQ795" t="str">
            <v>20101231-2</v>
          </cell>
          <cell r="AR795" t="str">
            <v>20101231-3</v>
          </cell>
          <cell r="AS795" t="str">
            <v>20101231-4</v>
          </cell>
          <cell r="AT795" t="str">
            <v>20101231-5</v>
          </cell>
          <cell r="AU795" t="str">
            <v>20101231-6</v>
          </cell>
          <cell r="AV795" t="str">
            <v>1607495-7</v>
          </cell>
          <cell r="AW795">
            <v>0</v>
          </cell>
          <cell r="AX795">
            <v>0</v>
          </cell>
          <cell r="AY795" t="str">
            <v>540x850</v>
          </cell>
          <cell r="AZ795">
            <v>0</v>
          </cell>
          <cell r="BA795">
            <v>0</v>
          </cell>
          <cell r="BB795">
            <v>0</v>
          </cell>
          <cell r="BC795">
            <v>0</v>
          </cell>
          <cell r="BD795" t="e">
            <v>#N/A</v>
          </cell>
        </row>
        <row r="796">
          <cell r="A796" t="str">
            <v>sp 1307</v>
          </cell>
          <cell r="B796" t="str">
            <v>Cuộn bánh bao chay vừng 180gr Phú Mỹ</v>
          </cell>
          <cell r="C796">
            <v>8.6569999999999983</v>
          </cell>
          <cell r="D796">
            <v>2</v>
          </cell>
          <cell r="E796" t="str">
            <v>OPP 20x730</v>
          </cell>
          <cell r="F796">
            <v>2</v>
          </cell>
          <cell r="G796" t="str">
            <v>OPP</v>
          </cell>
          <cell r="H796">
            <v>0.46700000000000003</v>
          </cell>
          <cell r="I796">
            <v>4.5579999999999998</v>
          </cell>
          <cell r="J796">
            <v>0.93500000000000005</v>
          </cell>
          <cell r="K796">
            <v>0.01</v>
          </cell>
          <cell r="L796">
            <v>1.6359999999999999</v>
          </cell>
          <cell r="M796">
            <v>0.46700000000000003</v>
          </cell>
          <cell r="N796">
            <v>0</v>
          </cell>
          <cell r="O796">
            <v>0.58399999999999996</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t="str">
            <v>PE 55x730</v>
          </cell>
          <cell r="AF796">
            <v>0</v>
          </cell>
          <cell r="AG796">
            <v>5.0424749999999997E-2</v>
          </cell>
          <cell r="AH796">
            <v>1.1039999999999999</v>
          </cell>
          <cell r="AI796">
            <v>0</v>
          </cell>
          <cell r="AJ796">
            <v>9530</v>
          </cell>
          <cell r="AK796">
            <v>0</v>
          </cell>
          <cell r="AL796">
            <v>2.3E-3</v>
          </cell>
          <cell r="AM796" t="str">
            <v>dạng cuộn 500 cuộn</v>
          </cell>
          <cell r="AN796">
            <v>355</v>
          </cell>
          <cell r="AO796" t="str">
            <v>Công ty Phú Mỹ</v>
          </cell>
          <cell r="AP796" t="str">
            <v>20110326-1</v>
          </cell>
          <cell r="AQ796" t="str">
            <v>20110326-2</v>
          </cell>
          <cell r="AR796" t="str">
            <v>20110326-3</v>
          </cell>
          <cell r="AS796" t="str">
            <v>20110326-4</v>
          </cell>
          <cell r="AT796" t="str">
            <v>20110326-5</v>
          </cell>
          <cell r="AU796" t="str">
            <v>20110326-6</v>
          </cell>
          <cell r="AV796">
            <v>0</v>
          </cell>
          <cell r="AW796">
            <v>0</v>
          </cell>
          <cell r="AX796">
            <v>0</v>
          </cell>
          <cell r="AY796" t="str">
            <v>532x870</v>
          </cell>
          <cell r="AZ796">
            <v>0</v>
          </cell>
          <cell r="BA796">
            <v>0</v>
          </cell>
          <cell r="BB796">
            <v>0</v>
          </cell>
          <cell r="BC796">
            <v>0</v>
          </cell>
          <cell r="BD796" t="e">
            <v>#N/A</v>
          </cell>
        </row>
        <row r="797">
          <cell r="A797" t="str">
            <v>sp 1308</v>
          </cell>
          <cell r="B797" t="str">
            <v>Túi nhôm không in KT 80x165mm TPP France</v>
          </cell>
          <cell r="C797">
            <v>0</v>
          </cell>
          <cell r="D797">
            <v>4</v>
          </cell>
          <cell r="E797" t="str">
            <v>PET 12x740</v>
          </cell>
          <cell r="F797">
            <v>0</v>
          </cell>
          <cell r="G797" t="str">
            <v>PET</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t="str">
            <v>Al 6x740</v>
          </cell>
          <cell r="AF797" t="str">
            <v>PE 70x750</v>
          </cell>
          <cell r="AG797">
            <v>7.237940000000001E-2</v>
          </cell>
          <cell r="AH797">
            <v>1.1193333333333333</v>
          </cell>
          <cell r="AI797">
            <v>1.1193333333333333</v>
          </cell>
          <cell r="AJ797">
            <v>9530</v>
          </cell>
          <cell r="AK797">
            <v>9530</v>
          </cell>
          <cell r="AL797" t="str">
            <v>0,0046(0,0023;0,0023)</v>
          </cell>
          <cell r="AM797" t="str">
            <v>túi hàn lưng</v>
          </cell>
          <cell r="AN797">
            <v>165</v>
          </cell>
          <cell r="AO797" t="str">
            <v>Công ty CP Liên Doanh Dược Phẩm TPP France</v>
          </cell>
          <cell r="AP797">
            <v>0</v>
          </cell>
          <cell r="AQ797">
            <v>0</v>
          </cell>
          <cell r="AR797">
            <v>0</v>
          </cell>
          <cell r="AS797">
            <v>0</v>
          </cell>
          <cell r="AT797">
            <v>0</v>
          </cell>
          <cell r="AU797">
            <v>0</v>
          </cell>
          <cell r="AV797">
            <v>0</v>
          </cell>
          <cell r="AW797">
            <v>0</v>
          </cell>
          <cell r="AX797">
            <v>0</v>
          </cell>
          <cell r="AY797">
            <v>0</v>
          </cell>
          <cell r="AZ797">
            <v>0</v>
          </cell>
          <cell r="BA797">
            <v>0</v>
          </cell>
          <cell r="BB797">
            <v>0</v>
          </cell>
          <cell r="BC797">
            <v>0</v>
          </cell>
          <cell r="BD797" t="e">
            <v>#N/A</v>
          </cell>
        </row>
        <row r="798">
          <cell r="A798" t="str">
            <v>sp 1309</v>
          </cell>
          <cell r="B798" t="str">
            <v>Túi PA không in HCK KT 300x400 XNK RĐD</v>
          </cell>
          <cell r="C798">
            <v>0</v>
          </cell>
          <cell r="D798">
            <v>1</v>
          </cell>
          <cell r="E798" t="str">
            <v>PA 15x800</v>
          </cell>
          <cell r="F798">
            <v>0</v>
          </cell>
          <cell r="G798" t="str">
            <v xml:space="preserve">PA </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t="str">
            <v>PE 65x800</v>
          </cell>
          <cell r="AF798">
            <v>0</v>
          </cell>
          <cell r="AG798">
            <v>6.1900000000000004E-2</v>
          </cell>
          <cell r="AH798">
            <v>0.42048387096774198</v>
          </cell>
          <cell r="AI798">
            <v>0</v>
          </cell>
          <cell r="AJ798" t="str">
            <v>Keo 829B</v>
          </cell>
          <cell r="AK798" t="str">
            <v>Đóng rắn 829A</v>
          </cell>
          <cell r="AL798">
            <v>1.5E-3</v>
          </cell>
          <cell r="AM798" t="str">
            <v>túi ba biên</v>
          </cell>
          <cell r="AN798">
            <v>300</v>
          </cell>
          <cell r="AO798" t="str">
            <v>Công ty TNHH XNK Rồng Đông Dương</v>
          </cell>
          <cell r="AP798">
            <v>0</v>
          </cell>
          <cell r="AQ798">
            <v>0</v>
          </cell>
          <cell r="AR798">
            <v>0</v>
          </cell>
          <cell r="AS798">
            <v>0</v>
          </cell>
          <cell r="AT798">
            <v>0</v>
          </cell>
          <cell r="AU798">
            <v>0</v>
          </cell>
          <cell r="AV798">
            <v>0</v>
          </cell>
          <cell r="AW798">
            <v>0</v>
          </cell>
          <cell r="AX798">
            <v>0</v>
          </cell>
          <cell r="AY798">
            <v>0</v>
          </cell>
          <cell r="AZ798">
            <v>0</v>
          </cell>
          <cell r="BA798">
            <v>0</v>
          </cell>
          <cell r="BB798">
            <v>0</v>
          </cell>
          <cell r="BC798">
            <v>0</v>
          </cell>
          <cell r="BD798" t="e">
            <v>#N/A</v>
          </cell>
        </row>
        <row r="799">
          <cell r="A799" t="str">
            <v>sp 1310</v>
          </cell>
          <cell r="B799" t="str">
            <v>Túi trà bóng cao cấp tân cương 200gr loại 25</v>
          </cell>
          <cell r="C799">
            <v>10.693</v>
          </cell>
          <cell r="D799">
            <v>2</v>
          </cell>
          <cell r="E799" t="str">
            <v>PET 12x620</v>
          </cell>
          <cell r="F799">
            <v>7</v>
          </cell>
          <cell r="G799" t="str">
            <v>PET</v>
          </cell>
          <cell r="H799">
            <v>0</v>
          </cell>
          <cell r="I799">
            <v>5.8319999999999999</v>
          </cell>
          <cell r="J799">
            <v>0.41699999999999998</v>
          </cell>
          <cell r="K799">
            <v>0.13900000000000001</v>
          </cell>
          <cell r="L799">
            <v>2.222</v>
          </cell>
          <cell r="M799">
            <v>0</v>
          </cell>
          <cell r="N799">
            <v>0</v>
          </cell>
          <cell r="O799">
            <v>0</v>
          </cell>
          <cell r="P799">
            <v>2.0830000000000002</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t="str">
            <v>MPET 12x620</v>
          </cell>
          <cell r="AF799" t="str">
            <v>PE 75x620</v>
          </cell>
          <cell r="AG799">
            <v>6.3844500000000012E-2</v>
          </cell>
          <cell r="AH799">
            <v>0.93533333333333324</v>
          </cell>
          <cell r="AI799">
            <v>1.22</v>
          </cell>
          <cell r="AJ799">
            <v>9530</v>
          </cell>
          <cell r="AK799">
            <v>9530</v>
          </cell>
          <cell r="AL799" t="str">
            <v>0,0053(0,0023;0,003)</v>
          </cell>
          <cell r="AM799" t="str">
            <v>túi hàn lưng xếp hông</v>
          </cell>
          <cell r="AN799">
            <v>340</v>
          </cell>
          <cell r="AO799" t="str">
            <v>Bùi Văn Sỹ</v>
          </cell>
          <cell r="AP799" t="str">
            <v>HD32011018-1</v>
          </cell>
          <cell r="AQ799" t="str">
            <v>HD32011018-2</v>
          </cell>
          <cell r="AR799" t="str">
            <v>HD32011018-3</v>
          </cell>
          <cell r="AS799" t="str">
            <v>HD32011018-4</v>
          </cell>
          <cell r="AT799" t="str">
            <v>HD32011018-5</v>
          </cell>
          <cell r="AU799" t="str">
            <v>HD32011018-6</v>
          </cell>
          <cell r="AV799" t="str">
            <v>HD32011018-7</v>
          </cell>
          <cell r="AW799">
            <v>0</v>
          </cell>
          <cell r="AX799">
            <v>0</v>
          </cell>
          <cell r="AY799" t="str">
            <v>680x870</v>
          </cell>
          <cell r="AZ799">
            <v>0</v>
          </cell>
          <cell r="BA799">
            <v>0</v>
          </cell>
          <cell r="BB799">
            <v>0</v>
          </cell>
          <cell r="BC799">
            <v>0</v>
          </cell>
          <cell r="BD799" t="e">
            <v>#N/A</v>
          </cell>
        </row>
        <row r="800">
          <cell r="A800" t="str">
            <v>sp 1311</v>
          </cell>
          <cell r="B800" t="str">
            <v>Túi trà bóng cao cấp đặc sản 200gr loại 25</v>
          </cell>
          <cell r="C800">
            <v>7.3970000000000002</v>
          </cell>
          <cell r="D800">
            <v>2</v>
          </cell>
          <cell r="E800" t="str">
            <v>PET 12x620</v>
          </cell>
          <cell r="F800">
            <v>7</v>
          </cell>
          <cell r="G800" t="str">
            <v>PET</v>
          </cell>
          <cell r="H800">
            <v>0.01</v>
          </cell>
          <cell r="I800">
            <v>0.27400000000000002</v>
          </cell>
          <cell r="J800">
            <v>1.915</v>
          </cell>
          <cell r="K800">
            <v>0.27400000000000002</v>
          </cell>
          <cell r="L800">
            <v>3.556</v>
          </cell>
          <cell r="M800">
            <v>0</v>
          </cell>
          <cell r="N800">
            <v>0</v>
          </cell>
          <cell r="O800">
            <v>0</v>
          </cell>
          <cell r="P800">
            <v>1.3680000000000001</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t="str">
            <v>MPET 12x620</v>
          </cell>
          <cell r="AF800" t="str">
            <v>PE 75x620</v>
          </cell>
          <cell r="AG800">
            <v>6.3844500000000012E-2</v>
          </cell>
          <cell r="AH800">
            <v>0.93533333333333324</v>
          </cell>
          <cell r="AI800">
            <v>1.22</v>
          </cell>
          <cell r="AJ800">
            <v>9530</v>
          </cell>
          <cell r="AK800">
            <v>9530</v>
          </cell>
          <cell r="AL800" t="str">
            <v>0,0053(0,0023;0,003)</v>
          </cell>
          <cell r="AM800" t="str">
            <v>túi hàn lưng xếp hông</v>
          </cell>
          <cell r="AN800">
            <v>340</v>
          </cell>
          <cell r="AO800" t="str">
            <v>Bùi Văn Sỹ</v>
          </cell>
          <cell r="AP800" t="str">
            <v>HD32011018-1</v>
          </cell>
          <cell r="AQ800" t="str">
            <v>HD32011018-2</v>
          </cell>
          <cell r="AR800" t="str">
            <v>HD32011018J1-3</v>
          </cell>
          <cell r="AS800" t="str">
            <v>HD32011018-4</v>
          </cell>
          <cell r="AT800" t="str">
            <v>HD32011018-5</v>
          </cell>
          <cell r="AU800" t="str">
            <v>HD32011018-6</v>
          </cell>
          <cell r="AV800" t="str">
            <v>HD32011018-7</v>
          </cell>
          <cell r="AW800">
            <v>0</v>
          </cell>
          <cell r="AX800">
            <v>0</v>
          </cell>
          <cell r="AY800" t="str">
            <v>680x870</v>
          </cell>
          <cell r="AZ800">
            <v>0</v>
          </cell>
          <cell r="BA800">
            <v>0</v>
          </cell>
          <cell r="BB800">
            <v>0</v>
          </cell>
          <cell r="BC800">
            <v>0</v>
          </cell>
          <cell r="BD800" t="e">
            <v>#N/A</v>
          </cell>
        </row>
        <row r="801">
          <cell r="A801" t="str">
            <v>sp 1312</v>
          </cell>
          <cell r="B801" t="str">
            <v>Túi trà bóng cao cấp tân cương 500gr loại 25</v>
          </cell>
          <cell r="C801">
            <v>6.2190000000000003</v>
          </cell>
          <cell r="D801">
            <v>2</v>
          </cell>
          <cell r="E801" t="str">
            <v>PET 12x760</v>
          </cell>
          <cell r="F801">
            <v>7</v>
          </cell>
          <cell r="G801" t="str">
            <v>PET</v>
          </cell>
          <cell r="H801">
            <v>0.35199999999999998</v>
          </cell>
          <cell r="I801">
            <v>0.23499999999999999</v>
          </cell>
          <cell r="J801">
            <v>1.056</v>
          </cell>
          <cell r="K801">
            <v>0.93899999999999995</v>
          </cell>
          <cell r="L801">
            <v>3.52</v>
          </cell>
          <cell r="M801">
            <v>0</v>
          </cell>
          <cell r="N801">
            <v>0</v>
          </cell>
          <cell r="O801">
            <v>0</v>
          </cell>
          <cell r="P801">
            <v>0.11700000000000001</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t="str">
            <v>MPET 12x760</v>
          </cell>
          <cell r="AF801" t="str">
            <v>PE 80x760</v>
          </cell>
          <cell r="AG801">
            <v>8.1776000000000001E-2</v>
          </cell>
          <cell r="AH801">
            <v>1.1499999999999999</v>
          </cell>
          <cell r="AI801">
            <v>1.5</v>
          </cell>
          <cell r="AJ801">
            <v>9530</v>
          </cell>
          <cell r="AK801">
            <v>9530</v>
          </cell>
          <cell r="AL801" t="str">
            <v>0,0053(0,0023;0,003)</v>
          </cell>
          <cell r="AM801" t="str">
            <v>túi hàn lưng xếp hông</v>
          </cell>
          <cell r="AN801">
            <v>420</v>
          </cell>
          <cell r="AO801" t="str">
            <v>Bùi Văn Sỹ</v>
          </cell>
          <cell r="AP801" t="str">
            <v>HD32011019-1</v>
          </cell>
          <cell r="AQ801" t="str">
            <v>HD32011019-2</v>
          </cell>
          <cell r="AR801" t="str">
            <v>HD32011019-3</v>
          </cell>
          <cell r="AS801" t="str">
            <v>HD32011019-4</v>
          </cell>
          <cell r="AT801" t="str">
            <v>HD32011019-5</v>
          </cell>
          <cell r="AU801" t="str">
            <v>HD32011019-6</v>
          </cell>
          <cell r="AV801" t="str">
            <v>HD32011019-7</v>
          </cell>
          <cell r="AW801">
            <v>0</v>
          </cell>
          <cell r="AX801">
            <v>0</v>
          </cell>
          <cell r="AY801" t="str">
            <v>420x870</v>
          </cell>
          <cell r="AZ801">
            <v>0</v>
          </cell>
          <cell r="BA801">
            <v>0</v>
          </cell>
          <cell r="BB801">
            <v>0</v>
          </cell>
          <cell r="BC801">
            <v>0</v>
          </cell>
          <cell r="BD801" t="e">
            <v>#N/A</v>
          </cell>
        </row>
        <row r="802">
          <cell r="A802" t="str">
            <v>sp 1313</v>
          </cell>
          <cell r="B802" t="str">
            <v>Túi trà bóng cao cấp đặc sản 500gr loại 25</v>
          </cell>
          <cell r="C802">
            <v>7.0459999999999994</v>
          </cell>
          <cell r="D802">
            <v>2</v>
          </cell>
          <cell r="E802" t="str">
            <v>PET 12x760</v>
          </cell>
          <cell r="F802">
            <v>7</v>
          </cell>
          <cell r="G802" t="str">
            <v>PET</v>
          </cell>
          <cell r="H802">
            <v>0.22700000000000001</v>
          </cell>
          <cell r="I802">
            <v>3.4049999999999998</v>
          </cell>
          <cell r="J802">
            <v>0.01</v>
          </cell>
          <cell r="K802">
            <v>0.114</v>
          </cell>
          <cell r="L802">
            <v>1.589</v>
          </cell>
          <cell r="M802">
            <v>1.36</v>
          </cell>
          <cell r="N802">
            <v>0</v>
          </cell>
          <cell r="O802">
            <v>0</v>
          </cell>
          <cell r="P802">
            <v>0.34100000000000003</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t="str">
            <v>MPET 12x760</v>
          </cell>
          <cell r="AF802" t="str">
            <v>PE 80x760</v>
          </cell>
          <cell r="AG802">
            <v>8.1776000000000001E-2</v>
          </cell>
          <cell r="AH802">
            <v>1.1499999999999999</v>
          </cell>
          <cell r="AI802">
            <v>1.5</v>
          </cell>
          <cell r="AJ802">
            <v>9530</v>
          </cell>
          <cell r="AK802">
            <v>9530</v>
          </cell>
          <cell r="AL802" t="str">
            <v>0,0053(0,0023;0,003)</v>
          </cell>
          <cell r="AM802" t="str">
            <v>túi hàn lưng xếp hông</v>
          </cell>
          <cell r="AN802">
            <v>420</v>
          </cell>
          <cell r="AO802" t="str">
            <v>Bùi Văn Sỹ</v>
          </cell>
          <cell r="AP802" t="str">
            <v>HD32011019-1</v>
          </cell>
          <cell r="AQ802" t="str">
            <v>HD32011019-2</v>
          </cell>
          <cell r="AR802" t="str">
            <v>HD32011019J1-3</v>
          </cell>
          <cell r="AS802" t="str">
            <v>HD32011019-4</v>
          </cell>
          <cell r="AT802" t="str">
            <v>HD32011019-5</v>
          </cell>
          <cell r="AU802" t="str">
            <v>HD32011019-6</v>
          </cell>
          <cell r="AV802" t="str">
            <v>HD32011019-7</v>
          </cell>
          <cell r="AW802">
            <v>0</v>
          </cell>
          <cell r="AX802">
            <v>0</v>
          </cell>
          <cell r="AY802" t="str">
            <v>420x870</v>
          </cell>
          <cell r="AZ802">
            <v>0</v>
          </cell>
          <cell r="BA802">
            <v>0</v>
          </cell>
          <cell r="BB802">
            <v>0</v>
          </cell>
          <cell r="BC802">
            <v>0</v>
          </cell>
          <cell r="BD802" t="e">
            <v>#N/A</v>
          </cell>
        </row>
        <row r="803">
          <cell r="A803" t="str">
            <v>sp 1314</v>
          </cell>
          <cell r="B803" t="str">
            <v>Cuộn men rượu hương nếp bắc việt Trung Tiến</v>
          </cell>
          <cell r="C803">
            <v>6.8899999999999988</v>
          </cell>
          <cell r="D803">
            <v>5</v>
          </cell>
          <cell r="E803" t="str">
            <v>OPP 20x910</v>
          </cell>
          <cell r="F803">
            <v>5</v>
          </cell>
          <cell r="G803" t="str">
            <v>OPP</v>
          </cell>
          <cell r="H803">
            <v>0</v>
          </cell>
          <cell r="I803">
            <v>0</v>
          </cell>
          <cell r="J803">
            <v>0</v>
          </cell>
          <cell r="K803">
            <v>0</v>
          </cell>
          <cell r="L803">
            <v>0.55000000000000004</v>
          </cell>
          <cell r="M803">
            <v>5.56</v>
          </cell>
          <cell r="N803">
            <v>0</v>
          </cell>
          <cell r="O803">
            <v>0</v>
          </cell>
          <cell r="P803">
            <v>0.01</v>
          </cell>
          <cell r="Q803">
            <v>0.77</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t="str">
            <v>PE 25x910</v>
          </cell>
          <cell r="AF803">
            <v>0</v>
          </cell>
          <cell r="AG803">
            <v>3.760575E-2</v>
          </cell>
          <cell r="AH803">
            <v>1.2</v>
          </cell>
          <cell r="AI803">
            <v>0</v>
          </cell>
          <cell r="AJ803">
            <v>9530</v>
          </cell>
          <cell r="AK803">
            <v>0</v>
          </cell>
          <cell r="AL803">
            <v>2E-3</v>
          </cell>
          <cell r="AM803" t="str">
            <v>dạng cuộn 1,800m</v>
          </cell>
          <cell r="AN803">
            <v>178</v>
          </cell>
          <cell r="AO803" t="str">
            <v>Cơ sở men Trung Tiến</v>
          </cell>
          <cell r="AP803" t="e">
            <v>#N/A</v>
          </cell>
          <cell r="AQ803" t="e">
            <v>#N/A</v>
          </cell>
          <cell r="AR803" t="e">
            <v>#N/A</v>
          </cell>
          <cell r="AS803" t="e">
            <v>#N/A</v>
          </cell>
          <cell r="AT803" t="e">
            <v>#N/A</v>
          </cell>
          <cell r="AU803" t="e">
            <v>#N/A</v>
          </cell>
          <cell r="AV803" t="e">
            <v>#N/A</v>
          </cell>
          <cell r="AW803" t="e">
            <v>#N/A</v>
          </cell>
          <cell r="AX803" t="e">
            <v>#N/A</v>
          </cell>
          <cell r="AY803" t="e">
            <v>#N/A</v>
          </cell>
          <cell r="AZ803" t="e">
            <v>#N/A</v>
          </cell>
          <cell r="BA803">
            <v>0</v>
          </cell>
          <cell r="BB803">
            <v>0</v>
          </cell>
          <cell r="BC803">
            <v>0</v>
          </cell>
          <cell r="BD803" t="e">
            <v>#N/A</v>
          </cell>
        </row>
        <row r="804">
          <cell r="A804" t="str">
            <v>sp 1315</v>
          </cell>
          <cell r="B804" t="str">
            <v xml:space="preserve">Túi hanato-dezen </v>
          </cell>
          <cell r="C804">
            <v>5.6669999999999998</v>
          </cell>
          <cell r="D804">
            <v>1</v>
          </cell>
          <cell r="E804" t="str">
            <v>OPP 20x900</v>
          </cell>
          <cell r="F804">
            <v>4</v>
          </cell>
          <cell r="G804" t="str">
            <v>OPP</v>
          </cell>
          <cell r="H804">
            <v>0</v>
          </cell>
          <cell r="I804">
            <v>3.77</v>
          </cell>
          <cell r="J804">
            <v>0</v>
          </cell>
          <cell r="K804">
            <v>0</v>
          </cell>
          <cell r="L804">
            <v>0.503</v>
          </cell>
          <cell r="M804">
            <v>0</v>
          </cell>
          <cell r="N804">
            <v>0</v>
          </cell>
          <cell r="O804">
            <v>0</v>
          </cell>
          <cell r="P804">
            <v>0.88100000000000001</v>
          </cell>
          <cell r="Q804">
            <v>0.503</v>
          </cell>
          <cell r="R804">
            <v>0</v>
          </cell>
          <cell r="S804">
            <v>0</v>
          </cell>
          <cell r="T804">
            <v>0.01</v>
          </cell>
          <cell r="U804">
            <v>0</v>
          </cell>
          <cell r="V804">
            <v>0</v>
          </cell>
          <cell r="W804">
            <v>0</v>
          </cell>
          <cell r="X804">
            <v>0</v>
          </cell>
          <cell r="Y804">
            <v>0</v>
          </cell>
          <cell r="Z804">
            <v>0</v>
          </cell>
          <cell r="AA804">
            <v>0</v>
          </cell>
          <cell r="AB804">
            <v>0</v>
          </cell>
          <cell r="AC804">
            <v>0</v>
          </cell>
          <cell r="AD804">
            <v>0</v>
          </cell>
          <cell r="AE804" t="str">
            <v>PE 60x900</v>
          </cell>
          <cell r="AF804">
            <v>0</v>
          </cell>
          <cell r="AG804">
            <v>6.633E-2</v>
          </cell>
          <cell r="AH804">
            <v>1.3646666666666665</v>
          </cell>
          <cell r="AI804">
            <v>0</v>
          </cell>
          <cell r="AJ804">
            <v>9530</v>
          </cell>
          <cell r="AK804">
            <v>0</v>
          </cell>
          <cell r="AL804">
            <v>2.3E-3</v>
          </cell>
          <cell r="AM804" t="str">
            <v>túi ba biên</v>
          </cell>
          <cell r="AN804">
            <v>280</v>
          </cell>
          <cell r="AO804" t="str">
            <v>Công ty TNHH Công Nghiệp Dezen</v>
          </cell>
          <cell r="AP804" t="str">
            <v>X110189-1</v>
          </cell>
          <cell r="AQ804" t="str">
            <v>X110189-2</v>
          </cell>
          <cell r="AR804" t="str">
            <v>X110189-3</v>
          </cell>
          <cell r="AS804" t="str">
            <v>X110189-4</v>
          </cell>
          <cell r="AT804">
            <v>0</v>
          </cell>
          <cell r="AU804">
            <v>0</v>
          </cell>
          <cell r="AV804">
            <v>0</v>
          </cell>
          <cell r="AW804">
            <v>0</v>
          </cell>
          <cell r="AX804">
            <v>0</v>
          </cell>
          <cell r="AY804" t="str">
            <v>560x1100</v>
          </cell>
          <cell r="AZ804">
            <v>0</v>
          </cell>
          <cell r="BA804">
            <v>0</v>
          </cell>
          <cell r="BB804">
            <v>0</v>
          </cell>
          <cell r="BC804">
            <v>0</v>
          </cell>
          <cell r="BD804" t="e">
            <v>#N/A</v>
          </cell>
        </row>
        <row r="805">
          <cell r="A805" t="str">
            <v>sp 1316</v>
          </cell>
          <cell r="B805" t="str">
            <v>Túi nước rửa chén lalaulau 550ml Dương Hoàng Hoa</v>
          </cell>
          <cell r="C805">
            <v>1.363</v>
          </cell>
          <cell r="D805">
            <v>1</v>
          </cell>
          <cell r="E805" t="str">
            <v>PA 15x560</v>
          </cell>
          <cell r="F805">
            <v>3</v>
          </cell>
          <cell r="G805" t="str">
            <v xml:space="preserve">PA </v>
          </cell>
          <cell r="H805">
            <v>0</v>
          </cell>
          <cell r="I805">
            <v>0</v>
          </cell>
          <cell r="J805">
            <v>0.30299999999999999</v>
          </cell>
          <cell r="K805">
            <v>0.30299999999999999</v>
          </cell>
          <cell r="L805">
            <v>0</v>
          </cell>
          <cell r="M805">
            <v>0</v>
          </cell>
          <cell r="N805">
            <v>0</v>
          </cell>
          <cell r="O805">
            <v>0</v>
          </cell>
          <cell r="P805">
            <v>0.75700000000000001</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t="str">
            <v>PE sứ 100x560</v>
          </cell>
          <cell r="AF805">
            <v>0</v>
          </cell>
          <cell r="AG805">
            <v>6.1740000000000017E-2</v>
          </cell>
          <cell r="AH805">
            <v>1.2833333333333334</v>
          </cell>
          <cell r="AI805">
            <v>0</v>
          </cell>
          <cell r="AJ805">
            <v>9530</v>
          </cell>
          <cell r="AK805">
            <v>0</v>
          </cell>
          <cell r="AL805">
            <v>3.5000000000000001E-3</v>
          </cell>
          <cell r="AM805" t="str">
            <v>túi ba biên đáy đứng</v>
          </cell>
          <cell r="AN805">
            <v>136</v>
          </cell>
          <cell r="AO805" t="str">
            <v>Công ty Dương Hoàng Hoa</v>
          </cell>
          <cell r="AP805" t="str">
            <v>20110654-1</v>
          </cell>
          <cell r="AQ805" t="str">
            <v>20110654-2</v>
          </cell>
          <cell r="AR805" t="str">
            <v>20110654-3</v>
          </cell>
          <cell r="AS805">
            <v>0</v>
          </cell>
          <cell r="AT805">
            <v>0</v>
          </cell>
          <cell r="AU805">
            <v>0</v>
          </cell>
          <cell r="AV805">
            <v>0</v>
          </cell>
          <cell r="AW805">
            <v>0</v>
          </cell>
          <cell r="AX805">
            <v>0</v>
          </cell>
          <cell r="AY805" t="str">
            <v>420x870</v>
          </cell>
          <cell r="AZ805">
            <v>0</v>
          </cell>
          <cell r="BA805">
            <v>0</v>
          </cell>
          <cell r="BB805">
            <v>0</v>
          </cell>
          <cell r="BC805">
            <v>0</v>
          </cell>
          <cell r="BD805" t="e">
            <v>#N/A</v>
          </cell>
        </row>
        <row r="806">
          <cell r="A806" t="str">
            <v>sp 1317</v>
          </cell>
          <cell r="B806" t="str">
            <v>Cuộn thuốc thú y genta tylo TA 100gr Năm Thái</v>
          </cell>
          <cell r="C806">
            <v>11.782999999999998</v>
          </cell>
          <cell r="D806">
            <v>3</v>
          </cell>
          <cell r="E806" t="str">
            <v>OPP 30x770</v>
          </cell>
          <cell r="F806">
            <v>6</v>
          </cell>
          <cell r="G806" t="str">
            <v>OPP</v>
          </cell>
          <cell r="H806">
            <v>0.155</v>
          </cell>
          <cell r="I806">
            <v>6.0469999999999997</v>
          </cell>
          <cell r="J806">
            <v>0.155</v>
          </cell>
          <cell r="K806">
            <v>1.085</v>
          </cell>
          <cell r="L806">
            <v>3.5659999999999998</v>
          </cell>
          <cell r="M806">
            <v>0.62</v>
          </cell>
          <cell r="N806">
            <v>0</v>
          </cell>
          <cell r="O806">
            <v>0.155</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t="str">
            <v>MPET 12x770</v>
          </cell>
          <cell r="AF806" t="str">
            <v>PE 35x770</v>
          </cell>
          <cell r="AG806">
            <v>5.8885750000000014E-2</v>
          </cell>
          <cell r="AH806">
            <v>1.1653333333333333</v>
          </cell>
          <cell r="AI806">
            <v>1.1653333333333333</v>
          </cell>
          <cell r="AJ806">
            <v>9530</v>
          </cell>
          <cell r="AK806">
            <v>9530</v>
          </cell>
          <cell r="AL806" t="str">
            <v>0,0046 (0,0023;0,0023)</v>
          </cell>
          <cell r="AM806" t="str">
            <v>dạng cuộn 1,000m</v>
          </cell>
          <cell r="AN806">
            <v>250</v>
          </cell>
          <cell r="AO806" t="str">
            <v>Công ty Năm Thái</v>
          </cell>
          <cell r="AP806" t="str">
            <v>20110917-1</v>
          </cell>
          <cell r="AQ806" t="str">
            <v>20110917-2</v>
          </cell>
          <cell r="AR806" t="str">
            <v>20110917-3</v>
          </cell>
          <cell r="AS806" t="str">
            <v>20110917-4</v>
          </cell>
          <cell r="AT806" t="str">
            <v>20110917-5</v>
          </cell>
          <cell r="AU806" t="str">
            <v>20110917-6</v>
          </cell>
          <cell r="AV806">
            <v>0</v>
          </cell>
          <cell r="AW806">
            <v>0</v>
          </cell>
          <cell r="AX806">
            <v>0</v>
          </cell>
          <cell r="AY806" t="str">
            <v>495x870</v>
          </cell>
          <cell r="AZ806">
            <v>0</v>
          </cell>
          <cell r="BA806">
            <v>0</v>
          </cell>
          <cell r="BB806">
            <v>0</v>
          </cell>
          <cell r="BC806">
            <v>0</v>
          </cell>
          <cell r="BD806" t="e">
            <v>#N/A</v>
          </cell>
        </row>
        <row r="807">
          <cell r="A807" t="str">
            <v>sp 1318</v>
          </cell>
          <cell r="B807" t="str">
            <v>Cuộn thuốc thú y TA.ADE.C 100gr Năm Thái mới</v>
          </cell>
          <cell r="C807">
            <v>18.877000000000002</v>
          </cell>
          <cell r="D807">
            <v>3</v>
          </cell>
          <cell r="E807" t="str">
            <v>OPP 30x770</v>
          </cell>
          <cell r="F807">
            <v>6</v>
          </cell>
          <cell r="G807" t="str">
            <v>OPP</v>
          </cell>
          <cell r="H807">
            <v>0.189</v>
          </cell>
          <cell r="I807">
            <v>9.6259999999999994</v>
          </cell>
          <cell r="J807">
            <v>1.88</v>
          </cell>
          <cell r="K807">
            <v>3.5859999999999999</v>
          </cell>
          <cell r="L807">
            <v>3.5859999999999999</v>
          </cell>
          <cell r="M807">
            <v>0</v>
          </cell>
          <cell r="N807">
            <v>0</v>
          </cell>
          <cell r="O807">
            <v>0</v>
          </cell>
          <cell r="P807">
            <v>0</v>
          </cell>
          <cell r="Q807">
            <v>0.01</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t="str">
            <v>MPET 12x770</v>
          </cell>
          <cell r="AF807" t="str">
            <v>PE 35x770</v>
          </cell>
          <cell r="AG807">
            <v>5.8885750000000014E-2</v>
          </cell>
          <cell r="AH807">
            <v>1.1653333333333333</v>
          </cell>
          <cell r="AI807">
            <v>1.1653333333333333</v>
          </cell>
          <cell r="AJ807">
            <v>9530</v>
          </cell>
          <cell r="AK807">
            <v>9530</v>
          </cell>
          <cell r="AL807" t="str">
            <v>0,0046 (0,0023;0,0023)</v>
          </cell>
          <cell r="AM807" t="str">
            <v>dạng cuộn 1,000m</v>
          </cell>
          <cell r="AN807">
            <v>250</v>
          </cell>
          <cell r="AO807" t="str">
            <v>Công ty Năm Thái</v>
          </cell>
          <cell r="AP807" t="str">
            <v>20110920-1</v>
          </cell>
          <cell r="AQ807" t="str">
            <v>20110920-2</v>
          </cell>
          <cell r="AR807" t="str">
            <v>20110920-3</v>
          </cell>
          <cell r="AS807" t="str">
            <v>20110920-4</v>
          </cell>
          <cell r="AT807" t="str">
            <v>20110920-5</v>
          </cell>
          <cell r="AU807" t="str">
            <v>20110917-6</v>
          </cell>
          <cell r="AV807">
            <v>0</v>
          </cell>
          <cell r="AW807">
            <v>0</v>
          </cell>
          <cell r="AX807">
            <v>0</v>
          </cell>
          <cell r="AY807" t="str">
            <v>495x870</v>
          </cell>
          <cell r="AZ807">
            <v>0</v>
          </cell>
          <cell r="BA807">
            <v>0</v>
          </cell>
          <cell r="BB807">
            <v>0</v>
          </cell>
          <cell r="BC807">
            <v>0</v>
          </cell>
          <cell r="BD807" t="e">
            <v>#N/A</v>
          </cell>
        </row>
        <row r="808">
          <cell r="A808" t="str">
            <v>sp 1319</v>
          </cell>
          <cell r="B808" t="str">
            <v>Cuộn thuốc thú y tiêu chảy heo 100gr Năm Thái mới</v>
          </cell>
          <cell r="C808">
            <v>9.4159999999999986</v>
          </cell>
          <cell r="D808">
            <v>3</v>
          </cell>
          <cell r="E808" t="str">
            <v>OPP 30x770</v>
          </cell>
          <cell r="F808">
            <v>6</v>
          </cell>
          <cell r="G808" t="str">
            <v>OPP</v>
          </cell>
          <cell r="H808">
            <v>0.496</v>
          </cell>
          <cell r="I808">
            <v>6.6070000000000002</v>
          </cell>
          <cell r="J808">
            <v>0</v>
          </cell>
          <cell r="K808">
            <v>0.66100000000000003</v>
          </cell>
          <cell r="L808">
            <v>0</v>
          </cell>
          <cell r="M808">
            <v>0</v>
          </cell>
          <cell r="N808">
            <v>0</v>
          </cell>
          <cell r="O808">
            <v>0.66100000000000003</v>
          </cell>
          <cell r="P808">
            <v>0</v>
          </cell>
          <cell r="Q808">
            <v>0</v>
          </cell>
          <cell r="R808">
            <v>0.99099999999999999</v>
          </cell>
          <cell r="S808">
            <v>0</v>
          </cell>
          <cell r="T808">
            <v>0</v>
          </cell>
          <cell r="U808">
            <v>0</v>
          </cell>
          <cell r="V808">
            <v>0</v>
          </cell>
          <cell r="W808">
            <v>0</v>
          </cell>
          <cell r="X808">
            <v>0</v>
          </cell>
          <cell r="Y808">
            <v>0</v>
          </cell>
          <cell r="Z808">
            <v>0</v>
          </cell>
          <cell r="AA808">
            <v>0</v>
          </cell>
          <cell r="AB808">
            <v>0</v>
          </cell>
          <cell r="AC808">
            <v>0</v>
          </cell>
          <cell r="AD808">
            <v>0</v>
          </cell>
          <cell r="AE808" t="str">
            <v>MPET 12x770</v>
          </cell>
          <cell r="AF808" t="str">
            <v>PE 35x770</v>
          </cell>
          <cell r="AG808">
            <v>5.8885750000000014E-2</v>
          </cell>
          <cell r="AH808">
            <v>1.1653333333333333</v>
          </cell>
          <cell r="AI808">
            <v>1.1653333333333333</v>
          </cell>
          <cell r="AJ808">
            <v>9530</v>
          </cell>
          <cell r="AK808">
            <v>9530</v>
          </cell>
          <cell r="AL808" t="str">
            <v>0,0046 (0,0023;0,0023)</v>
          </cell>
          <cell r="AM808" t="str">
            <v>dạng cuộn 1,000m</v>
          </cell>
          <cell r="AN808">
            <v>250</v>
          </cell>
          <cell r="AO808" t="str">
            <v>Công ty Năm Thái</v>
          </cell>
          <cell r="AP808" t="str">
            <v>20110919-1</v>
          </cell>
          <cell r="AQ808" t="str">
            <v>20110917-2</v>
          </cell>
          <cell r="AR808" t="str">
            <v>20110919-3</v>
          </cell>
          <cell r="AS808">
            <v>0</v>
          </cell>
          <cell r="AT808">
            <v>0</v>
          </cell>
          <cell r="AU808" t="str">
            <v>20110717-6</v>
          </cell>
          <cell r="AV808">
            <v>0</v>
          </cell>
          <cell r="AW808">
            <v>0</v>
          </cell>
          <cell r="AX808">
            <v>0</v>
          </cell>
          <cell r="AY808" t="str">
            <v>495x870</v>
          </cell>
          <cell r="AZ808">
            <v>0</v>
          </cell>
          <cell r="BA808">
            <v>0</v>
          </cell>
          <cell r="BB808">
            <v>0</v>
          </cell>
          <cell r="BC808">
            <v>0</v>
          </cell>
          <cell r="BD808" t="e">
            <v>#N/A</v>
          </cell>
        </row>
        <row r="809">
          <cell r="A809" t="str">
            <v>sp 1320</v>
          </cell>
          <cell r="B809" t="str">
            <v>Cuộn thuốc thú y tilmico-nt 100gr Năm Thái mới</v>
          </cell>
          <cell r="C809">
            <v>6.375</v>
          </cell>
          <cell r="D809">
            <v>3</v>
          </cell>
          <cell r="E809" t="str">
            <v>OPP 30x770</v>
          </cell>
          <cell r="F809">
            <v>6</v>
          </cell>
          <cell r="G809" t="str">
            <v>OPP</v>
          </cell>
          <cell r="H809">
            <v>0.17199999999999999</v>
          </cell>
          <cell r="I809">
            <v>5.5010000000000003</v>
          </cell>
          <cell r="J809">
            <v>0</v>
          </cell>
          <cell r="K809">
            <v>0</v>
          </cell>
          <cell r="L809">
            <v>0</v>
          </cell>
          <cell r="M809">
            <v>0</v>
          </cell>
          <cell r="N809">
            <v>0</v>
          </cell>
          <cell r="O809">
            <v>0.17199999999999999</v>
          </cell>
          <cell r="P809">
            <v>0</v>
          </cell>
          <cell r="Q809">
            <v>0</v>
          </cell>
          <cell r="R809">
            <v>0.52</v>
          </cell>
          <cell r="S809">
            <v>0</v>
          </cell>
          <cell r="T809">
            <v>0.01</v>
          </cell>
          <cell r="U809">
            <v>0</v>
          </cell>
          <cell r="V809">
            <v>0</v>
          </cell>
          <cell r="W809">
            <v>0</v>
          </cell>
          <cell r="X809">
            <v>0</v>
          </cell>
          <cell r="Y809">
            <v>0</v>
          </cell>
          <cell r="Z809">
            <v>0</v>
          </cell>
          <cell r="AA809">
            <v>0</v>
          </cell>
          <cell r="AB809">
            <v>0</v>
          </cell>
          <cell r="AC809">
            <v>0</v>
          </cell>
          <cell r="AD809">
            <v>0</v>
          </cell>
          <cell r="AE809" t="str">
            <v>MPET 12x770</v>
          </cell>
          <cell r="AF809" t="str">
            <v>PE 35x770</v>
          </cell>
          <cell r="AG809">
            <v>5.8885750000000014E-2</v>
          </cell>
          <cell r="AH809">
            <v>1.1653333333333333</v>
          </cell>
          <cell r="AI809">
            <v>1.1653333333333333</v>
          </cell>
          <cell r="AJ809">
            <v>9530</v>
          </cell>
          <cell r="AK809">
            <v>9530</v>
          </cell>
          <cell r="AL809" t="str">
            <v>0,0046 (0,0023;0,0023)</v>
          </cell>
          <cell r="AM809" t="str">
            <v>dạng cuộn 1,000m</v>
          </cell>
          <cell r="AN809">
            <v>250</v>
          </cell>
          <cell r="AO809" t="str">
            <v>Công ty Năm Thái</v>
          </cell>
          <cell r="AP809" t="str">
            <v>20110918-1</v>
          </cell>
          <cell r="AQ809" t="str">
            <v>20110918-2</v>
          </cell>
          <cell r="AR809" t="str">
            <v>20110918-3</v>
          </cell>
          <cell r="AS809">
            <v>0</v>
          </cell>
          <cell r="AT809">
            <v>0</v>
          </cell>
          <cell r="AU809" t="str">
            <v>20110717-6</v>
          </cell>
          <cell r="AV809">
            <v>0</v>
          </cell>
          <cell r="AW809">
            <v>0</v>
          </cell>
          <cell r="AX809">
            <v>0</v>
          </cell>
          <cell r="AY809" t="str">
            <v>495x870</v>
          </cell>
          <cell r="AZ809">
            <v>0</v>
          </cell>
          <cell r="BA809">
            <v>0</v>
          </cell>
          <cell r="BB809">
            <v>0</v>
          </cell>
          <cell r="BC809">
            <v>0</v>
          </cell>
          <cell r="BD809" t="e">
            <v>#N/A</v>
          </cell>
        </row>
        <row r="810">
          <cell r="A810" t="str">
            <v>sp 1321</v>
          </cell>
          <cell r="B810" t="str">
            <v>Cuộn hạt giống cải mèo hà giang lucky + cải bó xôi sao việt lucky</v>
          </cell>
          <cell r="C810">
            <v>6.97</v>
          </cell>
          <cell r="D810">
            <v>3</v>
          </cell>
          <cell r="E810" t="str">
            <v>PET 12x 800</v>
          </cell>
          <cell r="F810">
            <v>5</v>
          </cell>
          <cell r="G810" t="str">
            <v>PET</v>
          </cell>
          <cell r="H810">
            <v>0.33100000000000002</v>
          </cell>
          <cell r="I810">
            <v>3.2040000000000002</v>
          </cell>
          <cell r="J810">
            <v>0.01</v>
          </cell>
          <cell r="K810">
            <v>0.11</v>
          </cell>
          <cell r="L810">
            <v>0.88400000000000001</v>
          </cell>
          <cell r="M810">
            <v>2.431</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t="str">
            <v>MPET 12x800</v>
          </cell>
          <cell r="AF810" t="str">
            <v>PE 100x800</v>
          </cell>
          <cell r="AG810">
            <v>0.10088000000000003</v>
          </cell>
          <cell r="AH810">
            <v>1.3166666666666669</v>
          </cell>
          <cell r="AI810">
            <v>1.3166666666666669</v>
          </cell>
          <cell r="AJ810">
            <v>9530</v>
          </cell>
          <cell r="AK810">
            <v>9530</v>
          </cell>
          <cell r="AL810" t="str">
            <v>0,005(0,0025;0,0025)</v>
          </cell>
          <cell r="AM810" t="str">
            <v>dạng cuộn 700m</v>
          </cell>
          <cell r="AN810">
            <v>260</v>
          </cell>
          <cell r="AO810" t="str">
            <v>Công ty Giống Lucky</v>
          </cell>
          <cell r="AP810" t="str">
            <v>20120379-1</v>
          </cell>
          <cell r="AQ810" t="str">
            <v>20120379-2</v>
          </cell>
          <cell r="AR810" t="str">
            <v>20120379-3</v>
          </cell>
          <cell r="AS810" t="str">
            <v>20120379-4</v>
          </cell>
          <cell r="AT810" t="str">
            <v>20120064-5</v>
          </cell>
          <cell r="AU810">
            <v>0</v>
          </cell>
          <cell r="AV810">
            <v>0</v>
          </cell>
          <cell r="AW810">
            <v>0</v>
          </cell>
          <cell r="AX810">
            <v>0</v>
          </cell>
          <cell r="AY810" t="str">
            <v>570x870</v>
          </cell>
          <cell r="AZ810">
            <v>0</v>
          </cell>
          <cell r="BA810">
            <v>0</v>
          </cell>
          <cell r="BB810">
            <v>0</v>
          </cell>
          <cell r="BC810">
            <v>0</v>
          </cell>
          <cell r="BD810" t="e">
            <v>#N/A</v>
          </cell>
        </row>
        <row r="811">
          <cell r="A811" t="str">
            <v>sp 1322</v>
          </cell>
          <cell r="B811" t="str">
            <v>Túi hạt giống cải cúc nếp +cải bẹ vàng hà giang + cải bẹ dưa phú điền</v>
          </cell>
          <cell r="C811">
            <v>10.234999999999999</v>
          </cell>
          <cell r="D811">
            <v>3</v>
          </cell>
          <cell r="E811" t="str">
            <v>OPP 30x770</v>
          </cell>
          <cell r="F811">
            <v>6</v>
          </cell>
          <cell r="G811" t="str">
            <v>OPP</v>
          </cell>
          <cell r="H811">
            <v>0.45500000000000002</v>
          </cell>
          <cell r="I811">
            <v>4.8899999999999997</v>
          </cell>
          <cell r="J811">
            <v>0.22700000000000001</v>
          </cell>
          <cell r="K811">
            <v>0.22700000000000001</v>
          </cell>
          <cell r="L811">
            <v>2.0470000000000002</v>
          </cell>
          <cell r="M811">
            <v>1.82</v>
          </cell>
          <cell r="N811">
            <v>0</v>
          </cell>
          <cell r="O811">
            <v>0.56899999999999995</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t="str">
            <v>Al 6x770</v>
          </cell>
          <cell r="AF811" t="str">
            <v>PE 80x780</v>
          </cell>
          <cell r="AG811">
            <v>8.3314000000000013E-2</v>
          </cell>
          <cell r="AH811">
            <v>1.1653333333333333</v>
          </cell>
          <cell r="AI811">
            <v>1.1653333333333333</v>
          </cell>
          <cell r="AJ811">
            <v>9530</v>
          </cell>
          <cell r="AK811">
            <v>9530</v>
          </cell>
          <cell r="AL811" t="str">
            <v>0,0046 (0,0023;0,0023)</v>
          </cell>
          <cell r="AM811" t="str">
            <v>túi ba biên</v>
          </cell>
          <cell r="AN811">
            <v>180</v>
          </cell>
          <cell r="AO811" t="str">
            <v>Công ty Phú Điền</v>
          </cell>
          <cell r="AP811" t="str">
            <v>20110976-1</v>
          </cell>
          <cell r="AQ811" t="str">
            <v>20110976-2</v>
          </cell>
          <cell r="AR811" t="str">
            <v>20110976-3</v>
          </cell>
          <cell r="AS811" t="str">
            <v>20110976-4</v>
          </cell>
          <cell r="AT811" t="str">
            <v>20110976-5</v>
          </cell>
          <cell r="AU811" t="str">
            <v>20110976-6</v>
          </cell>
          <cell r="AV811">
            <v>0</v>
          </cell>
          <cell r="AW811">
            <v>0</v>
          </cell>
          <cell r="AX811">
            <v>0</v>
          </cell>
          <cell r="AY811" t="str">
            <v>540x870</v>
          </cell>
          <cell r="AZ811">
            <v>0</v>
          </cell>
          <cell r="BA811">
            <v>0</v>
          </cell>
          <cell r="BB811">
            <v>0</v>
          </cell>
          <cell r="BC811">
            <v>0</v>
          </cell>
          <cell r="BD811" t="e">
            <v>#N/A</v>
          </cell>
        </row>
        <row r="812">
          <cell r="A812" t="str">
            <v>sp 1323</v>
          </cell>
          <cell r="B812" t="str">
            <v>Túi hạt giống cải mèo hà giang + cải canh hồng kông đặc biệt F1 Phú Điền</v>
          </cell>
          <cell r="C812">
            <v>3.0990000000000006</v>
          </cell>
          <cell r="D812">
            <v>3</v>
          </cell>
          <cell r="E812" t="str">
            <v>OPP 30x770</v>
          </cell>
          <cell r="F812">
            <v>6</v>
          </cell>
          <cell r="G812" t="str">
            <v>OPP</v>
          </cell>
          <cell r="H812">
            <v>0.221</v>
          </cell>
          <cell r="I812">
            <v>0.996</v>
          </cell>
          <cell r="J812">
            <v>0.111</v>
          </cell>
          <cell r="K812">
            <v>0.221</v>
          </cell>
          <cell r="L812">
            <v>0.111</v>
          </cell>
          <cell r="M812">
            <v>1.3280000000000001</v>
          </cell>
          <cell r="N812">
            <v>0</v>
          </cell>
          <cell r="O812">
            <v>0.111</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t="str">
            <v>Al 6x770</v>
          </cell>
          <cell r="AF812" t="str">
            <v>PE 80x780</v>
          </cell>
          <cell r="AG812">
            <v>8.3314000000000013E-2</v>
          </cell>
          <cell r="AH812">
            <v>1.1653333333333333</v>
          </cell>
          <cell r="AI812">
            <v>1.1653333333333333</v>
          </cell>
          <cell r="AJ812">
            <v>9530</v>
          </cell>
          <cell r="AK812">
            <v>9530</v>
          </cell>
          <cell r="AL812" t="str">
            <v>0,0046 (0,0023;0,0023)</v>
          </cell>
          <cell r="AM812" t="str">
            <v>túi ba biên</v>
          </cell>
          <cell r="AN812">
            <v>180</v>
          </cell>
          <cell r="AO812" t="str">
            <v>Công ty Phú Điền</v>
          </cell>
          <cell r="AP812" t="str">
            <v>20110982-1</v>
          </cell>
          <cell r="AQ812" t="str">
            <v>20110982-2</v>
          </cell>
          <cell r="AR812" t="str">
            <v>20110982-3</v>
          </cell>
          <cell r="AS812" t="str">
            <v>20110982-4</v>
          </cell>
          <cell r="AT812" t="str">
            <v>20110982-5</v>
          </cell>
          <cell r="AU812" t="str">
            <v>20110982-6</v>
          </cell>
          <cell r="AV812">
            <v>0</v>
          </cell>
          <cell r="AW812">
            <v>0</v>
          </cell>
          <cell r="AX812">
            <v>0</v>
          </cell>
          <cell r="AY812" t="str">
            <v>540x870</v>
          </cell>
          <cell r="AZ812">
            <v>0</v>
          </cell>
          <cell r="BA812">
            <v>0</v>
          </cell>
          <cell r="BB812">
            <v>0</v>
          </cell>
          <cell r="BC812">
            <v>0</v>
          </cell>
          <cell r="BD812" t="e">
            <v>#N/A</v>
          </cell>
        </row>
        <row r="813">
          <cell r="A813" t="str">
            <v>sp 1324</v>
          </cell>
          <cell r="B813" t="str">
            <v>Cuộn thuốc thú y gentafam -2 100gr Năm Thái mới</v>
          </cell>
          <cell r="C813">
            <v>9.1489999999999991</v>
          </cell>
          <cell r="D813">
            <v>3</v>
          </cell>
          <cell r="E813" t="str">
            <v>OPP 30x770</v>
          </cell>
          <cell r="F813">
            <v>6</v>
          </cell>
          <cell r="G813" t="str">
            <v>OPP</v>
          </cell>
          <cell r="H813">
            <v>0.01</v>
          </cell>
          <cell r="I813">
            <v>5.6429999999999998</v>
          </cell>
          <cell r="J813">
            <v>0.33200000000000002</v>
          </cell>
          <cell r="K813">
            <v>0.83</v>
          </cell>
          <cell r="L813">
            <v>1.66</v>
          </cell>
          <cell r="M813">
            <v>0.66400000000000003</v>
          </cell>
          <cell r="N813">
            <v>0</v>
          </cell>
          <cell r="O813">
            <v>0.01</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t="str">
            <v>MPET 12x770</v>
          </cell>
          <cell r="AF813" t="str">
            <v>PE 35x770</v>
          </cell>
          <cell r="AG813">
            <v>5.8885750000000014E-2</v>
          </cell>
          <cell r="AH813">
            <v>1.1653333333333333</v>
          </cell>
          <cell r="AI813">
            <v>1.1653333333333333</v>
          </cell>
          <cell r="AJ813">
            <v>9530</v>
          </cell>
          <cell r="AK813">
            <v>9530</v>
          </cell>
          <cell r="AL813" t="str">
            <v>0,0046 (0,0023;0,0023)</v>
          </cell>
          <cell r="AM813" t="str">
            <v>dạng cuộn 1,000m</v>
          </cell>
          <cell r="AN813">
            <v>250</v>
          </cell>
          <cell r="AO813" t="str">
            <v>Công ty Năm Thái</v>
          </cell>
          <cell r="AP813" t="str">
            <v>20111151-1</v>
          </cell>
          <cell r="AQ813" t="str">
            <v>20111151-2</v>
          </cell>
          <cell r="AR813" t="str">
            <v>20111151-3</v>
          </cell>
          <cell r="AS813" t="str">
            <v>20111151-4</v>
          </cell>
          <cell r="AT813" t="str">
            <v>20110917-2</v>
          </cell>
          <cell r="AU813" t="str">
            <v>20110717-6</v>
          </cell>
          <cell r="AV813">
            <v>0</v>
          </cell>
          <cell r="AW813">
            <v>0</v>
          </cell>
          <cell r="AX813">
            <v>0</v>
          </cell>
          <cell r="AY813" t="str">
            <v>495x870</v>
          </cell>
          <cell r="AZ813">
            <v>0</v>
          </cell>
          <cell r="BA813">
            <v>0</v>
          </cell>
          <cell r="BB813">
            <v>0</v>
          </cell>
          <cell r="BC813">
            <v>0</v>
          </cell>
          <cell r="BD813" t="e">
            <v>#N/A</v>
          </cell>
        </row>
        <row r="814">
          <cell r="A814" t="str">
            <v>sp 1325</v>
          </cell>
          <cell r="B814" t="str">
            <v>Túi trà lụa thượng hạng tân cương 200gr</v>
          </cell>
          <cell r="C814">
            <v>11.546999999999999</v>
          </cell>
          <cell r="D814">
            <v>2</v>
          </cell>
          <cell r="E814" t="str">
            <v>OPP mờ 20x620</v>
          </cell>
          <cell r="F814">
            <v>6</v>
          </cell>
          <cell r="G814" t="str">
            <v>OPP</v>
          </cell>
          <cell r="H814">
            <v>0.01</v>
          </cell>
          <cell r="I814">
            <v>2.16</v>
          </cell>
          <cell r="J814">
            <v>0.72099999999999997</v>
          </cell>
          <cell r="K814">
            <v>1.0089999999999999</v>
          </cell>
          <cell r="L814">
            <v>5.9080000000000004</v>
          </cell>
          <cell r="M814">
            <v>1.7290000000000001</v>
          </cell>
          <cell r="N814">
            <v>0</v>
          </cell>
          <cell r="O814">
            <v>0</v>
          </cell>
          <cell r="P814">
            <v>0.01</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t="str">
            <v>MPET 12x620</v>
          </cell>
          <cell r="AF814" t="str">
            <v>PE 70x620</v>
          </cell>
          <cell r="AG814">
            <v>6.1845000000000011E-2</v>
          </cell>
          <cell r="AH814">
            <v>0.93533333333333324</v>
          </cell>
          <cell r="AI814">
            <v>1.22</v>
          </cell>
          <cell r="AJ814">
            <v>9530</v>
          </cell>
          <cell r="AK814">
            <v>9530</v>
          </cell>
          <cell r="AL814" t="str">
            <v>0,0053(0,0023;0,003)</v>
          </cell>
          <cell r="AM814" t="str">
            <v>túi hàn lưng xếp hông</v>
          </cell>
          <cell r="AN814">
            <v>340</v>
          </cell>
          <cell r="AO814" t="str">
            <v>Bùi Văn Sỹ</v>
          </cell>
          <cell r="AP814">
            <v>0</v>
          </cell>
          <cell r="AQ814">
            <v>0</v>
          </cell>
          <cell r="AR814">
            <v>0</v>
          </cell>
          <cell r="AS814">
            <v>0</v>
          </cell>
          <cell r="AT814">
            <v>0</v>
          </cell>
          <cell r="AU814">
            <v>0</v>
          </cell>
          <cell r="AV814">
            <v>0</v>
          </cell>
          <cell r="AW814">
            <v>0</v>
          </cell>
          <cell r="AX814">
            <v>0</v>
          </cell>
          <cell r="AY814">
            <v>0</v>
          </cell>
          <cell r="AZ814">
            <v>0</v>
          </cell>
          <cell r="BA814">
            <v>0</v>
          </cell>
          <cell r="BB814">
            <v>0</v>
          </cell>
          <cell r="BC814">
            <v>0</v>
          </cell>
          <cell r="BD814" t="e">
            <v>#N/A</v>
          </cell>
        </row>
        <row r="815">
          <cell r="A815" t="str">
            <v>sp 1326</v>
          </cell>
          <cell r="B815" t="str">
            <v>Túi trà lụa thượng hạng đặc sản 200gr</v>
          </cell>
          <cell r="C815">
            <v>3.6420000000000003</v>
          </cell>
          <cell r="D815">
            <v>2</v>
          </cell>
          <cell r="E815" t="str">
            <v>OPP mờ 20x620</v>
          </cell>
          <cell r="F815">
            <v>6</v>
          </cell>
          <cell r="G815" t="str">
            <v>OPP</v>
          </cell>
          <cell r="H815">
            <v>0.27700000000000002</v>
          </cell>
          <cell r="I815">
            <v>0.83</v>
          </cell>
          <cell r="J815">
            <v>0.41499999999999998</v>
          </cell>
          <cell r="K815">
            <v>0</v>
          </cell>
          <cell r="L815">
            <v>0</v>
          </cell>
          <cell r="M815">
            <v>2.12</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t="str">
            <v>MPET 12x620</v>
          </cell>
          <cell r="AF815" t="str">
            <v>PE 70x620</v>
          </cell>
          <cell r="AG815">
            <v>6.1845000000000011E-2</v>
          </cell>
          <cell r="AH815">
            <v>0.93533333333333324</v>
          </cell>
          <cell r="AI815">
            <v>1.22</v>
          </cell>
          <cell r="AJ815">
            <v>9530</v>
          </cell>
          <cell r="AK815">
            <v>9530</v>
          </cell>
          <cell r="AL815" t="str">
            <v>0,0053(0,0023;0,003)</v>
          </cell>
          <cell r="AM815" t="str">
            <v>túi hàn lưng xếp hông</v>
          </cell>
          <cell r="AN815">
            <v>340</v>
          </cell>
          <cell r="AO815" t="str">
            <v>Bùi Văn Sỹ</v>
          </cell>
          <cell r="AP815">
            <v>0</v>
          </cell>
          <cell r="AQ815">
            <v>0</v>
          </cell>
          <cell r="AR815">
            <v>0</v>
          </cell>
          <cell r="AS815">
            <v>0</v>
          </cell>
          <cell r="AT815">
            <v>0</v>
          </cell>
          <cell r="AU815">
            <v>0</v>
          </cell>
          <cell r="AV815">
            <v>0</v>
          </cell>
          <cell r="AW815">
            <v>0</v>
          </cell>
          <cell r="AX815">
            <v>0</v>
          </cell>
          <cell r="AY815">
            <v>0</v>
          </cell>
          <cell r="AZ815">
            <v>0</v>
          </cell>
          <cell r="BA815">
            <v>0</v>
          </cell>
          <cell r="BB815">
            <v>0</v>
          </cell>
          <cell r="BC815">
            <v>0</v>
          </cell>
          <cell r="BD815" t="e">
            <v>#N/A</v>
          </cell>
        </row>
        <row r="816">
          <cell r="A816" t="str">
            <v>sp 1327</v>
          </cell>
          <cell r="B816" t="str">
            <v>Cuộn khẩu trang in 1 màu Royal Việt Nam</v>
          </cell>
          <cell r="C816">
            <v>0.54899999999999993</v>
          </cell>
          <cell r="D816">
            <v>4</v>
          </cell>
          <cell r="E816" t="str">
            <v>OPP 20x1060</v>
          </cell>
          <cell r="F816">
            <v>1</v>
          </cell>
          <cell r="G816" t="str">
            <v>OPP</v>
          </cell>
          <cell r="H816">
            <v>0</v>
          </cell>
          <cell r="I816">
            <v>0.29899999999999999</v>
          </cell>
          <cell r="J816">
            <v>0.12</v>
          </cell>
          <cell r="K816">
            <v>0</v>
          </cell>
          <cell r="L816">
            <v>0.12</v>
          </cell>
          <cell r="M816">
            <v>0</v>
          </cell>
          <cell r="N816">
            <v>0</v>
          </cell>
          <cell r="O816">
            <v>0</v>
          </cell>
          <cell r="P816">
            <v>0</v>
          </cell>
          <cell r="Q816">
            <v>0</v>
          </cell>
          <cell r="R816">
            <v>0</v>
          </cell>
          <cell r="S816">
            <v>0.01</v>
          </cell>
          <cell r="T816">
            <v>0</v>
          </cell>
          <cell r="U816">
            <v>0</v>
          </cell>
          <cell r="V816">
            <v>0</v>
          </cell>
          <cell r="W816">
            <v>0</v>
          </cell>
          <cell r="X816">
            <v>0</v>
          </cell>
          <cell r="Y816">
            <v>0</v>
          </cell>
          <cell r="Z816">
            <v>0</v>
          </cell>
          <cell r="AA816">
            <v>0</v>
          </cell>
          <cell r="AB816">
            <v>0</v>
          </cell>
          <cell r="AC816">
            <v>0</v>
          </cell>
          <cell r="AD816">
            <v>0</v>
          </cell>
          <cell r="AE816" t="str">
            <v>PE sứ 30x1060</v>
          </cell>
          <cell r="AF816">
            <v>0</v>
          </cell>
          <cell r="AG816">
            <v>4.8866000000000007E-2</v>
          </cell>
          <cell r="AH816">
            <v>1.4</v>
          </cell>
          <cell r="AI816">
            <v>0</v>
          </cell>
          <cell r="AJ816">
            <v>9530</v>
          </cell>
          <cell r="AK816">
            <v>9530</v>
          </cell>
          <cell r="AL816">
            <v>2E-3</v>
          </cell>
          <cell r="AM816" t="str">
            <v>dạng cuộn 1,000m</v>
          </cell>
          <cell r="AN816">
            <v>260</v>
          </cell>
          <cell r="AO816" t="str">
            <v>Công ty CP Quốc Tế Royal Việt Nam</v>
          </cell>
          <cell r="AP816" t="str">
            <v>X110340-1</v>
          </cell>
          <cell r="AQ816">
            <v>0</v>
          </cell>
          <cell r="AR816">
            <v>0</v>
          </cell>
          <cell r="AS816">
            <v>0</v>
          </cell>
          <cell r="AT816">
            <v>0</v>
          </cell>
          <cell r="AU816">
            <v>0</v>
          </cell>
          <cell r="AV816">
            <v>0</v>
          </cell>
          <cell r="AW816">
            <v>0</v>
          </cell>
          <cell r="AX816">
            <v>0</v>
          </cell>
          <cell r="AY816" t="str">
            <v>525x1150</v>
          </cell>
          <cell r="AZ816">
            <v>0</v>
          </cell>
          <cell r="BA816">
            <v>0</v>
          </cell>
          <cell r="BB816">
            <v>0</v>
          </cell>
          <cell r="BC816">
            <v>0</v>
          </cell>
          <cell r="BD816" t="e">
            <v>#N/A</v>
          </cell>
        </row>
        <row r="817">
          <cell r="A817" t="str">
            <v>sp 1328</v>
          </cell>
          <cell r="B817" t="str">
            <v>Túi đựng nước giặt blue gold (6 in 1) 1,6kg -nasa group</v>
          </cell>
          <cell r="C817">
            <v>3.5019999999999998</v>
          </cell>
          <cell r="D817">
            <v>1</v>
          </cell>
          <cell r="E817" t="str">
            <v>PET 12x710</v>
          </cell>
          <cell r="F817">
            <v>6</v>
          </cell>
          <cell r="G817" t="str">
            <v>PET</v>
          </cell>
          <cell r="H817">
            <v>0.36199999999999999</v>
          </cell>
          <cell r="I817">
            <v>0.48299999999999998</v>
          </cell>
          <cell r="J817">
            <v>0.24199999999999999</v>
          </cell>
          <cell r="K817">
            <v>2.2949999999999999</v>
          </cell>
          <cell r="L817">
            <v>0.12</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t="str">
            <v>PA 15x710</v>
          </cell>
          <cell r="AF817" t="str">
            <v>PE sứ 150x710</v>
          </cell>
          <cell r="AG817">
            <v>3.4079999999999999E-2</v>
          </cell>
          <cell r="AH817">
            <v>1.4</v>
          </cell>
          <cell r="AI817">
            <v>1.6333333333333333</v>
          </cell>
          <cell r="AJ817">
            <v>9530</v>
          </cell>
          <cell r="AK817">
            <v>9530</v>
          </cell>
          <cell r="AL817" t="str">
            <v>0,0065(0,003;0,0035)</v>
          </cell>
          <cell r="AM817" t="str">
            <v>túi ba biên đáy đứng</v>
          </cell>
          <cell r="AN817">
            <v>210</v>
          </cell>
          <cell r="AO817" t="str">
            <v>Công ty TNHH đầu tư PT TM Nasa Group</v>
          </cell>
          <cell r="AP817" t="str">
            <v>X110367-1</v>
          </cell>
          <cell r="AQ817" t="str">
            <v>X110367-2</v>
          </cell>
          <cell r="AR817" t="str">
            <v>X110367-3</v>
          </cell>
          <cell r="AS817" t="str">
            <v>X110367-4</v>
          </cell>
          <cell r="AT817" t="str">
            <v>X110367-5</v>
          </cell>
          <cell r="AU817" t="str">
            <v>X110367-6</v>
          </cell>
          <cell r="AV817">
            <v>0</v>
          </cell>
          <cell r="AW817">
            <v>0</v>
          </cell>
          <cell r="AX817">
            <v>0</v>
          </cell>
          <cell r="AY817" t="str">
            <v>420x870</v>
          </cell>
          <cell r="AZ817">
            <v>0</v>
          </cell>
          <cell r="BA817">
            <v>0</v>
          </cell>
          <cell r="BB817">
            <v>0</v>
          </cell>
          <cell r="BC817">
            <v>0</v>
          </cell>
          <cell r="BD817" t="e">
            <v>#N/A</v>
          </cell>
        </row>
        <row r="818">
          <cell r="A818" t="str">
            <v>sp 1329</v>
          </cell>
          <cell r="B818" t="str">
            <v>Cuộn bánh bao nhân thập cẩm trứng cút 280gr Phú Mỹ</v>
          </cell>
          <cell r="C818">
            <v>9.5749999999999993</v>
          </cell>
          <cell r="D818">
            <v>2</v>
          </cell>
          <cell r="E818" t="str">
            <v>OPP 20x860</v>
          </cell>
          <cell r="F818">
            <v>6</v>
          </cell>
          <cell r="G818" t="str">
            <v>OPP</v>
          </cell>
          <cell r="H818">
            <v>0.01</v>
          </cell>
          <cell r="I818">
            <v>7.16</v>
          </cell>
          <cell r="J818">
            <v>0.251</v>
          </cell>
          <cell r="K818">
            <v>0.60099999999999998</v>
          </cell>
          <cell r="L818">
            <v>0.40100000000000002</v>
          </cell>
          <cell r="M818">
            <v>0.90200000000000002</v>
          </cell>
          <cell r="N818">
            <v>0</v>
          </cell>
          <cell r="O818">
            <v>0</v>
          </cell>
          <cell r="P818">
            <v>0.25</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t="str">
            <v>PE 55x860</v>
          </cell>
          <cell r="AF818">
            <v>0</v>
          </cell>
          <cell r="AG818">
            <v>5.9404499999999999E-2</v>
          </cell>
          <cell r="AH818">
            <v>1.3033333333333332</v>
          </cell>
          <cell r="AI818">
            <v>0</v>
          </cell>
          <cell r="AJ818">
            <v>9530</v>
          </cell>
          <cell r="AK818">
            <v>0</v>
          </cell>
          <cell r="AL818">
            <v>2.3E-3</v>
          </cell>
          <cell r="AM818" t="str">
            <v>dạng cuộn 500m</v>
          </cell>
          <cell r="AN818">
            <v>420</v>
          </cell>
          <cell r="AO818" t="str">
            <v>Công ty Phú Mỹ</v>
          </cell>
          <cell r="AP818" t="str">
            <v>F127418-1</v>
          </cell>
          <cell r="AQ818" t="str">
            <v>F127418-2</v>
          </cell>
          <cell r="AR818" t="str">
            <v>F127418-3</v>
          </cell>
          <cell r="AS818" t="str">
            <v>F127418-4</v>
          </cell>
          <cell r="AT818" t="str">
            <v>F127418-5</v>
          </cell>
          <cell r="AU818" t="str">
            <v>F127418-6</v>
          </cell>
          <cell r="AV818">
            <v>0</v>
          </cell>
          <cell r="AW818">
            <v>0</v>
          </cell>
          <cell r="AX818">
            <v>0</v>
          </cell>
          <cell r="AY818" t="str">
            <v>474x1100</v>
          </cell>
          <cell r="AZ818">
            <v>0</v>
          </cell>
          <cell r="BA818">
            <v>0</v>
          </cell>
          <cell r="BB818">
            <v>0</v>
          </cell>
          <cell r="BC818">
            <v>0</v>
          </cell>
          <cell r="BD818" t="e">
            <v>#N/A</v>
          </cell>
        </row>
        <row r="819">
          <cell r="A819" t="str">
            <v>sp 1330</v>
          </cell>
          <cell r="B819" t="str">
            <v>Cuộn hạt giống dền đỏ lucky sao việt đậu đũa lucky</v>
          </cell>
          <cell r="C819">
            <v>3.9609999999999999</v>
          </cell>
          <cell r="D819">
            <v>3</v>
          </cell>
          <cell r="E819" t="str">
            <v>PET 12x800</v>
          </cell>
          <cell r="F819">
            <v>5</v>
          </cell>
          <cell r="G819" t="str">
            <v>PET</v>
          </cell>
          <cell r="H819">
            <v>0</v>
          </cell>
          <cell r="I819">
            <v>0.214</v>
          </cell>
          <cell r="J819">
            <v>0.01</v>
          </cell>
          <cell r="K819">
            <v>1.0680000000000001</v>
          </cell>
          <cell r="L819">
            <v>0.107</v>
          </cell>
          <cell r="M819">
            <v>2.5619999999999998</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t="str">
            <v>MPET 12x800</v>
          </cell>
          <cell r="AF819" t="str">
            <v>PE 100x800</v>
          </cell>
          <cell r="AG819">
            <v>8.8784000000000016E-2</v>
          </cell>
          <cell r="AH819">
            <v>1.2113333333333334</v>
          </cell>
          <cell r="AI819">
            <v>1.58</v>
          </cell>
          <cell r="AJ819">
            <v>9530</v>
          </cell>
          <cell r="AK819">
            <v>9530</v>
          </cell>
          <cell r="AL819" t="str">
            <v>0,0053(0,0023;0,003)</v>
          </cell>
          <cell r="AM819" t="str">
            <v>dạng cuộn 700m</v>
          </cell>
          <cell r="AN819">
            <v>260</v>
          </cell>
          <cell r="AO819" t="str">
            <v>Công ty Giống Lucky</v>
          </cell>
          <cell r="AP819" t="str">
            <v>20120064-1</v>
          </cell>
          <cell r="AQ819" t="str">
            <v>20120064-2</v>
          </cell>
          <cell r="AR819" t="str">
            <v>20120064-3</v>
          </cell>
          <cell r="AS819" t="str">
            <v>20120064-4</v>
          </cell>
          <cell r="AT819" t="str">
            <v>20120064-5</v>
          </cell>
          <cell r="AU819">
            <v>0</v>
          </cell>
          <cell r="AV819">
            <v>0</v>
          </cell>
          <cell r="AW819">
            <v>0</v>
          </cell>
          <cell r="AX819">
            <v>0</v>
          </cell>
          <cell r="AY819" t="str">
            <v>570x870</v>
          </cell>
          <cell r="AZ819">
            <v>0</v>
          </cell>
          <cell r="BA819">
            <v>0</v>
          </cell>
          <cell r="BB819">
            <v>0</v>
          </cell>
          <cell r="BC819">
            <v>0</v>
          </cell>
          <cell r="BD819" t="e">
            <v>#N/A</v>
          </cell>
        </row>
        <row r="820">
          <cell r="A820" t="str">
            <v>sp 1331</v>
          </cell>
          <cell r="B820" t="str">
            <v>Cuộn hạt giống đậu đũa, muống, mùng tơi sao việt</v>
          </cell>
          <cell r="C820">
            <v>2.39</v>
          </cell>
          <cell r="D820">
            <v>3</v>
          </cell>
          <cell r="E820" t="str">
            <v>PET 12x800</v>
          </cell>
          <cell r="F820">
            <v>5</v>
          </cell>
          <cell r="G820" t="str">
            <v>PET</v>
          </cell>
          <cell r="H820">
            <v>0.32600000000000001</v>
          </cell>
          <cell r="I820">
            <v>0.434</v>
          </cell>
          <cell r="J820">
            <v>0.32600000000000001</v>
          </cell>
          <cell r="K820">
            <v>0.109</v>
          </cell>
          <cell r="L820">
            <v>1.1950000000000001</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t="str">
            <v>MPET 12x800</v>
          </cell>
          <cell r="AF820" t="str">
            <v>PE 100x800</v>
          </cell>
          <cell r="AG820">
            <v>8.8784000000000016E-2</v>
          </cell>
          <cell r="AH820">
            <v>1.2113333333333334</v>
          </cell>
          <cell r="AI820">
            <v>1.58</v>
          </cell>
          <cell r="AJ820">
            <v>9530</v>
          </cell>
          <cell r="AK820">
            <v>9530</v>
          </cell>
          <cell r="AL820" t="str">
            <v>0,0053(0,0023;0,003)</v>
          </cell>
          <cell r="AM820" t="str">
            <v>dạng cuộn 700m</v>
          </cell>
          <cell r="AN820">
            <v>260</v>
          </cell>
          <cell r="AO820" t="str">
            <v>Công ty Giống Lucky</v>
          </cell>
          <cell r="AP820" t="str">
            <v>20120065-1</v>
          </cell>
          <cell r="AQ820" t="str">
            <v>20120065-2</v>
          </cell>
          <cell r="AR820" t="str">
            <v>20120065-3</v>
          </cell>
          <cell r="AS820" t="str">
            <v>20120065-4</v>
          </cell>
          <cell r="AT820" t="str">
            <v>20120064-5</v>
          </cell>
          <cell r="AU820">
            <v>0</v>
          </cell>
          <cell r="AV820">
            <v>0</v>
          </cell>
          <cell r="AW820">
            <v>0</v>
          </cell>
          <cell r="AX820">
            <v>0</v>
          </cell>
          <cell r="AY820" t="str">
            <v>570x870</v>
          </cell>
          <cell r="AZ820">
            <v>0</v>
          </cell>
          <cell r="BA820">
            <v>0</v>
          </cell>
          <cell r="BB820">
            <v>0</v>
          </cell>
          <cell r="BC820">
            <v>0</v>
          </cell>
          <cell r="BD820" t="e">
            <v>#N/A</v>
          </cell>
        </row>
        <row r="821">
          <cell r="A821" t="str">
            <v>sp 1332</v>
          </cell>
          <cell r="B821" t="str">
            <v>Túi nhôm không in Vinmate KT 170x380x70mm Vĩnh Phúc</v>
          </cell>
          <cell r="C821">
            <v>0</v>
          </cell>
          <cell r="D821">
            <v>2</v>
          </cell>
          <cell r="E821" t="str">
            <v>PET 12x720</v>
          </cell>
          <cell r="F821">
            <v>0</v>
          </cell>
          <cell r="G821" t="str">
            <v>PET</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t="str">
            <v>MPET 12x720</v>
          </cell>
          <cell r="AF821" t="str">
            <v>PE 95x720</v>
          </cell>
          <cell r="AG821">
            <v>8.7461999999999998E-2</v>
          </cell>
          <cell r="AH821">
            <v>1.1833333333333333</v>
          </cell>
          <cell r="AI821">
            <v>1.42</v>
          </cell>
          <cell r="AJ821">
            <v>9530</v>
          </cell>
          <cell r="AK821">
            <v>9530</v>
          </cell>
          <cell r="AL821" t="str">
            <v>0,0055(0,0025;0,003)</v>
          </cell>
          <cell r="AM821" t="str">
            <v>túi bốn biên hông là màng trắng</v>
          </cell>
          <cell r="AN821">
            <v>380</v>
          </cell>
          <cell r="AO821" t="str">
            <v>Công ty TNHH Thế hệ mới Vĩnh Phúc</v>
          </cell>
          <cell r="AP821">
            <v>0</v>
          </cell>
          <cell r="AQ821">
            <v>0</v>
          </cell>
          <cell r="AR821">
            <v>0</v>
          </cell>
          <cell r="AS821">
            <v>0</v>
          </cell>
          <cell r="AT821">
            <v>0</v>
          </cell>
          <cell r="AU821">
            <v>0</v>
          </cell>
          <cell r="AV821">
            <v>0</v>
          </cell>
          <cell r="AW821">
            <v>0</v>
          </cell>
          <cell r="AX821">
            <v>0</v>
          </cell>
          <cell r="AY821">
            <v>0</v>
          </cell>
          <cell r="AZ821">
            <v>0</v>
          </cell>
          <cell r="BA821">
            <v>0</v>
          </cell>
          <cell r="BB821">
            <v>0</v>
          </cell>
          <cell r="BC821">
            <v>0</v>
          </cell>
          <cell r="BD821" t="e">
            <v>#N/A</v>
          </cell>
        </row>
        <row r="822">
          <cell r="A822" t="str">
            <v>sp 1333</v>
          </cell>
          <cell r="B822" t="str">
            <v>Cuộn men rượu trường vũ trung tiến</v>
          </cell>
          <cell r="C822">
            <v>4.085</v>
          </cell>
          <cell r="D822">
            <v>5</v>
          </cell>
          <cell r="E822" t="str">
            <v>OPP 20x920</v>
          </cell>
          <cell r="F822">
            <v>3</v>
          </cell>
          <cell r="G822" t="str">
            <v>OPP</v>
          </cell>
          <cell r="H822">
            <v>0.01</v>
          </cell>
          <cell r="I822">
            <v>0</v>
          </cell>
          <cell r="J822">
            <v>0</v>
          </cell>
          <cell r="K822">
            <v>0</v>
          </cell>
          <cell r="L822">
            <v>2.1749999999999998</v>
          </cell>
          <cell r="M822">
            <v>1.8169999999999999</v>
          </cell>
          <cell r="N822">
            <v>0</v>
          </cell>
          <cell r="O822">
            <v>0</v>
          </cell>
          <cell r="P822">
            <v>0</v>
          </cell>
          <cell r="Q822">
            <v>8.3000000000000004E-2</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t="str">
            <v>PE 25x920</v>
          </cell>
          <cell r="AF822">
            <v>0</v>
          </cell>
          <cell r="AG822">
            <v>3.8019000000000004E-2</v>
          </cell>
          <cell r="AH822">
            <v>1.2133333333333334</v>
          </cell>
          <cell r="AI822">
            <v>0</v>
          </cell>
          <cell r="AJ822">
            <v>9530</v>
          </cell>
          <cell r="AK822">
            <v>0</v>
          </cell>
          <cell r="AL822">
            <v>2E-3</v>
          </cell>
          <cell r="AM822" t="str">
            <v>dạng cuộn 1,800m</v>
          </cell>
          <cell r="AN822">
            <v>180</v>
          </cell>
          <cell r="AO822" t="str">
            <v>Cơ sở men Trung Tiến</v>
          </cell>
          <cell r="AP822" t="str">
            <v>F127406-1</v>
          </cell>
          <cell r="AQ822" t="str">
            <v>F127406-2</v>
          </cell>
          <cell r="AR822" t="str">
            <v>F127406-3</v>
          </cell>
          <cell r="AS822">
            <v>0</v>
          </cell>
          <cell r="AT822">
            <v>0</v>
          </cell>
          <cell r="AU822">
            <v>0</v>
          </cell>
          <cell r="AV822">
            <v>0</v>
          </cell>
          <cell r="AW822">
            <v>0</v>
          </cell>
          <cell r="AX822">
            <v>0</v>
          </cell>
          <cell r="AY822" t="str">
            <v>510x1100</v>
          </cell>
          <cell r="AZ822">
            <v>0</v>
          </cell>
          <cell r="BA822">
            <v>0</v>
          </cell>
          <cell r="BB822">
            <v>0</v>
          </cell>
          <cell r="BC822">
            <v>0</v>
          </cell>
          <cell r="BD822" t="e">
            <v>#N/A</v>
          </cell>
        </row>
        <row r="823">
          <cell r="A823" t="str">
            <v>sp 1334</v>
          </cell>
          <cell r="B823" t="str">
            <v>Túi gạc răng miệng tottee - Starmed</v>
          </cell>
          <cell r="C823">
            <v>14.741</v>
          </cell>
          <cell r="D823">
            <v>4</v>
          </cell>
          <cell r="E823" t="str">
            <v>OPP mờ 20x620</v>
          </cell>
          <cell r="F823">
            <v>5</v>
          </cell>
          <cell r="G823" t="str">
            <v>OPP</v>
          </cell>
          <cell r="H823">
            <v>0</v>
          </cell>
          <cell r="I823">
            <v>11.565</v>
          </cell>
          <cell r="J823">
            <v>0</v>
          </cell>
          <cell r="K823">
            <v>0</v>
          </cell>
          <cell r="L823">
            <v>0.55100000000000005</v>
          </cell>
          <cell r="M823">
            <v>0</v>
          </cell>
          <cell r="N823">
            <v>0</v>
          </cell>
          <cell r="O823">
            <v>0</v>
          </cell>
          <cell r="P823">
            <v>0.13800000000000001</v>
          </cell>
          <cell r="Q823">
            <v>0.55000000000000004</v>
          </cell>
          <cell r="R823">
            <v>1.927</v>
          </cell>
          <cell r="S823">
            <v>0</v>
          </cell>
          <cell r="T823">
            <v>0</v>
          </cell>
          <cell r="U823">
            <v>0</v>
          </cell>
          <cell r="V823">
            <v>0.01</v>
          </cell>
          <cell r="W823">
            <v>0</v>
          </cell>
          <cell r="X823">
            <v>0</v>
          </cell>
          <cell r="Y823">
            <v>0</v>
          </cell>
          <cell r="Z823">
            <v>0</v>
          </cell>
          <cell r="AA823">
            <v>0</v>
          </cell>
          <cell r="AB823">
            <v>0</v>
          </cell>
          <cell r="AC823">
            <v>0</v>
          </cell>
          <cell r="AD823">
            <v>0</v>
          </cell>
          <cell r="AE823" t="str">
            <v>Al 6x620</v>
          </cell>
          <cell r="AF823" t="str">
            <v>PE 75x630</v>
          </cell>
          <cell r="AG823">
            <v>6.437770000000001E-2</v>
          </cell>
          <cell r="AH823">
            <v>0.93533333333333324</v>
          </cell>
          <cell r="AI823">
            <v>0.93533333333333324</v>
          </cell>
          <cell r="AJ823">
            <v>9530</v>
          </cell>
          <cell r="AK823">
            <v>9530</v>
          </cell>
          <cell r="AL823" t="str">
            <v>0,0046(0,0023;0,0023)</v>
          </cell>
          <cell r="AM823" t="str">
            <v>túi ba biên</v>
          </cell>
          <cell r="AN823">
            <v>55</v>
          </cell>
          <cell r="AO823" t="str">
            <v>Công ty CP Tập Đoàn Dược phẩm Starmed</v>
          </cell>
          <cell r="AP823" t="str">
            <v>F130805-1</v>
          </cell>
          <cell r="AQ823" t="str">
            <v>F130805-2</v>
          </cell>
          <cell r="AR823" t="str">
            <v>F130805-3</v>
          </cell>
          <cell r="AS823" t="str">
            <v>F130805-4</v>
          </cell>
          <cell r="AT823" t="str">
            <v>F122657G17-4</v>
          </cell>
          <cell r="AU823">
            <v>0</v>
          </cell>
          <cell r="AV823">
            <v>0</v>
          </cell>
          <cell r="AW823">
            <v>0</v>
          </cell>
          <cell r="AX823">
            <v>0</v>
          </cell>
          <cell r="AY823" t="str">
            <v>440x870</v>
          </cell>
          <cell r="AZ823">
            <v>0</v>
          </cell>
          <cell r="BA823">
            <v>0</v>
          </cell>
          <cell r="BB823">
            <v>0</v>
          </cell>
          <cell r="BC823">
            <v>0</v>
          </cell>
          <cell r="BD823" t="e">
            <v>#N/A</v>
          </cell>
        </row>
        <row r="824">
          <cell r="A824" t="str">
            <v>sp 1335</v>
          </cell>
          <cell r="B824" t="str">
            <v>Túi nước giặt family eco hương nước hoa cao cấp 2,15L-DLC</v>
          </cell>
          <cell r="C824">
            <v>7.1479999999999997</v>
          </cell>
          <cell r="D824">
            <v>1</v>
          </cell>
          <cell r="E824" t="str">
            <v>PET 12x810</v>
          </cell>
          <cell r="F824">
            <v>5</v>
          </cell>
          <cell r="G824" t="str">
            <v>PET</v>
          </cell>
          <cell r="H824">
            <v>0</v>
          </cell>
          <cell r="I824">
            <v>2.16</v>
          </cell>
          <cell r="J824">
            <v>1.512</v>
          </cell>
          <cell r="K824">
            <v>0.01</v>
          </cell>
          <cell r="L824">
            <v>0.216</v>
          </cell>
          <cell r="M824">
            <v>2.16</v>
          </cell>
          <cell r="N824">
            <v>0</v>
          </cell>
          <cell r="O824">
            <v>0</v>
          </cell>
          <cell r="P824">
            <v>0.86399999999999999</v>
          </cell>
          <cell r="Q824">
            <v>0</v>
          </cell>
          <cell r="R824">
            <v>0.216</v>
          </cell>
          <cell r="S824">
            <v>0</v>
          </cell>
          <cell r="T824">
            <v>0</v>
          </cell>
          <cell r="U824">
            <v>0</v>
          </cell>
          <cell r="V824">
            <v>0</v>
          </cell>
          <cell r="W824">
            <v>0.01</v>
          </cell>
          <cell r="X824">
            <v>0</v>
          </cell>
          <cell r="Y824">
            <v>0</v>
          </cell>
          <cell r="Z824">
            <v>0</v>
          </cell>
          <cell r="AA824">
            <v>0</v>
          </cell>
          <cell r="AB824">
            <v>0</v>
          </cell>
          <cell r="AC824">
            <v>0</v>
          </cell>
          <cell r="AD824">
            <v>0</v>
          </cell>
          <cell r="AE824" t="str">
            <v>PA 15x810</v>
          </cell>
          <cell r="AF824" t="str">
            <v>PE sứ 170x810</v>
          </cell>
          <cell r="AG824">
            <v>4.0386600000000002E-2</v>
          </cell>
          <cell r="AH824">
            <v>1.6</v>
          </cell>
          <cell r="AI824">
            <v>1.8666666666666669</v>
          </cell>
          <cell r="AJ824">
            <v>9530</v>
          </cell>
          <cell r="AK824">
            <v>9530</v>
          </cell>
          <cell r="AL824" t="str">
            <v>0,0065(0,003,0035)</v>
          </cell>
          <cell r="AM824" t="str">
            <v>túi ba biên đáy đứng</v>
          </cell>
          <cell r="AN824">
            <v>225</v>
          </cell>
          <cell r="AO824" t="str">
            <v>Công ty CP Tập Đoàn DLC Việt Nam</v>
          </cell>
          <cell r="AP824" t="str">
            <v>20120903-1</v>
          </cell>
          <cell r="AQ824" t="str">
            <v>20120903-2</v>
          </cell>
          <cell r="AR824" t="str">
            <v>20120903-3</v>
          </cell>
          <cell r="AS824" t="str">
            <v>20120903-4</v>
          </cell>
          <cell r="AT824" t="str">
            <v>20120903-5</v>
          </cell>
          <cell r="AU824">
            <v>0</v>
          </cell>
          <cell r="AV824">
            <v>0</v>
          </cell>
          <cell r="AW824">
            <v>0</v>
          </cell>
          <cell r="AX824">
            <v>0</v>
          </cell>
          <cell r="AY824" t="str">
            <v>450x870</v>
          </cell>
          <cell r="AZ824">
            <v>0</v>
          </cell>
          <cell r="BA824">
            <v>0</v>
          </cell>
          <cell r="BB824">
            <v>0</v>
          </cell>
          <cell r="BC824">
            <v>0</v>
          </cell>
          <cell r="BD824" t="e">
            <v>#N/A</v>
          </cell>
        </row>
        <row r="825">
          <cell r="A825" t="str">
            <v>sp 1336</v>
          </cell>
          <cell r="B825" t="str">
            <v>Túi nước giặt family eco hương ngàn hoa 2,15L-DLC</v>
          </cell>
          <cell r="C825">
            <v>7.3659999999999997</v>
          </cell>
          <cell r="D825">
            <v>1</v>
          </cell>
          <cell r="E825" t="str">
            <v>PET 12x810</v>
          </cell>
          <cell r="F825">
            <v>5</v>
          </cell>
          <cell r="G825" t="str">
            <v>PET</v>
          </cell>
          <cell r="H825">
            <v>0</v>
          </cell>
          <cell r="I825">
            <v>5.0519999999999996</v>
          </cell>
          <cell r="J825">
            <v>0.63100000000000001</v>
          </cell>
          <cell r="K825">
            <v>0.63100000000000001</v>
          </cell>
          <cell r="L825">
            <v>0.21</v>
          </cell>
          <cell r="M825">
            <v>0.84199999999999997</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t="str">
            <v>PA 15x810</v>
          </cell>
          <cell r="AF825" t="str">
            <v>PE sứ 170x810</v>
          </cell>
          <cell r="AG825">
            <v>4.0386600000000002E-2</v>
          </cell>
          <cell r="AH825">
            <v>1.6</v>
          </cell>
          <cell r="AI825">
            <v>1.8666666666666669</v>
          </cell>
          <cell r="AJ825">
            <v>9530</v>
          </cell>
          <cell r="AK825">
            <v>9530</v>
          </cell>
          <cell r="AL825" t="str">
            <v>0,0065(0,003,0035)</v>
          </cell>
          <cell r="AM825" t="str">
            <v>túi ba biên đáy đứng</v>
          </cell>
          <cell r="AN825">
            <v>225</v>
          </cell>
          <cell r="AO825" t="str">
            <v>Công ty CP Tập Đoàn DLC Việt Nam</v>
          </cell>
          <cell r="AP825" t="str">
            <v>20120903-1</v>
          </cell>
          <cell r="AQ825" t="str">
            <v>20120904-2</v>
          </cell>
          <cell r="AR825" t="str">
            <v>20120903-3</v>
          </cell>
          <cell r="AS825" t="str">
            <v>20120903-4</v>
          </cell>
          <cell r="AT825" t="str">
            <v>20120903-5</v>
          </cell>
          <cell r="AU825">
            <v>0</v>
          </cell>
          <cell r="AV825">
            <v>0</v>
          </cell>
          <cell r="AW825">
            <v>0</v>
          </cell>
          <cell r="AX825">
            <v>0</v>
          </cell>
          <cell r="AY825" t="str">
            <v>450x870</v>
          </cell>
          <cell r="AZ825">
            <v>0</v>
          </cell>
          <cell r="BA825">
            <v>0</v>
          </cell>
          <cell r="BB825">
            <v>0</v>
          </cell>
          <cell r="BC825">
            <v>0</v>
          </cell>
          <cell r="BD825" t="e">
            <v>#N/A</v>
          </cell>
        </row>
        <row r="826">
          <cell r="A826" t="str">
            <v>sp 1337</v>
          </cell>
          <cell r="B826" t="str">
            <v>Túi hạt giống rau dền và bí siêu ngọt việt nhật và japan (11sp)</v>
          </cell>
          <cell r="C826">
            <v>6.8039999999999994</v>
          </cell>
          <cell r="D826">
            <v>3</v>
          </cell>
          <cell r="E826" t="str">
            <v>OPP 30x740</v>
          </cell>
          <cell r="F826">
            <v>5</v>
          </cell>
          <cell r="G826" t="str">
            <v>OPP</v>
          </cell>
          <cell r="H826">
            <v>7.6999999999999999E-2</v>
          </cell>
          <cell r="I826">
            <v>4.29</v>
          </cell>
          <cell r="J826">
            <v>0.61899999999999999</v>
          </cell>
          <cell r="K826">
            <v>0.38700000000000001</v>
          </cell>
          <cell r="L826">
            <v>0.503</v>
          </cell>
          <cell r="M826">
            <v>0.92800000000000005</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t="str">
            <v>MPET 12x740</v>
          </cell>
          <cell r="AF826" t="str">
            <v>PE 75x740</v>
          </cell>
          <cell r="AG826">
            <v>8.3971500000000004E-2</v>
          </cell>
          <cell r="AH826">
            <v>1.1193333333333333</v>
          </cell>
          <cell r="AI826">
            <v>1.1193333333333333</v>
          </cell>
          <cell r="AJ826">
            <v>9530</v>
          </cell>
          <cell r="AK826">
            <v>9530</v>
          </cell>
          <cell r="AL826" t="str">
            <v>0,0046(0,0023;0,0023)</v>
          </cell>
          <cell r="AM826" t="str">
            <v>túi ba biên</v>
          </cell>
          <cell r="AN826">
            <v>170</v>
          </cell>
          <cell r="AO826" t="str">
            <v>Công ty TNHH SX&amp;TM Việt Nhật</v>
          </cell>
          <cell r="AP826" t="str">
            <v>1903205-1</v>
          </cell>
          <cell r="AQ826" t="str">
            <v>1903205-2</v>
          </cell>
          <cell r="AR826" t="str">
            <v>1903205-3</v>
          </cell>
          <cell r="AS826" t="str">
            <v>1903205-4</v>
          </cell>
          <cell r="AT826" t="str">
            <v>1903205-5</v>
          </cell>
          <cell r="AU826">
            <v>0</v>
          </cell>
          <cell r="AV826">
            <v>0</v>
          </cell>
          <cell r="AW826">
            <v>0</v>
          </cell>
          <cell r="AX826">
            <v>0</v>
          </cell>
          <cell r="AY826" t="str">
            <v>680x800</v>
          </cell>
          <cell r="AZ826">
            <v>0</v>
          </cell>
          <cell r="BA826">
            <v>0</v>
          </cell>
          <cell r="BB826">
            <v>0</v>
          </cell>
          <cell r="BC826">
            <v>0</v>
          </cell>
          <cell r="BD826" t="e">
            <v>#N/A</v>
          </cell>
        </row>
        <row r="827">
          <cell r="A827" t="str">
            <v>sp 1338</v>
          </cell>
          <cell r="B827" t="str">
            <v>Túi HCK KT 340x235 mã 3071 CP</v>
          </cell>
          <cell r="C827">
            <v>7.3859999999999992</v>
          </cell>
          <cell r="D827">
            <v>2</v>
          </cell>
          <cell r="E827" t="str">
            <v>PA 15x700</v>
          </cell>
          <cell r="F827">
            <v>6</v>
          </cell>
          <cell r="G827" t="str">
            <v xml:space="preserve">PA </v>
          </cell>
          <cell r="H827">
            <v>0.60499999999999998</v>
          </cell>
          <cell r="I827">
            <v>0.01</v>
          </cell>
          <cell r="J827">
            <v>0</v>
          </cell>
          <cell r="K827">
            <v>1.9350000000000001</v>
          </cell>
          <cell r="L827">
            <v>1.2090000000000001</v>
          </cell>
          <cell r="M827">
            <v>0</v>
          </cell>
          <cell r="N827">
            <v>0</v>
          </cell>
          <cell r="O827">
            <v>0</v>
          </cell>
          <cell r="P827">
            <v>3.6269999999999998</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t="str">
            <v>PE 65x700</v>
          </cell>
          <cell r="AF827">
            <v>0</v>
          </cell>
          <cell r="AG827">
            <v>5.4162499999999995E-2</v>
          </cell>
          <cell r="AH827">
            <v>1.0579999999999998</v>
          </cell>
          <cell r="AI827">
            <v>0</v>
          </cell>
          <cell r="AJ827">
            <v>9530</v>
          </cell>
          <cell r="AK827">
            <v>0</v>
          </cell>
          <cell r="AL827">
            <v>2.3E-3</v>
          </cell>
          <cell r="AM827" t="str">
            <v>túi ba biên</v>
          </cell>
          <cell r="AN827">
            <v>235</v>
          </cell>
          <cell r="AO827" t="str">
            <v>Chi nhánh Công ty CP chăn nuôi CP Việt Nam</v>
          </cell>
          <cell r="AP827" t="str">
            <v>21020173-1</v>
          </cell>
          <cell r="AQ827" t="str">
            <v>21020173-2</v>
          </cell>
          <cell r="AR827" t="str">
            <v>21020173-3</v>
          </cell>
          <cell r="AS827" t="str">
            <v>21020173-4</v>
          </cell>
          <cell r="AT827" t="str">
            <v>21020173-5</v>
          </cell>
          <cell r="AU827" t="str">
            <v>21020173-6</v>
          </cell>
          <cell r="AV827">
            <v>0</v>
          </cell>
          <cell r="AW827">
            <v>0</v>
          </cell>
          <cell r="AX827">
            <v>0</v>
          </cell>
          <cell r="AY827" t="str">
            <v>470x870</v>
          </cell>
          <cell r="AZ827">
            <v>0</v>
          </cell>
          <cell r="BA827">
            <v>0</v>
          </cell>
          <cell r="BB827">
            <v>0</v>
          </cell>
          <cell r="BC827">
            <v>0</v>
          </cell>
          <cell r="BD827" t="e">
            <v>#N/A</v>
          </cell>
        </row>
        <row r="828">
          <cell r="A828" t="str">
            <v>sp 1339</v>
          </cell>
          <cell r="B828" t="str">
            <v>Túi thuốc trừ bệnh biorosamil 72WP loại 100gr CEC</v>
          </cell>
          <cell r="C828">
            <v>0.02</v>
          </cell>
          <cell r="D828">
            <v>2</v>
          </cell>
          <cell r="E828" t="str">
            <v>PET 12x620</v>
          </cell>
          <cell r="F828">
            <v>0</v>
          </cell>
          <cell r="G828" t="str">
            <v>PET</v>
          </cell>
          <cell r="H828">
            <v>0</v>
          </cell>
          <cell r="I828">
            <v>0</v>
          </cell>
          <cell r="J828">
            <v>0</v>
          </cell>
          <cell r="K828">
            <v>0</v>
          </cell>
          <cell r="L828">
            <v>0</v>
          </cell>
          <cell r="M828">
            <v>0</v>
          </cell>
          <cell r="N828">
            <v>0</v>
          </cell>
          <cell r="O828">
            <v>0</v>
          </cell>
          <cell r="P828">
            <v>0</v>
          </cell>
          <cell r="Q828">
            <v>0</v>
          </cell>
          <cell r="R828">
            <v>0</v>
          </cell>
          <cell r="S828">
            <v>0.01</v>
          </cell>
          <cell r="T828">
            <v>0.01</v>
          </cell>
          <cell r="U828">
            <v>0</v>
          </cell>
          <cell r="V828">
            <v>0</v>
          </cell>
          <cell r="W828">
            <v>0</v>
          </cell>
          <cell r="X828">
            <v>0</v>
          </cell>
          <cell r="Y828">
            <v>0</v>
          </cell>
          <cell r="Z828">
            <v>0</v>
          </cell>
          <cell r="AA828">
            <v>0</v>
          </cell>
          <cell r="AB828">
            <v>0</v>
          </cell>
          <cell r="AC828">
            <v>0</v>
          </cell>
          <cell r="AD828">
            <v>0</v>
          </cell>
          <cell r="AE828" t="str">
            <v>MPET 12x620</v>
          </cell>
          <cell r="AF828" t="str">
            <v>PE 85x620</v>
          </cell>
          <cell r="AG828">
            <v>6.9579500000000016E-2</v>
          </cell>
          <cell r="AH828">
            <v>0.93533333333333324</v>
          </cell>
          <cell r="AI828">
            <v>1.0166666666666666</v>
          </cell>
          <cell r="AJ828">
            <v>9530</v>
          </cell>
          <cell r="AK828">
            <v>9530</v>
          </cell>
          <cell r="AL828" t="str">
            <v>0,0048(0,0023;0,0025)</v>
          </cell>
          <cell r="AM828" t="str">
            <v xml:space="preserve">túi ba biên </v>
          </cell>
          <cell r="AN828">
            <v>240</v>
          </cell>
          <cell r="AO828" t="str">
            <v>Công ty thuốc trừ sâu CEC</v>
          </cell>
          <cell r="AP828">
            <v>0</v>
          </cell>
          <cell r="AQ828">
            <v>0</v>
          </cell>
          <cell r="AR828">
            <v>0</v>
          </cell>
          <cell r="AS828">
            <v>0</v>
          </cell>
          <cell r="AT828">
            <v>0</v>
          </cell>
          <cell r="AU828">
            <v>0</v>
          </cell>
          <cell r="AV828">
            <v>0</v>
          </cell>
          <cell r="AW828">
            <v>0</v>
          </cell>
          <cell r="AX828">
            <v>0</v>
          </cell>
          <cell r="AY828">
            <v>0</v>
          </cell>
          <cell r="AZ828">
            <v>0</v>
          </cell>
          <cell r="BA828">
            <v>0</v>
          </cell>
          <cell r="BB828">
            <v>0</v>
          </cell>
          <cell r="BC828">
            <v>0</v>
          </cell>
          <cell r="BD828" t="e">
            <v>#N/A</v>
          </cell>
        </row>
        <row r="829">
          <cell r="A829" t="str">
            <v>sp 1340</v>
          </cell>
          <cell r="B829" t="str">
            <v>Cuộn bánh nhân sữa chua doll doll 22gr - Châu Á</v>
          </cell>
          <cell r="C829">
            <v>4.6760000000000002</v>
          </cell>
          <cell r="D829">
            <v>6</v>
          </cell>
          <cell r="E829" t="str">
            <v>PA 15x820</v>
          </cell>
          <cell r="F829">
            <v>3</v>
          </cell>
          <cell r="G829" t="str">
            <v xml:space="preserve">PA </v>
          </cell>
          <cell r="H829">
            <v>0.192</v>
          </cell>
          <cell r="I829">
            <v>1.968</v>
          </cell>
          <cell r="J829">
            <v>0</v>
          </cell>
          <cell r="K829">
            <v>0</v>
          </cell>
          <cell r="L829">
            <v>0</v>
          </cell>
          <cell r="M829">
            <v>0.28799999999999998</v>
          </cell>
          <cell r="N829">
            <v>0.76800000000000002</v>
          </cell>
          <cell r="O829">
            <v>0</v>
          </cell>
          <cell r="P829">
            <v>0</v>
          </cell>
          <cell r="Q829">
            <v>0</v>
          </cell>
          <cell r="R829">
            <v>0.24</v>
          </cell>
          <cell r="S829">
            <v>1.22</v>
          </cell>
          <cell r="T829">
            <v>0</v>
          </cell>
          <cell r="U829">
            <v>0</v>
          </cell>
          <cell r="V829">
            <v>0</v>
          </cell>
          <cell r="W829">
            <v>0</v>
          </cell>
          <cell r="X829">
            <v>0</v>
          </cell>
          <cell r="Y829">
            <v>0</v>
          </cell>
          <cell r="Z829">
            <v>0</v>
          </cell>
          <cell r="AA829">
            <v>0</v>
          </cell>
          <cell r="AB829">
            <v>0</v>
          </cell>
          <cell r="AC829">
            <v>0</v>
          </cell>
          <cell r="AD829">
            <v>0</v>
          </cell>
          <cell r="AE829" t="str">
            <v>PE 45x820</v>
          </cell>
          <cell r="AF829">
            <v>0</v>
          </cell>
          <cell r="AG829">
            <v>4.8277499999999994E-2</v>
          </cell>
          <cell r="AH829">
            <v>1.2133333333333334</v>
          </cell>
          <cell r="AI829">
            <v>0</v>
          </cell>
          <cell r="AJ829">
            <v>9530</v>
          </cell>
          <cell r="AK829">
            <v>0</v>
          </cell>
          <cell r="AL829">
            <v>2E-3</v>
          </cell>
          <cell r="AM829" t="str">
            <v>dạng cuộn 1,000m</v>
          </cell>
          <cell r="AN829">
            <v>133</v>
          </cell>
          <cell r="AO829" t="str">
            <v>Công ty TNHH Bánh Châu Á</v>
          </cell>
          <cell r="AP829" t="str">
            <v>F127517-1</v>
          </cell>
          <cell r="AQ829" t="str">
            <v>F127517-2</v>
          </cell>
          <cell r="AR829" t="str">
            <v>F127517-3</v>
          </cell>
          <cell r="AS829">
            <v>0</v>
          </cell>
          <cell r="AT829">
            <v>0</v>
          </cell>
          <cell r="AU829">
            <v>0</v>
          </cell>
          <cell r="AV829">
            <v>0</v>
          </cell>
          <cell r="AW829">
            <v>0</v>
          </cell>
          <cell r="AX829">
            <v>0</v>
          </cell>
          <cell r="AY829" t="str">
            <v>435x870</v>
          </cell>
          <cell r="AZ829">
            <v>0</v>
          </cell>
          <cell r="BA829">
            <v>0</v>
          </cell>
          <cell r="BB829">
            <v>0</v>
          </cell>
          <cell r="BC829">
            <v>0</v>
          </cell>
          <cell r="BD829" t="e">
            <v>#N/A</v>
          </cell>
        </row>
        <row r="830">
          <cell r="A830" t="str">
            <v>sp 1341</v>
          </cell>
          <cell r="B830" t="str">
            <v>Túi nước giặt susino 5in 1 - Hòa Hợp</v>
          </cell>
          <cell r="C830">
            <v>7.9770000000000003</v>
          </cell>
          <cell r="D830">
            <v>1</v>
          </cell>
          <cell r="E830" t="str">
            <v>PET 12x790</v>
          </cell>
          <cell r="F830">
            <v>6</v>
          </cell>
          <cell r="G830" t="str">
            <v>PET</v>
          </cell>
          <cell r="H830">
            <v>1.552</v>
          </cell>
          <cell r="I830">
            <v>0.44</v>
          </cell>
          <cell r="J830">
            <v>0.44</v>
          </cell>
          <cell r="K830">
            <v>0</v>
          </cell>
          <cell r="L830">
            <v>0</v>
          </cell>
          <cell r="M830">
            <v>2.218</v>
          </cell>
          <cell r="N830">
            <v>0</v>
          </cell>
          <cell r="O830">
            <v>0</v>
          </cell>
          <cell r="P830">
            <v>3.327</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t="str">
            <v>MPET 12x790</v>
          </cell>
          <cell r="AF830" t="str">
            <v>PA15x790
PE150x790</v>
          </cell>
          <cell r="AG830">
            <v>0.149784</v>
          </cell>
          <cell r="AH830">
            <v>1.9519519519519519</v>
          </cell>
          <cell r="AI830">
            <v>1.3</v>
          </cell>
          <cell r="AJ830">
            <v>728</v>
          </cell>
          <cell r="AK830">
            <v>6260</v>
          </cell>
          <cell r="AL830" t="str">
            <v>0,085(0,0025,0,0025,0,0035)</v>
          </cell>
          <cell r="AM830" t="str">
            <v>túi đáy đứng</v>
          </cell>
          <cell r="AN830">
            <v>225</v>
          </cell>
          <cell r="AO830" t="str">
            <v>Công ty TNHH Bột giặt và Hóa Mỹ Phẩm Quốc Tế</v>
          </cell>
          <cell r="AP830" t="str">
            <v>F127532-1</v>
          </cell>
          <cell r="AQ830" t="str">
            <v>F127532-2</v>
          </cell>
          <cell r="AR830" t="str">
            <v>F127532-3</v>
          </cell>
          <cell r="AS830" t="str">
            <v>F127532-4</v>
          </cell>
          <cell r="AT830" t="str">
            <v>F127532-5</v>
          </cell>
          <cell r="AU830" t="str">
            <v>F127532-6</v>
          </cell>
          <cell r="AV830">
            <v>0</v>
          </cell>
          <cell r="AW830">
            <v>0</v>
          </cell>
          <cell r="AX830">
            <v>0</v>
          </cell>
          <cell r="AY830" t="str">
            <v>450x870</v>
          </cell>
          <cell r="AZ830">
            <v>0</v>
          </cell>
          <cell r="BA830">
            <v>0</v>
          </cell>
          <cell r="BB830">
            <v>0</v>
          </cell>
          <cell r="BC830">
            <v>0</v>
          </cell>
          <cell r="BD830" t="e">
            <v>#N/A</v>
          </cell>
        </row>
        <row r="831">
          <cell r="A831" t="str">
            <v>sp 1342</v>
          </cell>
          <cell r="B831" t="str">
            <v>Cuộn hạt giống cải ngọt cọng xanh A1 và cải cúc nếp lucky</v>
          </cell>
          <cell r="C831">
            <v>7.3540000000000001</v>
          </cell>
          <cell r="D831">
            <v>3</v>
          </cell>
          <cell r="E831" t="str">
            <v>PET 12x800</v>
          </cell>
          <cell r="F831">
            <v>5</v>
          </cell>
          <cell r="G831" t="str">
            <v>PET</v>
          </cell>
          <cell r="H831">
            <v>0.216</v>
          </cell>
          <cell r="I831">
            <v>3.677</v>
          </cell>
          <cell r="J831">
            <v>0.108</v>
          </cell>
          <cell r="K831">
            <v>0</v>
          </cell>
          <cell r="L831">
            <v>0.108</v>
          </cell>
          <cell r="M831">
            <v>3.2450000000000001</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t="str">
            <v>MPET 12x800</v>
          </cell>
          <cell r="AF831" t="str">
            <v>PE 100x800</v>
          </cell>
          <cell r="AG831">
            <v>0.10088000000000003</v>
          </cell>
          <cell r="AH831">
            <v>1.3166666666666669</v>
          </cell>
          <cell r="AI831">
            <v>1.3166666666666669</v>
          </cell>
          <cell r="AJ831">
            <v>9530</v>
          </cell>
          <cell r="AK831">
            <v>9530</v>
          </cell>
          <cell r="AL831" t="str">
            <v>0,005(0,0025;0,0025)</v>
          </cell>
          <cell r="AM831" t="str">
            <v>dạng cuộn 700m</v>
          </cell>
          <cell r="AN831">
            <v>260</v>
          </cell>
          <cell r="AO831" t="str">
            <v>Công ty Giống lucky</v>
          </cell>
          <cell r="AP831" t="str">
            <v>21010139-1</v>
          </cell>
          <cell r="AQ831" t="str">
            <v>21010139-2</v>
          </cell>
          <cell r="AR831" t="str">
            <v>21010139-3</v>
          </cell>
          <cell r="AS831" t="str">
            <v>21010139-4</v>
          </cell>
          <cell r="AT831" t="str">
            <v>20120064-5</v>
          </cell>
          <cell r="AU831">
            <v>0</v>
          </cell>
          <cell r="AV831">
            <v>0</v>
          </cell>
          <cell r="AW831">
            <v>0</v>
          </cell>
          <cell r="AX831">
            <v>0</v>
          </cell>
          <cell r="AY831" t="str">
            <v>570x870</v>
          </cell>
          <cell r="AZ831">
            <v>0</v>
          </cell>
          <cell r="BA831">
            <v>0</v>
          </cell>
          <cell r="BB831">
            <v>0</v>
          </cell>
          <cell r="BC831">
            <v>0</v>
          </cell>
          <cell r="BD831" t="e">
            <v>#N/A</v>
          </cell>
        </row>
        <row r="832">
          <cell r="A832" t="str">
            <v>sp 1343</v>
          </cell>
          <cell r="B832" t="str">
            <v>Túi thuốc trừ bệnh biorosamil hiệu siêu nấm BUL 200gr CEC</v>
          </cell>
          <cell r="C832">
            <v>0</v>
          </cell>
          <cell r="D832">
            <v>2</v>
          </cell>
          <cell r="E832" t="str">
            <v>PET 12x620</v>
          </cell>
          <cell r="F832">
            <v>0</v>
          </cell>
          <cell r="G832" t="str">
            <v>PET</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t="str">
            <v>MPET 12x620</v>
          </cell>
          <cell r="AF832" t="str">
            <v>PE 85x620</v>
          </cell>
          <cell r="AG832">
            <v>6.9579500000000016E-2</v>
          </cell>
          <cell r="AH832">
            <v>0.93533333333333324</v>
          </cell>
          <cell r="AI832">
            <v>1.0166666666666666</v>
          </cell>
          <cell r="AJ832">
            <v>9530</v>
          </cell>
          <cell r="AK832">
            <v>9530</v>
          </cell>
          <cell r="AL832" t="str">
            <v>0,0048(0,0023;0,0025)</v>
          </cell>
          <cell r="AM832" t="str">
            <v xml:space="preserve">túi ba biên </v>
          </cell>
          <cell r="AN832">
            <v>240</v>
          </cell>
          <cell r="AO832" t="str">
            <v>Công ty thuốc trừ sâu CEC</v>
          </cell>
          <cell r="AP832">
            <v>0</v>
          </cell>
          <cell r="AQ832">
            <v>0</v>
          </cell>
          <cell r="AR832">
            <v>0</v>
          </cell>
          <cell r="AS832">
            <v>0</v>
          </cell>
          <cell r="AT832">
            <v>0</v>
          </cell>
          <cell r="AU832">
            <v>0</v>
          </cell>
          <cell r="AV832">
            <v>0</v>
          </cell>
          <cell r="AW832">
            <v>0</v>
          </cell>
          <cell r="AX832">
            <v>0</v>
          </cell>
          <cell r="AY832">
            <v>0</v>
          </cell>
          <cell r="AZ832">
            <v>0</v>
          </cell>
          <cell r="BA832">
            <v>0</v>
          </cell>
          <cell r="BB832">
            <v>0</v>
          </cell>
          <cell r="BC832">
            <v>0</v>
          </cell>
          <cell r="BD832" t="e">
            <v>#N/A</v>
          </cell>
        </row>
        <row r="833">
          <cell r="A833" t="str">
            <v>sp 1344</v>
          </cell>
          <cell r="B833" t="str">
            <v>Túi giống ngô lai F1 VS6939 1kg Việt Trung</v>
          </cell>
          <cell r="C833">
            <v>6.468</v>
          </cell>
          <cell r="D833">
            <v>2</v>
          </cell>
          <cell r="E833" t="str">
            <v>PET 12x820</v>
          </cell>
          <cell r="F833">
            <v>6</v>
          </cell>
          <cell r="G833" t="str">
            <v>PET</v>
          </cell>
          <cell r="H833">
            <v>0</v>
          </cell>
          <cell r="I833">
            <v>3.3380000000000001</v>
          </cell>
          <cell r="J833">
            <v>0</v>
          </cell>
          <cell r="K833">
            <v>0</v>
          </cell>
          <cell r="L833">
            <v>0.104</v>
          </cell>
          <cell r="M833">
            <v>1.4610000000000001</v>
          </cell>
          <cell r="N833">
            <v>0</v>
          </cell>
          <cell r="O833">
            <v>0</v>
          </cell>
          <cell r="P833">
            <v>1.0429999999999999</v>
          </cell>
          <cell r="Q833">
            <v>0.313</v>
          </cell>
          <cell r="R833">
            <v>0.20899999999999999</v>
          </cell>
          <cell r="S833">
            <v>0</v>
          </cell>
          <cell r="T833">
            <v>0</v>
          </cell>
          <cell r="U833">
            <v>0</v>
          </cell>
          <cell r="V833">
            <v>0</v>
          </cell>
          <cell r="W833">
            <v>0</v>
          </cell>
          <cell r="X833">
            <v>0</v>
          </cell>
          <cell r="Y833">
            <v>0</v>
          </cell>
          <cell r="Z833">
            <v>0</v>
          </cell>
          <cell r="AA833">
            <v>0</v>
          </cell>
          <cell r="AB833">
            <v>0</v>
          </cell>
          <cell r="AC833">
            <v>0</v>
          </cell>
          <cell r="AD833">
            <v>0</v>
          </cell>
          <cell r="AE833" t="str">
            <v>MPET 12x820</v>
          </cell>
          <cell r="AF833" t="str">
            <v>PE 85x820</v>
          </cell>
          <cell r="AG833">
            <v>9.2024500000000009E-2</v>
          </cell>
          <cell r="AH833">
            <v>1.242</v>
          </cell>
          <cell r="AI833">
            <v>1.62</v>
          </cell>
          <cell r="AJ833">
            <v>9530</v>
          </cell>
          <cell r="AK833">
            <v>9530</v>
          </cell>
          <cell r="AL833" t="str">
            <v>0,0053(0,0023;0,003)</v>
          </cell>
          <cell r="AM833" t="str">
            <v>túi ba biên</v>
          </cell>
          <cell r="AN833">
            <v>285</v>
          </cell>
          <cell r="AO833" t="str">
            <v>Công ty Giống Việt Trung</v>
          </cell>
          <cell r="AP833" t="str">
            <v>21010278-1</v>
          </cell>
          <cell r="AQ833" t="str">
            <v>21010278-2</v>
          </cell>
          <cell r="AR833" t="str">
            <v>21010278-3</v>
          </cell>
          <cell r="AS833" t="str">
            <v>21010278-4</v>
          </cell>
          <cell r="AT833" t="str">
            <v>21010278-5</v>
          </cell>
          <cell r="AU833" t="str">
            <v>21010278-6</v>
          </cell>
          <cell r="AV833">
            <v>0</v>
          </cell>
          <cell r="AW833">
            <v>0</v>
          </cell>
          <cell r="AX833">
            <v>0</v>
          </cell>
          <cell r="AY833" t="str">
            <v>570x870</v>
          </cell>
          <cell r="AZ833">
            <v>0</v>
          </cell>
          <cell r="BA833">
            <v>0</v>
          </cell>
          <cell r="BB833">
            <v>0</v>
          </cell>
          <cell r="BC833">
            <v>0</v>
          </cell>
          <cell r="BD833" t="e">
            <v>#N/A</v>
          </cell>
        </row>
        <row r="834">
          <cell r="A834" t="str">
            <v>sp 1345</v>
          </cell>
          <cell r="B834" t="str">
            <v>Túi giống ngô lai F1 VS6939 20kg Việt Trung</v>
          </cell>
          <cell r="C834">
            <v>6.0810000000000004</v>
          </cell>
          <cell r="D834">
            <v>1</v>
          </cell>
          <cell r="E834" t="str">
            <v>OPP 20x540</v>
          </cell>
          <cell r="F834">
            <v>7</v>
          </cell>
          <cell r="G834" t="str">
            <v>OPP</v>
          </cell>
          <cell r="H834">
            <v>0</v>
          </cell>
          <cell r="I834">
            <v>0</v>
          </cell>
          <cell r="J834">
            <v>0.70899999999999996</v>
          </cell>
          <cell r="K834">
            <v>0.14199999999999999</v>
          </cell>
          <cell r="L834">
            <v>2.41</v>
          </cell>
          <cell r="M834">
            <v>0</v>
          </cell>
          <cell r="N834">
            <v>0</v>
          </cell>
          <cell r="O834">
            <v>0</v>
          </cell>
          <cell r="P834">
            <v>0.85</v>
          </cell>
          <cell r="Q834">
            <v>1.27</v>
          </cell>
          <cell r="R834">
            <v>0.7</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t="str">
            <v>dạng cuộn 4,000m</v>
          </cell>
          <cell r="AN834">
            <v>540</v>
          </cell>
          <cell r="AO834" t="str">
            <v>Công ty Giống Việt Trung</v>
          </cell>
          <cell r="AP834" t="str">
            <v>21010279-1</v>
          </cell>
          <cell r="AQ834" t="str">
            <v>21010279-2</v>
          </cell>
          <cell r="AR834" t="str">
            <v>21010279-3</v>
          </cell>
          <cell r="AS834" t="str">
            <v>21010279-4</v>
          </cell>
          <cell r="AT834" t="str">
            <v>21010279-5</v>
          </cell>
          <cell r="AU834" t="str">
            <v>21010279-6</v>
          </cell>
          <cell r="AV834" t="str">
            <v>21010279-7</v>
          </cell>
          <cell r="AW834">
            <v>0</v>
          </cell>
          <cell r="AX834">
            <v>0</v>
          </cell>
          <cell r="AY834" t="str">
            <v>750x810</v>
          </cell>
          <cell r="AZ834">
            <v>0</v>
          </cell>
          <cell r="BA834">
            <v>0</v>
          </cell>
          <cell r="BB834">
            <v>0</v>
          </cell>
          <cell r="BC834">
            <v>0</v>
          </cell>
          <cell r="BD834" t="e">
            <v>#N/A</v>
          </cell>
        </row>
        <row r="835">
          <cell r="A835" t="str">
            <v>sp 1346</v>
          </cell>
          <cell r="B835" t="str">
            <v>Cuộn kẹo nhỏ matcha sữa eikodo</v>
          </cell>
          <cell r="C835">
            <v>6.552999999999999</v>
          </cell>
          <cell r="D835">
            <v>8</v>
          </cell>
          <cell r="E835" t="str">
            <v>PET 12x700</v>
          </cell>
          <cell r="F835">
            <v>3</v>
          </cell>
          <cell r="G835" t="str">
            <v>PET</v>
          </cell>
          <cell r="H835">
            <v>0.42099999999999999</v>
          </cell>
          <cell r="I835">
            <v>3.5579999999999998</v>
          </cell>
          <cell r="J835">
            <v>0.374</v>
          </cell>
          <cell r="K835">
            <v>0</v>
          </cell>
          <cell r="L835">
            <v>0.28100000000000003</v>
          </cell>
          <cell r="M835">
            <v>0</v>
          </cell>
          <cell r="N835">
            <v>0</v>
          </cell>
          <cell r="O835">
            <v>1.919</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t="str">
            <v>MCPP 25x700</v>
          </cell>
          <cell r="AF835">
            <v>0</v>
          </cell>
          <cell r="AG835">
            <v>2.7684999999999998E-2</v>
          </cell>
          <cell r="AH835">
            <v>1.0579999999999998</v>
          </cell>
          <cell r="AI835">
            <v>0</v>
          </cell>
          <cell r="AJ835">
            <v>9530</v>
          </cell>
          <cell r="AK835">
            <v>0</v>
          </cell>
          <cell r="AL835">
            <v>2.3E-3</v>
          </cell>
          <cell r="AM835" t="str">
            <v>dạng cuộn 1,500m</v>
          </cell>
          <cell r="AN835">
            <v>85</v>
          </cell>
          <cell r="AO835" t="str">
            <v>Công ty kẹo nhật bản eikodo</v>
          </cell>
          <cell r="AP835" t="str">
            <v>X112061F1-1</v>
          </cell>
          <cell r="AQ835" t="str">
            <v>X112061F1-2</v>
          </cell>
          <cell r="AR835" t="str">
            <v>X111040-3</v>
          </cell>
          <cell r="AS835">
            <v>0</v>
          </cell>
          <cell r="AT835">
            <v>0</v>
          </cell>
          <cell r="AU835">
            <v>0</v>
          </cell>
          <cell r="AV835">
            <v>0</v>
          </cell>
          <cell r="AW835">
            <v>0</v>
          </cell>
          <cell r="AX835">
            <v>0</v>
          </cell>
          <cell r="AY835" t="str">
            <v>440x780</v>
          </cell>
          <cell r="AZ835">
            <v>0</v>
          </cell>
          <cell r="BA835">
            <v>0</v>
          </cell>
          <cell r="BB835">
            <v>0</v>
          </cell>
          <cell r="BC835">
            <v>0</v>
          </cell>
          <cell r="BD835" t="e">
            <v>#N/A</v>
          </cell>
        </row>
        <row r="836">
          <cell r="A836" t="str">
            <v>sp 1347</v>
          </cell>
          <cell r="B836" t="str">
            <v>Cuộn giấy thuốc trừ cỏ alyaly aic 200WG 1,5gr Rainbow</v>
          </cell>
          <cell r="C836">
            <v>2.2619999999999996</v>
          </cell>
          <cell r="D836">
            <v>4</v>
          </cell>
          <cell r="E836" t="str">
            <v>Giấy 55x700</v>
          </cell>
          <cell r="F836">
            <v>5</v>
          </cell>
          <cell r="G836" t="str">
            <v>Giấ</v>
          </cell>
          <cell r="H836">
            <v>0.35199999999999998</v>
          </cell>
          <cell r="I836">
            <v>0</v>
          </cell>
          <cell r="J836">
            <v>0.51700000000000002</v>
          </cell>
          <cell r="K836">
            <v>0.42299999999999999</v>
          </cell>
          <cell r="L836">
            <v>0.94</v>
          </cell>
          <cell r="M836">
            <v>0</v>
          </cell>
          <cell r="N836">
            <v>0</v>
          </cell>
          <cell r="O836">
            <v>0.01</v>
          </cell>
          <cell r="P836">
            <v>0</v>
          </cell>
          <cell r="Q836">
            <v>0.01</v>
          </cell>
          <cell r="R836">
            <v>0</v>
          </cell>
          <cell r="S836">
            <v>0</v>
          </cell>
          <cell r="T836">
            <v>0.01</v>
          </cell>
          <cell r="U836">
            <v>0</v>
          </cell>
          <cell r="V836">
            <v>0</v>
          </cell>
          <cell r="W836">
            <v>0</v>
          </cell>
          <cell r="X836">
            <v>0</v>
          </cell>
          <cell r="Y836">
            <v>0</v>
          </cell>
          <cell r="Z836">
            <v>0</v>
          </cell>
          <cell r="AA836">
            <v>0</v>
          </cell>
          <cell r="AB836">
            <v>0</v>
          </cell>
          <cell r="AC836">
            <v>0</v>
          </cell>
          <cell r="AD836">
            <v>0</v>
          </cell>
          <cell r="AE836" t="str">
            <v>Al 6x700</v>
          </cell>
          <cell r="AF836" t="str">
            <v>PE 50x700</v>
          </cell>
          <cell r="AG836">
            <v>8.8556999999999997E-2</v>
          </cell>
          <cell r="AH836">
            <v>1.38</v>
          </cell>
          <cell r="AI836">
            <v>1.6099999999999999</v>
          </cell>
          <cell r="AJ836">
            <v>9530</v>
          </cell>
          <cell r="AK836">
            <v>9530</v>
          </cell>
          <cell r="AL836" t="str">
            <v>0,0065(0,003;0,0035)</v>
          </cell>
          <cell r="AM836" t="str">
            <v>dạng cuộn 500m</v>
          </cell>
          <cell r="AN836">
            <v>170</v>
          </cell>
          <cell r="AO836" t="str">
            <v>Công ty Rainbow</v>
          </cell>
          <cell r="AP836" t="str">
            <v>X405359-1</v>
          </cell>
          <cell r="AQ836" t="str">
            <v>X405359-2</v>
          </cell>
          <cell r="AR836" t="str">
            <v>X405359-3</v>
          </cell>
          <cell r="AS836" t="str">
            <v>X405359-4</v>
          </cell>
          <cell r="AT836" t="str">
            <v>X405359-5</v>
          </cell>
          <cell r="AU836" t="str">
            <v>X405359-6</v>
          </cell>
          <cell r="AV836">
            <v>0</v>
          </cell>
          <cell r="AW836">
            <v>0</v>
          </cell>
          <cell r="AX836">
            <v>0</v>
          </cell>
          <cell r="AY836" t="str">
            <v>490x870</v>
          </cell>
          <cell r="AZ836">
            <v>0</v>
          </cell>
          <cell r="BA836">
            <v>0</v>
          </cell>
          <cell r="BB836">
            <v>0</v>
          </cell>
          <cell r="BC836">
            <v>0</v>
          </cell>
          <cell r="BD836" t="e">
            <v>#N/A</v>
          </cell>
        </row>
        <row r="837">
          <cell r="A837" t="str">
            <v>sp 1348</v>
          </cell>
          <cell r="B837" t="str">
            <v>Cuộn hạt giống ngồng cải thân mập và đậu đũa Japan Việt Nhật</v>
          </cell>
          <cell r="C837">
            <v>11.382999999999999</v>
          </cell>
          <cell r="D837">
            <v>3</v>
          </cell>
          <cell r="E837" t="str">
            <v>PET 12x740</v>
          </cell>
          <cell r="F837">
            <v>8</v>
          </cell>
          <cell r="G837" t="str">
            <v>PET</v>
          </cell>
          <cell r="H837">
            <v>0.40600000000000003</v>
          </cell>
          <cell r="I837">
            <v>3</v>
          </cell>
          <cell r="J837">
            <v>0.24399999999999999</v>
          </cell>
          <cell r="K837">
            <v>0.73099999999999998</v>
          </cell>
          <cell r="L837">
            <v>3.9780000000000002</v>
          </cell>
          <cell r="M837">
            <v>2.923</v>
          </cell>
          <cell r="N837">
            <v>0</v>
          </cell>
          <cell r="O837">
            <v>0.01</v>
          </cell>
          <cell r="P837">
            <v>8.1000000000000003E-2</v>
          </cell>
          <cell r="Q837">
            <v>0</v>
          </cell>
          <cell r="R837">
            <v>0</v>
          </cell>
          <cell r="S837">
            <v>0.01</v>
          </cell>
          <cell r="T837">
            <v>0</v>
          </cell>
          <cell r="U837">
            <v>0</v>
          </cell>
          <cell r="V837">
            <v>0</v>
          </cell>
          <cell r="W837">
            <v>0</v>
          </cell>
          <cell r="X837">
            <v>0</v>
          </cell>
          <cell r="Y837">
            <v>0</v>
          </cell>
          <cell r="Z837">
            <v>0</v>
          </cell>
          <cell r="AA837">
            <v>0</v>
          </cell>
          <cell r="AB837">
            <v>0</v>
          </cell>
          <cell r="AC837">
            <v>0</v>
          </cell>
          <cell r="AD837">
            <v>0</v>
          </cell>
          <cell r="AE837" t="str">
            <v>MPET 12x740</v>
          </cell>
          <cell r="AF837" t="str">
            <v>PE 85x740</v>
          </cell>
          <cell r="AG837">
            <v>8.3046500000000009E-2</v>
          </cell>
          <cell r="AH837">
            <v>1.1193333333333333</v>
          </cell>
          <cell r="AI837">
            <v>1.1193333333333333</v>
          </cell>
          <cell r="AJ837">
            <v>9530</v>
          </cell>
          <cell r="AK837">
            <v>9530</v>
          </cell>
          <cell r="AL837" t="str">
            <v>0,0046(0,0023;0,0023)</v>
          </cell>
          <cell r="AM837" t="str">
            <v>dạng cuộn 700m</v>
          </cell>
          <cell r="AN837">
            <v>240</v>
          </cell>
          <cell r="AO837" t="str">
            <v>Công ty TNHH SX&amp;TM Việt Nhật</v>
          </cell>
          <cell r="AP837" t="str">
            <v>21010590-1</v>
          </cell>
          <cell r="AQ837" t="str">
            <v>21010590-2</v>
          </cell>
          <cell r="AR837" t="str">
            <v>21010590-3</v>
          </cell>
          <cell r="AS837" t="str">
            <v>21010590-4</v>
          </cell>
          <cell r="AT837" t="str">
            <v>21010590-5</v>
          </cell>
          <cell r="AU837" t="str">
            <v>21010590-6</v>
          </cell>
          <cell r="AV837" t="str">
            <v>21010590-7</v>
          </cell>
          <cell r="AW837" t="str">
            <v>21010590-8</v>
          </cell>
          <cell r="AX837">
            <v>0</v>
          </cell>
          <cell r="AY837" t="str">
            <v>540x870</v>
          </cell>
          <cell r="AZ837">
            <v>0</v>
          </cell>
          <cell r="BA837">
            <v>0</v>
          </cell>
          <cell r="BB837">
            <v>0</v>
          </cell>
          <cell r="BC837">
            <v>0</v>
          </cell>
          <cell r="BD837" t="e">
            <v>#N/A</v>
          </cell>
        </row>
        <row r="838">
          <cell r="A838" t="str">
            <v>sp 1349</v>
          </cell>
          <cell r="B838" t="str">
            <v>Cuộn đường sugar 1kg khổ 800 Sơn Tùng</v>
          </cell>
          <cell r="C838">
            <v>0</v>
          </cell>
          <cell r="D838">
            <v>1</v>
          </cell>
          <cell r="E838" t="str">
            <v>OPP 20x800</v>
          </cell>
          <cell r="F838">
            <v>0</v>
          </cell>
          <cell r="G838" t="str">
            <v>OPP</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t="str">
            <v>PE 35x800</v>
          </cell>
          <cell r="AF838">
            <v>0</v>
          </cell>
          <cell r="AG838">
            <v>4.046000000000001E-2</v>
          </cell>
          <cell r="AH838">
            <v>1.0533333333333332</v>
          </cell>
          <cell r="AI838">
            <v>0</v>
          </cell>
          <cell r="AJ838">
            <v>9530</v>
          </cell>
          <cell r="AK838">
            <v>0</v>
          </cell>
          <cell r="AL838">
            <v>2E-3</v>
          </cell>
          <cell r="AM838" t="str">
            <v>dạng cuộn 4,000m</v>
          </cell>
          <cell r="AN838">
            <v>800</v>
          </cell>
          <cell r="AO838" t="str">
            <v>Công ty Sơn Tùng</v>
          </cell>
          <cell r="AP838">
            <v>0</v>
          </cell>
          <cell r="AQ838">
            <v>0</v>
          </cell>
          <cell r="AR838">
            <v>0</v>
          </cell>
          <cell r="AS838">
            <v>0</v>
          </cell>
          <cell r="AT838">
            <v>0</v>
          </cell>
          <cell r="AU838">
            <v>0</v>
          </cell>
          <cell r="AV838">
            <v>0</v>
          </cell>
          <cell r="AW838">
            <v>0</v>
          </cell>
          <cell r="AX838">
            <v>0</v>
          </cell>
          <cell r="AY838">
            <v>0</v>
          </cell>
          <cell r="AZ838">
            <v>0</v>
          </cell>
          <cell r="BA838">
            <v>0</v>
          </cell>
          <cell r="BB838">
            <v>0</v>
          </cell>
          <cell r="BC838">
            <v>0</v>
          </cell>
          <cell r="BD838" t="e">
            <v>#N/A</v>
          </cell>
        </row>
        <row r="839">
          <cell r="A839" t="str">
            <v>sp 1350</v>
          </cell>
          <cell r="B839" t="str">
            <v>Cuộn đường sugar 1kg khổ 740 Sơn Tùng</v>
          </cell>
          <cell r="C839">
            <v>0</v>
          </cell>
          <cell r="D839">
            <v>1</v>
          </cell>
          <cell r="E839" t="str">
            <v>OPP 30x740</v>
          </cell>
          <cell r="F839">
            <v>0</v>
          </cell>
          <cell r="G839" t="str">
            <v>OPP</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t="str">
            <v>PE 25x740</v>
          </cell>
          <cell r="AF839">
            <v>0</v>
          </cell>
          <cell r="AG839">
            <v>3.73145E-2</v>
          </cell>
          <cell r="AH839">
            <v>0.97333333333333327</v>
          </cell>
          <cell r="AI839">
            <v>0</v>
          </cell>
          <cell r="AJ839">
            <v>9530</v>
          </cell>
          <cell r="AK839">
            <v>0</v>
          </cell>
          <cell r="AL839">
            <v>2E-3</v>
          </cell>
          <cell r="AM839" t="str">
            <v>dạng cuộn 4,000m</v>
          </cell>
          <cell r="AN839">
            <v>740</v>
          </cell>
          <cell r="AO839" t="str">
            <v>Công ty Sơn Tùng</v>
          </cell>
          <cell r="AP839">
            <v>0</v>
          </cell>
          <cell r="AQ839">
            <v>0</v>
          </cell>
          <cell r="AR839">
            <v>0</v>
          </cell>
          <cell r="AS839">
            <v>0</v>
          </cell>
          <cell r="AT839">
            <v>0</v>
          </cell>
          <cell r="AU839">
            <v>0</v>
          </cell>
          <cell r="AV839">
            <v>0</v>
          </cell>
          <cell r="AW839">
            <v>0</v>
          </cell>
          <cell r="AX839">
            <v>0</v>
          </cell>
          <cell r="AY839">
            <v>0</v>
          </cell>
          <cell r="AZ839">
            <v>0</v>
          </cell>
          <cell r="BA839">
            <v>0</v>
          </cell>
          <cell r="BB839">
            <v>0</v>
          </cell>
          <cell r="BC839">
            <v>0</v>
          </cell>
          <cell r="BD839" t="e">
            <v>#N/A</v>
          </cell>
        </row>
        <row r="840">
          <cell r="A840" t="str">
            <v>sp 1351</v>
          </cell>
          <cell r="B840" t="str">
            <v>Cuộn đường vàng tinh khiết Lam Sơn 1kg -mã 014</v>
          </cell>
          <cell r="C840">
            <v>6.9749999999999996</v>
          </cell>
          <cell r="D840">
            <v>2</v>
          </cell>
          <cell r="E840" t="str">
            <v>OPP 20x820</v>
          </cell>
          <cell r="F840">
            <v>8</v>
          </cell>
          <cell r="G840" t="str">
            <v>OPP</v>
          </cell>
          <cell r="H840">
            <v>0</v>
          </cell>
          <cell r="I840">
            <v>2.5270000000000001</v>
          </cell>
          <cell r="J840">
            <v>0.01</v>
          </cell>
          <cell r="K840">
            <v>0.03</v>
          </cell>
          <cell r="L840">
            <v>1.2170000000000001</v>
          </cell>
          <cell r="M840">
            <v>2.12</v>
          </cell>
          <cell r="N840">
            <v>0.374</v>
          </cell>
          <cell r="O840">
            <v>0.01</v>
          </cell>
          <cell r="P840">
            <v>0.125</v>
          </cell>
          <cell r="Q840">
            <v>0</v>
          </cell>
          <cell r="R840">
            <v>0.125</v>
          </cell>
          <cell r="S840">
            <v>0</v>
          </cell>
          <cell r="T840">
            <v>0.437</v>
          </cell>
          <cell r="U840">
            <v>0</v>
          </cell>
          <cell r="V840">
            <v>0</v>
          </cell>
          <cell r="W840">
            <v>0</v>
          </cell>
          <cell r="X840">
            <v>0</v>
          </cell>
          <cell r="Y840">
            <v>0</v>
          </cell>
          <cell r="Z840">
            <v>0</v>
          </cell>
          <cell r="AA840">
            <v>0</v>
          </cell>
          <cell r="AB840">
            <v>0</v>
          </cell>
          <cell r="AC840">
            <v>0</v>
          </cell>
          <cell r="AD840">
            <v>0</v>
          </cell>
          <cell r="AE840" t="str">
            <v>PE 55x820</v>
          </cell>
          <cell r="AF840">
            <v>0</v>
          </cell>
          <cell r="AG840">
            <v>5.6641499999999997E-2</v>
          </cell>
          <cell r="AH840">
            <v>1.62</v>
          </cell>
          <cell r="AI840">
            <v>0</v>
          </cell>
          <cell r="AJ840">
            <v>9530</v>
          </cell>
          <cell r="AK840">
            <v>0</v>
          </cell>
          <cell r="AL840">
            <v>3.0000000000000001E-3</v>
          </cell>
          <cell r="AM840" t="str">
            <v>dạng cuộn 1,000m</v>
          </cell>
          <cell r="AN840">
            <v>400</v>
          </cell>
          <cell r="AO840" t="str">
            <v>Công ty Cổ phần mía đường Lam Sơn</v>
          </cell>
          <cell r="AP840" t="str">
            <v>21010765-1</v>
          </cell>
          <cell r="AQ840" t="str">
            <v>21090265-2</v>
          </cell>
          <cell r="AR840" t="str">
            <v>21010765-3</v>
          </cell>
          <cell r="AS840" t="str">
            <v>21010765-4</v>
          </cell>
          <cell r="AT840" t="str">
            <v>21010765-5</v>
          </cell>
          <cell r="AU840" t="str">
            <v>21090265-6</v>
          </cell>
          <cell r="AV840" t="str">
            <v>21010765-7</v>
          </cell>
          <cell r="AW840" t="str">
            <v>21090265-8</v>
          </cell>
          <cell r="AX840">
            <v>0</v>
          </cell>
          <cell r="AY840" t="str">
            <v>500x870</v>
          </cell>
          <cell r="AZ840">
            <v>0</v>
          </cell>
          <cell r="BA840">
            <v>0</v>
          </cell>
          <cell r="BB840">
            <v>0</v>
          </cell>
          <cell r="BC840">
            <v>0</v>
          </cell>
          <cell r="BD840" t="e">
            <v>#N/A</v>
          </cell>
        </row>
        <row r="841">
          <cell r="A841" t="str">
            <v>sp 1352</v>
          </cell>
          <cell r="B841" t="str">
            <v>Túi HCK super chef mã 3073 CP</v>
          </cell>
          <cell r="C841">
            <v>2.5540000000000003</v>
          </cell>
          <cell r="D841">
            <v>2</v>
          </cell>
          <cell r="E841" t="str">
            <v>PA 15x860</v>
          </cell>
          <cell r="F841">
            <v>3</v>
          </cell>
          <cell r="G841" t="str">
            <v xml:space="preserve">PA </v>
          </cell>
          <cell r="H841">
            <v>0</v>
          </cell>
          <cell r="I841">
            <v>0.78600000000000003</v>
          </cell>
          <cell r="J841">
            <v>0</v>
          </cell>
          <cell r="K841">
            <v>0</v>
          </cell>
          <cell r="L841">
            <v>0.19600000000000001</v>
          </cell>
          <cell r="M841">
            <v>0</v>
          </cell>
          <cell r="N841">
            <v>0</v>
          </cell>
          <cell r="O841">
            <v>0</v>
          </cell>
          <cell r="P841">
            <v>1.5720000000000001</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t="str">
            <v>PE 65x860</v>
          </cell>
          <cell r="AF841">
            <v>0</v>
          </cell>
          <cell r="AG841">
            <v>6.6542500000000004E-2</v>
          </cell>
          <cell r="AH841">
            <v>1.3033333333333332</v>
          </cell>
          <cell r="AI841">
            <v>0</v>
          </cell>
          <cell r="AJ841">
            <v>9530</v>
          </cell>
          <cell r="AK841">
            <v>0</v>
          </cell>
          <cell r="AL841">
            <v>2.3E-3</v>
          </cell>
          <cell r="AM841" t="str">
            <v>túi ba biên</v>
          </cell>
          <cell r="AN841">
            <v>260</v>
          </cell>
          <cell r="AO841" t="str">
            <v>Chi nhánh Công ty CP chăn nuôi CP Việt Nam</v>
          </cell>
          <cell r="AP841" t="str">
            <v>21020567-1</v>
          </cell>
          <cell r="AQ841" t="str">
            <v>21020567-2</v>
          </cell>
          <cell r="AR841" t="str">
            <v>21020567-3</v>
          </cell>
          <cell r="AS841">
            <v>0</v>
          </cell>
          <cell r="AT841">
            <v>0</v>
          </cell>
          <cell r="AU841">
            <v>0</v>
          </cell>
          <cell r="AV841">
            <v>0</v>
          </cell>
          <cell r="AW841">
            <v>0</v>
          </cell>
          <cell r="AX841">
            <v>0</v>
          </cell>
          <cell r="AY841" t="str">
            <v>520x1100</v>
          </cell>
          <cell r="AZ841">
            <v>0</v>
          </cell>
          <cell r="BA841">
            <v>0</v>
          </cell>
          <cell r="BB841">
            <v>0</v>
          </cell>
          <cell r="BC841">
            <v>0</v>
          </cell>
          <cell r="BD841" t="e">
            <v>#N/A</v>
          </cell>
        </row>
        <row r="842">
          <cell r="A842" t="str">
            <v>sp 1353</v>
          </cell>
          <cell r="B842" t="str">
            <v xml:space="preserve">Túi HCK xúc xích winner 500gr KT 370x345 mã 3179 CP </v>
          </cell>
          <cell r="C842">
            <v>10.876999999999999</v>
          </cell>
          <cell r="D842">
            <v>2</v>
          </cell>
          <cell r="E842" t="str">
            <v>PA 15x760</v>
          </cell>
          <cell r="F842">
            <v>4</v>
          </cell>
          <cell r="G842" t="str">
            <v xml:space="preserve">PA </v>
          </cell>
          <cell r="H842">
            <v>0.5</v>
          </cell>
          <cell r="I842">
            <v>3.75</v>
          </cell>
          <cell r="J842">
            <v>0</v>
          </cell>
          <cell r="K842">
            <v>0</v>
          </cell>
          <cell r="L842">
            <v>1.5</v>
          </cell>
          <cell r="M842">
            <v>1</v>
          </cell>
          <cell r="N842">
            <v>0</v>
          </cell>
          <cell r="O842">
            <v>0</v>
          </cell>
          <cell r="P842">
            <v>4.1269999999999998</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t="str">
            <v>PE 65x760</v>
          </cell>
          <cell r="AF842">
            <v>0</v>
          </cell>
          <cell r="AG842">
            <v>5.8805000000000003E-2</v>
          </cell>
          <cell r="AH842">
            <v>1.1499999999999999</v>
          </cell>
          <cell r="AI842">
            <v>0</v>
          </cell>
          <cell r="AJ842">
            <v>9530</v>
          </cell>
          <cell r="AK842">
            <v>0</v>
          </cell>
          <cell r="AL842">
            <v>2.3E-3</v>
          </cell>
          <cell r="AM842" t="str">
            <v>túi ba biên</v>
          </cell>
          <cell r="AN842">
            <v>345</v>
          </cell>
          <cell r="AO842" t="str">
            <v>Chi nhánh Công ty CP chăn nuôi CP Việt Nam</v>
          </cell>
          <cell r="AP842" t="str">
            <v>21020093-1</v>
          </cell>
          <cell r="AQ842" t="str">
            <v>21020093-2</v>
          </cell>
          <cell r="AR842" t="str">
            <v>21020093-3</v>
          </cell>
          <cell r="AS842" t="str">
            <v>21020093-4</v>
          </cell>
          <cell r="AT842">
            <v>0</v>
          </cell>
          <cell r="AU842">
            <v>0</v>
          </cell>
          <cell r="AV842">
            <v>0</v>
          </cell>
          <cell r="AW842">
            <v>0</v>
          </cell>
          <cell r="AX842">
            <v>0</v>
          </cell>
          <cell r="AY842" t="str">
            <v>690x870</v>
          </cell>
          <cell r="AZ842">
            <v>0</v>
          </cell>
          <cell r="BA842">
            <v>0</v>
          </cell>
          <cell r="BB842">
            <v>0</v>
          </cell>
          <cell r="BC842">
            <v>0</v>
          </cell>
          <cell r="BD842" t="e">
            <v>#N/A</v>
          </cell>
        </row>
        <row r="843">
          <cell r="A843" t="str">
            <v>sp 1354</v>
          </cell>
          <cell r="B843" t="str">
            <v xml:space="preserve">Túi HCK xúc xích winner 500gr KT 360x335 mã 3214 CP </v>
          </cell>
          <cell r="C843">
            <v>4.444</v>
          </cell>
          <cell r="D843">
            <v>2</v>
          </cell>
          <cell r="E843" t="str">
            <v>PA 15x740</v>
          </cell>
          <cell r="F843">
            <v>4</v>
          </cell>
          <cell r="G843" t="str">
            <v xml:space="preserve">PA </v>
          </cell>
          <cell r="H843">
            <v>0.17499999999999999</v>
          </cell>
          <cell r="I843">
            <v>0.01</v>
          </cell>
          <cell r="J843">
            <v>0</v>
          </cell>
          <cell r="K843">
            <v>0</v>
          </cell>
          <cell r="L843">
            <v>1.05</v>
          </cell>
          <cell r="M843">
            <v>0.7</v>
          </cell>
          <cell r="N843">
            <v>0</v>
          </cell>
          <cell r="O843">
            <v>0</v>
          </cell>
          <cell r="P843">
            <v>2.5089999999999999</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t="str">
            <v>PE 65x740</v>
          </cell>
          <cell r="AF843">
            <v>0</v>
          </cell>
          <cell r="AG843">
            <v>5.7257499999999996E-2</v>
          </cell>
          <cell r="AH843">
            <v>1.1193333333333333</v>
          </cell>
          <cell r="AI843">
            <v>0</v>
          </cell>
          <cell r="AJ843">
            <v>9530</v>
          </cell>
          <cell r="AK843">
            <v>0</v>
          </cell>
          <cell r="AL843">
            <v>2.3E-3</v>
          </cell>
          <cell r="AM843" t="str">
            <v>túi ba biên</v>
          </cell>
          <cell r="AN843">
            <v>335</v>
          </cell>
          <cell r="AO843" t="str">
            <v>Chi nhánh Công ty CP chăn nuôi CP Việt Nam</v>
          </cell>
          <cell r="AP843" t="str">
            <v>21020092-1</v>
          </cell>
          <cell r="AQ843" t="str">
            <v>21020092-2</v>
          </cell>
          <cell r="AR843" t="str">
            <v>21020092-3</v>
          </cell>
          <cell r="AS843" t="str">
            <v>21020092-4</v>
          </cell>
          <cell r="AT843">
            <v>0</v>
          </cell>
          <cell r="AU843">
            <v>0</v>
          </cell>
          <cell r="AV843">
            <v>0</v>
          </cell>
          <cell r="AW843">
            <v>0</v>
          </cell>
          <cell r="AX843">
            <v>0</v>
          </cell>
          <cell r="AY843" t="str">
            <v>670x870</v>
          </cell>
          <cell r="AZ843">
            <v>0</v>
          </cell>
          <cell r="BA843">
            <v>0</v>
          </cell>
          <cell r="BB843">
            <v>0</v>
          </cell>
          <cell r="BC843">
            <v>0</v>
          </cell>
          <cell r="BD843" t="e">
            <v>#N/A</v>
          </cell>
        </row>
        <row r="844">
          <cell r="A844" t="str">
            <v>sp 1355</v>
          </cell>
          <cell r="B844" t="str">
            <v>Túi HCK không in KT 215x280 mã 3185 CP</v>
          </cell>
          <cell r="C844">
            <v>0</v>
          </cell>
          <cell r="D844">
            <v>2</v>
          </cell>
          <cell r="E844" t="str">
            <v>PA 15x880</v>
          </cell>
          <cell r="F844">
            <v>0</v>
          </cell>
          <cell r="G844" t="str">
            <v xml:space="preserve">PA </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t="str">
            <v>PE 65x880</v>
          </cell>
          <cell r="AF844">
            <v>0</v>
          </cell>
          <cell r="AG844">
            <v>6.8089999999999998E-2</v>
          </cell>
          <cell r="AH844">
            <v>1.3339999999999999</v>
          </cell>
          <cell r="AI844">
            <v>0</v>
          </cell>
          <cell r="AJ844">
            <v>9530</v>
          </cell>
          <cell r="AK844">
            <v>0</v>
          </cell>
          <cell r="AL844">
            <v>2.3E-3</v>
          </cell>
          <cell r="AM844" t="str">
            <v>túi ba biên</v>
          </cell>
          <cell r="AN844">
            <v>280</v>
          </cell>
          <cell r="AO844" t="str">
            <v>Chi nhánh Công ty CP chăn nuôi CP Việt Nam</v>
          </cell>
          <cell r="AP844">
            <v>0</v>
          </cell>
          <cell r="AQ844">
            <v>0</v>
          </cell>
          <cell r="AR844">
            <v>0</v>
          </cell>
          <cell r="AS844">
            <v>0</v>
          </cell>
          <cell r="AT844">
            <v>0</v>
          </cell>
          <cell r="AU844">
            <v>0</v>
          </cell>
          <cell r="AV844">
            <v>0</v>
          </cell>
          <cell r="AW844">
            <v>0</v>
          </cell>
          <cell r="AX844">
            <v>0</v>
          </cell>
          <cell r="AY844">
            <v>0</v>
          </cell>
          <cell r="AZ844">
            <v>0</v>
          </cell>
          <cell r="BA844">
            <v>0</v>
          </cell>
          <cell r="BB844">
            <v>0</v>
          </cell>
          <cell r="BC844">
            <v>0</v>
          </cell>
          <cell r="BD844" t="e">
            <v>#N/A</v>
          </cell>
        </row>
        <row r="845">
          <cell r="A845" t="str">
            <v>sp 1356</v>
          </cell>
          <cell r="B845" t="str">
            <v>Cuộn màng thức ăn apollo chicken 25kg bao bì PP Hải Phòng</v>
          </cell>
          <cell r="C845">
            <v>7.1049999999999986</v>
          </cell>
          <cell r="D845">
            <v>1</v>
          </cell>
          <cell r="E845" t="str">
            <v>OPP 20x1090</v>
          </cell>
          <cell r="F845">
            <v>7</v>
          </cell>
          <cell r="G845" t="str">
            <v>OPP</v>
          </cell>
          <cell r="H845">
            <v>0.11600000000000001</v>
          </cell>
          <cell r="I845">
            <v>4.66</v>
          </cell>
          <cell r="J845">
            <v>0.23300000000000001</v>
          </cell>
          <cell r="K845">
            <v>0.17499999999999999</v>
          </cell>
          <cell r="L845">
            <v>0.11600000000000001</v>
          </cell>
          <cell r="M845">
            <v>0.58199999999999996</v>
          </cell>
          <cell r="N845">
            <v>0</v>
          </cell>
          <cell r="O845">
            <v>0.75700000000000001</v>
          </cell>
          <cell r="P845">
            <v>0.46600000000000003</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t="str">
            <v>dạng cuộn 5,000m</v>
          </cell>
          <cell r="AN845">
            <v>534</v>
          </cell>
          <cell r="AO845" t="str">
            <v>Công ty CP bao bì PP Hải Phòng</v>
          </cell>
          <cell r="AP845" t="str">
            <v>21090216-1</v>
          </cell>
          <cell r="AQ845" t="str">
            <v>21020123-2</v>
          </cell>
          <cell r="AR845" t="str">
            <v>21020123-3</v>
          </cell>
          <cell r="AS845" t="str">
            <v>21020123-4</v>
          </cell>
          <cell r="AT845" t="str">
            <v>21020123-5</v>
          </cell>
          <cell r="AU845" t="str">
            <v>21020123-6</v>
          </cell>
          <cell r="AV845" t="str">
            <v>21020123-7</v>
          </cell>
          <cell r="AW845">
            <v>0</v>
          </cell>
          <cell r="AX845">
            <v>0</v>
          </cell>
          <cell r="AY845" t="str">
            <v>950x1150</v>
          </cell>
          <cell r="AZ845">
            <v>0</v>
          </cell>
          <cell r="BA845">
            <v>0</v>
          </cell>
          <cell r="BB845">
            <v>0</v>
          </cell>
          <cell r="BC845">
            <v>0</v>
          </cell>
          <cell r="BD845" t="e">
            <v>#N/A</v>
          </cell>
        </row>
        <row r="846">
          <cell r="A846" t="str">
            <v>sp 1357</v>
          </cell>
          <cell r="B846" t="str">
            <v>Túi gạc răng miệng bonkids KT 55x75mm -aero</v>
          </cell>
          <cell r="C846">
            <v>17.575000000000006</v>
          </cell>
          <cell r="D846">
            <v>4</v>
          </cell>
          <cell r="E846" t="str">
            <v>OPP mờ 20x620</v>
          </cell>
          <cell r="F846">
            <v>3</v>
          </cell>
          <cell r="G846" t="str">
            <v>OPP</v>
          </cell>
          <cell r="H846">
            <v>0</v>
          </cell>
          <cell r="I846">
            <v>11.48</v>
          </cell>
          <cell r="J846">
            <v>0.56000000000000005</v>
          </cell>
          <cell r="K846">
            <v>0.56000000000000005</v>
          </cell>
          <cell r="L846">
            <v>0</v>
          </cell>
          <cell r="M846">
            <v>4.53</v>
          </cell>
          <cell r="N846">
            <v>0</v>
          </cell>
          <cell r="O846">
            <v>0</v>
          </cell>
          <cell r="P846">
            <v>0</v>
          </cell>
          <cell r="Q846">
            <v>0.42499999999999999</v>
          </cell>
          <cell r="R846">
            <v>0.01</v>
          </cell>
          <cell r="S846">
            <v>0</v>
          </cell>
          <cell r="T846">
            <v>0.01</v>
          </cell>
          <cell r="U846">
            <v>0</v>
          </cell>
          <cell r="V846">
            <v>0</v>
          </cell>
          <cell r="W846">
            <v>0</v>
          </cell>
          <cell r="X846">
            <v>0</v>
          </cell>
          <cell r="Y846">
            <v>0</v>
          </cell>
          <cell r="Z846">
            <v>0</v>
          </cell>
          <cell r="AA846">
            <v>0</v>
          </cell>
          <cell r="AB846">
            <v>0</v>
          </cell>
          <cell r="AC846">
            <v>0</v>
          </cell>
          <cell r="AD846">
            <v>0</v>
          </cell>
          <cell r="AE846" t="str">
            <v>Al 6x620</v>
          </cell>
          <cell r="AF846" t="str">
            <v>PE 75x630</v>
          </cell>
          <cell r="AG846">
            <v>6.437770000000001E-2</v>
          </cell>
          <cell r="AH846">
            <v>0.93533333333333324</v>
          </cell>
          <cell r="AI846">
            <v>0.93533333333333324</v>
          </cell>
          <cell r="AJ846">
            <v>9530</v>
          </cell>
          <cell r="AK846">
            <v>9530</v>
          </cell>
          <cell r="AL846" t="str">
            <v>0,0046(0,0023;0,0023)</v>
          </cell>
          <cell r="AM846" t="str">
            <v>túi ba biên</v>
          </cell>
          <cell r="AN846">
            <v>55</v>
          </cell>
          <cell r="AO846" t="str">
            <v>Công ty TNHH hóa dược aero chemie</v>
          </cell>
          <cell r="AP846" t="str">
            <v>F127498-1</v>
          </cell>
          <cell r="AQ846" t="str">
            <v>F127498-2</v>
          </cell>
          <cell r="AR846" t="str">
            <v>F127498-3</v>
          </cell>
          <cell r="AS846">
            <v>0</v>
          </cell>
          <cell r="AT846">
            <v>0</v>
          </cell>
          <cell r="AU846">
            <v>0</v>
          </cell>
          <cell r="AV846">
            <v>0</v>
          </cell>
          <cell r="AW846">
            <v>0</v>
          </cell>
          <cell r="AX846">
            <v>0</v>
          </cell>
          <cell r="AY846" t="str">
            <v>440x870</v>
          </cell>
          <cell r="AZ846">
            <v>0</v>
          </cell>
          <cell r="BA846">
            <v>0</v>
          </cell>
          <cell r="BB846">
            <v>0</v>
          </cell>
          <cell r="BC846">
            <v>0</v>
          </cell>
          <cell r="BD846" t="e">
            <v>#N/A</v>
          </cell>
        </row>
        <row r="847">
          <cell r="A847" t="str">
            <v>sp 1358</v>
          </cell>
          <cell r="B847" t="str">
            <v>Túi HCK KT 360x350 mã 3258 CP</v>
          </cell>
          <cell r="C847">
            <v>12.427</v>
          </cell>
          <cell r="D847">
            <v>2</v>
          </cell>
          <cell r="E847" t="str">
            <v>PA 15x740</v>
          </cell>
          <cell r="F847">
            <v>6</v>
          </cell>
          <cell r="G847" t="str">
            <v xml:space="preserve">PA </v>
          </cell>
          <cell r="H847">
            <v>0.23899999999999999</v>
          </cell>
          <cell r="I847">
            <v>2.863</v>
          </cell>
          <cell r="J847">
            <v>0</v>
          </cell>
          <cell r="K847">
            <v>0</v>
          </cell>
          <cell r="L847">
            <v>2.028</v>
          </cell>
          <cell r="M847">
            <v>2.1469999999999998</v>
          </cell>
          <cell r="N847">
            <v>0</v>
          </cell>
          <cell r="O847">
            <v>0</v>
          </cell>
          <cell r="P847">
            <v>5.13</v>
          </cell>
          <cell r="Q847">
            <v>0</v>
          </cell>
          <cell r="R847">
            <v>0</v>
          </cell>
          <cell r="S847">
            <v>0.01</v>
          </cell>
          <cell r="T847">
            <v>0.01</v>
          </cell>
          <cell r="U847">
            <v>0</v>
          </cell>
          <cell r="V847">
            <v>0</v>
          </cell>
          <cell r="W847">
            <v>0</v>
          </cell>
          <cell r="X847">
            <v>0</v>
          </cell>
          <cell r="Y847">
            <v>0</v>
          </cell>
          <cell r="Z847">
            <v>0</v>
          </cell>
          <cell r="AA847">
            <v>0</v>
          </cell>
          <cell r="AB847">
            <v>0</v>
          </cell>
          <cell r="AC847">
            <v>0</v>
          </cell>
          <cell r="AD847">
            <v>0</v>
          </cell>
          <cell r="AE847" t="str">
            <v>PE 65x740</v>
          </cell>
          <cell r="AF847">
            <v>0</v>
          </cell>
          <cell r="AG847">
            <v>5.7257499999999996E-2</v>
          </cell>
          <cell r="AH847">
            <v>1.1193333333333333</v>
          </cell>
          <cell r="AI847">
            <v>0</v>
          </cell>
          <cell r="AJ847">
            <v>9530</v>
          </cell>
          <cell r="AK847">
            <v>0</v>
          </cell>
          <cell r="AL847">
            <v>2.3E-3</v>
          </cell>
          <cell r="AM847" t="str">
            <v>túi ba biên</v>
          </cell>
          <cell r="AN847">
            <v>350</v>
          </cell>
          <cell r="AO847" t="str">
            <v>Chi nhánh Công ty CP chăn nuôi CP Việt Nam</v>
          </cell>
          <cell r="AP847" t="str">
            <v>21020172-1</v>
          </cell>
          <cell r="AQ847" t="str">
            <v>21020172-2</v>
          </cell>
          <cell r="AR847" t="str">
            <v>21020172-3</v>
          </cell>
          <cell r="AS847" t="str">
            <v>21020172-4</v>
          </cell>
          <cell r="AT847" t="str">
            <v>21020172-5</v>
          </cell>
          <cell r="AU847" t="str">
            <v>21020172-6</v>
          </cell>
          <cell r="AV847">
            <v>0</v>
          </cell>
          <cell r="AW847">
            <v>0</v>
          </cell>
          <cell r="AX847">
            <v>0</v>
          </cell>
          <cell r="AY847" t="str">
            <v>700x870</v>
          </cell>
          <cell r="AZ847">
            <v>0</v>
          </cell>
          <cell r="BA847">
            <v>0</v>
          </cell>
          <cell r="BB847">
            <v>0</v>
          </cell>
          <cell r="BC847">
            <v>0</v>
          </cell>
          <cell r="BD847" t="e">
            <v>#N/A</v>
          </cell>
        </row>
        <row r="848">
          <cell r="A848" t="str">
            <v>sp 1359</v>
          </cell>
          <cell r="B848" t="str">
            <v>Túi HCK xúc xích vealz 500gr KT 360x335 mã 3215 CP</v>
          </cell>
          <cell r="C848">
            <v>10.17</v>
          </cell>
          <cell r="D848">
            <v>2</v>
          </cell>
          <cell r="E848" t="str">
            <v>PA 15x740</v>
          </cell>
          <cell r="F848">
            <v>4</v>
          </cell>
          <cell r="G848" t="str">
            <v xml:space="preserve">PA </v>
          </cell>
          <cell r="H848">
            <v>0.35099999999999998</v>
          </cell>
          <cell r="I848">
            <v>3.6240000000000001</v>
          </cell>
          <cell r="J848">
            <v>0</v>
          </cell>
          <cell r="K848">
            <v>0</v>
          </cell>
          <cell r="L848">
            <v>1.52</v>
          </cell>
          <cell r="M848">
            <v>1.87</v>
          </cell>
          <cell r="N848">
            <v>0</v>
          </cell>
          <cell r="O848">
            <v>0</v>
          </cell>
          <cell r="P848">
            <v>2.8050000000000002</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t="str">
            <v>PE 65x740</v>
          </cell>
          <cell r="AF848">
            <v>0</v>
          </cell>
          <cell r="AG848">
            <v>5.7257499999999996E-2</v>
          </cell>
          <cell r="AH848">
            <v>1.1193333333333333</v>
          </cell>
          <cell r="AI848">
            <v>0</v>
          </cell>
          <cell r="AJ848">
            <v>9530</v>
          </cell>
          <cell r="AK848">
            <v>0</v>
          </cell>
          <cell r="AL848">
            <v>2.3E-3</v>
          </cell>
          <cell r="AM848" t="str">
            <v>túi ba biên</v>
          </cell>
          <cell r="AN848">
            <v>335</v>
          </cell>
          <cell r="AO848" t="str">
            <v>Chi nhánh Công ty CP chăn nuôi CP Việt Nam</v>
          </cell>
          <cell r="AP848" t="str">
            <v>21020171-1</v>
          </cell>
          <cell r="AQ848" t="str">
            <v>21020171-2</v>
          </cell>
          <cell r="AR848" t="str">
            <v>21020171-3</v>
          </cell>
          <cell r="AS848" t="str">
            <v>21020171-4</v>
          </cell>
          <cell r="AT848">
            <v>0</v>
          </cell>
          <cell r="AU848">
            <v>0</v>
          </cell>
          <cell r="AV848">
            <v>0</v>
          </cell>
          <cell r="AW848">
            <v>0</v>
          </cell>
          <cell r="AX848">
            <v>0</v>
          </cell>
          <cell r="AY848" t="str">
            <v>670x870</v>
          </cell>
          <cell r="AZ848">
            <v>0</v>
          </cell>
          <cell r="BA848">
            <v>2400</v>
          </cell>
          <cell r="BB848" t="str">
            <v>Thùng 5 lớp 42x34x36</v>
          </cell>
          <cell r="BC848">
            <v>0</v>
          </cell>
          <cell r="BD848" t="e">
            <v>#N/A</v>
          </cell>
        </row>
        <row r="849">
          <cell r="A849" t="str">
            <v>sp 1360</v>
          </cell>
          <cell r="B849">
            <v>0</v>
          </cell>
          <cell r="C849">
            <v>0</v>
          </cell>
          <cell r="D849">
            <v>0</v>
          </cell>
          <cell r="E849">
            <v>0</v>
          </cell>
          <cell r="F849">
            <v>0</v>
          </cell>
          <cell r="G849" t="str">
            <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t="str">
            <v>21020564-1</v>
          </cell>
          <cell r="AQ849" t="str">
            <v>21020564-2</v>
          </cell>
          <cell r="AR849" t="str">
            <v>21020564-3</v>
          </cell>
          <cell r="AS849" t="str">
            <v>21020564-4</v>
          </cell>
          <cell r="AT849" t="str">
            <v>21020564-5</v>
          </cell>
          <cell r="AU849" t="str">
            <v>21020564-6</v>
          </cell>
          <cell r="AV849" t="str">
            <v>21020564-7</v>
          </cell>
          <cell r="AW849">
            <v>0</v>
          </cell>
          <cell r="AX849">
            <v>0</v>
          </cell>
          <cell r="AY849" t="str">
            <v>620x1100</v>
          </cell>
          <cell r="AZ849">
            <v>0</v>
          </cell>
          <cell r="BA849">
            <v>0</v>
          </cell>
          <cell r="BB849">
            <v>0</v>
          </cell>
          <cell r="BC849">
            <v>0</v>
          </cell>
          <cell r="BD849" t="e">
            <v>#N/A</v>
          </cell>
        </row>
        <row r="850">
          <cell r="A850" t="str">
            <v>sp 1361</v>
          </cell>
          <cell r="B850" t="str">
            <v>Túi không in đựng bột Chloramine B 1kg KT 220x310mm Đức Giang</v>
          </cell>
          <cell r="C850">
            <v>0</v>
          </cell>
          <cell r="D850">
            <v>2</v>
          </cell>
          <cell r="E850" t="str">
            <v>PA 15x900</v>
          </cell>
          <cell r="F850">
            <v>0</v>
          </cell>
          <cell r="G850" t="str">
            <v xml:space="preserve">PA </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t="str">
            <v>PE 85x900</v>
          </cell>
          <cell r="AF850">
            <v>0</v>
          </cell>
          <cell r="AG850">
            <v>8.6287500000000017E-2</v>
          </cell>
          <cell r="AH850">
            <v>1.3646666666666665</v>
          </cell>
          <cell r="AI850">
            <v>0</v>
          </cell>
          <cell r="AJ850">
            <v>9530</v>
          </cell>
          <cell r="AK850">
            <v>0</v>
          </cell>
          <cell r="AL850">
            <v>2.3E-3</v>
          </cell>
          <cell r="AM850" t="str">
            <v>túi ba biên</v>
          </cell>
          <cell r="AN850">
            <v>310</v>
          </cell>
          <cell r="AO850" t="str">
            <v>Công ty Cổ Phần Tập Đoàn Hóa Chất Đức Giang</v>
          </cell>
          <cell r="AP850">
            <v>0</v>
          </cell>
          <cell r="AQ850">
            <v>0</v>
          </cell>
          <cell r="AR850">
            <v>0</v>
          </cell>
          <cell r="AS850">
            <v>0</v>
          </cell>
          <cell r="AT850">
            <v>0</v>
          </cell>
          <cell r="AU850">
            <v>0</v>
          </cell>
          <cell r="AV850">
            <v>0</v>
          </cell>
          <cell r="AW850">
            <v>0</v>
          </cell>
          <cell r="AX850">
            <v>0</v>
          </cell>
          <cell r="AY850">
            <v>0</v>
          </cell>
          <cell r="AZ850">
            <v>0</v>
          </cell>
          <cell r="BA850">
            <v>0</v>
          </cell>
          <cell r="BB850">
            <v>0</v>
          </cell>
          <cell r="BC850">
            <v>0</v>
          </cell>
          <cell r="BD850" t="e">
            <v>#N/A</v>
          </cell>
        </row>
        <row r="851">
          <cell r="A851" t="str">
            <v>sp 1362</v>
          </cell>
          <cell r="B851" t="str">
            <v>Túi zipper chloramine B 1000gr Đức Giang</v>
          </cell>
          <cell r="C851">
            <v>5.5779999999999994</v>
          </cell>
          <cell r="D851">
            <v>1</v>
          </cell>
          <cell r="E851" t="str">
            <v>PET 12x660</v>
          </cell>
          <cell r="F851">
            <v>3</v>
          </cell>
          <cell r="G851" t="str">
            <v>PET</v>
          </cell>
          <cell r="H851">
            <v>0</v>
          </cell>
          <cell r="I851">
            <v>3.8620000000000001</v>
          </cell>
          <cell r="J851">
            <v>0.25700000000000001</v>
          </cell>
          <cell r="K851">
            <v>0</v>
          </cell>
          <cell r="L851">
            <v>0</v>
          </cell>
          <cell r="M851">
            <v>0</v>
          </cell>
          <cell r="N851">
            <v>0</v>
          </cell>
          <cell r="O851">
            <v>0</v>
          </cell>
          <cell r="P851">
            <v>0.3</v>
          </cell>
          <cell r="Q851">
            <v>0</v>
          </cell>
          <cell r="R851">
            <v>1.159</v>
          </cell>
          <cell r="S851">
            <v>0</v>
          </cell>
          <cell r="T851">
            <v>0</v>
          </cell>
          <cell r="U851">
            <v>0</v>
          </cell>
          <cell r="V851">
            <v>0</v>
          </cell>
          <cell r="W851">
            <v>0</v>
          </cell>
          <cell r="X851">
            <v>0</v>
          </cell>
          <cell r="Y851">
            <v>0</v>
          </cell>
          <cell r="Z851">
            <v>0</v>
          </cell>
          <cell r="AA851">
            <v>0</v>
          </cell>
          <cell r="AB851">
            <v>0</v>
          </cell>
          <cell r="AC851">
            <v>0</v>
          </cell>
          <cell r="AD851">
            <v>0</v>
          </cell>
          <cell r="AE851" t="str">
            <v>Al 6x660</v>
          </cell>
          <cell r="AF851" t="str">
            <v>PE 100x670</v>
          </cell>
          <cell r="AG851">
            <v>8.2869600000000002E-2</v>
          </cell>
          <cell r="AH851">
            <v>1.3</v>
          </cell>
          <cell r="AI851">
            <v>1.3</v>
          </cell>
          <cell r="AJ851">
            <v>9530</v>
          </cell>
          <cell r="AK851">
            <v>9530</v>
          </cell>
          <cell r="AL851" t="str">
            <v>0,006 (0,003;0,003)</v>
          </cell>
          <cell r="AM851" t="str">
            <v>túi ba biên zipper</v>
          </cell>
          <cell r="AN851">
            <v>240</v>
          </cell>
          <cell r="AO851" t="str">
            <v>Công ty Cổ Phần Tập Đoàn Hóa Chất Đức Giang</v>
          </cell>
          <cell r="AP851" t="str">
            <v>F127813-1</v>
          </cell>
          <cell r="AQ851" t="str">
            <v>F127813-2</v>
          </cell>
          <cell r="AR851" t="str">
            <v>F127813-3</v>
          </cell>
          <cell r="AS851">
            <v>0</v>
          </cell>
          <cell r="AT851">
            <v>0</v>
          </cell>
          <cell r="AU851">
            <v>0</v>
          </cell>
          <cell r="AV851">
            <v>0</v>
          </cell>
          <cell r="AW851">
            <v>0</v>
          </cell>
          <cell r="AX851">
            <v>0</v>
          </cell>
          <cell r="AY851" t="str">
            <v>480x870</v>
          </cell>
          <cell r="AZ851">
            <v>0</v>
          </cell>
          <cell r="BA851">
            <v>0</v>
          </cell>
          <cell r="BB851">
            <v>0</v>
          </cell>
          <cell r="BC851">
            <v>0</v>
          </cell>
          <cell r="BD851" t="e">
            <v>#N/A</v>
          </cell>
        </row>
        <row r="852">
          <cell r="A852" t="str">
            <v>sp 1363</v>
          </cell>
          <cell r="B852" t="str">
            <v>Túi thuốc trừ bệnh biorosamil 72WP hiệu táo mỹ 30gr CEC</v>
          </cell>
          <cell r="C852">
            <v>0</v>
          </cell>
          <cell r="D852">
            <v>3</v>
          </cell>
          <cell r="E852" t="str">
            <v>PET 12x800</v>
          </cell>
          <cell r="F852">
            <v>0</v>
          </cell>
          <cell r="G852" t="str">
            <v>PET</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t="str">
            <v>MPET12x800</v>
          </cell>
          <cell r="AF852" t="str">
            <v>PE80x800</v>
          </cell>
          <cell r="AG852">
            <v>8.6080000000000004E-2</v>
          </cell>
          <cell r="AH852">
            <v>1.2113333333333334</v>
          </cell>
          <cell r="AI852">
            <v>1.3166666666666669</v>
          </cell>
          <cell r="AJ852">
            <v>9530</v>
          </cell>
          <cell r="AK852">
            <v>9530</v>
          </cell>
          <cell r="AL852" t="str">
            <v>0,0048(0,0023;0,0025)</v>
          </cell>
          <cell r="AM852" t="str">
            <v>túi ba biên</v>
          </cell>
          <cell r="AN852">
            <v>180</v>
          </cell>
          <cell r="AO852" t="str">
            <v>Công ty thuốc sâu CEC</v>
          </cell>
          <cell r="AP852">
            <v>0</v>
          </cell>
          <cell r="AQ852">
            <v>0</v>
          </cell>
          <cell r="AR852">
            <v>0</v>
          </cell>
          <cell r="AS852">
            <v>0</v>
          </cell>
          <cell r="AT852">
            <v>0</v>
          </cell>
          <cell r="AU852">
            <v>0</v>
          </cell>
          <cell r="AV852">
            <v>0</v>
          </cell>
          <cell r="AW852">
            <v>0</v>
          </cell>
          <cell r="AX852">
            <v>0</v>
          </cell>
          <cell r="AY852">
            <v>0</v>
          </cell>
          <cell r="AZ852">
            <v>0</v>
          </cell>
          <cell r="BA852">
            <v>0</v>
          </cell>
          <cell r="BB852">
            <v>0</v>
          </cell>
          <cell r="BC852">
            <v>0</v>
          </cell>
          <cell r="BD852" t="e">
            <v>#N/A</v>
          </cell>
        </row>
        <row r="853">
          <cell r="A853" t="str">
            <v>sp 1364</v>
          </cell>
          <cell r="B853" t="str">
            <v>Túi thuốc trừ bệnh biorosamil 72WP hiệu áo giáp vàng 35gr CEC</v>
          </cell>
          <cell r="C853">
            <v>0</v>
          </cell>
          <cell r="D853">
            <v>3</v>
          </cell>
          <cell r="E853" t="str">
            <v>PET 12x800</v>
          </cell>
          <cell r="F853">
            <v>0</v>
          </cell>
          <cell r="G853" t="str">
            <v>PET</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t="str">
            <v>MPET12x800</v>
          </cell>
          <cell r="AF853" t="str">
            <v>PE80x800</v>
          </cell>
          <cell r="AG853">
            <v>8.6080000000000004E-2</v>
          </cell>
          <cell r="AH853">
            <v>1.2113333333333334</v>
          </cell>
          <cell r="AI853">
            <v>1.3166666666666669</v>
          </cell>
          <cell r="AJ853">
            <v>9530</v>
          </cell>
          <cell r="AK853">
            <v>9530</v>
          </cell>
          <cell r="AL853" t="str">
            <v>0,0048(0,0023;0,0025)</v>
          </cell>
          <cell r="AM853" t="str">
            <v>túi ba biên</v>
          </cell>
          <cell r="AN853">
            <v>180</v>
          </cell>
          <cell r="AO853" t="str">
            <v>Công ty thuốc sâu CEC</v>
          </cell>
          <cell r="AP853">
            <v>0</v>
          </cell>
          <cell r="AQ853">
            <v>0</v>
          </cell>
          <cell r="AR853">
            <v>0</v>
          </cell>
          <cell r="AS853">
            <v>0</v>
          </cell>
          <cell r="AT853">
            <v>0</v>
          </cell>
          <cell r="AU853">
            <v>0</v>
          </cell>
          <cell r="AV853">
            <v>0</v>
          </cell>
          <cell r="AW853">
            <v>0</v>
          </cell>
          <cell r="AX853">
            <v>0</v>
          </cell>
          <cell r="AY853">
            <v>0</v>
          </cell>
          <cell r="AZ853">
            <v>0</v>
          </cell>
          <cell r="BA853">
            <v>0</v>
          </cell>
          <cell r="BB853">
            <v>0</v>
          </cell>
          <cell r="BC853">
            <v>0</v>
          </cell>
          <cell r="BD853" t="e">
            <v>#N/A</v>
          </cell>
        </row>
        <row r="854">
          <cell r="A854" t="str">
            <v>sp 1365</v>
          </cell>
          <cell r="B854" t="str">
            <v>Túi thuốc trừ bệnh probencarb 250WP hiệu vua nấm khuẩn 200gr CEC</v>
          </cell>
          <cell r="C854">
            <v>0</v>
          </cell>
          <cell r="D854">
            <v>2</v>
          </cell>
          <cell r="E854" t="str">
            <v>PET 12x620</v>
          </cell>
          <cell r="F854">
            <v>0</v>
          </cell>
          <cell r="G854" t="str">
            <v>PET</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t="str">
            <v>MPET 12x620</v>
          </cell>
          <cell r="AF854" t="str">
            <v>PE80x620</v>
          </cell>
          <cell r="AG854">
            <v>6.6711999999999994E-2</v>
          </cell>
          <cell r="AH854">
            <v>0.93533333333333324</v>
          </cell>
          <cell r="AI854">
            <v>1.0166666666666666</v>
          </cell>
          <cell r="AJ854">
            <v>9530</v>
          </cell>
          <cell r="AK854">
            <v>9530</v>
          </cell>
          <cell r="AL854" t="str">
            <v>0,0048(0,0023;0,0025)</v>
          </cell>
          <cell r="AM854" t="str">
            <v>túi ba biên</v>
          </cell>
          <cell r="AN854">
            <v>230</v>
          </cell>
          <cell r="AO854" t="str">
            <v>Công ty thuốc sâu CEC</v>
          </cell>
          <cell r="AP854">
            <v>0</v>
          </cell>
          <cell r="AQ854">
            <v>0</v>
          </cell>
          <cell r="AR854">
            <v>0</v>
          </cell>
          <cell r="AS854">
            <v>0</v>
          </cell>
          <cell r="AT854">
            <v>0</v>
          </cell>
          <cell r="AU854">
            <v>0</v>
          </cell>
          <cell r="AV854">
            <v>0</v>
          </cell>
          <cell r="AW854">
            <v>0</v>
          </cell>
          <cell r="AX854">
            <v>0</v>
          </cell>
          <cell r="AY854">
            <v>0</v>
          </cell>
          <cell r="AZ854">
            <v>0</v>
          </cell>
          <cell r="BA854">
            <v>0</v>
          </cell>
          <cell r="BB854">
            <v>0</v>
          </cell>
          <cell r="BC854">
            <v>0</v>
          </cell>
          <cell r="BD854" t="e">
            <v>#N/A</v>
          </cell>
        </row>
        <row r="855">
          <cell r="A855" t="str">
            <v>sp 1366</v>
          </cell>
          <cell r="B855">
            <v>0</v>
          </cell>
          <cell r="C855">
            <v>0</v>
          </cell>
          <cell r="D855">
            <v>0</v>
          </cell>
          <cell r="E855">
            <v>0</v>
          </cell>
          <cell r="F855">
            <v>0</v>
          </cell>
          <cell r="G855" t="str">
            <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t="str">
            <v>21020563-1</v>
          </cell>
          <cell r="AQ855" t="str">
            <v>21020563-2</v>
          </cell>
          <cell r="AR855" t="str">
            <v>21020563-3</v>
          </cell>
          <cell r="AS855" t="str">
            <v>21020563-4</v>
          </cell>
          <cell r="AT855" t="str">
            <v>21020563-5</v>
          </cell>
          <cell r="AU855">
            <v>0</v>
          </cell>
          <cell r="AV855">
            <v>0</v>
          </cell>
          <cell r="AW855">
            <v>0</v>
          </cell>
          <cell r="AX855">
            <v>0</v>
          </cell>
          <cell r="AY855" t="str">
            <v>480x870</v>
          </cell>
          <cell r="AZ855">
            <v>0</v>
          </cell>
          <cell r="BA855">
            <v>0</v>
          </cell>
          <cell r="BB855">
            <v>0</v>
          </cell>
          <cell r="BC855">
            <v>0</v>
          </cell>
          <cell r="BD855" t="e">
            <v>#N/A</v>
          </cell>
        </row>
        <row r="856">
          <cell r="A856" t="str">
            <v>sp 1367</v>
          </cell>
          <cell r="B856" t="str">
            <v>Cuộn thuốc lionkinh 50WG hiệu rồng đỏ 10gr Hà Thái</v>
          </cell>
          <cell r="C856">
            <v>3.0020000000000002</v>
          </cell>
          <cell r="D856">
            <v>3</v>
          </cell>
          <cell r="E856" t="str">
            <v>PET 12x650</v>
          </cell>
          <cell r="F856">
            <v>6</v>
          </cell>
          <cell r="G856" t="str">
            <v>PET</v>
          </cell>
          <cell r="H856">
            <v>0.1</v>
          </cell>
          <cell r="I856">
            <v>0.70099999999999996</v>
          </cell>
          <cell r="J856">
            <v>0.1</v>
          </cell>
          <cell r="K856">
            <v>0.1</v>
          </cell>
          <cell r="L856">
            <v>0.1</v>
          </cell>
          <cell r="M856">
            <v>0.80100000000000005</v>
          </cell>
          <cell r="N856">
            <v>0</v>
          </cell>
          <cell r="O856">
            <v>0</v>
          </cell>
          <cell r="P856">
            <v>1.1000000000000001</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t="str">
            <v>MPET 12x650</v>
          </cell>
          <cell r="AF856" t="str">
            <v>PE 75x650</v>
          </cell>
          <cell r="AG856">
            <v>6.6933750000000014E-2</v>
          </cell>
          <cell r="AH856">
            <v>1.0666666666666667</v>
          </cell>
          <cell r="AI856">
            <v>1.0666666666666667</v>
          </cell>
          <cell r="AJ856">
            <v>9530</v>
          </cell>
          <cell r="AK856">
            <v>9530</v>
          </cell>
          <cell r="AL856" t="str">
            <v>0,005(0,0025;0,0025)</v>
          </cell>
          <cell r="AM856" t="str">
            <v>dạng cuộn 500m</v>
          </cell>
          <cell r="AN856">
            <v>210</v>
          </cell>
          <cell r="AO856" t="str">
            <v>Công ty Hà Thái</v>
          </cell>
          <cell r="AP856" t="str">
            <v>21020586-1</v>
          </cell>
          <cell r="AQ856" t="str">
            <v>21020586-2</v>
          </cell>
          <cell r="AR856" t="str">
            <v>21020586-3</v>
          </cell>
          <cell r="AS856" t="str">
            <v>21020586-4</v>
          </cell>
          <cell r="AT856" t="str">
            <v>21020586-5</v>
          </cell>
          <cell r="AU856" t="str">
            <v>21020586-6</v>
          </cell>
          <cell r="AV856">
            <v>0</v>
          </cell>
          <cell r="AW856">
            <v>0</v>
          </cell>
          <cell r="AX856">
            <v>0</v>
          </cell>
          <cell r="AY856" t="str">
            <v>435x870</v>
          </cell>
          <cell r="AZ856">
            <v>0</v>
          </cell>
          <cell r="BA856">
            <v>0</v>
          </cell>
          <cell r="BB856">
            <v>0</v>
          </cell>
          <cell r="BC856">
            <v>0</v>
          </cell>
          <cell r="BD856" t="e">
            <v>#N/A</v>
          </cell>
        </row>
        <row r="857">
          <cell r="A857" t="str">
            <v>sp 1368</v>
          </cell>
          <cell r="B857" t="str">
            <v>Túi nước giặt xả filine 2000ml mã vạch 365 Thuận Phát</v>
          </cell>
          <cell r="C857">
            <v>9.1</v>
          </cell>
          <cell r="D857">
            <v>1</v>
          </cell>
          <cell r="E857" t="str">
            <v>PET 12x790</v>
          </cell>
          <cell r="F857">
            <v>6</v>
          </cell>
          <cell r="G857" t="str">
            <v>PET</v>
          </cell>
          <cell r="H857">
            <v>0.433</v>
          </cell>
          <cell r="I857">
            <v>4.3330000000000002</v>
          </cell>
          <cell r="J857">
            <v>0.217</v>
          </cell>
          <cell r="K857">
            <v>3.4670000000000001</v>
          </cell>
          <cell r="L857">
            <v>0.433</v>
          </cell>
          <cell r="M857">
            <v>0</v>
          </cell>
          <cell r="N857">
            <v>0</v>
          </cell>
          <cell r="O857">
            <v>0</v>
          </cell>
          <cell r="P857">
            <v>0</v>
          </cell>
          <cell r="Q857">
            <v>0</v>
          </cell>
          <cell r="R857">
            <v>0.217</v>
          </cell>
          <cell r="S857">
            <v>0</v>
          </cell>
          <cell r="T857">
            <v>0</v>
          </cell>
          <cell r="U857">
            <v>0</v>
          </cell>
          <cell r="V857">
            <v>0</v>
          </cell>
          <cell r="W857">
            <v>0</v>
          </cell>
          <cell r="X857">
            <v>0</v>
          </cell>
          <cell r="Y857">
            <v>0</v>
          </cell>
          <cell r="Z857">
            <v>0</v>
          </cell>
          <cell r="AA857">
            <v>0</v>
          </cell>
          <cell r="AB857">
            <v>0</v>
          </cell>
          <cell r="AC857">
            <v>0</v>
          </cell>
          <cell r="AD857">
            <v>0</v>
          </cell>
          <cell r="AE857" t="str">
            <v>PA 15x790</v>
          </cell>
          <cell r="AF857" t="str">
            <v>PE sứ 160x790</v>
          </cell>
          <cell r="AG857">
            <v>0.14445150000000001</v>
          </cell>
          <cell r="AH857">
            <v>1.56</v>
          </cell>
          <cell r="AI857">
            <v>2.08</v>
          </cell>
          <cell r="AJ857">
            <v>9530</v>
          </cell>
          <cell r="AK857">
            <v>9530</v>
          </cell>
          <cell r="AL857" t="str">
            <v>0,007(0,003;0,004)</v>
          </cell>
          <cell r="AM857" t="str">
            <v>túi đáy đứng</v>
          </cell>
          <cell r="AN857">
            <v>225</v>
          </cell>
          <cell r="AO857" t="str">
            <v>Công ty TNHH Hóa Mỹ Phẩm Quốc tế Thuận Phát</v>
          </cell>
          <cell r="AP857" t="e">
            <v>#N/A</v>
          </cell>
          <cell r="AQ857" t="e">
            <v>#N/A</v>
          </cell>
          <cell r="AR857" t="e">
            <v>#N/A</v>
          </cell>
          <cell r="AS857" t="e">
            <v>#N/A</v>
          </cell>
          <cell r="AT857" t="e">
            <v>#N/A</v>
          </cell>
          <cell r="AU857" t="e">
            <v>#N/A</v>
          </cell>
          <cell r="AV857" t="e">
            <v>#N/A</v>
          </cell>
          <cell r="AW857" t="e">
            <v>#N/A</v>
          </cell>
          <cell r="AX857" t="e">
            <v>#N/A</v>
          </cell>
          <cell r="AY857" t="e">
            <v>#N/A</v>
          </cell>
          <cell r="AZ857" t="e">
            <v>#N/A</v>
          </cell>
          <cell r="BA857">
            <v>0</v>
          </cell>
          <cell r="BB857">
            <v>0</v>
          </cell>
          <cell r="BC857">
            <v>0</v>
          </cell>
          <cell r="BD857" t="e">
            <v>#N/A</v>
          </cell>
        </row>
        <row r="858">
          <cell r="A858" t="str">
            <v>sp 1369</v>
          </cell>
          <cell r="B858" t="str">
            <v>Túi nước giặt xả filine 2000ml mã vạch 358 Thuận Phát</v>
          </cell>
          <cell r="C858">
            <v>18.918000000000003</v>
          </cell>
          <cell r="D858">
            <v>1</v>
          </cell>
          <cell r="E858" t="str">
            <v>PET 12x790</v>
          </cell>
          <cell r="F858">
            <v>6</v>
          </cell>
          <cell r="G858" t="str">
            <v>PET</v>
          </cell>
          <cell r="H858">
            <v>0.65900000000000003</v>
          </cell>
          <cell r="I858">
            <v>9.6660000000000004</v>
          </cell>
          <cell r="J858">
            <v>0.01</v>
          </cell>
          <cell r="K858">
            <v>4.6130000000000004</v>
          </cell>
          <cell r="L858">
            <v>0.01</v>
          </cell>
          <cell r="M858">
            <v>3.95</v>
          </cell>
          <cell r="N858">
            <v>0</v>
          </cell>
          <cell r="O858">
            <v>0</v>
          </cell>
          <cell r="P858">
            <v>0</v>
          </cell>
          <cell r="Q858">
            <v>0</v>
          </cell>
          <cell r="R858">
            <v>0.01</v>
          </cell>
          <cell r="S858">
            <v>0</v>
          </cell>
          <cell r="T858">
            <v>0</v>
          </cell>
          <cell r="U858">
            <v>0</v>
          </cell>
          <cell r="V858">
            <v>0</v>
          </cell>
          <cell r="W858">
            <v>0</v>
          </cell>
          <cell r="X858">
            <v>0</v>
          </cell>
          <cell r="Y858">
            <v>0</v>
          </cell>
          <cell r="Z858">
            <v>0</v>
          </cell>
          <cell r="AA858">
            <v>0</v>
          </cell>
          <cell r="AB858">
            <v>0</v>
          </cell>
          <cell r="AC858">
            <v>0</v>
          </cell>
          <cell r="AD858">
            <v>0</v>
          </cell>
          <cell r="AE858" t="str">
            <v>PA 15x790</v>
          </cell>
          <cell r="AF858" t="str">
            <v>PE sứ 160x790</v>
          </cell>
          <cell r="AG858">
            <v>0.14445150000000001</v>
          </cell>
          <cell r="AH858">
            <v>1.56</v>
          </cell>
          <cell r="AI858">
            <v>2.08</v>
          </cell>
          <cell r="AJ858">
            <v>9530</v>
          </cell>
          <cell r="AK858">
            <v>9530</v>
          </cell>
          <cell r="AL858" t="str">
            <v>0,007(0,003;0,004)</v>
          </cell>
          <cell r="AM858" t="str">
            <v>túi đáy đứng</v>
          </cell>
          <cell r="AN858">
            <v>225</v>
          </cell>
          <cell r="AO858" t="str">
            <v>Công ty TNHH Hóa Mỹ Phẩm Quốc tế Thuận Phát</v>
          </cell>
          <cell r="AP858" t="e">
            <v>#N/A</v>
          </cell>
          <cell r="AQ858" t="e">
            <v>#N/A</v>
          </cell>
          <cell r="AR858" t="e">
            <v>#N/A</v>
          </cell>
          <cell r="AS858" t="e">
            <v>#N/A</v>
          </cell>
          <cell r="AT858" t="e">
            <v>#N/A</v>
          </cell>
          <cell r="AU858" t="e">
            <v>#N/A</v>
          </cell>
          <cell r="AV858" t="e">
            <v>#N/A</v>
          </cell>
          <cell r="AW858" t="e">
            <v>#N/A</v>
          </cell>
          <cell r="AX858" t="e">
            <v>#N/A</v>
          </cell>
          <cell r="AY858" t="e">
            <v>#N/A</v>
          </cell>
          <cell r="AZ858" t="e">
            <v>#N/A</v>
          </cell>
          <cell r="BA858">
            <v>0</v>
          </cell>
          <cell r="BB858">
            <v>0</v>
          </cell>
          <cell r="BC858">
            <v>0</v>
          </cell>
          <cell r="BD858" t="e">
            <v>#N/A</v>
          </cell>
        </row>
        <row r="859">
          <cell r="A859" t="str">
            <v>sp 1370</v>
          </cell>
          <cell r="B859" t="str">
            <v>Túi HCK không in KT 260x360 mã 3084CP</v>
          </cell>
          <cell r="C859">
            <v>0</v>
          </cell>
          <cell r="D859">
            <v>1</v>
          </cell>
          <cell r="E859" t="str">
            <v>PA15x740</v>
          </cell>
          <cell r="F859">
            <v>0</v>
          </cell>
          <cell r="G859" t="str">
            <v>PA1</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t="str">
            <v>PE 55x740</v>
          </cell>
          <cell r="AF859">
            <v>0</v>
          </cell>
          <cell r="AG859">
            <v>5.0412500000000006E-2</v>
          </cell>
          <cell r="AH859">
            <v>0.97333333333333327</v>
          </cell>
          <cell r="AI859">
            <v>0</v>
          </cell>
          <cell r="AJ859">
            <v>9530</v>
          </cell>
          <cell r="AK859">
            <v>0</v>
          </cell>
          <cell r="AL859">
            <v>2E-3</v>
          </cell>
          <cell r="AM859" t="str">
            <v>túi ba biên</v>
          </cell>
          <cell r="AN859">
            <v>260</v>
          </cell>
          <cell r="AO859" t="str">
            <v>Chi nhánh Công ty CP chăn nuôi CP Việt Nam</v>
          </cell>
          <cell r="AP859">
            <v>0</v>
          </cell>
          <cell r="AQ859">
            <v>0</v>
          </cell>
          <cell r="AR859">
            <v>0</v>
          </cell>
          <cell r="AS859">
            <v>0</v>
          </cell>
          <cell r="AT859">
            <v>0</v>
          </cell>
          <cell r="AU859">
            <v>0</v>
          </cell>
          <cell r="AV859">
            <v>0</v>
          </cell>
          <cell r="AW859">
            <v>0</v>
          </cell>
          <cell r="AX859">
            <v>0</v>
          </cell>
          <cell r="AY859">
            <v>0</v>
          </cell>
          <cell r="AZ859">
            <v>0</v>
          </cell>
          <cell r="BA859">
            <v>0</v>
          </cell>
          <cell r="BB859">
            <v>0</v>
          </cell>
          <cell r="BC859">
            <v>0</v>
          </cell>
          <cell r="BD859" t="e">
            <v>#N/A</v>
          </cell>
        </row>
        <row r="860">
          <cell r="A860" t="str">
            <v>sp 1371</v>
          </cell>
          <cell r="B860" t="str">
            <v>Túi nhôm Trasleepy 2 vỉ x 10 viên bao phim Traphaco</v>
          </cell>
          <cell r="C860">
            <v>0.751</v>
          </cell>
          <cell r="D860">
            <v>5</v>
          </cell>
          <cell r="E860" t="str">
            <v>OPP 20x830</v>
          </cell>
          <cell r="F860">
            <v>2</v>
          </cell>
          <cell r="G860" t="str">
            <v>OPP</v>
          </cell>
          <cell r="H860">
            <v>0</v>
          </cell>
          <cell r="I860">
            <v>0</v>
          </cell>
          <cell r="J860">
            <v>0</v>
          </cell>
          <cell r="K860">
            <v>0</v>
          </cell>
          <cell r="L860">
            <v>0</v>
          </cell>
          <cell r="M860">
            <v>0</v>
          </cell>
          <cell r="N860">
            <v>0</v>
          </cell>
          <cell r="O860">
            <v>0.74099999999999999</v>
          </cell>
          <cell r="P860">
            <v>0</v>
          </cell>
          <cell r="Q860">
            <v>0</v>
          </cell>
          <cell r="R860">
            <v>0.01</v>
          </cell>
          <cell r="S860">
            <v>0</v>
          </cell>
          <cell r="T860">
            <v>0</v>
          </cell>
          <cell r="U860">
            <v>0</v>
          </cell>
          <cell r="V860">
            <v>0</v>
          </cell>
          <cell r="W860">
            <v>0</v>
          </cell>
          <cell r="X860">
            <v>0</v>
          </cell>
          <cell r="Y860">
            <v>0</v>
          </cell>
          <cell r="Z860">
            <v>0</v>
          </cell>
          <cell r="AA860">
            <v>0</v>
          </cell>
          <cell r="AB860">
            <v>0</v>
          </cell>
          <cell r="AC860">
            <v>0</v>
          </cell>
          <cell r="AD860">
            <v>0</v>
          </cell>
          <cell r="AE860" t="str">
            <v>Al 6x830</v>
          </cell>
          <cell r="AF860" t="str">
            <v>PE 55x840</v>
          </cell>
          <cell r="AG860">
            <v>7.0828050000000004E-2</v>
          </cell>
          <cell r="AH860">
            <v>1.3666666666666667</v>
          </cell>
          <cell r="AI860">
            <v>1.3666666666666667</v>
          </cell>
          <cell r="AJ860">
            <v>9530</v>
          </cell>
          <cell r="AK860">
            <v>9530</v>
          </cell>
          <cell r="AL860" t="str">
            <v>0,005(0,0025;0,0025)</v>
          </cell>
          <cell r="AM860" t="str">
            <v>túi hàn lưng xếp hông</v>
          </cell>
          <cell r="AN860">
            <v>150</v>
          </cell>
          <cell r="AO860" t="str">
            <v>Công ty CP Traphaco</v>
          </cell>
          <cell r="AP860" t="str">
            <v>21051102-1</v>
          </cell>
          <cell r="AQ860" t="str">
            <v>21051102-2</v>
          </cell>
          <cell r="AR860">
            <v>0</v>
          </cell>
          <cell r="AS860">
            <v>0</v>
          </cell>
          <cell r="AT860">
            <v>0</v>
          </cell>
          <cell r="AU860">
            <v>0</v>
          </cell>
          <cell r="AV860">
            <v>0</v>
          </cell>
          <cell r="AW860">
            <v>0</v>
          </cell>
          <cell r="AX860">
            <v>0</v>
          </cell>
          <cell r="AY860" t="str">
            <v>450x870</v>
          </cell>
          <cell r="AZ860">
            <v>0</v>
          </cell>
          <cell r="BA860">
            <v>0</v>
          </cell>
          <cell r="BB860">
            <v>0</v>
          </cell>
          <cell r="BC860">
            <v>0</v>
          </cell>
          <cell r="BD860" t="e">
            <v>#N/A</v>
          </cell>
        </row>
        <row r="861">
          <cell r="A861" t="str">
            <v>sp 1372</v>
          </cell>
          <cell r="B861" t="str">
            <v>Túi nhôm boganic forte 5 vỉ x 20 viên bao phim Traphaco</v>
          </cell>
          <cell r="C861">
            <v>5.3039999999999994</v>
          </cell>
          <cell r="D861">
            <v>3</v>
          </cell>
          <cell r="E861" t="str">
            <v>OPP 20x716</v>
          </cell>
          <cell r="F861">
            <v>3</v>
          </cell>
          <cell r="G861" t="str">
            <v>OPP</v>
          </cell>
          <cell r="H861">
            <v>0.503</v>
          </cell>
          <cell r="I861">
            <v>0</v>
          </cell>
          <cell r="J861">
            <v>1.0069999999999999</v>
          </cell>
          <cell r="K861">
            <v>0.503</v>
          </cell>
          <cell r="L861">
            <v>2.0129999999999999</v>
          </cell>
          <cell r="M861">
            <v>1.258</v>
          </cell>
          <cell r="N861">
            <v>0</v>
          </cell>
          <cell r="O861">
            <v>0.01</v>
          </cell>
          <cell r="P861">
            <v>0</v>
          </cell>
          <cell r="Q861">
            <v>0</v>
          </cell>
          <cell r="R861">
            <v>0</v>
          </cell>
          <cell r="S861">
            <v>0</v>
          </cell>
          <cell r="T861">
            <v>0.01</v>
          </cell>
          <cell r="U861">
            <v>0</v>
          </cell>
          <cell r="V861">
            <v>0</v>
          </cell>
          <cell r="W861">
            <v>0</v>
          </cell>
          <cell r="X861">
            <v>0</v>
          </cell>
          <cell r="Y861">
            <v>0</v>
          </cell>
          <cell r="Z861">
            <v>0</v>
          </cell>
          <cell r="AA861">
            <v>0</v>
          </cell>
          <cell r="AB861">
            <v>0</v>
          </cell>
          <cell r="AC861">
            <v>0</v>
          </cell>
          <cell r="AD861">
            <v>0</v>
          </cell>
          <cell r="AE861" t="str">
            <v>Al 6x716</v>
          </cell>
          <cell r="AF861" t="str">
            <v>PE 55x726</v>
          </cell>
          <cell r="AG861">
            <v>6.1953210000000002E-2</v>
          </cell>
          <cell r="AH861">
            <v>1.1933333333333334</v>
          </cell>
          <cell r="AI861">
            <v>1.1933333333333334</v>
          </cell>
          <cell r="AJ861">
            <v>9530</v>
          </cell>
          <cell r="AK861">
            <v>9530</v>
          </cell>
          <cell r="AL861" t="str">
            <v>0,005(0,0025;0,0025)</v>
          </cell>
          <cell r="AM861" t="str">
            <v>túi hàn lưng xếp hông</v>
          </cell>
          <cell r="AN861">
            <v>180</v>
          </cell>
          <cell r="AO861" t="str">
            <v>Công ty CP Traphaco</v>
          </cell>
          <cell r="AP861" t="str">
            <v>21040440-1</v>
          </cell>
          <cell r="AQ861" t="str">
            <v>21020566-2</v>
          </cell>
          <cell r="AR861">
            <v>0</v>
          </cell>
          <cell r="AS861">
            <v>0</v>
          </cell>
          <cell r="AT861">
            <v>0</v>
          </cell>
          <cell r="AU861">
            <v>0</v>
          </cell>
          <cell r="AV861">
            <v>0</v>
          </cell>
          <cell r="AW861">
            <v>0</v>
          </cell>
          <cell r="AX861">
            <v>0</v>
          </cell>
          <cell r="AY861" t="str">
            <v>540x870</v>
          </cell>
          <cell r="AZ861">
            <v>0</v>
          </cell>
          <cell r="BA861">
            <v>0</v>
          </cell>
          <cell r="BB861">
            <v>0</v>
          </cell>
          <cell r="BC861">
            <v>0</v>
          </cell>
          <cell r="BD861" t="e">
            <v>#N/A</v>
          </cell>
        </row>
        <row r="862">
          <cell r="A862" t="str">
            <v>sp 1373</v>
          </cell>
          <cell r="B862" t="str">
            <v>Cuộn hạt giống mùng tơi lá to Japan Việt Nhật + cải ngọt cọng xanh A1 Việt Nhật (03SP)</v>
          </cell>
          <cell r="C862">
            <v>7.88</v>
          </cell>
          <cell r="D862">
            <v>3</v>
          </cell>
          <cell r="E862" t="str">
            <v>PET 12x740</v>
          </cell>
          <cell r="F862">
            <v>6</v>
          </cell>
          <cell r="G862" t="str">
            <v>PET</v>
          </cell>
          <cell r="H862">
            <v>8.7999999999999995E-2</v>
          </cell>
          <cell r="I862">
            <v>3.589</v>
          </cell>
          <cell r="J862">
            <v>8.7999999999999995E-2</v>
          </cell>
          <cell r="K862">
            <v>8.7999999999999995E-2</v>
          </cell>
          <cell r="L862">
            <v>2.8010000000000002</v>
          </cell>
          <cell r="M862">
            <v>1.226</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t="str">
            <v>MPET 12x740</v>
          </cell>
          <cell r="AF862" t="str">
            <v>PE 85x740</v>
          </cell>
          <cell r="AG862">
            <v>7.0614500000000011E-2</v>
          </cell>
          <cell r="AH862">
            <v>1.1193333333333333</v>
          </cell>
          <cell r="AI862">
            <v>1.1193333333333333</v>
          </cell>
          <cell r="AJ862">
            <v>9530</v>
          </cell>
          <cell r="AK862">
            <v>9530</v>
          </cell>
          <cell r="AL862" t="str">
            <v>0,0046(0,0023;0,0023)</v>
          </cell>
          <cell r="AM862" t="str">
            <v>dạng cuộn 700m</v>
          </cell>
          <cell r="AN862">
            <v>240</v>
          </cell>
          <cell r="AO862" t="str">
            <v>Công ty TNHH SX&amp;TM Việt Nhật</v>
          </cell>
          <cell r="AP862" t="str">
            <v>21030143-1</v>
          </cell>
          <cell r="AQ862" t="str">
            <v>21030143-2</v>
          </cell>
          <cell r="AR862" t="str">
            <v>21030143-3</v>
          </cell>
          <cell r="AS862" t="str">
            <v>21030143-4</v>
          </cell>
          <cell r="AT862" t="str">
            <v>21030143-5</v>
          </cell>
          <cell r="AU862" t="str">
            <v>21030143-6</v>
          </cell>
          <cell r="AV862">
            <v>0</v>
          </cell>
          <cell r="AW862">
            <v>0</v>
          </cell>
          <cell r="AX862">
            <v>0</v>
          </cell>
          <cell r="AY862" t="str">
            <v>540x870</v>
          </cell>
          <cell r="AZ862">
            <v>0</v>
          </cell>
          <cell r="BA862">
            <v>0</v>
          </cell>
          <cell r="BB862">
            <v>0</v>
          </cell>
          <cell r="BC862">
            <v>0</v>
          </cell>
          <cell r="BD862" t="e">
            <v>#N/A</v>
          </cell>
        </row>
        <row r="863">
          <cell r="A863" t="str">
            <v>sp 1374</v>
          </cell>
          <cell r="B863" t="str">
            <v>Túi lúa bắc thơm 7 XN1 bạc lá 1kg Thái Bình</v>
          </cell>
          <cell r="C863">
            <v>6.9590000000000005</v>
          </cell>
          <cell r="D863">
            <v>2</v>
          </cell>
          <cell r="E863" t="str">
            <v>PET 12x900</v>
          </cell>
          <cell r="F863">
            <v>2</v>
          </cell>
          <cell r="G863" t="str">
            <v>PET</v>
          </cell>
          <cell r="H863">
            <v>0.46600000000000003</v>
          </cell>
          <cell r="I863">
            <v>3.9039999999999999</v>
          </cell>
          <cell r="J863">
            <v>0.251</v>
          </cell>
          <cell r="K863">
            <v>0.53700000000000003</v>
          </cell>
          <cell r="L863">
            <v>1.1100000000000001</v>
          </cell>
          <cell r="M863">
            <v>0</v>
          </cell>
          <cell r="N863">
            <v>0</v>
          </cell>
          <cell r="O863">
            <v>0.68100000000000005</v>
          </cell>
          <cell r="P863">
            <v>0</v>
          </cell>
          <cell r="Q863">
            <v>0</v>
          </cell>
          <cell r="R863">
            <v>0</v>
          </cell>
          <cell r="S863">
            <v>0</v>
          </cell>
          <cell r="T863">
            <v>0.01</v>
          </cell>
          <cell r="U863">
            <v>0</v>
          </cell>
          <cell r="V863">
            <v>0</v>
          </cell>
          <cell r="W863">
            <v>0</v>
          </cell>
          <cell r="X863">
            <v>0</v>
          </cell>
          <cell r="Y863">
            <v>0</v>
          </cell>
          <cell r="Z863">
            <v>0</v>
          </cell>
          <cell r="AA863">
            <v>0</v>
          </cell>
          <cell r="AB863">
            <v>0</v>
          </cell>
          <cell r="AC863">
            <v>0</v>
          </cell>
          <cell r="AD863">
            <v>0</v>
          </cell>
          <cell r="AE863" t="str">
            <v>PE 82x900</v>
          </cell>
          <cell r="AF863">
            <v>0</v>
          </cell>
          <cell r="AG863">
            <v>8.3385000000000001E-2</v>
          </cell>
          <cell r="AH863">
            <v>1.3646666666666665</v>
          </cell>
          <cell r="AI863">
            <v>0</v>
          </cell>
          <cell r="AJ863">
            <v>9530</v>
          </cell>
          <cell r="AK863">
            <v>0</v>
          </cell>
          <cell r="AL863">
            <v>2.3E-3</v>
          </cell>
          <cell r="AM863" t="str">
            <v>túi ba biên hoặc cuộn 800m</v>
          </cell>
          <cell r="AN863">
            <v>310</v>
          </cell>
          <cell r="AO863" t="str">
            <v>Công ty Thái Bình</v>
          </cell>
          <cell r="AP863" t="str">
            <v>21030424-1</v>
          </cell>
          <cell r="AQ863" t="str">
            <v>21030424-2</v>
          </cell>
          <cell r="AR863" t="str">
            <v>21030424-3</v>
          </cell>
          <cell r="AS863" t="str">
            <v>21030424-4</v>
          </cell>
          <cell r="AT863" t="str">
            <v>21030424-5</v>
          </cell>
          <cell r="AU863" t="str">
            <v>21030424-6</v>
          </cell>
          <cell r="AV863">
            <v>0</v>
          </cell>
          <cell r="AW863" t="str">
            <v>20110138-8</v>
          </cell>
          <cell r="AX863">
            <v>0</v>
          </cell>
          <cell r="AY863" t="str">
            <v>620x1100</v>
          </cell>
          <cell r="AZ863">
            <v>0</v>
          </cell>
          <cell r="BA863">
            <v>0</v>
          </cell>
          <cell r="BB863">
            <v>0</v>
          </cell>
          <cell r="BC863">
            <v>0</v>
          </cell>
          <cell r="BD863" t="e">
            <v>#N/A</v>
          </cell>
        </row>
        <row r="864">
          <cell r="A864" t="str">
            <v>sp 1375</v>
          </cell>
          <cell r="B864" t="str">
            <v>Túi lúa bắc thơm 7 XN1 bạc lá 40kg Thái Bình</v>
          </cell>
          <cell r="C864">
            <v>7.5110000000000001</v>
          </cell>
          <cell r="D864">
            <v>1</v>
          </cell>
          <cell r="E864" t="str">
            <v>OPP 20x690</v>
          </cell>
          <cell r="F864">
            <v>6</v>
          </cell>
          <cell r="G864" t="str">
            <v>OPP</v>
          </cell>
          <cell r="H864">
            <v>3.2490000000000001</v>
          </cell>
          <cell r="I864">
            <v>0</v>
          </cell>
          <cell r="J864">
            <v>0.60899999999999999</v>
          </cell>
          <cell r="K864">
            <v>1.42</v>
          </cell>
          <cell r="L864">
            <v>0.40600000000000003</v>
          </cell>
          <cell r="M864">
            <v>0</v>
          </cell>
          <cell r="N864">
            <v>0</v>
          </cell>
          <cell r="O864">
            <v>1.0149999999999999</v>
          </cell>
          <cell r="P864">
            <v>0</v>
          </cell>
          <cell r="Q864">
            <v>0</v>
          </cell>
          <cell r="R864">
            <v>0</v>
          </cell>
          <cell r="S864">
            <v>0</v>
          </cell>
          <cell r="T864">
            <v>0.81200000000000006</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t="str">
            <v>dạng cuộn 6,000m</v>
          </cell>
          <cell r="AN864">
            <v>670</v>
          </cell>
          <cell r="AO864" t="str">
            <v>Công ty Thái Bình</v>
          </cell>
          <cell r="AP864" t="str">
            <v>21030423-1</v>
          </cell>
          <cell r="AQ864" t="str">
            <v>21030423-2</v>
          </cell>
          <cell r="AR864" t="str">
            <v>21030423-3</v>
          </cell>
          <cell r="AS864" t="str">
            <v>21030423-4</v>
          </cell>
          <cell r="AT864" t="str">
            <v>21030423-5</v>
          </cell>
          <cell r="AU864" t="str">
            <v>21030423-6</v>
          </cell>
          <cell r="AV864">
            <v>0</v>
          </cell>
          <cell r="AW864">
            <v>0</v>
          </cell>
          <cell r="AX864">
            <v>0</v>
          </cell>
          <cell r="AY864" t="str">
            <v>850x1100</v>
          </cell>
          <cell r="AZ864">
            <v>0</v>
          </cell>
          <cell r="BA864">
            <v>0</v>
          </cell>
          <cell r="BB864">
            <v>0</v>
          </cell>
          <cell r="BC864">
            <v>0</v>
          </cell>
          <cell r="BD864" t="e">
            <v>#N/A</v>
          </cell>
        </row>
        <row r="865">
          <cell r="A865" t="str">
            <v>sp 1376</v>
          </cell>
          <cell r="B865" t="str">
            <v>Túi zipper đựng khẩu trang 4 lớp 20 chiếc -orange</v>
          </cell>
          <cell r="C865">
            <v>11.471</v>
          </cell>
          <cell r="D865">
            <v>1</v>
          </cell>
          <cell r="E865" t="str">
            <v>OPP 30x580</v>
          </cell>
          <cell r="F865">
            <v>3</v>
          </cell>
          <cell r="G865" t="str">
            <v>OPP</v>
          </cell>
          <cell r="H865">
            <v>0</v>
          </cell>
          <cell r="I865">
            <v>8.0990000000000002</v>
          </cell>
          <cell r="J865">
            <v>0.76400000000000001</v>
          </cell>
          <cell r="K865">
            <v>0</v>
          </cell>
          <cell r="L865">
            <v>0.91700000000000004</v>
          </cell>
          <cell r="M865">
            <v>0.91700000000000004</v>
          </cell>
          <cell r="N865">
            <v>0</v>
          </cell>
          <cell r="O865">
            <v>0.01</v>
          </cell>
          <cell r="P865">
            <v>0</v>
          </cell>
          <cell r="Q865">
            <v>0</v>
          </cell>
          <cell r="R865">
            <v>0.61099999999999999</v>
          </cell>
          <cell r="S865">
            <v>0</v>
          </cell>
          <cell r="T865">
            <v>0</v>
          </cell>
          <cell r="U865">
            <v>0</v>
          </cell>
          <cell r="V865">
            <v>0</v>
          </cell>
          <cell r="W865">
            <v>0.153</v>
          </cell>
          <cell r="X865">
            <v>0</v>
          </cell>
          <cell r="Y865">
            <v>0</v>
          </cell>
          <cell r="Z865">
            <v>0</v>
          </cell>
          <cell r="AA865">
            <v>0</v>
          </cell>
          <cell r="AB865">
            <v>0</v>
          </cell>
          <cell r="AC865">
            <v>0</v>
          </cell>
          <cell r="AD865">
            <v>0</v>
          </cell>
          <cell r="AE865" t="str">
            <v>PE 30x580</v>
          </cell>
          <cell r="AF865">
            <v>0</v>
          </cell>
          <cell r="AG865">
            <v>3.1378499999999997E-2</v>
          </cell>
          <cell r="AH865">
            <v>1.1399999999999999</v>
          </cell>
          <cell r="AI865">
            <v>0</v>
          </cell>
          <cell r="AJ865">
            <v>9530</v>
          </cell>
          <cell r="AK865">
            <v>0</v>
          </cell>
          <cell r="AL865">
            <v>3.0000000000000001E-3</v>
          </cell>
          <cell r="AM865" t="str">
            <v>túi ba biên zipper</v>
          </cell>
          <cell r="AN865">
            <v>160</v>
          </cell>
          <cell r="AO865" t="str">
            <v>Công ty TNHH Dược Phẩm Orange</v>
          </cell>
          <cell r="AP865" t="str">
            <v>21030372-1</v>
          </cell>
          <cell r="AQ865" t="str">
            <v>21030372-2</v>
          </cell>
          <cell r="AR865" t="str">
            <v>21030372-3</v>
          </cell>
          <cell r="AS865">
            <v>0</v>
          </cell>
          <cell r="AT865">
            <v>0</v>
          </cell>
          <cell r="AU865">
            <v>0</v>
          </cell>
          <cell r="AV865">
            <v>0</v>
          </cell>
          <cell r="AW865">
            <v>0</v>
          </cell>
          <cell r="AX865">
            <v>0</v>
          </cell>
          <cell r="AY865" t="str">
            <v>480x870</v>
          </cell>
          <cell r="AZ865">
            <v>0</v>
          </cell>
          <cell r="BA865">
            <v>0</v>
          </cell>
          <cell r="BB865">
            <v>0</v>
          </cell>
          <cell r="BC865">
            <v>0</v>
          </cell>
          <cell r="BD865" t="e">
            <v>#N/A</v>
          </cell>
        </row>
        <row r="866">
          <cell r="A866" t="str">
            <v>sp 1377</v>
          </cell>
          <cell r="B866" t="str">
            <v>Túi nhôm totim extra 2 vỉ x 20 viên bao phim Traphaco</v>
          </cell>
          <cell r="C866">
            <v>13.346</v>
          </cell>
          <cell r="D866">
            <v>4</v>
          </cell>
          <cell r="E866" t="str">
            <v>OPP 20x800</v>
          </cell>
          <cell r="F866">
            <v>2</v>
          </cell>
          <cell r="G866" t="str">
            <v>OPP</v>
          </cell>
          <cell r="H866">
            <v>0</v>
          </cell>
          <cell r="I866">
            <v>0</v>
          </cell>
          <cell r="J866">
            <v>0.88800000000000001</v>
          </cell>
          <cell r="K866">
            <v>4.4420000000000002</v>
          </cell>
          <cell r="L866">
            <v>5.3310000000000004</v>
          </cell>
          <cell r="M866">
            <v>1.7769999999999999</v>
          </cell>
          <cell r="N866">
            <v>0</v>
          </cell>
          <cell r="O866">
            <v>0.01</v>
          </cell>
          <cell r="P866">
            <v>0.88800000000000001</v>
          </cell>
          <cell r="Q866">
            <v>0</v>
          </cell>
          <cell r="R866">
            <v>0</v>
          </cell>
          <cell r="S866">
            <v>0</v>
          </cell>
          <cell r="T866">
            <v>0.01</v>
          </cell>
          <cell r="U866">
            <v>0</v>
          </cell>
          <cell r="V866">
            <v>0</v>
          </cell>
          <cell r="W866">
            <v>0</v>
          </cell>
          <cell r="X866">
            <v>0</v>
          </cell>
          <cell r="Y866">
            <v>0</v>
          </cell>
          <cell r="Z866">
            <v>0</v>
          </cell>
          <cell r="AA866">
            <v>0</v>
          </cell>
          <cell r="AB866">
            <v>0</v>
          </cell>
          <cell r="AC866">
            <v>0</v>
          </cell>
          <cell r="AD866">
            <v>0</v>
          </cell>
          <cell r="AE866" t="str">
            <v>Al 6x800</v>
          </cell>
          <cell r="AF866" t="str">
            <v>PE 55x810</v>
          </cell>
          <cell r="AG866">
            <v>6.8268000000000009E-2</v>
          </cell>
          <cell r="AH866">
            <v>1.3166666666666669</v>
          </cell>
          <cell r="AI866">
            <v>1.3166666666666669</v>
          </cell>
          <cell r="AJ866">
            <v>9530</v>
          </cell>
          <cell r="AK866">
            <v>9530</v>
          </cell>
          <cell r="AL866" t="str">
            <v>0,005(0,0025;0,0025)</v>
          </cell>
          <cell r="AM866" t="str">
            <v>túi hàn lưng xếp hông</v>
          </cell>
          <cell r="AN866">
            <v>160</v>
          </cell>
          <cell r="AO866" t="str">
            <v>Công ty CP Traphaco</v>
          </cell>
          <cell r="AP866" t="str">
            <v>21030505-1</v>
          </cell>
          <cell r="AQ866" t="str">
            <v>21030505-2</v>
          </cell>
          <cell r="AR866">
            <v>0</v>
          </cell>
          <cell r="AS866">
            <v>0</v>
          </cell>
          <cell r="AT866">
            <v>0</v>
          </cell>
          <cell r="AU866">
            <v>0</v>
          </cell>
          <cell r="AV866">
            <v>0</v>
          </cell>
          <cell r="AW866">
            <v>0</v>
          </cell>
          <cell r="AX866">
            <v>0</v>
          </cell>
          <cell r="AY866" t="str">
            <v>480x870</v>
          </cell>
          <cell r="AZ866">
            <v>0</v>
          </cell>
          <cell r="BA866">
            <v>0</v>
          </cell>
          <cell r="BB866">
            <v>0</v>
          </cell>
          <cell r="BC866">
            <v>0</v>
          </cell>
          <cell r="BD866" t="e">
            <v>#N/A</v>
          </cell>
        </row>
        <row r="867">
          <cell r="A867" t="str">
            <v>sp 1378</v>
          </cell>
          <cell r="B867" t="str">
            <v>Cuộn bột giặt siêu sạch 2kg - Đức Giang</v>
          </cell>
          <cell r="C867">
            <v>2.4350000000000001</v>
          </cell>
          <cell r="D867">
            <v>1</v>
          </cell>
          <cell r="E867" t="str">
            <v>PET 12x590</v>
          </cell>
          <cell r="F867">
            <v>6</v>
          </cell>
          <cell r="G867" t="str">
            <v>PET</v>
          </cell>
          <cell r="H867">
            <v>0</v>
          </cell>
          <cell r="I867">
            <v>6.0999999999999999E-2</v>
          </cell>
          <cell r="J867">
            <v>0</v>
          </cell>
          <cell r="K867">
            <v>0.7</v>
          </cell>
          <cell r="L867">
            <v>0.152</v>
          </cell>
          <cell r="M867">
            <v>0</v>
          </cell>
          <cell r="N867">
            <v>0</v>
          </cell>
          <cell r="O867">
            <v>0</v>
          </cell>
          <cell r="P867">
            <v>1.522</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t="str">
            <v>PE sứ 90x590</v>
          </cell>
          <cell r="AF867">
            <v>0</v>
          </cell>
          <cell r="AG867">
            <v>5.9294999999999994E-2</v>
          </cell>
          <cell r="AH867">
            <v>1.1599999999999999</v>
          </cell>
          <cell r="AI867">
            <v>0</v>
          </cell>
          <cell r="AJ867">
            <v>9530</v>
          </cell>
          <cell r="AK867">
            <v>0</v>
          </cell>
          <cell r="AL867">
            <v>3.0000000000000001E-3</v>
          </cell>
          <cell r="AM867" t="str">
            <v>dạng cuộn 1,000m</v>
          </cell>
          <cell r="AN867">
            <v>570</v>
          </cell>
          <cell r="AO867" t="str">
            <v>Công ty Cổ Phần Tập Đoàn Hóa Chất Đức Giang</v>
          </cell>
          <cell r="AP867" t="str">
            <v>21030467-1</v>
          </cell>
          <cell r="AQ867" t="str">
            <v>21030467-2</v>
          </cell>
          <cell r="AR867" t="str">
            <v>21030467-3</v>
          </cell>
          <cell r="AS867" t="str">
            <v>21030467-4</v>
          </cell>
          <cell r="AT867" t="str">
            <v>21030467-5</v>
          </cell>
          <cell r="AU867" t="str">
            <v>21030467-6</v>
          </cell>
          <cell r="AV867">
            <v>0</v>
          </cell>
          <cell r="AW867">
            <v>0</v>
          </cell>
          <cell r="AX867">
            <v>0</v>
          </cell>
          <cell r="AY867" t="str">
            <v>750x870</v>
          </cell>
          <cell r="AZ867">
            <v>0</v>
          </cell>
          <cell r="BA867">
            <v>0</v>
          </cell>
          <cell r="BB867">
            <v>0</v>
          </cell>
          <cell r="BC867">
            <v>0</v>
          </cell>
          <cell r="BD867" t="e">
            <v>#N/A</v>
          </cell>
        </row>
        <row r="868">
          <cell r="A868" t="str">
            <v>sp 1379</v>
          </cell>
          <cell r="B868" t="str">
            <v>Cuộn nhôm boganic 5 vỉ x 20 viên bao đường Traphaco</v>
          </cell>
          <cell r="C868">
            <v>10.025</v>
          </cell>
          <cell r="D868">
            <v>3</v>
          </cell>
          <cell r="E868" t="str">
            <v>PET 12x690</v>
          </cell>
          <cell r="F868">
            <v>2</v>
          </cell>
          <cell r="G868" t="str">
            <v>PET</v>
          </cell>
          <cell r="H868">
            <v>0.626</v>
          </cell>
          <cell r="I868">
            <v>4.3789999999999996</v>
          </cell>
          <cell r="J868">
            <v>0.01</v>
          </cell>
          <cell r="K868">
            <v>1.25</v>
          </cell>
          <cell r="L868">
            <v>1.25</v>
          </cell>
          <cell r="M868">
            <v>0</v>
          </cell>
          <cell r="N868">
            <v>0</v>
          </cell>
          <cell r="O868">
            <v>2.5</v>
          </cell>
          <cell r="P868">
            <v>0</v>
          </cell>
          <cell r="Q868">
            <v>0</v>
          </cell>
          <cell r="R868">
            <v>0</v>
          </cell>
          <cell r="S868">
            <v>0</v>
          </cell>
          <cell r="T868">
            <v>0.01</v>
          </cell>
          <cell r="U868">
            <v>0</v>
          </cell>
          <cell r="V868">
            <v>0</v>
          </cell>
          <cell r="W868">
            <v>0</v>
          </cell>
          <cell r="X868">
            <v>0</v>
          </cell>
          <cell r="Y868">
            <v>0</v>
          </cell>
          <cell r="Z868">
            <v>0</v>
          </cell>
          <cell r="AA868">
            <v>0</v>
          </cell>
          <cell r="AB868">
            <v>0</v>
          </cell>
          <cell r="AC868">
            <v>0</v>
          </cell>
          <cell r="AD868">
            <v>0</v>
          </cell>
          <cell r="AE868" t="str">
            <v>Al 6x690</v>
          </cell>
          <cell r="AF868" t="str">
            <v>PE 65x690</v>
          </cell>
          <cell r="AG868">
            <v>6.4297649999999998E-2</v>
          </cell>
          <cell r="AH868">
            <v>1.1333333333333335</v>
          </cell>
          <cell r="AI868">
            <v>1.1333333333333335</v>
          </cell>
          <cell r="AJ868">
            <v>9530</v>
          </cell>
          <cell r="AK868">
            <v>9530</v>
          </cell>
          <cell r="AL868" t="str">
            <v>0,005(0,0025;0,0025)</v>
          </cell>
          <cell r="AM868" t="str">
            <v>dạng cuộn 1,000m</v>
          </cell>
          <cell r="AN868">
            <v>224</v>
          </cell>
          <cell r="AO868" t="str">
            <v>Công ty Cổ Phần Traphaco</v>
          </cell>
          <cell r="AP868" t="str">
            <v>21030925-1</v>
          </cell>
          <cell r="AQ868" t="str">
            <v>21030925-2</v>
          </cell>
          <cell r="AR868">
            <v>0</v>
          </cell>
          <cell r="AS868">
            <v>0</v>
          </cell>
          <cell r="AT868">
            <v>0</v>
          </cell>
          <cell r="AU868">
            <v>0</v>
          </cell>
          <cell r="AV868">
            <v>0</v>
          </cell>
          <cell r="AW868">
            <v>0</v>
          </cell>
          <cell r="AX868">
            <v>0</v>
          </cell>
          <cell r="AY868" t="str">
            <v>510x870</v>
          </cell>
          <cell r="AZ868">
            <v>0</v>
          </cell>
          <cell r="BA868">
            <v>0</v>
          </cell>
          <cell r="BB868">
            <v>0</v>
          </cell>
          <cell r="BC868">
            <v>0</v>
          </cell>
          <cell r="BD868" t="e">
            <v>#N/A</v>
          </cell>
        </row>
        <row r="869">
          <cell r="A869" t="str">
            <v>sp 1380</v>
          </cell>
          <cell r="B869" t="str">
            <v>Túi thuốc thú y chung 100gr Marphavet</v>
          </cell>
          <cell r="C869">
            <v>4.6270000000000007</v>
          </cell>
          <cell r="D869">
            <v>3</v>
          </cell>
          <cell r="E869" t="str">
            <v>OPP 30x770</v>
          </cell>
          <cell r="F869">
            <v>2</v>
          </cell>
          <cell r="G869" t="str">
            <v>OPP</v>
          </cell>
          <cell r="H869">
            <v>0</v>
          </cell>
          <cell r="I869">
            <v>4.2880000000000003</v>
          </cell>
          <cell r="J869">
            <v>0.33900000000000002</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t="str">
            <v>MPET 12x770</v>
          </cell>
          <cell r="AF869" t="str">
            <v>PE 45x770</v>
          </cell>
          <cell r="AG869">
            <v>6.6008250000000004E-2</v>
          </cell>
          <cell r="AH869">
            <v>1.2666666666666668</v>
          </cell>
          <cell r="AI869">
            <v>1.2666666666666668</v>
          </cell>
          <cell r="AJ869">
            <v>9530</v>
          </cell>
          <cell r="AK869">
            <v>9530</v>
          </cell>
          <cell r="AL869" t="str">
            <v>0,005(0,0025;0,0025)</v>
          </cell>
          <cell r="AM869" t="str">
            <v>túi ba biên</v>
          </cell>
          <cell r="AN869">
            <v>190</v>
          </cell>
          <cell r="AO869" t="str">
            <v>Công ty CP Tập Đoàn Đức Hạnh Marphavet</v>
          </cell>
          <cell r="AP869" t="str">
            <v>21050057-1</v>
          </cell>
          <cell r="AQ869" t="str">
            <v>21050057-2</v>
          </cell>
          <cell r="AR869">
            <v>0</v>
          </cell>
          <cell r="AS869">
            <v>0</v>
          </cell>
          <cell r="AT869">
            <v>0</v>
          </cell>
          <cell r="AU869">
            <v>0</v>
          </cell>
          <cell r="AV869">
            <v>0</v>
          </cell>
          <cell r="AW869">
            <v>0</v>
          </cell>
          <cell r="AX869">
            <v>0</v>
          </cell>
          <cell r="AY869" t="str">
            <v>570x870</v>
          </cell>
          <cell r="AZ869">
            <v>0</v>
          </cell>
          <cell r="BA869">
            <v>0</v>
          </cell>
          <cell r="BB869">
            <v>0</v>
          </cell>
          <cell r="BC869">
            <v>0</v>
          </cell>
          <cell r="BD869" t="e">
            <v>#N/A</v>
          </cell>
        </row>
        <row r="870">
          <cell r="A870" t="str">
            <v>sp 1381</v>
          </cell>
          <cell r="B870" t="str">
            <v>Túi trà logo tân cương và đặc sản in màu 100g loại 9</v>
          </cell>
          <cell r="C870">
            <v>6.0880000000000001</v>
          </cell>
          <cell r="D870">
            <v>3</v>
          </cell>
          <cell r="E870" t="str">
            <v>PET 12x740</v>
          </cell>
          <cell r="F870">
            <v>2</v>
          </cell>
          <cell r="G870" t="str">
            <v>PET</v>
          </cell>
          <cell r="H870">
            <v>0</v>
          </cell>
          <cell r="I870">
            <v>0.57399999999999995</v>
          </cell>
          <cell r="J870">
            <v>0</v>
          </cell>
          <cell r="K870">
            <v>0.23</v>
          </cell>
          <cell r="L870">
            <v>0</v>
          </cell>
          <cell r="M870">
            <v>1.6080000000000001</v>
          </cell>
          <cell r="N870">
            <v>0</v>
          </cell>
          <cell r="O870">
            <v>0</v>
          </cell>
          <cell r="P870">
            <v>3.6760000000000002</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t="str">
            <v>MPET12x740</v>
          </cell>
          <cell r="AF870" t="str">
            <v>PE 75x740</v>
          </cell>
          <cell r="AG870">
            <v>7.6201500000000005E-2</v>
          </cell>
          <cell r="AH870">
            <v>1.1193333333333333</v>
          </cell>
          <cell r="AI870">
            <v>1.46</v>
          </cell>
          <cell r="AJ870">
            <v>9530</v>
          </cell>
          <cell r="AK870">
            <v>9530</v>
          </cell>
          <cell r="AL870" t="str">
            <v>0,0053(0,0023;0,003)</v>
          </cell>
          <cell r="AM870" t="str">
            <v>túi hàn lưng xếp hông</v>
          </cell>
          <cell r="AN870">
            <v>270</v>
          </cell>
          <cell r="AO870" t="str">
            <v>Bùi Văn Sỹ</v>
          </cell>
          <cell r="AP870" t="str">
            <v>21030940-1</v>
          </cell>
          <cell r="AQ870" t="str">
            <v>21030940-2</v>
          </cell>
          <cell r="AR870">
            <v>0</v>
          </cell>
          <cell r="AS870">
            <v>0</v>
          </cell>
          <cell r="AT870">
            <v>0</v>
          </cell>
          <cell r="AU870">
            <v>0</v>
          </cell>
          <cell r="AV870">
            <v>0</v>
          </cell>
          <cell r="AW870">
            <v>0</v>
          </cell>
          <cell r="AX870">
            <v>0</v>
          </cell>
          <cell r="AY870" t="str">
            <v>540x870</v>
          </cell>
          <cell r="AZ870">
            <v>0</v>
          </cell>
          <cell r="BA870">
            <v>0</v>
          </cell>
          <cell r="BB870">
            <v>0</v>
          </cell>
          <cell r="BC870">
            <v>0</v>
          </cell>
          <cell r="BD870" t="e">
            <v>#N/A</v>
          </cell>
        </row>
        <row r="871">
          <cell r="A871" t="str">
            <v>sp 1382</v>
          </cell>
          <cell r="B871" t="str">
            <v>Túi trà logo đặc sản 200g loại 9</v>
          </cell>
          <cell r="C871">
            <v>4.6660000000000004</v>
          </cell>
          <cell r="D871">
            <v>2</v>
          </cell>
          <cell r="E871" t="str">
            <v>PET 12x620</v>
          </cell>
          <cell r="F871">
            <v>2</v>
          </cell>
          <cell r="G871" t="str">
            <v>PET</v>
          </cell>
          <cell r="H871">
            <v>0</v>
          </cell>
          <cell r="I871">
            <v>0</v>
          </cell>
          <cell r="J871">
            <v>0.13900000000000001</v>
          </cell>
          <cell r="K871">
            <v>0</v>
          </cell>
          <cell r="L871">
            <v>0.27800000000000002</v>
          </cell>
          <cell r="M871">
            <v>0.41699999999999998</v>
          </cell>
          <cell r="N871">
            <v>3.8220000000000001</v>
          </cell>
          <cell r="O871">
            <v>0.01</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t="str">
            <v>MPET 12x620</v>
          </cell>
          <cell r="AF871" t="str">
            <v>PE 75x620</v>
          </cell>
          <cell r="AG871">
            <v>6.3844500000000012E-2</v>
          </cell>
          <cell r="AH871">
            <v>0.93533333333333324</v>
          </cell>
          <cell r="AI871">
            <v>1.22</v>
          </cell>
          <cell r="AJ871">
            <v>9530</v>
          </cell>
          <cell r="AK871">
            <v>9530</v>
          </cell>
          <cell r="AL871" t="str">
            <v>0,0053(0,0023;0,003)</v>
          </cell>
          <cell r="AM871" t="str">
            <v>túi hàn lưng xếp hông</v>
          </cell>
          <cell r="AN871">
            <v>340</v>
          </cell>
          <cell r="AO871" t="str">
            <v>Bùi Văn Sỹ</v>
          </cell>
          <cell r="AP871" t="str">
            <v>21030941-1</v>
          </cell>
          <cell r="AQ871" t="str">
            <v>1803223-2</v>
          </cell>
          <cell r="AR871">
            <v>0</v>
          </cell>
          <cell r="AS871">
            <v>0</v>
          </cell>
          <cell r="AT871">
            <v>0</v>
          </cell>
          <cell r="AU871">
            <v>0</v>
          </cell>
          <cell r="AV871">
            <v>0</v>
          </cell>
          <cell r="AW871">
            <v>0</v>
          </cell>
          <cell r="AX871">
            <v>0</v>
          </cell>
          <cell r="AY871" t="str">
            <v>680x750</v>
          </cell>
          <cell r="AZ871">
            <v>0</v>
          </cell>
          <cell r="BA871">
            <v>0</v>
          </cell>
          <cell r="BB871">
            <v>0</v>
          </cell>
          <cell r="BC871">
            <v>0</v>
          </cell>
          <cell r="BD871" t="e">
            <v>#N/A</v>
          </cell>
        </row>
        <row r="872">
          <cell r="A872" t="str">
            <v>sp 1383</v>
          </cell>
          <cell r="B872" t="str">
            <v>Túi trà chữ đỏ lá vàng in 4 màu đặc sản 100gr loại 10</v>
          </cell>
          <cell r="C872">
            <v>6.8449999999999998</v>
          </cell>
          <cell r="D872">
            <v>3</v>
          </cell>
          <cell r="E872" t="str">
            <v>PET 12x740</v>
          </cell>
          <cell r="F872">
            <v>2</v>
          </cell>
          <cell r="G872" t="str">
            <v>PET</v>
          </cell>
          <cell r="H872">
            <v>0</v>
          </cell>
          <cell r="I872">
            <v>2.7029999999999998</v>
          </cell>
          <cell r="J872">
            <v>0</v>
          </cell>
          <cell r="K872">
            <v>0</v>
          </cell>
          <cell r="L872">
            <v>0</v>
          </cell>
          <cell r="M872">
            <v>0.80500000000000005</v>
          </cell>
          <cell r="N872">
            <v>3.2210000000000001</v>
          </cell>
          <cell r="O872">
            <v>5.8000000000000003E-2</v>
          </cell>
          <cell r="P872">
            <v>5.8000000000000003E-2</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t="str">
            <v>MPET12x740</v>
          </cell>
          <cell r="AF872" t="str">
            <v>PE 75x740</v>
          </cell>
          <cell r="AG872">
            <v>7.6201500000000005E-2</v>
          </cell>
          <cell r="AH872">
            <v>1.1193333333333333</v>
          </cell>
          <cell r="AI872">
            <v>1.46</v>
          </cell>
          <cell r="AJ872">
            <v>9530</v>
          </cell>
          <cell r="AK872">
            <v>9530</v>
          </cell>
          <cell r="AL872" t="str">
            <v>0,0053(0,0023;0,003)</v>
          </cell>
          <cell r="AM872" t="str">
            <v>túi hàn lưng xếp hông</v>
          </cell>
          <cell r="AN872">
            <v>270</v>
          </cell>
          <cell r="AO872" t="str">
            <v>Bùi Văn Sỹ</v>
          </cell>
          <cell r="AP872" t="str">
            <v>21030963-1</v>
          </cell>
          <cell r="AQ872" t="str">
            <v>21030963-2</v>
          </cell>
          <cell r="AR872" t="str">
            <v>21030963-3</v>
          </cell>
          <cell r="AS872" t="str">
            <v>21030963-4</v>
          </cell>
          <cell r="AT872">
            <v>0</v>
          </cell>
          <cell r="AU872">
            <v>0</v>
          </cell>
          <cell r="AV872">
            <v>0</v>
          </cell>
          <cell r="AW872">
            <v>0</v>
          </cell>
          <cell r="AX872">
            <v>0</v>
          </cell>
          <cell r="AY872" t="str">
            <v>540x780</v>
          </cell>
          <cell r="AZ872">
            <v>0</v>
          </cell>
          <cell r="BA872">
            <v>0</v>
          </cell>
          <cell r="BB872">
            <v>0</v>
          </cell>
          <cell r="BC872">
            <v>0</v>
          </cell>
          <cell r="BD872" t="e">
            <v>#N/A</v>
          </cell>
        </row>
        <row r="873">
          <cell r="A873" t="str">
            <v>sp 1384</v>
          </cell>
          <cell r="B873" t="str">
            <v>Túi thuốc thú y milk -S.P.B 1kg Hùng Nguyên</v>
          </cell>
          <cell r="C873">
            <v>6.0529999999999999</v>
          </cell>
          <cell r="D873">
            <v>2</v>
          </cell>
          <cell r="E873" t="str">
            <v>PET 12x940</v>
          </cell>
          <cell r="F873">
            <v>5</v>
          </cell>
          <cell r="G873" t="str">
            <v>PET</v>
          </cell>
          <cell r="H873">
            <v>0.01</v>
          </cell>
          <cell r="I873">
            <v>3.7989999999999999</v>
          </cell>
          <cell r="J873">
            <v>0</v>
          </cell>
          <cell r="K873">
            <v>0.01</v>
          </cell>
          <cell r="L873">
            <v>0.55600000000000005</v>
          </cell>
          <cell r="M873">
            <v>1.6679999999999999</v>
          </cell>
          <cell r="N873">
            <v>0</v>
          </cell>
          <cell r="O873">
            <v>0.01</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t="str">
            <v>MPET 12x940</v>
          </cell>
          <cell r="AF873" t="str">
            <v>PE 140x940</v>
          </cell>
          <cell r="AG873">
            <v>0.15331400000000001</v>
          </cell>
          <cell r="AH873">
            <v>1.86</v>
          </cell>
          <cell r="AI873">
            <v>1.86</v>
          </cell>
          <cell r="AJ873">
            <v>9530</v>
          </cell>
          <cell r="AK873">
            <v>9530</v>
          </cell>
          <cell r="AL873" t="str">
            <v>0,006(0,003;0,003)</v>
          </cell>
          <cell r="AM873" t="str">
            <v>túi ba biên</v>
          </cell>
          <cell r="AN873">
            <v>330</v>
          </cell>
          <cell r="AO873" t="str">
            <v>Công ty CP Hùng Nguyên</v>
          </cell>
          <cell r="AP873" t="str">
            <v>F128094G1-1</v>
          </cell>
          <cell r="AQ873" t="str">
            <v>F128094-2</v>
          </cell>
          <cell r="AR873" t="str">
            <v>F128094-3</v>
          </cell>
          <cell r="AS873" t="str">
            <v>F128094-4</v>
          </cell>
          <cell r="AT873" t="str">
            <v>F128094-5</v>
          </cell>
          <cell r="AU873">
            <v>0</v>
          </cell>
          <cell r="AV873">
            <v>0</v>
          </cell>
          <cell r="AW873">
            <v>0</v>
          </cell>
          <cell r="AX873">
            <v>0</v>
          </cell>
          <cell r="AY873" t="str">
            <v>660x1100</v>
          </cell>
          <cell r="AZ873">
            <v>0</v>
          </cell>
          <cell r="BA873">
            <v>0</v>
          </cell>
          <cell r="BB873">
            <v>0</v>
          </cell>
          <cell r="BC873">
            <v>0</v>
          </cell>
          <cell r="BD873" t="e">
            <v>#N/A</v>
          </cell>
        </row>
        <row r="874">
          <cell r="A874" t="str">
            <v>sp 1385</v>
          </cell>
          <cell r="B874" t="str">
            <v>Cuộn nhôm boganic 5 vỉ x 10 viên nang mềm Traphaco</v>
          </cell>
          <cell r="C874">
            <v>4.7839999999999989</v>
          </cell>
          <cell r="D874">
            <v>3</v>
          </cell>
          <cell r="E874" t="str">
            <v>PET 12x794</v>
          </cell>
          <cell r="F874">
            <v>2</v>
          </cell>
          <cell r="G874" t="str">
            <v>PET</v>
          </cell>
          <cell r="H874">
            <v>0</v>
          </cell>
          <cell r="I874">
            <v>0</v>
          </cell>
          <cell r="J874">
            <v>0.95299999999999996</v>
          </cell>
          <cell r="K874">
            <v>0</v>
          </cell>
          <cell r="L874">
            <v>0.47599999999999998</v>
          </cell>
          <cell r="M874">
            <v>3.335</v>
          </cell>
          <cell r="N874">
            <v>0</v>
          </cell>
          <cell r="O874">
            <v>0.01</v>
          </cell>
          <cell r="P874">
            <v>0</v>
          </cell>
          <cell r="Q874">
            <v>0</v>
          </cell>
          <cell r="R874">
            <v>0</v>
          </cell>
          <cell r="S874">
            <v>0</v>
          </cell>
          <cell r="T874">
            <v>0.01</v>
          </cell>
          <cell r="U874">
            <v>0</v>
          </cell>
          <cell r="V874">
            <v>0</v>
          </cell>
          <cell r="W874">
            <v>0</v>
          </cell>
          <cell r="X874">
            <v>0</v>
          </cell>
          <cell r="Y874">
            <v>0</v>
          </cell>
          <cell r="Z874">
            <v>0</v>
          </cell>
          <cell r="AA874">
            <v>0</v>
          </cell>
          <cell r="AB874">
            <v>0</v>
          </cell>
          <cell r="AC874">
            <v>0</v>
          </cell>
          <cell r="AD874">
            <v>0</v>
          </cell>
          <cell r="AE874" t="str">
            <v>Al 6x794</v>
          </cell>
          <cell r="AF874" t="str">
            <v>PE 65x804</v>
          </cell>
          <cell r="AG874">
            <v>7.3988890000000002E-2</v>
          </cell>
          <cell r="AH874">
            <v>1.3066666666666669</v>
          </cell>
          <cell r="AI874">
            <v>1.3066666666666669</v>
          </cell>
          <cell r="AJ874">
            <v>9530</v>
          </cell>
          <cell r="AK874">
            <v>9530</v>
          </cell>
          <cell r="AL874" t="str">
            <v>0,005(0,0025;0,0025)</v>
          </cell>
          <cell r="AM874" t="str">
            <v>dạng cuộn 1,000m</v>
          </cell>
          <cell r="AN874">
            <v>258</v>
          </cell>
          <cell r="AO874" t="str">
            <v>Công ty Cổ Phần Traphaco</v>
          </cell>
          <cell r="AP874" t="str">
            <v>21040128-1</v>
          </cell>
          <cell r="AQ874" t="str">
            <v>21040128-2</v>
          </cell>
          <cell r="AR874">
            <v>0</v>
          </cell>
          <cell r="AS874">
            <v>0</v>
          </cell>
          <cell r="AT874">
            <v>0</v>
          </cell>
          <cell r="AU874">
            <v>0</v>
          </cell>
          <cell r="AV874">
            <v>0</v>
          </cell>
          <cell r="AW874">
            <v>0</v>
          </cell>
          <cell r="AX874">
            <v>0</v>
          </cell>
          <cell r="AY874" t="str">
            <v>555x870</v>
          </cell>
          <cell r="AZ874">
            <v>0</v>
          </cell>
          <cell r="BA874">
            <v>0</v>
          </cell>
          <cell r="BB874">
            <v>0</v>
          </cell>
          <cell r="BC874">
            <v>0</v>
          </cell>
          <cell r="BD874" t="e">
            <v>#N/A</v>
          </cell>
        </row>
        <row r="875">
          <cell r="A875" t="str">
            <v>sp 1386</v>
          </cell>
          <cell r="B875" t="str">
            <v>Cuộn nhôm hoạt huyết 5 vỉ x 20 viên nén bao đường Traphaco</v>
          </cell>
          <cell r="C875">
            <v>0.56899999999999995</v>
          </cell>
          <cell r="D875">
            <v>3</v>
          </cell>
          <cell r="E875" t="str">
            <v>PET 12x690</v>
          </cell>
          <cell r="F875">
            <v>2</v>
          </cell>
          <cell r="G875" t="str">
            <v>PET</v>
          </cell>
          <cell r="H875">
            <v>0</v>
          </cell>
          <cell r="I875">
            <v>0</v>
          </cell>
          <cell r="J875">
            <v>0.114</v>
          </cell>
          <cell r="K875">
            <v>0</v>
          </cell>
          <cell r="L875">
            <v>7.0999999999999994E-2</v>
          </cell>
          <cell r="M875">
            <v>0.28499999999999998</v>
          </cell>
          <cell r="N875">
            <v>0</v>
          </cell>
          <cell r="O875">
            <v>1.4E-2</v>
          </cell>
          <cell r="P875">
            <v>8.5000000000000006E-2</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t="str">
            <v>Al 6x690</v>
          </cell>
          <cell r="AF875" t="str">
            <v>PE 65x700</v>
          </cell>
          <cell r="AG875">
            <v>6.4297649999999998E-2</v>
          </cell>
          <cell r="AH875">
            <v>1.1333333333333335</v>
          </cell>
          <cell r="AI875">
            <v>1.1333333333333335</v>
          </cell>
          <cell r="AJ875">
            <v>9530</v>
          </cell>
          <cell r="AK875">
            <v>9530</v>
          </cell>
          <cell r="AL875" t="str">
            <v>0,005(0,0025;0,0025)</v>
          </cell>
          <cell r="AM875" t="str">
            <v>dạng cuộn 1,000m</v>
          </cell>
          <cell r="AN875">
            <v>224</v>
          </cell>
          <cell r="AO875" t="str">
            <v>Công ty Cổ Phần Traphaco</v>
          </cell>
          <cell r="AP875" t="str">
            <v>21040127-1</v>
          </cell>
          <cell r="AQ875" t="str">
            <v>21040127-2</v>
          </cell>
          <cell r="AR875">
            <v>0</v>
          </cell>
          <cell r="AS875">
            <v>0</v>
          </cell>
          <cell r="AT875">
            <v>0</v>
          </cell>
          <cell r="AU875">
            <v>0</v>
          </cell>
          <cell r="AV875">
            <v>0</v>
          </cell>
          <cell r="AW875">
            <v>0</v>
          </cell>
          <cell r="AX875">
            <v>0</v>
          </cell>
          <cell r="AY875" t="str">
            <v>510x870</v>
          </cell>
          <cell r="AZ875">
            <v>0</v>
          </cell>
          <cell r="BA875">
            <v>0</v>
          </cell>
          <cell r="BB875">
            <v>0</v>
          </cell>
          <cell r="BC875">
            <v>0</v>
          </cell>
          <cell r="BD875" t="e">
            <v>#N/A</v>
          </cell>
        </row>
        <row r="876">
          <cell r="A876" t="str">
            <v>sp 1387</v>
          </cell>
          <cell r="B876" t="str">
            <v>Túi nhôm Traphaton 6 vỉ x 5 viên nang mềm Traphaco</v>
          </cell>
          <cell r="C876">
            <v>7.8170000000000002</v>
          </cell>
          <cell r="D876">
            <v>3</v>
          </cell>
          <cell r="E876" t="str">
            <v>OPP 20x728</v>
          </cell>
          <cell r="F876">
            <v>3</v>
          </cell>
          <cell r="G876" t="str">
            <v>OPP</v>
          </cell>
          <cell r="H876">
            <v>0</v>
          </cell>
          <cell r="I876">
            <v>0</v>
          </cell>
          <cell r="J876">
            <v>1.7350000000000001</v>
          </cell>
          <cell r="K876">
            <v>0</v>
          </cell>
          <cell r="L876">
            <v>3.4689999999999999</v>
          </cell>
          <cell r="M876">
            <v>0.248</v>
          </cell>
          <cell r="N876">
            <v>0</v>
          </cell>
          <cell r="O876">
            <v>0.01</v>
          </cell>
          <cell r="P876">
            <v>0.496</v>
          </cell>
          <cell r="Q876">
            <v>1.363</v>
          </cell>
          <cell r="R876">
            <v>0.496</v>
          </cell>
          <cell r="S876">
            <v>0</v>
          </cell>
          <cell r="T876">
            <v>0</v>
          </cell>
          <cell r="U876">
            <v>0</v>
          </cell>
          <cell r="V876">
            <v>0</v>
          </cell>
          <cell r="W876">
            <v>0</v>
          </cell>
          <cell r="X876">
            <v>0</v>
          </cell>
          <cell r="Y876">
            <v>0</v>
          </cell>
          <cell r="Z876">
            <v>0</v>
          </cell>
          <cell r="AA876">
            <v>0</v>
          </cell>
          <cell r="AB876">
            <v>0</v>
          </cell>
          <cell r="AC876">
            <v>0</v>
          </cell>
          <cell r="AD876">
            <v>0</v>
          </cell>
          <cell r="AE876" t="str">
            <v>Al 6x728</v>
          </cell>
          <cell r="AF876" t="str">
            <v>PE 55x738</v>
          </cell>
          <cell r="AG876">
            <v>6.2123880000000006E-2</v>
          </cell>
          <cell r="AH876">
            <v>1.2133333333333334</v>
          </cell>
          <cell r="AI876">
            <v>1.2133333333333334</v>
          </cell>
          <cell r="AJ876">
            <v>9530</v>
          </cell>
          <cell r="AK876">
            <v>9530</v>
          </cell>
          <cell r="AL876" t="str">
            <v>0,005(0,0025;0,0025)</v>
          </cell>
          <cell r="AM876" t="str">
            <v>túi hàn lưng xếp hông</v>
          </cell>
          <cell r="AN876">
            <v>180</v>
          </cell>
          <cell r="AO876" t="str">
            <v>Công ty Cổ Phần Traphaco</v>
          </cell>
          <cell r="AP876" t="str">
            <v>21040262-1</v>
          </cell>
          <cell r="AQ876" t="str">
            <v>21040262-2</v>
          </cell>
          <cell r="AR876" t="str">
            <v>21040262-3</v>
          </cell>
          <cell r="AS876">
            <v>0</v>
          </cell>
          <cell r="AT876">
            <v>0</v>
          </cell>
          <cell r="AU876">
            <v>0</v>
          </cell>
          <cell r="AV876">
            <v>0</v>
          </cell>
          <cell r="AW876">
            <v>0</v>
          </cell>
          <cell r="AX876">
            <v>0</v>
          </cell>
          <cell r="AY876" t="str">
            <v>540x870</v>
          </cell>
          <cell r="AZ876">
            <v>0</v>
          </cell>
          <cell r="BA876">
            <v>0</v>
          </cell>
          <cell r="BB876">
            <v>0</v>
          </cell>
          <cell r="BC876">
            <v>0</v>
          </cell>
          <cell r="BD876" t="e">
            <v>#N/A</v>
          </cell>
        </row>
        <row r="877">
          <cell r="A877" t="str">
            <v>sp 1388</v>
          </cell>
          <cell r="B877" t="str">
            <v>Túi không in KT 70x130 Dược Hải Phòng</v>
          </cell>
          <cell r="C877">
            <v>0</v>
          </cell>
          <cell r="D877">
            <v>4</v>
          </cell>
          <cell r="E877" t="str">
            <v>OPP 20x660</v>
          </cell>
          <cell r="F877">
            <v>0</v>
          </cell>
          <cell r="G877" t="str">
            <v>OPP</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t="str">
            <v>MCPP 25x660</v>
          </cell>
          <cell r="AF877">
            <v>0</v>
          </cell>
          <cell r="AG877">
            <v>2.7027000000000002E-2</v>
          </cell>
          <cell r="AH877">
            <v>0.99666666666666659</v>
          </cell>
          <cell r="AI877">
            <v>0</v>
          </cell>
          <cell r="AJ877">
            <v>9530</v>
          </cell>
          <cell r="AK877">
            <v>0</v>
          </cell>
          <cell r="AL877">
            <v>2.3E-3</v>
          </cell>
          <cell r="AM877" t="str">
            <v>túi hàn lưng</v>
          </cell>
          <cell r="AN877">
            <v>130</v>
          </cell>
          <cell r="AO877" t="str">
            <v>Công ty Dược Hải Phòng</v>
          </cell>
          <cell r="AP877">
            <v>0</v>
          </cell>
          <cell r="AQ877">
            <v>0</v>
          </cell>
          <cell r="AR877">
            <v>0</v>
          </cell>
          <cell r="AS877">
            <v>0</v>
          </cell>
          <cell r="AT877">
            <v>0</v>
          </cell>
          <cell r="AU877">
            <v>0</v>
          </cell>
          <cell r="AV877">
            <v>0</v>
          </cell>
          <cell r="AW877">
            <v>0</v>
          </cell>
          <cell r="AX877">
            <v>0</v>
          </cell>
          <cell r="AY877">
            <v>0</v>
          </cell>
          <cell r="AZ877">
            <v>0</v>
          </cell>
          <cell r="BA877">
            <v>0</v>
          </cell>
          <cell r="BB877">
            <v>0</v>
          </cell>
          <cell r="BC877">
            <v>0</v>
          </cell>
          <cell r="BD877" t="e">
            <v>#N/A</v>
          </cell>
        </row>
        <row r="878">
          <cell r="A878" t="str">
            <v>sp 1389</v>
          </cell>
          <cell r="B878" t="str">
            <v>Cuộn thuốc diệt chuột kaletox 200WP loại 2.5gr Việt Thắng</v>
          </cell>
          <cell r="C878">
            <v>5.0669999999999993</v>
          </cell>
          <cell r="D878">
            <v>5</v>
          </cell>
          <cell r="E878" t="str">
            <v>PET 12x820</v>
          </cell>
          <cell r="F878">
            <v>6</v>
          </cell>
          <cell r="G878" t="str">
            <v>PET</v>
          </cell>
          <cell r="H878">
            <v>0.41899999999999998</v>
          </cell>
          <cell r="I878">
            <v>3.613</v>
          </cell>
          <cell r="J878">
            <v>0.02</v>
          </cell>
          <cell r="K878">
            <v>0.26200000000000001</v>
          </cell>
          <cell r="L878">
            <v>0.01</v>
          </cell>
          <cell r="M878">
            <v>0.73299999999999998</v>
          </cell>
          <cell r="N878">
            <v>0</v>
          </cell>
          <cell r="O878">
            <v>0</v>
          </cell>
          <cell r="P878">
            <v>0</v>
          </cell>
          <cell r="Q878">
            <v>0</v>
          </cell>
          <cell r="R878">
            <v>0.01</v>
          </cell>
          <cell r="S878">
            <v>0</v>
          </cell>
          <cell r="T878">
            <v>0</v>
          </cell>
          <cell r="U878">
            <v>0</v>
          </cell>
          <cell r="V878">
            <v>0</v>
          </cell>
          <cell r="W878">
            <v>0</v>
          </cell>
          <cell r="X878">
            <v>0</v>
          </cell>
          <cell r="Y878">
            <v>0</v>
          </cell>
          <cell r="Z878">
            <v>0</v>
          </cell>
          <cell r="AA878">
            <v>0</v>
          </cell>
          <cell r="AB878">
            <v>0</v>
          </cell>
          <cell r="AC878">
            <v>0</v>
          </cell>
          <cell r="AD878">
            <v>0</v>
          </cell>
          <cell r="AE878" t="str">
            <v>Al 6x820</v>
          </cell>
          <cell r="AF878" t="str">
            <v>PE 85x820</v>
          </cell>
          <cell r="AG878">
            <v>9.1581700000000002E-2</v>
          </cell>
          <cell r="AH878">
            <v>1.242</v>
          </cell>
          <cell r="AI878">
            <v>1.62</v>
          </cell>
          <cell r="AJ878">
            <v>9530</v>
          </cell>
          <cell r="AK878">
            <v>9530</v>
          </cell>
          <cell r="AL878" t="str">
            <v>0,0053(0,0023;0,003)</v>
          </cell>
          <cell r="AM878" t="str">
            <v>dạng cuộn 700m</v>
          </cell>
          <cell r="AN878">
            <v>160</v>
          </cell>
          <cell r="AO878" t="str">
            <v>Công ty Việt Thắng</v>
          </cell>
          <cell r="AP878" t="str">
            <v>21040748-1</v>
          </cell>
          <cell r="AQ878" t="str">
            <v>21040748-2</v>
          </cell>
          <cell r="AR878" t="str">
            <v>21040263-3</v>
          </cell>
          <cell r="AS878" t="str">
            <v>21040263-4</v>
          </cell>
          <cell r="AT878" t="str">
            <v>21040263-5</v>
          </cell>
          <cell r="AU878" t="str">
            <v>21040263-6</v>
          </cell>
          <cell r="AV878">
            <v>0</v>
          </cell>
          <cell r="AW878">
            <v>0</v>
          </cell>
          <cell r="AX878">
            <v>0</v>
          </cell>
          <cell r="AY878" t="str">
            <v>440x870</v>
          </cell>
          <cell r="AZ878">
            <v>0</v>
          </cell>
          <cell r="BA878">
            <v>0</v>
          </cell>
          <cell r="BB878">
            <v>0</v>
          </cell>
          <cell r="BC878">
            <v>0</v>
          </cell>
          <cell r="BD878" t="e">
            <v>#N/A</v>
          </cell>
        </row>
        <row r="879">
          <cell r="A879" t="str">
            <v>sp 1390</v>
          </cell>
          <cell r="B879" t="str">
            <v>Túi in một màu nhũ KT 143x140x45mm Phú Thọ</v>
          </cell>
          <cell r="C879">
            <v>5.6379999999999999</v>
          </cell>
          <cell r="D879">
            <v>2</v>
          </cell>
          <cell r="E879" t="str">
            <v>OPP 30x800</v>
          </cell>
          <cell r="F879">
            <v>1</v>
          </cell>
          <cell r="G879" t="str">
            <v>OPP</v>
          </cell>
          <cell r="H879">
            <v>0</v>
          </cell>
          <cell r="I879">
            <v>0</v>
          </cell>
          <cell r="J879">
            <v>0</v>
          </cell>
          <cell r="K879">
            <v>0</v>
          </cell>
          <cell r="L879">
            <v>0</v>
          </cell>
          <cell r="M879">
            <v>0</v>
          </cell>
          <cell r="N879">
            <v>5.6379999999999999</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t="str">
            <v>MCPP 25x800</v>
          </cell>
          <cell r="AF879">
            <v>0</v>
          </cell>
          <cell r="AG879">
            <v>4.0040000000000006E-2</v>
          </cell>
          <cell r="AH879">
            <v>0.316</v>
          </cell>
          <cell r="AI879">
            <v>0</v>
          </cell>
          <cell r="AJ879" t="str">
            <v>keo 829B
ĐR 829A</v>
          </cell>
          <cell r="AK879">
            <v>0</v>
          </cell>
          <cell r="AL879">
            <v>1.1999999999999999E-3</v>
          </cell>
          <cell r="AM879" t="str">
            <v>túi hàn lưng xếp hông</v>
          </cell>
          <cell r="AN879">
            <v>140</v>
          </cell>
          <cell r="AO879" t="str">
            <v>Công ty TNHH Thế hệ mới Vĩnh Phúc</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t="e">
            <v>#N/A</v>
          </cell>
        </row>
        <row r="880">
          <cell r="A880" t="str">
            <v>sp 1391</v>
          </cell>
          <cell r="B880" t="str">
            <v>Cuộn đường sugar 0,5kg khổ 660 Sơn Tùng</v>
          </cell>
          <cell r="C880">
            <v>0</v>
          </cell>
          <cell r="D880">
            <v>1</v>
          </cell>
          <cell r="E880" t="str">
            <v>OPP 30x660</v>
          </cell>
          <cell r="F880">
            <v>0</v>
          </cell>
          <cell r="G880" t="str">
            <v>OPP</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t="str">
            <v>PE 25x660</v>
          </cell>
          <cell r="AF880">
            <v>0</v>
          </cell>
          <cell r="AG880">
            <v>3.3280500000000005E-2</v>
          </cell>
          <cell r="AH880">
            <v>0.43333333333333335</v>
          </cell>
          <cell r="AI880">
            <v>0</v>
          </cell>
          <cell r="AJ880" t="str">
            <v>keo 829B
ĐR 829A</v>
          </cell>
          <cell r="AK880">
            <v>0</v>
          </cell>
          <cell r="AL880">
            <v>2E-3</v>
          </cell>
          <cell r="AM880" t="str">
            <v>dạng cuộn 4,000m</v>
          </cell>
          <cell r="AN880">
            <v>640</v>
          </cell>
          <cell r="AO880" t="str">
            <v>Công ty Sơn Tùng</v>
          </cell>
          <cell r="AP880">
            <v>0</v>
          </cell>
          <cell r="AQ880">
            <v>0</v>
          </cell>
          <cell r="AR880">
            <v>0</v>
          </cell>
          <cell r="AS880">
            <v>0</v>
          </cell>
          <cell r="AT880">
            <v>0</v>
          </cell>
          <cell r="AU880">
            <v>0</v>
          </cell>
          <cell r="AV880">
            <v>0</v>
          </cell>
          <cell r="AW880">
            <v>0</v>
          </cell>
          <cell r="AX880">
            <v>0</v>
          </cell>
          <cell r="AY880">
            <v>0</v>
          </cell>
          <cell r="AZ880">
            <v>0</v>
          </cell>
          <cell r="BA880">
            <v>0</v>
          </cell>
          <cell r="BB880">
            <v>0</v>
          </cell>
          <cell r="BC880">
            <v>0</v>
          </cell>
          <cell r="BD880" t="e">
            <v>#N/A</v>
          </cell>
        </row>
        <row r="881">
          <cell r="A881" t="str">
            <v>sp 1392</v>
          </cell>
          <cell r="B881" t="str">
            <v>Cuộn màng không in ghép PE khổ 420 Phú Mỹ</v>
          </cell>
          <cell r="C881">
            <v>0</v>
          </cell>
          <cell r="D881">
            <v>2</v>
          </cell>
          <cell r="E881" t="str">
            <v>OPP 20x860</v>
          </cell>
          <cell r="F881">
            <v>0</v>
          </cell>
          <cell r="G881" t="str">
            <v>OPP</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t="str">
            <v>PE 55x860</v>
          </cell>
          <cell r="AF881">
            <v>0</v>
          </cell>
          <cell r="AG881">
            <v>5.9404499999999999E-2</v>
          </cell>
          <cell r="AH881">
            <v>1.3033333333333332</v>
          </cell>
          <cell r="AI881">
            <v>0</v>
          </cell>
          <cell r="AJ881">
            <v>9530</v>
          </cell>
          <cell r="AK881">
            <v>0</v>
          </cell>
          <cell r="AL881">
            <v>2.3E-3</v>
          </cell>
          <cell r="AM881" t="str">
            <v>dạng cuộn 500m</v>
          </cell>
          <cell r="AN881">
            <v>420</v>
          </cell>
          <cell r="AO881" t="str">
            <v>Công ty Phú Mỹ</v>
          </cell>
          <cell r="AP881">
            <v>0</v>
          </cell>
          <cell r="AQ881">
            <v>0</v>
          </cell>
          <cell r="AR881">
            <v>0</v>
          </cell>
          <cell r="AS881">
            <v>0</v>
          </cell>
          <cell r="AT881">
            <v>0</v>
          </cell>
          <cell r="AU881">
            <v>0</v>
          </cell>
          <cell r="AV881">
            <v>0</v>
          </cell>
          <cell r="AW881">
            <v>0</v>
          </cell>
          <cell r="AX881">
            <v>0</v>
          </cell>
          <cell r="AY881">
            <v>0</v>
          </cell>
          <cell r="AZ881">
            <v>0</v>
          </cell>
          <cell r="BA881">
            <v>0</v>
          </cell>
          <cell r="BB881">
            <v>0</v>
          </cell>
          <cell r="BC881">
            <v>0</v>
          </cell>
          <cell r="BD881" t="e">
            <v>#N/A</v>
          </cell>
        </row>
        <row r="882">
          <cell r="A882" t="str">
            <v>sp 1393</v>
          </cell>
          <cell r="B882" t="str">
            <v>Cuộn kem sữa chua ami 3 vị 50gr -Châu Á</v>
          </cell>
          <cell r="C882">
            <v>6.4600000000000009</v>
          </cell>
          <cell r="D882">
            <v>6</v>
          </cell>
          <cell r="E882" t="str">
            <v>PA 15x790</v>
          </cell>
          <cell r="F882">
            <v>7</v>
          </cell>
          <cell r="G882" t="str">
            <v xml:space="preserve">PA </v>
          </cell>
          <cell r="H882">
            <v>0.128</v>
          </cell>
          <cell r="I882">
            <v>4.9249999999999998</v>
          </cell>
          <cell r="J882">
            <v>0.23499999999999999</v>
          </cell>
          <cell r="K882">
            <v>0.01</v>
          </cell>
          <cell r="L882">
            <v>0.23499999999999999</v>
          </cell>
          <cell r="M882">
            <v>0.59699999999999998</v>
          </cell>
          <cell r="N882">
            <v>0</v>
          </cell>
          <cell r="O882">
            <v>0</v>
          </cell>
          <cell r="P882">
            <v>0.32</v>
          </cell>
          <cell r="Q882">
            <v>0</v>
          </cell>
          <cell r="R882">
            <v>0</v>
          </cell>
          <cell r="S882">
            <v>0</v>
          </cell>
          <cell r="T882">
            <v>0.01</v>
          </cell>
          <cell r="U882">
            <v>0</v>
          </cell>
          <cell r="V882">
            <v>0</v>
          </cell>
          <cell r="W882">
            <v>0</v>
          </cell>
          <cell r="X882">
            <v>0</v>
          </cell>
          <cell r="Y882">
            <v>0</v>
          </cell>
          <cell r="Z882">
            <v>0</v>
          </cell>
          <cell r="AA882">
            <v>0</v>
          </cell>
          <cell r="AB882">
            <v>0</v>
          </cell>
          <cell r="AC882">
            <v>0</v>
          </cell>
          <cell r="AD882">
            <v>0</v>
          </cell>
          <cell r="AE882" t="str">
            <v>PE 45x790</v>
          </cell>
          <cell r="AF882">
            <v>0</v>
          </cell>
          <cell r="AG882">
            <v>4.6511249999999997E-2</v>
          </cell>
          <cell r="AH882">
            <v>1.04</v>
          </cell>
          <cell r="AI882">
            <v>0</v>
          </cell>
          <cell r="AJ882">
            <v>9530</v>
          </cell>
          <cell r="AK882">
            <v>0</v>
          </cell>
          <cell r="AL882">
            <v>2E-3</v>
          </cell>
          <cell r="AM882" t="str">
            <v>dạng cuộn 1,000m</v>
          </cell>
          <cell r="AN882">
            <v>128</v>
          </cell>
          <cell r="AO882" t="str">
            <v>Công ty TNHH Bánh Châu Á</v>
          </cell>
          <cell r="AP882" t="str">
            <v>F128291-1</v>
          </cell>
          <cell r="AQ882" t="str">
            <v>F128291-2</v>
          </cell>
          <cell r="AR882" t="str">
            <v>F128291-3</v>
          </cell>
          <cell r="AS882" t="str">
            <v>F128291-4</v>
          </cell>
          <cell r="AT882" t="str">
            <v>F128291-5</v>
          </cell>
          <cell r="AU882" t="str">
            <v>F128291-6</v>
          </cell>
          <cell r="AV882" t="str">
            <v>F128291-7</v>
          </cell>
          <cell r="AW882">
            <v>0</v>
          </cell>
          <cell r="AX882">
            <v>0</v>
          </cell>
          <cell r="AY882" t="str">
            <v>490x870</v>
          </cell>
          <cell r="AZ882">
            <v>0</v>
          </cell>
          <cell r="BA882">
            <v>0</v>
          </cell>
          <cell r="BB882">
            <v>0</v>
          </cell>
          <cell r="BC882">
            <v>0</v>
          </cell>
          <cell r="BD882" t="e">
            <v>#N/A</v>
          </cell>
        </row>
        <row r="883">
          <cell r="A883" t="str">
            <v>sp 1394</v>
          </cell>
          <cell r="B883" t="str">
            <v>Túi kem sữa chua ami 12 chiếc 600gr- Châu Á</v>
          </cell>
          <cell r="C883">
            <v>7.6440000000000001</v>
          </cell>
          <cell r="D883">
            <v>2</v>
          </cell>
          <cell r="E883" t="str">
            <v>OPP 20x740</v>
          </cell>
          <cell r="F883">
            <v>6</v>
          </cell>
          <cell r="G883" t="str">
            <v>OPP</v>
          </cell>
          <cell r="H883">
            <v>0.26900000000000002</v>
          </cell>
          <cell r="I883">
            <v>4.181</v>
          </cell>
          <cell r="J883">
            <v>0.84399999999999997</v>
          </cell>
          <cell r="K883">
            <v>0.88200000000000001</v>
          </cell>
          <cell r="L883">
            <v>0.92100000000000004</v>
          </cell>
          <cell r="M883">
            <v>0.53700000000000003</v>
          </cell>
          <cell r="N883">
            <v>0</v>
          </cell>
          <cell r="O883">
            <v>0</v>
          </cell>
          <cell r="P883">
            <v>0</v>
          </cell>
          <cell r="Q883">
            <v>0</v>
          </cell>
          <cell r="R883">
            <v>0</v>
          </cell>
          <cell r="S883">
            <v>0</v>
          </cell>
          <cell r="T883">
            <v>0.01</v>
          </cell>
          <cell r="U883">
            <v>0</v>
          </cell>
          <cell r="V883">
            <v>0</v>
          </cell>
          <cell r="W883">
            <v>0</v>
          </cell>
          <cell r="X883">
            <v>0</v>
          </cell>
          <cell r="Y883">
            <v>0</v>
          </cell>
          <cell r="Z883">
            <v>0</v>
          </cell>
          <cell r="AA883">
            <v>0</v>
          </cell>
          <cell r="AB883">
            <v>0</v>
          </cell>
          <cell r="AC883">
            <v>0</v>
          </cell>
          <cell r="AD883">
            <v>0</v>
          </cell>
          <cell r="AE883" t="str">
            <v>PE 40x740</v>
          </cell>
          <cell r="AF883">
            <v>0</v>
          </cell>
          <cell r="AG883">
            <v>4.0848000000000002E-2</v>
          </cell>
          <cell r="AH883">
            <v>1.1193333333333333</v>
          </cell>
          <cell r="AI883">
            <v>0</v>
          </cell>
          <cell r="AJ883">
            <v>9530</v>
          </cell>
          <cell r="AK883">
            <v>0</v>
          </cell>
          <cell r="AL883">
            <v>2.3E-3</v>
          </cell>
          <cell r="AM883" t="str">
            <v>túi ba biên</v>
          </cell>
          <cell r="AN883">
            <v>250</v>
          </cell>
          <cell r="AO883" t="str">
            <v>Công ty TNHH Bánh Châu Á</v>
          </cell>
          <cell r="AP883" t="str">
            <v>F128292-1</v>
          </cell>
          <cell r="AQ883" t="str">
            <v>F128292-2</v>
          </cell>
          <cell r="AR883" t="str">
            <v>F128292-3</v>
          </cell>
          <cell r="AS883" t="str">
            <v>F128292-4</v>
          </cell>
          <cell r="AT883" t="str">
            <v>F128292-5</v>
          </cell>
          <cell r="AU883" t="str">
            <v>F128292-6</v>
          </cell>
          <cell r="AV883">
            <v>0</v>
          </cell>
          <cell r="AW883">
            <v>0</v>
          </cell>
          <cell r="AX883">
            <v>0</v>
          </cell>
          <cell r="AY883" t="str">
            <v>500x870</v>
          </cell>
          <cell r="AZ883">
            <v>0</v>
          </cell>
          <cell r="BA883">
            <v>0</v>
          </cell>
          <cell r="BB883">
            <v>0</v>
          </cell>
          <cell r="BC883">
            <v>0</v>
          </cell>
          <cell r="BD883" t="e">
            <v>#N/A</v>
          </cell>
        </row>
        <row r="884">
          <cell r="A884" t="str">
            <v>sp 1395</v>
          </cell>
          <cell r="B884" t="str">
            <v>Túi thuốc sâu Tasieu 5WG hiệu AKA 47 30gr Việt Thắng</v>
          </cell>
          <cell r="C884">
            <v>0</v>
          </cell>
          <cell r="D884">
            <v>3</v>
          </cell>
          <cell r="E884" t="str">
            <v>PET 12x680</v>
          </cell>
          <cell r="F884">
            <v>6</v>
          </cell>
          <cell r="G884" t="str">
            <v>PET</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t="str">
            <v>Al 6x680</v>
          </cell>
          <cell r="AF884" t="str">
            <v>PE 85x690</v>
          </cell>
          <cell r="AG884">
            <v>7.5945800000000008E-2</v>
          </cell>
          <cell r="AH884">
            <v>1.1166666666666667</v>
          </cell>
          <cell r="AI884">
            <v>1.1333333333333335</v>
          </cell>
          <cell r="AJ884">
            <v>9530</v>
          </cell>
          <cell r="AK884">
            <v>9530</v>
          </cell>
          <cell r="AL884" t="str">
            <v>0,005(0,0025;0,0025)</v>
          </cell>
          <cell r="AM884" t="str">
            <v xml:space="preserve">túi ba biên </v>
          </cell>
          <cell r="AN884">
            <v>160</v>
          </cell>
          <cell r="AO884" t="str">
            <v>Công ty Việt Thắng</v>
          </cell>
          <cell r="AP884" t="str">
            <v>21041096-1</v>
          </cell>
          <cell r="AQ884" t="str">
            <v>21041096-2</v>
          </cell>
          <cell r="AR884" t="str">
            <v>21041096-3</v>
          </cell>
          <cell r="AS884" t="str">
            <v>21041096-4</v>
          </cell>
          <cell r="AT884" t="str">
            <v>21041096-5</v>
          </cell>
          <cell r="AU884" t="str">
            <v>21041096-6</v>
          </cell>
          <cell r="AV884">
            <v>0</v>
          </cell>
          <cell r="AW884">
            <v>0</v>
          </cell>
          <cell r="AX884">
            <v>0</v>
          </cell>
          <cell r="AY884" t="str">
            <v>480x870</v>
          </cell>
          <cell r="AZ884">
            <v>0</v>
          </cell>
          <cell r="BA884">
            <v>0</v>
          </cell>
          <cell r="BB884">
            <v>0</v>
          </cell>
          <cell r="BC884">
            <v>0</v>
          </cell>
          <cell r="BD884" t="e">
            <v>#N/A</v>
          </cell>
        </row>
        <row r="885">
          <cell r="A885" t="str">
            <v>sp 1396</v>
          </cell>
          <cell r="B885" t="str">
            <v>Túi bánh cracker và kem sobi 260gr -Anko</v>
          </cell>
          <cell r="C885">
            <v>21.298000000000002</v>
          </cell>
          <cell r="D885">
            <v>1</v>
          </cell>
          <cell r="E885" t="str">
            <v>PET 12x630</v>
          </cell>
          <cell r="F885">
            <v>7</v>
          </cell>
          <cell r="G885" t="str">
            <v>PET</v>
          </cell>
          <cell r="H885">
            <v>0.34699999999999998</v>
          </cell>
          <cell r="I885">
            <v>12.759</v>
          </cell>
          <cell r="J885">
            <v>1.8029999999999999</v>
          </cell>
          <cell r="K885">
            <v>0.27700000000000002</v>
          </cell>
          <cell r="L885">
            <v>1.8720000000000001</v>
          </cell>
          <cell r="M885">
            <v>2.3580000000000001</v>
          </cell>
          <cell r="N885">
            <v>0</v>
          </cell>
          <cell r="O885">
            <v>0</v>
          </cell>
          <cell r="P885">
            <v>0</v>
          </cell>
          <cell r="Q885">
            <v>0.01</v>
          </cell>
          <cell r="R885">
            <v>1.8720000000000001</v>
          </cell>
          <cell r="S885">
            <v>0</v>
          </cell>
          <cell r="T885">
            <v>0</v>
          </cell>
          <cell r="U885">
            <v>0</v>
          </cell>
          <cell r="V885">
            <v>0</v>
          </cell>
          <cell r="W885">
            <v>0</v>
          </cell>
          <cell r="X885">
            <v>0</v>
          </cell>
          <cell r="Y885">
            <v>0</v>
          </cell>
          <cell r="Z885">
            <v>0</v>
          </cell>
          <cell r="AA885">
            <v>0</v>
          </cell>
          <cell r="AB885">
            <v>0</v>
          </cell>
          <cell r="AC885">
            <v>0</v>
          </cell>
          <cell r="AD885">
            <v>0</v>
          </cell>
          <cell r="AE885" t="str">
            <v>PET 12x270 (267,5)
MPET 12x362,5</v>
          </cell>
          <cell r="AF885" t="str">
            <v>PE 60x630</v>
          </cell>
          <cell r="AG885">
            <v>5.6174999999999996E-2</v>
          </cell>
          <cell r="AH885">
            <v>0.95066666666666655</v>
          </cell>
          <cell r="AI885">
            <v>0.95066666666666655</v>
          </cell>
          <cell r="AJ885">
            <v>9530</v>
          </cell>
          <cell r="AK885">
            <v>9530</v>
          </cell>
          <cell r="AL885" t="str">
            <v>0,0046(0,0023;0,0023)</v>
          </cell>
          <cell r="AM885" t="str">
            <v>túi ba biên đáy đứng</v>
          </cell>
          <cell r="AN885">
            <v>200</v>
          </cell>
          <cell r="AO885" t="str">
            <v>Công ty SX&amp;TM ASI Miền Bắc</v>
          </cell>
          <cell r="AP885" t="str">
            <v>21041142-1</v>
          </cell>
          <cell r="AQ885" t="str">
            <v>21041142-2</v>
          </cell>
          <cell r="AR885" t="str">
            <v>21041142-3</v>
          </cell>
          <cell r="AS885" t="str">
            <v>21041142-4</v>
          </cell>
          <cell r="AT885" t="str">
            <v>21041142-5</v>
          </cell>
          <cell r="AU885" t="str">
            <v>21041142-6</v>
          </cell>
          <cell r="AV885" t="str">
            <v>21041142-7</v>
          </cell>
          <cell r="AW885">
            <v>0</v>
          </cell>
          <cell r="AX885">
            <v>0</v>
          </cell>
          <cell r="AY885" t="str">
            <v>600x870</v>
          </cell>
          <cell r="AZ885">
            <v>0</v>
          </cell>
          <cell r="BA885">
            <v>0</v>
          </cell>
          <cell r="BB885">
            <v>0</v>
          </cell>
          <cell r="BC885">
            <v>0</v>
          </cell>
          <cell r="BD885" t="e">
            <v>#N/A</v>
          </cell>
        </row>
        <row r="886">
          <cell r="A886" t="str">
            <v>sp 1397a</v>
          </cell>
          <cell r="B886" t="str">
            <v>Túi thuốc thú y không in KT 110x160mm  Thái Dương</v>
          </cell>
          <cell r="C886">
            <v>0</v>
          </cell>
          <cell r="D886">
            <v>4</v>
          </cell>
          <cell r="E886" t="str">
            <v>OPP 20x900</v>
          </cell>
          <cell r="F886">
            <v>0</v>
          </cell>
          <cell r="G886" t="str">
            <v>OPP</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t="str">
            <v>PE 50x900</v>
          </cell>
          <cell r="AF886">
            <v>0</v>
          </cell>
          <cell r="AG886">
            <v>5.8005000000000008E-2</v>
          </cell>
          <cell r="AH886">
            <v>1.3646666666666665</v>
          </cell>
          <cell r="AI886">
            <v>0</v>
          </cell>
          <cell r="AJ886">
            <v>9530</v>
          </cell>
          <cell r="AK886">
            <v>0</v>
          </cell>
          <cell r="AL886">
            <v>2.3E-3</v>
          </cell>
          <cell r="AM886" t="str">
            <v>túi ba biên</v>
          </cell>
          <cell r="AN886">
            <v>160</v>
          </cell>
          <cell r="AO886" t="str">
            <v>Công ty CP Thú Y SVT Thái Dương</v>
          </cell>
          <cell r="AP886" t="e">
            <v>#N/A</v>
          </cell>
          <cell r="AQ886" t="e">
            <v>#N/A</v>
          </cell>
          <cell r="AR886" t="e">
            <v>#N/A</v>
          </cell>
          <cell r="AS886" t="e">
            <v>#N/A</v>
          </cell>
          <cell r="AT886" t="e">
            <v>#N/A</v>
          </cell>
          <cell r="AU886" t="e">
            <v>#N/A</v>
          </cell>
          <cell r="AV886" t="e">
            <v>#N/A</v>
          </cell>
          <cell r="AW886" t="e">
            <v>#N/A</v>
          </cell>
          <cell r="AX886" t="e">
            <v>#N/A</v>
          </cell>
          <cell r="AY886" t="e">
            <v>#N/A</v>
          </cell>
          <cell r="AZ886" t="e">
            <v>#N/A</v>
          </cell>
          <cell r="BA886">
            <v>0</v>
          </cell>
          <cell r="BB886">
            <v>0</v>
          </cell>
          <cell r="BC886">
            <v>0</v>
          </cell>
          <cell r="BD886" t="e">
            <v>#N/A</v>
          </cell>
        </row>
        <row r="887">
          <cell r="A887" t="str">
            <v>sp 1397b</v>
          </cell>
          <cell r="B887" t="str">
            <v>Túi thuốc thú y không in KT 110x160mm  Thái Dương</v>
          </cell>
          <cell r="C887">
            <v>0</v>
          </cell>
          <cell r="D887">
            <v>4</v>
          </cell>
          <cell r="E887" t="str">
            <v>PET 12x900</v>
          </cell>
          <cell r="F887">
            <v>0</v>
          </cell>
          <cell r="G887" t="str">
            <v>PET</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t="str">
            <v>PE 65x900</v>
          </cell>
          <cell r="AF887">
            <v>0</v>
          </cell>
          <cell r="AG887">
            <v>6.9232500000000002E-2</v>
          </cell>
          <cell r="AH887">
            <v>1.3646666666666665</v>
          </cell>
          <cell r="AI887">
            <v>0</v>
          </cell>
          <cell r="AJ887">
            <v>9530</v>
          </cell>
          <cell r="AK887">
            <v>0</v>
          </cell>
          <cell r="AL887">
            <v>2.3E-3</v>
          </cell>
          <cell r="AM887" t="str">
            <v>túi ba biên</v>
          </cell>
          <cell r="AN887">
            <v>160</v>
          </cell>
          <cell r="AO887" t="str">
            <v>Công ty CP Thú Y SVT Thái Dương</v>
          </cell>
          <cell r="AP887" t="e">
            <v>#N/A</v>
          </cell>
          <cell r="AQ887" t="e">
            <v>#N/A</v>
          </cell>
          <cell r="AR887" t="e">
            <v>#N/A</v>
          </cell>
          <cell r="AS887" t="e">
            <v>#N/A</v>
          </cell>
          <cell r="AT887" t="e">
            <v>#N/A</v>
          </cell>
          <cell r="AU887" t="e">
            <v>#N/A</v>
          </cell>
          <cell r="AV887" t="e">
            <v>#N/A</v>
          </cell>
          <cell r="AW887" t="e">
            <v>#N/A</v>
          </cell>
          <cell r="AX887" t="e">
            <v>#N/A</v>
          </cell>
          <cell r="AY887" t="e">
            <v>#N/A</v>
          </cell>
          <cell r="AZ887" t="e">
            <v>#N/A</v>
          </cell>
          <cell r="BA887">
            <v>0</v>
          </cell>
          <cell r="BB887">
            <v>0</v>
          </cell>
          <cell r="BC887">
            <v>0</v>
          </cell>
          <cell r="BD887" t="e">
            <v>#N/A</v>
          </cell>
        </row>
        <row r="888">
          <cell r="A888" t="str">
            <v>sp 1398</v>
          </cell>
          <cell r="B888" t="str">
            <v>Túi thuốc thú y không in KT 140x190mm Thái Dương</v>
          </cell>
          <cell r="C888">
            <v>0</v>
          </cell>
          <cell r="D888">
            <v>3</v>
          </cell>
          <cell r="E888" t="str">
            <v>OPP 20x860</v>
          </cell>
          <cell r="F888">
            <v>0</v>
          </cell>
          <cell r="G888" t="str">
            <v>OPP</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t="str">
            <v>PE 50x860</v>
          </cell>
          <cell r="AF888">
            <v>0</v>
          </cell>
          <cell r="AG888">
            <v>5.5427000000000004E-2</v>
          </cell>
          <cell r="AH888">
            <v>1.3033333333333332</v>
          </cell>
          <cell r="AI888">
            <v>0</v>
          </cell>
          <cell r="AJ888">
            <v>9530</v>
          </cell>
          <cell r="AK888">
            <v>0</v>
          </cell>
          <cell r="AL888">
            <v>2.3E-3</v>
          </cell>
          <cell r="AM888" t="str">
            <v>túi ba biên</v>
          </cell>
          <cell r="AN888">
            <v>190</v>
          </cell>
          <cell r="AO888" t="str">
            <v>Công ty CP Thú Y SVT Thái Dương</v>
          </cell>
          <cell r="AP888">
            <v>0</v>
          </cell>
          <cell r="AQ888">
            <v>0</v>
          </cell>
          <cell r="AR888">
            <v>0</v>
          </cell>
          <cell r="AS888">
            <v>0</v>
          </cell>
          <cell r="AT888">
            <v>0</v>
          </cell>
          <cell r="AU888">
            <v>0</v>
          </cell>
          <cell r="AV888">
            <v>0</v>
          </cell>
          <cell r="AW888">
            <v>0</v>
          </cell>
          <cell r="AX888">
            <v>0</v>
          </cell>
          <cell r="AY888">
            <v>0</v>
          </cell>
          <cell r="AZ888">
            <v>0</v>
          </cell>
          <cell r="BA888">
            <v>0</v>
          </cell>
          <cell r="BB888">
            <v>0</v>
          </cell>
          <cell r="BC888">
            <v>0</v>
          </cell>
          <cell r="BD888" t="e">
            <v>#N/A</v>
          </cell>
        </row>
        <row r="889">
          <cell r="A889" t="str">
            <v>sp 1399</v>
          </cell>
          <cell r="B889" t="str">
            <v>Túi kẹo mút creat bag eikodo</v>
          </cell>
          <cell r="C889">
            <v>14.886999999999999</v>
          </cell>
          <cell r="D889">
            <v>2</v>
          </cell>
          <cell r="E889" t="str">
            <v>OPP 30x700</v>
          </cell>
          <cell r="F889">
            <v>8</v>
          </cell>
          <cell r="G889" t="str">
            <v>OPP</v>
          </cell>
          <cell r="H889">
            <v>0.33</v>
          </cell>
          <cell r="I889">
            <v>11.366</v>
          </cell>
          <cell r="J889">
            <v>0.01</v>
          </cell>
          <cell r="K889">
            <v>0.26400000000000001</v>
          </cell>
          <cell r="L889">
            <v>1.5860000000000001</v>
          </cell>
          <cell r="M889">
            <v>1.0569999999999999</v>
          </cell>
          <cell r="N889">
            <v>0</v>
          </cell>
          <cell r="O889">
            <v>0.13200000000000001</v>
          </cell>
          <cell r="P889">
            <v>0.13200000000000001</v>
          </cell>
          <cell r="Q889">
            <v>0</v>
          </cell>
          <cell r="R889">
            <v>0.01</v>
          </cell>
          <cell r="S889">
            <v>0</v>
          </cell>
          <cell r="T889">
            <v>0</v>
          </cell>
          <cell r="U889">
            <v>0</v>
          </cell>
          <cell r="V889">
            <v>0</v>
          </cell>
          <cell r="W889">
            <v>0</v>
          </cell>
          <cell r="X889">
            <v>0</v>
          </cell>
          <cell r="Y889">
            <v>0</v>
          </cell>
          <cell r="Z889">
            <v>0</v>
          </cell>
          <cell r="AA889">
            <v>0</v>
          </cell>
          <cell r="AB889">
            <v>0</v>
          </cell>
          <cell r="AC889">
            <v>0</v>
          </cell>
          <cell r="AD889">
            <v>0</v>
          </cell>
          <cell r="AE889" t="str">
            <v>CPP 30x700</v>
          </cell>
          <cell r="AF889">
            <v>0</v>
          </cell>
          <cell r="AG889">
            <v>3.8219999999999997E-2</v>
          </cell>
          <cell r="AH889">
            <v>1.1499999999999999</v>
          </cell>
          <cell r="AI889">
            <v>0</v>
          </cell>
          <cell r="AJ889">
            <v>9530</v>
          </cell>
          <cell r="AK889">
            <v>0</v>
          </cell>
          <cell r="AL889">
            <v>2.5000000000000001E-3</v>
          </cell>
          <cell r="AM889" t="str">
            <v>túi ba biên</v>
          </cell>
          <cell r="AN889">
            <v>235</v>
          </cell>
          <cell r="AO889" t="str">
            <v>Công ty kẹo nhật bản eikodo</v>
          </cell>
          <cell r="AP889" t="str">
            <v>21050473-1</v>
          </cell>
          <cell r="AQ889" t="str">
            <v>21050473-2</v>
          </cell>
          <cell r="AR889" t="str">
            <v>21050473-3</v>
          </cell>
          <cell r="AS889" t="str">
            <v>21050473-4</v>
          </cell>
          <cell r="AT889" t="str">
            <v>21050473-5</v>
          </cell>
          <cell r="AU889" t="str">
            <v>21050473-6</v>
          </cell>
          <cell r="AV889" t="str">
            <v>21050473-7</v>
          </cell>
          <cell r="AW889" t="str">
            <v>21050473-8</v>
          </cell>
          <cell r="AX889">
            <v>0</v>
          </cell>
          <cell r="AY889" t="str">
            <v>470x870</v>
          </cell>
          <cell r="AZ889">
            <v>0</v>
          </cell>
          <cell r="BA889">
            <v>0</v>
          </cell>
          <cell r="BB889">
            <v>0</v>
          </cell>
          <cell r="BC889">
            <v>0</v>
          </cell>
          <cell r="BD889" t="e">
            <v>#N/A</v>
          </cell>
        </row>
        <row r="890">
          <cell r="A890" t="str">
            <v>sp 1400</v>
          </cell>
          <cell r="B890" t="str">
            <v>Cuộn bánh bao chay hương cốm 200gr Phú Mỹ</v>
          </cell>
          <cell r="C890">
            <v>7.230999999999999</v>
          </cell>
          <cell r="D890">
            <v>2</v>
          </cell>
          <cell r="E890" t="str">
            <v>OPP 20x730</v>
          </cell>
          <cell r="F890">
            <v>6</v>
          </cell>
          <cell r="G890" t="str">
            <v>OPP</v>
          </cell>
          <cell r="H890">
            <v>0.21299999999999999</v>
          </cell>
          <cell r="I890">
            <v>3.7589999999999999</v>
          </cell>
          <cell r="J890">
            <v>0.28899999999999998</v>
          </cell>
          <cell r="K890">
            <v>0.01</v>
          </cell>
          <cell r="L890">
            <v>1.2150000000000001</v>
          </cell>
          <cell r="M890">
            <v>1.619</v>
          </cell>
          <cell r="N890">
            <v>0</v>
          </cell>
          <cell r="O890">
            <v>0</v>
          </cell>
          <cell r="P890">
            <v>0</v>
          </cell>
          <cell r="Q890">
            <v>0.11600000000000001</v>
          </cell>
          <cell r="R890">
            <v>0</v>
          </cell>
          <cell r="S890">
            <v>0.01</v>
          </cell>
          <cell r="T890">
            <v>0</v>
          </cell>
          <cell r="U890">
            <v>0</v>
          </cell>
          <cell r="V890">
            <v>0</v>
          </cell>
          <cell r="W890">
            <v>0</v>
          </cell>
          <cell r="X890">
            <v>0</v>
          </cell>
          <cell r="Y890">
            <v>0</v>
          </cell>
          <cell r="Z890">
            <v>0</v>
          </cell>
          <cell r="AA890">
            <v>0</v>
          </cell>
          <cell r="AB890">
            <v>0</v>
          </cell>
          <cell r="AC890">
            <v>0</v>
          </cell>
          <cell r="AD890">
            <v>0</v>
          </cell>
          <cell r="AE890" t="str">
            <v>PE 55x730</v>
          </cell>
          <cell r="AF890">
            <v>0</v>
          </cell>
          <cell r="AG890">
            <v>5.0424749999999997E-2</v>
          </cell>
          <cell r="AH890">
            <v>1.1039999999999999</v>
          </cell>
          <cell r="AI890">
            <v>0</v>
          </cell>
          <cell r="AJ890">
            <v>9530</v>
          </cell>
          <cell r="AK890">
            <v>0</v>
          </cell>
          <cell r="AL890">
            <v>2.3E-3</v>
          </cell>
          <cell r="AM890" t="str">
            <v>dạng cuộn 500</v>
          </cell>
          <cell r="AN890">
            <v>355</v>
          </cell>
          <cell r="AO890" t="str">
            <v>Công ty Phú Mỹ</v>
          </cell>
          <cell r="AP890" t="str">
            <v>21050808-1</v>
          </cell>
          <cell r="AQ890" t="str">
            <v>21050808-2</v>
          </cell>
          <cell r="AR890" t="str">
            <v>21050808-3</v>
          </cell>
          <cell r="AS890" t="str">
            <v>21050808-4</v>
          </cell>
          <cell r="AT890" t="str">
            <v>21050808-5</v>
          </cell>
          <cell r="AU890" t="str">
            <v>21050808-6</v>
          </cell>
          <cell r="AV890">
            <v>0</v>
          </cell>
          <cell r="AW890">
            <v>0</v>
          </cell>
          <cell r="AX890">
            <v>0</v>
          </cell>
          <cell r="AY890" t="str">
            <v>532x870</v>
          </cell>
          <cell r="AZ890">
            <v>0</v>
          </cell>
          <cell r="BA890">
            <v>0</v>
          </cell>
          <cell r="BB890">
            <v>0</v>
          </cell>
          <cell r="BC890">
            <v>0</v>
          </cell>
          <cell r="BD890" t="e">
            <v>#N/A</v>
          </cell>
        </row>
        <row r="891">
          <cell r="A891" t="str">
            <v>sp 1401</v>
          </cell>
          <cell r="B891" t="str">
            <v>Cuộn thuốc sâu bemab 52WG hiệu xạ thủ voi thái 10gr Việt Thắng</v>
          </cell>
          <cell r="C891">
            <v>6.5270000000000001</v>
          </cell>
          <cell r="D891">
            <v>4</v>
          </cell>
          <cell r="E891" t="str">
            <v>PET 12x820</v>
          </cell>
          <cell r="F891">
            <v>6</v>
          </cell>
          <cell r="G891" t="str">
            <v>PET</v>
          </cell>
          <cell r="H891">
            <v>0.625</v>
          </cell>
          <cell r="I891">
            <v>2.9860000000000002</v>
          </cell>
          <cell r="J891">
            <v>0</v>
          </cell>
          <cell r="K891">
            <v>0.34699999999999998</v>
          </cell>
          <cell r="L891">
            <v>1.458</v>
          </cell>
          <cell r="M891">
            <v>0.97199999999999998</v>
          </cell>
          <cell r="N891">
            <v>0</v>
          </cell>
          <cell r="O891">
            <v>0</v>
          </cell>
          <cell r="P891">
            <v>0</v>
          </cell>
          <cell r="Q891">
            <v>0</v>
          </cell>
          <cell r="R891">
            <v>0.13900000000000001</v>
          </cell>
          <cell r="S891">
            <v>0</v>
          </cell>
          <cell r="T891">
            <v>0</v>
          </cell>
          <cell r="U891">
            <v>0</v>
          </cell>
          <cell r="V891">
            <v>0</v>
          </cell>
          <cell r="W891">
            <v>0</v>
          </cell>
          <cell r="X891">
            <v>0</v>
          </cell>
          <cell r="Y891">
            <v>0</v>
          </cell>
          <cell r="Z891">
            <v>0</v>
          </cell>
          <cell r="AA891">
            <v>0</v>
          </cell>
          <cell r="AB891">
            <v>0</v>
          </cell>
          <cell r="AC891">
            <v>0</v>
          </cell>
          <cell r="AD891">
            <v>0</v>
          </cell>
          <cell r="AE891" t="str">
            <v>Al 6x820</v>
          </cell>
          <cell r="AF891" t="str">
            <v>PE 90x830</v>
          </cell>
          <cell r="AG891">
            <v>9.5374199999999992E-2</v>
          </cell>
          <cell r="AH891">
            <v>1.242</v>
          </cell>
          <cell r="AI891">
            <v>1.35</v>
          </cell>
          <cell r="AJ891">
            <v>9530</v>
          </cell>
          <cell r="AK891">
            <v>9530</v>
          </cell>
          <cell r="AL891" t="str">
            <v>0,0048(0,0023;0,0025)</v>
          </cell>
          <cell r="AM891" t="str">
            <v>dạng cuộn 700m</v>
          </cell>
          <cell r="AN891">
            <v>200</v>
          </cell>
          <cell r="AO891" t="str">
            <v>Công ty Việt Thắng</v>
          </cell>
          <cell r="AP891" t="str">
            <v>21050940-1</v>
          </cell>
          <cell r="AQ891" t="str">
            <v>21050940-2</v>
          </cell>
          <cell r="AR891" t="str">
            <v>21050940-3</v>
          </cell>
          <cell r="AS891" t="str">
            <v>21050940-4</v>
          </cell>
          <cell r="AT891" t="str">
            <v>21050940-5</v>
          </cell>
          <cell r="AU891" t="str">
            <v>21050940-6</v>
          </cell>
          <cell r="AV891">
            <v>0</v>
          </cell>
          <cell r="AW891">
            <v>0</v>
          </cell>
          <cell r="AX891">
            <v>0</v>
          </cell>
          <cell r="AY891" t="str">
            <v>435x870</v>
          </cell>
          <cell r="AZ891">
            <v>0</v>
          </cell>
          <cell r="BA891">
            <v>0</v>
          </cell>
          <cell r="BB891">
            <v>0</v>
          </cell>
          <cell r="BC891">
            <v>0</v>
          </cell>
          <cell r="BD891" t="e">
            <v>#N/A</v>
          </cell>
        </row>
        <row r="892">
          <cell r="A892" t="str">
            <v>sp 1402</v>
          </cell>
          <cell r="B892" t="str">
            <v>Cuộn thuốc nước pesieu 500SC loại 10ml Việt Thắng</v>
          </cell>
          <cell r="C892">
            <v>6.3379999999999992</v>
          </cell>
          <cell r="D892">
            <v>5</v>
          </cell>
          <cell r="E892" t="str">
            <v>PET 12x770</v>
          </cell>
          <cell r="F892">
            <v>6</v>
          </cell>
          <cell r="G892" t="str">
            <v>PET</v>
          </cell>
          <cell r="H892">
            <v>0.25</v>
          </cell>
          <cell r="I892">
            <v>2.9159999999999999</v>
          </cell>
          <cell r="J892">
            <v>0.01</v>
          </cell>
          <cell r="K892">
            <v>0.01</v>
          </cell>
          <cell r="L892">
            <v>1.9159999999999999</v>
          </cell>
          <cell r="M892">
            <v>1.1659999999999999</v>
          </cell>
          <cell r="N892">
            <v>0</v>
          </cell>
          <cell r="O892">
            <v>0</v>
          </cell>
          <cell r="P892">
            <v>0</v>
          </cell>
          <cell r="Q892">
            <v>0</v>
          </cell>
          <cell r="R892">
            <v>7.0000000000000007E-2</v>
          </cell>
          <cell r="S892">
            <v>0</v>
          </cell>
          <cell r="T892">
            <v>0</v>
          </cell>
          <cell r="U892">
            <v>0</v>
          </cell>
          <cell r="V892">
            <v>0</v>
          </cell>
          <cell r="W892">
            <v>0</v>
          </cell>
          <cell r="X892">
            <v>0</v>
          </cell>
          <cell r="Y892">
            <v>0</v>
          </cell>
          <cell r="Z892">
            <v>0</v>
          </cell>
          <cell r="AA892">
            <v>0</v>
          </cell>
          <cell r="AB892">
            <v>0</v>
          </cell>
          <cell r="AC892">
            <v>0</v>
          </cell>
          <cell r="AD892">
            <v>0</v>
          </cell>
          <cell r="AE892" t="str">
            <v>MPET 12x770</v>
          </cell>
          <cell r="AF892" t="str">
            <v>PE ĐB 60x770</v>
          </cell>
          <cell r="AG892">
            <v>6.8607000000000001E-2</v>
          </cell>
          <cell r="AH892">
            <v>1.1653333333333333</v>
          </cell>
          <cell r="AI892">
            <v>1.52</v>
          </cell>
          <cell r="AJ892">
            <v>9530</v>
          </cell>
          <cell r="AK892">
            <v>9530</v>
          </cell>
          <cell r="AL892" t="str">
            <v>0,0053(0,0023;0,003)</v>
          </cell>
          <cell r="AM892" t="str">
            <v>dạng cuộn 700m</v>
          </cell>
          <cell r="AN892">
            <v>150</v>
          </cell>
          <cell r="AO892" t="str">
            <v>Công ty Việt Thắng</v>
          </cell>
          <cell r="AP892" t="str">
            <v>21050945-1</v>
          </cell>
          <cell r="AQ892" t="str">
            <v>21050945-2</v>
          </cell>
          <cell r="AR892" t="str">
            <v>21050945-3</v>
          </cell>
          <cell r="AS892" t="str">
            <v>21050945-4</v>
          </cell>
          <cell r="AT892" t="str">
            <v>21050945-5</v>
          </cell>
          <cell r="AU892" t="str">
            <v>21050945-6</v>
          </cell>
          <cell r="AV892">
            <v>0</v>
          </cell>
          <cell r="AW892">
            <v>0</v>
          </cell>
          <cell r="AX892">
            <v>0</v>
          </cell>
          <cell r="AY892" t="str">
            <v>400x870</v>
          </cell>
          <cell r="AZ892">
            <v>0</v>
          </cell>
          <cell r="BA892">
            <v>0</v>
          </cell>
          <cell r="BB892">
            <v>0</v>
          </cell>
          <cell r="BC892">
            <v>0</v>
          </cell>
          <cell r="BD892" t="e">
            <v>#N/A</v>
          </cell>
        </row>
        <row r="893">
          <cell r="A893" t="str">
            <v>sp 1403</v>
          </cell>
          <cell r="B893" t="str">
            <v>Túi thuốc thú y Sun SVT pharma 100gr - Thái Dương</v>
          </cell>
          <cell r="C893">
            <v>0.73499999999999999</v>
          </cell>
          <cell r="D893">
            <v>2</v>
          </cell>
          <cell r="E893" t="str">
            <v>PET 12x820</v>
          </cell>
          <cell r="F893">
            <v>2</v>
          </cell>
          <cell r="G893" t="str">
            <v>PET</v>
          </cell>
          <cell r="H893">
            <v>0.51800000000000002</v>
          </cell>
          <cell r="I893">
            <v>0</v>
          </cell>
          <cell r="J893">
            <v>0</v>
          </cell>
          <cell r="K893">
            <v>0.20699999999999999</v>
          </cell>
          <cell r="L893">
            <v>0</v>
          </cell>
          <cell r="M893">
            <v>0</v>
          </cell>
          <cell r="N893">
            <v>0</v>
          </cell>
          <cell r="O893">
            <v>0</v>
          </cell>
          <cell r="P893">
            <v>0.01</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t="str">
            <v>Al 6x820</v>
          </cell>
          <cell r="AF893" t="str">
            <v>PE 120x820</v>
          </cell>
          <cell r="AG893">
            <v>0.11812919999999999</v>
          </cell>
          <cell r="AH893">
            <v>1.62</v>
          </cell>
          <cell r="AI893">
            <v>1.62</v>
          </cell>
          <cell r="AJ893">
            <v>9530</v>
          </cell>
          <cell r="AK893">
            <v>9530</v>
          </cell>
          <cell r="AL893" t="str">
            <v>0,006(0,003;0,003)</v>
          </cell>
          <cell r="AM893" t="str">
            <v>túi ba biên</v>
          </cell>
          <cell r="AN893">
            <v>140</v>
          </cell>
          <cell r="AO893" t="str">
            <v>Công ty CP Thú Y SVT Thái Dương</v>
          </cell>
          <cell r="AP893" t="str">
            <v>21060203-1</v>
          </cell>
          <cell r="AQ893" t="str">
            <v>21060203-2</v>
          </cell>
          <cell r="AR893">
            <v>0</v>
          </cell>
          <cell r="AS893">
            <v>0</v>
          </cell>
          <cell r="AT893">
            <v>0</v>
          </cell>
          <cell r="AU893">
            <v>0</v>
          </cell>
          <cell r="AV893">
            <v>0</v>
          </cell>
          <cell r="AW893">
            <v>0</v>
          </cell>
          <cell r="AX893">
            <v>0</v>
          </cell>
          <cell r="AY893" t="str">
            <v>420x870</v>
          </cell>
          <cell r="AZ893">
            <v>0</v>
          </cell>
          <cell r="BA893">
            <v>0</v>
          </cell>
          <cell r="BB893">
            <v>0</v>
          </cell>
          <cell r="BC893">
            <v>0</v>
          </cell>
          <cell r="BD893" t="e">
            <v>#N/A</v>
          </cell>
        </row>
        <row r="894">
          <cell r="A894" t="str">
            <v>sp 1404</v>
          </cell>
          <cell r="B894" t="str">
            <v>Túi thuốc thú y Sun SVT pharma 1kg - Thái Dương</v>
          </cell>
          <cell r="C894">
            <v>0.58899999999999997</v>
          </cell>
          <cell r="D894">
            <v>1</v>
          </cell>
          <cell r="E894" t="str">
            <v>PET 12x660</v>
          </cell>
          <cell r="F894">
            <v>2</v>
          </cell>
          <cell r="G894" t="str">
            <v>PET</v>
          </cell>
          <cell r="H894">
            <v>6.4000000000000001E-2</v>
          </cell>
          <cell r="I894">
            <v>0</v>
          </cell>
          <cell r="J894">
            <v>0</v>
          </cell>
          <cell r="K894">
            <v>0.51500000000000001</v>
          </cell>
          <cell r="L894">
            <v>0</v>
          </cell>
          <cell r="M894">
            <v>0</v>
          </cell>
          <cell r="N894">
            <v>0</v>
          </cell>
          <cell r="O894">
            <v>0</v>
          </cell>
          <cell r="P894">
            <v>0.01</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t="str">
            <v>Al 6x660</v>
          </cell>
          <cell r="AF894" t="str">
            <v>PE120x660</v>
          </cell>
          <cell r="AG894">
            <v>9.50796E-2</v>
          </cell>
          <cell r="AH894">
            <v>1.3</v>
          </cell>
          <cell r="AI894">
            <v>1.3</v>
          </cell>
          <cell r="AJ894">
            <v>9530</v>
          </cell>
          <cell r="AK894">
            <v>9530</v>
          </cell>
          <cell r="AL894" t="str">
            <v>0,006(0,003;0,003)</v>
          </cell>
          <cell r="AM894" t="str">
            <v>túi ba biên</v>
          </cell>
          <cell r="AN894">
            <v>240</v>
          </cell>
          <cell r="AO894" t="str">
            <v>Công ty CP Thú Y SVT Thái Dương</v>
          </cell>
          <cell r="AP894" t="str">
            <v>21060205-1</v>
          </cell>
          <cell r="AQ894" t="str">
            <v>21060205-2</v>
          </cell>
          <cell r="AR894">
            <v>0</v>
          </cell>
          <cell r="AS894">
            <v>0</v>
          </cell>
          <cell r="AT894">
            <v>0</v>
          </cell>
          <cell r="AU894">
            <v>0</v>
          </cell>
          <cell r="AV894">
            <v>0</v>
          </cell>
          <cell r="AW894">
            <v>0</v>
          </cell>
          <cell r="AX894">
            <v>0</v>
          </cell>
          <cell r="AY894" t="str">
            <v>480x870</v>
          </cell>
          <cell r="AZ894">
            <v>0</v>
          </cell>
          <cell r="BA894">
            <v>0</v>
          </cell>
          <cell r="BB894">
            <v>0</v>
          </cell>
          <cell r="BC894">
            <v>0</v>
          </cell>
          <cell r="BD894" t="e">
            <v>#N/A</v>
          </cell>
        </row>
        <row r="895">
          <cell r="A895" t="str">
            <v>sp 1405</v>
          </cell>
          <cell r="B895" t="str">
            <v>Túi thuốc thú y sunvet pharma 100g -Thái Dương</v>
          </cell>
          <cell r="C895">
            <v>5.077</v>
          </cell>
          <cell r="D895">
            <v>2</v>
          </cell>
          <cell r="E895" t="str">
            <v>PET 12x820</v>
          </cell>
          <cell r="F895">
            <v>2</v>
          </cell>
          <cell r="G895" t="str">
            <v>PET</v>
          </cell>
          <cell r="H895">
            <v>0.104</v>
          </cell>
          <cell r="I895">
            <v>3.9359999999999999</v>
          </cell>
          <cell r="J895">
            <v>0</v>
          </cell>
          <cell r="K895">
            <v>0.311</v>
          </cell>
          <cell r="L895">
            <v>0</v>
          </cell>
          <cell r="M895">
            <v>0</v>
          </cell>
          <cell r="N895">
            <v>0</v>
          </cell>
          <cell r="O895">
            <v>0</v>
          </cell>
          <cell r="P895">
            <v>0.36299999999999999</v>
          </cell>
          <cell r="Q895">
            <v>0</v>
          </cell>
          <cell r="R895">
            <v>0</v>
          </cell>
          <cell r="S895">
            <v>0</v>
          </cell>
          <cell r="T895">
            <v>0</v>
          </cell>
          <cell r="U895">
            <v>0</v>
          </cell>
          <cell r="V895">
            <v>0</v>
          </cell>
          <cell r="W895">
            <v>0.36299999999999999</v>
          </cell>
          <cell r="X895">
            <v>0</v>
          </cell>
          <cell r="Y895">
            <v>0</v>
          </cell>
          <cell r="Z895">
            <v>0</v>
          </cell>
          <cell r="AA895">
            <v>0</v>
          </cell>
          <cell r="AB895">
            <v>0</v>
          </cell>
          <cell r="AC895">
            <v>0</v>
          </cell>
          <cell r="AD895">
            <v>0</v>
          </cell>
          <cell r="AE895" t="str">
            <v>Al 6x820</v>
          </cell>
          <cell r="AF895" t="str">
            <v>PE 120x820</v>
          </cell>
          <cell r="AG895">
            <v>0.11812919999999999</v>
          </cell>
          <cell r="AH895">
            <v>1.62</v>
          </cell>
          <cell r="AI895">
            <v>1.62</v>
          </cell>
          <cell r="AJ895">
            <v>9530</v>
          </cell>
          <cell r="AK895">
            <v>9530</v>
          </cell>
          <cell r="AL895" t="str">
            <v>0,006(0,003;0,003)</v>
          </cell>
          <cell r="AM895" t="str">
            <v>túi ba biên</v>
          </cell>
          <cell r="AN895">
            <v>140</v>
          </cell>
          <cell r="AO895" t="str">
            <v>Công ty CP Thú Y SVT Thái Dương</v>
          </cell>
          <cell r="AP895" t="str">
            <v>21060204-1</v>
          </cell>
          <cell r="AQ895" t="str">
            <v>21060204-2</v>
          </cell>
          <cell r="AR895">
            <v>0</v>
          </cell>
          <cell r="AS895">
            <v>0</v>
          </cell>
          <cell r="AT895">
            <v>0</v>
          </cell>
          <cell r="AU895">
            <v>0</v>
          </cell>
          <cell r="AV895">
            <v>0</v>
          </cell>
          <cell r="AW895">
            <v>0</v>
          </cell>
          <cell r="AX895">
            <v>0</v>
          </cell>
          <cell r="AY895" t="str">
            <v>420x870</v>
          </cell>
          <cell r="AZ895">
            <v>0</v>
          </cell>
          <cell r="BA895">
            <v>0</v>
          </cell>
          <cell r="BB895">
            <v>0</v>
          </cell>
          <cell r="BC895">
            <v>0</v>
          </cell>
          <cell r="BD895" t="e">
            <v>#N/A</v>
          </cell>
        </row>
        <row r="896">
          <cell r="A896" t="str">
            <v>sp 1406</v>
          </cell>
          <cell r="B896" t="str">
            <v>Túi thuốc thú y sunvet pharma 1kg -Thái Dương</v>
          </cell>
          <cell r="C896">
            <v>0</v>
          </cell>
          <cell r="D896">
            <v>1</v>
          </cell>
          <cell r="E896" t="str">
            <v>PET 12x660</v>
          </cell>
          <cell r="F896">
            <v>2</v>
          </cell>
          <cell r="G896" t="str">
            <v>PET</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t="str">
            <v>Al 6x660</v>
          </cell>
          <cell r="AF896" t="str">
            <v>PE 120x660</v>
          </cell>
          <cell r="AG896">
            <v>9.50796E-2</v>
          </cell>
          <cell r="AH896">
            <v>1.3</v>
          </cell>
          <cell r="AI896">
            <v>1.3</v>
          </cell>
          <cell r="AJ896">
            <v>9530</v>
          </cell>
          <cell r="AK896">
            <v>9530</v>
          </cell>
          <cell r="AL896" t="str">
            <v>0,006(0,003;0,003)</v>
          </cell>
          <cell r="AM896" t="str">
            <v>túi ba biên</v>
          </cell>
          <cell r="AN896">
            <v>240</v>
          </cell>
          <cell r="AO896" t="str">
            <v>Công ty CP Thú Y SVT Thái Dương</v>
          </cell>
          <cell r="AP896" t="str">
            <v>21060206-1</v>
          </cell>
          <cell r="AQ896" t="str">
            <v>21060206-2</v>
          </cell>
          <cell r="AR896">
            <v>0</v>
          </cell>
          <cell r="AS896">
            <v>0</v>
          </cell>
          <cell r="AT896">
            <v>0</v>
          </cell>
          <cell r="AU896">
            <v>0</v>
          </cell>
          <cell r="AV896">
            <v>0</v>
          </cell>
          <cell r="AW896">
            <v>0</v>
          </cell>
          <cell r="AX896">
            <v>0</v>
          </cell>
          <cell r="AY896" t="str">
            <v>480x870</v>
          </cell>
          <cell r="AZ896">
            <v>0</v>
          </cell>
          <cell r="BA896">
            <v>0</v>
          </cell>
          <cell r="BB896">
            <v>0</v>
          </cell>
          <cell r="BC896">
            <v>0</v>
          </cell>
          <cell r="BD896" t="e">
            <v>#N/A</v>
          </cell>
        </row>
        <row r="897">
          <cell r="A897" t="str">
            <v>sp 1407</v>
          </cell>
          <cell r="B897" t="str">
            <v>Cuộn nhôm xingfa ASN windoor Cơ Điện</v>
          </cell>
          <cell r="C897">
            <v>2.2000000000000002</v>
          </cell>
          <cell r="D897">
            <v>1</v>
          </cell>
          <cell r="E897" t="str">
            <v>PE đt 60x1240</v>
          </cell>
          <cell r="F897">
            <v>2</v>
          </cell>
          <cell r="G897" t="str">
            <v xml:space="preserve">PE </v>
          </cell>
          <cell r="H897">
            <v>0</v>
          </cell>
          <cell r="I897">
            <v>0</v>
          </cell>
          <cell r="J897">
            <v>0.4</v>
          </cell>
          <cell r="K897">
            <v>0</v>
          </cell>
          <cell r="L897">
            <v>0.6</v>
          </cell>
          <cell r="M897">
            <v>0</v>
          </cell>
          <cell r="N897">
            <v>0</v>
          </cell>
          <cell r="O897">
            <v>0</v>
          </cell>
          <cell r="P897">
            <v>0</v>
          </cell>
          <cell r="Q897">
            <v>0.2</v>
          </cell>
          <cell r="R897">
            <v>1</v>
          </cell>
          <cell r="S897">
            <v>0</v>
          </cell>
          <cell r="T897">
            <v>0</v>
          </cell>
          <cell r="U897">
            <v>0</v>
          </cell>
          <cell r="V897">
            <v>0</v>
          </cell>
          <cell r="W897">
            <v>0</v>
          </cell>
          <cell r="X897">
            <v>0</v>
          </cell>
          <cell r="Y897">
            <v>0</v>
          </cell>
          <cell r="Z897">
            <v>0</v>
          </cell>
          <cell r="AA897">
            <v>0</v>
          </cell>
          <cell r="AB897">
            <v>0</v>
          </cell>
          <cell r="AC897">
            <v>0</v>
          </cell>
          <cell r="AD897">
            <v>0</v>
          </cell>
          <cell r="AE897" t="str">
            <v>PE 30x1240</v>
          </cell>
          <cell r="AF897">
            <v>0</v>
          </cell>
          <cell r="AG897">
            <v>0.107322</v>
          </cell>
          <cell r="AH897">
            <v>0.49199999999999994</v>
          </cell>
          <cell r="AI897">
            <v>0</v>
          </cell>
          <cell r="AJ897" t="str">
            <v>keo 829B
ĐR 829A</v>
          </cell>
          <cell r="AK897">
            <v>0</v>
          </cell>
          <cell r="AL897">
            <v>1.1999999999999999E-3</v>
          </cell>
          <cell r="AM897" t="str">
            <v>dạng cuộn 1,500m</v>
          </cell>
          <cell r="AN897">
            <v>1240</v>
          </cell>
          <cell r="AO897" t="str">
            <v>Công ty Cơ Điện</v>
          </cell>
          <cell r="AP897" t="str">
            <v>21060126-1</v>
          </cell>
          <cell r="AQ897" t="str">
            <v>21060126-2</v>
          </cell>
          <cell r="AR897">
            <v>0</v>
          </cell>
          <cell r="AS897">
            <v>0</v>
          </cell>
          <cell r="AT897">
            <v>0</v>
          </cell>
          <cell r="AU897">
            <v>0</v>
          </cell>
          <cell r="AV897">
            <v>0</v>
          </cell>
          <cell r="AW897">
            <v>0</v>
          </cell>
          <cell r="AX897">
            <v>0</v>
          </cell>
          <cell r="AY897" t="str">
            <v>800x1300</v>
          </cell>
          <cell r="AZ897">
            <v>0</v>
          </cell>
          <cell r="BA897">
            <v>0</v>
          </cell>
          <cell r="BB897">
            <v>0</v>
          </cell>
          <cell r="BC897">
            <v>0</v>
          </cell>
          <cell r="BD897" t="e">
            <v>#N/A</v>
          </cell>
        </row>
        <row r="898">
          <cell r="A898" t="str">
            <v>sp 1408</v>
          </cell>
          <cell r="B898" t="str">
            <v>Cuộn đường sugar 1kg khổ 820 Sơn Tùng</v>
          </cell>
          <cell r="C898">
            <v>0</v>
          </cell>
          <cell r="D898">
            <v>1</v>
          </cell>
          <cell r="E898" t="str">
            <v>OPP 20x820</v>
          </cell>
          <cell r="F898">
            <v>0</v>
          </cell>
          <cell r="G898" t="str">
            <v>OPP</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t="str">
            <v>PE 35x820</v>
          </cell>
          <cell r="AF898">
            <v>0</v>
          </cell>
          <cell r="AG898">
            <v>4.1471500000000001E-2</v>
          </cell>
          <cell r="AH898">
            <v>0.54</v>
          </cell>
          <cell r="AI898">
            <v>0</v>
          </cell>
          <cell r="AJ898" t="str">
            <v>keo 829B
ĐR 829A</v>
          </cell>
          <cell r="AK898">
            <v>0</v>
          </cell>
          <cell r="AL898">
            <v>2E-3</v>
          </cell>
          <cell r="AM898" t="str">
            <v>dạng cuộn 4,000m</v>
          </cell>
          <cell r="AN898">
            <v>820</v>
          </cell>
          <cell r="AO898" t="str">
            <v>Công ty Sơn Tùng</v>
          </cell>
          <cell r="AP898">
            <v>0</v>
          </cell>
          <cell r="AQ898">
            <v>0</v>
          </cell>
          <cell r="AR898">
            <v>0</v>
          </cell>
          <cell r="AS898">
            <v>0</v>
          </cell>
          <cell r="AT898">
            <v>0</v>
          </cell>
          <cell r="AU898">
            <v>0</v>
          </cell>
          <cell r="AV898">
            <v>0</v>
          </cell>
          <cell r="AW898">
            <v>0</v>
          </cell>
          <cell r="AX898">
            <v>0</v>
          </cell>
          <cell r="AY898">
            <v>0</v>
          </cell>
          <cell r="AZ898">
            <v>0</v>
          </cell>
          <cell r="BA898">
            <v>0</v>
          </cell>
          <cell r="BB898">
            <v>0</v>
          </cell>
          <cell r="BC898">
            <v>0</v>
          </cell>
          <cell r="BD898" t="e">
            <v>#N/A</v>
          </cell>
        </row>
        <row r="899">
          <cell r="A899" t="str">
            <v>sp 1409</v>
          </cell>
          <cell r="B899" t="str">
            <v>Cuộn trà giảo cổ lam 2gr Tuệ Linh khổ 65,5mm</v>
          </cell>
          <cell r="C899">
            <v>12.197999999999997</v>
          </cell>
          <cell r="D899">
            <v>11</v>
          </cell>
          <cell r="E899" t="str">
            <v>OPP 30x740</v>
          </cell>
          <cell r="F899">
            <v>5</v>
          </cell>
          <cell r="G899" t="str">
            <v>OPP</v>
          </cell>
          <cell r="H899">
            <v>0.311</v>
          </cell>
          <cell r="I899">
            <v>5.8650000000000002</v>
          </cell>
          <cell r="J899">
            <v>0</v>
          </cell>
          <cell r="K899">
            <v>0</v>
          </cell>
          <cell r="L899">
            <v>4.0789999999999997</v>
          </cell>
          <cell r="M899">
            <v>0.69899999999999995</v>
          </cell>
          <cell r="N899">
            <v>0</v>
          </cell>
          <cell r="O899">
            <v>1.0880000000000001</v>
          </cell>
          <cell r="P899">
            <v>7.8E-2</v>
          </cell>
          <cell r="Q899">
            <v>7.8E-2</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t="str">
            <v>MCPP 25x740</v>
          </cell>
          <cell r="AF899">
            <v>0</v>
          </cell>
          <cell r="AG899">
            <v>3.7037E-2</v>
          </cell>
          <cell r="AH899">
            <v>1.1193333333333333</v>
          </cell>
          <cell r="AI899">
            <v>0</v>
          </cell>
          <cell r="AJ899">
            <v>9530</v>
          </cell>
          <cell r="AK899">
            <v>0</v>
          </cell>
          <cell r="AL899">
            <v>2.3E-3</v>
          </cell>
          <cell r="AM899" t="str">
            <v>dạng cuộn 1,500m</v>
          </cell>
          <cell r="AN899">
            <v>65.5</v>
          </cell>
          <cell r="AO899" t="str">
            <v>Công ty Cổ Phần Chè Kim Anh</v>
          </cell>
          <cell r="AP899" t="str">
            <v>F128803G1-1</v>
          </cell>
          <cell r="AQ899" t="str">
            <v>F128803G1-2</v>
          </cell>
          <cell r="AR899" t="str">
            <v>F128803-3</v>
          </cell>
          <cell r="AS899" t="str">
            <v>F128803-4</v>
          </cell>
          <cell r="AT899" t="str">
            <v>F128803-5</v>
          </cell>
          <cell r="AU899">
            <v>0</v>
          </cell>
          <cell r="AV899">
            <v>0</v>
          </cell>
          <cell r="AW899">
            <v>0</v>
          </cell>
          <cell r="AX899">
            <v>0</v>
          </cell>
          <cell r="AY899" t="str">
            <v>462x870</v>
          </cell>
          <cell r="AZ899">
            <v>0</v>
          </cell>
          <cell r="BA899">
            <v>0</v>
          </cell>
          <cell r="BB899">
            <v>0</v>
          </cell>
          <cell r="BC899">
            <v>0</v>
          </cell>
          <cell r="BD899" t="e">
            <v>#N/A</v>
          </cell>
        </row>
        <row r="900">
          <cell r="A900" t="str">
            <v>sp 1410</v>
          </cell>
          <cell r="B900" t="str">
            <v>Túi nước xả vải susino 1,5L Hòa Hợp</v>
          </cell>
          <cell r="C900">
            <v>16.153000000000002</v>
          </cell>
          <cell r="D900">
            <v>1</v>
          </cell>
          <cell r="E900" t="str">
            <v>PET 12x710</v>
          </cell>
          <cell r="F900">
            <v>7</v>
          </cell>
          <cell r="G900" t="str">
            <v>PET</v>
          </cell>
          <cell r="H900">
            <v>1.0169999999999999</v>
          </cell>
          <cell r="I900">
            <v>4.7030000000000003</v>
          </cell>
          <cell r="J900">
            <v>0.01</v>
          </cell>
          <cell r="K900">
            <v>1.0169999999999999</v>
          </cell>
          <cell r="L900">
            <v>5.3380000000000001</v>
          </cell>
          <cell r="M900">
            <v>3.3050000000000002</v>
          </cell>
          <cell r="N900">
            <v>0.76300000000000001</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t="str">
            <v>MPET 12x710</v>
          </cell>
          <cell r="AF900" t="str">
            <v>PA15x710/
PE150x710</v>
          </cell>
          <cell r="AG900">
            <v>0.13461599999999999</v>
          </cell>
          <cell r="AH900">
            <v>1.7517517517517516</v>
          </cell>
          <cell r="AI900">
            <v>1.4</v>
          </cell>
          <cell r="AJ900">
            <v>9530</v>
          </cell>
          <cell r="AK900">
            <v>9530</v>
          </cell>
          <cell r="AL900" t="str">
            <v>0,0088(0,0023;0,003;0,0035)</v>
          </cell>
          <cell r="AM900" t="str">
            <v>túi đáy đứng</v>
          </cell>
          <cell r="AN900">
            <v>210</v>
          </cell>
          <cell r="AO900" t="str">
            <v>Công ty TNHH Bột giặt và Hóa Mỹ Phẩm Quốc Tế</v>
          </cell>
          <cell r="AP900" t="str">
            <v>F128802-1</v>
          </cell>
          <cell r="AQ900" t="str">
            <v>F128802-2</v>
          </cell>
          <cell r="AR900" t="str">
            <v>F128802-3</v>
          </cell>
          <cell r="AS900" t="str">
            <v>F128802-4</v>
          </cell>
          <cell r="AT900" t="str">
            <v>F128802-5</v>
          </cell>
          <cell r="AU900" t="str">
            <v>F128802-6</v>
          </cell>
          <cell r="AV900" t="str">
            <v>F128802-7</v>
          </cell>
          <cell r="AW900">
            <v>0</v>
          </cell>
          <cell r="AX900">
            <v>0</v>
          </cell>
          <cell r="AY900" t="str">
            <v>420x870</v>
          </cell>
          <cell r="AZ900">
            <v>0</v>
          </cell>
          <cell r="BA900">
            <v>0</v>
          </cell>
          <cell r="BB900">
            <v>0</v>
          </cell>
          <cell r="BC900">
            <v>0</v>
          </cell>
          <cell r="BD900" t="e">
            <v>#N/A</v>
          </cell>
        </row>
        <row r="901">
          <cell r="A901" t="str">
            <v>sp 1411</v>
          </cell>
          <cell r="B901" t="str">
            <v>Túi phụ tùng vỏ yên xe máy Hồng Tiến</v>
          </cell>
          <cell r="C901">
            <v>1.7050000000000001</v>
          </cell>
          <cell r="D901">
            <v>1</v>
          </cell>
          <cell r="E901" t="str">
            <v>OPP 20x900</v>
          </cell>
          <cell r="F901">
            <v>3</v>
          </cell>
          <cell r="G901" t="str">
            <v>OPP</v>
          </cell>
          <cell r="H901">
            <v>0.375</v>
          </cell>
          <cell r="I901">
            <v>0.185</v>
          </cell>
          <cell r="J901">
            <v>0</v>
          </cell>
          <cell r="K901">
            <v>0</v>
          </cell>
          <cell r="L901">
            <v>0</v>
          </cell>
          <cell r="M901">
            <v>9.4E-2</v>
          </cell>
          <cell r="N901">
            <v>1.0309999999999999</v>
          </cell>
          <cell r="O901">
            <v>0</v>
          </cell>
          <cell r="P901">
            <v>0.01</v>
          </cell>
          <cell r="Q901">
            <v>0</v>
          </cell>
          <cell r="R901">
            <v>0</v>
          </cell>
          <cell r="S901">
            <v>0.01</v>
          </cell>
          <cell r="T901">
            <v>0</v>
          </cell>
          <cell r="U901">
            <v>0</v>
          </cell>
          <cell r="V901">
            <v>0</v>
          </cell>
          <cell r="W901">
            <v>0</v>
          </cell>
          <cell r="X901">
            <v>0</v>
          </cell>
          <cell r="Y901">
            <v>0</v>
          </cell>
          <cell r="Z901">
            <v>0</v>
          </cell>
          <cell r="AA901">
            <v>0</v>
          </cell>
          <cell r="AB901">
            <v>0</v>
          </cell>
          <cell r="AC901">
            <v>0</v>
          </cell>
          <cell r="AD901">
            <v>0</v>
          </cell>
          <cell r="AE901" t="str">
            <v>PE 60x900</v>
          </cell>
          <cell r="AF901">
            <v>0</v>
          </cell>
          <cell r="AG901">
            <v>6.633E-2</v>
          </cell>
          <cell r="AH901">
            <v>1.3646666666666665</v>
          </cell>
          <cell r="AI901">
            <v>0</v>
          </cell>
          <cell r="AJ901">
            <v>9530</v>
          </cell>
          <cell r="AK901">
            <v>0</v>
          </cell>
          <cell r="AL901">
            <v>2.3E-3</v>
          </cell>
          <cell r="AM901" t="str">
            <v>túi ba biên</v>
          </cell>
          <cell r="AN901">
            <v>280</v>
          </cell>
          <cell r="AO901" t="str">
            <v>Công ty TNHH MTV Hồng Tiến</v>
          </cell>
          <cell r="AP901" t="str">
            <v>21061300-1</v>
          </cell>
          <cell r="AQ901" t="str">
            <v>21061300-2</v>
          </cell>
          <cell r="AR901" t="str">
            <v>21061300-3</v>
          </cell>
          <cell r="AS901">
            <v>0</v>
          </cell>
          <cell r="AT901">
            <v>0</v>
          </cell>
          <cell r="AU901">
            <v>0</v>
          </cell>
          <cell r="AV901">
            <v>0</v>
          </cell>
          <cell r="AW901">
            <v>0</v>
          </cell>
          <cell r="AX901">
            <v>0</v>
          </cell>
          <cell r="AY901" t="str">
            <v>560x1100</v>
          </cell>
          <cell r="AZ901">
            <v>0</v>
          </cell>
          <cell r="BA901">
            <v>0</v>
          </cell>
          <cell r="BB901">
            <v>0</v>
          </cell>
          <cell r="BC901">
            <v>0</v>
          </cell>
          <cell r="BD901" t="e">
            <v>#N/A</v>
          </cell>
        </row>
        <row r="902">
          <cell r="A902" t="str">
            <v>sp 1412</v>
          </cell>
          <cell r="B902" t="str">
            <v>Túi thuốc sâu fortox 50EC loại 10ml Việt Thắng</v>
          </cell>
          <cell r="C902">
            <v>3.9499999999999993</v>
          </cell>
          <cell r="D902">
            <v>3</v>
          </cell>
          <cell r="E902" t="str">
            <v>OPP 20x800</v>
          </cell>
          <cell r="F902">
            <v>6</v>
          </cell>
          <cell r="G902" t="str">
            <v>OPP</v>
          </cell>
          <cell r="H902">
            <v>0.29199999999999998</v>
          </cell>
          <cell r="I902">
            <v>0</v>
          </cell>
          <cell r="J902">
            <v>7.2999999999999995E-2</v>
          </cell>
          <cell r="K902">
            <v>0</v>
          </cell>
          <cell r="L902">
            <v>2.7719999999999998</v>
          </cell>
          <cell r="M902">
            <v>0</v>
          </cell>
          <cell r="N902">
            <v>0</v>
          </cell>
          <cell r="O902">
            <v>0.80300000000000005</v>
          </cell>
          <cell r="P902">
            <v>0</v>
          </cell>
          <cell r="Q902">
            <v>0</v>
          </cell>
          <cell r="R902">
            <v>0.01</v>
          </cell>
          <cell r="S902">
            <v>0</v>
          </cell>
          <cell r="T902">
            <v>0</v>
          </cell>
          <cell r="U902">
            <v>0</v>
          </cell>
          <cell r="V902">
            <v>0</v>
          </cell>
          <cell r="W902">
            <v>0</v>
          </cell>
          <cell r="X902">
            <v>0</v>
          </cell>
          <cell r="Y902">
            <v>0</v>
          </cell>
          <cell r="Z902">
            <v>0</v>
          </cell>
          <cell r="AA902">
            <v>0</v>
          </cell>
          <cell r="AB902">
            <v>0</v>
          </cell>
          <cell r="AC902">
            <v>0</v>
          </cell>
          <cell r="AD902">
            <v>0</v>
          </cell>
          <cell r="AE902" t="str">
            <v>PE sứ 60x800</v>
          </cell>
          <cell r="AF902">
            <v>0</v>
          </cell>
          <cell r="AG902">
            <v>5.920000000000001E-2</v>
          </cell>
          <cell r="AH902">
            <v>1.2113333333333334</v>
          </cell>
          <cell r="AI902">
            <v>0</v>
          </cell>
          <cell r="AJ902">
            <v>9530</v>
          </cell>
          <cell r="AK902">
            <v>0</v>
          </cell>
          <cell r="AL902">
            <v>2.3E-3</v>
          </cell>
          <cell r="AM902" t="str">
            <v>túi hàn lưng xếp hông</v>
          </cell>
          <cell r="AN902">
            <v>170</v>
          </cell>
          <cell r="AO902" t="str">
            <v>Công ty Việt Thắng</v>
          </cell>
          <cell r="AP902" t="str">
            <v>21070028-1</v>
          </cell>
          <cell r="AQ902" t="str">
            <v>21070028-2</v>
          </cell>
          <cell r="AR902" t="str">
            <v>21070028-3</v>
          </cell>
          <cell r="AS902" t="str">
            <v>21070028-4</v>
          </cell>
          <cell r="AT902" t="str">
            <v>21070028-5</v>
          </cell>
          <cell r="AU902" t="str">
            <v>21070028-6</v>
          </cell>
          <cell r="AV902">
            <v>0</v>
          </cell>
          <cell r="AW902">
            <v>0</v>
          </cell>
          <cell r="AX902">
            <v>0</v>
          </cell>
          <cell r="AY902" t="str">
            <v>510x870</v>
          </cell>
          <cell r="AZ902">
            <v>0</v>
          </cell>
          <cell r="BA902">
            <v>0</v>
          </cell>
          <cell r="BB902">
            <v>0</v>
          </cell>
          <cell r="BC902">
            <v>0</v>
          </cell>
          <cell r="BD902" t="e">
            <v>#N/A</v>
          </cell>
        </row>
        <row r="903">
          <cell r="A903" t="str">
            <v>sp 1413</v>
          </cell>
          <cell r="B903" t="str">
            <v>Túi thuốc sâu fartack 50EC loại 10ml Việt Thắng</v>
          </cell>
          <cell r="C903">
            <v>2.778</v>
          </cell>
          <cell r="D903">
            <v>3</v>
          </cell>
          <cell r="E903" t="str">
            <v>OPP 20x800</v>
          </cell>
          <cell r="F903">
            <v>6</v>
          </cell>
          <cell r="G903" t="str">
            <v>OPP</v>
          </cell>
          <cell r="H903">
            <v>0.01</v>
          </cell>
          <cell r="I903">
            <v>0</v>
          </cell>
          <cell r="J903">
            <v>0.01</v>
          </cell>
          <cell r="K903">
            <v>6.9000000000000006E-2</v>
          </cell>
          <cell r="L903">
            <v>1.724</v>
          </cell>
          <cell r="M903">
            <v>0</v>
          </cell>
          <cell r="N903">
            <v>0</v>
          </cell>
          <cell r="O903">
            <v>0.20699999999999999</v>
          </cell>
          <cell r="P903">
            <v>0</v>
          </cell>
          <cell r="Q903">
            <v>0</v>
          </cell>
          <cell r="R903">
            <v>0.75800000000000001</v>
          </cell>
          <cell r="S903">
            <v>0</v>
          </cell>
          <cell r="T903">
            <v>0</v>
          </cell>
          <cell r="U903">
            <v>0</v>
          </cell>
          <cell r="V903">
            <v>0</v>
          </cell>
          <cell r="W903">
            <v>0</v>
          </cell>
          <cell r="X903">
            <v>0</v>
          </cell>
          <cell r="Y903">
            <v>0</v>
          </cell>
          <cell r="Z903">
            <v>0</v>
          </cell>
          <cell r="AA903">
            <v>0</v>
          </cell>
          <cell r="AB903">
            <v>0</v>
          </cell>
          <cell r="AC903">
            <v>0</v>
          </cell>
          <cell r="AD903">
            <v>0</v>
          </cell>
          <cell r="AE903" t="str">
            <v>PE sứ 60x800</v>
          </cell>
          <cell r="AF903">
            <v>0</v>
          </cell>
          <cell r="AG903">
            <v>5.920000000000001E-2</v>
          </cell>
          <cell r="AH903">
            <v>1.2113333333333334</v>
          </cell>
          <cell r="AI903">
            <v>0</v>
          </cell>
          <cell r="AJ903">
            <v>9530</v>
          </cell>
          <cell r="AK903">
            <v>0</v>
          </cell>
          <cell r="AL903">
            <v>2.3E-3</v>
          </cell>
          <cell r="AM903" t="str">
            <v>túi hàn lưng xếp hông</v>
          </cell>
          <cell r="AN903">
            <v>170</v>
          </cell>
          <cell r="AO903" t="str">
            <v>Công ty Việt Thắng</v>
          </cell>
          <cell r="AP903" t="str">
            <v>21070029-1</v>
          </cell>
          <cell r="AQ903" t="str">
            <v>21070029-2</v>
          </cell>
          <cell r="AR903" t="str">
            <v>21070029-3</v>
          </cell>
          <cell r="AS903" t="str">
            <v>21070029-4</v>
          </cell>
          <cell r="AT903" t="str">
            <v>21070029-5</v>
          </cell>
          <cell r="AU903" t="str">
            <v>21070029-6</v>
          </cell>
          <cell r="AV903">
            <v>0</v>
          </cell>
          <cell r="AW903">
            <v>0</v>
          </cell>
          <cell r="AX903">
            <v>0</v>
          </cell>
          <cell r="AY903" t="str">
            <v>510x870</v>
          </cell>
          <cell r="AZ903">
            <v>0</v>
          </cell>
          <cell r="BA903">
            <v>0</v>
          </cell>
          <cell r="BB903">
            <v>0</v>
          </cell>
          <cell r="BC903">
            <v>0</v>
          </cell>
          <cell r="BD903" t="e">
            <v>#N/A</v>
          </cell>
        </row>
        <row r="904">
          <cell r="A904" t="str">
            <v>sp 1414</v>
          </cell>
          <cell r="B904" t="str">
            <v>Cuộn bột giặt Kusa 130gr Bell Đức</v>
          </cell>
          <cell r="C904">
            <v>0.371</v>
          </cell>
          <cell r="D904">
            <v>3</v>
          </cell>
          <cell r="E904" t="str">
            <v>PET 12x860</v>
          </cell>
          <cell r="F904">
            <v>6</v>
          </cell>
          <cell r="G904" t="str">
            <v>PET</v>
          </cell>
          <cell r="H904">
            <v>0</v>
          </cell>
          <cell r="I904">
            <v>0</v>
          </cell>
          <cell r="J904">
            <v>0.25</v>
          </cell>
          <cell r="K904">
            <v>0.10100000000000001</v>
          </cell>
          <cell r="L904">
            <v>0.01</v>
          </cell>
          <cell r="M904">
            <v>0</v>
          </cell>
          <cell r="N904">
            <v>0</v>
          </cell>
          <cell r="O904">
            <v>0</v>
          </cell>
          <cell r="P904">
            <v>0.01</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t="str">
            <v>PE sứ 60x860</v>
          </cell>
          <cell r="AF904">
            <v>0</v>
          </cell>
          <cell r="AG904">
            <v>6.2178000000000004E-2</v>
          </cell>
          <cell r="AH904">
            <v>1.3033333333333332</v>
          </cell>
          <cell r="AI904">
            <v>0</v>
          </cell>
          <cell r="AJ904">
            <v>9530</v>
          </cell>
          <cell r="AK904">
            <v>0</v>
          </cell>
          <cell r="AL904">
            <v>2.3E-3</v>
          </cell>
          <cell r="AM904" t="str">
            <v>dạng cuộn 1,000m</v>
          </cell>
          <cell r="AN904">
            <v>280</v>
          </cell>
          <cell r="AO904" t="str">
            <v>Công ty TNHH Bell Đức</v>
          </cell>
          <cell r="AP904" t="str">
            <v>F128871-1</v>
          </cell>
          <cell r="AQ904" t="str">
            <v>F128871-2</v>
          </cell>
          <cell r="AR904" t="str">
            <v>F128871-3</v>
          </cell>
          <cell r="AS904" t="str">
            <v>F128871-4</v>
          </cell>
          <cell r="AT904" t="str">
            <v>F128871-5</v>
          </cell>
          <cell r="AU904" t="str">
            <v>F128871-6</v>
          </cell>
          <cell r="AV904">
            <v>0</v>
          </cell>
          <cell r="AW904">
            <v>0</v>
          </cell>
          <cell r="AX904">
            <v>0</v>
          </cell>
          <cell r="AY904" t="str">
            <v>420x1100</v>
          </cell>
          <cell r="AZ904">
            <v>0</v>
          </cell>
          <cell r="BA904">
            <v>0</v>
          </cell>
          <cell r="BB904">
            <v>0</v>
          </cell>
          <cell r="BC904">
            <v>0</v>
          </cell>
          <cell r="BD904" t="e">
            <v>#N/A</v>
          </cell>
        </row>
        <row r="905">
          <cell r="A905" t="str">
            <v>sp 1415</v>
          </cell>
          <cell r="B905" t="str">
            <v>Cuộn bột giặt Kusa 400gr Bell Đức</v>
          </cell>
          <cell r="C905">
            <v>0.22500000000000003</v>
          </cell>
          <cell r="D905">
            <v>2</v>
          </cell>
          <cell r="E905" t="str">
            <v>PET 12x760</v>
          </cell>
          <cell r="F905">
            <v>6</v>
          </cell>
          <cell r="G905" t="str">
            <v>PET</v>
          </cell>
          <cell r="H905">
            <v>0.01</v>
          </cell>
          <cell r="I905">
            <v>0</v>
          </cell>
          <cell r="J905">
            <v>0.17499999999999999</v>
          </cell>
          <cell r="K905">
            <v>0.01</v>
          </cell>
          <cell r="L905">
            <v>0.01</v>
          </cell>
          <cell r="M905">
            <v>0</v>
          </cell>
          <cell r="N905">
            <v>0</v>
          </cell>
          <cell r="O905">
            <v>0</v>
          </cell>
          <cell r="P905">
            <v>0.01</v>
          </cell>
          <cell r="Q905">
            <v>0</v>
          </cell>
          <cell r="R905">
            <v>0.01</v>
          </cell>
          <cell r="S905">
            <v>0</v>
          </cell>
          <cell r="T905">
            <v>0</v>
          </cell>
          <cell r="U905">
            <v>0</v>
          </cell>
          <cell r="V905">
            <v>0</v>
          </cell>
          <cell r="W905">
            <v>0</v>
          </cell>
          <cell r="X905">
            <v>0</v>
          </cell>
          <cell r="Y905">
            <v>0</v>
          </cell>
          <cell r="Z905">
            <v>0</v>
          </cell>
          <cell r="AA905">
            <v>0</v>
          </cell>
          <cell r="AB905">
            <v>0</v>
          </cell>
          <cell r="AC905">
            <v>0</v>
          </cell>
          <cell r="AD905">
            <v>0</v>
          </cell>
          <cell r="AE905" t="str">
            <v>PE sứ 60x760</v>
          </cell>
          <cell r="AF905">
            <v>0</v>
          </cell>
          <cell r="AG905">
            <v>7.2523000000000004E-2</v>
          </cell>
          <cell r="AH905">
            <v>1.5</v>
          </cell>
          <cell r="AI905">
            <v>0</v>
          </cell>
          <cell r="AJ905">
            <v>9530</v>
          </cell>
          <cell r="AK905">
            <v>0</v>
          </cell>
          <cell r="AL905">
            <v>2.3E-3</v>
          </cell>
          <cell r="AM905" t="str">
            <v>dạng cuộn 1,000m</v>
          </cell>
          <cell r="AN905">
            <v>370</v>
          </cell>
          <cell r="AO905" t="str">
            <v>Công ty TNHH Bell Đức</v>
          </cell>
          <cell r="AP905" t="str">
            <v>F128870-1</v>
          </cell>
          <cell r="AQ905" t="str">
            <v>F128870-2</v>
          </cell>
          <cell r="AR905" t="str">
            <v>F128870-3</v>
          </cell>
          <cell r="AS905" t="str">
            <v>F128870-4</v>
          </cell>
          <cell r="AT905" t="str">
            <v>F128870-5</v>
          </cell>
          <cell r="AU905" t="str">
            <v>F128870-6</v>
          </cell>
          <cell r="AV905">
            <v>0</v>
          </cell>
          <cell r="AW905">
            <v>0</v>
          </cell>
          <cell r="AX905">
            <v>0</v>
          </cell>
          <cell r="AY905" t="str">
            <v>520x870</v>
          </cell>
          <cell r="AZ905">
            <v>0</v>
          </cell>
          <cell r="BA905">
            <v>0</v>
          </cell>
          <cell r="BB905">
            <v>0</v>
          </cell>
          <cell r="BC905">
            <v>0</v>
          </cell>
          <cell r="BD905" t="e">
            <v>#N/A</v>
          </cell>
        </row>
        <row r="906">
          <cell r="A906" t="str">
            <v>sp 1416</v>
          </cell>
          <cell r="B906" t="str">
            <v>Cuộn bột giặt Kusa 800gr Bell Đức</v>
          </cell>
          <cell r="C906">
            <v>6.2429999999999986</v>
          </cell>
          <cell r="D906">
            <v>2</v>
          </cell>
          <cell r="E906" t="str">
            <v>PET 12x900</v>
          </cell>
          <cell r="F906">
            <v>6</v>
          </cell>
          <cell r="G906" t="str">
            <v>PET</v>
          </cell>
          <cell r="H906">
            <v>1.325</v>
          </cell>
          <cell r="I906">
            <v>0</v>
          </cell>
          <cell r="J906">
            <v>3.1</v>
          </cell>
          <cell r="K906">
            <v>0.01</v>
          </cell>
          <cell r="L906">
            <v>1.0409999999999999</v>
          </cell>
          <cell r="M906">
            <v>0.75700000000000001</v>
          </cell>
          <cell r="N906">
            <v>0</v>
          </cell>
          <cell r="O906">
            <v>0</v>
          </cell>
          <cell r="P906">
            <v>0.01</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t="str">
            <v>PE sứ 85x900</v>
          </cell>
          <cell r="AF906">
            <v>0</v>
          </cell>
          <cell r="AG906">
            <v>8.5882500000000014E-2</v>
          </cell>
          <cell r="AH906">
            <v>1.78</v>
          </cell>
          <cell r="AI906">
            <v>0</v>
          </cell>
          <cell r="AJ906">
            <v>9530</v>
          </cell>
          <cell r="AK906">
            <v>0</v>
          </cell>
          <cell r="AL906">
            <v>3.0000000000000001E-3</v>
          </cell>
          <cell r="AM906" t="str">
            <v>dạng cuộn 1,000m</v>
          </cell>
          <cell r="AN906">
            <v>440</v>
          </cell>
          <cell r="AO906" t="str">
            <v>Công ty TNHH Bell Đức</v>
          </cell>
          <cell r="AP906" t="str">
            <v>F128869-1</v>
          </cell>
          <cell r="AQ906" t="str">
            <v>F128869-2</v>
          </cell>
          <cell r="AR906" t="str">
            <v>F128869-3</v>
          </cell>
          <cell r="AS906" t="str">
            <v>F128869-4</v>
          </cell>
          <cell r="AT906" t="str">
            <v>F128869-5</v>
          </cell>
          <cell r="AU906" t="str">
            <v>F128869-6</v>
          </cell>
          <cell r="AV906">
            <v>0</v>
          </cell>
          <cell r="AW906">
            <v>0</v>
          </cell>
          <cell r="AX906">
            <v>0</v>
          </cell>
          <cell r="AY906" t="str">
            <v>570x1100</v>
          </cell>
          <cell r="AZ906">
            <v>0</v>
          </cell>
          <cell r="BA906">
            <v>0</v>
          </cell>
          <cell r="BB906">
            <v>0</v>
          </cell>
          <cell r="BC906">
            <v>0</v>
          </cell>
          <cell r="BD906" t="e">
            <v>#N/A</v>
          </cell>
        </row>
        <row r="907">
          <cell r="A907" t="str">
            <v>sp 1417</v>
          </cell>
          <cell r="B907" t="str">
            <v>Cuộn bột giặt Kusa 3kg Bell Đức</v>
          </cell>
          <cell r="C907">
            <v>0.71900000000000008</v>
          </cell>
          <cell r="D907">
            <v>1</v>
          </cell>
          <cell r="E907" t="str">
            <v>PA 15x670</v>
          </cell>
          <cell r="F907">
            <v>6</v>
          </cell>
          <cell r="G907" t="str">
            <v xml:space="preserve">PA </v>
          </cell>
          <cell r="H907">
            <v>0.01</v>
          </cell>
          <cell r="I907">
            <v>0</v>
          </cell>
          <cell r="J907">
            <v>0.2</v>
          </cell>
          <cell r="K907">
            <v>0.125</v>
          </cell>
          <cell r="L907">
            <v>0.01</v>
          </cell>
          <cell r="M907">
            <v>0</v>
          </cell>
          <cell r="N907">
            <v>0</v>
          </cell>
          <cell r="O907">
            <v>0</v>
          </cell>
          <cell r="P907">
            <v>0.125</v>
          </cell>
          <cell r="Q907">
            <v>0</v>
          </cell>
          <cell r="R907">
            <v>0.249</v>
          </cell>
          <cell r="S907">
            <v>0</v>
          </cell>
          <cell r="T907">
            <v>0</v>
          </cell>
          <cell r="U907">
            <v>0</v>
          </cell>
          <cell r="V907">
            <v>0</v>
          </cell>
          <cell r="W907">
            <v>0</v>
          </cell>
          <cell r="X907">
            <v>0</v>
          </cell>
          <cell r="Y907">
            <v>0</v>
          </cell>
          <cell r="Z907">
            <v>0</v>
          </cell>
          <cell r="AA907">
            <v>0</v>
          </cell>
          <cell r="AB907">
            <v>0</v>
          </cell>
          <cell r="AC907">
            <v>0</v>
          </cell>
          <cell r="AD907">
            <v>0</v>
          </cell>
          <cell r="AE907" t="str">
            <v>PE sứ 90x670</v>
          </cell>
          <cell r="AF907">
            <v>0</v>
          </cell>
          <cell r="AG907">
            <v>6.7636500000000002E-2</v>
          </cell>
          <cell r="AH907">
            <v>1.32</v>
          </cell>
          <cell r="AI907">
            <v>0</v>
          </cell>
          <cell r="AJ907">
            <v>9530</v>
          </cell>
          <cell r="AK907">
            <v>0</v>
          </cell>
          <cell r="AL907">
            <v>3.0000000000000001E-3</v>
          </cell>
          <cell r="AM907" t="str">
            <v>dạng cuộn 1,000m</v>
          </cell>
          <cell r="AN907">
            <v>650</v>
          </cell>
          <cell r="AO907" t="str">
            <v>Công ty TNHH Bell Đức</v>
          </cell>
          <cell r="AP907" t="str">
            <v>F128868-1</v>
          </cell>
          <cell r="AQ907" t="str">
            <v>F128868-2</v>
          </cell>
          <cell r="AR907" t="str">
            <v>F128868-3</v>
          </cell>
          <cell r="AS907" t="str">
            <v>F128868-4</v>
          </cell>
          <cell r="AT907" t="str">
            <v>F128868-5</v>
          </cell>
          <cell r="AU907" t="str">
            <v>F128868-6</v>
          </cell>
          <cell r="AV907">
            <v>0</v>
          </cell>
          <cell r="AW907">
            <v>0</v>
          </cell>
          <cell r="AX907">
            <v>0</v>
          </cell>
          <cell r="AY907" t="str">
            <v>422x870</v>
          </cell>
          <cell r="AZ907">
            <v>0</v>
          </cell>
          <cell r="BA907">
            <v>0</v>
          </cell>
          <cell r="BB907">
            <v>0</v>
          </cell>
          <cell r="BC907">
            <v>0</v>
          </cell>
          <cell r="BD907" t="e">
            <v>#N/A</v>
          </cell>
        </row>
        <row r="908">
          <cell r="A908" t="str">
            <v>sp 1418</v>
          </cell>
          <cell r="B908" t="str">
            <v>Cuộn bột giặt Kusa 5kg Bell Đức</v>
          </cell>
          <cell r="C908">
            <v>0.48199999999999998</v>
          </cell>
          <cell r="D908">
            <v>1</v>
          </cell>
          <cell r="E908" t="str">
            <v>PA 15x750</v>
          </cell>
          <cell r="F908">
            <v>6</v>
          </cell>
          <cell r="G908" t="str">
            <v xml:space="preserve">PA </v>
          </cell>
          <cell r="H908">
            <v>0.01</v>
          </cell>
          <cell r="I908">
            <v>0</v>
          </cell>
          <cell r="J908">
            <v>0.17</v>
          </cell>
          <cell r="K908">
            <v>0.01</v>
          </cell>
          <cell r="L908">
            <v>0.14099999999999999</v>
          </cell>
          <cell r="M908">
            <v>0</v>
          </cell>
          <cell r="N908">
            <v>0</v>
          </cell>
          <cell r="O908">
            <v>0</v>
          </cell>
          <cell r="P908">
            <v>0.14099999999999999</v>
          </cell>
          <cell r="Q908">
            <v>0</v>
          </cell>
          <cell r="R908">
            <v>0.01</v>
          </cell>
          <cell r="S908">
            <v>0</v>
          </cell>
          <cell r="T908">
            <v>0</v>
          </cell>
          <cell r="U908">
            <v>0</v>
          </cell>
          <cell r="V908">
            <v>0</v>
          </cell>
          <cell r="W908">
            <v>0</v>
          </cell>
          <cell r="X908">
            <v>0</v>
          </cell>
          <cell r="Y908">
            <v>0</v>
          </cell>
          <cell r="Z908">
            <v>0</v>
          </cell>
          <cell r="AA908">
            <v>0</v>
          </cell>
          <cell r="AB908">
            <v>0</v>
          </cell>
          <cell r="AC908">
            <v>0</v>
          </cell>
          <cell r="AD908">
            <v>0</v>
          </cell>
          <cell r="AE908" t="str">
            <v>PE sứ 130x750</v>
          </cell>
          <cell r="AF908">
            <v>0</v>
          </cell>
          <cell r="AG908">
            <v>0.1036125</v>
          </cell>
          <cell r="AH908">
            <v>1.48</v>
          </cell>
          <cell r="AI908">
            <v>0</v>
          </cell>
          <cell r="AJ908">
            <v>9530</v>
          </cell>
          <cell r="AK908">
            <v>0</v>
          </cell>
          <cell r="AL908">
            <v>3.0000000000000001E-3</v>
          </cell>
          <cell r="AM908" t="str">
            <v>dạng cuộn 1,000m</v>
          </cell>
          <cell r="AN908">
            <v>730</v>
          </cell>
          <cell r="AO908" t="str">
            <v>Công ty TNHH Bell Đức</v>
          </cell>
          <cell r="AP908" t="str">
            <v>F128867-1</v>
          </cell>
          <cell r="AQ908" t="str">
            <v>F128867-2</v>
          </cell>
          <cell r="AR908" t="str">
            <v>F128867-3</v>
          </cell>
          <cell r="AS908" t="str">
            <v>F128867-4</v>
          </cell>
          <cell r="AT908" t="str">
            <v>F128867-5</v>
          </cell>
          <cell r="AU908" t="str">
            <v>F128867-6</v>
          </cell>
          <cell r="AV908">
            <v>0</v>
          </cell>
          <cell r="AW908">
            <v>0</v>
          </cell>
          <cell r="AX908">
            <v>0</v>
          </cell>
          <cell r="AY908" t="str">
            <v>530x870</v>
          </cell>
          <cell r="AZ908">
            <v>0</v>
          </cell>
          <cell r="BA908">
            <v>0</v>
          </cell>
          <cell r="BB908">
            <v>0</v>
          </cell>
          <cell r="BC908">
            <v>0</v>
          </cell>
          <cell r="BD908" t="e">
            <v>#N/A</v>
          </cell>
        </row>
        <row r="909">
          <cell r="A909" t="str">
            <v>sp 1419</v>
          </cell>
          <cell r="B909" t="str">
            <v>Cuộn đường tinh luyện xuất khẩu 1kg mã 011 Lam Sơn</v>
          </cell>
          <cell r="C909">
            <v>6.0889999999999995</v>
          </cell>
          <cell r="D909">
            <v>2</v>
          </cell>
          <cell r="E909" t="str">
            <v>OPP 20x820</v>
          </cell>
          <cell r="F909">
            <v>7</v>
          </cell>
          <cell r="G909" t="str">
            <v>OPP</v>
          </cell>
          <cell r="H909">
            <v>0</v>
          </cell>
          <cell r="I909">
            <v>2.3879999999999999</v>
          </cell>
          <cell r="J909">
            <v>1.0549999999999999</v>
          </cell>
          <cell r="K909">
            <v>0.217</v>
          </cell>
          <cell r="L909">
            <v>1.8919999999999999</v>
          </cell>
          <cell r="M909">
            <v>0.496</v>
          </cell>
          <cell r="N909">
            <v>0</v>
          </cell>
          <cell r="O909">
            <v>3.1E-2</v>
          </cell>
          <cell r="P909">
            <v>0</v>
          </cell>
          <cell r="Q909">
            <v>0</v>
          </cell>
          <cell r="R909">
            <v>0.01</v>
          </cell>
          <cell r="S909">
            <v>0</v>
          </cell>
          <cell r="T909">
            <v>0</v>
          </cell>
          <cell r="U909">
            <v>0</v>
          </cell>
          <cell r="V909">
            <v>0</v>
          </cell>
          <cell r="W909">
            <v>0</v>
          </cell>
          <cell r="X909">
            <v>0</v>
          </cell>
          <cell r="Y909">
            <v>0</v>
          </cell>
          <cell r="Z909">
            <v>0</v>
          </cell>
          <cell r="AA909">
            <v>0</v>
          </cell>
          <cell r="AB909">
            <v>0</v>
          </cell>
          <cell r="AC909">
            <v>0</v>
          </cell>
          <cell r="AD909">
            <v>0</v>
          </cell>
          <cell r="AE909" t="str">
            <v>PE 55x820</v>
          </cell>
          <cell r="AF909">
            <v>0</v>
          </cell>
          <cell r="AG909">
            <v>5.6641499999999997E-2</v>
          </cell>
          <cell r="AH909">
            <v>1.62</v>
          </cell>
          <cell r="AI909">
            <v>0</v>
          </cell>
          <cell r="AJ909">
            <v>9530</v>
          </cell>
          <cell r="AK909">
            <v>0</v>
          </cell>
          <cell r="AL909">
            <v>3.0000000000000001E-3</v>
          </cell>
          <cell r="AM909" t="str">
            <v>dạng cuộn 900m</v>
          </cell>
          <cell r="AN909">
            <v>400</v>
          </cell>
          <cell r="AO909" t="str">
            <v>Công ty Cổ phần mía đường Lam Sơn</v>
          </cell>
          <cell r="AP909" t="str">
            <v>F128863-1</v>
          </cell>
          <cell r="AQ909" t="str">
            <v>F128863-2</v>
          </cell>
          <cell r="AR909" t="str">
            <v>F128863-3</v>
          </cell>
          <cell r="AS909" t="str">
            <v>F128863-4</v>
          </cell>
          <cell r="AT909" t="str">
            <v>F128863-5</v>
          </cell>
          <cell r="AU909" t="str">
            <v>F128863-6</v>
          </cell>
          <cell r="AV909" t="str">
            <v>F128863-7</v>
          </cell>
          <cell r="AW909">
            <v>0</v>
          </cell>
          <cell r="AX909">
            <v>0</v>
          </cell>
          <cell r="AY909" t="str">
            <v>500x870</v>
          </cell>
          <cell r="AZ909">
            <v>0</v>
          </cell>
          <cell r="BA909">
            <v>0</v>
          </cell>
          <cell r="BB909">
            <v>0</v>
          </cell>
          <cell r="BC909">
            <v>0</v>
          </cell>
          <cell r="BD909" t="e">
            <v>#N/A</v>
          </cell>
        </row>
        <row r="910">
          <cell r="A910" t="str">
            <v>sp 1420</v>
          </cell>
          <cell r="B910" t="str">
            <v>Cuộn trà xanh diabetna túi lọc 1,5gr KT65,5x154mm Nam Dược</v>
          </cell>
          <cell r="C910">
            <v>5.6569999999999991</v>
          </cell>
          <cell r="D910">
            <v>11</v>
          </cell>
          <cell r="E910" t="str">
            <v>OPP 30x740</v>
          </cell>
          <cell r="F910">
            <v>6</v>
          </cell>
          <cell r="G910" t="str">
            <v>OPP</v>
          </cell>
          <cell r="H910">
            <v>0.17199999999999999</v>
          </cell>
          <cell r="I910">
            <v>4.992</v>
          </cell>
          <cell r="J910">
            <v>0.17199999999999999</v>
          </cell>
          <cell r="K910">
            <v>0</v>
          </cell>
          <cell r="L910">
            <v>0</v>
          </cell>
          <cell r="M910">
            <v>0</v>
          </cell>
          <cell r="N910">
            <v>0</v>
          </cell>
          <cell r="O910">
            <v>0.01</v>
          </cell>
          <cell r="P910">
            <v>0.30099999999999999</v>
          </cell>
          <cell r="Q910">
            <v>0</v>
          </cell>
          <cell r="R910">
            <v>0</v>
          </cell>
          <cell r="S910">
            <v>0</v>
          </cell>
          <cell r="T910">
            <v>0.01</v>
          </cell>
          <cell r="U910">
            <v>0</v>
          </cell>
          <cell r="V910">
            <v>0</v>
          </cell>
          <cell r="W910">
            <v>0</v>
          </cell>
          <cell r="X910">
            <v>0</v>
          </cell>
          <cell r="Y910">
            <v>0</v>
          </cell>
          <cell r="Z910">
            <v>0</v>
          </cell>
          <cell r="AA910">
            <v>0</v>
          </cell>
          <cell r="AB910">
            <v>0</v>
          </cell>
          <cell r="AC910">
            <v>0</v>
          </cell>
          <cell r="AD910">
            <v>0</v>
          </cell>
          <cell r="AE910" t="str">
            <v>MCPP 25x740</v>
          </cell>
          <cell r="AF910">
            <v>0</v>
          </cell>
          <cell r="AG910">
            <v>3.7037E-2</v>
          </cell>
          <cell r="AH910">
            <v>1.1193333333333333</v>
          </cell>
          <cell r="AI910">
            <v>0</v>
          </cell>
          <cell r="AJ910">
            <v>9530</v>
          </cell>
          <cell r="AK910">
            <v>0</v>
          </cell>
          <cell r="AL910">
            <v>2.3E-3</v>
          </cell>
          <cell r="AM910" t="str">
            <v>dạng cuộn 1,000m</v>
          </cell>
          <cell r="AN910">
            <v>65.5</v>
          </cell>
          <cell r="AO910" t="str">
            <v>Công ty CP Nam Dược</v>
          </cell>
          <cell r="AP910" t="str">
            <v>F128848-1</v>
          </cell>
          <cell r="AQ910" t="str">
            <v>F128848-2</v>
          </cell>
          <cell r="AR910" t="str">
            <v>F128848-3</v>
          </cell>
          <cell r="AS910" t="str">
            <v>F128848-4</v>
          </cell>
          <cell r="AT910" t="str">
            <v>F128848-5</v>
          </cell>
          <cell r="AU910" t="str">
            <v>F128848-6</v>
          </cell>
          <cell r="AV910">
            <v>0</v>
          </cell>
          <cell r="AW910">
            <v>0</v>
          </cell>
          <cell r="AX910">
            <v>0</v>
          </cell>
          <cell r="AY910" t="str">
            <v>462x860</v>
          </cell>
          <cell r="AZ910">
            <v>0</v>
          </cell>
          <cell r="BA910">
            <v>0</v>
          </cell>
          <cell r="BB910">
            <v>0</v>
          </cell>
          <cell r="BC910">
            <v>0</v>
          </cell>
          <cell r="BD910" t="e">
            <v>#N/A</v>
          </cell>
        </row>
        <row r="911">
          <cell r="A911" t="str">
            <v>sp 1421</v>
          </cell>
          <cell r="B911" t="str">
            <v>Túi HCK không in KT 195x255 mã 3154 CP</v>
          </cell>
          <cell r="C911">
            <v>0</v>
          </cell>
          <cell r="D911">
            <v>2</v>
          </cell>
          <cell r="E911" t="str">
            <v>PA 15x800</v>
          </cell>
          <cell r="F911">
            <v>0</v>
          </cell>
          <cell r="G911" t="str">
            <v xml:space="preserve">PA </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t="str">
            <v>PE 65x800</v>
          </cell>
          <cell r="AF911">
            <v>0</v>
          </cell>
          <cell r="AG911">
            <v>6.1900000000000004E-2</v>
          </cell>
          <cell r="AH911">
            <v>1.2113333333333334</v>
          </cell>
          <cell r="AI911">
            <v>0</v>
          </cell>
          <cell r="AJ911">
            <v>9530</v>
          </cell>
          <cell r="AK911">
            <v>0</v>
          </cell>
          <cell r="AL911">
            <v>2.3E-3</v>
          </cell>
          <cell r="AM911" t="str">
            <v>túi ba biên</v>
          </cell>
          <cell r="AN911">
            <v>255</v>
          </cell>
          <cell r="AO911" t="str">
            <v>Chi nhánh Công ty CP chăn nuôi CP Việt Nam</v>
          </cell>
          <cell r="AP911">
            <v>0</v>
          </cell>
          <cell r="AQ911">
            <v>0</v>
          </cell>
          <cell r="AR911">
            <v>0</v>
          </cell>
          <cell r="AS911">
            <v>0</v>
          </cell>
          <cell r="AT911">
            <v>0</v>
          </cell>
          <cell r="AU911">
            <v>0</v>
          </cell>
          <cell r="AV911">
            <v>0</v>
          </cell>
          <cell r="AW911">
            <v>0</v>
          </cell>
          <cell r="AX911">
            <v>0</v>
          </cell>
          <cell r="AY911">
            <v>0</v>
          </cell>
          <cell r="AZ911">
            <v>0</v>
          </cell>
          <cell r="BA911">
            <v>0</v>
          </cell>
          <cell r="BB911">
            <v>0</v>
          </cell>
          <cell r="BC911">
            <v>0</v>
          </cell>
          <cell r="BD911" t="e">
            <v>#N/A</v>
          </cell>
        </row>
        <row r="912">
          <cell r="A912" t="str">
            <v>sp 1422</v>
          </cell>
          <cell r="B912" t="str">
            <v>Cuộn khăn ướt mamamy 100 miếng màu xanh không mùi Đông Hiệp</v>
          </cell>
          <cell r="C912">
            <v>28.572000000000003</v>
          </cell>
          <cell r="D912">
            <v>2</v>
          </cell>
          <cell r="E912" t="str">
            <v>OPP mờ 20x730</v>
          </cell>
          <cell r="F912">
            <v>8</v>
          </cell>
          <cell r="G912" t="str">
            <v>OPP</v>
          </cell>
          <cell r="H912">
            <v>0.628</v>
          </cell>
          <cell r="I912">
            <v>14.44</v>
          </cell>
          <cell r="J912">
            <v>0</v>
          </cell>
          <cell r="K912">
            <v>0.86399999999999999</v>
          </cell>
          <cell r="L912">
            <v>10.755000000000001</v>
          </cell>
          <cell r="M912">
            <v>0.314</v>
          </cell>
          <cell r="N912">
            <v>0</v>
          </cell>
          <cell r="O912">
            <v>0.23599999999999999</v>
          </cell>
          <cell r="P912">
            <v>1.256</v>
          </cell>
          <cell r="Q912">
            <v>0</v>
          </cell>
          <cell r="R912">
            <v>0</v>
          </cell>
          <cell r="S912">
            <v>0</v>
          </cell>
          <cell r="T912">
            <v>7.9000000000000001E-2</v>
          </cell>
          <cell r="U912">
            <v>0</v>
          </cell>
          <cell r="V912">
            <v>0</v>
          </cell>
          <cell r="W912">
            <v>0</v>
          </cell>
          <cell r="X912">
            <v>0</v>
          </cell>
          <cell r="Y912">
            <v>0</v>
          </cell>
          <cell r="Z912">
            <v>0</v>
          </cell>
          <cell r="AA912">
            <v>0</v>
          </cell>
          <cell r="AB912">
            <v>0</v>
          </cell>
          <cell r="AC912">
            <v>0</v>
          </cell>
          <cell r="AD912">
            <v>0</v>
          </cell>
          <cell r="AE912" t="str">
            <v>PE sứ 50x730</v>
          </cell>
          <cell r="AF912">
            <v>0</v>
          </cell>
          <cell r="AG912">
            <v>4.7231000000000002E-2</v>
          </cell>
          <cell r="AH912">
            <v>1.44</v>
          </cell>
          <cell r="AI912">
            <v>0</v>
          </cell>
          <cell r="AJ912">
            <v>9530</v>
          </cell>
          <cell r="AK912">
            <v>0</v>
          </cell>
          <cell r="AL912">
            <v>3.0000000000000001E-3</v>
          </cell>
          <cell r="AM912" t="str">
            <v>dạng cuộn 1,000m</v>
          </cell>
          <cell r="AN912">
            <v>355</v>
          </cell>
          <cell r="AO912" t="str">
            <v>Công ty TNHH TM&amp;ĐT Đông Hiệp</v>
          </cell>
          <cell r="AP912" t="str">
            <v>F128941-1</v>
          </cell>
          <cell r="AQ912" t="str">
            <v>F128941-2</v>
          </cell>
          <cell r="AR912" t="str">
            <v>F128941-3</v>
          </cell>
          <cell r="AS912" t="str">
            <v>F128941-4</v>
          </cell>
          <cell r="AT912" t="str">
            <v>F128941-5</v>
          </cell>
          <cell r="AU912" t="str">
            <v>F128941-6</v>
          </cell>
          <cell r="AV912" t="str">
            <v>F128941-7</v>
          </cell>
          <cell r="AW912" t="str">
            <v>F128941-8</v>
          </cell>
          <cell r="AX912">
            <v>0</v>
          </cell>
          <cell r="AY912" t="str">
            <v>496x870</v>
          </cell>
          <cell r="AZ912">
            <v>0</v>
          </cell>
          <cell r="BA912">
            <v>0</v>
          </cell>
          <cell r="BB912">
            <v>0</v>
          </cell>
          <cell r="BC912">
            <v>0</v>
          </cell>
          <cell r="BD912" t="e">
            <v>#N/A</v>
          </cell>
        </row>
        <row r="913">
          <cell r="A913" t="str">
            <v>sp 1423</v>
          </cell>
          <cell r="B913" t="str">
            <v>Túi HCK không in KT 260x360 CP</v>
          </cell>
          <cell r="C913">
            <v>0</v>
          </cell>
          <cell r="D913">
            <v>1</v>
          </cell>
          <cell r="E913" t="str">
            <v>PA 15x740</v>
          </cell>
          <cell r="F913">
            <v>0</v>
          </cell>
          <cell r="G913" t="str">
            <v xml:space="preserve">PA </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t="str">
            <v>PE 65x740</v>
          </cell>
          <cell r="AF913">
            <v>0</v>
          </cell>
          <cell r="AG913">
            <v>5.7257499999999996E-2</v>
          </cell>
          <cell r="AH913">
            <v>1.1193333333333333</v>
          </cell>
          <cell r="AI913">
            <v>0</v>
          </cell>
          <cell r="AJ913">
            <v>9530</v>
          </cell>
          <cell r="AK913">
            <v>0</v>
          </cell>
          <cell r="AL913">
            <v>2.3E-3</v>
          </cell>
          <cell r="AM913" t="str">
            <v>túi ba biên</v>
          </cell>
          <cell r="AN913">
            <v>260</v>
          </cell>
          <cell r="AO913" t="str">
            <v>Chi nhánh Công ty CP chăn nuôi CP Việt Nam</v>
          </cell>
          <cell r="AP913">
            <v>0</v>
          </cell>
          <cell r="AQ913">
            <v>0</v>
          </cell>
          <cell r="AR913">
            <v>0</v>
          </cell>
          <cell r="AS913">
            <v>0</v>
          </cell>
          <cell r="AT913">
            <v>0</v>
          </cell>
          <cell r="AU913">
            <v>0</v>
          </cell>
          <cell r="AV913">
            <v>0</v>
          </cell>
          <cell r="AW913">
            <v>0</v>
          </cell>
          <cell r="AX913">
            <v>0</v>
          </cell>
          <cell r="AY913">
            <v>0</v>
          </cell>
          <cell r="AZ913">
            <v>0</v>
          </cell>
          <cell r="BA913">
            <v>0</v>
          </cell>
          <cell r="BB913">
            <v>0</v>
          </cell>
          <cell r="BC913">
            <v>0</v>
          </cell>
          <cell r="BD913" t="e">
            <v>#N/A</v>
          </cell>
        </row>
        <row r="914">
          <cell r="A914" t="str">
            <v>sp 1424</v>
          </cell>
          <cell r="B914" t="str">
            <v>Cuộn thuốc thú y không in loại 20gr khổ 305 - Thái Dương</v>
          </cell>
          <cell r="C914">
            <v>0</v>
          </cell>
          <cell r="D914">
            <v>3</v>
          </cell>
          <cell r="E914" t="str">
            <v>PET 12x940</v>
          </cell>
          <cell r="F914">
            <v>0</v>
          </cell>
          <cell r="G914" t="str">
            <v>PET</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t="str">
            <v>PE 65x940</v>
          </cell>
          <cell r="AF914">
            <v>0</v>
          </cell>
          <cell r="AG914">
            <v>7.2309499999999999E-2</v>
          </cell>
          <cell r="AH914">
            <v>1.55</v>
          </cell>
          <cell r="AI914">
            <v>0</v>
          </cell>
          <cell r="AJ914">
            <v>9530</v>
          </cell>
          <cell r="AK914">
            <v>0</v>
          </cell>
          <cell r="AL914">
            <v>2.5000000000000001E-3</v>
          </cell>
          <cell r="AM914" t="str">
            <v>dạng cuộn 1,000m</v>
          </cell>
          <cell r="AN914">
            <v>305</v>
          </cell>
          <cell r="AO914" t="str">
            <v>Công ty CP Thú Y SVT Thái Dương</v>
          </cell>
          <cell r="AP914">
            <v>0</v>
          </cell>
          <cell r="AQ914">
            <v>0</v>
          </cell>
          <cell r="AR914">
            <v>0</v>
          </cell>
          <cell r="AS914">
            <v>0</v>
          </cell>
          <cell r="AT914">
            <v>0</v>
          </cell>
          <cell r="AU914">
            <v>0</v>
          </cell>
          <cell r="AV914">
            <v>0</v>
          </cell>
          <cell r="AW914">
            <v>0</v>
          </cell>
          <cell r="AX914">
            <v>0</v>
          </cell>
          <cell r="AY914">
            <v>0</v>
          </cell>
          <cell r="AZ914">
            <v>0</v>
          </cell>
          <cell r="BA914">
            <v>0</v>
          </cell>
          <cell r="BB914">
            <v>0</v>
          </cell>
          <cell r="BC914">
            <v>0</v>
          </cell>
          <cell r="BD914" t="e">
            <v>#N/A</v>
          </cell>
        </row>
        <row r="915">
          <cell r="A915" t="str">
            <v>sp 1425</v>
          </cell>
          <cell r="B915" t="str">
            <v>Túi khăn hạ sốt zipper Dr.papie mã 082 -Starmed</v>
          </cell>
          <cell r="C915">
            <v>16.073</v>
          </cell>
          <cell r="D915">
            <v>2</v>
          </cell>
          <cell r="E915" t="str">
            <v>OPP mờ 20x720</v>
          </cell>
          <cell r="F915">
            <v>5</v>
          </cell>
          <cell r="G915" t="str">
            <v>OPP</v>
          </cell>
          <cell r="H915">
            <v>0.23</v>
          </cell>
          <cell r="I915">
            <v>9.6679999999999993</v>
          </cell>
          <cell r="J915">
            <v>0</v>
          </cell>
          <cell r="K915">
            <v>0</v>
          </cell>
          <cell r="L915">
            <v>1.151</v>
          </cell>
          <cell r="M915">
            <v>4.6040000000000001</v>
          </cell>
          <cell r="N915">
            <v>0</v>
          </cell>
          <cell r="O915">
            <v>0.4</v>
          </cell>
          <cell r="P915">
            <v>0.01</v>
          </cell>
          <cell r="Q915">
            <v>0</v>
          </cell>
          <cell r="R915">
            <v>0.01</v>
          </cell>
          <cell r="S915">
            <v>0</v>
          </cell>
          <cell r="T915">
            <v>0</v>
          </cell>
          <cell r="U915">
            <v>0</v>
          </cell>
          <cell r="V915">
            <v>0</v>
          </cell>
          <cell r="W915">
            <v>0</v>
          </cell>
          <cell r="X915">
            <v>0</v>
          </cell>
          <cell r="Y915">
            <v>0</v>
          </cell>
          <cell r="Z915">
            <v>0</v>
          </cell>
          <cell r="AA915">
            <v>0</v>
          </cell>
          <cell r="AB915">
            <v>0</v>
          </cell>
          <cell r="AC915">
            <v>0</v>
          </cell>
          <cell r="AD915">
            <v>0</v>
          </cell>
          <cell r="AE915" t="str">
            <v>MPET 12x720</v>
          </cell>
          <cell r="AF915" t="str">
            <v>PE 75x720</v>
          </cell>
          <cell r="AG915">
            <v>7.5150000000000008E-2</v>
          </cell>
          <cell r="AH915">
            <v>1.42</v>
          </cell>
          <cell r="AI915">
            <v>1.42</v>
          </cell>
          <cell r="AJ915">
            <v>9530</v>
          </cell>
          <cell r="AK915">
            <v>9530</v>
          </cell>
          <cell r="AL915" t="str">
            <v>0,006(0,003;0,003)</v>
          </cell>
          <cell r="AM915" t="str">
            <v>túi ba biên zipper</v>
          </cell>
          <cell r="AN915">
            <v>105</v>
          </cell>
          <cell r="AO915" t="str">
            <v>Công ty CP Tập Đoàn Dược phẩm Starmed</v>
          </cell>
          <cell r="AP915" t="str">
            <v>21110828-1</v>
          </cell>
          <cell r="AQ915" t="str">
            <v>21090608-2</v>
          </cell>
          <cell r="AR915" t="str">
            <v>21070623-3</v>
          </cell>
          <cell r="AS915" t="str">
            <v>21070623-4</v>
          </cell>
          <cell r="AT915" t="str">
            <v>21070623-5</v>
          </cell>
          <cell r="AU915">
            <v>0</v>
          </cell>
          <cell r="AV915">
            <v>0</v>
          </cell>
          <cell r="AW915">
            <v>0</v>
          </cell>
          <cell r="AX915">
            <v>0</v>
          </cell>
          <cell r="AY915" t="str">
            <v>420x870</v>
          </cell>
          <cell r="AZ915">
            <v>0</v>
          </cell>
          <cell r="BA915">
            <v>0</v>
          </cell>
          <cell r="BB915">
            <v>0</v>
          </cell>
          <cell r="BC915">
            <v>0</v>
          </cell>
          <cell r="BD915" t="e">
            <v>#N/A</v>
          </cell>
        </row>
        <row r="916">
          <cell r="A916" t="str">
            <v>sp 1426</v>
          </cell>
          <cell r="B916" t="str">
            <v>Túi khăn hạ sốt zipper Dr.papie mã 099 -Starmed</v>
          </cell>
          <cell r="C916">
            <v>7.6359999999999992</v>
          </cell>
          <cell r="D916">
            <v>2</v>
          </cell>
          <cell r="E916" t="str">
            <v>OPP mờ 20x720</v>
          </cell>
          <cell r="F916">
            <v>5</v>
          </cell>
          <cell r="G916" t="str">
            <v>OPP</v>
          </cell>
          <cell r="H916">
            <v>0.36899999999999999</v>
          </cell>
          <cell r="I916">
            <v>5.2889999999999997</v>
          </cell>
          <cell r="J916">
            <v>1.599</v>
          </cell>
          <cell r="K916">
            <v>0</v>
          </cell>
          <cell r="L916">
            <v>0</v>
          </cell>
          <cell r="M916">
            <v>0</v>
          </cell>
          <cell r="N916">
            <v>0</v>
          </cell>
          <cell r="O916">
            <v>0</v>
          </cell>
          <cell r="P916">
            <v>0.123</v>
          </cell>
          <cell r="Q916">
            <v>0</v>
          </cell>
          <cell r="R916">
            <v>0.246</v>
          </cell>
          <cell r="S916">
            <v>0</v>
          </cell>
          <cell r="T916">
            <v>0</v>
          </cell>
          <cell r="U916">
            <v>0</v>
          </cell>
          <cell r="V916">
            <v>0</v>
          </cell>
          <cell r="W916">
            <v>0.01</v>
          </cell>
          <cell r="X916">
            <v>0</v>
          </cell>
          <cell r="Y916">
            <v>0</v>
          </cell>
          <cell r="Z916">
            <v>0</v>
          </cell>
          <cell r="AA916">
            <v>0</v>
          </cell>
          <cell r="AB916">
            <v>0</v>
          </cell>
          <cell r="AC916">
            <v>0</v>
          </cell>
          <cell r="AD916">
            <v>0</v>
          </cell>
          <cell r="AE916" t="str">
            <v>MPET 12x720</v>
          </cell>
          <cell r="AF916" t="str">
            <v>PE 75x720</v>
          </cell>
          <cell r="AG916">
            <v>7.5150000000000008E-2</v>
          </cell>
          <cell r="AH916">
            <v>1.42</v>
          </cell>
          <cell r="AI916">
            <v>1.42</v>
          </cell>
          <cell r="AJ916">
            <v>9530</v>
          </cell>
          <cell r="AK916">
            <v>9530</v>
          </cell>
          <cell r="AL916" t="str">
            <v>0,006(0,003;0,003)</v>
          </cell>
          <cell r="AM916" t="str">
            <v>túi ba biên zipper</v>
          </cell>
          <cell r="AN916">
            <v>105</v>
          </cell>
          <cell r="AO916" t="str">
            <v>Công ty CP Tập Đoàn Dược phẩm Starmed</v>
          </cell>
          <cell r="AP916" t="str">
            <v>21070624-1</v>
          </cell>
          <cell r="AQ916" t="str">
            <v>21090608-2</v>
          </cell>
          <cell r="AR916" t="str">
            <v>21070624-3</v>
          </cell>
          <cell r="AS916" t="str">
            <v>21070624-4</v>
          </cell>
          <cell r="AT916" t="str">
            <v>21070623-5</v>
          </cell>
          <cell r="AU916">
            <v>0</v>
          </cell>
          <cell r="AV916">
            <v>0</v>
          </cell>
          <cell r="AW916">
            <v>0</v>
          </cell>
          <cell r="AX916">
            <v>0</v>
          </cell>
          <cell r="AY916" t="str">
            <v>420x870</v>
          </cell>
          <cell r="AZ916">
            <v>0</v>
          </cell>
          <cell r="BA916">
            <v>0</v>
          </cell>
          <cell r="BB916">
            <v>0</v>
          </cell>
          <cell r="BC916">
            <v>0</v>
          </cell>
          <cell r="BD916" t="e">
            <v>#N/A</v>
          </cell>
        </row>
        <row r="917">
          <cell r="A917" t="str">
            <v>sp 1427</v>
          </cell>
          <cell r="B917" t="str">
            <v>Cuộn bánh trung thu khổ 280 Nhật Nguyệt</v>
          </cell>
          <cell r="C917">
            <v>11.920999999999999</v>
          </cell>
          <cell r="D917">
            <v>2</v>
          </cell>
          <cell r="E917" t="str">
            <v>OPP mờ 20x580</v>
          </cell>
          <cell r="F917">
            <v>2</v>
          </cell>
          <cell r="G917" t="str">
            <v>OPP</v>
          </cell>
          <cell r="H917">
            <v>0</v>
          </cell>
          <cell r="I917">
            <v>7.0579999999999998</v>
          </cell>
          <cell r="J917">
            <v>0</v>
          </cell>
          <cell r="K917">
            <v>0</v>
          </cell>
          <cell r="L917">
            <v>0</v>
          </cell>
          <cell r="M917">
            <v>2.3530000000000002</v>
          </cell>
          <cell r="N917">
            <v>2.5</v>
          </cell>
          <cell r="O917">
            <v>0</v>
          </cell>
          <cell r="P917">
            <v>0</v>
          </cell>
          <cell r="Q917">
            <v>0</v>
          </cell>
          <cell r="R917">
            <v>0</v>
          </cell>
          <cell r="S917">
            <v>0.01</v>
          </cell>
          <cell r="T917">
            <v>0</v>
          </cell>
          <cell r="U917">
            <v>0</v>
          </cell>
          <cell r="V917">
            <v>0</v>
          </cell>
          <cell r="W917">
            <v>0</v>
          </cell>
          <cell r="X917">
            <v>0</v>
          </cell>
          <cell r="Y917">
            <v>0</v>
          </cell>
          <cell r="Z917">
            <v>0</v>
          </cell>
          <cell r="AA917">
            <v>0</v>
          </cell>
          <cell r="AB917">
            <v>0</v>
          </cell>
          <cell r="AC917">
            <v>0</v>
          </cell>
          <cell r="AD917">
            <v>0</v>
          </cell>
          <cell r="AE917" t="str">
            <v>PE 45x580</v>
          </cell>
          <cell r="AF917">
            <v>0</v>
          </cell>
          <cell r="AG917">
            <v>3.46985E-2</v>
          </cell>
          <cell r="AH917">
            <v>0.87399999999999989</v>
          </cell>
          <cell r="AI917">
            <v>0</v>
          </cell>
          <cell r="AJ917">
            <v>9530</v>
          </cell>
          <cell r="AK917">
            <v>0</v>
          </cell>
          <cell r="AL917">
            <v>2.3E-3</v>
          </cell>
          <cell r="AM917" t="str">
            <v>dạng cuộn 1,000m</v>
          </cell>
          <cell r="AN917">
            <v>280</v>
          </cell>
          <cell r="AO917" t="str">
            <v>Công ty Nhật Nguyệt</v>
          </cell>
          <cell r="AP917" t="str">
            <v>21070622-1</v>
          </cell>
          <cell r="AQ917" t="str">
            <v>21070622-2</v>
          </cell>
          <cell r="AR917">
            <v>0</v>
          </cell>
          <cell r="AS917">
            <v>0</v>
          </cell>
          <cell r="AT917">
            <v>0</v>
          </cell>
          <cell r="AU917">
            <v>0</v>
          </cell>
          <cell r="AV917">
            <v>0</v>
          </cell>
          <cell r="AW917">
            <v>0</v>
          </cell>
          <cell r="AX917">
            <v>0</v>
          </cell>
          <cell r="AY917" t="str">
            <v>456x870</v>
          </cell>
          <cell r="AZ917">
            <v>0</v>
          </cell>
          <cell r="BA917">
            <v>0</v>
          </cell>
          <cell r="BB917">
            <v>0</v>
          </cell>
          <cell r="BC917">
            <v>0</v>
          </cell>
          <cell r="BD917" t="e">
            <v>#N/A</v>
          </cell>
        </row>
        <row r="918">
          <cell r="A918" t="str">
            <v>sp K420</v>
          </cell>
          <cell r="B918" t="str">
            <v>Cuộn màng bánh bao không in khổ 420</v>
          </cell>
          <cell r="C918">
            <v>0</v>
          </cell>
          <cell r="D918">
            <v>2</v>
          </cell>
          <cell r="E918" t="str">
            <v>OPP 20x860</v>
          </cell>
          <cell r="F918">
            <v>0</v>
          </cell>
          <cell r="G918" t="str">
            <v>OPP</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t="str">
            <v>PE 55x860</v>
          </cell>
          <cell r="AF918">
            <v>0</v>
          </cell>
          <cell r="AG918">
            <v>5.9404499999999999E-2</v>
          </cell>
          <cell r="AH918">
            <v>1.3339999999999999</v>
          </cell>
          <cell r="AI918">
            <v>0</v>
          </cell>
          <cell r="AJ918">
            <v>9530</v>
          </cell>
          <cell r="AK918">
            <v>0</v>
          </cell>
          <cell r="AL918">
            <v>2.3E-3</v>
          </cell>
          <cell r="AM918" t="str">
            <v>dạng cuộn 500m</v>
          </cell>
          <cell r="AN918">
            <v>420</v>
          </cell>
          <cell r="AO918" t="str">
            <v>Công ty Phú Mỹ</v>
          </cell>
          <cell r="AP918" t="e">
            <v>#N/A</v>
          </cell>
          <cell r="AQ918" t="e">
            <v>#N/A</v>
          </cell>
          <cell r="AR918" t="e">
            <v>#N/A</v>
          </cell>
          <cell r="AS918" t="e">
            <v>#N/A</v>
          </cell>
          <cell r="AT918" t="e">
            <v>#N/A</v>
          </cell>
          <cell r="AU918" t="e">
            <v>#N/A</v>
          </cell>
          <cell r="AV918" t="e">
            <v>#N/A</v>
          </cell>
          <cell r="AW918" t="e">
            <v>#N/A</v>
          </cell>
          <cell r="AX918" t="e">
            <v>#N/A</v>
          </cell>
          <cell r="AY918" t="e">
            <v>#N/A</v>
          </cell>
          <cell r="AZ918" t="e">
            <v>#N/A</v>
          </cell>
          <cell r="BA918">
            <v>0</v>
          </cell>
          <cell r="BB918">
            <v>0</v>
          </cell>
          <cell r="BC918">
            <v>0</v>
          </cell>
          <cell r="BD918" t="e">
            <v>#N/A</v>
          </cell>
        </row>
        <row r="919">
          <cell r="A919" t="str">
            <v>sp 1428</v>
          </cell>
          <cell r="B919" t="str">
            <v>Túi zipper kẹo bù khoáng chanh muối Dr.cool 32gr Eikodo</v>
          </cell>
          <cell r="C919">
            <v>7.1929999999999996</v>
          </cell>
          <cell r="D919">
            <v>2</v>
          </cell>
          <cell r="E919" t="str">
            <v>PET 12x910</v>
          </cell>
          <cell r="F919">
            <v>8</v>
          </cell>
          <cell r="G919" t="str">
            <v>PET</v>
          </cell>
          <cell r="H919">
            <v>0.01</v>
          </cell>
          <cell r="I919">
            <v>6.16</v>
          </cell>
          <cell r="J919">
            <v>7.1999999999999995E-2</v>
          </cell>
          <cell r="K919">
            <v>0.14299999999999999</v>
          </cell>
          <cell r="L919">
            <v>0.501</v>
          </cell>
          <cell r="M919">
            <v>0</v>
          </cell>
          <cell r="N919">
            <v>0</v>
          </cell>
          <cell r="O919">
            <v>0</v>
          </cell>
          <cell r="P919">
            <v>0.01</v>
          </cell>
          <cell r="Q919">
            <v>0</v>
          </cell>
          <cell r="R919">
            <v>0.28699999999999998</v>
          </cell>
          <cell r="S919">
            <v>0</v>
          </cell>
          <cell r="T919">
            <v>0</v>
          </cell>
          <cell r="U919">
            <v>0</v>
          </cell>
          <cell r="V919">
            <v>0</v>
          </cell>
          <cell r="W919">
            <v>0.01</v>
          </cell>
          <cell r="X919">
            <v>0</v>
          </cell>
          <cell r="Y919">
            <v>0</v>
          </cell>
          <cell r="Z919">
            <v>0</v>
          </cell>
          <cell r="AA919">
            <v>0</v>
          </cell>
          <cell r="AB919">
            <v>0</v>
          </cell>
          <cell r="AC919">
            <v>0</v>
          </cell>
          <cell r="AD919">
            <v>0</v>
          </cell>
          <cell r="AE919" t="str">
            <v>MPET 12x910</v>
          </cell>
          <cell r="AF919" t="str">
            <v>PE 50x910</v>
          </cell>
          <cell r="AG919">
            <v>7.2663500000000006E-2</v>
          </cell>
          <cell r="AH919">
            <v>1.8</v>
          </cell>
          <cell r="AI919">
            <v>1.8</v>
          </cell>
          <cell r="AJ919">
            <v>9530</v>
          </cell>
          <cell r="AK919">
            <v>9530</v>
          </cell>
          <cell r="AL919" t="str">
            <v>0,006(0,003;0,003)</v>
          </cell>
          <cell r="AM919" t="str">
            <v>túi ba biên zipper</v>
          </cell>
          <cell r="AN919">
            <v>140</v>
          </cell>
          <cell r="AO919" t="str">
            <v>Công ty kẹo nhật bản eikodo</v>
          </cell>
          <cell r="AP919" t="str">
            <v>21070819-1</v>
          </cell>
          <cell r="AQ919" t="str">
            <v>21070819-2</v>
          </cell>
          <cell r="AR919" t="str">
            <v>21070819-3</v>
          </cell>
          <cell r="AS919" t="str">
            <v>21070819-4</v>
          </cell>
          <cell r="AT919" t="str">
            <v>21070819-5</v>
          </cell>
          <cell r="AU919" t="str">
            <v>21070819-6</v>
          </cell>
          <cell r="AV919" t="str">
            <v>21070819-7</v>
          </cell>
          <cell r="AW919" t="str">
            <v>21070819-8</v>
          </cell>
          <cell r="AX919">
            <v>0</v>
          </cell>
          <cell r="AY919" t="str">
            <v>420x1100</v>
          </cell>
          <cell r="AZ919">
            <v>0</v>
          </cell>
          <cell r="BA919">
            <v>0</v>
          </cell>
          <cell r="BB919">
            <v>0</v>
          </cell>
          <cell r="BC919">
            <v>0</v>
          </cell>
          <cell r="BD919" t="e">
            <v>#N/A</v>
          </cell>
        </row>
        <row r="920">
          <cell r="A920" t="str">
            <v>sp 1429</v>
          </cell>
          <cell r="B920" t="str">
            <v>Túi zipper khẩu trang 4D ami mask Nhật Linh-HN</v>
          </cell>
          <cell r="C920">
            <v>4.5639999999999992</v>
          </cell>
          <cell r="D920">
            <v>1</v>
          </cell>
          <cell r="E920" t="str">
            <v>OPP mờ 20x580</v>
          </cell>
          <cell r="F920">
            <v>4</v>
          </cell>
          <cell r="G920" t="str">
            <v>OPP</v>
          </cell>
          <cell r="H920">
            <v>0.01</v>
          </cell>
          <cell r="I920">
            <v>4.4889999999999999</v>
          </cell>
          <cell r="J920">
            <v>0</v>
          </cell>
          <cell r="K920">
            <v>0</v>
          </cell>
          <cell r="L920">
            <v>0</v>
          </cell>
          <cell r="M920">
            <v>0</v>
          </cell>
          <cell r="N920">
            <v>0</v>
          </cell>
          <cell r="O920">
            <v>0</v>
          </cell>
          <cell r="P920">
            <v>0</v>
          </cell>
          <cell r="Q920">
            <v>0</v>
          </cell>
          <cell r="R920">
            <v>0</v>
          </cell>
          <cell r="S920">
            <v>5.5E-2</v>
          </cell>
          <cell r="T920">
            <v>0</v>
          </cell>
          <cell r="U920">
            <v>0</v>
          </cell>
          <cell r="V920">
            <v>0</v>
          </cell>
          <cell r="W920">
            <v>0.01</v>
          </cell>
          <cell r="X920">
            <v>0</v>
          </cell>
          <cell r="Y920">
            <v>0</v>
          </cell>
          <cell r="Z920">
            <v>0</v>
          </cell>
          <cell r="AA920">
            <v>0</v>
          </cell>
          <cell r="AB920">
            <v>0</v>
          </cell>
          <cell r="AC920">
            <v>0</v>
          </cell>
          <cell r="AD920">
            <v>0</v>
          </cell>
          <cell r="AE920" t="str">
            <v>MCPP 35x295       
/CPP35x290</v>
          </cell>
          <cell r="AF920">
            <v>0</v>
          </cell>
          <cell r="AG920">
            <v>2.9028999999999999E-2</v>
          </cell>
          <cell r="AH920">
            <v>0.95</v>
          </cell>
          <cell r="AI920">
            <v>0</v>
          </cell>
          <cell r="AJ920">
            <v>9530</v>
          </cell>
          <cell r="AK920">
            <v>0</v>
          </cell>
          <cell r="AL920">
            <v>2.5000000000000001E-3</v>
          </cell>
          <cell r="AM920" t="str">
            <v xml:space="preserve">túi ba biên zipper </v>
          </cell>
          <cell r="AN920">
            <v>110</v>
          </cell>
          <cell r="AO920" t="str">
            <v>Công ty TNHH Duy Ngọc Fashion</v>
          </cell>
          <cell r="AP920" t="str">
            <v>21070988-1</v>
          </cell>
          <cell r="AQ920" t="str">
            <v>21070988-2</v>
          </cell>
          <cell r="AR920" t="str">
            <v>21070988-3</v>
          </cell>
          <cell r="AS920">
            <v>0</v>
          </cell>
          <cell r="AT920">
            <v>0</v>
          </cell>
          <cell r="AU920">
            <v>0</v>
          </cell>
          <cell r="AV920">
            <v>0</v>
          </cell>
          <cell r="AW920">
            <v>0</v>
          </cell>
          <cell r="AX920">
            <v>0</v>
          </cell>
          <cell r="AY920" t="str">
            <v>440x870</v>
          </cell>
          <cell r="AZ920">
            <v>0</v>
          </cell>
          <cell r="BA920">
            <v>0</v>
          </cell>
          <cell r="BB920">
            <v>0</v>
          </cell>
          <cell r="BC920">
            <v>0</v>
          </cell>
          <cell r="BD920" t="e">
            <v>#N/A</v>
          </cell>
        </row>
        <row r="921">
          <cell r="A921" t="str">
            <v>sp 1430</v>
          </cell>
          <cell r="B921" t="str">
            <v>Túi zipper khẩu trang 4D fashion mask Duy Ngọc Fashion</v>
          </cell>
          <cell r="C921">
            <v>11.908999999999999</v>
          </cell>
          <cell r="D921">
            <v>1</v>
          </cell>
          <cell r="E921" t="str">
            <v>OPP mờ 20x580</v>
          </cell>
          <cell r="F921">
            <v>4</v>
          </cell>
          <cell r="G921" t="str">
            <v>OPP</v>
          </cell>
          <cell r="H921">
            <v>0.27900000000000003</v>
          </cell>
          <cell r="I921">
            <v>5.5259999999999998</v>
          </cell>
          <cell r="J921">
            <v>0.78100000000000003</v>
          </cell>
          <cell r="K921">
            <v>0.44700000000000001</v>
          </cell>
          <cell r="L921">
            <v>0</v>
          </cell>
          <cell r="M921">
            <v>2.121</v>
          </cell>
          <cell r="N921">
            <v>1.8979999999999999</v>
          </cell>
          <cell r="O921">
            <v>0</v>
          </cell>
          <cell r="P921">
            <v>0</v>
          </cell>
          <cell r="Q921">
            <v>0</v>
          </cell>
          <cell r="R921">
            <v>0.83699999999999997</v>
          </cell>
          <cell r="S921">
            <v>0.01</v>
          </cell>
          <cell r="T921">
            <v>0</v>
          </cell>
          <cell r="U921">
            <v>0</v>
          </cell>
          <cell r="V921">
            <v>0</v>
          </cell>
          <cell r="W921">
            <v>0.01</v>
          </cell>
          <cell r="X921">
            <v>0</v>
          </cell>
          <cell r="Y921">
            <v>0</v>
          </cell>
          <cell r="Z921">
            <v>0</v>
          </cell>
          <cell r="AA921">
            <v>0</v>
          </cell>
          <cell r="AB921">
            <v>0</v>
          </cell>
          <cell r="AC921">
            <v>0</v>
          </cell>
          <cell r="AD921">
            <v>0</v>
          </cell>
          <cell r="AE921" t="str">
            <v>MCPP 35x295       
/CPP35x290</v>
          </cell>
          <cell r="AF921">
            <v>0</v>
          </cell>
          <cell r="AG921">
            <v>2.9028999999999999E-2</v>
          </cell>
          <cell r="AH921">
            <v>0.95</v>
          </cell>
          <cell r="AI921">
            <v>0</v>
          </cell>
          <cell r="AJ921">
            <v>9530</v>
          </cell>
          <cell r="AK921">
            <v>0</v>
          </cell>
          <cell r="AL921">
            <v>2.5000000000000001E-3</v>
          </cell>
          <cell r="AM921" t="str">
            <v xml:space="preserve">túi ba biên zipper </v>
          </cell>
          <cell r="AN921">
            <v>110</v>
          </cell>
          <cell r="AO921" t="str">
            <v>Công ty TNHH Duy Ngọc Fashion</v>
          </cell>
          <cell r="AP921" t="str">
            <v>21070989-1</v>
          </cell>
          <cell r="AQ921" t="str">
            <v>21090502-2</v>
          </cell>
          <cell r="AR921" t="str">
            <v>21090502-3</v>
          </cell>
          <cell r="AS921" t="str">
            <v>21090502-4</v>
          </cell>
          <cell r="AT921">
            <v>0</v>
          </cell>
          <cell r="AU921">
            <v>0</v>
          </cell>
          <cell r="AV921">
            <v>0</v>
          </cell>
          <cell r="AW921">
            <v>0</v>
          </cell>
          <cell r="AX921">
            <v>0</v>
          </cell>
          <cell r="AY921" t="str">
            <v>440x870</v>
          </cell>
          <cell r="AZ921">
            <v>0</v>
          </cell>
          <cell r="BA921">
            <v>0</v>
          </cell>
          <cell r="BB921">
            <v>0</v>
          </cell>
          <cell r="BC921">
            <v>0</v>
          </cell>
          <cell r="BD921" t="e">
            <v>#N/A</v>
          </cell>
        </row>
        <row r="922">
          <cell r="A922" t="str">
            <v>sp 1431</v>
          </cell>
          <cell r="B922" t="str">
            <v>Cuộn hạt giống cải làn vàng, trắng, đậu, cove vàng sao việt</v>
          </cell>
          <cell r="C922">
            <v>5.5739999999999998</v>
          </cell>
          <cell r="D922">
            <v>3</v>
          </cell>
          <cell r="E922" t="str">
            <v>PET 12x800</v>
          </cell>
          <cell r="F922">
            <v>5</v>
          </cell>
          <cell r="G922" t="str">
            <v>PET</v>
          </cell>
          <cell r="H922">
            <v>0.53400000000000003</v>
          </cell>
          <cell r="I922">
            <v>1.4950000000000001</v>
          </cell>
          <cell r="J922">
            <v>0.01</v>
          </cell>
          <cell r="K922">
            <v>0.01</v>
          </cell>
          <cell r="L922">
            <v>0.107</v>
          </cell>
          <cell r="M922">
            <v>3.4180000000000001</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t="str">
            <v>MPET 12x800</v>
          </cell>
          <cell r="AF922" t="str">
            <v>PE 100x800</v>
          </cell>
          <cell r="AG922">
            <v>0.10088000000000003</v>
          </cell>
          <cell r="AH922">
            <v>1.3166666666666669</v>
          </cell>
          <cell r="AI922">
            <v>1.3166666666666669</v>
          </cell>
          <cell r="AJ922">
            <v>9530</v>
          </cell>
          <cell r="AK922">
            <v>9530</v>
          </cell>
          <cell r="AL922" t="str">
            <v>0,005(0,0025;0,0025)</v>
          </cell>
          <cell r="AM922" t="str">
            <v>dạng cuộn 700m</v>
          </cell>
          <cell r="AN922">
            <v>260</v>
          </cell>
          <cell r="AO922" t="str">
            <v>Công ty Giống lucky</v>
          </cell>
          <cell r="AP922" t="str">
            <v>21070998-1</v>
          </cell>
          <cell r="AQ922" t="str">
            <v>21070998-2</v>
          </cell>
          <cell r="AR922" t="str">
            <v>21070998-3</v>
          </cell>
          <cell r="AS922" t="str">
            <v>21070998-4</v>
          </cell>
          <cell r="AT922" t="str">
            <v>20120064-5</v>
          </cell>
          <cell r="AU922">
            <v>0</v>
          </cell>
          <cell r="AV922">
            <v>0</v>
          </cell>
          <cell r="AW922">
            <v>0</v>
          </cell>
          <cell r="AX922">
            <v>0</v>
          </cell>
          <cell r="AY922" t="str">
            <v>570x870</v>
          </cell>
          <cell r="AZ922">
            <v>0</v>
          </cell>
          <cell r="BA922">
            <v>0</v>
          </cell>
          <cell r="BB922">
            <v>0</v>
          </cell>
          <cell r="BC922">
            <v>0</v>
          </cell>
          <cell r="BD922" t="e">
            <v>#N/A</v>
          </cell>
        </row>
        <row r="923">
          <cell r="A923" t="str">
            <v>sp 1432</v>
          </cell>
          <cell r="B923" t="str">
            <v>Cuộn hạt giống cải làn vàng, trắng, cải mơ Lucky</v>
          </cell>
          <cell r="C923">
            <v>1.079</v>
          </cell>
          <cell r="D923">
            <v>3</v>
          </cell>
          <cell r="E923" t="str">
            <v>PET 12x800</v>
          </cell>
          <cell r="F923">
            <v>5</v>
          </cell>
          <cell r="G923" t="str">
            <v>PET</v>
          </cell>
          <cell r="H923">
            <v>0.01</v>
          </cell>
          <cell r="I923">
            <v>0.01</v>
          </cell>
          <cell r="J923">
            <v>0</v>
          </cell>
          <cell r="K923">
            <v>0.95299999999999996</v>
          </cell>
          <cell r="L923">
            <v>0.106</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t="str">
            <v>MPET 12x800</v>
          </cell>
          <cell r="AF923" t="str">
            <v>PE 100x800</v>
          </cell>
          <cell r="AG923">
            <v>0.10088000000000003</v>
          </cell>
          <cell r="AH923">
            <v>1.3166666666666669</v>
          </cell>
          <cell r="AI923">
            <v>1.3166666666666669</v>
          </cell>
          <cell r="AJ923">
            <v>9530</v>
          </cell>
          <cell r="AK923">
            <v>9530</v>
          </cell>
          <cell r="AL923" t="str">
            <v>0,005(0,0025;0,0025)</v>
          </cell>
          <cell r="AM923" t="str">
            <v>dạng cuộn 700m</v>
          </cell>
          <cell r="AN923">
            <v>260</v>
          </cell>
          <cell r="AO923" t="str">
            <v>Công ty Giống lucky</v>
          </cell>
          <cell r="AP923" t="str">
            <v>21070999-1</v>
          </cell>
          <cell r="AQ923" t="str">
            <v>21070999-2</v>
          </cell>
          <cell r="AR923" t="str">
            <v>21070999-3</v>
          </cell>
          <cell r="AS923" t="str">
            <v>21070999-4</v>
          </cell>
          <cell r="AT923" t="str">
            <v>20120064-5</v>
          </cell>
          <cell r="AU923">
            <v>0</v>
          </cell>
          <cell r="AV923">
            <v>0</v>
          </cell>
          <cell r="AW923">
            <v>0</v>
          </cell>
          <cell r="AX923">
            <v>0</v>
          </cell>
          <cell r="AY923" t="str">
            <v>570x870</v>
          </cell>
          <cell r="AZ923">
            <v>0</v>
          </cell>
          <cell r="BA923">
            <v>0</v>
          </cell>
          <cell r="BB923">
            <v>0</v>
          </cell>
          <cell r="BC923">
            <v>0</v>
          </cell>
          <cell r="BD923" t="e">
            <v>#N/A</v>
          </cell>
        </row>
        <row r="924">
          <cell r="A924" t="str">
            <v>sp 1433</v>
          </cell>
          <cell r="B924" t="str">
            <v>Túi zipper khẩu trang 4D Vân Anh mask</v>
          </cell>
          <cell r="C924">
            <v>5.8039999999999985</v>
          </cell>
          <cell r="D924">
            <v>1</v>
          </cell>
          <cell r="E924" t="str">
            <v>OPP mờ 20x580</v>
          </cell>
          <cell r="F924">
            <v>4</v>
          </cell>
          <cell r="G924" t="str">
            <v>OPP</v>
          </cell>
          <cell r="H924">
            <v>0.27800000000000002</v>
          </cell>
          <cell r="I924">
            <v>4.5049999999999999</v>
          </cell>
          <cell r="J924">
            <v>0.66700000000000004</v>
          </cell>
          <cell r="K924">
            <v>0</v>
          </cell>
          <cell r="L924">
            <v>0</v>
          </cell>
          <cell r="M924">
            <v>0</v>
          </cell>
          <cell r="N924">
            <v>0</v>
          </cell>
          <cell r="O924">
            <v>0.33400000000000002</v>
          </cell>
          <cell r="P924">
            <v>0</v>
          </cell>
          <cell r="Q924">
            <v>0</v>
          </cell>
          <cell r="R924">
            <v>0</v>
          </cell>
          <cell r="S924">
            <v>0.01</v>
          </cell>
          <cell r="T924">
            <v>0</v>
          </cell>
          <cell r="U924">
            <v>0</v>
          </cell>
          <cell r="V924">
            <v>0</v>
          </cell>
          <cell r="W924">
            <v>0.01</v>
          </cell>
          <cell r="X924">
            <v>0</v>
          </cell>
          <cell r="Y924">
            <v>0</v>
          </cell>
          <cell r="Z924">
            <v>0</v>
          </cell>
          <cell r="AA924">
            <v>0</v>
          </cell>
          <cell r="AB924">
            <v>0</v>
          </cell>
          <cell r="AC924">
            <v>0</v>
          </cell>
          <cell r="AD924">
            <v>0</v>
          </cell>
          <cell r="AE924" t="str">
            <v>MCPP 35x295       /CPP35x290</v>
          </cell>
          <cell r="AF924">
            <v>0</v>
          </cell>
          <cell r="AG924">
            <v>2.9028999999999999E-2</v>
          </cell>
          <cell r="AH924">
            <v>1.1399999999999999</v>
          </cell>
          <cell r="AI924">
            <v>0</v>
          </cell>
          <cell r="AJ924">
            <v>9530</v>
          </cell>
          <cell r="AK924">
            <v>0</v>
          </cell>
          <cell r="AL924">
            <v>3.0000000000000001E-3</v>
          </cell>
          <cell r="AM924" t="str">
            <v xml:space="preserve">túi ba biên zipper </v>
          </cell>
          <cell r="AN924">
            <v>110</v>
          </cell>
          <cell r="AO924" t="str">
            <v>Công ty Khẩu trang</v>
          </cell>
          <cell r="AP924" t="e">
            <v>#N/A</v>
          </cell>
          <cell r="AQ924" t="e">
            <v>#N/A</v>
          </cell>
          <cell r="AR924" t="e">
            <v>#N/A</v>
          </cell>
          <cell r="AS924" t="e">
            <v>#N/A</v>
          </cell>
          <cell r="AT924" t="e">
            <v>#N/A</v>
          </cell>
          <cell r="AU924" t="e">
            <v>#N/A</v>
          </cell>
          <cell r="AV924" t="e">
            <v>#N/A</v>
          </cell>
          <cell r="AW924" t="e">
            <v>#N/A</v>
          </cell>
          <cell r="AX924" t="e">
            <v>#N/A</v>
          </cell>
          <cell r="AY924" t="e">
            <v>#N/A</v>
          </cell>
          <cell r="AZ924" t="e">
            <v>#N/A</v>
          </cell>
          <cell r="BA924">
            <v>0</v>
          </cell>
          <cell r="BB924">
            <v>0</v>
          </cell>
          <cell r="BC924">
            <v>0</v>
          </cell>
          <cell r="BD924" t="e">
            <v>#N/A</v>
          </cell>
        </row>
        <row r="925">
          <cell r="A925" t="str">
            <v>sp 1434</v>
          </cell>
          <cell r="B925" t="str">
            <v>Túi bánh sandwich khoai tây fresta richy</v>
          </cell>
          <cell r="C925">
            <v>7.3449999999999998</v>
          </cell>
          <cell r="D925">
            <v>2</v>
          </cell>
          <cell r="E925" t="str">
            <v>OPP 20x980</v>
          </cell>
          <cell r="F925">
            <v>8</v>
          </cell>
          <cell r="G925" t="str">
            <v>OPP</v>
          </cell>
          <cell r="H925">
            <v>0.13200000000000001</v>
          </cell>
          <cell r="I925">
            <v>4.0609999999999999</v>
          </cell>
          <cell r="J925">
            <v>0.752</v>
          </cell>
          <cell r="K925">
            <v>3.7999999999999999E-2</v>
          </cell>
          <cell r="L925">
            <v>1.6359999999999999</v>
          </cell>
          <cell r="M925">
            <v>0.42499999999999999</v>
          </cell>
          <cell r="N925">
            <v>0</v>
          </cell>
          <cell r="O925">
            <v>0</v>
          </cell>
          <cell r="P925">
            <v>7.4999999999999997E-2</v>
          </cell>
          <cell r="Q925">
            <v>0</v>
          </cell>
          <cell r="R925">
            <v>0.22600000000000001</v>
          </cell>
          <cell r="S925">
            <v>0</v>
          </cell>
          <cell r="T925">
            <v>0</v>
          </cell>
          <cell r="U925">
            <v>0</v>
          </cell>
          <cell r="V925">
            <v>0</v>
          </cell>
          <cell r="W925">
            <v>0</v>
          </cell>
          <cell r="X925">
            <v>0</v>
          </cell>
          <cell r="Y925">
            <v>0</v>
          </cell>
          <cell r="Z925">
            <v>0</v>
          </cell>
          <cell r="AA925">
            <v>0</v>
          </cell>
          <cell r="AB925">
            <v>0</v>
          </cell>
          <cell r="AC925">
            <v>0</v>
          </cell>
          <cell r="AD925">
            <v>0</v>
          </cell>
          <cell r="AE925" t="str">
            <v>CPP 25x980</v>
          </cell>
          <cell r="AF925">
            <v>0</v>
          </cell>
          <cell r="AG925">
            <v>4.0131E-2</v>
          </cell>
          <cell r="AH925">
            <v>1.4873333333333332</v>
          </cell>
          <cell r="AI925">
            <v>0</v>
          </cell>
          <cell r="AJ925">
            <v>9530</v>
          </cell>
          <cell r="AK925">
            <v>0</v>
          </cell>
          <cell r="AL925">
            <v>2.3E-3</v>
          </cell>
          <cell r="AM925" t="str">
            <v>túi hàn lưng xếp hông lệch</v>
          </cell>
          <cell r="AN925">
            <v>380</v>
          </cell>
          <cell r="AO925" t="str">
            <v>Công ty CP thực phẩm Richy Miền Bắc</v>
          </cell>
          <cell r="AP925" t="str">
            <v>F129076-1</v>
          </cell>
          <cell r="AQ925" t="str">
            <v>F129076G1-2</v>
          </cell>
          <cell r="AR925" t="str">
            <v>F129076-3</v>
          </cell>
          <cell r="AS925" t="str">
            <v>F129076-4</v>
          </cell>
          <cell r="AT925" t="str">
            <v>F129076-5</v>
          </cell>
          <cell r="AU925" t="str">
            <v>F129076-6</v>
          </cell>
          <cell r="AV925" t="str">
            <v>F129076-7</v>
          </cell>
          <cell r="AW925" t="str">
            <v>F129076-8</v>
          </cell>
          <cell r="AX925">
            <v>0</v>
          </cell>
          <cell r="AY925" t="str">
            <v>760x1100</v>
          </cell>
          <cell r="AZ925">
            <v>0</v>
          </cell>
          <cell r="BA925">
            <v>0</v>
          </cell>
          <cell r="BB925">
            <v>0</v>
          </cell>
          <cell r="BC925">
            <v>0</v>
          </cell>
          <cell r="BD925" t="e">
            <v>#N/A</v>
          </cell>
        </row>
        <row r="926">
          <cell r="A926" t="str">
            <v>sp 1435</v>
          </cell>
          <cell r="B926" t="str">
            <v>Túi thuốc thú y không in 20gr KT 130x175mm Thái Dương</v>
          </cell>
          <cell r="C926">
            <v>0</v>
          </cell>
          <cell r="D926">
            <v>3</v>
          </cell>
          <cell r="E926" t="str">
            <v>PET 12x800</v>
          </cell>
          <cell r="F926">
            <v>0</v>
          </cell>
          <cell r="G926" t="str">
            <v>PET</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t="str">
            <v>Al 6x800</v>
          </cell>
          <cell r="AF926" t="str">
            <v>PE 100x800</v>
          </cell>
          <cell r="AG926">
            <v>0.12152000000000002</v>
          </cell>
          <cell r="AH926">
            <v>1.58</v>
          </cell>
          <cell r="AI926">
            <v>1.58</v>
          </cell>
          <cell r="AJ926">
            <v>9530</v>
          </cell>
          <cell r="AK926">
            <v>9530</v>
          </cell>
          <cell r="AL926" t="str">
            <v>0,006(0,003;0,003)</v>
          </cell>
          <cell r="AM926" t="str">
            <v>túi ba biên</v>
          </cell>
          <cell r="AN926">
            <v>175</v>
          </cell>
          <cell r="AO926" t="str">
            <v>Công ty CP Thú Y SVT Thái Dương</v>
          </cell>
          <cell r="AP926">
            <v>0</v>
          </cell>
          <cell r="AQ926">
            <v>0</v>
          </cell>
          <cell r="AR926">
            <v>0</v>
          </cell>
          <cell r="AS926">
            <v>0</v>
          </cell>
          <cell r="AT926">
            <v>0</v>
          </cell>
          <cell r="AU926">
            <v>0</v>
          </cell>
          <cell r="AV926">
            <v>0</v>
          </cell>
          <cell r="AW926">
            <v>0</v>
          </cell>
          <cell r="AX926">
            <v>0</v>
          </cell>
          <cell r="AY926">
            <v>0</v>
          </cell>
          <cell r="AZ926">
            <v>0</v>
          </cell>
          <cell r="BA926">
            <v>0</v>
          </cell>
          <cell r="BB926">
            <v>0</v>
          </cell>
          <cell r="BC926">
            <v>0</v>
          </cell>
          <cell r="BD926" t="e">
            <v>#N/A</v>
          </cell>
        </row>
        <row r="927">
          <cell r="A927" t="str">
            <v>sp 1436</v>
          </cell>
          <cell r="B927" t="str">
            <v>Túi không in thuốc thú y khổ 260- Đất Việt</v>
          </cell>
          <cell r="C927">
            <v>0</v>
          </cell>
          <cell r="D927">
            <v>3</v>
          </cell>
          <cell r="E927" t="str">
            <v>PA 15x800</v>
          </cell>
          <cell r="F927">
            <v>0</v>
          </cell>
          <cell r="G927" t="str">
            <v xml:space="preserve">PA </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t="str">
            <v>PE sứ 75x800</v>
          </cell>
          <cell r="AF927">
            <v>0</v>
          </cell>
          <cell r="AG927">
            <v>6.9600000000000009E-2</v>
          </cell>
          <cell r="AH927">
            <v>1.2113333333333334</v>
          </cell>
          <cell r="AI927">
            <v>0</v>
          </cell>
          <cell r="AJ927">
            <v>9530</v>
          </cell>
          <cell r="AK927">
            <v>0</v>
          </cell>
          <cell r="AL927">
            <v>2.3E-3</v>
          </cell>
          <cell r="AM927" t="str">
            <v>dạng cuộn 1,000m</v>
          </cell>
          <cell r="AN927">
            <v>260</v>
          </cell>
          <cell r="AO927" t="str">
            <v>Công ty CP thuốc thú y Đất Việt</v>
          </cell>
          <cell r="AP927">
            <v>0</v>
          </cell>
          <cell r="AQ927">
            <v>0</v>
          </cell>
          <cell r="AR927">
            <v>0</v>
          </cell>
          <cell r="AS927">
            <v>0</v>
          </cell>
          <cell r="AT927">
            <v>0</v>
          </cell>
          <cell r="AU927">
            <v>0</v>
          </cell>
          <cell r="AV927">
            <v>0</v>
          </cell>
          <cell r="AW927">
            <v>0</v>
          </cell>
          <cell r="AX927">
            <v>0</v>
          </cell>
          <cell r="AY927">
            <v>0</v>
          </cell>
          <cell r="AZ927">
            <v>0</v>
          </cell>
          <cell r="BA927">
            <v>0</v>
          </cell>
          <cell r="BB927">
            <v>0</v>
          </cell>
          <cell r="BC927">
            <v>0</v>
          </cell>
          <cell r="BD927" t="e">
            <v>#N/A</v>
          </cell>
        </row>
        <row r="928">
          <cell r="A928" t="str">
            <v>sp 1437</v>
          </cell>
          <cell r="B928" t="str">
            <v>Cuộn bánh bao chay hương sữa dừa 200gr mới Phú Mỹ</v>
          </cell>
          <cell r="C928">
            <v>3.3289999999999997</v>
          </cell>
          <cell r="D928">
            <v>2</v>
          </cell>
          <cell r="E928" t="str">
            <v>OPP 20x730</v>
          </cell>
          <cell r="F928">
            <v>7</v>
          </cell>
          <cell r="G928" t="str">
            <v>OPP</v>
          </cell>
          <cell r="H928">
            <v>5.8000000000000003E-2</v>
          </cell>
          <cell r="I928">
            <v>0</v>
          </cell>
          <cell r="J928">
            <v>5.8000000000000003E-2</v>
          </cell>
          <cell r="K928">
            <v>5.8000000000000003E-2</v>
          </cell>
          <cell r="L928">
            <v>1.165</v>
          </cell>
          <cell r="M928">
            <v>1.631</v>
          </cell>
          <cell r="N928">
            <v>0</v>
          </cell>
          <cell r="O928">
            <v>0.01</v>
          </cell>
          <cell r="P928">
            <v>0</v>
          </cell>
          <cell r="Q928">
            <v>0.34899999999999998</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t="str">
            <v>PE 55x730</v>
          </cell>
          <cell r="AF928">
            <v>0</v>
          </cell>
          <cell r="AG928">
            <v>5.0424749999999997E-2</v>
          </cell>
          <cell r="AH928">
            <v>0.96</v>
          </cell>
          <cell r="AI928">
            <v>0</v>
          </cell>
          <cell r="AJ928">
            <v>9530</v>
          </cell>
          <cell r="AK928">
            <v>0</v>
          </cell>
          <cell r="AL928">
            <v>2E-3</v>
          </cell>
          <cell r="AM928" t="str">
            <v>dạng cuộn 500m</v>
          </cell>
          <cell r="AN928">
            <v>355</v>
          </cell>
          <cell r="AO928" t="str">
            <v>Công ty Phú Mỹ</v>
          </cell>
          <cell r="AP928" t="str">
            <v>21110160-1</v>
          </cell>
          <cell r="AQ928" t="str">
            <v>21110160-2</v>
          </cell>
          <cell r="AR928" t="str">
            <v>21110160-3</v>
          </cell>
          <cell r="AS928" t="str">
            <v>21110160-4</v>
          </cell>
          <cell r="AT928" t="str">
            <v>21110160-5</v>
          </cell>
          <cell r="AU928" t="str">
            <v>21110160-6</v>
          </cell>
          <cell r="AV928" t="str">
            <v>21110160-7</v>
          </cell>
          <cell r="AW928">
            <v>0</v>
          </cell>
          <cell r="AX928">
            <v>0</v>
          </cell>
          <cell r="AY928" t="str">
            <v>532x870</v>
          </cell>
          <cell r="AZ928">
            <v>0</v>
          </cell>
          <cell r="BA928">
            <v>0</v>
          </cell>
          <cell r="BB928">
            <v>0</v>
          </cell>
          <cell r="BC928">
            <v>0</v>
          </cell>
          <cell r="BD928" t="e">
            <v>#N/A</v>
          </cell>
        </row>
        <row r="929">
          <cell r="A929" t="str">
            <v>sp 1438</v>
          </cell>
          <cell r="B929" t="str">
            <v>Cuộn men rượu cao cấp Trung Tiến</v>
          </cell>
          <cell r="C929">
            <v>2.1899999999999995</v>
          </cell>
          <cell r="D929">
            <v>5</v>
          </cell>
          <cell r="E929" t="str">
            <v>OPP 20x920</v>
          </cell>
          <cell r="F929">
            <v>2</v>
          </cell>
          <cell r="G929" t="str">
            <v>OPP</v>
          </cell>
          <cell r="H929">
            <v>0.01</v>
          </cell>
          <cell r="I929">
            <v>0</v>
          </cell>
          <cell r="J929">
            <v>0</v>
          </cell>
          <cell r="K929">
            <v>0.20699999999999999</v>
          </cell>
          <cell r="L929">
            <v>1.8939999999999999</v>
          </cell>
          <cell r="M929">
            <v>6.9000000000000006E-2</v>
          </cell>
          <cell r="N929">
            <v>0</v>
          </cell>
          <cell r="O929">
            <v>0.01</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t="str">
            <v>PE sứ 25x920</v>
          </cell>
          <cell r="AF929">
            <v>0</v>
          </cell>
          <cell r="AG929">
            <v>3.7719500000000003E-2</v>
          </cell>
          <cell r="AH929">
            <v>1.2133333333333334</v>
          </cell>
          <cell r="AI929">
            <v>0</v>
          </cell>
          <cell r="AJ929">
            <v>9530</v>
          </cell>
          <cell r="AK929">
            <v>0</v>
          </cell>
          <cell r="AL929">
            <v>2E-3</v>
          </cell>
          <cell r="AM929" t="str">
            <v>dạng cuộn 1,000m</v>
          </cell>
          <cell r="AN929">
            <v>180</v>
          </cell>
          <cell r="AO929" t="str">
            <v>Cơ sở men Trung Tiến</v>
          </cell>
          <cell r="AP929" t="str">
            <v>21080413-1</v>
          </cell>
          <cell r="AQ929" t="str">
            <v>21080413-2</v>
          </cell>
          <cell r="AR929">
            <v>0</v>
          </cell>
          <cell r="AS929">
            <v>0</v>
          </cell>
          <cell r="AT929">
            <v>0</v>
          </cell>
          <cell r="AU929">
            <v>0</v>
          </cell>
          <cell r="AV929">
            <v>0</v>
          </cell>
          <cell r="AW929">
            <v>0</v>
          </cell>
          <cell r="AX929">
            <v>0</v>
          </cell>
          <cell r="AY929" t="str">
            <v>525x1100</v>
          </cell>
          <cell r="AZ929">
            <v>0</v>
          </cell>
          <cell r="BA929">
            <v>0</v>
          </cell>
          <cell r="BB929">
            <v>0</v>
          </cell>
          <cell r="BC929">
            <v>0</v>
          </cell>
          <cell r="BD929" t="e">
            <v>#N/A</v>
          </cell>
        </row>
        <row r="930">
          <cell r="A930" t="str">
            <v>sp 1439</v>
          </cell>
          <cell r="B930" t="str">
            <v>Túi bánh bơ trứng giòn karo 150gr Richy</v>
          </cell>
          <cell r="C930">
            <v>6.4049999999999994</v>
          </cell>
          <cell r="D930">
            <v>2</v>
          </cell>
          <cell r="E930" t="str">
            <v>OPP 20x950</v>
          </cell>
          <cell r="F930">
            <v>8</v>
          </cell>
          <cell r="G930" t="str">
            <v>OPP</v>
          </cell>
          <cell r="H930">
            <v>0.14499999999999999</v>
          </cell>
          <cell r="I930">
            <v>4.53</v>
          </cell>
          <cell r="J930">
            <v>2.4E-2</v>
          </cell>
          <cell r="K930">
            <v>0.12</v>
          </cell>
          <cell r="L930">
            <v>0.24099999999999999</v>
          </cell>
          <cell r="M930">
            <v>9.6000000000000002E-2</v>
          </cell>
          <cell r="N930">
            <v>0.89200000000000002</v>
          </cell>
          <cell r="O930">
            <v>0</v>
          </cell>
          <cell r="P930">
            <v>0</v>
          </cell>
          <cell r="Q930">
            <v>0.33700000000000002</v>
          </cell>
          <cell r="R930">
            <v>0</v>
          </cell>
          <cell r="S930">
            <v>0.01</v>
          </cell>
          <cell r="T930">
            <v>0.01</v>
          </cell>
          <cell r="U930">
            <v>0</v>
          </cell>
          <cell r="V930">
            <v>0</v>
          </cell>
          <cell r="W930">
            <v>0</v>
          </cell>
          <cell r="X930">
            <v>0</v>
          </cell>
          <cell r="Y930">
            <v>0</v>
          </cell>
          <cell r="Z930">
            <v>0</v>
          </cell>
          <cell r="AA930">
            <v>0</v>
          </cell>
          <cell r="AB930">
            <v>0</v>
          </cell>
          <cell r="AC930">
            <v>0</v>
          </cell>
          <cell r="AD930">
            <v>0</v>
          </cell>
          <cell r="AE930" t="str">
            <v>MCPP 35x950</v>
          </cell>
          <cell r="AF930">
            <v>0</v>
          </cell>
          <cell r="AG930">
            <v>4.7547499999999999E-2</v>
          </cell>
          <cell r="AH930">
            <v>1.4413333333333331</v>
          </cell>
          <cell r="AI930">
            <v>0</v>
          </cell>
          <cell r="AJ930">
            <v>9530</v>
          </cell>
          <cell r="AK930">
            <v>0</v>
          </cell>
          <cell r="AL930">
            <v>2.3E-3</v>
          </cell>
          <cell r="AM930" t="str">
            <v>túi hàn lưng xếp hông lệch</v>
          </cell>
          <cell r="AN930">
            <v>360</v>
          </cell>
          <cell r="AO930" t="str">
            <v>Công ty CP thực phẩm Richy Miền Bắc</v>
          </cell>
          <cell r="AP930" t="str">
            <v>F129178-1</v>
          </cell>
          <cell r="AQ930" t="str">
            <v>F129178-2</v>
          </cell>
          <cell r="AR930" t="str">
            <v>F129178-3</v>
          </cell>
          <cell r="AS930" t="str">
            <v>F129178-4</v>
          </cell>
          <cell r="AT930" t="str">
            <v>F129178-5</v>
          </cell>
          <cell r="AU930" t="str">
            <v>F129178-6</v>
          </cell>
          <cell r="AV930" t="str">
            <v>F129178-7</v>
          </cell>
          <cell r="AW930" t="str">
            <v>F129178-8</v>
          </cell>
          <cell r="AX930">
            <v>0</v>
          </cell>
          <cell r="AY930" t="str">
            <v>720x1100</v>
          </cell>
          <cell r="AZ930">
            <v>0</v>
          </cell>
          <cell r="BA930">
            <v>0</v>
          </cell>
          <cell r="BB930">
            <v>0</v>
          </cell>
          <cell r="BC930">
            <v>0</v>
          </cell>
          <cell r="BD930" t="e">
            <v>#N/A</v>
          </cell>
        </row>
        <row r="931">
          <cell r="A931" t="str">
            <v>sp 1440</v>
          </cell>
          <cell r="B931" t="str">
            <v>Cuộn bánh bơ trứng giòn karo Richy</v>
          </cell>
          <cell r="C931">
            <v>5.0190000000000001</v>
          </cell>
          <cell r="D931">
            <v>5</v>
          </cell>
          <cell r="E931" t="str">
            <v>OPP 20x1030</v>
          </cell>
          <cell r="F931">
            <v>4</v>
          </cell>
          <cell r="G931" t="str">
            <v>OPP</v>
          </cell>
          <cell r="H931">
            <v>0.19700000000000001</v>
          </cell>
          <cell r="I931">
            <v>4.1139999999999999</v>
          </cell>
          <cell r="J931">
            <v>0</v>
          </cell>
          <cell r="K931">
            <v>0</v>
          </cell>
          <cell r="L931">
            <v>0</v>
          </cell>
          <cell r="M931">
            <v>0.69799999999999995</v>
          </cell>
          <cell r="N931">
            <v>0</v>
          </cell>
          <cell r="O931">
            <v>0</v>
          </cell>
          <cell r="P931">
            <v>0</v>
          </cell>
          <cell r="Q931">
            <v>0</v>
          </cell>
          <cell r="R931">
            <v>0</v>
          </cell>
          <cell r="S931">
            <v>0</v>
          </cell>
          <cell r="T931">
            <v>0.01</v>
          </cell>
          <cell r="U931">
            <v>0</v>
          </cell>
          <cell r="V931">
            <v>0</v>
          </cell>
          <cell r="W931">
            <v>0</v>
          </cell>
          <cell r="X931">
            <v>0</v>
          </cell>
          <cell r="Y931">
            <v>0</v>
          </cell>
          <cell r="Z931">
            <v>0</v>
          </cell>
          <cell r="AA931">
            <v>0</v>
          </cell>
          <cell r="AB931">
            <v>0</v>
          </cell>
          <cell r="AC931">
            <v>0</v>
          </cell>
          <cell r="AD931">
            <v>0</v>
          </cell>
          <cell r="AE931" t="str">
            <v>MCPP 25x1030</v>
          </cell>
          <cell r="AF931">
            <v>0</v>
          </cell>
          <cell r="AG931">
            <v>4.2178500000000001E-2</v>
          </cell>
          <cell r="AH931">
            <v>1.5639999999999998</v>
          </cell>
          <cell r="AI931">
            <v>0</v>
          </cell>
          <cell r="AJ931">
            <v>9530</v>
          </cell>
          <cell r="AK931">
            <v>0</v>
          </cell>
          <cell r="AL931">
            <v>2.3E-3</v>
          </cell>
          <cell r="AM931" t="str">
            <v>dạng cuộn 1,000m</v>
          </cell>
          <cell r="AN931">
            <v>202</v>
          </cell>
          <cell r="AO931" t="str">
            <v>Công ty CP thực phẩm Richy Miền Bắc</v>
          </cell>
          <cell r="AP931" t="str">
            <v>F129179NG1-1</v>
          </cell>
          <cell r="AQ931" t="str">
            <v>F129179-2</v>
          </cell>
          <cell r="AR931" t="str">
            <v>F129179-3</v>
          </cell>
          <cell r="AS931" t="str">
            <v>F129179-4</v>
          </cell>
          <cell r="AT931">
            <v>0</v>
          </cell>
          <cell r="AU931">
            <v>0</v>
          </cell>
          <cell r="AV931">
            <v>0</v>
          </cell>
          <cell r="AW931">
            <v>0</v>
          </cell>
          <cell r="AX931">
            <v>0</v>
          </cell>
          <cell r="AY931" t="str">
            <v>440x1250</v>
          </cell>
          <cell r="AZ931">
            <v>0</v>
          </cell>
          <cell r="BA931">
            <v>0</v>
          </cell>
          <cell r="BB931">
            <v>0</v>
          </cell>
          <cell r="BC931">
            <v>0</v>
          </cell>
          <cell r="BD931" t="e">
            <v>#N/A</v>
          </cell>
        </row>
        <row r="932">
          <cell r="A932" t="str">
            <v>sp 1441</v>
          </cell>
          <cell r="B932" t="str">
            <v>Túi lon quế 208gr Richy</v>
          </cell>
          <cell r="C932">
            <v>6.6530000000000005</v>
          </cell>
          <cell r="D932">
            <v>3</v>
          </cell>
          <cell r="E932" t="str">
            <v>OPP 20x1070</v>
          </cell>
          <cell r="F932">
            <v>2</v>
          </cell>
          <cell r="G932" t="str">
            <v>OPP</v>
          </cell>
          <cell r="H932">
            <v>0.39400000000000002</v>
          </cell>
          <cell r="I932">
            <v>0</v>
          </cell>
          <cell r="J932">
            <v>0.157</v>
          </cell>
          <cell r="K932">
            <v>0</v>
          </cell>
          <cell r="L932">
            <v>0</v>
          </cell>
          <cell r="M932">
            <v>4.33</v>
          </cell>
          <cell r="N932">
            <v>1.575</v>
          </cell>
          <cell r="O932">
            <v>0</v>
          </cell>
          <cell r="P932">
            <v>0</v>
          </cell>
          <cell r="Q932">
            <v>0</v>
          </cell>
          <cell r="R932">
            <v>0</v>
          </cell>
          <cell r="S932">
            <v>0</v>
          </cell>
          <cell r="T932">
            <v>0.19700000000000001</v>
          </cell>
          <cell r="U932">
            <v>0</v>
          </cell>
          <cell r="V932">
            <v>0</v>
          </cell>
          <cell r="W932">
            <v>0</v>
          </cell>
          <cell r="X932">
            <v>0</v>
          </cell>
          <cell r="Y932">
            <v>0</v>
          </cell>
          <cell r="Z932">
            <v>0</v>
          </cell>
          <cell r="AA932">
            <v>0</v>
          </cell>
          <cell r="AB932">
            <v>0</v>
          </cell>
          <cell r="AC932">
            <v>0</v>
          </cell>
          <cell r="AD932">
            <v>0</v>
          </cell>
          <cell r="AE932" t="str">
            <v>MCPP 25x1070</v>
          </cell>
          <cell r="AF932">
            <v>0</v>
          </cell>
          <cell r="AG932">
            <v>4.3816500000000001E-2</v>
          </cell>
          <cell r="AH932">
            <v>1.6253333333333333</v>
          </cell>
          <cell r="AI932">
            <v>0</v>
          </cell>
          <cell r="AJ932">
            <v>9530</v>
          </cell>
          <cell r="AK932">
            <v>0</v>
          </cell>
          <cell r="AL932">
            <v>2.3E-3</v>
          </cell>
          <cell r="AM932" t="str">
            <v>túi hàn lưng</v>
          </cell>
          <cell r="AN932">
            <v>240</v>
          </cell>
          <cell r="AO932" t="str">
            <v>Công ty CP thực phẩm Richy Miền Bắc</v>
          </cell>
          <cell r="AP932" t="str">
            <v>F129215-1</v>
          </cell>
          <cell r="AQ932" t="str">
            <v>F129215-2</v>
          </cell>
          <cell r="AR932">
            <v>0</v>
          </cell>
          <cell r="AS932">
            <v>0</v>
          </cell>
          <cell r="AT932">
            <v>0</v>
          </cell>
          <cell r="AU932">
            <v>0</v>
          </cell>
          <cell r="AV932">
            <v>0</v>
          </cell>
          <cell r="AW932">
            <v>0</v>
          </cell>
          <cell r="AX932">
            <v>0</v>
          </cell>
          <cell r="AY932" t="str">
            <v>480x1250</v>
          </cell>
          <cell r="AZ932">
            <v>0</v>
          </cell>
          <cell r="BA932">
            <v>0</v>
          </cell>
          <cell r="BB932">
            <v>0</v>
          </cell>
          <cell r="BC932">
            <v>0</v>
          </cell>
          <cell r="BD932" t="e">
            <v>#N/A</v>
          </cell>
        </row>
        <row r="933">
          <cell r="A933" t="str">
            <v>sp 1442</v>
          </cell>
          <cell r="B933" t="str">
            <v>Cuộn đóng gói viên nén không in Chloramine Bx10 viên Đức Giang</v>
          </cell>
          <cell r="C933">
            <v>0</v>
          </cell>
          <cell r="D933">
            <v>6</v>
          </cell>
          <cell r="E933" t="str">
            <v>Giấy 55x740</v>
          </cell>
          <cell r="F933">
            <v>0</v>
          </cell>
          <cell r="G933" t="str">
            <v>Giấ</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t="str">
            <v>Al 6x740</v>
          </cell>
          <cell r="AF933" t="str">
            <v>PE 70x750</v>
          </cell>
          <cell r="AG933">
            <v>0.10730740000000001</v>
          </cell>
          <cell r="AH933">
            <v>1.46</v>
          </cell>
          <cell r="AI933">
            <v>1.46</v>
          </cell>
          <cell r="AJ933">
            <v>9530</v>
          </cell>
          <cell r="AK933">
            <v>9530</v>
          </cell>
          <cell r="AL933" t="str">
            <v>0,006(0,003;0,003)</v>
          </cell>
          <cell r="AM933" t="str">
            <v>dạng cuộn 1,000m</v>
          </cell>
          <cell r="AN933">
            <v>250</v>
          </cell>
          <cell r="AO933" t="str">
            <v>Công ty Cổ Phần Tập Đoàn Hoá Chất Đức Giang</v>
          </cell>
          <cell r="AP933">
            <v>0</v>
          </cell>
          <cell r="AQ933">
            <v>0</v>
          </cell>
          <cell r="AR933">
            <v>0</v>
          </cell>
          <cell r="AS933">
            <v>0</v>
          </cell>
          <cell r="AT933">
            <v>0</v>
          </cell>
          <cell r="AU933">
            <v>0</v>
          </cell>
          <cell r="AV933">
            <v>0</v>
          </cell>
          <cell r="AW933">
            <v>0</v>
          </cell>
          <cell r="AX933">
            <v>0</v>
          </cell>
          <cell r="AY933">
            <v>0</v>
          </cell>
          <cell r="AZ933">
            <v>0</v>
          </cell>
          <cell r="BA933">
            <v>0</v>
          </cell>
          <cell r="BB933">
            <v>0</v>
          </cell>
          <cell r="BC933">
            <v>0</v>
          </cell>
          <cell r="BD933" t="e">
            <v>#N/A</v>
          </cell>
        </row>
        <row r="934">
          <cell r="A934" t="str">
            <v>sp 1443</v>
          </cell>
          <cell r="B934" t="str">
            <v>Túi bánh karo trứng tươi chà bông 26gr x 6 Richy</v>
          </cell>
          <cell r="C934">
            <v>4.0549999999999997</v>
          </cell>
          <cell r="D934">
            <v>1</v>
          </cell>
          <cell r="E934" t="str">
            <v>OPP 30x650</v>
          </cell>
          <cell r="F934">
            <v>8</v>
          </cell>
          <cell r="G934" t="str">
            <v>OPP</v>
          </cell>
          <cell r="H934">
            <v>0</v>
          </cell>
          <cell r="I934">
            <v>3.2970000000000002</v>
          </cell>
          <cell r="J934">
            <v>0.01</v>
          </cell>
          <cell r="K934">
            <v>0.27200000000000002</v>
          </cell>
          <cell r="L934">
            <v>0.11899999999999999</v>
          </cell>
          <cell r="M934">
            <v>0</v>
          </cell>
          <cell r="N934">
            <v>0.27200000000000002</v>
          </cell>
          <cell r="O934">
            <v>0</v>
          </cell>
          <cell r="P934">
            <v>0</v>
          </cell>
          <cell r="Q934">
            <v>6.8000000000000005E-2</v>
          </cell>
          <cell r="R934">
            <v>0</v>
          </cell>
          <cell r="S934">
            <v>0</v>
          </cell>
          <cell r="T934">
            <v>1.7000000000000001E-2</v>
          </cell>
          <cell r="U934">
            <v>0</v>
          </cell>
          <cell r="V934">
            <v>0</v>
          </cell>
          <cell r="W934">
            <v>0</v>
          </cell>
          <cell r="X934">
            <v>0</v>
          </cell>
          <cell r="Y934">
            <v>0</v>
          </cell>
          <cell r="Z934">
            <v>0</v>
          </cell>
          <cell r="AA934">
            <v>0</v>
          </cell>
          <cell r="AB934">
            <v>0</v>
          </cell>
          <cell r="AC934">
            <v>0</v>
          </cell>
          <cell r="AD934">
            <v>0</v>
          </cell>
          <cell r="AE934" t="str">
            <v>CPP 30x650</v>
          </cell>
          <cell r="AF934">
            <v>0</v>
          </cell>
          <cell r="AG934">
            <v>3.5490000000000001E-2</v>
          </cell>
          <cell r="AH934">
            <v>0.98133333333333328</v>
          </cell>
          <cell r="AI934">
            <v>0</v>
          </cell>
          <cell r="AJ934">
            <v>9530</v>
          </cell>
          <cell r="AK934">
            <v>0</v>
          </cell>
          <cell r="AL934">
            <v>2.3E-3</v>
          </cell>
          <cell r="AM934" t="str">
            <v xml:space="preserve">túi bốn biên </v>
          </cell>
          <cell r="AN934">
            <v>290</v>
          </cell>
          <cell r="AO934" t="str">
            <v>Công ty CP thực phẩm Richy Miền Bắc</v>
          </cell>
          <cell r="AP934" t="str">
            <v>F130146-1</v>
          </cell>
          <cell r="AQ934" t="str">
            <v>F130146-2</v>
          </cell>
          <cell r="AR934" t="str">
            <v>F130146-3</v>
          </cell>
          <cell r="AS934" t="str">
            <v>F130146-4</v>
          </cell>
          <cell r="AT934" t="str">
            <v>F130146-5</v>
          </cell>
          <cell r="AU934" t="str">
            <v>F130146-6</v>
          </cell>
          <cell r="AV934" t="str">
            <v>F130146-7</v>
          </cell>
          <cell r="AW934" t="str">
            <v>F129228-8</v>
          </cell>
          <cell r="AX934">
            <v>0</v>
          </cell>
          <cell r="AY934" t="str">
            <v xml:space="preserve">580x870 </v>
          </cell>
          <cell r="AZ934">
            <v>0</v>
          </cell>
          <cell r="BA934">
            <v>0</v>
          </cell>
          <cell r="BB934">
            <v>0</v>
          </cell>
          <cell r="BC934">
            <v>0</v>
          </cell>
          <cell r="BD934" t="e">
            <v>#N/A</v>
          </cell>
        </row>
        <row r="935">
          <cell r="A935" t="str">
            <v>sp 1443a</v>
          </cell>
          <cell r="B935" t="str">
            <v>Túi bánh karo trứng tươi chà bông 26gr x 6 chương trình khuyến mại Richy</v>
          </cell>
          <cell r="C935">
            <v>7.1349999999999998</v>
          </cell>
          <cell r="D935">
            <v>1</v>
          </cell>
          <cell r="E935" t="str">
            <v>OPP 30x650</v>
          </cell>
          <cell r="F935">
            <v>8</v>
          </cell>
          <cell r="G935" t="str">
            <v>OPP</v>
          </cell>
          <cell r="H935">
            <v>7.6999999999999999E-2</v>
          </cell>
          <cell r="I935">
            <v>4.6050000000000004</v>
          </cell>
          <cell r="J935">
            <v>0.01</v>
          </cell>
          <cell r="K935">
            <v>0.10299999999999999</v>
          </cell>
          <cell r="L935">
            <v>0.35</v>
          </cell>
          <cell r="M935">
            <v>5.0999999999999997E-2</v>
          </cell>
          <cell r="N935">
            <v>0.44400000000000001</v>
          </cell>
          <cell r="O935">
            <v>0</v>
          </cell>
          <cell r="P935">
            <v>1.427</v>
          </cell>
          <cell r="Q935">
            <v>6.8000000000000005E-2</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t="str">
            <v>PE 33x650</v>
          </cell>
          <cell r="AF935">
            <v>0</v>
          </cell>
          <cell r="AG935">
            <v>3.7586250000000002E-2</v>
          </cell>
          <cell r="AH935">
            <v>0.98133333333333328</v>
          </cell>
          <cell r="AI935">
            <v>0</v>
          </cell>
          <cell r="AJ935">
            <v>9530</v>
          </cell>
          <cell r="AK935">
            <v>0</v>
          </cell>
          <cell r="AL935">
            <v>2.3E-3</v>
          </cell>
          <cell r="AM935" t="str">
            <v xml:space="preserve">túi bốn biên </v>
          </cell>
          <cell r="AN935">
            <v>290</v>
          </cell>
          <cell r="AO935" t="str">
            <v>Công ty CP thực phẩm Richy Miền Bắc</v>
          </cell>
          <cell r="AP935" t="str">
            <v>F129228G2-1</v>
          </cell>
          <cell r="AQ935" t="str">
            <v>F129228G2-2</v>
          </cell>
          <cell r="AR935" t="str">
            <v>F129228G2-3</v>
          </cell>
          <cell r="AS935" t="str">
            <v>F129228G2-4</v>
          </cell>
          <cell r="AT935" t="str">
            <v>F129228G2-5</v>
          </cell>
          <cell r="AU935" t="str">
            <v>F129228G2-6</v>
          </cell>
          <cell r="AV935" t="str">
            <v>F129228G2-7</v>
          </cell>
          <cell r="AW935" t="str">
            <v>F129228-8</v>
          </cell>
          <cell r="AX935">
            <v>0</v>
          </cell>
          <cell r="AY935" t="str">
            <v xml:space="preserve">580x870 </v>
          </cell>
          <cell r="AZ935">
            <v>0</v>
          </cell>
          <cell r="BA935">
            <v>0</v>
          </cell>
          <cell r="BB935">
            <v>0</v>
          </cell>
          <cell r="BC935">
            <v>0</v>
          </cell>
          <cell r="BD935">
            <v>0</v>
          </cell>
        </row>
        <row r="936">
          <cell r="A936" t="str">
            <v>sp 1444</v>
          </cell>
          <cell r="B936" t="str">
            <v>Cuộn bánh karo trứng tươi chà bông 26gr x 6 khổ 230 Richy</v>
          </cell>
          <cell r="C936">
            <v>6.6459999999999999</v>
          </cell>
          <cell r="D936">
            <v>4</v>
          </cell>
          <cell r="E936" t="str">
            <v>OPP 20x940</v>
          </cell>
          <cell r="F936">
            <v>8</v>
          </cell>
          <cell r="G936" t="str">
            <v>OPP</v>
          </cell>
          <cell r="H936">
            <v>0.109</v>
          </cell>
          <cell r="I936">
            <v>4.8609999999999998</v>
          </cell>
          <cell r="J936">
            <v>4.1000000000000002E-2</v>
          </cell>
          <cell r="K936">
            <v>0.68300000000000005</v>
          </cell>
          <cell r="L936">
            <v>0.39600000000000002</v>
          </cell>
          <cell r="M936">
            <v>0</v>
          </cell>
          <cell r="N936">
            <v>0.51900000000000002</v>
          </cell>
          <cell r="O936">
            <v>0</v>
          </cell>
          <cell r="P936">
            <v>0</v>
          </cell>
          <cell r="Q936">
            <v>2.7E-2</v>
          </cell>
          <cell r="R936">
            <v>0</v>
          </cell>
          <cell r="S936">
            <v>0.01</v>
          </cell>
          <cell r="T936">
            <v>0</v>
          </cell>
          <cell r="U936">
            <v>0</v>
          </cell>
          <cell r="V936">
            <v>0</v>
          </cell>
          <cell r="W936">
            <v>0</v>
          </cell>
          <cell r="X936">
            <v>0</v>
          </cell>
          <cell r="Y936">
            <v>0</v>
          </cell>
          <cell r="Z936">
            <v>0</v>
          </cell>
          <cell r="AA936">
            <v>0</v>
          </cell>
          <cell r="AB936">
            <v>0</v>
          </cell>
          <cell r="AC936">
            <v>0</v>
          </cell>
          <cell r="AD936">
            <v>0</v>
          </cell>
          <cell r="AE936" t="str">
            <v>MCPP 25x940</v>
          </cell>
          <cell r="AF936">
            <v>0</v>
          </cell>
          <cell r="AG936">
            <v>3.8492999999999999E-2</v>
          </cell>
          <cell r="AH936">
            <v>1.24</v>
          </cell>
          <cell r="AI936">
            <v>0</v>
          </cell>
          <cell r="AJ936">
            <v>9530</v>
          </cell>
          <cell r="AK936">
            <v>0</v>
          </cell>
          <cell r="AL936">
            <v>2E-3</v>
          </cell>
          <cell r="AM936" t="str">
            <v>dạng cuộn 1,000m</v>
          </cell>
          <cell r="AN936">
            <v>230</v>
          </cell>
          <cell r="AO936" t="str">
            <v>Công ty CP thực phẩm Richy Miền Bắc</v>
          </cell>
          <cell r="AP936" t="str">
            <v>F129227-1</v>
          </cell>
          <cell r="AQ936" t="str">
            <v>F129227-2</v>
          </cell>
          <cell r="AR936" t="str">
            <v>F129227-3</v>
          </cell>
          <cell r="AS936" t="str">
            <v>F129227-4</v>
          </cell>
          <cell r="AT936" t="str">
            <v>F129227-5</v>
          </cell>
          <cell r="AU936" t="str">
            <v>F129227-6</v>
          </cell>
          <cell r="AV936" t="str">
            <v>F129227-7</v>
          </cell>
          <cell r="AW936" t="str">
            <v>F129227-8</v>
          </cell>
          <cell r="AX936">
            <v>0</v>
          </cell>
          <cell r="AY936" t="str">
            <v>450x1100</v>
          </cell>
          <cell r="AZ936">
            <v>0</v>
          </cell>
          <cell r="BA936">
            <v>0</v>
          </cell>
          <cell r="BB936">
            <v>0</v>
          </cell>
          <cell r="BC936">
            <v>0</v>
          </cell>
          <cell r="BD936" t="e">
            <v>#N/A</v>
          </cell>
        </row>
        <row r="937">
          <cell r="A937" t="str">
            <v>sp 1445</v>
          </cell>
          <cell r="B937" t="str">
            <v>Cuộn màng không in ghép CPP khổ 355 Phú Mỹ</v>
          </cell>
          <cell r="C937">
            <v>0</v>
          </cell>
          <cell r="D937">
            <v>2</v>
          </cell>
          <cell r="E937" t="str">
            <v>OPP 20x730</v>
          </cell>
          <cell r="F937">
            <v>0</v>
          </cell>
          <cell r="G937" t="str">
            <v>OPP</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t="str">
            <v>CPP 20x730</v>
          </cell>
          <cell r="AF937">
            <v>0</v>
          </cell>
          <cell r="AG937">
            <v>2.6572000000000002E-2</v>
          </cell>
          <cell r="AH937">
            <v>0.96</v>
          </cell>
          <cell r="AI937">
            <v>0</v>
          </cell>
          <cell r="AJ937">
            <v>9530</v>
          </cell>
          <cell r="AK937">
            <v>0</v>
          </cell>
          <cell r="AL937">
            <v>2E-3</v>
          </cell>
          <cell r="AM937" t="str">
            <v>dạng cuộn 1,000m</v>
          </cell>
          <cell r="AN937">
            <v>355</v>
          </cell>
          <cell r="AO937" t="str">
            <v>Công ty Phú Mỹ</v>
          </cell>
          <cell r="AP937">
            <v>0</v>
          </cell>
          <cell r="AQ937">
            <v>0</v>
          </cell>
          <cell r="AR937">
            <v>0</v>
          </cell>
          <cell r="AS937">
            <v>0</v>
          </cell>
          <cell r="AT937">
            <v>0</v>
          </cell>
          <cell r="AU937">
            <v>0</v>
          </cell>
          <cell r="AV937">
            <v>0</v>
          </cell>
          <cell r="AW937">
            <v>0</v>
          </cell>
          <cell r="AX937">
            <v>0</v>
          </cell>
          <cell r="AY937">
            <v>0</v>
          </cell>
          <cell r="AZ937">
            <v>0</v>
          </cell>
          <cell r="BA937">
            <v>0</v>
          </cell>
          <cell r="BB937">
            <v>0</v>
          </cell>
          <cell r="BC937">
            <v>0</v>
          </cell>
          <cell r="BD937" t="e">
            <v>#N/A</v>
          </cell>
        </row>
        <row r="938">
          <cell r="A938" t="str">
            <v>sp 1446</v>
          </cell>
          <cell r="B938" t="str">
            <v>Cuộn chất tẩy xạ TX-93 400gr Đức Giang</v>
          </cell>
          <cell r="C938">
            <v>0.22500000000000001</v>
          </cell>
          <cell r="D938">
            <v>2</v>
          </cell>
          <cell r="E938" t="str">
            <v>PA 15x760</v>
          </cell>
          <cell r="F938">
            <v>1</v>
          </cell>
          <cell r="G938" t="str">
            <v xml:space="preserve">PA </v>
          </cell>
          <cell r="H938">
            <v>0.22500000000000001</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t="str">
            <v>PE sứ 85x760</v>
          </cell>
          <cell r="AF938">
            <v>0</v>
          </cell>
          <cell r="AG938">
            <v>7.3188000000000003E-2</v>
          </cell>
          <cell r="AH938">
            <v>1.1499999999999999</v>
          </cell>
          <cell r="AI938">
            <v>0</v>
          </cell>
          <cell r="AJ938">
            <v>9530</v>
          </cell>
          <cell r="AK938">
            <v>0</v>
          </cell>
          <cell r="AL938">
            <v>2.3E-3</v>
          </cell>
          <cell r="AM938" t="str">
            <v>dạng cuộn 1,000m</v>
          </cell>
          <cell r="AN938">
            <v>370</v>
          </cell>
          <cell r="AO938" t="str">
            <v>Công ty Cổ Phần Tập Đoàn Hoá Chất Đức Giang</v>
          </cell>
          <cell r="AP938" t="str">
            <v>F129222-1</v>
          </cell>
          <cell r="AQ938">
            <v>0</v>
          </cell>
          <cell r="AR938">
            <v>0</v>
          </cell>
          <cell r="AS938">
            <v>0</v>
          </cell>
          <cell r="AT938">
            <v>0</v>
          </cell>
          <cell r="AU938">
            <v>0</v>
          </cell>
          <cell r="AV938">
            <v>0</v>
          </cell>
          <cell r="AW938">
            <v>0</v>
          </cell>
          <cell r="AX938">
            <v>0</v>
          </cell>
          <cell r="AY938" t="str">
            <v>490x870</v>
          </cell>
          <cell r="AZ938">
            <v>0</v>
          </cell>
          <cell r="BA938">
            <v>0</v>
          </cell>
          <cell r="BB938">
            <v>0</v>
          </cell>
          <cell r="BC938">
            <v>0</v>
          </cell>
          <cell r="BD938" t="e">
            <v>#N/A</v>
          </cell>
        </row>
        <row r="939">
          <cell r="A939" t="str">
            <v>sp 1447</v>
          </cell>
          <cell r="B939" t="str">
            <v>Túi thuốc thú y sun-gluco K.C.SVT pharma 1kg -Thái Dương</v>
          </cell>
          <cell r="C939">
            <v>5.1779999999999999</v>
          </cell>
          <cell r="D939">
            <v>1</v>
          </cell>
          <cell r="E939" t="str">
            <v>PET 12x660</v>
          </cell>
          <cell r="F939">
            <v>5</v>
          </cell>
          <cell r="G939" t="str">
            <v>PET</v>
          </cell>
          <cell r="H939">
            <v>1.1000000000000001</v>
          </cell>
          <cell r="I939">
            <v>2.589</v>
          </cell>
          <cell r="J939">
            <v>0</v>
          </cell>
          <cell r="K939">
            <v>0.71199999999999997</v>
          </cell>
          <cell r="L939">
            <v>0.71199999999999997</v>
          </cell>
          <cell r="M939">
            <v>0</v>
          </cell>
          <cell r="N939">
            <v>0</v>
          </cell>
          <cell r="O939">
            <v>0</v>
          </cell>
          <cell r="P939">
            <v>6.5000000000000002E-2</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t="str">
            <v>Al 6x660</v>
          </cell>
          <cell r="AF939" t="str">
            <v>PE 120x660</v>
          </cell>
          <cell r="AG939">
            <v>9.50796E-2</v>
          </cell>
          <cell r="AH939">
            <v>1.3</v>
          </cell>
          <cell r="AI939">
            <v>1.3</v>
          </cell>
          <cell r="AJ939">
            <v>9530</v>
          </cell>
          <cell r="AK939">
            <v>9530</v>
          </cell>
          <cell r="AL939" t="str">
            <v>0,006 (0,003;0,003)</v>
          </cell>
          <cell r="AM939" t="str">
            <v>túi ba biên</v>
          </cell>
          <cell r="AN939">
            <v>240</v>
          </cell>
          <cell r="AO939" t="str">
            <v>Công ty CP Thú Y SVT Thái Dương</v>
          </cell>
          <cell r="AP939" t="str">
            <v>21080518-1</v>
          </cell>
          <cell r="AQ939" t="str">
            <v>21080518-2</v>
          </cell>
          <cell r="AR939" t="str">
            <v>21080518-3</v>
          </cell>
          <cell r="AS939" t="str">
            <v>21080518-4</v>
          </cell>
          <cell r="AT939" t="str">
            <v>21080518-5</v>
          </cell>
          <cell r="AU939">
            <v>0</v>
          </cell>
          <cell r="AV939">
            <v>0</v>
          </cell>
          <cell r="AW939">
            <v>0</v>
          </cell>
          <cell r="AX939">
            <v>0</v>
          </cell>
          <cell r="AY939" t="str">
            <v>480x870</v>
          </cell>
          <cell r="AZ939">
            <v>0</v>
          </cell>
          <cell r="BA939">
            <v>0</v>
          </cell>
          <cell r="BB939">
            <v>0</v>
          </cell>
          <cell r="BC939">
            <v>0</v>
          </cell>
          <cell r="BD939" t="e">
            <v>#N/A</v>
          </cell>
        </row>
        <row r="940">
          <cell r="A940" t="str">
            <v>sp 1448</v>
          </cell>
          <cell r="B940" t="str">
            <v>Gia công in cuộn LGL innotek khổ 840 Innovative</v>
          </cell>
          <cell r="C940">
            <v>0</v>
          </cell>
          <cell r="D940">
            <v>1</v>
          </cell>
          <cell r="E940" t="str">
            <v>PET 12x840</v>
          </cell>
          <cell r="F940">
            <v>2</v>
          </cell>
          <cell r="G940" t="str">
            <v>PET</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t="str">
            <v>dạng cuộn 6,000m</v>
          </cell>
          <cell r="AN940">
            <v>840</v>
          </cell>
          <cell r="AO940" t="str">
            <v>Công ty TNHH Innovative</v>
          </cell>
          <cell r="AP940" t="e">
            <v>#N/A</v>
          </cell>
          <cell r="AQ940" t="e">
            <v>#N/A</v>
          </cell>
          <cell r="AR940" t="e">
            <v>#N/A</v>
          </cell>
          <cell r="AS940" t="e">
            <v>#N/A</v>
          </cell>
          <cell r="AT940" t="e">
            <v>#N/A</v>
          </cell>
          <cell r="AU940" t="e">
            <v>#N/A</v>
          </cell>
          <cell r="AV940" t="e">
            <v>#N/A</v>
          </cell>
          <cell r="AW940" t="e">
            <v>#N/A</v>
          </cell>
          <cell r="AX940" t="e">
            <v>#N/A</v>
          </cell>
          <cell r="AY940" t="e">
            <v>#N/A</v>
          </cell>
          <cell r="AZ940" t="e">
            <v>#N/A</v>
          </cell>
          <cell r="BA940">
            <v>0</v>
          </cell>
          <cell r="BB940">
            <v>0</v>
          </cell>
          <cell r="BC940">
            <v>0</v>
          </cell>
          <cell r="BD940" t="e">
            <v>#N/A</v>
          </cell>
        </row>
        <row r="941">
          <cell r="A941" t="str">
            <v>sp 1449</v>
          </cell>
          <cell r="B941" t="str">
            <v>Túi khẩu trang chống bụi siêu mịn Khuyến Anh</v>
          </cell>
          <cell r="C941">
            <v>6.4010000000000007</v>
          </cell>
          <cell r="D941">
            <v>1</v>
          </cell>
          <cell r="E941" t="str">
            <v>OPP mờ 20x620</v>
          </cell>
          <cell r="F941">
            <v>4</v>
          </cell>
          <cell r="G941" t="str">
            <v>OPP</v>
          </cell>
          <cell r="H941">
            <v>0.20599999999999999</v>
          </cell>
          <cell r="I941">
            <v>4.33</v>
          </cell>
          <cell r="J941">
            <v>1.546</v>
          </cell>
          <cell r="K941">
            <v>0</v>
          </cell>
          <cell r="L941">
            <v>0</v>
          </cell>
          <cell r="M941">
            <v>0.309</v>
          </cell>
          <cell r="N941">
            <v>0</v>
          </cell>
          <cell r="O941">
            <v>0</v>
          </cell>
          <cell r="P941">
            <v>0</v>
          </cell>
          <cell r="Q941">
            <v>0</v>
          </cell>
          <cell r="R941">
            <v>0.01</v>
          </cell>
          <cell r="S941">
            <v>0</v>
          </cell>
          <cell r="T941">
            <v>0</v>
          </cell>
          <cell r="U941">
            <v>0</v>
          </cell>
          <cell r="V941">
            <v>0</v>
          </cell>
          <cell r="W941">
            <v>0</v>
          </cell>
          <cell r="X941">
            <v>0</v>
          </cell>
          <cell r="Y941">
            <v>0</v>
          </cell>
          <cell r="Z941">
            <v>0</v>
          </cell>
          <cell r="AA941">
            <v>0</v>
          </cell>
          <cell r="AB941">
            <v>0</v>
          </cell>
          <cell r="AC941">
            <v>0</v>
          </cell>
          <cell r="AD941">
            <v>0</v>
          </cell>
          <cell r="AE941" t="str">
            <v>MCPP35x315
CPP35x310</v>
          </cell>
          <cell r="AF941">
            <v>0</v>
          </cell>
          <cell r="AG941">
            <v>3.1031000000000003E-2</v>
          </cell>
          <cell r="AH941">
            <v>1.0166666666666666</v>
          </cell>
          <cell r="AI941">
            <v>0</v>
          </cell>
          <cell r="AJ941">
            <v>9530</v>
          </cell>
          <cell r="AK941">
            <v>0</v>
          </cell>
          <cell r="AL941">
            <v>2.5000000000000001E-3</v>
          </cell>
          <cell r="AM941" t="str">
            <v>túi ba biên zipper</v>
          </cell>
          <cell r="AN941">
            <v>124</v>
          </cell>
          <cell r="AO941" t="str">
            <v>Công ty TNHH Khuyến Anh</v>
          </cell>
          <cell r="AP941" t="str">
            <v>21090114-1</v>
          </cell>
          <cell r="AQ941" t="str">
            <v>21090114-2</v>
          </cell>
          <cell r="AR941" t="str">
            <v>21090114-3</v>
          </cell>
          <cell r="AS941" t="str">
            <v>21090114-4</v>
          </cell>
          <cell r="AT941">
            <v>0</v>
          </cell>
          <cell r="AU941">
            <v>0</v>
          </cell>
          <cell r="AV941">
            <v>0</v>
          </cell>
          <cell r="AW941">
            <v>0</v>
          </cell>
          <cell r="AX941">
            <v>0</v>
          </cell>
          <cell r="AY941" t="str">
            <v>496x870</v>
          </cell>
          <cell r="AZ941">
            <v>0</v>
          </cell>
          <cell r="BA941">
            <v>0</v>
          </cell>
          <cell r="BB941">
            <v>0</v>
          </cell>
          <cell r="BC941">
            <v>0</v>
          </cell>
          <cell r="BD941" t="e">
            <v>#N/A</v>
          </cell>
        </row>
        <row r="942">
          <cell r="A942" t="str">
            <v>sp 1450</v>
          </cell>
          <cell r="B942" t="str">
            <v>Túi bánh karo bơ trứng giòn 270gr Richy</v>
          </cell>
          <cell r="C942">
            <v>5.4130000000000003</v>
          </cell>
          <cell r="D942">
            <v>2</v>
          </cell>
          <cell r="E942" t="str">
            <v>OPP 30x1120</v>
          </cell>
          <cell r="F942">
            <v>8</v>
          </cell>
          <cell r="G942" t="str">
            <v>OPP</v>
          </cell>
          <cell r="H942">
            <v>0</v>
          </cell>
          <cell r="I942">
            <v>4.3529999999999998</v>
          </cell>
          <cell r="J942">
            <v>0.01</v>
          </cell>
          <cell r="K942">
            <v>4.5999999999999999E-2</v>
          </cell>
          <cell r="L942">
            <v>0.38600000000000001</v>
          </cell>
          <cell r="M942">
            <v>0.49399999999999999</v>
          </cell>
          <cell r="N942">
            <v>6.2E-2</v>
          </cell>
          <cell r="O942">
            <v>0</v>
          </cell>
          <cell r="P942">
            <v>0</v>
          </cell>
          <cell r="Q942">
            <v>6.2E-2</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t="str">
            <v>CPP 50x1120</v>
          </cell>
          <cell r="AF942">
            <v>0</v>
          </cell>
          <cell r="AG942">
            <v>8.1536000000000011E-2</v>
          </cell>
          <cell r="AH942">
            <v>1.7173333333333334</v>
          </cell>
          <cell r="AI942">
            <v>1.5639999999999998</v>
          </cell>
          <cell r="AJ942">
            <v>9530</v>
          </cell>
          <cell r="AK942">
            <v>0</v>
          </cell>
          <cell r="AL942">
            <v>2.3E-3</v>
          </cell>
          <cell r="AM942" t="str">
            <v xml:space="preserve">túi ba biên </v>
          </cell>
          <cell r="AN942">
            <v>360</v>
          </cell>
          <cell r="AO942" t="str">
            <v>Công ty CP thực phẩm Richy Miền Bắc</v>
          </cell>
          <cell r="AP942" t="str">
            <v>F129291-1</v>
          </cell>
          <cell r="AQ942" t="str">
            <v>F129291-2</v>
          </cell>
          <cell r="AR942" t="str">
            <v>F129291-3</v>
          </cell>
          <cell r="AS942" t="str">
            <v>F129291-4</v>
          </cell>
          <cell r="AT942" t="str">
            <v>F129291-5</v>
          </cell>
          <cell r="AU942" t="str">
            <v>F129291-6</v>
          </cell>
          <cell r="AV942" t="str">
            <v>F129291-7</v>
          </cell>
          <cell r="AW942" t="str">
            <v>F129291-8</v>
          </cell>
          <cell r="AX942">
            <v>0</v>
          </cell>
          <cell r="AY942" t="str">
            <v>700x1250</v>
          </cell>
          <cell r="AZ942">
            <v>0</v>
          </cell>
          <cell r="BA942">
            <v>0</v>
          </cell>
          <cell r="BB942">
            <v>0</v>
          </cell>
          <cell r="BC942">
            <v>0</v>
          </cell>
          <cell r="BD942" t="e">
            <v>#N/A</v>
          </cell>
        </row>
        <row r="943">
          <cell r="A943" t="str">
            <v>sp 1451</v>
          </cell>
          <cell r="B943" t="str">
            <v>Túi khẩu trang y tế kids Khuyến Anh</v>
          </cell>
          <cell r="C943">
            <v>5.7420000000000009</v>
          </cell>
          <cell r="D943">
            <v>1</v>
          </cell>
          <cell r="E943" t="str">
            <v>OPP mờ 20x580</v>
          </cell>
          <cell r="F943">
            <v>4</v>
          </cell>
          <cell r="G943" t="str">
            <v>OPP</v>
          </cell>
          <cell r="H943">
            <v>0.11</v>
          </cell>
          <cell r="I943">
            <v>4.3970000000000002</v>
          </cell>
          <cell r="J943">
            <v>0.111</v>
          </cell>
          <cell r="K943">
            <v>0</v>
          </cell>
          <cell r="L943">
            <v>0</v>
          </cell>
          <cell r="M943">
            <v>0</v>
          </cell>
          <cell r="N943">
            <v>0</v>
          </cell>
          <cell r="O943">
            <v>0.55700000000000005</v>
          </cell>
          <cell r="P943">
            <v>0</v>
          </cell>
          <cell r="Q943">
            <v>0</v>
          </cell>
          <cell r="R943">
            <v>0</v>
          </cell>
          <cell r="S943">
            <v>0</v>
          </cell>
          <cell r="T943">
            <v>0.55700000000000005</v>
          </cell>
          <cell r="U943">
            <v>0</v>
          </cell>
          <cell r="V943">
            <v>0</v>
          </cell>
          <cell r="W943">
            <v>0.01</v>
          </cell>
          <cell r="X943">
            <v>0</v>
          </cell>
          <cell r="Y943">
            <v>0</v>
          </cell>
          <cell r="Z943">
            <v>0</v>
          </cell>
          <cell r="AA943">
            <v>0</v>
          </cell>
          <cell r="AB943">
            <v>0</v>
          </cell>
          <cell r="AC943">
            <v>0</v>
          </cell>
          <cell r="AD943">
            <v>0</v>
          </cell>
          <cell r="AE943" t="str">
            <v>MCPP35x295
CPP35x290</v>
          </cell>
          <cell r="AF943">
            <v>0</v>
          </cell>
          <cell r="AG943">
            <v>2.9028999999999999E-2</v>
          </cell>
          <cell r="AH943">
            <v>0.95</v>
          </cell>
          <cell r="AI943">
            <v>0</v>
          </cell>
          <cell r="AJ943">
            <v>9530</v>
          </cell>
          <cell r="AK943">
            <v>0</v>
          </cell>
          <cell r="AL943">
            <v>2.5000000000000001E-3</v>
          </cell>
          <cell r="AM943" t="str">
            <v>túi ba biên zipper</v>
          </cell>
          <cell r="AN943">
            <v>114</v>
          </cell>
          <cell r="AO943" t="str">
            <v>Công ty TNHH Khuyến Anh</v>
          </cell>
          <cell r="AP943" t="str">
            <v>21090115-1</v>
          </cell>
          <cell r="AQ943" t="str">
            <v>21090115-2</v>
          </cell>
          <cell r="AR943" t="str">
            <v>21090115-3</v>
          </cell>
          <cell r="AS943" t="str">
            <v>21090115-4</v>
          </cell>
          <cell r="AT943">
            <v>0</v>
          </cell>
          <cell r="AU943">
            <v>0</v>
          </cell>
          <cell r="AV943">
            <v>0</v>
          </cell>
          <cell r="AW943">
            <v>0</v>
          </cell>
          <cell r="AX943">
            <v>0</v>
          </cell>
          <cell r="AY943" t="str">
            <v>456x870</v>
          </cell>
          <cell r="AZ943">
            <v>0</v>
          </cell>
          <cell r="BA943">
            <v>0</v>
          </cell>
          <cell r="BB943">
            <v>0</v>
          </cell>
          <cell r="BC943">
            <v>0</v>
          </cell>
          <cell r="BD943" t="e">
            <v>#N/A</v>
          </cell>
        </row>
        <row r="944">
          <cell r="A944" t="str">
            <v>sp 1452</v>
          </cell>
          <cell r="B944" t="str">
            <v>Cuộn kẹo dẻo mogu vị chanh muối 20gr Eikodo</v>
          </cell>
          <cell r="C944">
            <v>8.1929999999999996</v>
          </cell>
          <cell r="D944">
            <v>4</v>
          </cell>
          <cell r="E944" t="str">
            <v>OPP 30x780</v>
          </cell>
          <cell r="F944">
            <v>7</v>
          </cell>
          <cell r="G944" t="str">
            <v>OPP</v>
          </cell>
          <cell r="H944">
            <v>0</v>
          </cell>
          <cell r="I944">
            <v>6.47</v>
          </cell>
          <cell r="J944">
            <v>0</v>
          </cell>
          <cell r="K944">
            <v>0</v>
          </cell>
          <cell r="L944">
            <v>0.57099999999999995</v>
          </cell>
          <cell r="M944">
            <v>1.1419999999999999</v>
          </cell>
          <cell r="N944">
            <v>0</v>
          </cell>
          <cell r="O944">
            <v>0.01</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t="str">
            <v>MCPP 25x780</v>
          </cell>
          <cell r="AF944">
            <v>0</v>
          </cell>
          <cell r="AG944">
            <v>3.9039000000000004E-2</v>
          </cell>
          <cell r="AH944">
            <v>1.1806666666666665</v>
          </cell>
          <cell r="AI944">
            <v>0</v>
          </cell>
          <cell r="AJ944">
            <v>9530</v>
          </cell>
          <cell r="AK944">
            <v>0</v>
          </cell>
          <cell r="AL944">
            <v>2.3E-3</v>
          </cell>
          <cell r="AM944" t="str">
            <v>dạng cuộn 1,000m</v>
          </cell>
          <cell r="AN944">
            <v>190</v>
          </cell>
          <cell r="AO944" t="str">
            <v>Công ty kẹo nhật bản eikodo</v>
          </cell>
          <cell r="AP944" t="str">
            <v>21090460-1</v>
          </cell>
          <cell r="AQ944" t="str">
            <v>21090460-2</v>
          </cell>
          <cell r="AR944" t="str">
            <v>21090460-3</v>
          </cell>
          <cell r="AS944" t="str">
            <v>21090460-4</v>
          </cell>
          <cell r="AT944" t="str">
            <v>21090460-5</v>
          </cell>
          <cell r="AU944" t="str">
            <v>21090460-6</v>
          </cell>
          <cell r="AV944" t="str">
            <v>21090460-7</v>
          </cell>
          <cell r="AW944">
            <v>0</v>
          </cell>
          <cell r="AX944">
            <v>0</v>
          </cell>
          <cell r="AY944" t="str">
            <v>520x870</v>
          </cell>
          <cell r="AZ944">
            <v>0</v>
          </cell>
          <cell r="BA944">
            <v>0</v>
          </cell>
          <cell r="BB944">
            <v>0</v>
          </cell>
          <cell r="BC944">
            <v>0</v>
          </cell>
          <cell r="BD944" t="e">
            <v>#N/A</v>
          </cell>
        </row>
        <row r="945">
          <cell r="A945" t="str">
            <v>sp 1453</v>
          </cell>
          <cell r="B945" t="str">
            <v>Cuộn khăn khô Dry floor cloths 20 tờ khổ 310mm 5853 tím Đông Hiệp</v>
          </cell>
          <cell r="C945">
            <v>3.0590000000000002</v>
          </cell>
          <cell r="D945">
            <v>2</v>
          </cell>
          <cell r="E945" t="str">
            <v>PET 12x640</v>
          </cell>
          <cell r="F945">
            <v>7</v>
          </cell>
          <cell r="G945" t="str">
            <v>PET</v>
          </cell>
          <cell r="H945">
            <v>0.61</v>
          </cell>
          <cell r="I945">
            <v>0</v>
          </cell>
          <cell r="J945">
            <v>0.10199999999999999</v>
          </cell>
          <cell r="K945">
            <v>1.1180000000000001</v>
          </cell>
          <cell r="L945">
            <v>0.01</v>
          </cell>
          <cell r="M945">
            <v>1.2190000000000001</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t="str">
            <v>PE sứ 25x640</v>
          </cell>
          <cell r="AF945">
            <v>0</v>
          </cell>
          <cell r="AG945">
            <v>2.5632000000000002E-2</v>
          </cell>
          <cell r="AH945">
            <v>0.85333333333333328</v>
          </cell>
          <cell r="AI945">
            <v>0</v>
          </cell>
          <cell r="AJ945">
            <v>9530</v>
          </cell>
          <cell r="AK945">
            <v>0</v>
          </cell>
          <cell r="AL945">
            <v>2E-3</v>
          </cell>
          <cell r="AM945" t="str">
            <v>dạng cuộn 1,000m</v>
          </cell>
          <cell r="AN945">
            <v>310</v>
          </cell>
          <cell r="AO945" t="str">
            <v>Công ty TNHH TM&amp;ĐT Đông Hiệp</v>
          </cell>
          <cell r="AP945" t="str">
            <v>F129430-1</v>
          </cell>
          <cell r="AQ945" t="str">
            <v>F129430-2</v>
          </cell>
          <cell r="AR945" t="str">
            <v>F129430-3</v>
          </cell>
          <cell r="AS945" t="str">
            <v>F129430-4</v>
          </cell>
          <cell r="AT945" t="str">
            <v>F129430-5</v>
          </cell>
          <cell r="AU945" t="str">
            <v>F129430-6</v>
          </cell>
          <cell r="AV945" t="str">
            <v>F129430-7</v>
          </cell>
          <cell r="AW945">
            <v>0</v>
          </cell>
          <cell r="AX945">
            <v>0</v>
          </cell>
          <cell r="AY945" t="str">
            <v>436x870</v>
          </cell>
          <cell r="AZ945">
            <v>0</v>
          </cell>
          <cell r="BA945">
            <v>0</v>
          </cell>
          <cell r="BB945">
            <v>0</v>
          </cell>
          <cell r="BC945">
            <v>0</v>
          </cell>
          <cell r="BD945" t="e">
            <v>#N/A</v>
          </cell>
        </row>
        <row r="946">
          <cell r="A946" t="str">
            <v>sp 1454</v>
          </cell>
          <cell r="B946" t="str">
            <v>Cuộn bánh merry quy sữa 24gr -màu hồng Richy</v>
          </cell>
          <cell r="C946">
            <v>3.6199999999999997</v>
          </cell>
          <cell r="D946">
            <v>5</v>
          </cell>
          <cell r="E946" t="str">
            <v>OPP 20x955</v>
          </cell>
          <cell r="F946">
            <v>3</v>
          </cell>
          <cell r="G946" t="str">
            <v>OPP</v>
          </cell>
          <cell r="H946">
            <v>0.01</v>
          </cell>
          <cell r="I946">
            <v>3.2</v>
          </cell>
          <cell r="J946">
            <v>0</v>
          </cell>
          <cell r="K946">
            <v>0</v>
          </cell>
          <cell r="L946">
            <v>0</v>
          </cell>
          <cell r="M946">
            <v>0.26</v>
          </cell>
          <cell r="N946">
            <v>0</v>
          </cell>
          <cell r="O946">
            <v>0</v>
          </cell>
          <cell r="P946">
            <v>0</v>
          </cell>
          <cell r="Q946">
            <v>0</v>
          </cell>
          <cell r="R946">
            <v>0</v>
          </cell>
          <cell r="S946">
            <v>0</v>
          </cell>
          <cell r="T946">
            <v>0.15</v>
          </cell>
          <cell r="U946">
            <v>0</v>
          </cell>
          <cell r="V946">
            <v>0</v>
          </cell>
          <cell r="W946">
            <v>0</v>
          </cell>
          <cell r="X946">
            <v>0</v>
          </cell>
          <cell r="Y946">
            <v>0</v>
          </cell>
          <cell r="Z946">
            <v>0</v>
          </cell>
          <cell r="AA946">
            <v>0</v>
          </cell>
          <cell r="AB946">
            <v>0</v>
          </cell>
          <cell r="AC946">
            <v>0</v>
          </cell>
          <cell r="AD946">
            <v>0</v>
          </cell>
          <cell r="AE946" t="str">
            <v>MCPP 25x955</v>
          </cell>
          <cell r="AF946">
            <v>0</v>
          </cell>
          <cell r="AG946">
            <v>3.9107249999999996E-2</v>
          </cell>
          <cell r="AH946">
            <v>1.575</v>
          </cell>
          <cell r="AI946">
            <v>0</v>
          </cell>
          <cell r="AJ946">
            <v>9530</v>
          </cell>
          <cell r="AK946">
            <v>0</v>
          </cell>
          <cell r="AL946">
            <v>2.5000000000000001E-3</v>
          </cell>
          <cell r="AM946" t="str">
            <v>dạng cuộn 1,000m</v>
          </cell>
          <cell r="AN946">
            <v>187</v>
          </cell>
          <cell r="AO946" t="str">
            <v>Công ty CP thực phẩm Richy Miền Bắc</v>
          </cell>
          <cell r="AP946" t="str">
            <v>F129446-1</v>
          </cell>
          <cell r="AQ946" t="str">
            <v>F129446-2</v>
          </cell>
          <cell r="AR946" t="str">
            <v>F129446-3</v>
          </cell>
          <cell r="AS946">
            <v>0</v>
          </cell>
          <cell r="AT946">
            <v>0</v>
          </cell>
          <cell r="AU946">
            <v>0</v>
          </cell>
          <cell r="AV946">
            <v>0</v>
          </cell>
          <cell r="AW946">
            <v>0</v>
          </cell>
          <cell r="AX946">
            <v>0</v>
          </cell>
          <cell r="AY946" t="str">
            <v>428x1100</v>
          </cell>
          <cell r="AZ946">
            <v>0</v>
          </cell>
          <cell r="BA946">
            <v>0</v>
          </cell>
          <cell r="BB946">
            <v>0</v>
          </cell>
          <cell r="BC946">
            <v>0</v>
          </cell>
          <cell r="BD946" t="e">
            <v>#N/A</v>
          </cell>
        </row>
        <row r="947">
          <cell r="A947" t="str">
            <v>sp 1455</v>
          </cell>
          <cell r="B947" t="str">
            <v>Cuộn thuốc thú y chung 10gr Đức Hạnh</v>
          </cell>
          <cell r="C947">
            <v>5.415</v>
          </cell>
          <cell r="D947">
            <v>4</v>
          </cell>
          <cell r="E947" t="str">
            <v>OPP 30x668</v>
          </cell>
          <cell r="F947">
            <v>4</v>
          </cell>
          <cell r="G947" t="str">
            <v>OPP</v>
          </cell>
          <cell r="H947">
            <v>0</v>
          </cell>
          <cell r="I947">
            <v>4.0460000000000003</v>
          </cell>
          <cell r="J947">
            <v>0</v>
          </cell>
          <cell r="K947">
            <v>1.349</v>
          </cell>
          <cell r="L947">
            <v>0</v>
          </cell>
          <cell r="M947">
            <v>0</v>
          </cell>
          <cell r="N947">
            <v>0</v>
          </cell>
          <cell r="O947">
            <v>0</v>
          </cell>
          <cell r="P947">
            <v>0</v>
          </cell>
          <cell r="Q947">
            <v>0</v>
          </cell>
          <cell r="R947">
            <v>0.01</v>
          </cell>
          <cell r="S947">
            <v>0</v>
          </cell>
          <cell r="T947">
            <v>0</v>
          </cell>
          <cell r="U947">
            <v>0</v>
          </cell>
          <cell r="V947">
            <v>0</v>
          </cell>
          <cell r="W947">
            <v>0.01</v>
          </cell>
          <cell r="X947">
            <v>0</v>
          </cell>
          <cell r="Y947">
            <v>0</v>
          </cell>
          <cell r="Z947">
            <v>0</v>
          </cell>
          <cell r="AA947">
            <v>0</v>
          </cell>
          <cell r="AB947">
            <v>0</v>
          </cell>
          <cell r="AC947">
            <v>0</v>
          </cell>
          <cell r="AD947">
            <v>0</v>
          </cell>
          <cell r="AE947" t="str">
            <v>MPET 12x668</v>
          </cell>
          <cell r="AF947" t="str">
            <v>PE35x668</v>
          </cell>
          <cell r="AG947">
            <v>5.1085300000000014E-2</v>
          </cell>
          <cell r="AH947">
            <v>1.0089333333333332</v>
          </cell>
          <cell r="AI947">
            <v>1.0089333333333332</v>
          </cell>
          <cell r="AJ947">
            <v>9530</v>
          </cell>
          <cell r="AK947">
            <v>0</v>
          </cell>
          <cell r="AL947" t="str">
            <v>0,0046(0,0023;0,0023)</v>
          </cell>
          <cell r="AM947" t="str">
            <v>dạng cuộn 500m</v>
          </cell>
          <cell r="AN947">
            <v>162</v>
          </cell>
          <cell r="AO947" t="str">
            <v>Công ty CP Tập Đoàn Đức Hạnh Marphavet</v>
          </cell>
          <cell r="AP947" t="str">
            <v>21090631-1</v>
          </cell>
          <cell r="AQ947" t="str">
            <v>21090631-2</v>
          </cell>
          <cell r="AR947">
            <v>0</v>
          </cell>
          <cell r="AS947">
            <v>0</v>
          </cell>
          <cell r="AT947">
            <v>0</v>
          </cell>
          <cell r="AU947">
            <v>0</v>
          </cell>
          <cell r="AV947">
            <v>0</v>
          </cell>
          <cell r="AW947">
            <v>0</v>
          </cell>
          <cell r="AX947">
            <v>0</v>
          </cell>
          <cell r="AY947" t="str">
            <v>500x870</v>
          </cell>
          <cell r="AZ947">
            <v>0</v>
          </cell>
          <cell r="BA947">
            <v>0</v>
          </cell>
          <cell r="BB947">
            <v>0</v>
          </cell>
          <cell r="BC947">
            <v>0</v>
          </cell>
          <cell r="BD947" t="e">
            <v>#N/A</v>
          </cell>
        </row>
        <row r="948">
          <cell r="A948" t="str">
            <v>sp 1456</v>
          </cell>
          <cell r="B948" t="str">
            <v>Túi hạt giống bí xanh sặt 3838 lucky Sao Việt (12SP)</v>
          </cell>
          <cell r="C948">
            <v>6.734</v>
          </cell>
          <cell r="D948">
            <v>3</v>
          </cell>
          <cell r="E948" t="str">
            <v>OPP 30x800</v>
          </cell>
          <cell r="F948">
            <v>5</v>
          </cell>
          <cell r="G948" t="str">
            <v>OPP</v>
          </cell>
          <cell r="H948">
            <v>0.28799999999999998</v>
          </cell>
          <cell r="I948">
            <v>3.677</v>
          </cell>
          <cell r="J948">
            <v>0.31</v>
          </cell>
          <cell r="K948">
            <v>0.28799999999999998</v>
          </cell>
          <cell r="L948">
            <v>0.88600000000000001</v>
          </cell>
          <cell r="M948">
            <v>1.2849999999999999</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t="str">
            <v>Al 6x800</v>
          </cell>
          <cell r="AF948" t="str">
            <v>PE 80x810</v>
          </cell>
          <cell r="AG948">
            <v>0.21112000000000003</v>
          </cell>
          <cell r="AH948">
            <v>1.2113333333333334</v>
          </cell>
          <cell r="AI948">
            <v>1.3166666666666669</v>
          </cell>
          <cell r="AJ948">
            <v>9530</v>
          </cell>
          <cell r="AK948">
            <v>9530</v>
          </cell>
          <cell r="AL948" t="str">
            <v>0,0048(0,0023;0,0025)</v>
          </cell>
          <cell r="AM948" t="str">
            <v>túi ba biên</v>
          </cell>
          <cell r="AN948">
            <v>190</v>
          </cell>
          <cell r="AO948" t="str">
            <v>Công ty Giống lucky</v>
          </cell>
          <cell r="AP948" t="str">
            <v>21090672-1</v>
          </cell>
          <cell r="AQ948" t="str">
            <v>21090672-2</v>
          </cell>
          <cell r="AR948" t="str">
            <v>21090672-3</v>
          </cell>
          <cell r="AS948" t="str">
            <v>21090672-4</v>
          </cell>
          <cell r="AT948" t="str">
            <v>21090672-5</v>
          </cell>
          <cell r="AU948">
            <v>0</v>
          </cell>
          <cell r="AV948">
            <v>0</v>
          </cell>
          <cell r="AW948">
            <v>0</v>
          </cell>
          <cell r="AX948">
            <v>0</v>
          </cell>
          <cell r="AY948" t="str">
            <v>760x870</v>
          </cell>
          <cell r="AZ948">
            <v>0</v>
          </cell>
          <cell r="BA948">
            <v>0</v>
          </cell>
          <cell r="BB948">
            <v>0</v>
          </cell>
          <cell r="BC948">
            <v>0</v>
          </cell>
          <cell r="BD948" t="e">
            <v>#N/A</v>
          </cell>
        </row>
        <row r="949">
          <cell r="A949" t="str">
            <v>sp 1457</v>
          </cell>
          <cell r="B949" t="str">
            <v>Cuộn hạt giống cải ngọt cọng xanh A1 Japan và Việt nhật (03SP)</v>
          </cell>
          <cell r="C949">
            <v>11.212999999999999</v>
          </cell>
          <cell r="D949">
            <v>3</v>
          </cell>
          <cell r="E949" t="str">
            <v>PET 12x800</v>
          </cell>
          <cell r="F949">
            <v>5</v>
          </cell>
          <cell r="G949" t="str">
            <v>PET</v>
          </cell>
          <cell r="H949">
            <v>0.01</v>
          </cell>
          <cell r="I949">
            <v>6.8760000000000003</v>
          </cell>
          <cell r="J949">
            <v>0.48</v>
          </cell>
          <cell r="K949">
            <v>0.01</v>
          </cell>
          <cell r="L949">
            <v>1.7589999999999999</v>
          </cell>
          <cell r="M949">
            <v>2.0779999999999998</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t="str">
            <v>MPET 12x800</v>
          </cell>
          <cell r="AF949" t="str">
            <v>PE 85x800</v>
          </cell>
          <cell r="AG949">
            <v>8.9780000000000026E-2</v>
          </cell>
          <cell r="AH949">
            <v>1.2113333333333334</v>
          </cell>
          <cell r="AI949">
            <v>1.2113333333333334</v>
          </cell>
          <cell r="AJ949">
            <v>9530</v>
          </cell>
          <cell r="AK949">
            <v>9530</v>
          </cell>
          <cell r="AL949" t="str">
            <v>0,0046(0,0023;0,0023)</v>
          </cell>
          <cell r="AM949" t="str">
            <v>dạng cuộn 700m</v>
          </cell>
          <cell r="AN949">
            <v>260</v>
          </cell>
          <cell r="AO949" t="str">
            <v>Công ty TNHH SX&amp;TM Việt Nhật</v>
          </cell>
          <cell r="AP949" t="str">
            <v>21090876-1</v>
          </cell>
          <cell r="AQ949" t="str">
            <v>21090876-2</v>
          </cell>
          <cell r="AR949" t="str">
            <v>21090876-3</v>
          </cell>
          <cell r="AS949" t="str">
            <v>21090876-4</v>
          </cell>
          <cell r="AT949" t="str">
            <v>21090876-5</v>
          </cell>
          <cell r="AU949">
            <v>0</v>
          </cell>
          <cell r="AV949">
            <v>0</v>
          </cell>
          <cell r="AW949">
            <v>0</v>
          </cell>
          <cell r="AX949">
            <v>0</v>
          </cell>
          <cell r="AY949" t="str">
            <v>570x870</v>
          </cell>
          <cell r="AZ949">
            <v>0</v>
          </cell>
          <cell r="BA949">
            <v>0</v>
          </cell>
          <cell r="BB949">
            <v>0</v>
          </cell>
          <cell r="BC949">
            <v>0</v>
          </cell>
          <cell r="BD949" t="e">
            <v>#N/A</v>
          </cell>
        </row>
        <row r="950">
          <cell r="A950" t="str">
            <v>sp 1458</v>
          </cell>
          <cell r="B950" t="str">
            <v>Cuộn đường tinh luyện winmart good 1kg Lasuco mã 333</v>
          </cell>
          <cell r="C950">
            <v>3.5150000000000001</v>
          </cell>
          <cell r="D950">
            <v>2</v>
          </cell>
          <cell r="E950" t="str">
            <v>OPP 20x820</v>
          </cell>
          <cell r="F950">
            <v>8</v>
          </cell>
          <cell r="G950" t="str">
            <v>OPP</v>
          </cell>
          <cell r="H950">
            <v>0.156</v>
          </cell>
          <cell r="I950">
            <v>1.867</v>
          </cell>
          <cell r="J950">
            <v>0.373</v>
          </cell>
          <cell r="K950">
            <v>0.747</v>
          </cell>
          <cell r="L950">
            <v>3.1E-2</v>
          </cell>
          <cell r="M950">
            <v>0.124</v>
          </cell>
          <cell r="N950">
            <v>0</v>
          </cell>
          <cell r="O950">
            <v>0</v>
          </cell>
          <cell r="P950">
            <v>9.2999999999999999E-2</v>
          </cell>
          <cell r="Q950">
            <v>0</v>
          </cell>
          <cell r="R950">
            <v>0</v>
          </cell>
          <cell r="S950">
            <v>0</v>
          </cell>
          <cell r="T950">
            <v>3.1E-2</v>
          </cell>
          <cell r="U950">
            <v>0</v>
          </cell>
          <cell r="V950">
            <v>9.2999999999999999E-2</v>
          </cell>
          <cell r="W950">
            <v>0</v>
          </cell>
          <cell r="X950">
            <v>0</v>
          </cell>
          <cell r="Y950">
            <v>0</v>
          </cell>
          <cell r="Z950">
            <v>0</v>
          </cell>
          <cell r="AA950">
            <v>0</v>
          </cell>
          <cell r="AB950">
            <v>0</v>
          </cell>
          <cell r="AC950">
            <v>0</v>
          </cell>
          <cell r="AD950">
            <v>0</v>
          </cell>
          <cell r="AE950" t="str">
            <v>PE 55x820</v>
          </cell>
          <cell r="AF950">
            <v>0</v>
          </cell>
          <cell r="AG950">
            <v>5.6641499999999997E-2</v>
          </cell>
          <cell r="AH950">
            <v>1.62</v>
          </cell>
          <cell r="AI950">
            <v>0</v>
          </cell>
          <cell r="AJ950">
            <v>9530</v>
          </cell>
          <cell r="AK950">
            <v>0</v>
          </cell>
          <cell r="AL950">
            <v>3.0000000000000001E-3</v>
          </cell>
          <cell r="AM950" t="str">
            <v>dạng cuộn 1,000m</v>
          </cell>
          <cell r="AN950">
            <v>400</v>
          </cell>
          <cell r="AO950" t="str">
            <v>Công ty Cổ phần mía đường Lam Sơn</v>
          </cell>
          <cell r="AP950" t="str">
            <v>F129730-1</v>
          </cell>
          <cell r="AQ950" t="str">
            <v>F129730-2</v>
          </cell>
          <cell r="AR950" t="str">
            <v>F129730-3</v>
          </cell>
          <cell r="AS950" t="str">
            <v>F129730-4</v>
          </cell>
          <cell r="AT950" t="str">
            <v>F129730-5</v>
          </cell>
          <cell r="AU950" t="str">
            <v>F129730-6</v>
          </cell>
          <cell r="AV950" t="str">
            <v>F129730-7</v>
          </cell>
          <cell r="AW950" t="str">
            <v>F129730-8</v>
          </cell>
          <cell r="AX950">
            <v>0</v>
          </cell>
          <cell r="AY950" t="str">
            <v>500x870</v>
          </cell>
          <cell r="AZ950">
            <v>0</v>
          </cell>
          <cell r="BA950">
            <v>0</v>
          </cell>
          <cell r="BB950">
            <v>0</v>
          </cell>
          <cell r="BC950">
            <v>0</v>
          </cell>
          <cell r="BD950" t="e">
            <v>#N/A</v>
          </cell>
        </row>
        <row r="951">
          <cell r="A951" t="str">
            <v>sp 1459</v>
          </cell>
          <cell r="B951" t="str">
            <v>Cuộn đường tinh luyện winmart good 500g Lasuco mã 302</v>
          </cell>
          <cell r="C951">
            <v>8.3830000000000009</v>
          </cell>
          <cell r="D951">
            <v>3</v>
          </cell>
          <cell r="E951" t="str">
            <v>OPP 20x980</v>
          </cell>
          <cell r="F951">
            <v>8</v>
          </cell>
          <cell r="G951" t="str">
            <v>OPP</v>
          </cell>
          <cell r="H951">
            <v>0.61699999999999999</v>
          </cell>
          <cell r="I951">
            <v>5.9660000000000002</v>
          </cell>
          <cell r="J951">
            <v>0.20599999999999999</v>
          </cell>
          <cell r="K951">
            <v>0</v>
          </cell>
          <cell r="L951">
            <v>0.51400000000000001</v>
          </cell>
          <cell r="M951">
            <v>0.72</v>
          </cell>
          <cell r="N951">
            <v>0</v>
          </cell>
          <cell r="O951">
            <v>0</v>
          </cell>
          <cell r="P951">
            <v>0</v>
          </cell>
          <cell r="Q951">
            <v>0.309</v>
          </cell>
          <cell r="R951">
            <v>0</v>
          </cell>
          <cell r="S951">
            <v>0</v>
          </cell>
          <cell r="T951">
            <v>0</v>
          </cell>
          <cell r="U951">
            <v>0</v>
          </cell>
          <cell r="V951">
            <v>0</v>
          </cell>
          <cell r="W951">
            <v>5.0999999999999997E-2</v>
          </cell>
          <cell r="X951">
            <v>0</v>
          </cell>
          <cell r="Y951">
            <v>0</v>
          </cell>
          <cell r="Z951">
            <v>0</v>
          </cell>
          <cell r="AA951">
            <v>0</v>
          </cell>
          <cell r="AB951">
            <v>0</v>
          </cell>
          <cell r="AC951">
            <v>0</v>
          </cell>
          <cell r="AD951">
            <v>0</v>
          </cell>
          <cell r="AE951" t="str">
            <v>PE 55x980</v>
          </cell>
          <cell r="AF951">
            <v>0</v>
          </cell>
          <cell r="AG951">
            <v>6.769349999999999E-2</v>
          </cell>
          <cell r="AH951">
            <v>1.94</v>
          </cell>
          <cell r="AI951">
            <v>0</v>
          </cell>
          <cell r="AJ951">
            <v>9530</v>
          </cell>
          <cell r="AK951">
            <v>0</v>
          </cell>
          <cell r="AL951">
            <v>3.0000000000000001E-3</v>
          </cell>
          <cell r="AM951" t="str">
            <v>dạng cuộn 1,000m</v>
          </cell>
          <cell r="AN951">
            <v>320</v>
          </cell>
          <cell r="AO951" t="str">
            <v>Công ty Cổ phần mía đường Lam Sơn</v>
          </cell>
          <cell r="AP951" t="str">
            <v>F129732-1</v>
          </cell>
          <cell r="AQ951" t="str">
            <v>F129732-2</v>
          </cell>
          <cell r="AR951" t="str">
            <v>F129732-3</v>
          </cell>
          <cell r="AS951" t="str">
            <v>F129732-4</v>
          </cell>
          <cell r="AT951" t="str">
            <v>F129732-5</v>
          </cell>
          <cell r="AU951" t="str">
            <v>F129732-6</v>
          </cell>
          <cell r="AV951" t="str">
            <v>F129732-7</v>
          </cell>
          <cell r="AW951" t="str">
            <v>F129732-8</v>
          </cell>
          <cell r="AX951">
            <v>0</v>
          </cell>
          <cell r="AY951" t="str">
            <v>420x1100</v>
          </cell>
          <cell r="AZ951">
            <v>0</v>
          </cell>
          <cell r="BA951">
            <v>0</v>
          </cell>
          <cell r="BB951">
            <v>0</v>
          </cell>
          <cell r="BC951">
            <v>0</v>
          </cell>
          <cell r="BD951" t="e">
            <v>#N/A</v>
          </cell>
        </row>
        <row r="952">
          <cell r="A952" t="str">
            <v>sp 1460</v>
          </cell>
          <cell r="B952" t="str">
            <v>Cuộn đường tinh luyện winmart good 1kg Lasuco mã 319</v>
          </cell>
          <cell r="C952">
            <v>9.7479999999999993</v>
          </cell>
          <cell r="D952">
            <v>2</v>
          </cell>
          <cell r="E952" t="str">
            <v>OPP 20x820</v>
          </cell>
          <cell r="F952">
            <v>8</v>
          </cell>
          <cell r="G952" t="str">
            <v>OPP</v>
          </cell>
          <cell r="H952">
            <v>0.59799999999999998</v>
          </cell>
          <cell r="I952">
            <v>4.41</v>
          </cell>
          <cell r="J952">
            <v>0</v>
          </cell>
          <cell r="K952">
            <v>2.2429999999999999</v>
          </cell>
          <cell r="L952">
            <v>0.01</v>
          </cell>
          <cell r="M952">
            <v>2.2429999999999999</v>
          </cell>
          <cell r="N952">
            <v>0</v>
          </cell>
          <cell r="O952">
            <v>0</v>
          </cell>
          <cell r="P952">
            <v>0.01</v>
          </cell>
          <cell r="Q952">
            <v>0</v>
          </cell>
          <cell r="R952">
            <v>0.224</v>
          </cell>
          <cell r="S952">
            <v>0</v>
          </cell>
          <cell r="T952">
            <v>0</v>
          </cell>
          <cell r="U952">
            <v>0</v>
          </cell>
          <cell r="V952">
            <v>0</v>
          </cell>
          <cell r="W952">
            <v>0.01</v>
          </cell>
          <cell r="X952">
            <v>0</v>
          </cell>
          <cell r="Y952">
            <v>0</v>
          </cell>
          <cell r="Z952">
            <v>0</v>
          </cell>
          <cell r="AA952">
            <v>0</v>
          </cell>
          <cell r="AB952">
            <v>0</v>
          </cell>
          <cell r="AC952">
            <v>0</v>
          </cell>
          <cell r="AD952">
            <v>0</v>
          </cell>
          <cell r="AE952" t="str">
            <v>PE 55x820</v>
          </cell>
          <cell r="AF952">
            <v>0</v>
          </cell>
          <cell r="AG952">
            <v>5.6641499999999997E-2</v>
          </cell>
          <cell r="AH952">
            <v>1.62</v>
          </cell>
          <cell r="AI952">
            <v>0</v>
          </cell>
          <cell r="AJ952">
            <v>9530</v>
          </cell>
          <cell r="AK952">
            <v>0</v>
          </cell>
          <cell r="AL952">
            <v>3.0000000000000001E-3</v>
          </cell>
          <cell r="AM952" t="str">
            <v>dạng cuộn 1,000m</v>
          </cell>
          <cell r="AN952">
            <v>400</v>
          </cell>
          <cell r="AO952" t="str">
            <v>Công ty Cổ phần mía đường Lam Sơn</v>
          </cell>
          <cell r="AP952" t="str">
            <v>F129728-1</v>
          </cell>
          <cell r="AQ952" t="str">
            <v>F129728-2</v>
          </cell>
          <cell r="AR952" t="str">
            <v>F129728-3</v>
          </cell>
          <cell r="AS952" t="str">
            <v>F129728-4</v>
          </cell>
          <cell r="AT952" t="str">
            <v>F129728-5</v>
          </cell>
          <cell r="AU952" t="str">
            <v>F129728-6</v>
          </cell>
          <cell r="AV952" t="str">
            <v>F129728-7</v>
          </cell>
          <cell r="AW952" t="str">
            <v>F129730-8</v>
          </cell>
          <cell r="AX952">
            <v>0</v>
          </cell>
          <cell r="AY952" t="str">
            <v>500x870</v>
          </cell>
          <cell r="AZ952">
            <v>0</v>
          </cell>
          <cell r="BA952">
            <v>0</v>
          </cell>
          <cell r="BB952">
            <v>0</v>
          </cell>
          <cell r="BC952">
            <v>0</v>
          </cell>
          <cell r="BD952" t="e">
            <v>#N/A</v>
          </cell>
        </row>
        <row r="953">
          <cell r="A953" t="str">
            <v>sp 1461</v>
          </cell>
          <cell r="B953" t="str">
            <v>Cuộn đường tinh luyện winmart good 500g Lasuco mã 326</v>
          </cell>
          <cell r="C953">
            <v>4.2769999999999992</v>
          </cell>
          <cell r="D953">
            <v>3</v>
          </cell>
          <cell r="E953" t="str">
            <v>OPP 20x980</v>
          </cell>
          <cell r="F953">
            <v>8</v>
          </cell>
          <cell r="G953" t="str">
            <v>OPP</v>
          </cell>
          <cell r="H953">
            <v>0.40300000000000002</v>
          </cell>
          <cell r="I953">
            <v>3.371</v>
          </cell>
          <cell r="J953">
            <v>0.30199999999999999</v>
          </cell>
          <cell r="K953">
            <v>0</v>
          </cell>
          <cell r="L953">
            <v>0</v>
          </cell>
          <cell r="M953">
            <v>0</v>
          </cell>
          <cell r="N953">
            <v>0</v>
          </cell>
          <cell r="O953">
            <v>0</v>
          </cell>
          <cell r="P953">
            <v>0.05</v>
          </cell>
          <cell r="Q953">
            <v>0</v>
          </cell>
          <cell r="R953">
            <v>0</v>
          </cell>
          <cell r="S953">
            <v>0</v>
          </cell>
          <cell r="T953">
            <v>0</v>
          </cell>
          <cell r="U953">
            <v>0</v>
          </cell>
          <cell r="V953">
            <v>0.151</v>
          </cell>
          <cell r="W953">
            <v>0</v>
          </cell>
          <cell r="X953">
            <v>0</v>
          </cell>
          <cell r="Y953">
            <v>0</v>
          </cell>
          <cell r="Z953">
            <v>0</v>
          </cell>
          <cell r="AA953">
            <v>0</v>
          </cell>
          <cell r="AB953">
            <v>0</v>
          </cell>
          <cell r="AC953">
            <v>0</v>
          </cell>
          <cell r="AD953">
            <v>0</v>
          </cell>
          <cell r="AE953" t="str">
            <v>PE 55x980</v>
          </cell>
          <cell r="AF953">
            <v>0</v>
          </cell>
          <cell r="AG953">
            <v>6.769349999999999E-2</v>
          </cell>
          <cell r="AH953">
            <v>1.94</v>
          </cell>
          <cell r="AI953">
            <v>0</v>
          </cell>
          <cell r="AJ953">
            <v>9530</v>
          </cell>
          <cell r="AK953">
            <v>0</v>
          </cell>
          <cell r="AL953">
            <v>3.0000000000000001E-3</v>
          </cell>
          <cell r="AM953" t="str">
            <v>dạng cuộn 1,000m</v>
          </cell>
          <cell r="AN953">
            <v>320</v>
          </cell>
          <cell r="AO953" t="str">
            <v>Công ty Cổ phần mía đường Lam Sơn</v>
          </cell>
          <cell r="AP953" t="str">
            <v>F129731-1</v>
          </cell>
          <cell r="AQ953" t="str">
            <v>F129731-2</v>
          </cell>
          <cell r="AR953" t="str">
            <v>F129731-3</v>
          </cell>
          <cell r="AS953" t="str">
            <v>F129731-4</v>
          </cell>
          <cell r="AT953" t="str">
            <v>F129731-5</v>
          </cell>
          <cell r="AU953" t="str">
            <v>F129731-6</v>
          </cell>
          <cell r="AV953" t="str">
            <v>F129731-7</v>
          </cell>
          <cell r="AW953" t="str">
            <v>F129732-8</v>
          </cell>
          <cell r="AX953">
            <v>0</v>
          </cell>
          <cell r="AY953" t="str">
            <v>420x1100</v>
          </cell>
          <cell r="AZ953">
            <v>0</v>
          </cell>
          <cell r="BA953">
            <v>0</v>
          </cell>
          <cell r="BB953">
            <v>0</v>
          </cell>
          <cell r="BC953">
            <v>0</v>
          </cell>
          <cell r="BD953" t="e">
            <v>#N/A</v>
          </cell>
        </row>
        <row r="954">
          <cell r="A954" t="str">
            <v>sp 1462</v>
          </cell>
          <cell r="B954" t="str">
            <v>Cuộn thuốc viên hoàn cứng sitar 5gr CNC Traphaco</v>
          </cell>
          <cell r="C954">
            <v>5.1859999999999991</v>
          </cell>
          <cell r="D954">
            <v>5</v>
          </cell>
          <cell r="E954" t="str">
            <v>PET 12x770</v>
          </cell>
          <cell r="F954">
            <v>3</v>
          </cell>
          <cell r="G954" t="str">
            <v>PET</v>
          </cell>
          <cell r="H954">
            <v>0</v>
          </cell>
          <cell r="I954">
            <v>0</v>
          </cell>
          <cell r="J954">
            <v>2.0259999999999998</v>
          </cell>
          <cell r="K954">
            <v>0</v>
          </cell>
          <cell r="L954">
            <v>3.0390000000000001</v>
          </cell>
          <cell r="M954">
            <v>0</v>
          </cell>
          <cell r="N954">
            <v>0</v>
          </cell>
          <cell r="O954">
            <v>0.10100000000000001</v>
          </cell>
          <cell r="P954">
            <v>0</v>
          </cell>
          <cell r="Q954">
            <v>0.01</v>
          </cell>
          <cell r="R954">
            <v>0.01</v>
          </cell>
          <cell r="S954">
            <v>0</v>
          </cell>
          <cell r="T954">
            <v>0</v>
          </cell>
          <cell r="U954">
            <v>0</v>
          </cell>
          <cell r="V954">
            <v>0</v>
          </cell>
          <cell r="W954">
            <v>0</v>
          </cell>
          <cell r="X954">
            <v>0</v>
          </cell>
          <cell r="Y954">
            <v>0</v>
          </cell>
          <cell r="Z954">
            <v>0</v>
          </cell>
          <cell r="AA954">
            <v>0</v>
          </cell>
          <cell r="AB954">
            <v>0</v>
          </cell>
          <cell r="AC954">
            <v>0</v>
          </cell>
          <cell r="AD954">
            <v>0</v>
          </cell>
          <cell r="AE954" t="str">
            <v>Al 6x770</v>
          </cell>
          <cell r="AF954" t="str">
            <v>CPP 60x780</v>
          </cell>
          <cell r="AG954">
            <v>0.18018000000000001</v>
          </cell>
          <cell r="AH954">
            <v>1.2666666666666668</v>
          </cell>
          <cell r="AI954">
            <v>1.2666666666666668</v>
          </cell>
          <cell r="AJ954">
            <v>9530</v>
          </cell>
          <cell r="AK954">
            <v>9530</v>
          </cell>
          <cell r="AL954" t="str">
            <v>0,005(0,0025;0,0025)</v>
          </cell>
          <cell r="AM954" t="str">
            <v>dạng cuộn 400m</v>
          </cell>
          <cell r="AN954">
            <v>150</v>
          </cell>
          <cell r="AO954" t="str">
            <v>Công ty Cổ Phần Công Nghệ Cao Traphaco</v>
          </cell>
          <cell r="AP954" t="str">
            <v>21100114-1</v>
          </cell>
          <cell r="AQ954" t="str">
            <v>21100114-2</v>
          </cell>
          <cell r="AR954" t="str">
            <v>21100114-3</v>
          </cell>
          <cell r="AS954">
            <v>0</v>
          </cell>
          <cell r="AT954">
            <v>0</v>
          </cell>
          <cell r="AU954">
            <v>0</v>
          </cell>
          <cell r="AV954">
            <v>0</v>
          </cell>
          <cell r="AW954">
            <v>0</v>
          </cell>
          <cell r="AX954">
            <v>0</v>
          </cell>
          <cell r="AY954" t="str">
            <v>456x870</v>
          </cell>
          <cell r="AZ954">
            <v>0</v>
          </cell>
          <cell r="BA954">
            <v>0</v>
          </cell>
          <cell r="BB954">
            <v>0</v>
          </cell>
          <cell r="BC954">
            <v>0</v>
          </cell>
          <cell r="BD954" t="e">
            <v>#N/A</v>
          </cell>
        </row>
        <row r="955">
          <cell r="A955" t="str">
            <v>sp 1463</v>
          </cell>
          <cell r="B955" t="str">
            <v>Cuộn thuốc trà gừng 3gr cốm CNC Traphaco</v>
          </cell>
          <cell r="C955">
            <v>5.6749999999999989</v>
          </cell>
          <cell r="D955">
            <v>7</v>
          </cell>
          <cell r="E955" t="str">
            <v>PET 12x776</v>
          </cell>
          <cell r="F955">
            <v>2</v>
          </cell>
          <cell r="G955" t="str">
            <v>PET</v>
          </cell>
          <cell r="H955">
            <v>0</v>
          </cell>
          <cell r="I955">
            <v>0</v>
          </cell>
          <cell r="J955">
            <v>1.583</v>
          </cell>
          <cell r="K955">
            <v>0.67900000000000005</v>
          </cell>
          <cell r="L955">
            <v>3.3929999999999998</v>
          </cell>
          <cell r="M955">
            <v>0</v>
          </cell>
          <cell r="N955">
            <v>0</v>
          </cell>
          <cell r="O955">
            <v>0.01</v>
          </cell>
          <cell r="P955">
            <v>0</v>
          </cell>
          <cell r="Q955">
            <v>0.01</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t="str">
            <v>Al 6x776</v>
          </cell>
          <cell r="AF955" t="str">
            <v>CPP 60x786</v>
          </cell>
          <cell r="AG955">
            <v>0.18158400000000002</v>
          </cell>
          <cell r="AH955">
            <v>1.2766666666666668</v>
          </cell>
          <cell r="AI955">
            <v>1.2766666666666668</v>
          </cell>
          <cell r="AJ955">
            <v>9530</v>
          </cell>
          <cell r="AK955">
            <v>9530</v>
          </cell>
          <cell r="AL955" t="str">
            <v>0,005(0,0025;0,0025)</v>
          </cell>
          <cell r="AM955" t="str">
            <v>dạng cuộn 400m</v>
          </cell>
          <cell r="AN955">
            <v>108</v>
          </cell>
          <cell r="AO955" t="str">
            <v>Công ty Cổ Phần Công Nghệ Cao Traphaco</v>
          </cell>
          <cell r="AP955" t="str">
            <v>21100090-1</v>
          </cell>
          <cell r="AQ955" t="str">
            <v>21100090-2</v>
          </cell>
          <cell r="AR955">
            <v>0</v>
          </cell>
          <cell r="AS955">
            <v>0</v>
          </cell>
          <cell r="AT955">
            <v>0</v>
          </cell>
          <cell r="AU955">
            <v>0</v>
          </cell>
          <cell r="AV955">
            <v>0</v>
          </cell>
          <cell r="AW955">
            <v>0</v>
          </cell>
          <cell r="AX955">
            <v>0</v>
          </cell>
          <cell r="AY955" t="str">
            <v>480x870</v>
          </cell>
          <cell r="AZ955">
            <v>0</v>
          </cell>
          <cell r="BA955">
            <v>0</v>
          </cell>
          <cell r="BB955">
            <v>0</v>
          </cell>
          <cell r="BC955">
            <v>0</v>
          </cell>
          <cell r="BD955" t="e">
            <v>#N/A</v>
          </cell>
        </row>
        <row r="956">
          <cell r="A956" t="str">
            <v>sp 1464</v>
          </cell>
          <cell r="B956" t="str">
            <v>Cuộn trà giải độc gan Nam Dược khổ 65,5mm</v>
          </cell>
          <cell r="C956">
            <v>10.567</v>
          </cell>
          <cell r="D956">
            <v>11</v>
          </cell>
          <cell r="E956" t="str">
            <v>OPP 30x740</v>
          </cell>
          <cell r="F956">
            <v>6</v>
          </cell>
          <cell r="G956" t="str">
            <v>OPP</v>
          </cell>
          <cell r="H956">
            <v>0.43099999999999999</v>
          </cell>
          <cell r="I956">
            <v>5.0380000000000003</v>
          </cell>
          <cell r="J956">
            <v>1.7649999999999999</v>
          </cell>
          <cell r="K956">
            <v>0.25800000000000001</v>
          </cell>
          <cell r="L956">
            <v>0.75</v>
          </cell>
          <cell r="M956">
            <v>0.60299999999999998</v>
          </cell>
          <cell r="N956">
            <v>0</v>
          </cell>
          <cell r="O956">
            <v>1.5069999999999999</v>
          </cell>
          <cell r="P956">
            <v>0</v>
          </cell>
          <cell r="Q956">
            <v>0</v>
          </cell>
          <cell r="R956">
            <v>0</v>
          </cell>
          <cell r="S956">
            <v>0.215</v>
          </cell>
          <cell r="T956">
            <v>0</v>
          </cell>
          <cell r="U956">
            <v>0</v>
          </cell>
          <cell r="V956">
            <v>0</v>
          </cell>
          <cell r="W956">
            <v>0</v>
          </cell>
          <cell r="X956">
            <v>0</v>
          </cell>
          <cell r="Y956">
            <v>0</v>
          </cell>
          <cell r="Z956">
            <v>0</v>
          </cell>
          <cell r="AA956">
            <v>0</v>
          </cell>
          <cell r="AB956">
            <v>0</v>
          </cell>
          <cell r="AC956">
            <v>0</v>
          </cell>
          <cell r="AD956">
            <v>0</v>
          </cell>
          <cell r="AE956" t="str">
            <v>MCPP 25x740</v>
          </cell>
          <cell r="AF956">
            <v>0</v>
          </cell>
          <cell r="AG956">
            <v>3.7037E-2</v>
          </cell>
          <cell r="AH956">
            <v>1.1193333333333333</v>
          </cell>
          <cell r="AI956">
            <v>0</v>
          </cell>
          <cell r="AJ956">
            <v>9530</v>
          </cell>
          <cell r="AK956">
            <v>0</v>
          </cell>
          <cell r="AL956">
            <v>2.3E-3</v>
          </cell>
          <cell r="AM956" t="str">
            <v>dạng cuộn 1,000m</v>
          </cell>
          <cell r="AN956">
            <v>65.5</v>
          </cell>
          <cell r="AO956" t="str">
            <v>Công ty CP Nam Dược</v>
          </cell>
          <cell r="AP956" t="str">
            <v>21101042-1</v>
          </cell>
          <cell r="AQ956" t="str">
            <v>21101042-2</v>
          </cell>
          <cell r="AR956" t="str">
            <v>21101042-3</v>
          </cell>
          <cell r="AS956" t="str">
            <v>21101042-4</v>
          </cell>
          <cell r="AT956" t="str">
            <v>21101042-5</v>
          </cell>
          <cell r="AU956" t="str">
            <v>21101042-6</v>
          </cell>
          <cell r="AV956" t="str">
            <v>21101042-7</v>
          </cell>
          <cell r="AW956" t="str">
            <v>21101042-8</v>
          </cell>
          <cell r="AX956">
            <v>0</v>
          </cell>
          <cell r="AY956" t="str">
            <v>462x860</v>
          </cell>
          <cell r="AZ956">
            <v>0</v>
          </cell>
          <cell r="BA956">
            <v>0</v>
          </cell>
          <cell r="BB956">
            <v>0</v>
          </cell>
          <cell r="BC956">
            <v>0</v>
          </cell>
          <cell r="BD956" t="e">
            <v>#N/A</v>
          </cell>
        </row>
        <row r="957">
          <cell r="A957" t="str">
            <v>sp 1465</v>
          </cell>
          <cell r="B957" t="str">
            <v>Cuộn hạt giống mùi, thì là, cải mơ lùn Lucky</v>
          </cell>
          <cell r="C957">
            <v>13.065</v>
          </cell>
          <cell r="D957">
            <v>3</v>
          </cell>
          <cell r="E957" t="str">
            <v>PET 12x800</v>
          </cell>
          <cell r="F957">
            <v>5</v>
          </cell>
          <cell r="G957" t="str">
            <v>PET</v>
          </cell>
          <cell r="H957">
            <v>0.01</v>
          </cell>
          <cell r="I957">
            <v>2.9220000000000002</v>
          </cell>
          <cell r="J957">
            <v>3.1309999999999998</v>
          </cell>
          <cell r="K957">
            <v>0.01</v>
          </cell>
          <cell r="L957">
            <v>5.5309999999999997</v>
          </cell>
          <cell r="M957">
            <v>1.4610000000000001</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t="str">
            <v>MPET 12x800</v>
          </cell>
          <cell r="AF957" t="str">
            <v>PE 100x800</v>
          </cell>
          <cell r="AG957">
            <v>0.10088000000000003</v>
          </cell>
          <cell r="AH957">
            <v>1.3166666666666669</v>
          </cell>
          <cell r="AI957">
            <v>1.3166666666666669</v>
          </cell>
          <cell r="AJ957">
            <v>9530</v>
          </cell>
          <cell r="AK957">
            <v>9530</v>
          </cell>
          <cell r="AL957" t="str">
            <v>0,005(0,0025;0,0025)</v>
          </cell>
          <cell r="AM957" t="str">
            <v>dạng cuộn 700m</v>
          </cell>
          <cell r="AN957">
            <v>260</v>
          </cell>
          <cell r="AO957" t="str">
            <v>Công ty Giống lucky</v>
          </cell>
          <cell r="AP957" t="str">
            <v>21100667-1</v>
          </cell>
          <cell r="AQ957" t="str">
            <v>21100667-2</v>
          </cell>
          <cell r="AR957" t="str">
            <v>21100667-3</v>
          </cell>
          <cell r="AS957" t="str">
            <v>21100667-4</v>
          </cell>
          <cell r="AT957" t="str">
            <v>21100667-5</v>
          </cell>
          <cell r="AU957">
            <v>0</v>
          </cell>
          <cell r="AV957">
            <v>0</v>
          </cell>
          <cell r="AW957">
            <v>0</v>
          </cell>
          <cell r="AX957">
            <v>0</v>
          </cell>
          <cell r="AY957" t="str">
            <v>570x870</v>
          </cell>
          <cell r="AZ957">
            <v>0</v>
          </cell>
          <cell r="BA957">
            <v>0</v>
          </cell>
          <cell r="BB957">
            <v>0</v>
          </cell>
          <cell r="BC957">
            <v>0</v>
          </cell>
          <cell r="BD957" t="e">
            <v>#N/A</v>
          </cell>
        </row>
        <row r="958">
          <cell r="A958" t="str">
            <v>sp 1466</v>
          </cell>
          <cell r="B958" t="str">
            <v>Cuộn hạt giống mùi, thì là Sao Việt, ngồng cải 003 Lucky (03SP)</v>
          </cell>
          <cell r="C958">
            <v>11.114000000000001</v>
          </cell>
          <cell r="D958">
            <v>3</v>
          </cell>
          <cell r="E958" t="str">
            <v>PET 12x800</v>
          </cell>
          <cell r="F958">
            <v>5</v>
          </cell>
          <cell r="G958" t="str">
            <v>PET</v>
          </cell>
          <cell r="H958">
            <v>0.64700000000000002</v>
          </cell>
          <cell r="I958">
            <v>4.532</v>
          </cell>
          <cell r="J958">
            <v>1.2949999999999999</v>
          </cell>
          <cell r="K958">
            <v>0.432</v>
          </cell>
          <cell r="L958">
            <v>2.4820000000000002</v>
          </cell>
          <cell r="M958">
            <v>1.726</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t="str">
            <v>MPET 12x800</v>
          </cell>
          <cell r="AF958" t="str">
            <v>PE 100x800</v>
          </cell>
          <cell r="AG958">
            <v>0.10088000000000003</v>
          </cell>
          <cell r="AH958">
            <v>1.3166666666666669</v>
          </cell>
          <cell r="AI958">
            <v>1.3166666666666669</v>
          </cell>
          <cell r="AJ958">
            <v>9530</v>
          </cell>
          <cell r="AK958">
            <v>9530</v>
          </cell>
          <cell r="AL958" t="str">
            <v>0,005(0,0025;0,0025)</v>
          </cell>
          <cell r="AM958" t="str">
            <v>dạng cuộn 700m</v>
          </cell>
          <cell r="AN958">
            <v>260</v>
          </cell>
          <cell r="AO958" t="str">
            <v>Công ty Giống lucky</v>
          </cell>
          <cell r="AP958" t="str">
            <v>21100668-1</v>
          </cell>
          <cell r="AQ958" t="str">
            <v>21100668-2</v>
          </cell>
          <cell r="AR958" t="str">
            <v>21100668-3</v>
          </cell>
          <cell r="AS958" t="str">
            <v>21100668-4</v>
          </cell>
          <cell r="AT958" t="str">
            <v>21100667-5</v>
          </cell>
          <cell r="AU958">
            <v>0</v>
          </cell>
          <cell r="AV958">
            <v>0</v>
          </cell>
          <cell r="AW958">
            <v>0</v>
          </cell>
          <cell r="AX958">
            <v>0</v>
          </cell>
          <cell r="AY958" t="str">
            <v>570x870</v>
          </cell>
          <cell r="AZ958">
            <v>0</v>
          </cell>
          <cell r="BA958">
            <v>0</v>
          </cell>
          <cell r="BB958">
            <v>0</v>
          </cell>
          <cell r="BC958">
            <v>0</v>
          </cell>
          <cell r="BD958" t="e">
            <v>#N/A</v>
          </cell>
        </row>
        <row r="959">
          <cell r="A959" t="str">
            <v>sp 1467</v>
          </cell>
          <cell r="B959" t="str">
            <v>Túi gạo hương thuần việt bắc thơm 5kg Hà Thái</v>
          </cell>
          <cell r="C959">
            <v>6.9899999999999993</v>
          </cell>
          <cell r="D959">
            <v>1</v>
          </cell>
          <cell r="E959" t="str">
            <v>PA 15x670</v>
          </cell>
          <cell r="F959">
            <v>6</v>
          </cell>
          <cell r="G959" t="str">
            <v xml:space="preserve">PA </v>
          </cell>
          <cell r="H959">
            <v>0.748</v>
          </cell>
          <cell r="I959">
            <v>5.1100000000000003</v>
          </cell>
          <cell r="J959">
            <v>0.249</v>
          </cell>
          <cell r="K959">
            <v>0.499</v>
          </cell>
          <cell r="L959">
            <v>0.374</v>
          </cell>
          <cell r="M959">
            <v>0</v>
          </cell>
          <cell r="N959">
            <v>0</v>
          </cell>
          <cell r="O959">
            <v>0</v>
          </cell>
          <cell r="P959">
            <v>0</v>
          </cell>
          <cell r="Q959">
            <v>0</v>
          </cell>
          <cell r="R959">
            <v>0</v>
          </cell>
          <cell r="S959">
            <v>0.01</v>
          </cell>
          <cell r="T959">
            <v>0</v>
          </cell>
          <cell r="U959">
            <v>0</v>
          </cell>
          <cell r="V959">
            <v>0</v>
          </cell>
          <cell r="W959">
            <v>0</v>
          </cell>
          <cell r="X959">
            <v>0</v>
          </cell>
          <cell r="Y959">
            <v>0</v>
          </cell>
          <cell r="Z959">
            <v>0</v>
          </cell>
          <cell r="AA959">
            <v>0</v>
          </cell>
          <cell r="AB959">
            <v>0</v>
          </cell>
          <cell r="AC959">
            <v>0</v>
          </cell>
          <cell r="AD959">
            <v>0</v>
          </cell>
          <cell r="AE959" t="str">
            <v>PE 115x670</v>
          </cell>
          <cell r="AF959">
            <v>0</v>
          </cell>
          <cell r="AG959">
            <v>8.2828750000000007E-2</v>
          </cell>
          <cell r="AH959">
            <v>1.32</v>
          </cell>
          <cell r="AI959">
            <v>0</v>
          </cell>
          <cell r="AJ959">
            <v>9530</v>
          </cell>
          <cell r="AK959">
            <v>0</v>
          </cell>
          <cell r="AL959">
            <v>3.0000000000000001E-3</v>
          </cell>
          <cell r="AM959" t="str">
            <v>túi bốn biên</v>
          </cell>
          <cell r="AN959">
            <v>470</v>
          </cell>
          <cell r="AO959" t="str">
            <v>Công ty Hà Thái</v>
          </cell>
          <cell r="AP959" t="str">
            <v>21100670-1</v>
          </cell>
          <cell r="AQ959" t="str">
            <v>21100670-2</v>
          </cell>
          <cell r="AR959" t="str">
            <v>21100670-3</v>
          </cell>
          <cell r="AS959" t="str">
            <v>21100670-4</v>
          </cell>
          <cell r="AT959" t="str">
            <v>21100670-5</v>
          </cell>
          <cell r="AU959" t="str">
            <v>21100670-6</v>
          </cell>
          <cell r="AV959" t="str">
            <v>21100670-7</v>
          </cell>
          <cell r="AW959">
            <v>0</v>
          </cell>
          <cell r="AX959">
            <v>0</v>
          </cell>
          <cell r="AY959" t="str">
            <v>470x870</v>
          </cell>
          <cell r="AZ959">
            <v>0</v>
          </cell>
          <cell r="BA959">
            <v>0</v>
          </cell>
          <cell r="BB959">
            <v>0</v>
          </cell>
          <cell r="BC959">
            <v>0</v>
          </cell>
          <cell r="BD959" t="e">
            <v>#N/A</v>
          </cell>
        </row>
        <row r="960">
          <cell r="A960" t="str">
            <v>sp 1468</v>
          </cell>
          <cell r="B960" t="str">
            <v>Cuộn men rượu nàng thơm nếp mới 100gr -Trường Nguyên</v>
          </cell>
          <cell r="C960">
            <v>2.2090000000000005</v>
          </cell>
          <cell r="D960">
            <v>5</v>
          </cell>
          <cell r="E960" t="str">
            <v>OPP 20x920</v>
          </cell>
          <cell r="F960">
            <v>2</v>
          </cell>
          <cell r="G960" t="str">
            <v>OPP</v>
          </cell>
          <cell r="H960">
            <v>5.8999999999999997E-2</v>
          </cell>
          <cell r="I960">
            <v>0</v>
          </cell>
          <cell r="J960">
            <v>0.66400000000000003</v>
          </cell>
          <cell r="K960">
            <v>0</v>
          </cell>
          <cell r="L960">
            <v>0.65400000000000003</v>
          </cell>
          <cell r="M960">
            <v>0.495</v>
          </cell>
          <cell r="N960">
            <v>0</v>
          </cell>
          <cell r="O960">
            <v>0.01</v>
          </cell>
          <cell r="P960">
            <v>0.188</v>
          </cell>
          <cell r="Q960">
            <v>0.13900000000000001</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t="str">
            <v>PE sứ 25x920</v>
          </cell>
          <cell r="AF960">
            <v>0</v>
          </cell>
          <cell r="AG960">
            <v>3.8134000000000001E-2</v>
          </cell>
          <cell r="AH960">
            <v>1.2133333333333334</v>
          </cell>
          <cell r="AI960">
            <v>0</v>
          </cell>
          <cell r="AJ960">
            <v>9530</v>
          </cell>
          <cell r="AK960">
            <v>0</v>
          </cell>
          <cell r="AL960">
            <v>2E-3</v>
          </cell>
          <cell r="AM960" t="str">
            <v>dạng cuộn 1,000m</v>
          </cell>
          <cell r="AN960">
            <v>180</v>
          </cell>
          <cell r="AO960" t="str">
            <v>Hộ kinh doanh men rượu Trường Nguyên</v>
          </cell>
          <cell r="AP960" t="str">
            <v>21100714-1</v>
          </cell>
          <cell r="AQ960" t="str">
            <v>21100714-2</v>
          </cell>
          <cell r="AR960">
            <v>0</v>
          </cell>
          <cell r="AS960">
            <v>0</v>
          </cell>
          <cell r="AT960">
            <v>0</v>
          </cell>
          <cell r="AU960">
            <v>0</v>
          </cell>
          <cell r="AV960">
            <v>0</v>
          </cell>
          <cell r="AW960">
            <v>0</v>
          </cell>
          <cell r="AX960">
            <v>0</v>
          </cell>
          <cell r="AY960" t="str">
            <v>465x1100</v>
          </cell>
          <cell r="AZ960">
            <v>0</v>
          </cell>
          <cell r="BA960">
            <v>0</v>
          </cell>
          <cell r="BB960">
            <v>0</v>
          </cell>
          <cell r="BC960">
            <v>0</v>
          </cell>
          <cell r="BD960" t="e">
            <v>#N/A</v>
          </cell>
        </row>
        <row r="961">
          <cell r="A961" t="str">
            <v>sp 1469</v>
          </cell>
          <cell r="B961" t="str">
            <v>Túi zipper tã dán mamamy 3 miếng tã dán Ultraflow Đông Hiệp</v>
          </cell>
          <cell r="C961">
            <v>18.256799999999998</v>
          </cell>
          <cell r="D961">
            <v>1</v>
          </cell>
          <cell r="E961" t="str">
            <v>OPP mờ 20x590</v>
          </cell>
          <cell r="F961">
            <v>7</v>
          </cell>
          <cell r="G961" t="str">
            <v>OPP</v>
          </cell>
          <cell r="H961">
            <v>9.0800000000000006E-2</v>
          </cell>
          <cell r="I961">
            <v>0.54500000000000004</v>
          </cell>
          <cell r="J961">
            <v>3.6309999999999998</v>
          </cell>
          <cell r="K961">
            <v>0.54500000000000004</v>
          </cell>
          <cell r="L961">
            <v>7.2619999999999996</v>
          </cell>
          <cell r="M961">
            <v>0</v>
          </cell>
          <cell r="N961">
            <v>0</v>
          </cell>
          <cell r="O961">
            <v>0</v>
          </cell>
          <cell r="P961">
            <v>2.9049999999999998</v>
          </cell>
          <cell r="Q961">
            <v>3.2679999999999998</v>
          </cell>
          <cell r="R961">
            <v>0</v>
          </cell>
          <cell r="S961">
            <v>0</v>
          </cell>
          <cell r="T961">
            <v>0.01</v>
          </cell>
          <cell r="U961">
            <v>0</v>
          </cell>
          <cell r="V961">
            <v>0</v>
          </cell>
          <cell r="W961">
            <v>0</v>
          </cell>
          <cell r="X961">
            <v>0</v>
          </cell>
          <cell r="Y961">
            <v>0</v>
          </cell>
          <cell r="Z961">
            <v>0</v>
          </cell>
          <cell r="AA961">
            <v>0</v>
          </cell>
          <cell r="AB961">
            <v>0</v>
          </cell>
          <cell r="AC961">
            <v>0</v>
          </cell>
          <cell r="AD961">
            <v>0</v>
          </cell>
          <cell r="AE961" t="str">
            <v>PE sứ 45x590</v>
          </cell>
          <cell r="AF961">
            <v>0</v>
          </cell>
          <cell r="AG961">
            <v>3.5429499999999996E-2</v>
          </cell>
          <cell r="AH961">
            <v>1.1599999999999999</v>
          </cell>
          <cell r="AI961">
            <v>0</v>
          </cell>
          <cell r="AJ961">
            <v>9530</v>
          </cell>
          <cell r="AK961">
            <v>0</v>
          </cell>
          <cell r="AL961">
            <v>3.0000000000000001E-3</v>
          </cell>
          <cell r="AM961" t="str">
            <v>túi ba biên zipper</v>
          </cell>
          <cell r="AN961">
            <v>170</v>
          </cell>
          <cell r="AO961" t="str">
            <v>Công ty TNHH TM&amp;ĐT Đông Hiệp</v>
          </cell>
          <cell r="AP961" t="str">
            <v>F129707-1</v>
          </cell>
          <cell r="AQ961" t="str">
            <v>F129707-2</v>
          </cell>
          <cell r="AR961" t="str">
            <v>F129707-3</v>
          </cell>
          <cell r="AS961" t="str">
            <v>F129707-4</v>
          </cell>
          <cell r="AT961" t="str">
            <v>F129707-5</v>
          </cell>
          <cell r="AU961" t="str">
            <v>F129707-6</v>
          </cell>
          <cell r="AV961" t="str">
            <v>F129707-7</v>
          </cell>
          <cell r="AW961">
            <v>0</v>
          </cell>
          <cell r="AX961">
            <v>0</v>
          </cell>
          <cell r="AY961" t="str">
            <v>510x870</v>
          </cell>
          <cell r="AZ961">
            <v>0</v>
          </cell>
          <cell r="BA961">
            <v>0</v>
          </cell>
          <cell r="BB961">
            <v>0</v>
          </cell>
          <cell r="BC961">
            <v>0</v>
          </cell>
          <cell r="BD961" t="e">
            <v>#N/A</v>
          </cell>
        </row>
        <row r="962">
          <cell r="A962" t="str">
            <v>sp 1470</v>
          </cell>
          <cell r="B962" t="str">
            <v>Cuộn bánh quy sữa 24gr coop Richy</v>
          </cell>
          <cell r="C962">
            <v>4.5490000000000004</v>
          </cell>
          <cell r="D962">
            <v>5</v>
          </cell>
          <cell r="E962" t="str">
            <v>OPP 20x955</v>
          </cell>
          <cell r="F962">
            <v>2</v>
          </cell>
          <cell r="G962" t="str">
            <v>OPP</v>
          </cell>
          <cell r="H962">
            <v>0.26700000000000002</v>
          </cell>
          <cell r="I962">
            <v>0</v>
          </cell>
          <cell r="J962">
            <v>0</v>
          </cell>
          <cell r="K962">
            <v>1.526</v>
          </cell>
          <cell r="L962">
            <v>0.56299999999999994</v>
          </cell>
          <cell r="M962">
            <v>0.38500000000000001</v>
          </cell>
          <cell r="N962">
            <v>0</v>
          </cell>
          <cell r="O962">
            <v>0</v>
          </cell>
          <cell r="P962">
            <v>1.5409999999999999</v>
          </cell>
          <cell r="Q962">
            <v>0.26700000000000002</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t="str">
            <v>MCPP 25x955</v>
          </cell>
          <cell r="AF962">
            <v>0</v>
          </cell>
          <cell r="AG962">
            <v>3.9107249999999996E-2</v>
          </cell>
          <cell r="AH962">
            <v>1.2599999999999998</v>
          </cell>
          <cell r="AI962">
            <v>0</v>
          </cell>
          <cell r="AJ962">
            <v>9530</v>
          </cell>
          <cell r="AK962">
            <v>0</v>
          </cell>
          <cell r="AL962">
            <v>2E-3</v>
          </cell>
          <cell r="AM962" t="str">
            <v>dạng cuộn 1,000m</v>
          </cell>
          <cell r="AN962">
            <v>187</v>
          </cell>
          <cell r="AO962" t="str">
            <v>Công ty CP thực phẩm Richy Miền Bắc</v>
          </cell>
          <cell r="AP962" t="str">
            <v>21101146-1</v>
          </cell>
          <cell r="AQ962" t="str">
            <v>21101146-2</v>
          </cell>
          <cell r="AR962">
            <v>0</v>
          </cell>
          <cell r="AS962">
            <v>0</v>
          </cell>
          <cell r="AT962">
            <v>0</v>
          </cell>
          <cell r="AU962">
            <v>0</v>
          </cell>
          <cell r="AV962">
            <v>0</v>
          </cell>
          <cell r="AW962">
            <v>0</v>
          </cell>
          <cell r="AX962">
            <v>0</v>
          </cell>
          <cell r="AY962" t="str">
            <v>428x1100</v>
          </cell>
          <cell r="AZ962">
            <v>0</v>
          </cell>
          <cell r="BA962">
            <v>0</v>
          </cell>
          <cell r="BB962">
            <v>0</v>
          </cell>
          <cell r="BC962">
            <v>0</v>
          </cell>
          <cell r="BD962" t="e">
            <v>#N/A</v>
          </cell>
        </row>
        <row r="963">
          <cell r="A963" t="str">
            <v>sp 1471</v>
          </cell>
          <cell r="B963" t="str">
            <v>Túi PA không in HCK KT 250x250 XNK RĐD</v>
          </cell>
          <cell r="C963">
            <v>0</v>
          </cell>
          <cell r="D963">
            <v>2</v>
          </cell>
          <cell r="E963" t="str">
            <v>PA 15x1000</v>
          </cell>
          <cell r="F963">
            <v>0</v>
          </cell>
          <cell r="G963" t="str">
            <v xml:space="preserve">PA </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t="str">
            <v>PE 65x1005</v>
          </cell>
          <cell r="AF963">
            <v>0</v>
          </cell>
          <cell r="AG963">
            <v>7.7374999999999999E-2</v>
          </cell>
          <cell r="AH963">
            <v>0.39999999999999997</v>
          </cell>
          <cell r="AI963">
            <v>0</v>
          </cell>
          <cell r="AJ963" t="str">
            <v>keo 829B
ĐR 829A</v>
          </cell>
          <cell r="AK963">
            <v>0</v>
          </cell>
          <cell r="AL963">
            <v>1.1999999999999999E-3</v>
          </cell>
          <cell r="AM963" t="str">
            <v>túi ba biên</v>
          </cell>
          <cell r="AN963">
            <v>250</v>
          </cell>
          <cell r="AO963" t="str">
            <v>Công ty TNHH XNK Rồng Đông Dương</v>
          </cell>
          <cell r="AP963">
            <v>0</v>
          </cell>
          <cell r="AQ963">
            <v>0</v>
          </cell>
          <cell r="AR963">
            <v>0</v>
          </cell>
          <cell r="AS963">
            <v>0</v>
          </cell>
          <cell r="AT963">
            <v>0</v>
          </cell>
          <cell r="AU963">
            <v>0</v>
          </cell>
          <cell r="AV963">
            <v>0</v>
          </cell>
          <cell r="AW963">
            <v>0</v>
          </cell>
          <cell r="AX963">
            <v>0</v>
          </cell>
          <cell r="AY963">
            <v>0</v>
          </cell>
          <cell r="AZ963">
            <v>0</v>
          </cell>
          <cell r="BA963">
            <v>0</v>
          </cell>
          <cell r="BB963">
            <v>0</v>
          </cell>
          <cell r="BC963">
            <v>0</v>
          </cell>
          <cell r="BD963" t="e">
            <v>#N/A</v>
          </cell>
        </row>
        <row r="964">
          <cell r="A964" t="str">
            <v>sp 1472</v>
          </cell>
          <cell r="B964" t="str">
            <v>Cuộn trà tan loại que ice tea hương chanh Vĩnh Phúc</v>
          </cell>
          <cell r="C964">
            <v>16.117000000000001</v>
          </cell>
          <cell r="D964">
            <v>1</v>
          </cell>
          <cell r="E964" t="str">
            <v>PET 12x820</v>
          </cell>
          <cell r="F964">
            <v>5</v>
          </cell>
          <cell r="G964" t="str">
            <v>PET</v>
          </cell>
          <cell r="H964">
            <v>0</v>
          </cell>
          <cell r="I964">
            <v>3.5710000000000002</v>
          </cell>
          <cell r="J964">
            <v>0.98199999999999998</v>
          </cell>
          <cell r="K964">
            <v>0</v>
          </cell>
          <cell r="L964">
            <v>9.0180000000000007</v>
          </cell>
          <cell r="M964">
            <v>2</v>
          </cell>
          <cell r="N964">
            <v>0</v>
          </cell>
          <cell r="O964">
            <v>0.01</v>
          </cell>
          <cell r="P964">
            <v>0.53600000000000003</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t="str">
            <v>Al 6x820</v>
          </cell>
          <cell r="AF964" t="str">
            <v>CPP 60x830</v>
          </cell>
          <cell r="AG964">
            <v>7.1881199999999992E-2</v>
          </cell>
          <cell r="AH964">
            <v>1.242</v>
          </cell>
          <cell r="AI964">
            <v>1.242</v>
          </cell>
          <cell r="AJ964">
            <v>9530</v>
          </cell>
          <cell r="AK964">
            <v>9530</v>
          </cell>
          <cell r="AL964" t="str">
            <v>0,0046(0,0023;0,0023)</v>
          </cell>
          <cell r="AM964" t="str">
            <v>dạng cuộn 1,000m</v>
          </cell>
          <cell r="AN964">
            <v>800</v>
          </cell>
          <cell r="AO964" t="str">
            <v>Công ty TNHH Thế hệ mới Vĩnh Phúc</v>
          </cell>
          <cell r="AP964" t="str">
            <v>21110097-1</v>
          </cell>
          <cell r="AQ964" t="str">
            <v>21110097-2</v>
          </cell>
          <cell r="AR964" t="str">
            <v>21110097-3</v>
          </cell>
          <cell r="AS964" t="str">
            <v>21110097-4</v>
          </cell>
          <cell r="AT964" t="str">
            <v>21110097-5</v>
          </cell>
          <cell r="AU964">
            <v>0</v>
          </cell>
          <cell r="AV964">
            <v>0</v>
          </cell>
          <cell r="AW964">
            <v>0</v>
          </cell>
          <cell r="AX964">
            <v>0</v>
          </cell>
          <cell r="AY964" t="str">
            <v>450x1100</v>
          </cell>
          <cell r="AZ964">
            <v>0</v>
          </cell>
          <cell r="BA964">
            <v>0</v>
          </cell>
          <cell r="BB964">
            <v>0</v>
          </cell>
          <cell r="BC964">
            <v>0</v>
          </cell>
          <cell r="BD964" t="e">
            <v>#N/A</v>
          </cell>
        </row>
        <row r="965">
          <cell r="A965" t="str">
            <v>sp 1473</v>
          </cell>
          <cell r="B965" t="str">
            <v>Cuộn bánh bao đậu xanh lá dứa 280gr Phú Mỹ</v>
          </cell>
          <cell r="C965">
            <v>8.1129999999999995</v>
          </cell>
          <cell r="D965">
            <v>2</v>
          </cell>
          <cell r="E965" t="str">
            <v>OPP 20x860</v>
          </cell>
          <cell r="F965">
            <v>6</v>
          </cell>
          <cell r="G965" t="str">
            <v>OPP</v>
          </cell>
          <cell r="H965">
            <v>3.488</v>
          </cell>
          <cell r="I965">
            <v>2.6539999999999999</v>
          </cell>
          <cell r="J965">
            <v>0.30299999999999999</v>
          </cell>
          <cell r="K965">
            <v>0.30299999999999999</v>
          </cell>
          <cell r="L965">
            <v>0</v>
          </cell>
          <cell r="M965">
            <v>1.365</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t="str">
            <v>PE 55x860</v>
          </cell>
          <cell r="AF965">
            <v>0</v>
          </cell>
          <cell r="AG965">
            <v>5.9404499999999999E-2</v>
          </cell>
          <cell r="AH965">
            <v>1.1333333333333333</v>
          </cell>
          <cell r="AI965">
            <v>0</v>
          </cell>
          <cell r="AJ965">
            <v>9530</v>
          </cell>
          <cell r="AK965">
            <v>0</v>
          </cell>
          <cell r="AL965">
            <v>2E-3</v>
          </cell>
          <cell r="AM965" t="str">
            <v>dạng cuộn 500m</v>
          </cell>
          <cell r="AN965">
            <v>420</v>
          </cell>
          <cell r="AO965" t="str">
            <v>Công ty Phú Mỹ</v>
          </cell>
          <cell r="AP965" t="str">
            <v>21110161-1</v>
          </cell>
          <cell r="AQ965" t="str">
            <v>21110161-2</v>
          </cell>
          <cell r="AR965" t="str">
            <v>21110161-3</v>
          </cell>
          <cell r="AS965" t="str">
            <v>21110161-4</v>
          </cell>
          <cell r="AT965" t="str">
            <v>21110161-5</v>
          </cell>
          <cell r="AU965" t="str">
            <v>21110161-6</v>
          </cell>
          <cell r="AV965">
            <v>0</v>
          </cell>
          <cell r="AW965">
            <v>0</v>
          </cell>
          <cell r="AX965">
            <v>0</v>
          </cell>
          <cell r="AY965" t="str">
            <v>474x1100</v>
          </cell>
          <cell r="AZ965">
            <v>0</v>
          </cell>
          <cell r="BA965">
            <v>0</v>
          </cell>
          <cell r="BB965">
            <v>0</v>
          </cell>
          <cell r="BC965">
            <v>0</v>
          </cell>
          <cell r="BD965" t="e">
            <v>#N/A</v>
          </cell>
        </row>
        <row r="966">
          <cell r="A966" t="str">
            <v>sp 1474</v>
          </cell>
          <cell r="B966" t="str">
            <v>Túi thuốc thú y sun SVT pharma 10gr - Thái Dương</v>
          </cell>
          <cell r="C966">
            <v>0.93</v>
          </cell>
          <cell r="D966">
            <v>3</v>
          </cell>
          <cell r="E966" t="str">
            <v>PET 12x800</v>
          </cell>
          <cell r="F966">
            <v>1</v>
          </cell>
          <cell r="G966" t="str">
            <v>PET</v>
          </cell>
          <cell r="H966">
            <v>0</v>
          </cell>
          <cell r="I966">
            <v>0</v>
          </cell>
          <cell r="J966">
            <v>0</v>
          </cell>
          <cell r="K966">
            <v>0</v>
          </cell>
          <cell r="L966">
            <v>0.91</v>
          </cell>
          <cell r="M966">
            <v>0</v>
          </cell>
          <cell r="N966">
            <v>0</v>
          </cell>
          <cell r="O966">
            <v>0.01</v>
          </cell>
          <cell r="P966">
            <v>0.01</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t="str">
            <v>Al 6x800</v>
          </cell>
          <cell r="AF966" t="str">
            <v>PE 120x810</v>
          </cell>
          <cell r="AG966">
            <v>0.115248</v>
          </cell>
          <cell r="AH966">
            <v>1.6</v>
          </cell>
          <cell r="AI966">
            <v>1.6</v>
          </cell>
          <cell r="AJ966">
            <v>9530</v>
          </cell>
          <cell r="AK966">
            <v>9530</v>
          </cell>
          <cell r="AL966" t="str">
            <v>0,006(0,003;0,003)</v>
          </cell>
          <cell r="AM966" t="str">
            <v>túi ba biên</v>
          </cell>
          <cell r="AN966">
            <v>90</v>
          </cell>
          <cell r="AO966" t="str">
            <v>Công ty CP Thú Y SVT Thái Dương</v>
          </cell>
          <cell r="AP966" t="str">
            <v>21110393-1</v>
          </cell>
          <cell r="AQ966">
            <v>0</v>
          </cell>
          <cell r="AR966">
            <v>0</v>
          </cell>
          <cell r="AS966">
            <v>0</v>
          </cell>
          <cell r="AT966">
            <v>0</v>
          </cell>
          <cell r="AU966">
            <v>0</v>
          </cell>
          <cell r="AV966">
            <v>0</v>
          </cell>
          <cell r="AW966">
            <v>0</v>
          </cell>
          <cell r="AX966">
            <v>0</v>
          </cell>
          <cell r="AY966" t="str">
            <v>450x870</v>
          </cell>
          <cell r="AZ966">
            <v>0</v>
          </cell>
          <cell r="BA966">
            <v>0</v>
          </cell>
          <cell r="BB966">
            <v>0</v>
          </cell>
          <cell r="BC966">
            <v>0</v>
          </cell>
          <cell r="BD966" t="e">
            <v>#N/A</v>
          </cell>
        </row>
        <row r="967">
          <cell r="A967" t="str">
            <v>sp 1475</v>
          </cell>
          <cell r="B967" t="str">
            <v>Túi hạt giống lúa lai QL 301-1kg Thái Bình</v>
          </cell>
          <cell r="C967">
            <v>8.3950000000000014</v>
          </cell>
          <cell r="D967">
            <v>2</v>
          </cell>
          <cell r="E967" t="str">
            <v>PET 12x900</v>
          </cell>
          <cell r="F967">
            <v>7</v>
          </cell>
          <cell r="G967" t="str">
            <v>PET</v>
          </cell>
          <cell r="H967">
            <v>0.376</v>
          </cell>
          <cell r="I967">
            <v>2.0659999999999998</v>
          </cell>
          <cell r="J967">
            <v>0.84499999999999997</v>
          </cell>
          <cell r="K967">
            <v>0.56299999999999994</v>
          </cell>
          <cell r="L967">
            <v>1.54</v>
          </cell>
          <cell r="M967">
            <v>2.8170000000000002</v>
          </cell>
          <cell r="N967">
            <v>0</v>
          </cell>
          <cell r="O967">
            <v>0.188</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t="str">
            <v>PE 82x900</v>
          </cell>
          <cell r="AF967">
            <v>0</v>
          </cell>
          <cell r="AG967">
            <v>8.3385000000000001E-2</v>
          </cell>
          <cell r="AH967">
            <v>1.3646666666666665</v>
          </cell>
          <cell r="AI967">
            <v>0</v>
          </cell>
          <cell r="AJ967">
            <v>9530</v>
          </cell>
          <cell r="AK967">
            <v>0</v>
          </cell>
          <cell r="AL967">
            <v>2.3E-3</v>
          </cell>
          <cell r="AM967" t="str">
            <v>dạng cuộn hoặc túi ba biên</v>
          </cell>
          <cell r="AN967">
            <v>310</v>
          </cell>
          <cell r="AO967" t="str">
            <v>Công ty Thái Bình</v>
          </cell>
          <cell r="AP967" t="str">
            <v>21110592-1</v>
          </cell>
          <cell r="AQ967" t="str">
            <v>21110592-2</v>
          </cell>
          <cell r="AR967" t="str">
            <v>21110592-3</v>
          </cell>
          <cell r="AS967" t="str">
            <v>21110592-4</v>
          </cell>
          <cell r="AT967" t="str">
            <v>21110592-5</v>
          </cell>
          <cell r="AU967" t="str">
            <v>21110592-6</v>
          </cell>
          <cell r="AV967" t="str">
            <v>21110592-7</v>
          </cell>
          <cell r="AW967">
            <v>0</v>
          </cell>
          <cell r="AX967">
            <v>0</v>
          </cell>
          <cell r="AY967" t="str">
            <v>620x1100</v>
          </cell>
          <cell r="AZ967">
            <v>0</v>
          </cell>
          <cell r="BA967">
            <v>0</v>
          </cell>
          <cell r="BB967">
            <v>0</v>
          </cell>
          <cell r="BC967">
            <v>0</v>
          </cell>
          <cell r="BD967" t="e">
            <v>#N/A</v>
          </cell>
        </row>
        <row r="968">
          <cell r="A968" t="str">
            <v>sp 1476</v>
          </cell>
          <cell r="B968" t="str">
            <v>Túi hạt giống lúa lai QL 301-40kg Thái Bình</v>
          </cell>
          <cell r="C968">
            <v>20.372</v>
          </cell>
          <cell r="D968">
            <v>1</v>
          </cell>
          <cell r="E968" t="str">
            <v>OPP 20x690</v>
          </cell>
          <cell r="F968">
            <v>6</v>
          </cell>
          <cell r="G968" t="str">
            <v>OPP</v>
          </cell>
          <cell r="H968">
            <v>0.316</v>
          </cell>
          <cell r="I968">
            <v>0</v>
          </cell>
          <cell r="J968">
            <v>0</v>
          </cell>
          <cell r="K968">
            <v>1.8939999999999999</v>
          </cell>
          <cell r="L968">
            <v>10.891</v>
          </cell>
          <cell r="M968">
            <v>4.1040000000000001</v>
          </cell>
          <cell r="N968">
            <v>0</v>
          </cell>
          <cell r="O968">
            <v>0.01</v>
          </cell>
          <cell r="P968">
            <v>3.157</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t="str">
            <v>dạng cuộn 6,000m</v>
          </cell>
          <cell r="AN968">
            <v>670</v>
          </cell>
          <cell r="AO968" t="str">
            <v>Công ty Thái Bình</v>
          </cell>
          <cell r="AP968" t="str">
            <v>21110591-1</v>
          </cell>
          <cell r="AQ968" t="str">
            <v>21110591-2</v>
          </cell>
          <cell r="AR968" t="str">
            <v>21110591-3</v>
          </cell>
          <cell r="AS968" t="str">
            <v>21110591-4</v>
          </cell>
          <cell r="AT968" t="str">
            <v>21110591-5</v>
          </cell>
          <cell r="AU968" t="str">
            <v>21110591-6</v>
          </cell>
          <cell r="AV968">
            <v>0</v>
          </cell>
          <cell r="AW968">
            <v>0</v>
          </cell>
          <cell r="AX968">
            <v>0</v>
          </cell>
          <cell r="AY968" t="str">
            <v>850x1100</v>
          </cell>
          <cell r="AZ968">
            <v>0</v>
          </cell>
          <cell r="BA968">
            <v>0</v>
          </cell>
          <cell r="BB968">
            <v>0</v>
          </cell>
          <cell r="BC968">
            <v>0</v>
          </cell>
          <cell r="BD968" t="e">
            <v>#N/A</v>
          </cell>
        </row>
        <row r="969">
          <cell r="A969" t="str">
            <v>sp 1477</v>
          </cell>
          <cell r="B969" t="str">
            <v>Túi zipper khẩu trang kháng khuẩn KF94 Đăng Khôi</v>
          </cell>
          <cell r="C969">
            <v>5.2430000000000003</v>
          </cell>
          <cell r="D969">
            <v>1</v>
          </cell>
          <cell r="E969" t="str">
            <v>OPP mờ 20x580</v>
          </cell>
          <cell r="F969">
            <v>3</v>
          </cell>
          <cell r="G969" t="str">
            <v>OPP</v>
          </cell>
          <cell r="H969">
            <v>0.01</v>
          </cell>
          <cell r="I969">
            <v>4.8630000000000004</v>
          </cell>
          <cell r="J969">
            <v>0.36</v>
          </cell>
          <cell r="K969">
            <v>0</v>
          </cell>
          <cell r="L969">
            <v>0</v>
          </cell>
          <cell r="M969">
            <v>0</v>
          </cell>
          <cell r="N969">
            <v>0</v>
          </cell>
          <cell r="O969">
            <v>0</v>
          </cell>
          <cell r="P969">
            <v>0</v>
          </cell>
          <cell r="Q969">
            <v>0</v>
          </cell>
          <cell r="R969">
            <v>0</v>
          </cell>
          <cell r="S969">
            <v>0</v>
          </cell>
          <cell r="T969">
            <v>0</v>
          </cell>
          <cell r="U969">
            <v>0</v>
          </cell>
          <cell r="V969">
            <v>0</v>
          </cell>
          <cell r="W969">
            <v>0.01</v>
          </cell>
          <cell r="X969">
            <v>0</v>
          </cell>
          <cell r="Y969">
            <v>0</v>
          </cell>
          <cell r="Z969">
            <v>0</v>
          </cell>
          <cell r="AA969">
            <v>0</v>
          </cell>
          <cell r="AB969">
            <v>0</v>
          </cell>
          <cell r="AC969">
            <v>0</v>
          </cell>
          <cell r="AD969">
            <v>0</v>
          </cell>
          <cell r="AE969" t="str">
            <v>MCPP 35x295
CPP 35x290</v>
          </cell>
          <cell r="AF969">
            <v>0</v>
          </cell>
          <cell r="AG969">
            <v>1.95286E-2</v>
          </cell>
          <cell r="AH969">
            <v>0.95</v>
          </cell>
          <cell r="AI969">
            <v>0</v>
          </cell>
          <cell r="AJ969">
            <v>9530</v>
          </cell>
          <cell r="AK969">
            <v>0</v>
          </cell>
          <cell r="AL969">
            <v>2.5000000000000001E-3</v>
          </cell>
          <cell r="AM969" t="str">
            <v>túi ba biên zipper</v>
          </cell>
          <cell r="AN969">
            <v>120</v>
          </cell>
          <cell r="AO969" t="str">
            <v>Công ty Khẩu trang Đăng Khôi</v>
          </cell>
          <cell r="AP969" t="str">
            <v>HD32111058-1</v>
          </cell>
          <cell r="AQ969" t="str">
            <v>HD32111058-2</v>
          </cell>
          <cell r="AR969" t="str">
            <v>HD32111058-3</v>
          </cell>
          <cell r="AS969">
            <v>0</v>
          </cell>
          <cell r="AT969">
            <v>0</v>
          </cell>
          <cell r="AU969">
            <v>0</v>
          </cell>
          <cell r="AV969">
            <v>0</v>
          </cell>
          <cell r="AW969">
            <v>0</v>
          </cell>
          <cell r="AX969">
            <v>0</v>
          </cell>
          <cell r="AY969" t="str">
            <v>480x870</v>
          </cell>
          <cell r="AZ969">
            <v>0</v>
          </cell>
          <cell r="BA969">
            <v>0</v>
          </cell>
          <cell r="BB969">
            <v>0</v>
          </cell>
          <cell r="BC969">
            <v>0</v>
          </cell>
          <cell r="BD969" t="e">
            <v>#N/A</v>
          </cell>
        </row>
        <row r="970">
          <cell r="A970" t="str">
            <v>sp 1478</v>
          </cell>
          <cell r="B970" t="str">
            <v>Cuộn màng nhôm xingfa mới in 2 màu Cơ Điện</v>
          </cell>
          <cell r="C970">
            <v>3.7669999999999999</v>
          </cell>
          <cell r="D970">
            <v>1</v>
          </cell>
          <cell r="E970" t="str">
            <v>PE đt 60x1220</v>
          </cell>
          <cell r="F970">
            <v>2</v>
          </cell>
          <cell r="G970" t="str">
            <v xml:space="preserve">PE </v>
          </cell>
          <cell r="H970">
            <v>0.88400000000000001</v>
          </cell>
          <cell r="I970">
            <v>0</v>
          </cell>
          <cell r="J970">
            <v>0</v>
          </cell>
          <cell r="K970">
            <v>1.9890000000000001</v>
          </cell>
          <cell r="L970">
            <v>0.88400000000000001</v>
          </cell>
          <cell r="M970">
            <v>0</v>
          </cell>
          <cell r="N970">
            <v>0</v>
          </cell>
          <cell r="O970">
            <v>0</v>
          </cell>
          <cell r="P970">
            <v>0.01</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t="str">
            <v>PE 30x1220</v>
          </cell>
          <cell r="AF970">
            <v>0</v>
          </cell>
          <cell r="AG970">
            <v>0.105591</v>
          </cell>
          <cell r="AH970">
            <v>1.4933333333333334</v>
          </cell>
          <cell r="AI970">
            <v>0</v>
          </cell>
          <cell r="AJ970">
            <v>9530</v>
          </cell>
          <cell r="AK970">
            <v>0</v>
          </cell>
          <cell r="AL970">
            <v>2E-3</v>
          </cell>
          <cell r="AM970" t="str">
            <v>dạng cuộn 1,500m</v>
          </cell>
          <cell r="AN970">
            <v>1220</v>
          </cell>
          <cell r="AO970" t="str">
            <v>Công ty Cơ Điện</v>
          </cell>
          <cell r="AP970" t="str">
            <v>21110743-1</v>
          </cell>
          <cell r="AQ970" t="str">
            <v>21110743-2</v>
          </cell>
          <cell r="AR970">
            <v>0</v>
          </cell>
          <cell r="AS970">
            <v>0</v>
          </cell>
          <cell r="AT970">
            <v>0</v>
          </cell>
          <cell r="AU970">
            <v>0</v>
          </cell>
          <cell r="AV970">
            <v>0</v>
          </cell>
          <cell r="AW970">
            <v>0</v>
          </cell>
          <cell r="AX970">
            <v>0</v>
          </cell>
          <cell r="AY970" t="str">
            <v>600x1300</v>
          </cell>
          <cell r="AZ970">
            <v>0</v>
          </cell>
          <cell r="BA970">
            <v>0</v>
          </cell>
          <cell r="BB970">
            <v>0</v>
          </cell>
          <cell r="BC970">
            <v>0</v>
          </cell>
          <cell r="BD970" t="e">
            <v>#N/A</v>
          </cell>
        </row>
        <row r="971">
          <cell r="A971" t="str">
            <v>sp 1479</v>
          </cell>
          <cell r="B971" t="str">
            <v>Túi hạt giống lúa bao chung 1kg Mahyco KT 215x300mm</v>
          </cell>
          <cell r="C971">
            <v>5.2900000000000009</v>
          </cell>
          <cell r="D971">
            <v>2</v>
          </cell>
          <cell r="E971" t="str">
            <v>OPP 20x880</v>
          </cell>
          <cell r="F971">
            <v>6</v>
          </cell>
          <cell r="G971" t="str">
            <v>OPP</v>
          </cell>
          <cell r="H971">
            <v>0.49199999999999999</v>
          </cell>
          <cell r="I971">
            <v>4.306</v>
          </cell>
          <cell r="J971">
            <v>0.123</v>
          </cell>
          <cell r="K971">
            <v>0.123</v>
          </cell>
          <cell r="L971">
            <v>0.246</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t="str">
            <v>PE sứ 90x880</v>
          </cell>
          <cell r="AF971">
            <v>0</v>
          </cell>
          <cell r="AG971">
            <v>8.9276000000000008E-2</v>
          </cell>
          <cell r="AH971">
            <v>1.3339999999999999</v>
          </cell>
          <cell r="AI971">
            <v>0</v>
          </cell>
          <cell r="AJ971">
            <v>9530</v>
          </cell>
          <cell r="AK971">
            <v>0</v>
          </cell>
          <cell r="AL971">
            <v>2.3E-3</v>
          </cell>
          <cell r="AM971" t="str">
            <v>túi ba biên</v>
          </cell>
          <cell r="AN971">
            <v>300</v>
          </cell>
          <cell r="AO971" t="str">
            <v>Công ty TNHH Mahyco Việt Nam</v>
          </cell>
          <cell r="AP971" t="str">
            <v>21111065-1</v>
          </cell>
          <cell r="AQ971" t="str">
            <v>21111065-2</v>
          </cell>
          <cell r="AR971" t="str">
            <v>21111065-3</v>
          </cell>
          <cell r="AS971" t="str">
            <v>21111065-4</v>
          </cell>
          <cell r="AT971" t="str">
            <v>21111065-5</v>
          </cell>
          <cell r="AU971">
            <v>0</v>
          </cell>
          <cell r="AV971">
            <v>0</v>
          </cell>
          <cell r="AW971">
            <v>0</v>
          </cell>
          <cell r="AX971">
            <v>0</v>
          </cell>
          <cell r="AY971" t="str">
            <v>600x1100</v>
          </cell>
          <cell r="AZ971">
            <v>0</v>
          </cell>
          <cell r="BA971">
            <v>0</v>
          </cell>
          <cell r="BB971">
            <v>0</v>
          </cell>
          <cell r="BC971">
            <v>0</v>
          </cell>
          <cell r="BD971" t="e">
            <v>#N/A</v>
          </cell>
        </row>
        <row r="972">
          <cell r="A972" t="str">
            <v>sp 1480</v>
          </cell>
          <cell r="B972">
            <v>0</v>
          </cell>
          <cell r="C972">
            <v>0</v>
          </cell>
          <cell r="D972">
            <v>0</v>
          </cell>
          <cell r="E972">
            <v>0</v>
          </cell>
          <cell r="F972">
            <v>0</v>
          </cell>
          <cell r="G972" t="str">
            <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t="str">
            <v>21120031-1</v>
          </cell>
          <cell r="AQ972" t="str">
            <v>21120031-2</v>
          </cell>
          <cell r="AR972" t="str">
            <v>21120031-3</v>
          </cell>
          <cell r="AS972">
            <v>0</v>
          </cell>
          <cell r="AT972">
            <v>0</v>
          </cell>
          <cell r="AU972">
            <v>0</v>
          </cell>
          <cell r="AV972">
            <v>0</v>
          </cell>
          <cell r="AW972">
            <v>0</v>
          </cell>
          <cell r="AX972">
            <v>0</v>
          </cell>
          <cell r="AY972" t="str">
            <v>540x870</v>
          </cell>
          <cell r="AZ972">
            <v>0</v>
          </cell>
          <cell r="BA972">
            <v>0</v>
          </cell>
          <cell r="BB972">
            <v>0</v>
          </cell>
          <cell r="BC972">
            <v>0</v>
          </cell>
          <cell r="BD972" t="e">
            <v>#N/A</v>
          </cell>
        </row>
        <row r="973">
          <cell r="A973" t="str">
            <v>sp 1481</v>
          </cell>
          <cell r="B973" t="str">
            <v>Túi nhôm viên nén bao phim rosuvastain 1 vỉ x 10 viên 10mg Traphaco</v>
          </cell>
          <cell r="C973">
            <v>8.8960000000000008</v>
          </cell>
          <cell r="D973">
            <v>7</v>
          </cell>
          <cell r="E973" t="str">
            <v>OPP 20x800</v>
          </cell>
          <cell r="F973">
            <v>3</v>
          </cell>
          <cell r="G973" t="str">
            <v>OPP</v>
          </cell>
          <cell r="H973">
            <v>0.84699999999999998</v>
          </cell>
          <cell r="I973">
            <v>0</v>
          </cell>
          <cell r="J973">
            <v>0</v>
          </cell>
          <cell r="K973">
            <v>2.1179999999999999</v>
          </cell>
          <cell r="L973">
            <v>0</v>
          </cell>
          <cell r="M973">
            <v>0</v>
          </cell>
          <cell r="N973">
            <v>0</v>
          </cell>
          <cell r="O973">
            <v>0</v>
          </cell>
          <cell r="P973">
            <v>5.931</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t="str">
            <v>Al 6x800</v>
          </cell>
          <cell r="AF973" t="str">
            <v>PE 55x810</v>
          </cell>
          <cell r="AG973">
            <v>6.8268000000000009E-2</v>
          </cell>
          <cell r="AH973">
            <v>1.3166666666666669</v>
          </cell>
          <cell r="AI973">
            <v>1.3166666666666669</v>
          </cell>
          <cell r="AJ973">
            <v>9530</v>
          </cell>
          <cell r="AK973">
            <v>9530</v>
          </cell>
          <cell r="AL973" t="str">
            <v>0,005(0,0025;0,0025)</v>
          </cell>
          <cell r="AM973" t="str">
            <v>túi hàn lưng xếp hông</v>
          </cell>
          <cell r="AN973">
            <v>135</v>
          </cell>
          <cell r="AO973" t="str">
            <v>Công ty CP Traphaco</v>
          </cell>
          <cell r="AP973" t="str">
            <v>21120032-1</v>
          </cell>
          <cell r="AQ973" t="str">
            <v>21120031-2</v>
          </cell>
          <cell r="AR973" t="str">
            <v>21120031-3</v>
          </cell>
          <cell r="AS973">
            <v>0</v>
          </cell>
          <cell r="AT973">
            <v>0</v>
          </cell>
          <cell r="AU973">
            <v>0</v>
          </cell>
          <cell r="AV973">
            <v>0</v>
          </cell>
          <cell r="AW973">
            <v>0</v>
          </cell>
          <cell r="AX973">
            <v>0</v>
          </cell>
          <cell r="AY973" t="str">
            <v>540x870</v>
          </cell>
          <cell r="AZ973">
            <v>0</v>
          </cell>
          <cell r="BA973">
            <v>0</v>
          </cell>
          <cell r="BB973">
            <v>0</v>
          </cell>
          <cell r="BC973">
            <v>0</v>
          </cell>
          <cell r="BD973" t="e">
            <v>#N/A</v>
          </cell>
        </row>
        <row r="974">
          <cell r="A974" t="str">
            <v>sp 1482</v>
          </cell>
          <cell r="B974" t="str">
            <v>Túi nhôm viên nén bao phim rosuvastain 1 vỉ x 10 viên 20mg Traphaco</v>
          </cell>
          <cell r="C974">
            <v>0.79800000000000004</v>
          </cell>
          <cell r="D974">
            <v>7</v>
          </cell>
          <cell r="E974" t="str">
            <v>OPP 20x800</v>
          </cell>
          <cell r="F974">
            <v>3</v>
          </cell>
          <cell r="G974" t="str">
            <v>OPP</v>
          </cell>
          <cell r="H974">
            <v>0.78800000000000003</v>
          </cell>
          <cell r="I974">
            <v>0</v>
          </cell>
          <cell r="J974">
            <v>0</v>
          </cell>
          <cell r="K974">
            <v>0</v>
          </cell>
          <cell r="L974">
            <v>0</v>
          </cell>
          <cell r="M974">
            <v>0</v>
          </cell>
          <cell r="N974">
            <v>0</v>
          </cell>
          <cell r="O974">
            <v>0</v>
          </cell>
          <cell r="P974">
            <v>0.01</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t="str">
            <v>Al 6x800</v>
          </cell>
          <cell r="AF974" t="str">
            <v>PE 55x810</v>
          </cell>
          <cell r="AG974">
            <v>6.8268000000000009E-2</v>
          </cell>
          <cell r="AH974">
            <v>1.3166666666666669</v>
          </cell>
          <cell r="AI974">
            <v>1.3166666666666669</v>
          </cell>
          <cell r="AJ974">
            <v>9530</v>
          </cell>
          <cell r="AK974">
            <v>9530</v>
          </cell>
          <cell r="AL974" t="str">
            <v>0,005(0,0025;0,0025)</v>
          </cell>
          <cell r="AM974" t="str">
            <v>túi hàn lưng xếp hông</v>
          </cell>
          <cell r="AN974">
            <v>135</v>
          </cell>
          <cell r="AO974" t="str">
            <v>Công ty CP Traphaco</v>
          </cell>
          <cell r="AP974" t="str">
            <v>21120033-1</v>
          </cell>
          <cell r="AQ974" t="str">
            <v>21120031-2</v>
          </cell>
          <cell r="AR974" t="str">
            <v>21120031-3</v>
          </cell>
          <cell r="AS974">
            <v>0</v>
          </cell>
          <cell r="AT974">
            <v>0</v>
          </cell>
          <cell r="AU974">
            <v>0</v>
          </cell>
          <cell r="AV974">
            <v>0</v>
          </cell>
          <cell r="AW974">
            <v>0</v>
          </cell>
          <cell r="AX974">
            <v>0</v>
          </cell>
          <cell r="AY974" t="str">
            <v>540x870</v>
          </cell>
          <cell r="AZ974">
            <v>0</v>
          </cell>
          <cell r="BA974">
            <v>0</v>
          </cell>
          <cell r="BB974">
            <v>0</v>
          </cell>
          <cell r="BC974">
            <v>0</v>
          </cell>
          <cell r="BD974" t="e">
            <v>#N/A</v>
          </cell>
        </row>
        <row r="975">
          <cell r="A975" t="str">
            <v>sp 1483</v>
          </cell>
          <cell r="B975" t="str">
            <v>Cuộn bánh bao nhân xá xíu 110gr Phú Mỹ</v>
          </cell>
          <cell r="C975">
            <v>6.3579999999999997</v>
          </cell>
          <cell r="D975">
            <v>2</v>
          </cell>
          <cell r="E975" t="str">
            <v>OPP 20x640</v>
          </cell>
          <cell r="F975">
            <v>7</v>
          </cell>
          <cell r="G975" t="str">
            <v>OPP</v>
          </cell>
          <cell r="H975">
            <v>1.0549999999999999</v>
          </cell>
          <cell r="I975">
            <v>4.4820000000000002</v>
          </cell>
          <cell r="J975">
            <v>0.01</v>
          </cell>
          <cell r="K975">
            <v>0</v>
          </cell>
          <cell r="L975">
            <v>0.26400000000000001</v>
          </cell>
          <cell r="M975">
            <v>0</v>
          </cell>
          <cell r="N975">
            <v>0.52700000000000002</v>
          </cell>
          <cell r="O975">
            <v>0.01</v>
          </cell>
          <cell r="P975">
            <v>0</v>
          </cell>
          <cell r="Q975">
            <v>0</v>
          </cell>
          <cell r="R975">
            <v>0</v>
          </cell>
          <cell r="S975">
            <v>0.01</v>
          </cell>
          <cell r="T975">
            <v>0</v>
          </cell>
          <cell r="U975">
            <v>0</v>
          </cell>
          <cell r="V975">
            <v>0</v>
          </cell>
          <cell r="W975">
            <v>0</v>
          </cell>
          <cell r="X975">
            <v>0</v>
          </cell>
          <cell r="Y975">
            <v>0</v>
          </cell>
          <cell r="Z975">
            <v>0</v>
          </cell>
          <cell r="AA975">
            <v>0</v>
          </cell>
          <cell r="AB975">
            <v>0</v>
          </cell>
          <cell r="AC975">
            <v>0</v>
          </cell>
          <cell r="AD975">
            <v>0</v>
          </cell>
          <cell r="AE975" t="str">
            <v>PE 55x640</v>
          </cell>
          <cell r="AF975">
            <v>0</v>
          </cell>
          <cell r="AG975">
            <v>4.4207999999999997E-2</v>
          </cell>
          <cell r="AH975">
            <v>0.84</v>
          </cell>
          <cell r="AI975">
            <v>0</v>
          </cell>
          <cell r="AJ975">
            <v>9530</v>
          </cell>
          <cell r="AK975">
            <v>0</v>
          </cell>
          <cell r="AL975">
            <v>2E-3</v>
          </cell>
          <cell r="AM975" t="str">
            <v>dạng cuộn 500m</v>
          </cell>
          <cell r="AN975">
            <v>310</v>
          </cell>
          <cell r="AO975" t="str">
            <v>Công ty Phú Mỹ</v>
          </cell>
          <cell r="AP975" t="str">
            <v>21120576-1</v>
          </cell>
          <cell r="AQ975" t="str">
            <v>21111114-2</v>
          </cell>
          <cell r="AR975" t="str">
            <v>21111114-3</v>
          </cell>
          <cell r="AS975" t="str">
            <v>21111114-4</v>
          </cell>
          <cell r="AT975" t="str">
            <v>21111114-5</v>
          </cell>
          <cell r="AU975" t="str">
            <v>21111114-6</v>
          </cell>
          <cell r="AV975" t="str">
            <v>21111114-7</v>
          </cell>
          <cell r="AW975">
            <v>0</v>
          </cell>
          <cell r="AX975">
            <v>0</v>
          </cell>
          <cell r="AY975" t="str">
            <v>525x870</v>
          </cell>
          <cell r="AZ975">
            <v>0</v>
          </cell>
          <cell r="BA975">
            <v>0</v>
          </cell>
          <cell r="BB975">
            <v>0</v>
          </cell>
          <cell r="BC975">
            <v>0</v>
          </cell>
          <cell r="BD975" t="e">
            <v>#N/A</v>
          </cell>
        </row>
        <row r="976">
          <cell r="A976" t="str">
            <v>sp 1484</v>
          </cell>
          <cell r="B976" t="str">
            <v>Túi zipper khẩu trang y tế KF94 Duy Ngọc Bắc Ninh</v>
          </cell>
          <cell r="C976">
            <v>4.1670000000000007</v>
          </cell>
          <cell r="D976">
            <v>1</v>
          </cell>
          <cell r="E976" t="str">
            <v>OPP 20x590</v>
          </cell>
          <cell r="F976">
            <v>5</v>
          </cell>
          <cell r="G976" t="str">
            <v>OPP</v>
          </cell>
          <cell r="H976">
            <v>0.124</v>
          </cell>
          <cell r="I976">
            <v>3.778</v>
          </cell>
          <cell r="J976">
            <v>0</v>
          </cell>
          <cell r="K976">
            <v>0</v>
          </cell>
          <cell r="L976">
            <v>0</v>
          </cell>
          <cell r="M976">
            <v>0.182</v>
          </cell>
          <cell r="N976">
            <v>8.3000000000000004E-2</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t="str">
            <v>MCPP 35x295
CPP 35x295</v>
          </cell>
          <cell r="AF976">
            <v>0</v>
          </cell>
          <cell r="AG976">
            <v>2.95295E-2</v>
          </cell>
          <cell r="AH976">
            <v>0.96666666666666667</v>
          </cell>
          <cell r="AI976">
            <v>0</v>
          </cell>
          <cell r="AJ976">
            <v>9530</v>
          </cell>
          <cell r="AK976">
            <v>0</v>
          </cell>
          <cell r="AL976">
            <v>2.5000000000000001E-3</v>
          </cell>
          <cell r="AM976" t="str">
            <v xml:space="preserve">túi ba biên zipper </v>
          </cell>
          <cell r="AN976">
            <v>125</v>
          </cell>
          <cell r="AO976" t="str">
            <v>Công ty TNHH Duy Ngọc Bắc Ninh</v>
          </cell>
          <cell r="AP976" t="str">
            <v>21111206-1</v>
          </cell>
          <cell r="AQ976" t="str">
            <v>21111206-2</v>
          </cell>
          <cell r="AR976" t="str">
            <v>21111206-3</v>
          </cell>
          <cell r="AS976" t="str">
            <v>21111206-4</v>
          </cell>
          <cell r="AT976" t="str">
            <v>21111206-5</v>
          </cell>
          <cell r="AU976">
            <v>0</v>
          </cell>
          <cell r="AV976">
            <v>0</v>
          </cell>
          <cell r="AW976">
            <v>0</v>
          </cell>
          <cell r="AX976">
            <v>0</v>
          </cell>
          <cell r="AY976" t="str">
            <v>500x870</v>
          </cell>
          <cell r="AZ976">
            <v>0</v>
          </cell>
          <cell r="BA976">
            <v>0</v>
          </cell>
          <cell r="BB976">
            <v>0</v>
          </cell>
          <cell r="BC976">
            <v>0</v>
          </cell>
          <cell r="BD976" t="e">
            <v>#N/A</v>
          </cell>
        </row>
        <row r="977">
          <cell r="A977" t="str">
            <v>sp 1485</v>
          </cell>
          <cell r="B977" t="str">
            <v>Cuộn nhôm hoàn cứng Q-Tyta 5gr CNC Traphaco</v>
          </cell>
          <cell r="C977">
            <v>7.8869999999999996</v>
          </cell>
          <cell r="D977">
            <v>5</v>
          </cell>
          <cell r="E977" t="str">
            <v>PET 12x770</v>
          </cell>
          <cell r="F977">
            <v>3</v>
          </cell>
          <cell r="G977" t="str">
            <v>PET</v>
          </cell>
          <cell r="H977">
            <v>0</v>
          </cell>
          <cell r="I977">
            <v>3.8260000000000001</v>
          </cell>
          <cell r="J977">
            <v>0</v>
          </cell>
          <cell r="K977">
            <v>0</v>
          </cell>
          <cell r="L977">
            <v>2.2509999999999999</v>
          </cell>
          <cell r="M977">
            <v>0</v>
          </cell>
          <cell r="N977">
            <v>0</v>
          </cell>
          <cell r="O977">
            <v>0.01</v>
          </cell>
          <cell r="P977">
            <v>0.67500000000000004</v>
          </cell>
          <cell r="Q977">
            <v>0</v>
          </cell>
          <cell r="R977">
            <v>0</v>
          </cell>
          <cell r="S977">
            <v>0</v>
          </cell>
          <cell r="T977">
            <v>0</v>
          </cell>
          <cell r="U977">
            <v>0</v>
          </cell>
          <cell r="V977">
            <v>0</v>
          </cell>
          <cell r="W977">
            <v>1.125</v>
          </cell>
          <cell r="X977">
            <v>0</v>
          </cell>
          <cell r="Y977">
            <v>0</v>
          </cell>
          <cell r="Z977">
            <v>0</v>
          </cell>
          <cell r="AA977">
            <v>0</v>
          </cell>
          <cell r="AB977">
            <v>0</v>
          </cell>
          <cell r="AC977">
            <v>0</v>
          </cell>
          <cell r="AD977">
            <v>0</v>
          </cell>
          <cell r="AE977" t="str">
            <v>Al 6x770</v>
          </cell>
          <cell r="AF977" t="str">
            <v>CPP 60x780</v>
          </cell>
          <cell r="AG977">
            <v>6.7498200000000008E-2</v>
          </cell>
          <cell r="AH977">
            <v>1.2666666666666668</v>
          </cell>
          <cell r="AI977">
            <v>1.2666666666666668</v>
          </cell>
          <cell r="AJ977">
            <v>9530</v>
          </cell>
          <cell r="AK977">
            <v>9530</v>
          </cell>
          <cell r="AL977" t="str">
            <v>0,005(0,0025;0,0025)</v>
          </cell>
          <cell r="AM977" t="str">
            <v>dạng cuộn 400m</v>
          </cell>
          <cell r="AN977">
            <v>150</v>
          </cell>
          <cell r="AO977" t="str">
            <v>Công ty Cổ Phần Công Nghệ Cao Traphaco</v>
          </cell>
          <cell r="AP977" t="str">
            <v>21120214-1</v>
          </cell>
          <cell r="AQ977" t="str">
            <v>21120214-2</v>
          </cell>
          <cell r="AR977" t="str">
            <v>21120214-3</v>
          </cell>
          <cell r="AS977">
            <v>0</v>
          </cell>
          <cell r="AT977">
            <v>0</v>
          </cell>
          <cell r="AU977">
            <v>0</v>
          </cell>
          <cell r="AV977">
            <v>0</v>
          </cell>
          <cell r="AW977">
            <v>0</v>
          </cell>
          <cell r="AX977">
            <v>0</v>
          </cell>
          <cell r="AY977" t="str">
            <v>456x870</v>
          </cell>
          <cell r="AZ977">
            <v>0</v>
          </cell>
          <cell r="BA977">
            <v>0</v>
          </cell>
          <cell r="BB977">
            <v>0</v>
          </cell>
          <cell r="BC977">
            <v>0</v>
          </cell>
          <cell r="BD977" t="e">
            <v>#N/A</v>
          </cell>
        </row>
        <row r="978">
          <cell r="A978" t="str">
            <v>sp 1486</v>
          </cell>
          <cell r="B978" t="str">
            <v>Cuộn đường trắng thượng hạng Lam Sơn 1kg White premium sugar (T12.2021)</v>
          </cell>
          <cell r="C978">
            <v>4.47</v>
          </cell>
          <cell r="D978">
            <v>2</v>
          </cell>
          <cell r="E978" t="str">
            <v>OPP 20x820</v>
          </cell>
          <cell r="F978">
            <v>8</v>
          </cell>
          <cell r="G978" t="str">
            <v>OPP</v>
          </cell>
          <cell r="H978">
            <v>0</v>
          </cell>
          <cell r="I978">
            <v>3.25</v>
          </cell>
          <cell r="J978">
            <v>0.505</v>
          </cell>
          <cell r="K978">
            <v>0.158</v>
          </cell>
          <cell r="L978">
            <v>6.3E-2</v>
          </cell>
          <cell r="M978">
            <v>0.442</v>
          </cell>
          <cell r="N978">
            <v>0</v>
          </cell>
          <cell r="O978">
            <v>3.2000000000000001E-2</v>
          </cell>
          <cell r="P978">
            <v>0</v>
          </cell>
          <cell r="Q978">
            <v>0</v>
          </cell>
          <cell r="R978">
            <v>0.01</v>
          </cell>
          <cell r="S978">
            <v>0</v>
          </cell>
          <cell r="T978">
            <v>0</v>
          </cell>
          <cell r="U978">
            <v>0</v>
          </cell>
          <cell r="V978">
            <v>0</v>
          </cell>
          <cell r="W978">
            <v>0.01</v>
          </cell>
          <cell r="X978">
            <v>0</v>
          </cell>
          <cell r="Y978">
            <v>0</v>
          </cell>
          <cell r="Z978">
            <v>0</v>
          </cell>
          <cell r="AA978">
            <v>0</v>
          </cell>
          <cell r="AB978">
            <v>0</v>
          </cell>
          <cell r="AC978">
            <v>0</v>
          </cell>
          <cell r="AD978">
            <v>0</v>
          </cell>
          <cell r="AE978" t="str">
            <v>PE 55x820</v>
          </cell>
          <cell r="AF978">
            <v>0</v>
          </cell>
          <cell r="AG978">
            <v>5.6641499999999997E-2</v>
          </cell>
          <cell r="AH978">
            <v>1.35</v>
          </cell>
          <cell r="AI978">
            <v>0</v>
          </cell>
          <cell r="AJ978">
            <v>9530</v>
          </cell>
          <cell r="AK978">
            <v>0</v>
          </cell>
          <cell r="AL978">
            <v>2.5000000000000001E-3</v>
          </cell>
          <cell r="AM978" t="str">
            <v>dạng cuộn 1,000m</v>
          </cell>
          <cell r="AN978">
            <v>400</v>
          </cell>
          <cell r="AO978" t="str">
            <v>Công ty Cổ phần mía đường Lam Sơn</v>
          </cell>
          <cell r="AP978" t="str">
            <v>F130063-1</v>
          </cell>
          <cell r="AQ978" t="str">
            <v>F130063-2</v>
          </cell>
          <cell r="AR978" t="str">
            <v>F130063-3</v>
          </cell>
          <cell r="AS978" t="str">
            <v>F130063-4</v>
          </cell>
          <cell r="AT978" t="str">
            <v>F130063-5</v>
          </cell>
          <cell r="AU978" t="str">
            <v>F130063-6</v>
          </cell>
          <cell r="AV978" t="str">
            <v>F130063-7</v>
          </cell>
          <cell r="AW978" t="str">
            <v>F130063-8</v>
          </cell>
          <cell r="AX978">
            <v>0</v>
          </cell>
          <cell r="AY978" t="str">
            <v>520x870</v>
          </cell>
          <cell r="AZ978">
            <v>0</v>
          </cell>
          <cell r="BA978">
            <v>0</v>
          </cell>
          <cell r="BB978">
            <v>0</v>
          </cell>
          <cell r="BC978">
            <v>0</v>
          </cell>
          <cell r="BD978" t="e">
            <v>#N/A</v>
          </cell>
        </row>
        <row r="979">
          <cell r="A979" t="str">
            <v>sp 1487</v>
          </cell>
          <cell r="B979" t="str">
            <v>Cuộn đường tinh luyện xuất khẩu Lam Sơn 1kg Pure yellow sugar (T12.2021)</v>
          </cell>
          <cell r="C979">
            <v>4.4649999999999999</v>
          </cell>
          <cell r="D979">
            <v>2</v>
          </cell>
          <cell r="E979" t="str">
            <v>OPP 20x820</v>
          </cell>
          <cell r="F979">
            <v>8</v>
          </cell>
          <cell r="G979" t="str">
            <v>OPP</v>
          </cell>
          <cell r="H979">
            <v>0.126</v>
          </cell>
          <cell r="I979">
            <v>2.7480000000000002</v>
          </cell>
          <cell r="J979">
            <v>0</v>
          </cell>
          <cell r="K979">
            <v>0.253</v>
          </cell>
          <cell r="L979">
            <v>0.442</v>
          </cell>
          <cell r="M979">
            <v>0.56899999999999995</v>
          </cell>
          <cell r="N979">
            <v>0</v>
          </cell>
          <cell r="O979">
            <v>0</v>
          </cell>
          <cell r="P979">
            <v>0.253</v>
          </cell>
          <cell r="Q979">
            <v>3.2000000000000001E-2</v>
          </cell>
          <cell r="R979">
            <v>3.2000000000000001E-2</v>
          </cell>
          <cell r="S979">
            <v>0</v>
          </cell>
          <cell r="T979">
            <v>0.01</v>
          </cell>
          <cell r="U979">
            <v>0</v>
          </cell>
          <cell r="V979">
            <v>0</v>
          </cell>
          <cell r="W979">
            <v>0</v>
          </cell>
          <cell r="X979">
            <v>0</v>
          </cell>
          <cell r="Y979">
            <v>0</v>
          </cell>
          <cell r="Z979">
            <v>0</v>
          </cell>
          <cell r="AA979">
            <v>0</v>
          </cell>
          <cell r="AB979">
            <v>0</v>
          </cell>
          <cell r="AC979">
            <v>0</v>
          </cell>
          <cell r="AD979">
            <v>0</v>
          </cell>
          <cell r="AE979" t="str">
            <v>PE 55x820</v>
          </cell>
          <cell r="AF979">
            <v>0</v>
          </cell>
          <cell r="AG979">
            <v>5.6641499999999997E-2</v>
          </cell>
          <cell r="AH979">
            <v>1.35</v>
          </cell>
          <cell r="AI979">
            <v>0</v>
          </cell>
          <cell r="AJ979">
            <v>9530</v>
          </cell>
          <cell r="AK979">
            <v>0</v>
          </cell>
          <cell r="AL979">
            <v>2.5000000000000001E-3</v>
          </cell>
          <cell r="AM979" t="str">
            <v>dạng cuộn 1,000m</v>
          </cell>
          <cell r="AN979">
            <v>400</v>
          </cell>
          <cell r="AO979" t="str">
            <v>Công ty Cổ phần mía đường Lam Sơn</v>
          </cell>
          <cell r="AP979" t="str">
            <v>F130064-1</v>
          </cell>
          <cell r="AQ979" t="str">
            <v>F130064-2</v>
          </cell>
          <cell r="AR979" t="str">
            <v>F130063-3</v>
          </cell>
          <cell r="AS979" t="str">
            <v>F130064-4</v>
          </cell>
          <cell r="AT979" t="str">
            <v>F130064-5</v>
          </cell>
          <cell r="AU979" t="str">
            <v>F130064-6</v>
          </cell>
          <cell r="AV979" t="str">
            <v>F130064-7</v>
          </cell>
          <cell r="AW979" t="str">
            <v>F130064G1-8</v>
          </cell>
          <cell r="AX979">
            <v>0</v>
          </cell>
          <cell r="AY979" t="str">
            <v>520x870</v>
          </cell>
          <cell r="AZ979">
            <v>0</v>
          </cell>
          <cell r="BA979">
            <v>0</v>
          </cell>
          <cell r="BB979">
            <v>0</v>
          </cell>
          <cell r="BC979">
            <v>0</v>
          </cell>
          <cell r="BD979" t="e">
            <v>#N/A</v>
          </cell>
        </row>
        <row r="980">
          <cell r="A980" t="str">
            <v>sp 1488</v>
          </cell>
          <cell r="B980" t="str">
            <v>Cuộn đường tinh luyện xuất khẩu Lam Sơn 1kg Sugar for export (T12.2021)</v>
          </cell>
          <cell r="C980">
            <v>3.6579999999999995</v>
          </cell>
          <cell r="D980">
            <v>2</v>
          </cell>
          <cell r="E980" t="str">
            <v>OPP 20x820</v>
          </cell>
          <cell r="F980">
            <v>8</v>
          </cell>
          <cell r="G980" t="str">
            <v>OPP</v>
          </cell>
          <cell r="H980">
            <v>0</v>
          </cell>
          <cell r="I980">
            <v>2.2759999999999998</v>
          </cell>
          <cell r="J980">
            <v>0</v>
          </cell>
          <cell r="K980">
            <v>0.56100000000000005</v>
          </cell>
          <cell r="L980">
            <v>0</v>
          </cell>
          <cell r="M980">
            <v>0.81100000000000005</v>
          </cell>
          <cell r="N980">
            <v>0</v>
          </cell>
          <cell r="O980">
            <v>0.01</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t="str">
            <v>PE 55x820</v>
          </cell>
          <cell r="AF980">
            <v>0</v>
          </cell>
          <cell r="AG980">
            <v>5.6641499999999997E-2</v>
          </cell>
          <cell r="AH980">
            <v>1.35</v>
          </cell>
          <cell r="AI980">
            <v>0</v>
          </cell>
          <cell r="AJ980">
            <v>9530</v>
          </cell>
          <cell r="AK980">
            <v>0</v>
          </cell>
          <cell r="AL980">
            <v>2.5000000000000001E-3</v>
          </cell>
          <cell r="AM980" t="str">
            <v>dạng cuộn 1,000m</v>
          </cell>
          <cell r="AN980">
            <v>400</v>
          </cell>
          <cell r="AO980" t="str">
            <v>Công ty Cổ phần mía đường Lam Sơn</v>
          </cell>
          <cell r="AP980">
            <v>0</v>
          </cell>
          <cell r="AQ980" t="str">
            <v>F130065-2</v>
          </cell>
          <cell r="AR980" t="str">
            <v>F130065-3</v>
          </cell>
          <cell r="AS980" t="str">
            <v>F130065-4</v>
          </cell>
          <cell r="AT980" t="str">
            <v>F130065-5</v>
          </cell>
          <cell r="AU980" t="str">
            <v>F130065-6</v>
          </cell>
          <cell r="AV980" t="str">
            <v>F130065-7</v>
          </cell>
          <cell r="AW980" t="str">
            <v>F130063-8</v>
          </cell>
          <cell r="AX980">
            <v>0</v>
          </cell>
          <cell r="AY980" t="str">
            <v>520x870</v>
          </cell>
          <cell r="AZ980">
            <v>0</v>
          </cell>
          <cell r="BA980">
            <v>0</v>
          </cell>
          <cell r="BB980">
            <v>0</v>
          </cell>
          <cell r="BC980">
            <v>0</v>
          </cell>
          <cell r="BD980" t="e">
            <v>#N/A</v>
          </cell>
        </row>
        <row r="981">
          <cell r="A981" t="str">
            <v>sp 1489</v>
          </cell>
          <cell r="B981" t="str">
            <v>Cuộn đường tinh luyện xuất khẩu Lam Sơn 1kg Hoa Anh Đào</v>
          </cell>
          <cell r="C981">
            <v>3.9649999999999999</v>
          </cell>
          <cell r="D981">
            <v>2</v>
          </cell>
          <cell r="E981" t="str">
            <v>OPP 20x820</v>
          </cell>
          <cell r="F981">
            <v>8</v>
          </cell>
          <cell r="G981" t="str">
            <v>OPP</v>
          </cell>
          <cell r="H981">
            <v>0.06</v>
          </cell>
          <cell r="I981">
            <v>2.048</v>
          </cell>
          <cell r="J981">
            <v>0.63200000000000001</v>
          </cell>
          <cell r="K981">
            <v>0.01</v>
          </cell>
          <cell r="L981">
            <v>0.78300000000000003</v>
          </cell>
          <cell r="M981">
            <v>0.42199999999999999</v>
          </cell>
          <cell r="N981">
            <v>0</v>
          </cell>
          <cell r="O981">
            <v>0.01</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t="str">
            <v>PE 55x820</v>
          </cell>
          <cell r="AF981">
            <v>0</v>
          </cell>
          <cell r="AG981">
            <v>5.6641499999999997E-2</v>
          </cell>
          <cell r="AH981">
            <v>1.35</v>
          </cell>
          <cell r="AI981">
            <v>0</v>
          </cell>
          <cell r="AJ981">
            <v>9530</v>
          </cell>
          <cell r="AK981">
            <v>0</v>
          </cell>
          <cell r="AL981">
            <v>2.5000000000000001E-3</v>
          </cell>
          <cell r="AM981" t="str">
            <v>dạng cuộn 1,000m</v>
          </cell>
          <cell r="AN981">
            <v>400</v>
          </cell>
          <cell r="AO981" t="str">
            <v>Công ty Cổ phần mía đường Lam Sơn</v>
          </cell>
          <cell r="AP981" t="str">
            <v>F130066-1</v>
          </cell>
          <cell r="AQ981" t="str">
            <v>F130063-2</v>
          </cell>
          <cell r="AR981" t="str">
            <v>F130066-3</v>
          </cell>
          <cell r="AS981" t="str">
            <v>F130066-4</v>
          </cell>
          <cell r="AT981" t="str">
            <v>F130066-5</v>
          </cell>
          <cell r="AU981" t="str">
            <v>F130066-6</v>
          </cell>
          <cell r="AV981" t="str">
            <v>F130066-7</v>
          </cell>
          <cell r="AW981" t="str">
            <v>F130063-8</v>
          </cell>
          <cell r="AX981">
            <v>0</v>
          </cell>
          <cell r="AY981" t="str">
            <v>520x870</v>
          </cell>
          <cell r="AZ981">
            <v>0</v>
          </cell>
          <cell r="BA981">
            <v>0</v>
          </cell>
          <cell r="BB981">
            <v>0</v>
          </cell>
          <cell r="BC981">
            <v>0</v>
          </cell>
          <cell r="BD981" t="e">
            <v>#N/A</v>
          </cell>
        </row>
        <row r="982">
          <cell r="A982" t="str">
            <v>sp 1490</v>
          </cell>
          <cell r="B982" t="str">
            <v>Túi gạc răng miệng Dr.papie- CNC Starmed</v>
          </cell>
          <cell r="C982">
            <v>2.9229999999999996</v>
          </cell>
          <cell r="D982">
            <v>4</v>
          </cell>
          <cell r="E982" t="str">
            <v>OPP mờ 20x620</v>
          </cell>
          <cell r="F982">
            <v>5</v>
          </cell>
          <cell r="G982" t="str">
            <v>OPP</v>
          </cell>
          <cell r="H982">
            <v>9.7000000000000003E-2</v>
          </cell>
          <cell r="I982">
            <v>2.4369999999999998</v>
          </cell>
          <cell r="J982">
            <v>0</v>
          </cell>
          <cell r="K982">
            <v>7.8E-2</v>
          </cell>
          <cell r="L982">
            <v>0.11700000000000001</v>
          </cell>
          <cell r="M982">
            <v>0</v>
          </cell>
          <cell r="N982">
            <v>0</v>
          </cell>
          <cell r="O982">
            <v>9.7000000000000003E-2</v>
          </cell>
          <cell r="P982">
            <v>0</v>
          </cell>
          <cell r="Q982">
            <v>7.8E-2</v>
          </cell>
          <cell r="R982">
            <v>0</v>
          </cell>
          <cell r="S982">
            <v>0</v>
          </cell>
          <cell r="T982">
            <v>1.9E-2</v>
          </cell>
          <cell r="U982">
            <v>0</v>
          </cell>
          <cell r="V982">
            <v>0</v>
          </cell>
          <cell r="W982">
            <v>0</v>
          </cell>
          <cell r="X982">
            <v>0</v>
          </cell>
          <cell r="Y982">
            <v>0</v>
          </cell>
          <cell r="Z982">
            <v>0</v>
          </cell>
          <cell r="AA982">
            <v>0</v>
          </cell>
          <cell r="AB982">
            <v>0</v>
          </cell>
          <cell r="AC982">
            <v>0</v>
          </cell>
          <cell r="AD982">
            <v>0</v>
          </cell>
          <cell r="AE982" t="str">
            <v>Al 6x620</v>
          </cell>
          <cell r="AF982" t="str">
            <v>PE 75x630</v>
          </cell>
          <cell r="AG982">
            <v>6.437770000000001E-2</v>
          </cell>
          <cell r="AH982">
            <v>0.98802816901408452</v>
          </cell>
          <cell r="AI982">
            <v>0.98802816901408452</v>
          </cell>
          <cell r="AJ982">
            <v>9530</v>
          </cell>
          <cell r="AK982">
            <v>9530</v>
          </cell>
          <cell r="AL982" t="str">
            <v>0,0046(0,0023;0,0023)</v>
          </cell>
          <cell r="AM982" t="str">
            <v>túi ba biên</v>
          </cell>
          <cell r="AN982">
            <v>55</v>
          </cell>
          <cell r="AO982" t="str">
            <v>Công ty CP Tập Đoàn Dược phẩm CNC Starmed</v>
          </cell>
          <cell r="AP982" t="str">
            <v>F130081G3-0</v>
          </cell>
          <cell r="AQ982" t="str">
            <v>F130081-1</v>
          </cell>
          <cell r="AR982" t="str">
            <v>F122657G21-2</v>
          </cell>
          <cell r="AS982" t="str">
            <v>F122657G15-3</v>
          </cell>
          <cell r="AT982" t="str">
            <v>F122657G17-4</v>
          </cell>
          <cell r="AU982">
            <v>0</v>
          </cell>
          <cell r="AV982">
            <v>0</v>
          </cell>
          <cell r="AW982">
            <v>0</v>
          </cell>
          <cell r="AX982">
            <v>0</v>
          </cell>
          <cell r="AY982" t="str">
            <v>440x750</v>
          </cell>
          <cell r="AZ982">
            <v>0</v>
          </cell>
          <cell r="BA982">
            <v>0</v>
          </cell>
          <cell r="BB982">
            <v>0</v>
          </cell>
          <cell r="BC982">
            <v>0</v>
          </cell>
          <cell r="BD982" t="e">
            <v>#N/A</v>
          </cell>
        </row>
        <row r="983">
          <cell r="A983" t="str">
            <v>sp 1491</v>
          </cell>
          <cell r="B983" t="str">
            <v>Cuộn bánh bao liên tục Phú Mỹ mới</v>
          </cell>
          <cell r="C983">
            <v>1.452</v>
          </cell>
          <cell r="D983">
            <v>3</v>
          </cell>
          <cell r="E983" t="str">
            <v>OPP 20x980</v>
          </cell>
          <cell r="F983">
            <v>2</v>
          </cell>
          <cell r="G983" t="str">
            <v>OPP</v>
          </cell>
          <cell r="H983">
            <v>0</v>
          </cell>
          <cell r="I983">
            <v>0.80200000000000005</v>
          </cell>
          <cell r="J983">
            <v>0</v>
          </cell>
          <cell r="K983">
            <v>0</v>
          </cell>
          <cell r="L983">
            <v>0.56299999999999994</v>
          </cell>
          <cell r="M983">
            <v>8.6999999999999994E-2</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t="str">
            <v>CPP 20x980</v>
          </cell>
          <cell r="AF983">
            <v>0</v>
          </cell>
          <cell r="AG983">
            <v>3.5672000000000002E-2</v>
          </cell>
          <cell r="AH983">
            <v>1.1639999999999999</v>
          </cell>
          <cell r="AI983">
            <v>0</v>
          </cell>
          <cell r="AJ983">
            <v>9530</v>
          </cell>
          <cell r="AK983">
            <v>0</v>
          </cell>
          <cell r="AL983">
            <v>1.8E-3</v>
          </cell>
          <cell r="AM983" t="str">
            <v>dạng cuộn 1,000m</v>
          </cell>
          <cell r="AN983">
            <v>320</v>
          </cell>
          <cell r="AO983" t="str">
            <v>Công ty Phú Mỹ</v>
          </cell>
          <cell r="AP983" t="str">
            <v>21120717-1</v>
          </cell>
          <cell r="AQ983" t="str">
            <v>21120717-2</v>
          </cell>
          <cell r="AR983">
            <v>0</v>
          </cell>
          <cell r="AS983">
            <v>0</v>
          </cell>
          <cell r="AT983">
            <v>0</v>
          </cell>
          <cell r="AU983">
            <v>0</v>
          </cell>
          <cell r="AV983">
            <v>0</v>
          </cell>
          <cell r="AW983">
            <v>0</v>
          </cell>
          <cell r="AX983">
            <v>0</v>
          </cell>
          <cell r="AY983" t="str">
            <v>400x1100</v>
          </cell>
          <cell r="AZ983">
            <v>0</v>
          </cell>
          <cell r="BA983">
            <v>0</v>
          </cell>
          <cell r="BB983">
            <v>0</v>
          </cell>
          <cell r="BC983">
            <v>0</v>
          </cell>
          <cell r="BD983" t="e">
            <v>#N/A</v>
          </cell>
        </row>
        <row r="984">
          <cell r="A984" t="str">
            <v>sp 1492</v>
          </cell>
          <cell r="B984" t="str">
            <v>Cuộn trà túi lọc nhân trần - cúc hoa 2gr TH True</v>
          </cell>
          <cell r="C984">
            <v>3.8129999999999993</v>
          </cell>
          <cell r="D984">
            <v>11</v>
          </cell>
          <cell r="E984" t="str">
            <v>OPP mờ 20x740</v>
          </cell>
          <cell r="F984">
            <v>8</v>
          </cell>
          <cell r="G984" t="str">
            <v>OPP</v>
          </cell>
          <cell r="H984">
            <v>0.01</v>
          </cell>
          <cell r="I984">
            <v>3.0739999999999998</v>
          </cell>
          <cell r="J984">
            <v>0</v>
          </cell>
          <cell r="K984">
            <v>0</v>
          </cell>
          <cell r="L984">
            <v>0.01</v>
          </cell>
          <cell r="M984">
            <v>0</v>
          </cell>
          <cell r="N984">
            <v>0</v>
          </cell>
          <cell r="O984">
            <v>0</v>
          </cell>
          <cell r="P984">
            <v>0.70899999999999996</v>
          </cell>
          <cell r="Q984">
            <v>0</v>
          </cell>
          <cell r="R984">
            <v>0.01</v>
          </cell>
          <cell r="S984">
            <v>0</v>
          </cell>
          <cell r="T984">
            <v>0</v>
          </cell>
          <cell r="U984">
            <v>0</v>
          </cell>
          <cell r="V984">
            <v>0</v>
          </cell>
          <cell r="W984">
            <v>0</v>
          </cell>
          <cell r="X984">
            <v>0</v>
          </cell>
          <cell r="Y984">
            <v>0</v>
          </cell>
          <cell r="Z984">
            <v>0</v>
          </cell>
          <cell r="AA984">
            <v>0</v>
          </cell>
          <cell r="AB984">
            <v>0</v>
          </cell>
          <cell r="AC984">
            <v>0</v>
          </cell>
          <cell r="AD984">
            <v>0</v>
          </cell>
          <cell r="AE984" t="str">
            <v>MCPP 35x740</v>
          </cell>
          <cell r="AF984">
            <v>0</v>
          </cell>
          <cell r="AG984">
            <v>3.0303E-2</v>
          </cell>
          <cell r="AH984">
            <v>1.1193333333333333</v>
          </cell>
          <cell r="AI984">
            <v>0</v>
          </cell>
          <cell r="AJ984">
            <v>9530</v>
          </cell>
          <cell r="AK984">
            <v>0</v>
          </cell>
          <cell r="AL984">
            <v>2.3E-3</v>
          </cell>
          <cell r="AM984" t="str">
            <v>dạng cuộn 1,500m</v>
          </cell>
          <cell r="AN984">
            <v>65.5</v>
          </cell>
          <cell r="AO984" t="str">
            <v>Công ty CP Dược Liệu TH -CN Nghệ An</v>
          </cell>
          <cell r="AP984" t="str">
            <v>21120676-1</v>
          </cell>
          <cell r="AQ984" t="str">
            <v>21120676-2</v>
          </cell>
          <cell r="AR984" t="str">
            <v>21120676-3</v>
          </cell>
          <cell r="AS984" t="str">
            <v>21120676-4</v>
          </cell>
          <cell r="AT984" t="str">
            <v>21120676-5</v>
          </cell>
          <cell r="AU984" t="str">
            <v>21120676-6</v>
          </cell>
          <cell r="AV984" t="str">
            <v>21120676-7</v>
          </cell>
          <cell r="AW984" t="str">
            <v>21120676-8</v>
          </cell>
          <cell r="AX984">
            <v>0</v>
          </cell>
          <cell r="AY984" t="str">
            <v>462x870</v>
          </cell>
          <cell r="AZ984">
            <v>0</v>
          </cell>
          <cell r="BA984">
            <v>0</v>
          </cell>
          <cell r="BB984">
            <v>0</v>
          </cell>
          <cell r="BC984">
            <v>0</v>
          </cell>
          <cell r="BD984" t="e">
            <v>#N/A</v>
          </cell>
        </row>
        <row r="985">
          <cell r="A985" t="str">
            <v>sp 1493</v>
          </cell>
          <cell r="B985" t="str">
            <v>Cuộn trà túi lọc giảo cổ lam -linh chi 2gr TH True</v>
          </cell>
          <cell r="C985">
            <v>7.0569999999999995</v>
          </cell>
          <cell r="D985">
            <v>11</v>
          </cell>
          <cell r="E985" t="str">
            <v>OPP mờ 20x740</v>
          </cell>
          <cell r="F985">
            <v>8</v>
          </cell>
          <cell r="G985" t="str">
            <v>OPP</v>
          </cell>
          <cell r="H985">
            <v>0.01</v>
          </cell>
          <cell r="I985">
            <v>4.4790000000000001</v>
          </cell>
          <cell r="J985">
            <v>0.01</v>
          </cell>
          <cell r="K985">
            <v>0.17599999999999999</v>
          </cell>
          <cell r="L985">
            <v>0.70299999999999996</v>
          </cell>
          <cell r="M985">
            <v>1.581</v>
          </cell>
          <cell r="N985">
            <v>0</v>
          </cell>
          <cell r="O985">
            <v>0</v>
          </cell>
          <cell r="P985">
            <v>0.01</v>
          </cell>
          <cell r="Q985">
            <v>0</v>
          </cell>
          <cell r="R985">
            <v>8.7999999999999995E-2</v>
          </cell>
          <cell r="S985">
            <v>0</v>
          </cell>
          <cell r="T985">
            <v>0</v>
          </cell>
          <cell r="U985">
            <v>0</v>
          </cell>
          <cell r="V985">
            <v>0</v>
          </cell>
          <cell r="W985">
            <v>0</v>
          </cell>
          <cell r="X985">
            <v>0</v>
          </cell>
          <cell r="Y985">
            <v>0</v>
          </cell>
          <cell r="Z985">
            <v>0</v>
          </cell>
          <cell r="AA985">
            <v>0</v>
          </cell>
          <cell r="AB985">
            <v>0</v>
          </cell>
          <cell r="AC985">
            <v>0</v>
          </cell>
          <cell r="AD985">
            <v>0</v>
          </cell>
          <cell r="AE985" t="str">
            <v>MCPP 35x740</v>
          </cell>
          <cell r="AF985">
            <v>0</v>
          </cell>
          <cell r="AG985">
            <v>3.0303E-2</v>
          </cell>
          <cell r="AH985">
            <v>1.1193333333333333</v>
          </cell>
          <cell r="AI985">
            <v>0</v>
          </cell>
          <cell r="AJ985">
            <v>9530</v>
          </cell>
          <cell r="AK985">
            <v>0</v>
          </cell>
          <cell r="AL985">
            <v>2.3E-3</v>
          </cell>
          <cell r="AM985" t="str">
            <v>dạng cuộn 1,500m</v>
          </cell>
          <cell r="AN985">
            <v>65.5</v>
          </cell>
          <cell r="AO985" t="str">
            <v>Công ty CP Dược Liệu TH -CN Nghệ An</v>
          </cell>
          <cell r="AP985" t="str">
            <v>21120677-1</v>
          </cell>
          <cell r="AQ985" t="str">
            <v>21120676-2</v>
          </cell>
          <cell r="AR985" t="str">
            <v>21120676-3</v>
          </cell>
          <cell r="AS985" t="str">
            <v>21120677-4</v>
          </cell>
          <cell r="AT985" t="str">
            <v>21120677-5</v>
          </cell>
          <cell r="AU985" t="str">
            <v>21120677-6</v>
          </cell>
          <cell r="AV985" t="str">
            <v>21120677-7</v>
          </cell>
          <cell r="AW985" t="str">
            <v>21120676-8</v>
          </cell>
          <cell r="AX985">
            <v>0</v>
          </cell>
          <cell r="AY985" t="str">
            <v>462x870</v>
          </cell>
          <cell r="AZ985">
            <v>0</v>
          </cell>
          <cell r="BA985">
            <v>0</v>
          </cell>
          <cell r="BB985">
            <v>0</v>
          </cell>
          <cell r="BC985">
            <v>0</v>
          </cell>
          <cell r="BD985" t="e">
            <v>#N/A</v>
          </cell>
        </row>
        <row r="986">
          <cell r="A986" t="str">
            <v>sp 1494</v>
          </cell>
          <cell r="B986" t="str">
            <v>Cuộn trà túi lọc tía tô -gừng 2gr TH True</v>
          </cell>
          <cell r="C986">
            <v>6.7429999999999994</v>
          </cell>
          <cell r="D986">
            <v>11</v>
          </cell>
          <cell r="E986" t="str">
            <v>OPP mờ 20x740</v>
          </cell>
          <cell r="F986">
            <v>8</v>
          </cell>
          <cell r="G986" t="str">
            <v>OPP</v>
          </cell>
          <cell r="H986">
            <v>0</v>
          </cell>
          <cell r="I986">
            <v>6.0149999999999997</v>
          </cell>
          <cell r="J986">
            <v>0</v>
          </cell>
          <cell r="K986">
            <v>0</v>
          </cell>
          <cell r="L986">
            <v>0.01</v>
          </cell>
          <cell r="M986">
            <v>0.70799999999999996</v>
          </cell>
          <cell r="N986">
            <v>0</v>
          </cell>
          <cell r="O986">
            <v>0</v>
          </cell>
          <cell r="P986">
            <v>0</v>
          </cell>
          <cell r="Q986">
            <v>0.01</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t="str">
            <v>MCPP 35x740</v>
          </cell>
          <cell r="AF986">
            <v>0</v>
          </cell>
          <cell r="AG986">
            <v>3.0303E-2</v>
          </cell>
          <cell r="AH986">
            <v>1.1193333333333333</v>
          </cell>
          <cell r="AI986">
            <v>0</v>
          </cell>
          <cell r="AJ986">
            <v>9530</v>
          </cell>
          <cell r="AK986">
            <v>0</v>
          </cell>
          <cell r="AL986">
            <v>2.3E-3</v>
          </cell>
          <cell r="AM986" t="str">
            <v>dạng cuộn 1,500m</v>
          </cell>
          <cell r="AN986">
            <v>65.5</v>
          </cell>
          <cell r="AO986" t="str">
            <v>Công ty CP Dược Liệu TH -CN Nghệ An</v>
          </cell>
          <cell r="AP986" t="str">
            <v>21120679-1</v>
          </cell>
          <cell r="AQ986" t="str">
            <v>21120676-2</v>
          </cell>
          <cell r="AR986" t="str">
            <v>21120676-3</v>
          </cell>
          <cell r="AS986" t="str">
            <v>21120679-4</v>
          </cell>
          <cell r="AT986" t="str">
            <v>21120679-5</v>
          </cell>
          <cell r="AU986" t="str">
            <v>21120679-6</v>
          </cell>
          <cell r="AV986" t="str">
            <v>21120679-7</v>
          </cell>
          <cell r="AW986" t="str">
            <v>21120676-8</v>
          </cell>
          <cell r="AX986">
            <v>0</v>
          </cell>
          <cell r="AY986" t="str">
            <v>462x870</v>
          </cell>
          <cell r="AZ986">
            <v>0</v>
          </cell>
          <cell r="BA986">
            <v>0</v>
          </cell>
          <cell r="BB986">
            <v>0</v>
          </cell>
          <cell r="BC986">
            <v>0</v>
          </cell>
          <cell r="BD986" t="e">
            <v>#N/A</v>
          </cell>
        </row>
        <row r="987">
          <cell r="A987" t="str">
            <v>sp 1495</v>
          </cell>
          <cell r="B987" t="str">
            <v>Cuộn trà túi lọc lạc tiên - tâm sen 2gr TH True</v>
          </cell>
          <cell r="C987">
            <v>6.1729999999999983</v>
          </cell>
          <cell r="D987">
            <v>11</v>
          </cell>
          <cell r="E987" t="str">
            <v>OPP mờ 20x740</v>
          </cell>
          <cell r="F987">
            <v>8</v>
          </cell>
          <cell r="G987" t="str">
            <v>OPP</v>
          </cell>
          <cell r="H987">
            <v>0.01</v>
          </cell>
          <cell r="I987">
            <v>5.51</v>
          </cell>
          <cell r="J987">
            <v>0.01</v>
          </cell>
          <cell r="K987">
            <v>0.01</v>
          </cell>
          <cell r="L987">
            <v>0.01</v>
          </cell>
          <cell r="M987">
            <v>0</v>
          </cell>
          <cell r="N987">
            <v>0</v>
          </cell>
          <cell r="O987">
            <v>0</v>
          </cell>
          <cell r="P987">
            <v>0.01</v>
          </cell>
          <cell r="Q987">
            <v>0</v>
          </cell>
          <cell r="R987">
            <v>0.01</v>
          </cell>
          <cell r="S987">
            <v>0</v>
          </cell>
          <cell r="T987">
            <v>0</v>
          </cell>
          <cell r="U987">
            <v>0</v>
          </cell>
          <cell r="V987">
            <v>0.60299999999999998</v>
          </cell>
          <cell r="W987">
            <v>0</v>
          </cell>
          <cell r="X987">
            <v>0</v>
          </cell>
          <cell r="Y987">
            <v>0</v>
          </cell>
          <cell r="Z987">
            <v>0</v>
          </cell>
          <cell r="AA987">
            <v>0</v>
          </cell>
          <cell r="AB987">
            <v>0</v>
          </cell>
          <cell r="AC987">
            <v>0</v>
          </cell>
          <cell r="AD987">
            <v>0</v>
          </cell>
          <cell r="AE987" t="str">
            <v>MCPP 35x740</v>
          </cell>
          <cell r="AF987">
            <v>0</v>
          </cell>
          <cell r="AG987">
            <v>3.0303E-2</v>
          </cell>
          <cell r="AH987">
            <v>1.1193333333333333</v>
          </cell>
          <cell r="AI987">
            <v>0</v>
          </cell>
          <cell r="AJ987">
            <v>9530</v>
          </cell>
          <cell r="AK987">
            <v>0</v>
          </cell>
          <cell r="AL987">
            <v>2.3E-3</v>
          </cell>
          <cell r="AM987" t="str">
            <v>dạng cuộn 1,500m</v>
          </cell>
          <cell r="AN987">
            <v>65.5</v>
          </cell>
          <cell r="AO987" t="str">
            <v>Công ty CP Dược Liệu TH -CN Nghệ An</v>
          </cell>
          <cell r="AP987" t="str">
            <v>21120678-1</v>
          </cell>
          <cell r="AQ987" t="str">
            <v>21120676-2</v>
          </cell>
          <cell r="AR987" t="str">
            <v>21120676-3</v>
          </cell>
          <cell r="AS987" t="str">
            <v>21120678-4</v>
          </cell>
          <cell r="AT987" t="str">
            <v>21120678-5</v>
          </cell>
          <cell r="AU987" t="str">
            <v>21120678-6</v>
          </cell>
          <cell r="AV987" t="str">
            <v>21120678-7</v>
          </cell>
          <cell r="AW987" t="str">
            <v>21120676-8</v>
          </cell>
          <cell r="AX987">
            <v>0</v>
          </cell>
          <cell r="AY987" t="str">
            <v>462x870</v>
          </cell>
          <cell r="AZ987">
            <v>0</v>
          </cell>
          <cell r="BA987">
            <v>0</v>
          </cell>
          <cell r="BB987">
            <v>0</v>
          </cell>
          <cell r="BC987">
            <v>0</v>
          </cell>
          <cell r="BD987" t="e">
            <v>#N/A</v>
          </cell>
        </row>
        <row r="988">
          <cell r="A988" t="str">
            <v>sp 1496</v>
          </cell>
          <cell r="B988" t="str">
            <v>Túi zipper khẩu trang kháng khuẩn quyền linh KF94 Duy Ngọc Fashion</v>
          </cell>
          <cell r="C988">
            <v>4.6890000000000001</v>
          </cell>
          <cell r="D988">
            <v>1</v>
          </cell>
          <cell r="E988" t="str">
            <v>OPP 20x580</v>
          </cell>
          <cell r="F988">
            <v>4</v>
          </cell>
          <cell r="G988" t="str">
            <v>OPP</v>
          </cell>
          <cell r="H988">
            <v>0.01</v>
          </cell>
          <cell r="I988">
            <v>4.2370000000000001</v>
          </cell>
          <cell r="J988">
            <v>0</v>
          </cell>
          <cell r="K988">
            <v>0</v>
          </cell>
          <cell r="L988">
            <v>0</v>
          </cell>
          <cell r="M988">
            <v>0.442</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t="str">
            <v>MCPP35x290
CPP35x290</v>
          </cell>
          <cell r="AF988">
            <v>0</v>
          </cell>
          <cell r="AG988">
            <v>2.9028999999999999E-2</v>
          </cell>
          <cell r="AH988">
            <v>0.95</v>
          </cell>
          <cell r="AI988">
            <v>0</v>
          </cell>
          <cell r="AJ988">
            <v>9530</v>
          </cell>
          <cell r="AK988">
            <v>0</v>
          </cell>
          <cell r="AL988">
            <v>2.5000000000000001E-3</v>
          </cell>
          <cell r="AM988" t="str">
            <v>túi ba biên zipper</v>
          </cell>
          <cell r="AN988">
            <v>125</v>
          </cell>
          <cell r="AO988" t="str">
            <v>Công ty Khẩu trang Duy Ngọc Fashion</v>
          </cell>
          <cell r="AP988" t="str">
            <v>F130193-1</v>
          </cell>
          <cell r="AQ988" t="str">
            <v>F130193-2</v>
          </cell>
          <cell r="AR988" t="str">
            <v>F130193-3</v>
          </cell>
          <cell r="AS988" t="str">
            <v>F130193-4</v>
          </cell>
          <cell r="AT988">
            <v>0</v>
          </cell>
          <cell r="AU988">
            <v>0</v>
          </cell>
          <cell r="AV988">
            <v>0</v>
          </cell>
          <cell r="AW988">
            <v>0</v>
          </cell>
          <cell r="AX988">
            <v>0</v>
          </cell>
          <cell r="AY988" t="str">
            <v>500x880</v>
          </cell>
          <cell r="AZ988">
            <v>0</v>
          </cell>
          <cell r="BA988">
            <v>0</v>
          </cell>
          <cell r="BB988">
            <v>0</v>
          </cell>
          <cell r="BC988">
            <v>0</v>
          </cell>
          <cell r="BD988" t="e">
            <v>#N/A</v>
          </cell>
        </row>
        <row r="989">
          <cell r="A989" t="str">
            <v>sp 1497</v>
          </cell>
          <cell r="B989" t="str">
            <v>Túi zipper khẩu trang kháng khuẩn KF94 Forture Việt Nam</v>
          </cell>
          <cell r="C989">
            <v>7.1579999999999995</v>
          </cell>
          <cell r="D989">
            <v>1</v>
          </cell>
          <cell r="E989" t="str">
            <v>OPP 20x590</v>
          </cell>
          <cell r="F989">
            <v>5</v>
          </cell>
          <cell r="G989" t="str">
            <v>OPP</v>
          </cell>
          <cell r="H989">
            <v>0.112</v>
          </cell>
          <cell r="I989">
            <v>5.4569999999999999</v>
          </cell>
          <cell r="J989">
            <v>0.35799999999999998</v>
          </cell>
          <cell r="K989">
            <v>0</v>
          </cell>
          <cell r="L989">
            <v>0</v>
          </cell>
          <cell r="M989">
            <v>0.58199999999999996</v>
          </cell>
          <cell r="N989">
            <v>0</v>
          </cell>
          <cell r="O989">
            <v>0</v>
          </cell>
          <cell r="P989">
            <v>0.224</v>
          </cell>
          <cell r="Q989">
            <v>0</v>
          </cell>
          <cell r="R989">
            <v>0</v>
          </cell>
          <cell r="S989">
            <v>0</v>
          </cell>
          <cell r="T989">
            <v>0</v>
          </cell>
          <cell r="U989">
            <v>0</v>
          </cell>
          <cell r="V989">
            <v>0</v>
          </cell>
          <cell r="W989">
            <v>0.42499999999999999</v>
          </cell>
          <cell r="X989">
            <v>0</v>
          </cell>
          <cell r="Y989">
            <v>0</v>
          </cell>
          <cell r="Z989">
            <v>0</v>
          </cell>
          <cell r="AA989">
            <v>0</v>
          </cell>
          <cell r="AB989">
            <v>0</v>
          </cell>
          <cell r="AC989">
            <v>0</v>
          </cell>
          <cell r="AD989">
            <v>0</v>
          </cell>
          <cell r="AE989" t="str">
            <v>MCPP 35x295
CPP 35x295</v>
          </cell>
          <cell r="AF989">
            <v>0</v>
          </cell>
          <cell r="AG989">
            <v>2.95295E-2</v>
          </cell>
          <cell r="AH989">
            <v>0.96666666666666667</v>
          </cell>
          <cell r="AI989">
            <v>0</v>
          </cell>
          <cell r="AJ989">
            <v>9530</v>
          </cell>
          <cell r="AK989">
            <v>0</v>
          </cell>
          <cell r="AL989">
            <v>2.5000000000000001E-3</v>
          </cell>
          <cell r="AM989" t="str">
            <v>túi ba biên zipper</v>
          </cell>
          <cell r="AN989">
            <v>125</v>
          </cell>
          <cell r="AO989" t="str">
            <v>Công ty CP TM&amp;SX Thiết Bị Y tế Forture Việt Nam</v>
          </cell>
          <cell r="AP989" t="str">
            <v>21120712-1</v>
          </cell>
          <cell r="AQ989" t="str">
            <v>21120712-2</v>
          </cell>
          <cell r="AR989" t="str">
            <v>21120712-3</v>
          </cell>
          <cell r="AS989" t="str">
            <v>21120712-4</v>
          </cell>
          <cell r="AT989">
            <v>0</v>
          </cell>
          <cell r="AU989">
            <v>0</v>
          </cell>
          <cell r="AV989">
            <v>0</v>
          </cell>
          <cell r="AW989">
            <v>0</v>
          </cell>
          <cell r="AX989">
            <v>0</v>
          </cell>
          <cell r="AY989" t="str">
            <v>500x870</v>
          </cell>
          <cell r="AZ989">
            <v>0</v>
          </cell>
          <cell r="BA989">
            <v>0</v>
          </cell>
          <cell r="BB989">
            <v>0</v>
          </cell>
          <cell r="BC989">
            <v>0</v>
          </cell>
          <cell r="BD989" t="e">
            <v>#N/A</v>
          </cell>
        </row>
        <row r="990">
          <cell r="A990" t="str">
            <v>sp 1498</v>
          </cell>
          <cell r="B990" t="str">
            <v>Cuộn màng Euro Window mới in 1 màu Cơ Điện</v>
          </cell>
          <cell r="C990">
            <v>1.2090000000000001</v>
          </cell>
          <cell r="D990">
            <v>1</v>
          </cell>
          <cell r="E990" t="str">
            <v>PE đt 60x1270</v>
          </cell>
          <cell r="F990">
            <v>1</v>
          </cell>
          <cell r="G990" t="str">
            <v xml:space="preserve">PE </v>
          </cell>
          <cell r="H990">
            <v>0</v>
          </cell>
          <cell r="I990">
            <v>0</v>
          </cell>
          <cell r="J990">
            <v>0.75700000000000001</v>
          </cell>
          <cell r="K990">
            <v>0</v>
          </cell>
          <cell r="L990">
            <v>0</v>
          </cell>
          <cell r="M990">
            <v>0.442</v>
          </cell>
          <cell r="N990">
            <v>0</v>
          </cell>
          <cell r="O990">
            <v>0</v>
          </cell>
          <cell r="P990">
            <v>0</v>
          </cell>
          <cell r="Q990">
            <v>0</v>
          </cell>
          <cell r="R990">
            <v>0.01</v>
          </cell>
          <cell r="S990">
            <v>0</v>
          </cell>
          <cell r="T990">
            <v>0</v>
          </cell>
          <cell r="U990">
            <v>0</v>
          </cell>
          <cell r="V990">
            <v>0</v>
          </cell>
          <cell r="W990">
            <v>0</v>
          </cell>
          <cell r="X990">
            <v>0</v>
          </cell>
          <cell r="Y990">
            <v>0</v>
          </cell>
          <cell r="Z990">
            <v>0</v>
          </cell>
          <cell r="AA990">
            <v>0</v>
          </cell>
          <cell r="AB990">
            <v>0</v>
          </cell>
          <cell r="AC990">
            <v>0</v>
          </cell>
          <cell r="AD990">
            <v>0</v>
          </cell>
          <cell r="AE990" t="str">
            <v>PE 30x1270</v>
          </cell>
          <cell r="AF990">
            <v>0</v>
          </cell>
          <cell r="AG990">
            <v>0.1099185</v>
          </cell>
          <cell r="AH990">
            <v>0</v>
          </cell>
          <cell r="AI990">
            <v>0</v>
          </cell>
          <cell r="AJ990">
            <v>9530</v>
          </cell>
          <cell r="AK990">
            <v>0</v>
          </cell>
          <cell r="AL990">
            <v>2E-3</v>
          </cell>
          <cell r="AM990" t="str">
            <v>dạng cuộn 2,030m</v>
          </cell>
          <cell r="AN990">
            <v>1285</v>
          </cell>
          <cell r="AO990" t="str">
            <v>Công ty Cơ Điện</v>
          </cell>
          <cell r="AP990" t="str">
            <v>21120566-1</v>
          </cell>
          <cell r="AQ990">
            <v>0</v>
          </cell>
          <cell r="AR990">
            <v>0</v>
          </cell>
          <cell r="AS990">
            <v>0</v>
          </cell>
          <cell r="AT990">
            <v>0</v>
          </cell>
          <cell r="AU990">
            <v>0</v>
          </cell>
          <cell r="AV990">
            <v>0</v>
          </cell>
          <cell r="AW990">
            <v>0</v>
          </cell>
          <cell r="AX990">
            <v>0</v>
          </cell>
          <cell r="AY990" t="str">
            <v>675x1300</v>
          </cell>
          <cell r="AZ990">
            <v>0</v>
          </cell>
          <cell r="BA990">
            <v>0</v>
          </cell>
          <cell r="BB990">
            <v>0</v>
          </cell>
          <cell r="BC990">
            <v>0</v>
          </cell>
          <cell r="BD990" t="e">
            <v>#N/A</v>
          </cell>
        </row>
        <row r="991">
          <cell r="A991" t="str">
            <v>sp 1499</v>
          </cell>
          <cell r="B991" t="str">
            <v>Cuộn khăn cồn Vnaxpress  10 miếng - Đông Hiệp</v>
          </cell>
          <cell r="C991">
            <v>6.0659999999999989</v>
          </cell>
          <cell r="D991">
            <v>4</v>
          </cell>
          <cell r="E991" t="str">
            <v>PET 12x820</v>
          </cell>
          <cell r="F991">
            <v>5</v>
          </cell>
          <cell r="G991" t="str">
            <v>PET</v>
          </cell>
          <cell r="H991">
            <v>0.215</v>
          </cell>
          <cell r="I991">
            <v>3.6589999999999998</v>
          </cell>
          <cell r="J991">
            <v>0.01</v>
          </cell>
          <cell r="K991">
            <v>0.01</v>
          </cell>
          <cell r="L991">
            <v>0.01</v>
          </cell>
          <cell r="M991">
            <v>1.9370000000000001</v>
          </cell>
          <cell r="N991">
            <v>0.215</v>
          </cell>
          <cell r="O991">
            <v>0</v>
          </cell>
          <cell r="P991">
            <v>0</v>
          </cell>
          <cell r="Q991">
            <v>0</v>
          </cell>
          <cell r="R991">
            <v>0</v>
          </cell>
          <cell r="S991">
            <v>0.01</v>
          </cell>
          <cell r="T991">
            <v>0</v>
          </cell>
          <cell r="U991">
            <v>0</v>
          </cell>
          <cell r="V991">
            <v>0</v>
          </cell>
          <cell r="W991">
            <v>0</v>
          </cell>
          <cell r="X991">
            <v>0</v>
          </cell>
          <cell r="Y991">
            <v>0</v>
          </cell>
          <cell r="Z991">
            <v>0</v>
          </cell>
          <cell r="AA991">
            <v>0</v>
          </cell>
          <cell r="AB991">
            <v>0</v>
          </cell>
          <cell r="AC991">
            <v>0</v>
          </cell>
          <cell r="AD991">
            <v>0</v>
          </cell>
          <cell r="AE991" t="str">
            <v>AL 6x820</v>
          </cell>
          <cell r="AF991" t="str">
            <v>PE50x820</v>
          </cell>
          <cell r="AG991">
            <v>6.50342E-2</v>
          </cell>
          <cell r="AH991">
            <v>1.242</v>
          </cell>
          <cell r="AI991">
            <v>1.242</v>
          </cell>
          <cell r="AJ991">
            <v>9530</v>
          </cell>
          <cell r="AK991">
            <v>9530</v>
          </cell>
          <cell r="AL991" t="str">
            <v>0,0046(0,0023;0,0023)</v>
          </cell>
          <cell r="AM991" t="str">
            <v>dạng cuộn 1,000m</v>
          </cell>
          <cell r="AN991">
            <v>200</v>
          </cell>
          <cell r="AO991" t="str">
            <v>Công ty TNHH TM&amp;ĐT Đông Hiệp</v>
          </cell>
          <cell r="AP991" t="str">
            <v>X113417-1</v>
          </cell>
          <cell r="AQ991" t="str">
            <v>X113417-2</v>
          </cell>
          <cell r="AR991" t="str">
            <v>X113417-3</v>
          </cell>
          <cell r="AS991" t="str">
            <v>X113417-4</v>
          </cell>
          <cell r="AT991" t="str">
            <v>X113417-5</v>
          </cell>
          <cell r="AU991">
            <v>0</v>
          </cell>
          <cell r="AV991">
            <v>0</v>
          </cell>
          <cell r="AW991">
            <v>0</v>
          </cell>
          <cell r="AX991">
            <v>0</v>
          </cell>
          <cell r="AY991" t="str">
            <v>450x870</v>
          </cell>
          <cell r="AZ991">
            <v>0</v>
          </cell>
          <cell r="BA991">
            <v>0</v>
          </cell>
          <cell r="BB991">
            <v>0</v>
          </cell>
          <cell r="BC991">
            <v>0</v>
          </cell>
          <cell r="BD991" t="e">
            <v>#N/A</v>
          </cell>
        </row>
        <row r="992">
          <cell r="A992" t="str">
            <v>sp 1500</v>
          </cell>
          <cell r="B992" t="str">
            <v>Túi zipper khăn hạ sốt Dr.papie O+mã 211 CNC Starmed</v>
          </cell>
          <cell r="C992">
            <v>3.0009999999999994</v>
          </cell>
          <cell r="D992">
            <v>2</v>
          </cell>
          <cell r="E992" t="str">
            <v>OPP mờ 20x720</v>
          </cell>
          <cell r="F992">
            <v>5</v>
          </cell>
          <cell r="G992" t="str">
            <v>OPP</v>
          </cell>
          <cell r="H992">
            <v>0</v>
          </cell>
          <cell r="I992">
            <v>0.99</v>
          </cell>
          <cell r="J992">
            <v>0</v>
          </cell>
          <cell r="K992">
            <v>0</v>
          </cell>
          <cell r="L992">
            <v>0.74299999999999999</v>
          </cell>
          <cell r="M992">
            <v>1.238</v>
          </cell>
          <cell r="N992">
            <v>0</v>
          </cell>
          <cell r="O992">
            <v>0.01</v>
          </cell>
          <cell r="P992">
            <v>0.01</v>
          </cell>
          <cell r="Q992">
            <v>0</v>
          </cell>
          <cell r="R992">
            <v>0.01</v>
          </cell>
          <cell r="S992">
            <v>0</v>
          </cell>
          <cell r="T992">
            <v>0</v>
          </cell>
          <cell r="U992">
            <v>0</v>
          </cell>
          <cell r="V992">
            <v>0</v>
          </cell>
          <cell r="W992">
            <v>0</v>
          </cell>
          <cell r="X992">
            <v>0</v>
          </cell>
          <cell r="Y992">
            <v>0</v>
          </cell>
          <cell r="Z992">
            <v>0</v>
          </cell>
          <cell r="AA992">
            <v>0</v>
          </cell>
          <cell r="AB992">
            <v>0</v>
          </cell>
          <cell r="AC992">
            <v>0</v>
          </cell>
          <cell r="AD992">
            <v>0</v>
          </cell>
          <cell r="AE992" t="str">
            <v>MPET 12x720</v>
          </cell>
          <cell r="AF992" t="str">
            <v>PE 75x720</v>
          </cell>
          <cell r="AG992">
            <v>7.5150000000000008E-2</v>
          </cell>
          <cell r="AH992">
            <v>1.42</v>
          </cell>
          <cell r="AI992">
            <v>1.42</v>
          </cell>
          <cell r="AJ992">
            <v>9530</v>
          </cell>
          <cell r="AK992">
            <v>9530</v>
          </cell>
          <cell r="AL992" t="str">
            <v>0,006(0,003;0,003)</v>
          </cell>
          <cell r="AM992" t="str">
            <v>túi ba biên zipper</v>
          </cell>
          <cell r="AN992">
            <v>105</v>
          </cell>
          <cell r="AO992" t="str">
            <v>Công ty CP Tập Đoàn Dược phẩm CNC Starmed</v>
          </cell>
          <cell r="AP992" t="str">
            <v>22031228-1</v>
          </cell>
          <cell r="AQ992" t="str">
            <v>22040938-2</v>
          </cell>
          <cell r="AR992" t="str">
            <v>21070623-3</v>
          </cell>
          <cell r="AS992" t="str">
            <v>21070623-4</v>
          </cell>
          <cell r="AT992" t="str">
            <v>21070623-5</v>
          </cell>
          <cell r="AU992">
            <v>0</v>
          </cell>
          <cell r="AV992">
            <v>0</v>
          </cell>
          <cell r="AW992">
            <v>0</v>
          </cell>
          <cell r="AX992">
            <v>0</v>
          </cell>
          <cell r="AY992" t="str">
            <v>420x870</v>
          </cell>
          <cell r="AZ992">
            <v>0</v>
          </cell>
          <cell r="BA992">
            <v>0</v>
          </cell>
          <cell r="BB992">
            <v>0</v>
          </cell>
          <cell r="BC992">
            <v>0</v>
          </cell>
          <cell r="BD992" t="e">
            <v>#N/A</v>
          </cell>
        </row>
        <row r="993">
          <cell r="A993" t="str">
            <v>sp 1501</v>
          </cell>
          <cell r="B993" t="str">
            <v>Túi zipper khăn hạ sốt Dr.papie 3MO+mã 198 CNC Starmed</v>
          </cell>
          <cell r="C993">
            <v>16.273</v>
          </cell>
          <cell r="D993">
            <v>2</v>
          </cell>
          <cell r="E993" t="str">
            <v>OPP mờ 20x720</v>
          </cell>
          <cell r="F993">
            <v>5</v>
          </cell>
          <cell r="G993" t="str">
            <v>OPP</v>
          </cell>
          <cell r="H993">
            <v>0.32800000000000001</v>
          </cell>
          <cell r="I993">
            <v>12.641</v>
          </cell>
          <cell r="J993">
            <v>0</v>
          </cell>
          <cell r="K993">
            <v>0.98499999999999999</v>
          </cell>
          <cell r="L993">
            <v>0</v>
          </cell>
          <cell r="M993">
            <v>0.65700000000000003</v>
          </cell>
          <cell r="N993">
            <v>0</v>
          </cell>
          <cell r="O993">
            <v>0</v>
          </cell>
          <cell r="P993">
            <v>0.01</v>
          </cell>
          <cell r="Q993">
            <v>1.6419999999999999</v>
          </cell>
          <cell r="R993">
            <v>0</v>
          </cell>
          <cell r="S993">
            <v>0</v>
          </cell>
          <cell r="T993">
            <v>0</v>
          </cell>
          <cell r="U993">
            <v>0</v>
          </cell>
          <cell r="V993">
            <v>0</v>
          </cell>
          <cell r="W993">
            <v>0.01</v>
          </cell>
          <cell r="X993">
            <v>0</v>
          </cell>
          <cell r="Y993">
            <v>0</v>
          </cell>
          <cell r="Z993">
            <v>0</v>
          </cell>
          <cell r="AA993">
            <v>0</v>
          </cell>
          <cell r="AB993">
            <v>0</v>
          </cell>
          <cell r="AC993">
            <v>0</v>
          </cell>
          <cell r="AD993">
            <v>0</v>
          </cell>
          <cell r="AE993" t="str">
            <v>MPET 12x720</v>
          </cell>
          <cell r="AF993" t="str">
            <v>PE 75x720</v>
          </cell>
          <cell r="AG993">
            <v>7.5150000000000008E-2</v>
          </cell>
          <cell r="AH993">
            <v>1.42</v>
          </cell>
          <cell r="AI993">
            <v>1.42</v>
          </cell>
          <cell r="AJ993">
            <v>9530</v>
          </cell>
          <cell r="AK993">
            <v>9530</v>
          </cell>
          <cell r="AL993" t="str">
            <v>0,006(0,003;0,003)</v>
          </cell>
          <cell r="AM993" t="str">
            <v>túi ba biên zipper</v>
          </cell>
          <cell r="AN993">
            <v>105</v>
          </cell>
          <cell r="AO993" t="str">
            <v>Công ty CP Tập Đoàn Dược phẩm CNC Starmed</v>
          </cell>
          <cell r="AP993" t="str">
            <v>22031227-1</v>
          </cell>
          <cell r="AQ993" t="str">
            <v>22040938-2</v>
          </cell>
          <cell r="AR993" t="str">
            <v>21070623-3</v>
          </cell>
          <cell r="AS993" t="str">
            <v>21070623-4</v>
          </cell>
          <cell r="AT993" t="str">
            <v>21070623-5</v>
          </cell>
          <cell r="AU993">
            <v>0</v>
          </cell>
          <cell r="AV993">
            <v>0</v>
          </cell>
          <cell r="AW993">
            <v>0</v>
          </cell>
          <cell r="AX993">
            <v>0</v>
          </cell>
          <cell r="AY993" t="str">
            <v>420x870</v>
          </cell>
          <cell r="AZ993">
            <v>0</v>
          </cell>
          <cell r="BA993">
            <v>0</v>
          </cell>
          <cell r="BB993">
            <v>0</v>
          </cell>
          <cell r="BC993">
            <v>0</v>
          </cell>
          <cell r="BD993" t="e">
            <v>#N/A</v>
          </cell>
        </row>
        <row r="994">
          <cell r="A994" t="str">
            <v>sp 1502</v>
          </cell>
          <cell r="B994" t="str">
            <v>Túi gạc răng miệng tottee -CNC Starmed</v>
          </cell>
          <cell r="C994">
            <v>9.8879999999999999</v>
          </cell>
          <cell r="D994">
            <v>4</v>
          </cell>
          <cell r="E994" t="str">
            <v>OPP mờ 20x620</v>
          </cell>
          <cell r="F994">
            <v>5</v>
          </cell>
          <cell r="G994" t="str">
            <v>OPP</v>
          </cell>
          <cell r="H994">
            <v>0.41</v>
          </cell>
          <cell r="I994">
            <v>3.7010000000000001</v>
          </cell>
          <cell r="J994">
            <v>2.673</v>
          </cell>
          <cell r="K994">
            <v>0</v>
          </cell>
          <cell r="L994">
            <v>2.056</v>
          </cell>
          <cell r="M994">
            <v>0</v>
          </cell>
          <cell r="N994">
            <v>0</v>
          </cell>
          <cell r="O994">
            <v>0</v>
          </cell>
          <cell r="P994">
            <v>0.01</v>
          </cell>
          <cell r="Q994">
            <v>0.01</v>
          </cell>
          <cell r="R994">
            <v>1.028</v>
          </cell>
          <cell r="S994">
            <v>0</v>
          </cell>
          <cell r="T994">
            <v>0</v>
          </cell>
          <cell r="U994">
            <v>0</v>
          </cell>
          <cell r="V994">
            <v>0</v>
          </cell>
          <cell r="W994">
            <v>0</v>
          </cell>
          <cell r="X994">
            <v>0</v>
          </cell>
          <cell r="Y994">
            <v>0</v>
          </cell>
          <cell r="Z994">
            <v>0</v>
          </cell>
          <cell r="AA994">
            <v>0</v>
          </cell>
          <cell r="AB994">
            <v>0</v>
          </cell>
          <cell r="AC994">
            <v>0</v>
          </cell>
          <cell r="AD994">
            <v>0</v>
          </cell>
          <cell r="AE994" t="str">
            <v>Al 6x620</v>
          </cell>
          <cell r="AF994" t="str">
            <v>PE 75x630</v>
          </cell>
          <cell r="AG994">
            <v>6.437770000000001E-2</v>
          </cell>
          <cell r="AH994">
            <v>0.93533333333333324</v>
          </cell>
          <cell r="AI994">
            <v>0.93533333333333324</v>
          </cell>
          <cell r="AJ994">
            <v>9530</v>
          </cell>
          <cell r="AK994">
            <v>9530</v>
          </cell>
          <cell r="AL994" t="str">
            <v>0,0046(0,0023;0,0023)</v>
          </cell>
          <cell r="AM994" t="str">
            <v>túi ba biên</v>
          </cell>
          <cell r="AN994">
            <v>55</v>
          </cell>
          <cell r="AO994" t="str">
            <v>Công ty CP Tập Đoàn Dược phẩm Starmed</v>
          </cell>
          <cell r="AP994" t="str">
            <v>F130805-1</v>
          </cell>
          <cell r="AQ994" t="str">
            <v>F130805-2</v>
          </cell>
          <cell r="AR994" t="str">
            <v>F130805-3</v>
          </cell>
          <cell r="AS994" t="str">
            <v>F130805-4</v>
          </cell>
          <cell r="AT994" t="str">
            <v>F122657G17-4</v>
          </cell>
          <cell r="AU994">
            <v>0</v>
          </cell>
          <cell r="AV994">
            <v>0</v>
          </cell>
          <cell r="AW994">
            <v>0</v>
          </cell>
          <cell r="AX994">
            <v>0</v>
          </cell>
          <cell r="AY994" t="str">
            <v>440x870</v>
          </cell>
          <cell r="AZ994">
            <v>0</v>
          </cell>
          <cell r="BA994">
            <v>0</v>
          </cell>
          <cell r="BB994">
            <v>0</v>
          </cell>
          <cell r="BC994">
            <v>0</v>
          </cell>
          <cell r="BD994" t="e">
            <v>#N/A</v>
          </cell>
        </row>
        <row r="995">
          <cell r="A995" t="str">
            <v>sp 1503</v>
          </cell>
          <cell r="B995" t="str">
            <v>Cuộn thuốc viên hoàn cứng didicera 5gr Traphaco</v>
          </cell>
          <cell r="C995">
            <v>1.8289999999999997</v>
          </cell>
          <cell r="D995">
            <v>5</v>
          </cell>
          <cell r="E995" t="str">
            <v>PET 12x770</v>
          </cell>
          <cell r="F995">
            <v>3</v>
          </cell>
          <cell r="G995" t="str">
            <v>PET</v>
          </cell>
          <cell r="H995">
            <v>0.14599999999999999</v>
          </cell>
          <cell r="I995">
            <v>0</v>
          </cell>
          <cell r="J995">
            <v>0</v>
          </cell>
          <cell r="K995">
            <v>0</v>
          </cell>
          <cell r="L995">
            <v>1.5369999999999999</v>
          </cell>
          <cell r="M995">
            <v>0</v>
          </cell>
          <cell r="N995">
            <v>0</v>
          </cell>
          <cell r="O995">
            <v>0</v>
          </cell>
          <cell r="P995">
            <v>0.14599999999999999</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t="str">
            <v>Al 6x770</v>
          </cell>
          <cell r="AF995" t="str">
            <v>CPP 60x780</v>
          </cell>
          <cell r="AG995">
            <v>6.7498200000000008E-2</v>
          </cell>
          <cell r="AH995">
            <v>1.2666666666666668</v>
          </cell>
          <cell r="AI995">
            <v>1.2666666666666668</v>
          </cell>
          <cell r="AJ995">
            <v>9530</v>
          </cell>
          <cell r="AK995">
            <v>9530</v>
          </cell>
          <cell r="AL995" t="str">
            <v>0,005(0,0025;0,0025)</v>
          </cell>
          <cell r="AM995" t="str">
            <v>dạng cuộn 400m</v>
          </cell>
          <cell r="AN995">
            <v>150</v>
          </cell>
          <cell r="AO995" t="str">
            <v>Công ty Cổ Phần Công Nghệ Cao Traphaco</v>
          </cell>
          <cell r="AP995" t="str">
            <v>22010761-1</v>
          </cell>
          <cell r="AQ995" t="str">
            <v>22010761-2</v>
          </cell>
          <cell r="AR995" t="str">
            <v>22010761-3</v>
          </cell>
          <cell r="AS995">
            <v>0</v>
          </cell>
          <cell r="AT995">
            <v>0</v>
          </cell>
          <cell r="AU995">
            <v>0</v>
          </cell>
          <cell r="AV995">
            <v>0</v>
          </cell>
          <cell r="AW995">
            <v>0</v>
          </cell>
          <cell r="AX995">
            <v>0</v>
          </cell>
          <cell r="AY995" t="str">
            <v>456x870</v>
          </cell>
          <cell r="AZ995">
            <v>0</v>
          </cell>
          <cell r="BA995">
            <v>0</v>
          </cell>
          <cell r="BB995">
            <v>0</v>
          </cell>
          <cell r="BC995">
            <v>0</v>
          </cell>
          <cell r="BD995" t="e">
            <v>#N/A</v>
          </cell>
        </row>
        <row r="996">
          <cell r="A996" t="str">
            <v>sp 1504</v>
          </cell>
          <cell r="B996" t="str">
            <v>Cuộn 3SP men Like, Vietvet, Infortae 100gr - Đất Việt</v>
          </cell>
          <cell r="C996">
            <v>2.5939999999999994</v>
          </cell>
          <cell r="D996">
            <v>3</v>
          </cell>
          <cell r="E996" t="str">
            <v>PA 15x800</v>
          </cell>
          <cell r="F996">
            <v>4</v>
          </cell>
          <cell r="G996" t="str">
            <v xml:space="preserve">PA </v>
          </cell>
          <cell r="H996">
            <v>0.26200000000000001</v>
          </cell>
          <cell r="I996">
            <v>1.4650000000000001</v>
          </cell>
          <cell r="J996">
            <v>0</v>
          </cell>
          <cell r="K996">
            <v>0.83699999999999997</v>
          </cell>
          <cell r="L996">
            <v>0.01</v>
          </cell>
          <cell r="M996">
            <v>0</v>
          </cell>
          <cell r="N996">
            <v>0</v>
          </cell>
          <cell r="O996">
            <v>0</v>
          </cell>
          <cell r="P996">
            <v>0</v>
          </cell>
          <cell r="Q996">
            <v>0</v>
          </cell>
          <cell r="R996">
            <v>0</v>
          </cell>
          <cell r="S996">
            <v>0</v>
          </cell>
          <cell r="T996">
            <v>0</v>
          </cell>
          <cell r="U996">
            <v>0</v>
          </cell>
          <cell r="V996">
            <v>0.01</v>
          </cell>
          <cell r="W996">
            <v>0.01</v>
          </cell>
          <cell r="X996">
            <v>0</v>
          </cell>
          <cell r="Y996">
            <v>0</v>
          </cell>
          <cell r="Z996">
            <v>0</v>
          </cell>
          <cell r="AA996">
            <v>0</v>
          </cell>
          <cell r="AB996">
            <v>0</v>
          </cell>
          <cell r="AC996">
            <v>0</v>
          </cell>
          <cell r="AD996">
            <v>0</v>
          </cell>
          <cell r="AE996" t="str">
            <v>PE sứ 65x800</v>
          </cell>
          <cell r="AF996">
            <v>0</v>
          </cell>
          <cell r="AG996">
            <v>6.1900000000000004E-2</v>
          </cell>
          <cell r="AH996">
            <v>1.2113333333333334</v>
          </cell>
          <cell r="AI996">
            <v>0</v>
          </cell>
          <cell r="AJ996">
            <v>9530</v>
          </cell>
          <cell r="AK996">
            <v>0</v>
          </cell>
          <cell r="AL996">
            <v>2.3E-3</v>
          </cell>
          <cell r="AM996" t="str">
            <v>dạng cuộn 1,000m</v>
          </cell>
          <cell r="AN996">
            <v>260</v>
          </cell>
          <cell r="AO996" t="str">
            <v>Công ty CP thuốc thú y Đất Việt</v>
          </cell>
          <cell r="AP996" t="str">
            <v>22020102-1</v>
          </cell>
          <cell r="AQ996" t="str">
            <v>22020102-2</v>
          </cell>
          <cell r="AR996" t="str">
            <v>22020102-3</v>
          </cell>
          <cell r="AS996" t="str">
            <v>22020102-4</v>
          </cell>
          <cell r="AT996">
            <v>0</v>
          </cell>
          <cell r="AU996">
            <v>0</v>
          </cell>
          <cell r="AV996">
            <v>0</v>
          </cell>
          <cell r="AW996">
            <v>0</v>
          </cell>
          <cell r="AX996">
            <v>0</v>
          </cell>
          <cell r="AY996" t="str">
            <v>540x870</v>
          </cell>
          <cell r="AZ996">
            <v>0</v>
          </cell>
          <cell r="BA996">
            <v>0</v>
          </cell>
          <cell r="BB996">
            <v>0</v>
          </cell>
          <cell r="BC996">
            <v>0</v>
          </cell>
          <cell r="BD996" t="e">
            <v>#N/A</v>
          </cell>
        </row>
        <row r="997">
          <cell r="A997" t="str">
            <v>sp 1505</v>
          </cell>
          <cell r="B997" t="str">
            <v>Cuộn thuốc nước anvado 200 SC loại 10ml Việt Thắng</v>
          </cell>
          <cell r="C997">
            <v>6.3410000000000002</v>
          </cell>
          <cell r="D997">
            <v>5</v>
          </cell>
          <cell r="E997" t="str">
            <v>PET 12x770</v>
          </cell>
          <cell r="F997">
            <v>6</v>
          </cell>
          <cell r="G997" t="str">
            <v>PET</v>
          </cell>
          <cell r="H997">
            <v>9.6000000000000002E-2</v>
          </cell>
          <cell r="I997">
            <v>4.7990000000000004</v>
          </cell>
          <cell r="J997">
            <v>4.8000000000000001E-2</v>
          </cell>
          <cell r="K997">
            <v>0.38</v>
          </cell>
          <cell r="L997">
            <v>0.432</v>
          </cell>
          <cell r="M997">
            <v>0.57599999999999996</v>
          </cell>
          <cell r="N997">
            <v>0</v>
          </cell>
          <cell r="O997">
            <v>0</v>
          </cell>
          <cell r="P997">
            <v>0</v>
          </cell>
          <cell r="Q997">
            <v>0</v>
          </cell>
          <cell r="R997">
            <v>0.01</v>
          </cell>
          <cell r="S997">
            <v>0</v>
          </cell>
          <cell r="T997">
            <v>0</v>
          </cell>
          <cell r="U997">
            <v>0</v>
          </cell>
          <cell r="V997">
            <v>0</v>
          </cell>
          <cell r="W997">
            <v>0</v>
          </cell>
          <cell r="X997">
            <v>0</v>
          </cell>
          <cell r="Y997">
            <v>0</v>
          </cell>
          <cell r="Z997">
            <v>0</v>
          </cell>
          <cell r="AA997">
            <v>0</v>
          </cell>
          <cell r="AB997">
            <v>0</v>
          </cell>
          <cell r="AC997">
            <v>0</v>
          </cell>
          <cell r="AD997">
            <v>0</v>
          </cell>
          <cell r="AE997" t="str">
            <v>MPET ĐB 12x770</v>
          </cell>
          <cell r="AF997" t="str">
            <v>PE ĐB 60x770</v>
          </cell>
          <cell r="AG997">
            <v>6.8607000000000001E-2</v>
          </cell>
          <cell r="AH997">
            <v>1.1653333333333333</v>
          </cell>
          <cell r="AI997">
            <v>1.54</v>
          </cell>
          <cell r="AJ997">
            <v>9530</v>
          </cell>
          <cell r="AK997">
            <v>9530</v>
          </cell>
          <cell r="AL997" t="str">
            <v>0,0053(0,0023;0,003)</v>
          </cell>
          <cell r="AM997" t="str">
            <v>dạng cuộn 700m</v>
          </cell>
          <cell r="AN997">
            <v>150</v>
          </cell>
          <cell r="AO997" t="str">
            <v>Công ty Việt Thắng</v>
          </cell>
          <cell r="AP997" t="str">
            <v>22020638-1</v>
          </cell>
          <cell r="AQ997" t="str">
            <v>22020638-2</v>
          </cell>
          <cell r="AR997" t="str">
            <v>22020638-3</v>
          </cell>
          <cell r="AS997" t="str">
            <v>22020638-4</v>
          </cell>
          <cell r="AT997" t="str">
            <v>22020638-5</v>
          </cell>
          <cell r="AU997" t="str">
            <v>22020638-6</v>
          </cell>
          <cell r="AV997">
            <v>0</v>
          </cell>
          <cell r="AW997">
            <v>0</v>
          </cell>
          <cell r="AX997">
            <v>0</v>
          </cell>
          <cell r="AY997" t="str">
            <v>475x870</v>
          </cell>
          <cell r="AZ997">
            <v>0</v>
          </cell>
          <cell r="BA997">
            <v>0</v>
          </cell>
          <cell r="BB997">
            <v>0</v>
          </cell>
          <cell r="BC997">
            <v>0</v>
          </cell>
          <cell r="BD997" t="e">
            <v>#N/A</v>
          </cell>
        </row>
        <row r="998">
          <cell r="A998" t="str">
            <v>sp 1506</v>
          </cell>
          <cell r="B998" t="str">
            <v>Túi nhôm viên nén bao phim atorvastatin 3 vỉ x 10 viên 10mg Traphaco</v>
          </cell>
          <cell r="C998">
            <v>0</v>
          </cell>
          <cell r="D998">
            <v>5</v>
          </cell>
          <cell r="E998" t="str">
            <v>OPP 20x820</v>
          </cell>
          <cell r="F998">
            <v>2</v>
          </cell>
          <cell r="G998" t="str">
            <v>OPP</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t="str">
            <v>Al 6x820</v>
          </cell>
          <cell r="AF998" t="str">
            <v>PE 55x830</v>
          </cell>
          <cell r="AG998">
            <v>6.9974700000000001E-2</v>
          </cell>
          <cell r="AH998">
            <v>1.35</v>
          </cell>
          <cell r="AI998">
            <v>1.35</v>
          </cell>
          <cell r="AJ998">
            <v>9530</v>
          </cell>
          <cell r="AK998">
            <v>9530</v>
          </cell>
          <cell r="AL998" t="str">
            <v>0,005(0,0025;0,0025)</v>
          </cell>
          <cell r="AM998" t="str">
            <v>túi hàn lưng xếp hông</v>
          </cell>
          <cell r="AN998">
            <v>150</v>
          </cell>
          <cell r="AO998" t="str">
            <v>Công ty Cổ Phần Traphaco</v>
          </cell>
          <cell r="AP998" t="str">
            <v>22020247-1</v>
          </cell>
          <cell r="AQ998" t="str">
            <v>22020247-2</v>
          </cell>
          <cell r="AR998">
            <v>0</v>
          </cell>
          <cell r="AS998">
            <v>0</v>
          </cell>
          <cell r="AT998">
            <v>0</v>
          </cell>
          <cell r="AU998">
            <v>0</v>
          </cell>
          <cell r="AV998">
            <v>0</v>
          </cell>
          <cell r="AW998">
            <v>0</v>
          </cell>
          <cell r="AX998">
            <v>0</v>
          </cell>
          <cell r="AY998" t="str">
            <v>450x870</v>
          </cell>
          <cell r="AZ998">
            <v>0</v>
          </cell>
          <cell r="BA998">
            <v>0</v>
          </cell>
          <cell r="BB998">
            <v>0</v>
          </cell>
          <cell r="BC998">
            <v>0</v>
          </cell>
          <cell r="BD998" t="e">
            <v>#N/A</v>
          </cell>
        </row>
        <row r="999">
          <cell r="A999" t="str">
            <v>sp 1507</v>
          </cell>
          <cell r="B999" t="str">
            <v>Túi không in KT 405x570mm Richy</v>
          </cell>
          <cell r="C999">
            <v>0</v>
          </cell>
          <cell r="D999">
            <v>1</v>
          </cell>
          <cell r="E999" t="str">
            <v>OPP 30x830</v>
          </cell>
          <cell r="F999">
            <v>0</v>
          </cell>
          <cell r="G999" t="str">
            <v>OPP</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t="str">
            <v>CPP 50x830</v>
          </cell>
          <cell r="AF999">
            <v>0</v>
          </cell>
          <cell r="AG999">
            <v>6.0423999999999999E-2</v>
          </cell>
          <cell r="AH999">
            <v>3.1378666666666662E-4</v>
          </cell>
          <cell r="AI999">
            <v>0</v>
          </cell>
          <cell r="AJ999" t="str">
            <v>keo 829B
ĐR 829A</v>
          </cell>
          <cell r="AK999">
            <v>0</v>
          </cell>
          <cell r="AL999">
            <v>1.4E-3</v>
          </cell>
          <cell r="AM999" t="str">
            <v>túi 3 biên</v>
          </cell>
          <cell r="AN999">
            <v>570</v>
          </cell>
          <cell r="AO999" t="str">
            <v>Công ty CP thực phẩm Richy Miền Bắc</v>
          </cell>
          <cell r="AP999">
            <v>0</v>
          </cell>
          <cell r="AQ999">
            <v>0</v>
          </cell>
          <cell r="AR999">
            <v>0</v>
          </cell>
          <cell r="AS999">
            <v>0</v>
          </cell>
          <cell r="AT999">
            <v>0</v>
          </cell>
          <cell r="AU999">
            <v>0</v>
          </cell>
          <cell r="AV999">
            <v>0</v>
          </cell>
          <cell r="AW999">
            <v>0</v>
          </cell>
          <cell r="AX999">
            <v>0</v>
          </cell>
          <cell r="AY999">
            <v>0</v>
          </cell>
          <cell r="AZ999">
            <v>0</v>
          </cell>
          <cell r="BA999">
            <v>0</v>
          </cell>
          <cell r="BB999">
            <v>0</v>
          </cell>
          <cell r="BC999">
            <v>0</v>
          </cell>
          <cell r="BD999" t="e">
            <v>#N/A</v>
          </cell>
        </row>
        <row r="1000">
          <cell r="A1000" t="str">
            <v>sp 1508</v>
          </cell>
          <cell r="B1000" t="str">
            <v>Cuộn thuốc nước a-v-tvil 5SC loại 20ml Việt Thắng</v>
          </cell>
          <cell r="C1000">
            <v>4.2879999999999994</v>
          </cell>
          <cell r="D1000">
            <v>5</v>
          </cell>
          <cell r="E1000" t="str">
            <v>PET 12x770</v>
          </cell>
          <cell r="F1000">
            <v>5</v>
          </cell>
          <cell r="G1000" t="str">
            <v>PET</v>
          </cell>
          <cell r="H1000">
            <v>0.19</v>
          </cell>
          <cell r="I1000">
            <v>3.09</v>
          </cell>
          <cell r="J1000">
            <v>0.28499999999999998</v>
          </cell>
          <cell r="K1000">
            <v>0.61799999999999999</v>
          </cell>
          <cell r="L1000">
            <v>0</v>
          </cell>
          <cell r="M1000">
            <v>0</v>
          </cell>
          <cell r="N1000">
            <v>0</v>
          </cell>
          <cell r="O1000">
            <v>9.5000000000000001E-2</v>
          </cell>
          <cell r="P1000">
            <v>0</v>
          </cell>
          <cell r="Q1000">
            <v>0</v>
          </cell>
          <cell r="R1000">
            <v>0.01</v>
          </cell>
          <cell r="S1000">
            <v>0</v>
          </cell>
          <cell r="T1000">
            <v>0</v>
          </cell>
          <cell r="U1000">
            <v>0</v>
          </cell>
          <cell r="V1000">
            <v>0</v>
          </cell>
          <cell r="W1000">
            <v>0</v>
          </cell>
          <cell r="X1000">
            <v>0</v>
          </cell>
          <cell r="Y1000">
            <v>0</v>
          </cell>
          <cell r="Z1000">
            <v>0</v>
          </cell>
          <cell r="AA1000">
            <v>0</v>
          </cell>
          <cell r="AB1000">
            <v>0</v>
          </cell>
          <cell r="AC1000">
            <v>0</v>
          </cell>
          <cell r="AD1000">
            <v>0</v>
          </cell>
          <cell r="AE1000" t="str">
            <v>MPET ĐB 12x770</v>
          </cell>
          <cell r="AF1000" t="str">
            <v>PE ĐB 60x770</v>
          </cell>
          <cell r="AG1000">
            <v>6.8607000000000001E-2</v>
          </cell>
          <cell r="AH1000">
            <v>1.1653333333333333</v>
          </cell>
          <cell r="AI1000">
            <v>1.54</v>
          </cell>
          <cell r="AJ1000">
            <v>9530</v>
          </cell>
          <cell r="AK1000">
            <v>9530</v>
          </cell>
          <cell r="AL1000" t="str">
            <v>0,0053(0,0023;0,003)</v>
          </cell>
          <cell r="AM1000" t="str">
            <v>dạng cuộn 700m</v>
          </cell>
          <cell r="AN1000">
            <v>150</v>
          </cell>
          <cell r="AO1000" t="str">
            <v>Công ty Việt Thắng</v>
          </cell>
          <cell r="AP1000" t="str">
            <v>22020346-1</v>
          </cell>
          <cell r="AQ1000" t="str">
            <v>22020346-2</v>
          </cell>
          <cell r="AR1000" t="str">
            <v>22020346-3</v>
          </cell>
          <cell r="AS1000" t="str">
            <v>22020346-4</v>
          </cell>
          <cell r="AT1000" t="str">
            <v>22020346-5</v>
          </cell>
          <cell r="AU1000">
            <v>0</v>
          </cell>
          <cell r="AV1000">
            <v>0</v>
          </cell>
          <cell r="AW1000">
            <v>0</v>
          </cell>
          <cell r="AX1000">
            <v>0</v>
          </cell>
          <cell r="AY1000" t="str">
            <v>440x870</v>
          </cell>
          <cell r="AZ1000">
            <v>0</v>
          </cell>
          <cell r="BA1000">
            <v>0</v>
          </cell>
          <cell r="BB1000">
            <v>0</v>
          </cell>
          <cell r="BC1000">
            <v>0</v>
          </cell>
          <cell r="BD1000" t="e">
            <v>#N/A</v>
          </cell>
        </row>
        <row r="1001">
          <cell r="A1001" t="str">
            <v>sp 1509</v>
          </cell>
          <cell r="B1001" t="str">
            <v>Cuộn snack dorati vị cà chua 25gr Libra</v>
          </cell>
          <cell r="C1001">
            <v>14.711</v>
          </cell>
          <cell r="D1001">
            <v>2</v>
          </cell>
          <cell r="E1001" t="str">
            <v>PET 12x660</v>
          </cell>
          <cell r="F1001">
            <v>8</v>
          </cell>
          <cell r="G1001" t="str">
            <v>PET</v>
          </cell>
          <cell r="H1001">
            <v>0</v>
          </cell>
          <cell r="I1001">
            <v>10.081</v>
          </cell>
          <cell r="J1001">
            <v>0.64300000000000002</v>
          </cell>
          <cell r="K1001">
            <v>0.85799999999999998</v>
          </cell>
          <cell r="L1001">
            <v>0.01</v>
          </cell>
          <cell r="M1001">
            <v>1.5009999999999999</v>
          </cell>
          <cell r="N1001">
            <v>0</v>
          </cell>
          <cell r="O1001">
            <v>0</v>
          </cell>
          <cell r="P1001">
            <v>0.214</v>
          </cell>
          <cell r="Q1001">
            <v>0</v>
          </cell>
          <cell r="R1001">
            <v>0</v>
          </cell>
          <cell r="S1001">
            <v>0</v>
          </cell>
          <cell r="T1001">
            <v>1.3939999999999999</v>
          </cell>
          <cell r="U1001">
            <v>0</v>
          </cell>
          <cell r="V1001">
            <v>0.01</v>
          </cell>
          <cell r="W1001">
            <v>0</v>
          </cell>
          <cell r="X1001">
            <v>0</v>
          </cell>
          <cell r="Y1001">
            <v>0</v>
          </cell>
          <cell r="Z1001">
            <v>0</v>
          </cell>
          <cell r="AA1001">
            <v>0</v>
          </cell>
          <cell r="AB1001">
            <v>0</v>
          </cell>
          <cell r="AC1001">
            <v>0</v>
          </cell>
          <cell r="AD1001">
            <v>0</v>
          </cell>
          <cell r="AE1001" t="str">
            <v>MPET 12x660</v>
          </cell>
          <cell r="AF1001" t="str">
            <v>PE 40x660</v>
          </cell>
          <cell r="AG1001">
            <v>4.6595999999999999E-2</v>
          </cell>
          <cell r="AH1001">
            <v>0.99666666666666659</v>
          </cell>
          <cell r="AI1001">
            <v>0.99666666666666659</v>
          </cell>
          <cell r="AJ1001">
            <v>9530</v>
          </cell>
          <cell r="AK1001">
            <v>9530</v>
          </cell>
          <cell r="AL1001" t="str">
            <v>0,0046(0,0023;0,0023)</v>
          </cell>
          <cell r="AM1001" t="str">
            <v>dạng cuộn 1,000m</v>
          </cell>
          <cell r="AN1001">
            <v>320</v>
          </cell>
          <cell r="AO1001" t="str">
            <v>Công ty Libra</v>
          </cell>
          <cell r="AP1001" t="str">
            <v>22020296-1</v>
          </cell>
          <cell r="AQ1001" t="str">
            <v>22030645-1</v>
          </cell>
          <cell r="AR1001" t="str">
            <v>22020296-3</v>
          </cell>
          <cell r="AS1001" t="str">
            <v>22020296-4</v>
          </cell>
          <cell r="AT1001" t="str">
            <v>22020296-5</v>
          </cell>
          <cell r="AU1001" t="str">
            <v>22020296-6</v>
          </cell>
          <cell r="AV1001" t="str">
            <v>22020296-7</v>
          </cell>
          <cell r="AW1001" t="str">
            <v>22020296-8</v>
          </cell>
          <cell r="AX1001">
            <v>0</v>
          </cell>
          <cell r="AY1001" t="str">
            <v>432x870</v>
          </cell>
          <cell r="AZ1001">
            <v>0</v>
          </cell>
          <cell r="BA1001">
            <v>0</v>
          </cell>
          <cell r="BB1001">
            <v>0</v>
          </cell>
          <cell r="BC1001">
            <v>0</v>
          </cell>
          <cell r="BD1001" t="e">
            <v>#N/A</v>
          </cell>
        </row>
        <row r="1002">
          <cell r="A1002" t="str">
            <v>sp 1510</v>
          </cell>
          <cell r="B1002" t="str">
            <v>Cuộn snack dorati vị tôm 25gr Libra</v>
          </cell>
          <cell r="C1002">
            <v>6.7139999999999995</v>
          </cell>
          <cell r="D1002">
            <v>2</v>
          </cell>
          <cell r="E1002" t="str">
            <v>PET 12x660</v>
          </cell>
          <cell r="F1002">
            <v>8</v>
          </cell>
          <cell r="G1002" t="str">
            <v>PET</v>
          </cell>
          <cell r="H1002">
            <v>0</v>
          </cell>
          <cell r="I1002">
            <v>5.5970000000000004</v>
          </cell>
          <cell r="J1002">
            <v>0.01</v>
          </cell>
          <cell r="K1002">
            <v>0.01</v>
          </cell>
          <cell r="L1002">
            <v>0.01</v>
          </cell>
          <cell r="M1002">
            <v>0</v>
          </cell>
          <cell r="N1002">
            <v>0</v>
          </cell>
          <cell r="O1002">
            <v>0</v>
          </cell>
          <cell r="P1002">
            <v>0.96899999999999997</v>
          </cell>
          <cell r="Q1002">
            <v>0</v>
          </cell>
          <cell r="R1002">
            <v>0.108</v>
          </cell>
          <cell r="S1002">
            <v>0</v>
          </cell>
          <cell r="T1002">
            <v>0</v>
          </cell>
          <cell r="U1002">
            <v>0</v>
          </cell>
          <cell r="V1002">
            <v>0</v>
          </cell>
          <cell r="W1002">
            <v>0.01</v>
          </cell>
          <cell r="X1002">
            <v>0</v>
          </cell>
          <cell r="Y1002">
            <v>0</v>
          </cell>
          <cell r="Z1002">
            <v>0</v>
          </cell>
          <cell r="AA1002">
            <v>0</v>
          </cell>
          <cell r="AB1002">
            <v>0</v>
          </cell>
          <cell r="AC1002">
            <v>0</v>
          </cell>
          <cell r="AD1002">
            <v>0</v>
          </cell>
          <cell r="AE1002" t="str">
            <v>MPET 12x660</v>
          </cell>
          <cell r="AF1002" t="str">
            <v>PE 40x660</v>
          </cell>
          <cell r="AG1002">
            <v>4.6595999999999999E-2</v>
          </cell>
          <cell r="AH1002">
            <v>0.99666666666666659</v>
          </cell>
          <cell r="AI1002">
            <v>0.99666666666666659</v>
          </cell>
          <cell r="AJ1002">
            <v>9530</v>
          </cell>
          <cell r="AK1002">
            <v>9530</v>
          </cell>
          <cell r="AL1002" t="str">
            <v>0,0046(0,0023;0,0023)</v>
          </cell>
          <cell r="AM1002" t="str">
            <v>dạng cuộn 1,000m</v>
          </cell>
          <cell r="AN1002">
            <v>320</v>
          </cell>
          <cell r="AO1002" t="str">
            <v>Công ty Libra</v>
          </cell>
          <cell r="AP1002" t="str">
            <v>22020298-1</v>
          </cell>
          <cell r="AQ1002" t="str">
            <v>22030647-1</v>
          </cell>
          <cell r="AR1002" t="str">
            <v>22020296-3</v>
          </cell>
          <cell r="AS1002" t="str">
            <v>22020298-4</v>
          </cell>
          <cell r="AT1002" t="str">
            <v>22020298-5</v>
          </cell>
          <cell r="AU1002" t="str">
            <v>22020298-6</v>
          </cell>
          <cell r="AV1002" t="str">
            <v>22020298-7</v>
          </cell>
          <cell r="AW1002" t="str">
            <v>22020296-8</v>
          </cell>
          <cell r="AX1002">
            <v>0</v>
          </cell>
          <cell r="AY1002" t="str">
            <v>432x870</v>
          </cell>
          <cell r="AZ1002">
            <v>0</v>
          </cell>
          <cell r="BA1002">
            <v>0</v>
          </cell>
          <cell r="BB1002">
            <v>0</v>
          </cell>
          <cell r="BC1002">
            <v>0</v>
          </cell>
          <cell r="BD1002" t="e">
            <v>#N/A</v>
          </cell>
        </row>
        <row r="1003">
          <cell r="A1003" t="str">
            <v>sp 1511</v>
          </cell>
          <cell r="B1003" t="str">
            <v>Cuộn snack dorati vị ngô 25gr Libra</v>
          </cell>
          <cell r="C1003">
            <v>13.503</v>
          </cell>
          <cell r="D1003">
            <v>2</v>
          </cell>
          <cell r="E1003" t="str">
            <v>PET 12x660</v>
          </cell>
          <cell r="F1003">
            <v>8</v>
          </cell>
          <cell r="G1003" t="str">
            <v>PET</v>
          </cell>
          <cell r="H1003">
            <v>0.01</v>
          </cell>
          <cell r="I1003">
            <v>5.2960000000000003</v>
          </cell>
          <cell r="J1003">
            <v>0.01</v>
          </cell>
          <cell r="K1003">
            <v>0.54500000000000004</v>
          </cell>
          <cell r="L1003">
            <v>2.492</v>
          </cell>
          <cell r="M1003">
            <v>3.8940000000000001</v>
          </cell>
          <cell r="N1003">
            <v>0</v>
          </cell>
          <cell r="O1003">
            <v>0</v>
          </cell>
          <cell r="P1003">
            <v>1.246</v>
          </cell>
          <cell r="Q1003">
            <v>0</v>
          </cell>
          <cell r="R1003">
            <v>0.01</v>
          </cell>
          <cell r="S1003">
            <v>0</v>
          </cell>
          <cell r="T1003">
            <v>0</v>
          </cell>
          <cell r="U1003">
            <v>0</v>
          </cell>
          <cell r="V1003">
            <v>0</v>
          </cell>
          <cell r="W1003">
            <v>0</v>
          </cell>
          <cell r="X1003">
            <v>0</v>
          </cell>
          <cell r="Y1003">
            <v>0</v>
          </cell>
          <cell r="Z1003">
            <v>0</v>
          </cell>
          <cell r="AA1003">
            <v>0</v>
          </cell>
          <cell r="AB1003">
            <v>0</v>
          </cell>
          <cell r="AC1003">
            <v>0</v>
          </cell>
          <cell r="AD1003">
            <v>0</v>
          </cell>
          <cell r="AE1003" t="str">
            <v>MPET 12x660</v>
          </cell>
          <cell r="AF1003" t="str">
            <v>PE 40x660</v>
          </cell>
          <cell r="AG1003">
            <v>4.6595999999999999E-2</v>
          </cell>
          <cell r="AH1003">
            <v>0.99666666666666659</v>
          </cell>
          <cell r="AI1003">
            <v>0.99666666666666659</v>
          </cell>
          <cell r="AJ1003">
            <v>9530</v>
          </cell>
          <cell r="AK1003">
            <v>9530</v>
          </cell>
          <cell r="AL1003" t="str">
            <v>0,0046(0,0023;0,0023)</v>
          </cell>
          <cell r="AM1003" t="str">
            <v>dạng cuộn 1,000m</v>
          </cell>
          <cell r="AN1003">
            <v>320</v>
          </cell>
          <cell r="AO1003" t="str">
            <v>Công ty Libra</v>
          </cell>
          <cell r="AP1003" t="str">
            <v>22020297-1</v>
          </cell>
          <cell r="AQ1003" t="str">
            <v>22030646-1</v>
          </cell>
          <cell r="AR1003" t="str">
            <v>22020296-3</v>
          </cell>
          <cell r="AS1003" t="str">
            <v>22020297-4</v>
          </cell>
          <cell r="AT1003" t="str">
            <v>22020297-5</v>
          </cell>
          <cell r="AU1003" t="str">
            <v>22020297-6</v>
          </cell>
          <cell r="AV1003" t="str">
            <v>22020297-7</v>
          </cell>
          <cell r="AW1003" t="str">
            <v>22020297-8</v>
          </cell>
          <cell r="AX1003">
            <v>0</v>
          </cell>
          <cell r="AY1003" t="str">
            <v>432x870</v>
          </cell>
          <cell r="AZ1003">
            <v>0</v>
          </cell>
          <cell r="BA1003">
            <v>0</v>
          </cell>
          <cell r="BB1003">
            <v>0</v>
          </cell>
          <cell r="BC1003">
            <v>0</v>
          </cell>
          <cell r="BD1003" t="e">
            <v>#N/A</v>
          </cell>
        </row>
        <row r="1004">
          <cell r="A1004" t="str">
            <v>sp 1512</v>
          </cell>
          <cell r="B1004" t="str">
            <v>Túi hạt giống rau muống lá tre và dền đỏ lá tròn Japan 09SP KT 130x190</v>
          </cell>
          <cell r="C1004">
            <v>2.8170000000000002</v>
          </cell>
          <cell r="D1004">
            <v>3</v>
          </cell>
          <cell r="E1004" t="str">
            <v>OPP 30x800</v>
          </cell>
          <cell r="F1004">
            <v>5</v>
          </cell>
          <cell r="G1004" t="str">
            <v>OPP</v>
          </cell>
          <cell r="H1004">
            <v>0.01</v>
          </cell>
          <cell r="I1004">
            <v>0.89</v>
          </cell>
          <cell r="J1004">
            <v>0.58199999999999996</v>
          </cell>
          <cell r="K1004">
            <v>0.34200000000000003</v>
          </cell>
          <cell r="L1004">
            <v>0.65100000000000002</v>
          </cell>
          <cell r="M1004">
            <v>0.34200000000000003</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t="str">
            <v>MPET 12x800</v>
          </cell>
          <cell r="AF1004" t="str">
            <v>PE 75x800</v>
          </cell>
          <cell r="AG1004">
            <v>9.0780000000000013E-2</v>
          </cell>
          <cell r="AH1004">
            <v>1.2113333333333334</v>
          </cell>
          <cell r="AI1004">
            <v>1.58</v>
          </cell>
          <cell r="AJ1004">
            <v>9530</v>
          </cell>
          <cell r="AK1004">
            <v>9530</v>
          </cell>
          <cell r="AL1004" t="str">
            <v>0,0053(0,0023;0,003)</v>
          </cell>
          <cell r="AM1004" t="str">
            <v>túi 3 biên</v>
          </cell>
          <cell r="AN1004">
            <v>190</v>
          </cell>
          <cell r="AO1004" t="str">
            <v>Công ty TNHH SX&amp;TM Việt Nhật</v>
          </cell>
          <cell r="AP1004" t="str">
            <v>22020290-1</v>
          </cell>
          <cell r="AQ1004" t="str">
            <v>22020290-2</v>
          </cell>
          <cell r="AR1004" t="str">
            <v>22020290-3</v>
          </cell>
          <cell r="AS1004" t="str">
            <v>22020290-4</v>
          </cell>
          <cell r="AT1004" t="str">
            <v>22020290-5</v>
          </cell>
          <cell r="AU1004">
            <v>0</v>
          </cell>
          <cell r="AV1004">
            <v>0</v>
          </cell>
          <cell r="AW1004">
            <v>0</v>
          </cell>
          <cell r="AX1004">
            <v>0</v>
          </cell>
          <cell r="AY1004" t="str">
            <v>570x870</v>
          </cell>
          <cell r="AZ1004">
            <v>0</v>
          </cell>
          <cell r="BA1004">
            <v>0</v>
          </cell>
          <cell r="BB1004">
            <v>0</v>
          </cell>
          <cell r="BC1004">
            <v>0</v>
          </cell>
          <cell r="BD1004" t="e">
            <v>#N/A</v>
          </cell>
        </row>
        <row r="1005">
          <cell r="A1005" t="str">
            <v>sp 1513</v>
          </cell>
          <cell r="B1005" t="str">
            <v>Túi thuốc thú y không in OPP/PE sứ KT 110x160mm Thái Dương</v>
          </cell>
          <cell r="C1005">
            <v>0</v>
          </cell>
          <cell r="D1005">
            <v>4</v>
          </cell>
          <cell r="E1005" t="str">
            <v>OPP 20x900</v>
          </cell>
          <cell r="F1005">
            <v>0</v>
          </cell>
          <cell r="G1005" t="str">
            <v>OPP</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t="str">
            <v>PE sứ 50x900</v>
          </cell>
          <cell r="AF1005">
            <v>0</v>
          </cell>
          <cell r="AG1005">
            <v>5.8230000000000011E-2</v>
          </cell>
          <cell r="AH1005">
            <v>1.3646666666666665</v>
          </cell>
          <cell r="AI1005">
            <v>0</v>
          </cell>
          <cell r="AJ1005">
            <v>9530</v>
          </cell>
          <cell r="AK1005">
            <v>0</v>
          </cell>
          <cell r="AL1005">
            <v>2.3E-3</v>
          </cell>
          <cell r="AM1005" t="str">
            <v>túi 3 biên</v>
          </cell>
          <cell r="AN1005">
            <v>160</v>
          </cell>
          <cell r="AO1005" t="str">
            <v>Công ty Thái Dương</v>
          </cell>
          <cell r="AP1005">
            <v>0</v>
          </cell>
          <cell r="AQ1005">
            <v>0</v>
          </cell>
          <cell r="AR1005">
            <v>0</v>
          </cell>
          <cell r="AS1005">
            <v>0</v>
          </cell>
          <cell r="AT1005">
            <v>0</v>
          </cell>
          <cell r="AU1005">
            <v>0</v>
          </cell>
          <cell r="AV1005">
            <v>0</v>
          </cell>
          <cell r="AW1005">
            <v>0</v>
          </cell>
          <cell r="AX1005">
            <v>0</v>
          </cell>
          <cell r="AY1005">
            <v>0</v>
          </cell>
          <cell r="AZ1005">
            <v>0</v>
          </cell>
          <cell r="BA1005">
            <v>0</v>
          </cell>
          <cell r="BB1005">
            <v>0</v>
          </cell>
          <cell r="BC1005">
            <v>0</v>
          </cell>
          <cell r="BD1005" t="e">
            <v>#N/A</v>
          </cell>
        </row>
        <row r="1006">
          <cell r="A1006" t="str">
            <v>sp 1514</v>
          </cell>
          <cell r="B1006" t="str">
            <v>Cuộn trà HS cozy hương bạc hà  túi nhúng T4 mẫu mới 2022 Phú Thọ</v>
          </cell>
          <cell r="C1006">
            <v>0</v>
          </cell>
          <cell r="D1006">
            <v>4</v>
          </cell>
          <cell r="E1006" t="str">
            <v>PET 12x640</v>
          </cell>
          <cell r="F1006">
            <v>6</v>
          </cell>
          <cell r="G1006" t="str">
            <v>PET</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t="str">
            <v>MCPP 35x640</v>
          </cell>
          <cell r="AF1006">
            <v>0</v>
          </cell>
          <cell r="AG1006">
            <v>3.1136E-2</v>
          </cell>
          <cell r="AH1006">
            <v>0.96599999999999997</v>
          </cell>
          <cell r="AI1006">
            <v>0</v>
          </cell>
          <cell r="AJ1006">
            <v>9530</v>
          </cell>
          <cell r="AK1006">
            <v>155</v>
          </cell>
          <cell r="AL1006">
            <v>2.3E-3</v>
          </cell>
          <cell r="AM1006" t="str">
            <v>dạng cuộn 1,500m</v>
          </cell>
          <cell r="AN1006">
            <v>155</v>
          </cell>
          <cell r="AO1006" t="str">
            <v>Công ty TNHH Thế hệ mới Vĩnh Phúc</v>
          </cell>
          <cell r="AP1006" t="str">
            <v>22030591-1</v>
          </cell>
          <cell r="AQ1006" t="str">
            <v>22030591-2</v>
          </cell>
          <cell r="AR1006" t="str">
            <v>22030591-3</v>
          </cell>
          <cell r="AS1006" t="str">
            <v>22030591-4</v>
          </cell>
          <cell r="AT1006" t="str">
            <v>22030591-5</v>
          </cell>
          <cell r="AU1006" t="str">
            <v>22030591-6</v>
          </cell>
          <cell r="AV1006" t="str">
            <v>F124739-7</v>
          </cell>
          <cell r="AW1006">
            <v>0</v>
          </cell>
          <cell r="AX1006">
            <v>0</v>
          </cell>
          <cell r="AY1006" t="str">
            <v>462x870</v>
          </cell>
          <cell r="AZ1006">
            <v>0</v>
          </cell>
          <cell r="BA1006">
            <v>0</v>
          </cell>
          <cell r="BB1006">
            <v>0</v>
          </cell>
          <cell r="BC1006">
            <v>0</v>
          </cell>
          <cell r="BD1006" t="e">
            <v>#N/A</v>
          </cell>
        </row>
        <row r="1007">
          <cell r="A1007" t="str">
            <v>sp 1515</v>
          </cell>
          <cell r="B1007" t="str">
            <v>Cuộn trà HS cozy hương đào túi nhúng T4 mẫu mới 2022 Phú  Thọ</v>
          </cell>
          <cell r="C1007">
            <v>6.8689999999999998</v>
          </cell>
          <cell r="D1007">
            <v>4</v>
          </cell>
          <cell r="E1007" t="str">
            <v>PET 12x640</v>
          </cell>
          <cell r="F1007">
            <v>6</v>
          </cell>
          <cell r="G1007" t="str">
            <v>PET</v>
          </cell>
          <cell r="H1007">
            <v>0.46400000000000002</v>
          </cell>
          <cell r="I1007">
            <v>3.9</v>
          </cell>
          <cell r="J1007">
            <v>0.01</v>
          </cell>
          <cell r="K1007">
            <v>0.01</v>
          </cell>
          <cell r="L1007">
            <v>1.8560000000000001</v>
          </cell>
          <cell r="M1007">
            <v>0.155</v>
          </cell>
          <cell r="N1007">
            <v>0</v>
          </cell>
          <cell r="O1007">
            <v>0</v>
          </cell>
          <cell r="P1007">
            <v>0.01</v>
          </cell>
          <cell r="Q1007">
            <v>0.46400000000000002</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t="str">
            <v>MCPP 35x640</v>
          </cell>
          <cell r="AF1007">
            <v>0</v>
          </cell>
          <cell r="AG1007">
            <v>3.1136E-2</v>
          </cell>
          <cell r="AH1007">
            <v>0.96599999999999997</v>
          </cell>
          <cell r="AI1007">
            <v>0</v>
          </cell>
          <cell r="AJ1007">
            <v>9530</v>
          </cell>
          <cell r="AK1007">
            <v>155</v>
          </cell>
          <cell r="AL1007">
            <v>2.3E-3</v>
          </cell>
          <cell r="AM1007" t="str">
            <v>dạng cuộn 1,500m</v>
          </cell>
          <cell r="AN1007">
            <v>155</v>
          </cell>
          <cell r="AO1007" t="str">
            <v>Công ty TNHH Thế hệ mới Vĩnh Phúc</v>
          </cell>
          <cell r="AP1007" t="str">
            <v>22030590-1</v>
          </cell>
          <cell r="AQ1007" t="str">
            <v>22030590-2</v>
          </cell>
          <cell r="AR1007" t="str">
            <v>22030590-3</v>
          </cell>
          <cell r="AS1007" t="str">
            <v>22030590-4</v>
          </cell>
          <cell r="AT1007" t="str">
            <v>22030590-5</v>
          </cell>
          <cell r="AU1007" t="str">
            <v>22030590-6</v>
          </cell>
          <cell r="AV1007" t="str">
            <v>F124739-7</v>
          </cell>
          <cell r="AW1007">
            <v>0</v>
          </cell>
          <cell r="AX1007">
            <v>0</v>
          </cell>
          <cell r="AY1007" t="str">
            <v>462x870</v>
          </cell>
          <cell r="AZ1007">
            <v>0</v>
          </cell>
          <cell r="BA1007">
            <v>0</v>
          </cell>
          <cell r="BB1007">
            <v>0</v>
          </cell>
          <cell r="BC1007">
            <v>0</v>
          </cell>
          <cell r="BD1007" t="e">
            <v>#N/A</v>
          </cell>
        </row>
        <row r="1008">
          <cell r="A1008" t="str">
            <v>sp 1516</v>
          </cell>
          <cell r="B1008" t="str">
            <v>Cuộn trà HS cozy hương dâu túi nhúng T4 mẫu mới 2022 Phú  Thọ</v>
          </cell>
          <cell r="C1008">
            <v>7.8720000000000008</v>
          </cell>
          <cell r="D1008">
            <v>4</v>
          </cell>
          <cell r="E1008" t="str">
            <v>PET 12x640</v>
          </cell>
          <cell r="F1008">
            <v>6</v>
          </cell>
          <cell r="G1008" t="str">
            <v>PET</v>
          </cell>
          <cell r="H1008">
            <v>0.47</v>
          </cell>
          <cell r="I1008">
            <v>2.823</v>
          </cell>
          <cell r="J1008">
            <v>6.7000000000000004E-2</v>
          </cell>
          <cell r="K1008">
            <v>1.1419999999999999</v>
          </cell>
          <cell r="L1008">
            <v>0.13400000000000001</v>
          </cell>
          <cell r="M1008">
            <v>0</v>
          </cell>
          <cell r="N1008">
            <v>0</v>
          </cell>
          <cell r="O1008">
            <v>0</v>
          </cell>
          <cell r="P1008">
            <v>1.3440000000000001</v>
          </cell>
          <cell r="Q1008">
            <v>1.8819999999999999</v>
          </cell>
          <cell r="R1008">
            <v>0</v>
          </cell>
          <cell r="S1008">
            <v>0</v>
          </cell>
          <cell r="T1008">
            <v>0</v>
          </cell>
          <cell r="U1008">
            <v>0</v>
          </cell>
          <cell r="V1008">
            <v>0.01</v>
          </cell>
          <cell r="W1008">
            <v>0</v>
          </cell>
          <cell r="X1008">
            <v>0</v>
          </cell>
          <cell r="Y1008">
            <v>0</v>
          </cell>
          <cell r="Z1008">
            <v>0</v>
          </cell>
          <cell r="AA1008">
            <v>0</v>
          </cell>
          <cell r="AB1008">
            <v>0</v>
          </cell>
          <cell r="AC1008">
            <v>0</v>
          </cell>
          <cell r="AD1008">
            <v>0</v>
          </cell>
          <cell r="AE1008" t="str">
            <v>MCPP 35x640</v>
          </cell>
          <cell r="AF1008">
            <v>0</v>
          </cell>
          <cell r="AG1008">
            <v>3.1136E-2</v>
          </cell>
          <cell r="AH1008">
            <v>0.96599999999999997</v>
          </cell>
          <cell r="AI1008">
            <v>0</v>
          </cell>
          <cell r="AJ1008">
            <v>9530</v>
          </cell>
          <cell r="AK1008">
            <v>155</v>
          </cell>
          <cell r="AL1008">
            <v>2.3E-3</v>
          </cell>
          <cell r="AM1008" t="str">
            <v>dạng cuộn 1,500m</v>
          </cell>
          <cell r="AN1008">
            <v>155</v>
          </cell>
          <cell r="AO1008" t="str">
            <v>Công ty TNHH Thế hệ mới Vĩnh Phúc</v>
          </cell>
          <cell r="AP1008" t="str">
            <v>22030592-1</v>
          </cell>
          <cell r="AQ1008" t="str">
            <v>22030592-2</v>
          </cell>
          <cell r="AR1008" t="str">
            <v>22030592-3</v>
          </cell>
          <cell r="AS1008" t="str">
            <v>22030592-4</v>
          </cell>
          <cell r="AT1008" t="str">
            <v>22030592-5</v>
          </cell>
          <cell r="AU1008" t="str">
            <v>22030592-6</v>
          </cell>
          <cell r="AV1008" t="str">
            <v>F124739-7</v>
          </cell>
          <cell r="AW1008">
            <v>0</v>
          </cell>
          <cell r="AX1008">
            <v>0</v>
          </cell>
          <cell r="AY1008" t="str">
            <v>462x870</v>
          </cell>
          <cell r="AZ1008">
            <v>0</v>
          </cell>
          <cell r="BA1008">
            <v>0</v>
          </cell>
          <cell r="BB1008">
            <v>0</v>
          </cell>
          <cell r="BC1008">
            <v>0</v>
          </cell>
          <cell r="BD1008" t="e">
            <v>#N/A</v>
          </cell>
        </row>
        <row r="1009">
          <cell r="A1009" t="str">
            <v>sp 1517</v>
          </cell>
          <cell r="B1009" t="str">
            <v>Túi zipper đáy đứng thuốc thú y sun SVT pharma 1kg Thái Dương</v>
          </cell>
          <cell r="C1009">
            <v>2.2169999999999996</v>
          </cell>
          <cell r="D1009">
            <v>1</v>
          </cell>
          <cell r="E1009" t="str">
            <v>PET 12x800</v>
          </cell>
          <cell r="F1009">
            <v>2</v>
          </cell>
          <cell r="G1009" t="str">
            <v>PET</v>
          </cell>
          <cell r="H1009">
            <v>1.4710000000000001</v>
          </cell>
          <cell r="I1009">
            <v>0</v>
          </cell>
          <cell r="J1009">
            <v>0</v>
          </cell>
          <cell r="K1009">
            <v>0.73599999999999999</v>
          </cell>
          <cell r="L1009">
            <v>0</v>
          </cell>
          <cell r="M1009">
            <v>0</v>
          </cell>
          <cell r="N1009">
            <v>0</v>
          </cell>
          <cell r="O1009">
            <v>0</v>
          </cell>
          <cell r="P1009">
            <v>0.01</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t="str">
            <v>Al 6,5x800</v>
          </cell>
          <cell r="AF1009" t="str">
            <v>PE 120x810</v>
          </cell>
          <cell r="AG1009">
            <v>0.11633200000000002</v>
          </cell>
          <cell r="AH1009">
            <v>1.58</v>
          </cell>
          <cell r="AI1009">
            <v>1.58</v>
          </cell>
          <cell r="AJ1009">
            <v>9530</v>
          </cell>
          <cell r="AK1009">
            <v>9530</v>
          </cell>
          <cell r="AL1009" t="str">
            <v>0,006(0,003;0,003)</v>
          </cell>
          <cell r="AM1009" t="str">
            <v>túi ba biên zipper</v>
          </cell>
          <cell r="AN1009">
            <v>250</v>
          </cell>
          <cell r="AO1009" t="str">
            <v>Công ty CP Thú Y SVT Thái Dương</v>
          </cell>
          <cell r="AP1009" t="str">
            <v>22020511-1</v>
          </cell>
          <cell r="AQ1009" t="str">
            <v>22020511-2</v>
          </cell>
          <cell r="AR1009">
            <v>0</v>
          </cell>
          <cell r="AS1009">
            <v>0</v>
          </cell>
          <cell r="AT1009">
            <v>0</v>
          </cell>
          <cell r="AU1009">
            <v>0</v>
          </cell>
          <cell r="AV1009">
            <v>0</v>
          </cell>
          <cell r="AW1009">
            <v>0</v>
          </cell>
          <cell r="AX1009">
            <v>0</v>
          </cell>
          <cell r="AY1009" t="str">
            <v>500x870</v>
          </cell>
          <cell r="AZ1009">
            <v>0</v>
          </cell>
          <cell r="BA1009">
            <v>0</v>
          </cell>
          <cell r="BB1009">
            <v>0</v>
          </cell>
          <cell r="BC1009">
            <v>0</v>
          </cell>
          <cell r="BD1009" t="e">
            <v>#N/A</v>
          </cell>
        </row>
        <row r="1010">
          <cell r="A1010" t="str">
            <v>sp 1518</v>
          </cell>
          <cell r="B1010" t="str">
            <v>Túi bánh bơ trứng giòn karo 150gr Richy chương trình khuyến mại</v>
          </cell>
          <cell r="C1010">
            <v>6.5760000000000014</v>
          </cell>
          <cell r="D1010">
            <v>2</v>
          </cell>
          <cell r="E1010" t="str">
            <v>OPP 20x928</v>
          </cell>
          <cell r="F1010">
            <v>8</v>
          </cell>
          <cell r="G1010" t="str">
            <v>OPP</v>
          </cell>
          <cell r="H1010">
            <v>0</v>
          </cell>
          <cell r="I1010">
            <v>4.0220000000000002</v>
          </cell>
          <cell r="J1010">
            <v>2.7E-2</v>
          </cell>
          <cell r="K1010">
            <v>0.192</v>
          </cell>
          <cell r="L1010">
            <v>0.49199999999999999</v>
          </cell>
          <cell r="M1010">
            <v>0.876</v>
          </cell>
          <cell r="N1010">
            <v>0.32800000000000001</v>
          </cell>
          <cell r="O1010">
            <v>0</v>
          </cell>
          <cell r="P1010">
            <v>0.32800000000000001</v>
          </cell>
          <cell r="Q1010">
            <v>0.27400000000000002</v>
          </cell>
          <cell r="R1010">
            <v>0</v>
          </cell>
          <cell r="S1010">
            <v>0.01</v>
          </cell>
          <cell r="T1010">
            <v>2.7E-2</v>
          </cell>
          <cell r="U1010">
            <v>0</v>
          </cell>
          <cell r="V1010">
            <v>0</v>
          </cell>
          <cell r="W1010">
            <v>0</v>
          </cell>
          <cell r="X1010">
            <v>0</v>
          </cell>
          <cell r="Y1010">
            <v>0</v>
          </cell>
          <cell r="Z1010">
            <v>0</v>
          </cell>
          <cell r="AA1010">
            <v>0</v>
          </cell>
          <cell r="AB1010">
            <v>0</v>
          </cell>
          <cell r="AC1010">
            <v>0</v>
          </cell>
          <cell r="AD1010">
            <v>0</v>
          </cell>
          <cell r="AE1010" t="str">
            <v>MCPP 35x928</v>
          </cell>
          <cell r="AF1010">
            <v>0</v>
          </cell>
          <cell r="AG1010">
            <v>4.6446400000000006E-2</v>
          </cell>
          <cell r="AH1010">
            <v>3.9327120000000001E-4</v>
          </cell>
          <cell r="AI1010">
            <v>0</v>
          </cell>
          <cell r="AJ1010" t="str">
            <v>keo 829B
ĐR 829A</v>
          </cell>
          <cell r="AK1010">
            <v>0</v>
          </cell>
          <cell r="AL1010">
            <v>1.4E-3</v>
          </cell>
          <cell r="AM1010" t="str">
            <v>túi hàn lưng xếp hông lệch</v>
          </cell>
          <cell r="AN1010">
            <v>360</v>
          </cell>
          <cell r="AO1010" t="str">
            <v>Công ty CP thực phẩm Richy Miền Bắc</v>
          </cell>
          <cell r="AP1010" t="str">
            <v>F130620-1</v>
          </cell>
          <cell r="AQ1010" t="str">
            <v>F130620-2</v>
          </cell>
          <cell r="AR1010" t="str">
            <v>F130620-3</v>
          </cell>
          <cell r="AS1010" t="str">
            <v>F130620-4</v>
          </cell>
          <cell r="AT1010" t="str">
            <v>F130620-5</v>
          </cell>
          <cell r="AU1010" t="str">
            <v>F130620-6</v>
          </cell>
          <cell r="AV1010" t="str">
            <v>F130620-7</v>
          </cell>
          <cell r="AW1010" t="str">
            <v>F130620-8</v>
          </cell>
          <cell r="AX1010">
            <v>0</v>
          </cell>
          <cell r="AY1010" t="str">
            <v>720x1100</v>
          </cell>
          <cell r="AZ1010">
            <v>0</v>
          </cell>
          <cell r="BA1010">
            <v>0</v>
          </cell>
          <cell r="BB1010">
            <v>0</v>
          </cell>
          <cell r="BC1010">
            <v>0</v>
          </cell>
          <cell r="BD1010" t="e">
            <v>#N/A</v>
          </cell>
        </row>
        <row r="1011">
          <cell r="A1011" t="str">
            <v>sp 1519</v>
          </cell>
          <cell r="B1011" t="str">
            <v>Túi bánh karo bơ trứng giòn 270gr Richy chương trình khuyến mại</v>
          </cell>
          <cell r="C1011">
            <v>4.6509999999999998</v>
          </cell>
          <cell r="D1011">
            <v>2</v>
          </cell>
          <cell r="E1011" t="str">
            <v>OPP 30x1120</v>
          </cell>
          <cell r="F1011">
            <v>8</v>
          </cell>
          <cell r="G1011" t="str">
            <v>OPP</v>
          </cell>
          <cell r="H1011">
            <v>0.01</v>
          </cell>
          <cell r="I1011">
            <v>3.7440000000000002</v>
          </cell>
          <cell r="J1011">
            <v>0.29599999999999999</v>
          </cell>
          <cell r="K1011">
            <v>0.13100000000000001</v>
          </cell>
          <cell r="L1011">
            <v>0.378</v>
          </cell>
          <cell r="M1011">
            <v>0</v>
          </cell>
          <cell r="N1011">
            <v>0</v>
          </cell>
          <cell r="O1011">
            <v>0</v>
          </cell>
          <cell r="P1011">
            <v>0</v>
          </cell>
          <cell r="Q1011">
            <v>0</v>
          </cell>
          <cell r="R1011">
            <v>0</v>
          </cell>
          <cell r="S1011">
            <v>8.2000000000000003E-2</v>
          </cell>
          <cell r="T1011">
            <v>0.01</v>
          </cell>
          <cell r="U1011">
            <v>0</v>
          </cell>
          <cell r="V1011">
            <v>0</v>
          </cell>
          <cell r="W1011">
            <v>0</v>
          </cell>
          <cell r="X1011">
            <v>0</v>
          </cell>
          <cell r="Y1011">
            <v>0</v>
          </cell>
          <cell r="Z1011">
            <v>0</v>
          </cell>
          <cell r="AA1011">
            <v>0</v>
          </cell>
          <cell r="AB1011">
            <v>0</v>
          </cell>
          <cell r="AC1011">
            <v>0</v>
          </cell>
          <cell r="AD1011">
            <v>0</v>
          </cell>
          <cell r="AE1011" t="str">
            <v>PE 50x1120</v>
          </cell>
          <cell r="AF1011">
            <v>0</v>
          </cell>
          <cell r="AG1011">
            <v>8.2376000000000019E-2</v>
          </cell>
          <cell r="AH1011">
            <v>4.8552000000000003E-4</v>
          </cell>
          <cell r="AI1011">
            <v>0</v>
          </cell>
          <cell r="AJ1011" t="str">
            <v>keo 829B
ĐR 829A</v>
          </cell>
          <cell r="AK1011">
            <v>0</v>
          </cell>
          <cell r="AL1011">
            <v>1.4E-3</v>
          </cell>
          <cell r="AM1011" t="str">
            <v>túi ba biên</v>
          </cell>
          <cell r="AN1011">
            <v>350</v>
          </cell>
          <cell r="AO1011" t="str">
            <v>Công ty CP thực phẩm Richy Miền Bắc</v>
          </cell>
          <cell r="AP1011" t="str">
            <v>F130619-1</v>
          </cell>
          <cell r="AQ1011" t="str">
            <v>F130619-2</v>
          </cell>
          <cell r="AR1011" t="str">
            <v>F130619-3</v>
          </cell>
          <cell r="AS1011" t="str">
            <v>F130619-4</v>
          </cell>
          <cell r="AT1011" t="str">
            <v>F130619-5</v>
          </cell>
          <cell r="AU1011" t="str">
            <v>F130619-6</v>
          </cell>
          <cell r="AV1011" t="str">
            <v>F130619-7</v>
          </cell>
          <cell r="AW1011" t="str">
            <v>F129291-8</v>
          </cell>
          <cell r="AX1011">
            <v>0</v>
          </cell>
          <cell r="AY1011" t="str">
            <v>700x1250</v>
          </cell>
          <cell r="AZ1011">
            <v>0</v>
          </cell>
          <cell r="BA1011">
            <v>0</v>
          </cell>
          <cell r="BB1011">
            <v>0</v>
          </cell>
          <cell r="BC1011">
            <v>0</v>
          </cell>
          <cell r="BD1011" t="e">
            <v>#N/A</v>
          </cell>
        </row>
        <row r="1012">
          <cell r="A1012" t="str">
            <v>sp 1520</v>
          </cell>
          <cell r="B1012" t="str">
            <v>Túi nhôm bao phim seacan K2 6 vỉ x 10 viên Traphaco</v>
          </cell>
          <cell r="C1012">
            <v>3.8119999999999994</v>
          </cell>
          <cell r="D1012">
            <v>3</v>
          </cell>
          <cell r="E1012" t="str">
            <v>OPP 20x720</v>
          </cell>
          <cell r="F1012">
            <v>2</v>
          </cell>
          <cell r="G1012" t="str">
            <v>OPP</v>
          </cell>
          <cell r="H1012">
            <v>1.8009999999999999</v>
          </cell>
          <cell r="I1012">
            <v>0</v>
          </cell>
          <cell r="J1012">
            <v>0</v>
          </cell>
          <cell r="K1012">
            <v>2.0009999999999999</v>
          </cell>
          <cell r="L1012">
            <v>0</v>
          </cell>
          <cell r="M1012">
            <v>0</v>
          </cell>
          <cell r="N1012">
            <v>0</v>
          </cell>
          <cell r="O1012">
            <v>0</v>
          </cell>
          <cell r="P1012">
            <v>0</v>
          </cell>
          <cell r="Q1012">
            <v>0</v>
          </cell>
          <cell r="R1012">
            <v>0.01</v>
          </cell>
          <cell r="S1012">
            <v>0</v>
          </cell>
          <cell r="T1012">
            <v>0</v>
          </cell>
          <cell r="U1012">
            <v>0</v>
          </cell>
          <cell r="V1012">
            <v>0</v>
          </cell>
          <cell r="W1012">
            <v>0</v>
          </cell>
          <cell r="X1012">
            <v>0</v>
          </cell>
          <cell r="Y1012">
            <v>0</v>
          </cell>
          <cell r="Z1012">
            <v>0</v>
          </cell>
          <cell r="AA1012">
            <v>0</v>
          </cell>
          <cell r="AB1012">
            <v>0</v>
          </cell>
          <cell r="AC1012">
            <v>0</v>
          </cell>
          <cell r="AD1012">
            <v>0</v>
          </cell>
          <cell r="AE1012" t="str">
            <v>Al 6x720</v>
          </cell>
          <cell r="AF1012" t="str">
            <v>PE55x730</v>
          </cell>
          <cell r="AG1012">
            <v>6.1441200000000001E-2</v>
          </cell>
          <cell r="AH1012">
            <v>1.0886666666666664</v>
          </cell>
          <cell r="AI1012">
            <v>1.0886666666666664</v>
          </cell>
          <cell r="AJ1012">
            <v>9530</v>
          </cell>
          <cell r="AK1012">
            <v>9530</v>
          </cell>
          <cell r="AL1012" t="str">
            <v>0,0046(0,0023;0,0023)</v>
          </cell>
          <cell r="AM1012" t="str">
            <v>túi hàn lưng xếp hông</v>
          </cell>
          <cell r="AN1012">
            <v>186</v>
          </cell>
          <cell r="AO1012" t="str">
            <v>Công ty CP Traphaco</v>
          </cell>
          <cell r="AP1012" t="str">
            <v>22030970-1</v>
          </cell>
          <cell r="AQ1012" t="str">
            <v>22030970-2</v>
          </cell>
          <cell r="AR1012">
            <v>0</v>
          </cell>
          <cell r="AS1012">
            <v>0</v>
          </cell>
          <cell r="AT1012">
            <v>0</v>
          </cell>
          <cell r="AU1012">
            <v>0</v>
          </cell>
          <cell r="AV1012">
            <v>0</v>
          </cell>
          <cell r="AW1012">
            <v>0</v>
          </cell>
          <cell r="AX1012">
            <v>0</v>
          </cell>
          <cell r="AY1012" t="str">
            <v>558x870</v>
          </cell>
          <cell r="AZ1012">
            <v>0</v>
          </cell>
          <cell r="BA1012">
            <v>0</v>
          </cell>
          <cell r="BB1012">
            <v>0</v>
          </cell>
          <cell r="BC1012">
            <v>0</v>
          </cell>
          <cell r="BD1012" t="e">
            <v>#N/A</v>
          </cell>
        </row>
        <row r="1013">
          <cell r="A1013" t="str">
            <v>sp 1521</v>
          </cell>
          <cell r="B1013" t="str">
            <v>Túi nhôm không in KT 90x200x45mm -TPP France</v>
          </cell>
          <cell r="C1013">
            <v>0</v>
          </cell>
          <cell r="D1013">
            <v>2</v>
          </cell>
          <cell r="E1013" t="str">
            <v>PET 12x600</v>
          </cell>
          <cell r="F1013">
            <v>0</v>
          </cell>
          <cell r="G1013" t="str">
            <v>PET</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t="str">
            <v>Al 6x600</v>
          </cell>
          <cell r="AF1013" t="str">
            <v>PE70x610</v>
          </cell>
          <cell r="AG1013">
            <v>5.8686000000000002E-2</v>
          </cell>
          <cell r="AH1013">
            <v>0.90466666666666651</v>
          </cell>
          <cell r="AI1013">
            <v>0.90466666666666651</v>
          </cell>
          <cell r="AJ1013">
            <v>9530</v>
          </cell>
          <cell r="AK1013">
            <v>9530</v>
          </cell>
          <cell r="AL1013" t="str">
            <v>0,0046(0,0023;0,0023)</v>
          </cell>
          <cell r="AM1013" t="str">
            <v>túi hàn lưng xếp hông</v>
          </cell>
          <cell r="AN1013">
            <v>200</v>
          </cell>
          <cell r="AO1013" t="str">
            <v>Công ty CP Liên Doanh Dược Phẩm TPP France</v>
          </cell>
          <cell r="AP1013">
            <v>0</v>
          </cell>
          <cell r="AQ1013">
            <v>0</v>
          </cell>
          <cell r="AR1013">
            <v>0</v>
          </cell>
          <cell r="AS1013">
            <v>0</v>
          </cell>
          <cell r="AT1013">
            <v>0</v>
          </cell>
          <cell r="AU1013">
            <v>0</v>
          </cell>
          <cell r="AV1013">
            <v>0</v>
          </cell>
          <cell r="AW1013">
            <v>0</v>
          </cell>
          <cell r="AX1013">
            <v>0</v>
          </cell>
          <cell r="AY1013">
            <v>0</v>
          </cell>
          <cell r="AZ1013">
            <v>0</v>
          </cell>
          <cell r="BA1013">
            <v>0</v>
          </cell>
          <cell r="BB1013">
            <v>0</v>
          </cell>
          <cell r="BC1013">
            <v>0</v>
          </cell>
          <cell r="BD1013" t="e">
            <v>#N/A</v>
          </cell>
        </row>
        <row r="1014">
          <cell r="A1014" t="str">
            <v>sp 1522</v>
          </cell>
          <cell r="B1014" t="str">
            <v>Cuộn thuốc nước a-v-tvil 5SC dạng sữa loại 20ml Việt Thắng</v>
          </cell>
          <cell r="C1014">
            <v>9.9920000000000009</v>
          </cell>
          <cell r="D1014">
            <v>5</v>
          </cell>
          <cell r="E1014" t="str">
            <v>PET 12x770</v>
          </cell>
          <cell r="F1014">
            <v>8</v>
          </cell>
          <cell r="G1014" t="str">
            <v>PET</v>
          </cell>
          <cell r="H1014">
            <v>0.01</v>
          </cell>
          <cell r="I1014">
            <v>7.1760000000000002</v>
          </cell>
          <cell r="J1014">
            <v>0.23599999999999999</v>
          </cell>
          <cell r="K1014">
            <v>0</v>
          </cell>
          <cell r="L1014">
            <v>1.7470000000000001</v>
          </cell>
          <cell r="M1014">
            <v>0.378</v>
          </cell>
          <cell r="N1014">
            <v>0</v>
          </cell>
          <cell r="O1014">
            <v>0.01</v>
          </cell>
          <cell r="P1014">
            <v>0.42499999999999999</v>
          </cell>
          <cell r="Q1014">
            <v>0</v>
          </cell>
          <cell r="R1014">
            <v>0.01</v>
          </cell>
          <cell r="S1014">
            <v>0</v>
          </cell>
          <cell r="T1014">
            <v>0</v>
          </cell>
          <cell r="U1014">
            <v>0</v>
          </cell>
          <cell r="V1014">
            <v>0</v>
          </cell>
          <cell r="W1014">
            <v>0</v>
          </cell>
          <cell r="X1014">
            <v>0</v>
          </cell>
          <cell r="Y1014">
            <v>0</v>
          </cell>
          <cell r="Z1014">
            <v>0</v>
          </cell>
          <cell r="AA1014">
            <v>0</v>
          </cell>
          <cell r="AB1014">
            <v>0</v>
          </cell>
          <cell r="AC1014">
            <v>0</v>
          </cell>
          <cell r="AD1014">
            <v>0</v>
          </cell>
          <cell r="AE1014" t="str">
            <v>MPET ĐB 12x770</v>
          </cell>
          <cell r="AF1014" t="str">
            <v>PE ĐB 60x770</v>
          </cell>
          <cell r="AG1014">
            <v>6.8607000000000001E-2</v>
          </cell>
          <cell r="AH1014">
            <v>1.1653333333333333</v>
          </cell>
          <cell r="AI1014">
            <v>2.9171717171717175E-3</v>
          </cell>
          <cell r="AJ1014">
            <v>9530</v>
          </cell>
          <cell r="AK1014">
            <v>6260</v>
          </cell>
          <cell r="AL1014" t="str">
            <v>0,0058(0,0023;0,0035)</v>
          </cell>
          <cell r="AM1014" t="str">
            <v>dạng cuộn 700m</v>
          </cell>
          <cell r="AN1014">
            <v>150</v>
          </cell>
          <cell r="AO1014" t="str">
            <v>Công ty Việt Thắng</v>
          </cell>
          <cell r="AP1014" t="str">
            <v>22031043-1</v>
          </cell>
          <cell r="AQ1014" t="str">
            <v>22031043-2</v>
          </cell>
          <cell r="AR1014" t="str">
            <v>22031043-3</v>
          </cell>
          <cell r="AS1014" t="str">
            <v>22031043-4</v>
          </cell>
          <cell r="AT1014" t="str">
            <v>22031043-5</v>
          </cell>
          <cell r="AU1014" t="str">
            <v>22031043-6</v>
          </cell>
          <cell r="AV1014" t="str">
            <v>22031043-7</v>
          </cell>
          <cell r="AW1014" t="str">
            <v>22031043-8</v>
          </cell>
          <cell r="AX1014">
            <v>0</v>
          </cell>
          <cell r="AY1014" t="str">
            <v>440x870</v>
          </cell>
          <cell r="AZ1014">
            <v>0</v>
          </cell>
          <cell r="BA1014">
            <v>0</v>
          </cell>
          <cell r="BB1014">
            <v>0</v>
          </cell>
          <cell r="BC1014">
            <v>0</v>
          </cell>
          <cell r="BD1014" t="e">
            <v>#N/A</v>
          </cell>
        </row>
        <row r="1015">
          <cell r="A1015" t="str">
            <v>sp 1523</v>
          </cell>
          <cell r="B1015" t="str">
            <v>Túi hạt lúa thuần hà phát 3 loại 1kg Mahyco</v>
          </cell>
          <cell r="C1015">
            <v>6.37</v>
          </cell>
          <cell r="D1015">
            <v>2</v>
          </cell>
          <cell r="E1015" t="str">
            <v>OPP 20x860</v>
          </cell>
          <cell r="F1015">
            <v>7</v>
          </cell>
          <cell r="G1015" t="str">
            <v>OPP</v>
          </cell>
          <cell r="H1015">
            <v>0.46200000000000002</v>
          </cell>
          <cell r="I1015">
            <v>3.762</v>
          </cell>
          <cell r="J1015">
            <v>0.42899999999999999</v>
          </cell>
          <cell r="K1015">
            <v>3.3000000000000002E-2</v>
          </cell>
          <cell r="L1015">
            <v>0.89100000000000001</v>
          </cell>
          <cell r="M1015">
            <v>0.52800000000000002</v>
          </cell>
          <cell r="N1015">
            <v>0</v>
          </cell>
          <cell r="O1015">
            <v>3.3000000000000002E-2</v>
          </cell>
          <cell r="P1015">
            <v>0.1</v>
          </cell>
          <cell r="Q1015">
            <v>0.13200000000000001</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t="str">
            <v>PE 90x860</v>
          </cell>
          <cell r="AF1015">
            <v>0</v>
          </cell>
          <cell r="AG1015">
            <v>8.7247000000000005E-2</v>
          </cell>
          <cell r="AH1015">
            <v>1.3033333333333332</v>
          </cell>
          <cell r="AI1015">
            <v>0</v>
          </cell>
          <cell r="AJ1015">
            <v>9530</v>
          </cell>
          <cell r="AK1015">
            <v>0</v>
          </cell>
          <cell r="AL1015">
            <v>2.3E-3</v>
          </cell>
          <cell r="AM1015" t="str">
            <v xml:space="preserve">túi ba biên </v>
          </cell>
          <cell r="AN1015">
            <v>310</v>
          </cell>
          <cell r="AO1015" t="str">
            <v>Công ty TNHH Mahyco Việt Nam</v>
          </cell>
          <cell r="AP1015" t="str">
            <v>22030651-1</v>
          </cell>
          <cell r="AQ1015" t="str">
            <v>22030651-2</v>
          </cell>
          <cell r="AR1015" t="str">
            <v>22030651-3</v>
          </cell>
          <cell r="AS1015" t="str">
            <v>22030651-4</v>
          </cell>
          <cell r="AT1015" t="str">
            <v>22030651-5</v>
          </cell>
          <cell r="AU1015" t="str">
            <v>22030651-6</v>
          </cell>
          <cell r="AV1015" t="str">
            <v>22030651-7</v>
          </cell>
          <cell r="AW1015">
            <v>0</v>
          </cell>
          <cell r="AX1015">
            <v>0</v>
          </cell>
          <cell r="AY1015" t="str">
            <v>620x1100</v>
          </cell>
          <cell r="AZ1015">
            <v>0</v>
          </cell>
          <cell r="BA1015">
            <v>0</v>
          </cell>
          <cell r="BB1015">
            <v>0</v>
          </cell>
          <cell r="BC1015">
            <v>0</v>
          </cell>
          <cell r="BD1015" t="e">
            <v>#N/A</v>
          </cell>
        </row>
        <row r="1016">
          <cell r="A1016" t="str">
            <v>sp 1524</v>
          </cell>
          <cell r="B1016" t="str">
            <v>Túi in 1 màu đen KT 229x343x114m Phú Thọ</v>
          </cell>
          <cell r="C1016">
            <v>4.585</v>
          </cell>
          <cell r="D1016">
            <v>1</v>
          </cell>
          <cell r="E1016" t="str">
            <v>OPP 20x720</v>
          </cell>
          <cell r="F1016">
            <v>1</v>
          </cell>
          <cell r="G1016" t="str">
            <v>OPP</v>
          </cell>
          <cell r="H1016">
            <v>4.585</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t="str">
            <v>MPET 12x720</v>
          </cell>
          <cell r="AF1016" t="str">
            <v>PE 65x720</v>
          </cell>
          <cell r="AG1016">
            <v>6.8490000000000009E-2</v>
          </cell>
          <cell r="AH1016">
            <v>1.0886666666666664</v>
          </cell>
          <cell r="AI1016">
            <v>1.42</v>
          </cell>
          <cell r="AJ1016">
            <v>9530</v>
          </cell>
          <cell r="AK1016">
            <v>9530</v>
          </cell>
          <cell r="AL1016" t="str">
            <v>0,0053(0,0023;0,003)</v>
          </cell>
          <cell r="AM1016" t="str">
            <v>túi hàn lưng xếp hông</v>
          </cell>
          <cell r="AN1016">
            <v>343</v>
          </cell>
          <cell r="AO1016" t="str">
            <v>Công ty TNHH Thế hệ mới Vĩnh Phúc</v>
          </cell>
          <cell r="AP1016" t="str">
            <v>22030665-1</v>
          </cell>
          <cell r="AQ1016">
            <v>0</v>
          </cell>
          <cell r="AR1016">
            <v>0</v>
          </cell>
          <cell r="AS1016">
            <v>0</v>
          </cell>
          <cell r="AT1016">
            <v>0</v>
          </cell>
          <cell r="AU1016">
            <v>0</v>
          </cell>
          <cell r="AV1016">
            <v>0</v>
          </cell>
          <cell r="AW1016">
            <v>0</v>
          </cell>
          <cell r="AX1016">
            <v>0</v>
          </cell>
          <cell r="AY1016" t="str">
            <v>420x870</v>
          </cell>
          <cell r="AZ1016">
            <v>0</v>
          </cell>
          <cell r="BA1016">
            <v>0</v>
          </cell>
          <cell r="BB1016">
            <v>0</v>
          </cell>
          <cell r="BC1016">
            <v>0</v>
          </cell>
          <cell r="BD1016" t="e">
            <v>#N/A</v>
          </cell>
        </row>
        <row r="1017">
          <cell r="A1017" t="str">
            <v>sp 1525</v>
          </cell>
          <cell r="B1017" t="str">
            <v>Cuộn giấy thuốc trừ cỏ alyaly aic 200WG 1,5gr NDCT mới Rainbow</v>
          </cell>
          <cell r="C1017">
            <v>4.68</v>
          </cell>
          <cell r="D1017">
            <v>4</v>
          </cell>
          <cell r="E1017" t="str">
            <v>Giấy 55x700</v>
          </cell>
          <cell r="F1017">
            <v>5</v>
          </cell>
          <cell r="G1017" t="str">
            <v>Giấy</v>
          </cell>
          <cell r="H1017">
            <v>0.33300000000000002</v>
          </cell>
          <cell r="I1017">
            <v>0</v>
          </cell>
          <cell r="J1017">
            <v>1.3979999999999999</v>
          </cell>
          <cell r="K1017">
            <v>0</v>
          </cell>
          <cell r="L1017">
            <v>1.464</v>
          </cell>
          <cell r="M1017">
            <v>0</v>
          </cell>
          <cell r="N1017">
            <v>0</v>
          </cell>
          <cell r="O1017">
            <v>0.01</v>
          </cell>
          <cell r="P1017">
            <v>0.79900000000000004</v>
          </cell>
          <cell r="Q1017">
            <v>0</v>
          </cell>
          <cell r="R1017">
            <v>0.66600000000000004</v>
          </cell>
          <cell r="S1017">
            <v>0</v>
          </cell>
          <cell r="T1017">
            <v>0.01</v>
          </cell>
          <cell r="U1017">
            <v>0</v>
          </cell>
          <cell r="V1017">
            <v>0</v>
          </cell>
          <cell r="W1017">
            <v>0</v>
          </cell>
          <cell r="X1017">
            <v>0</v>
          </cell>
          <cell r="Y1017">
            <v>0</v>
          </cell>
          <cell r="Z1017">
            <v>0</v>
          </cell>
          <cell r="AA1017">
            <v>0</v>
          </cell>
          <cell r="AB1017">
            <v>0</v>
          </cell>
          <cell r="AC1017">
            <v>0</v>
          </cell>
          <cell r="AD1017">
            <v>0</v>
          </cell>
          <cell r="AE1017" t="str">
            <v>Al 6x700</v>
          </cell>
          <cell r="AF1017" t="str">
            <v>PE 50x700</v>
          </cell>
          <cell r="AG1017">
            <v>8.8556999999999997E-2</v>
          </cell>
          <cell r="AH1017">
            <v>1.6099999999999999</v>
          </cell>
          <cell r="AI1017">
            <v>1.1499999999999999</v>
          </cell>
          <cell r="AJ1017">
            <v>9530</v>
          </cell>
          <cell r="AK1017">
            <v>9530</v>
          </cell>
          <cell r="AL1017" t="str">
            <v>0,0065(0,0035;0,0025)</v>
          </cell>
          <cell r="AM1017" t="str">
            <v>dạng cuộn 500m</v>
          </cell>
          <cell r="AN1017">
            <v>170</v>
          </cell>
          <cell r="AO1017" t="str">
            <v>Công ty Rainbow</v>
          </cell>
          <cell r="AP1017" t="str">
            <v>X407593-1</v>
          </cell>
          <cell r="AQ1017" t="str">
            <v>X407593-2</v>
          </cell>
          <cell r="AR1017" t="str">
            <v>X407593-3</v>
          </cell>
          <cell r="AS1017" t="str">
            <v>X407593-4</v>
          </cell>
          <cell r="AT1017" t="str">
            <v>X407593-5</v>
          </cell>
          <cell r="AU1017">
            <v>0</v>
          </cell>
          <cell r="AV1017">
            <v>0</v>
          </cell>
          <cell r="AW1017">
            <v>0</v>
          </cell>
          <cell r="AX1017">
            <v>0</v>
          </cell>
          <cell r="AY1017" t="str">
            <v>490x870</v>
          </cell>
          <cell r="AZ1017">
            <v>0</v>
          </cell>
          <cell r="BA1017">
            <v>0</v>
          </cell>
          <cell r="BB1017">
            <v>0</v>
          </cell>
          <cell r="BC1017">
            <v>0</v>
          </cell>
          <cell r="BD1017" t="e">
            <v>#N/A</v>
          </cell>
        </row>
        <row r="1018">
          <cell r="A1018" t="str">
            <v>sp 1526</v>
          </cell>
          <cell r="B1018" t="str">
            <v>Túi bánh trứng lipo coconut 200gr Hữu Nghị</v>
          </cell>
          <cell r="C1018">
            <v>10.023</v>
          </cell>
          <cell r="D1018">
            <v>1</v>
          </cell>
          <cell r="E1018" t="str">
            <v>PET 12x550</v>
          </cell>
          <cell r="F1018">
            <v>7</v>
          </cell>
          <cell r="G1018" t="str">
            <v>PET</v>
          </cell>
          <cell r="H1018">
            <v>0.01</v>
          </cell>
          <cell r="I1018">
            <v>3.0750000000000002</v>
          </cell>
          <cell r="J1018">
            <v>0.46100000000000002</v>
          </cell>
          <cell r="K1018">
            <v>0.01</v>
          </cell>
          <cell r="L1018">
            <v>4.766</v>
          </cell>
          <cell r="M1018">
            <v>0.61499999999999999</v>
          </cell>
          <cell r="N1018">
            <v>0</v>
          </cell>
          <cell r="O1018">
            <v>0.01</v>
          </cell>
          <cell r="P1018">
            <v>0.76900000000000002</v>
          </cell>
          <cell r="Q1018">
            <v>0</v>
          </cell>
          <cell r="R1018">
            <v>0.307</v>
          </cell>
          <cell r="S1018">
            <v>0</v>
          </cell>
          <cell r="T1018">
            <v>0</v>
          </cell>
          <cell r="U1018">
            <v>0</v>
          </cell>
          <cell r="V1018">
            <v>0</v>
          </cell>
          <cell r="W1018">
            <v>0</v>
          </cell>
          <cell r="X1018">
            <v>0</v>
          </cell>
          <cell r="Y1018">
            <v>0</v>
          </cell>
          <cell r="Z1018">
            <v>0</v>
          </cell>
          <cell r="AA1018">
            <v>0</v>
          </cell>
          <cell r="AB1018">
            <v>0</v>
          </cell>
          <cell r="AC1018">
            <v>0</v>
          </cell>
          <cell r="AD1018">
            <v>0</v>
          </cell>
          <cell r="AE1018" t="str">
            <v>PE 65x550</v>
          </cell>
          <cell r="AF1018">
            <v>0</v>
          </cell>
          <cell r="AG1018">
            <v>4.2308750000000006E-2</v>
          </cell>
          <cell r="AH1018">
            <v>0.82799999999999996</v>
          </cell>
          <cell r="AI1018">
            <v>0</v>
          </cell>
          <cell r="AJ1018">
            <v>9530</v>
          </cell>
          <cell r="AK1018">
            <v>0</v>
          </cell>
          <cell r="AL1018">
            <v>2.3E-3</v>
          </cell>
          <cell r="AM1018" t="str">
            <v>túi ba biên</v>
          </cell>
          <cell r="AN1018">
            <v>300</v>
          </cell>
          <cell r="AO1018" t="str">
            <v>Công ty CP Thực Phẩm Hữu Nghị</v>
          </cell>
          <cell r="AP1018" t="str">
            <v>X114270-1</v>
          </cell>
          <cell r="AQ1018" t="str">
            <v>X114269-2</v>
          </cell>
          <cell r="AR1018" t="str">
            <v>X114270-3</v>
          </cell>
          <cell r="AS1018" t="str">
            <v>X114270-4</v>
          </cell>
          <cell r="AT1018" t="str">
            <v>X114270-5</v>
          </cell>
          <cell r="AU1018" t="str">
            <v>X114270-6</v>
          </cell>
          <cell r="AV1018" t="str">
            <v>X114270-7</v>
          </cell>
          <cell r="AW1018">
            <v>0</v>
          </cell>
          <cell r="AX1018">
            <v>0</v>
          </cell>
          <cell r="AY1018" t="str">
            <v>600x870</v>
          </cell>
          <cell r="AZ1018">
            <v>0</v>
          </cell>
          <cell r="BA1018">
            <v>0</v>
          </cell>
          <cell r="BB1018">
            <v>0</v>
          </cell>
          <cell r="BC1018">
            <v>0</v>
          </cell>
          <cell r="BD1018" t="e">
            <v>#N/A</v>
          </cell>
        </row>
        <row r="1019">
          <cell r="A1019" t="str">
            <v>sp 1527</v>
          </cell>
          <cell r="B1019" t="str">
            <v>Cuộn bánh trứng lipo coconut Hữu Nghị</v>
          </cell>
          <cell r="C1019">
            <v>10.193</v>
          </cell>
          <cell r="D1019">
            <v>5</v>
          </cell>
          <cell r="E1019" t="str">
            <v>OPP 20x870</v>
          </cell>
          <cell r="F1019">
            <v>8</v>
          </cell>
          <cell r="G1019" t="str">
            <v>OPP</v>
          </cell>
          <cell r="H1019">
            <v>0.38600000000000001</v>
          </cell>
          <cell r="I1019">
            <v>4.6289999999999996</v>
          </cell>
          <cell r="J1019">
            <v>9.6000000000000002E-2</v>
          </cell>
          <cell r="K1019">
            <v>0.25</v>
          </cell>
          <cell r="L1019">
            <v>1.35</v>
          </cell>
          <cell r="M1019">
            <v>1.35</v>
          </cell>
          <cell r="N1019">
            <v>0</v>
          </cell>
          <cell r="O1019">
            <v>2.1219999999999999</v>
          </cell>
          <cell r="P1019">
            <v>0</v>
          </cell>
          <cell r="Q1019">
            <v>0</v>
          </cell>
          <cell r="R1019">
            <v>0.01</v>
          </cell>
          <cell r="S1019">
            <v>0</v>
          </cell>
          <cell r="T1019">
            <v>0</v>
          </cell>
          <cell r="U1019">
            <v>0</v>
          </cell>
          <cell r="V1019">
            <v>0</v>
          </cell>
          <cell r="W1019">
            <v>0</v>
          </cell>
          <cell r="X1019">
            <v>0</v>
          </cell>
          <cell r="Y1019">
            <v>0</v>
          </cell>
          <cell r="Z1019">
            <v>0</v>
          </cell>
          <cell r="AA1019">
            <v>0</v>
          </cell>
          <cell r="AB1019">
            <v>0</v>
          </cell>
          <cell r="AC1019">
            <v>0</v>
          </cell>
          <cell r="AD1019">
            <v>0</v>
          </cell>
          <cell r="AE1019" t="str">
            <v>MCPP 25x870</v>
          </cell>
          <cell r="AF1019">
            <v>0</v>
          </cell>
          <cell r="AG1019">
            <v>3.5626499999999998E-2</v>
          </cell>
          <cell r="AH1019">
            <v>1.3186666666666667</v>
          </cell>
          <cell r="AI1019">
            <v>0</v>
          </cell>
          <cell r="AJ1019">
            <v>9530</v>
          </cell>
          <cell r="AK1019">
            <v>0</v>
          </cell>
          <cell r="AL1019">
            <v>2.3E-3</v>
          </cell>
          <cell r="AM1019" t="str">
            <v>dạng cuộn 1,000m</v>
          </cell>
          <cell r="AN1019">
            <v>170</v>
          </cell>
          <cell r="AO1019" t="str">
            <v>Công ty CP Thực Phẩm Hữu Nghị</v>
          </cell>
          <cell r="AP1019" t="str">
            <v>X114266-1</v>
          </cell>
          <cell r="AQ1019" t="str">
            <v>X114266-2</v>
          </cell>
          <cell r="AR1019" t="str">
            <v>X114266-3</v>
          </cell>
          <cell r="AS1019" t="str">
            <v>X114266-4</v>
          </cell>
          <cell r="AT1019" t="str">
            <v>X114266-5</v>
          </cell>
          <cell r="AU1019" t="str">
            <v>X114266-6</v>
          </cell>
          <cell r="AV1019" t="str">
            <v>X114266-7</v>
          </cell>
          <cell r="AW1019" t="str">
            <v>X114266-8</v>
          </cell>
          <cell r="AX1019">
            <v>0</v>
          </cell>
          <cell r="AY1019" t="str">
            <v>500x1100</v>
          </cell>
          <cell r="AZ1019">
            <v>0</v>
          </cell>
          <cell r="BA1019">
            <v>0</v>
          </cell>
          <cell r="BB1019">
            <v>0</v>
          </cell>
          <cell r="BC1019">
            <v>0</v>
          </cell>
          <cell r="BD1019" t="e">
            <v>#N/A</v>
          </cell>
        </row>
        <row r="1020">
          <cell r="A1020" t="str">
            <v>sp 1528</v>
          </cell>
          <cell r="B1020" t="str">
            <v>Túi bánh trứng lipo coconut 300gr Hữu Nghị</v>
          </cell>
          <cell r="C1020">
            <v>20.181000000000001</v>
          </cell>
          <cell r="D1020">
            <v>1</v>
          </cell>
          <cell r="E1020" t="str">
            <v>PET 12x660</v>
          </cell>
          <cell r="F1020">
            <v>7</v>
          </cell>
          <cell r="G1020" t="str">
            <v>PET</v>
          </cell>
          <cell r="H1020">
            <v>2.226</v>
          </cell>
          <cell r="I1020">
            <v>8.625</v>
          </cell>
          <cell r="J1020">
            <v>0.97399999999999998</v>
          </cell>
          <cell r="K1020">
            <v>0.27800000000000002</v>
          </cell>
          <cell r="L1020">
            <v>4.173</v>
          </cell>
          <cell r="M1020">
            <v>0.83499999999999996</v>
          </cell>
          <cell r="N1020">
            <v>0</v>
          </cell>
          <cell r="O1020">
            <v>3.06</v>
          </cell>
          <cell r="P1020">
            <v>0</v>
          </cell>
          <cell r="Q1020">
            <v>0</v>
          </cell>
          <cell r="R1020">
            <v>0.01</v>
          </cell>
          <cell r="S1020">
            <v>0</v>
          </cell>
          <cell r="T1020">
            <v>0</v>
          </cell>
          <cell r="U1020">
            <v>0</v>
          </cell>
          <cell r="V1020">
            <v>0</v>
          </cell>
          <cell r="W1020">
            <v>0</v>
          </cell>
          <cell r="X1020">
            <v>0</v>
          </cell>
          <cell r="Y1020">
            <v>0</v>
          </cell>
          <cell r="Z1020">
            <v>0</v>
          </cell>
          <cell r="AA1020">
            <v>0</v>
          </cell>
          <cell r="AB1020">
            <v>0</v>
          </cell>
          <cell r="AC1020">
            <v>0</v>
          </cell>
          <cell r="AD1020">
            <v>0</v>
          </cell>
          <cell r="AE1020" t="str">
            <v>PE 65x660</v>
          </cell>
          <cell r="AF1020">
            <v>0</v>
          </cell>
          <cell r="AG1020">
            <v>5.077050000000001E-2</v>
          </cell>
          <cell r="AH1020">
            <v>0.99666666666666659</v>
          </cell>
          <cell r="AI1020">
            <v>0</v>
          </cell>
          <cell r="AJ1020">
            <v>9530</v>
          </cell>
          <cell r="AK1020">
            <v>0</v>
          </cell>
          <cell r="AL1020">
            <v>2.3E-3</v>
          </cell>
          <cell r="AM1020" t="str">
            <v xml:space="preserve">túi ba biên </v>
          </cell>
          <cell r="AN1020">
            <v>350</v>
          </cell>
          <cell r="AO1020" t="str">
            <v>Công ty CP Thực Phẩm Hữu Nghị</v>
          </cell>
          <cell r="AP1020" t="str">
            <v>X114268-1</v>
          </cell>
          <cell r="AQ1020" t="str">
            <v>X114268-2</v>
          </cell>
          <cell r="AR1020" t="str">
            <v>X114268-3</v>
          </cell>
          <cell r="AS1020" t="str">
            <v>X114268-4</v>
          </cell>
          <cell r="AT1020" t="str">
            <v>X114268-5</v>
          </cell>
          <cell r="AU1020" t="str">
            <v>X114268-6</v>
          </cell>
          <cell r="AV1020">
            <v>0</v>
          </cell>
          <cell r="AW1020">
            <v>0</v>
          </cell>
          <cell r="AX1020">
            <v>0</v>
          </cell>
          <cell r="AY1020" t="str">
            <v>700x870</v>
          </cell>
          <cell r="AZ1020">
            <v>0</v>
          </cell>
          <cell r="BA1020">
            <v>0</v>
          </cell>
          <cell r="BB1020">
            <v>0</v>
          </cell>
          <cell r="BC1020">
            <v>0</v>
          </cell>
          <cell r="BD1020" t="e">
            <v>#N/A</v>
          </cell>
        </row>
        <row r="1021">
          <cell r="A1021" t="str">
            <v>sp 1529</v>
          </cell>
          <cell r="B1021" t="str">
            <v>Túi bánh trứng lipo sầu riêng 300gr Hữu Nghị</v>
          </cell>
          <cell r="C1021">
            <v>28.141999999999996</v>
          </cell>
          <cell r="D1021">
            <v>1</v>
          </cell>
          <cell r="E1021" t="str">
            <v>PET 12x660</v>
          </cell>
          <cell r="F1021">
            <v>7</v>
          </cell>
          <cell r="G1021" t="str">
            <v>PET</v>
          </cell>
          <cell r="H1021">
            <v>3.5369999999999999</v>
          </cell>
          <cell r="I1021">
            <v>10.919</v>
          </cell>
          <cell r="J1021">
            <v>1.23</v>
          </cell>
          <cell r="K1021">
            <v>1.845</v>
          </cell>
          <cell r="L1021">
            <v>4.9210000000000003</v>
          </cell>
          <cell r="M1021">
            <v>3.6909999999999998</v>
          </cell>
          <cell r="N1021">
            <v>0</v>
          </cell>
          <cell r="O1021">
            <v>1.23</v>
          </cell>
          <cell r="P1021">
            <v>0</v>
          </cell>
          <cell r="Q1021">
            <v>0</v>
          </cell>
          <cell r="R1021">
            <v>0.76900000000000002</v>
          </cell>
          <cell r="S1021">
            <v>0</v>
          </cell>
          <cell r="T1021">
            <v>0</v>
          </cell>
          <cell r="U1021">
            <v>0</v>
          </cell>
          <cell r="V1021">
            <v>0</v>
          </cell>
          <cell r="W1021">
            <v>0</v>
          </cell>
          <cell r="X1021">
            <v>0</v>
          </cell>
          <cell r="Y1021">
            <v>0</v>
          </cell>
          <cell r="Z1021">
            <v>0</v>
          </cell>
          <cell r="AA1021">
            <v>0</v>
          </cell>
          <cell r="AB1021">
            <v>0</v>
          </cell>
          <cell r="AC1021">
            <v>0</v>
          </cell>
          <cell r="AD1021">
            <v>0</v>
          </cell>
          <cell r="AE1021" t="str">
            <v>PE 65x660</v>
          </cell>
          <cell r="AF1021">
            <v>0</v>
          </cell>
          <cell r="AG1021">
            <v>5.077050000000001E-2</v>
          </cell>
          <cell r="AH1021">
            <v>0.99666666666666659</v>
          </cell>
          <cell r="AI1021">
            <v>0</v>
          </cell>
          <cell r="AJ1021">
            <v>9530</v>
          </cell>
          <cell r="AK1021">
            <v>0</v>
          </cell>
          <cell r="AL1021">
            <v>2.3E-3</v>
          </cell>
          <cell r="AM1021" t="str">
            <v xml:space="preserve">túi ba biên </v>
          </cell>
          <cell r="AN1021">
            <v>350</v>
          </cell>
          <cell r="AO1021" t="str">
            <v>Công ty CP Thực Phẩm Hữu Nghị</v>
          </cell>
          <cell r="AP1021" t="str">
            <v>X114267-1</v>
          </cell>
          <cell r="AQ1021" t="str">
            <v>X114267-2</v>
          </cell>
          <cell r="AR1021" t="str">
            <v>X114267-3</v>
          </cell>
          <cell r="AS1021" t="str">
            <v>X114267-4</v>
          </cell>
          <cell r="AT1021" t="str">
            <v>X114267-5</v>
          </cell>
          <cell r="AU1021" t="str">
            <v>X114267-6</v>
          </cell>
          <cell r="AV1021" t="str">
            <v>X114267-7</v>
          </cell>
          <cell r="AW1021">
            <v>0</v>
          </cell>
          <cell r="AX1021">
            <v>0</v>
          </cell>
          <cell r="AY1021" t="str">
            <v>700x870</v>
          </cell>
          <cell r="AZ1021">
            <v>0</v>
          </cell>
          <cell r="BA1021">
            <v>0</v>
          </cell>
          <cell r="BB1021">
            <v>0</v>
          </cell>
          <cell r="BC1021">
            <v>0</v>
          </cell>
          <cell r="BD1021" t="e">
            <v>#N/A</v>
          </cell>
        </row>
        <row r="1022">
          <cell r="A1022" t="str">
            <v>sp 1530</v>
          </cell>
          <cell r="B1022" t="str">
            <v>Túi bánh trứng lipo sầu riêng 200gr Hữu Nghị</v>
          </cell>
          <cell r="C1022">
            <v>11.074</v>
          </cell>
          <cell r="D1022">
            <v>1</v>
          </cell>
          <cell r="E1022" t="str">
            <v>PET 12x550</v>
          </cell>
          <cell r="F1022">
            <v>7</v>
          </cell>
          <cell r="G1022" t="str">
            <v>PET</v>
          </cell>
          <cell r="H1022">
            <v>0.73699999999999999</v>
          </cell>
          <cell r="I1022">
            <v>6.78</v>
          </cell>
          <cell r="J1022">
            <v>0.01</v>
          </cell>
          <cell r="K1022">
            <v>0.14699999999999999</v>
          </cell>
          <cell r="L1022">
            <v>2.5059999999999998</v>
          </cell>
          <cell r="M1022">
            <v>0</v>
          </cell>
          <cell r="N1022">
            <v>0</v>
          </cell>
          <cell r="O1022">
            <v>0.88400000000000001</v>
          </cell>
          <cell r="P1022">
            <v>0</v>
          </cell>
          <cell r="Q1022">
            <v>0</v>
          </cell>
          <cell r="R1022">
            <v>0.01</v>
          </cell>
          <cell r="S1022">
            <v>0</v>
          </cell>
          <cell r="T1022">
            <v>0</v>
          </cell>
          <cell r="U1022">
            <v>0</v>
          </cell>
          <cell r="V1022">
            <v>0</v>
          </cell>
          <cell r="W1022">
            <v>0</v>
          </cell>
          <cell r="X1022">
            <v>0</v>
          </cell>
          <cell r="Y1022">
            <v>0</v>
          </cell>
          <cell r="Z1022">
            <v>0</v>
          </cell>
          <cell r="AA1022">
            <v>0</v>
          </cell>
          <cell r="AB1022">
            <v>0</v>
          </cell>
          <cell r="AC1022">
            <v>0</v>
          </cell>
          <cell r="AD1022">
            <v>0</v>
          </cell>
          <cell r="AE1022" t="str">
            <v>PE 65x550</v>
          </cell>
          <cell r="AF1022">
            <v>0</v>
          </cell>
          <cell r="AG1022">
            <v>4.2308750000000006E-2</v>
          </cell>
          <cell r="AH1022">
            <v>0.82799999999999996</v>
          </cell>
          <cell r="AI1022">
            <v>0</v>
          </cell>
          <cell r="AJ1022">
            <v>9530</v>
          </cell>
          <cell r="AK1022">
            <v>0</v>
          </cell>
          <cell r="AL1022">
            <v>2.3E-3</v>
          </cell>
          <cell r="AM1022" t="str">
            <v>túi ba biên</v>
          </cell>
          <cell r="AN1022">
            <v>300</v>
          </cell>
          <cell r="AO1022" t="str">
            <v>Công ty CP Thực Phẩm Hữu Nghị</v>
          </cell>
          <cell r="AP1022" t="str">
            <v>X114269-1</v>
          </cell>
          <cell r="AQ1022" t="str">
            <v>X114269-2</v>
          </cell>
          <cell r="AR1022" t="str">
            <v>X114269-3</v>
          </cell>
          <cell r="AS1022" t="str">
            <v>X114269-4</v>
          </cell>
          <cell r="AT1022" t="str">
            <v>X114269-5</v>
          </cell>
          <cell r="AU1022" t="str">
            <v>X114269-6</v>
          </cell>
          <cell r="AV1022" t="str">
            <v>X114269-7</v>
          </cell>
          <cell r="AW1022">
            <v>0</v>
          </cell>
          <cell r="AX1022">
            <v>0</v>
          </cell>
          <cell r="AY1022" t="str">
            <v>600x870</v>
          </cell>
          <cell r="AZ1022">
            <v>0</v>
          </cell>
          <cell r="BA1022">
            <v>0</v>
          </cell>
          <cell r="BB1022">
            <v>0</v>
          </cell>
          <cell r="BC1022">
            <v>0</v>
          </cell>
          <cell r="BD1022" t="e">
            <v>#N/A</v>
          </cell>
        </row>
        <row r="1023">
          <cell r="A1023" t="str">
            <v>sp 1531</v>
          </cell>
          <cell r="B1023" t="str">
            <v>Túi giống lúa lai F1 MHC2 -2022 loại 1kg Mahyco</v>
          </cell>
          <cell r="C1023">
            <v>9.6609999999999996</v>
          </cell>
          <cell r="D1023">
            <v>2</v>
          </cell>
          <cell r="E1023" t="str">
            <v>OPP 20x900</v>
          </cell>
          <cell r="F1023">
            <v>7</v>
          </cell>
          <cell r="G1023" t="str">
            <v>OPP</v>
          </cell>
          <cell r="H1023">
            <v>0.41799999999999998</v>
          </cell>
          <cell r="I1023">
            <v>5.8520000000000003</v>
          </cell>
          <cell r="J1023">
            <v>0.83599999999999997</v>
          </cell>
          <cell r="K1023">
            <v>0.32500000000000001</v>
          </cell>
          <cell r="L1023">
            <v>0.69699999999999995</v>
          </cell>
          <cell r="M1023">
            <v>0.92900000000000005</v>
          </cell>
          <cell r="N1023">
            <v>0</v>
          </cell>
          <cell r="O1023">
            <v>0.23200000000000001</v>
          </cell>
          <cell r="P1023">
            <v>0.372</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t="str">
            <v>PE 90x900</v>
          </cell>
          <cell r="AF1023">
            <v>0</v>
          </cell>
          <cell r="AG1023">
            <v>9.1305000000000011E-2</v>
          </cell>
          <cell r="AH1023">
            <v>1.3646666666666665</v>
          </cell>
          <cell r="AI1023">
            <v>0</v>
          </cell>
          <cell r="AJ1023">
            <v>9530</v>
          </cell>
          <cell r="AK1023">
            <v>0</v>
          </cell>
          <cell r="AL1023">
            <v>2.3E-3</v>
          </cell>
          <cell r="AM1023" t="str">
            <v>túi ba biên</v>
          </cell>
          <cell r="AN1023">
            <v>320</v>
          </cell>
          <cell r="AO1023" t="str">
            <v>Công ty TNHH Mahyco Việt Nam</v>
          </cell>
          <cell r="AP1023" t="str">
            <v>22040239-1</v>
          </cell>
          <cell r="AQ1023" t="str">
            <v>22040239-2</v>
          </cell>
          <cell r="AR1023" t="str">
            <v>22040239-3</v>
          </cell>
          <cell r="AS1023" t="str">
            <v>22040239-4</v>
          </cell>
          <cell r="AT1023" t="str">
            <v>22040239-5</v>
          </cell>
          <cell r="AU1023" t="str">
            <v>22040239-6</v>
          </cell>
          <cell r="AV1023" t="str">
            <v>22040239-7</v>
          </cell>
          <cell r="AW1023">
            <v>0</v>
          </cell>
          <cell r="AX1023">
            <v>0</v>
          </cell>
          <cell r="AY1023" t="str">
            <v>640x1100</v>
          </cell>
          <cell r="AZ1023">
            <v>0</v>
          </cell>
          <cell r="BA1023">
            <v>0</v>
          </cell>
          <cell r="BB1023">
            <v>0</v>
          </cell>
          <cell r="BC1023">
            <v>0</v>
          </cell>
          <cell r="BD1023" t="e">
            <v>#N/A</v>
          </cell>
        </row>
        <row r="1024">
          <cell r="A1024" t="str">
            <v>sp 1532</v>
          </cell>
          <cell r="B1024" t="str">
            <v>Túi thuốc thú y không in PET/PE sứ KT 110x160mm Thái Dương</v>
          </cell>
          <cell r="C1024">
            <v>0</v>
          </cell>
          <cell r="D1024">
            <v>4</v>
          </cell>
          <cell r="E1024" t="str">
            <v>PET 12x900</v>
          </cell>
          <cell r="F1024">
            <v>0</v>
          </cell>
          <cell r="G1024" t="str">
            <v>PET</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t="str">
            <v>PE sứ 65x900</v>
          </cell>
          <cell r="AF1024">
            <v>0</v>
          </cell>
          <cell r="AG1024">
            <v>6.9525000000000003E-2</v>
          </cell>
          <cell r="AH1024">
            <v>4.3200000000000004E-4</v>
          </cell>
          <cell r="AI1024">
            <v>0</v>
          </cell>
          <cell r="AJ1024" t="str">
            <v>keo 829B
ĐR 829A</v>
          </cell>
          <cell r="AK1024">
            <v>0</v>
          </cell>
          <cell r="AL1024">
            <v>1.6000000000000001E-3</v>
          </cell>
          <cell r="AM1024" t="str">
            <v>túi ba biên</v>
          </cell>
          <cell r="AN1024">
            <v>160</v>
          </cell>
          <cell r="AO1024" t="str">
            <v>Công ty CP thuốc thú y Thái Dương</v>
          </cell>
          <cell r="AP1024">
            <v>0</v>
          </cell>
          <cell r="AQ1024">
            <v>0</v>
          </cell>
          <cell r="AR1024">
            <v>0</v>
          </cell>
          <cell r="AS1024">
            <v>0</v>
          </cell>
          <cell r="AT1024">
            <v>0</v>
          </cell>
          <cell r="AU1024">
            <v>0</v>
          </cell>
          <cell r="AV1024">
            <v>0</v>
          </cell>
          <cell r="AW1024">
            <v>0</v>
          </cell>
          <cell r="AX1024">
            <v>0</v>
          </cell>
          <cell r="AY1024">
            <v>0</v>
          </cell>
          <cell r="AZ1024">
            <v>0</v>
          </cell>
          <cell r="BA1024">
            <v>0</v>
          </cell>
          <cell r="BB1024">
            <v>0</v>
          </cell>
          <cell r="BC1024">
            <v>0</v>
          </cell>
          <cell r="BD1024" t="e">
            <v>#N/A</v>
          </cell>
        </row>
        <row r="1025">
          <cell r="A1025" t="str">
            <v>sp 1533</v>
          </cell>
          <cell r="B1025" t="str">
            <v>Túi HCK chân gà tứ xuyên chất lượng vàng 38gr - Thực phẩm MC</v>
          </cell>
          <cell r="C1025">
            <v>6.31</v>
          </cell>
          <cell r="D1025">
            <v>2</v>
          </cell>
          <cell r="E1025" t="str">
            <v>PET 12x860</v>
          </cell>
          <cell r="F1025">
            <v>6</v>
          </cell>
          <cell r="G1025" t="str">
            <v>PET</v>
          </cell>
          <cell r="H1025">
            <v>0.50800000000000001</v>
          </cell>
          <cell r="I1025">
            <v>3.302</v>
          </cell>
          <cell r="J1025">
            <v>0.01</v>
          </cell>
          <cell r="K1025">
            <v>0.50800000000000001</v>
          </cell>
          <cell r="L1025">
            <v>0.20300000000000001</v>
          </cell>
          <cell r="M1025">
            <v>0.61</v>
          </cell>
          <cell r="N1025">
            <v>0</v>
          </cell>
          <cell r="O1025">
            <v>0</v>
          </cell>
          <cell r="P1025">
            <v>0.35599999999999998</v>
          </cell>
          <cell r="Q1025">
            <v>0.81299999999999994</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t="str">
            <v>Al 6,3x860</v>
          </cell>
          <cell r="AF1025" t="str">
            <v>PEHD 105x870</v>
          </cell>
          <cell r="AG1025">
            <v>0.11265828</v>
          </cell>
          <cell r="AH1025">
            <v>1.9833333333333334</v>
          </cell>
          <cell r="AI1025">
            <v>1.9833333333333334</v>
          </cell>
          <cell r="AJ1025">
            <v>9530</v>
          </cell>
          <cell r="AK1025">
            <v>9530</v>
          </cell>
          <cell r="AL1025" t="str">
            <v>0,0065(0,003;0,0035)</v>
          </cell>
          <cell r="AM1025" t="str">
            <v>túi ba biên</v>
          </cell>
          <cell r="AN1025">
            <v>90</v>
          </cell>
          <cell r="AO1025" t="str">
            <v>Công ty TNHH XNK Thực Phẩm MC</v>
          </cell>
          <cell r="AP1025" t="str">
            <v>22040625-1</v>
          </cell>
          <cell r="AQ1025" t="str">
            <v>22040625-2</v>
          </cell>
          <cell r="AR1025" t="str">
            <v>22040625-3</v>
          </cell>
          <cell r="AS1025" t="str">
            <v>22040625-4</v>
          </cell>
          <cell r="AT1025" t="str">
            <v>22040625-5</v>
          </cell>
          <cell r="AU1025" t="str">
            <v>22040625-6</v>
          </cell>
          <cell r="AV1025">
            <v>0</v>
          </cell>
          <cell r="AW1025">
            <v>0</v>
          </cell>
          <cell r="AX1025">
            <v>0</v>
          </cell>
          <cell r="AY1025" t="str">
            <v>450x1100</v>
          </cell>
          <cell r="AZ1025">
            <v>0</v>
          </cell>
          <cell r="BA1025">
            <v>0</v>
          </cell>
          <cell r="BB1025">
            <v>0</v>
          </cell>
          <cell r="BC1025">
            <v>0</v>
          </cell>
          <cell r="BD1025" t="e">
            <v>#N/A</v>
          </cell>
        </row>
        <row r="1026">
          <cell r="A1026" t="str">
            <v>sp 1534</v>
          </cell>
          <cell r="B1026" t="str">
            <v>Cuộn bánh trứng lipo bơ Hữu Nghị</v>
          </cell>
          <cell r="C1026">
            <v>4.0969999999999995</v>
          </cell>
          <cell r="D1026">
            <v>4</v>
          </cell>
          <cell r="E1026" t="str">
            <v>OPP 20x700</v>
          </cell>
          <cell r="F1026">
            <v>8</v>
          </cell>
          <cell r="G1026" t="str">
            <v>OPP</v>
          </cell>
          <cell r="H1026">
            <v>2.7E-2</v>
          </cell>
          <cell r="I1026">
            <v>2.2469999999999999</v>
          </cell>
          <cell r="J1026">
            <v>0.08</v>
          </cell>
          <cell r="K1026">
            <v>0</v>
          </cell>
          <cell r="L1026">
            <v>0.72899999999999998</v>
          </cell>
          <cell r="M1026">
            <v>0.42399999999999999</v>
          </cell>
          <cell r="N1026">
            <v>0</v>
          </cell>
          <cell r="O1026">
            <v>0.01</v>
          </cell>
          <cell r="P1026">
            <v>0.159</v>
          </cell>
          <cell r="Q1026">
            <v>5.2999999999999999E-2</v>
          </cell>
          <cell r="R1026">
            <v>0.01</v>
          </cell>
          <cell r="S1026">
            <v>0</v>
          </cell>
          <cell r="T1026">
            <v>0</v>
          </cell>
          <cell r="U1026">
            <v>0.35799999999999998</v>
          </cell>
          <cell r="V1026">
            <v>0</v>
          </cell>
          <cell r="W1026">
            <v>0</v>
          </cell>
          <cell r="X1026">
            <v>0</v>
          </cell>
          <cell r="Y1026">
            <v>0</v>
          </cell>
          <cell r="Z1026">
            <v>0</v>
          </cell>
          <cell r="AA1026">
            <v>0</v>
          </cell>
          <cell r="AB1026">
            <v>0</v>
          </cell>
          <cell r="AC1026">
            <v>0</v>
          </cell>
          <cell r="AD1026">
            <v>0</v>
          </cell>
          <cell r="AE1026" t="str">
            <v>MCPP 25x700</v>
          </cell>
          <cell r="AF1026">
            <v>0</v>
          </cell>
          <cell r="AG1026">
            <v>2.8665E-2</v>
          </cell>
          <cell r="AH1026">
            <v>2.2866666666666665E-4</v>
          </cell>
          <cell r="AI1026">
            <v>0</v>
          </cell>
          <cell r="AJ1026" t="str">
            <v>keo 829B
ĐR 829A</v>
          </cell>
          <cell r="AK1026">
            <v>0</v>
          </cell>
          <cell r="AL1026">
            <v>1.4E-3</v>
          </cell>
          <cell r="AM1026" t="str">
            <v>dạng cuộn 1,000m</v>
          </cell>
          <cell r="AN1026">
            <v>170</v>
          </cell>
          <cell r="AO1026" t="str">
            <v>Công ty CP Thực Phẩm Hữu Nghị</v>
          </cell>
          <cell r="AP1026" t="str">
            <v>F130956-1</v>
          </cell>
          <cell r="AQ1026" t="str">
            <v>F130956-2</v>
          </cell>
          <cell r="AR1026" t="str">
            <v>F130956-3</v>
          </cell>
          <cell r="AS1026" t="str">
            <v>F130956-4</v>
          </cell>
          <cell r="AT1026" t="str">
            <v>F130956-5</v>
          </cell>
          <cell r="AU1026" t="str">
            <v>F130956-6</v>
          </cell>
          <cell r="AV1026" t="str">
            <v>F130956-7</v>
          </cell>
          <cell r="AW1026" t="str">
            <v>F130956-8</v>
          </cell>
          <cell r="AX1026">
            <v>0</v>
          </cell>
          <cell r="AY1026" t="str">
            <v>500x870</v>
          </cell>
          <cell r="AZ1026">
            <v>0</v>
          </cell>
          <cell r="BA1026">
            <v>0</v>
          </cell>
          <cell r="BB1026">
            <v>0</v>
          </cell>
          <cell r="BC1026">
            <v>0</v>
          </cell>
          <cell r="BD1026" t="e">
            <v>#N/A</v>
          </cell>
        </row>
        <row r="1027">
          <cell r="A1027" t="str">
            <v>sp 1535</v>
          </cell>
          <cell r="B1027" t="str">
            <v>Cuộn bánh trứng lipo nguyên vị Hữu Nghị</v>
          </cell>
          <cell r="C1027">
            <v>19.734000000000005</v>
          </cell>
          <cell r="D1027">
            <v>4</v>
          </cell>
          <cell r="E1027" t="str">
            <v>OPP 20x700</v>
          </cell>
          <cell r="F1027">
            <v>8</v>
          </cell>
          <cell r="G1027" t="str">
            <v>OPP</v>
          </cell>
          <cell r="H1027">
            <v>0.01</v>
          </cell>
          <cell r="I1027">
            <v>7.85</v>
          </cell>
          <cell r="J1027">
            <v>0.01</v>
          </cell>
          <cell r="K1027">
            <v>0.82599999999999996</v>
          </cell>
          <cell r="L1027">
            <v>4.82</v>
          </cell>
          <cell r="M1027">
            <v>6.06</v>
          </cell>
          <cell r="N1027">
            <v>0</v>
          </cell>
          <cell r="O1027">
            <v>0.13800000000000001</v>
          </cell>
          <cell r="P1027">
            <v>0.01</v>
          </cell>
          <cell r="Q1027">
            <v>0</v>
          </cell>
          <cell r="R1027">
            <v>0.01</v>
          </cell>
          <cell r="S1027">
            <v>0</v>
          </cell>
          <cell r="T1027">
            <v>0</v>
          </cell>
          <cell r="U1027">
            <v>0</v>
          </cell>
          <cell r="V1027">
            <v>0</v>
          </cell>
          <cell r="W1027">
            <v>0</v>
          </cell>
          <cell r="X1027">
            <v>0</v>
          </cell>
          <cell r="Y1027">
            <v>0</v>
          </cell>
          <cell r="Z1027">
            <v>0</v>
          </cell>
          <cell r="AA1027">
            <v>0</v>
          </cell>
          <cell r="AB1027">
            <v>0</v>
          </cell>
          <cell r="AC1027">
            <v>0</v>
          </cell>
          <cell r="AD1027">
            <v>0</v>
          </cell>
          <cell r="AE1027" t="str">
            <v>MCPP 25x700</v>
          </cell>
          <cell r="AF1027">
            <v>0</v>
          </cell>
          <cell r="AG1027">
            <v>2.8665E-2</v>
          </cell>
          <cell r="AH1027">
            <v>2.2866666666666665E-4</v>
          </cell>
          <cell r="AI1027">
            <v>0</v>
          </cell>
          <cell r="AJ1027" t="str">
            <v>keo 829B
ĐR 829A</v>
          </cell>
          <cell r="AK1027">
            <v>0</v>
          </cell>
          <cell r="AL1027">
            <v>1.4E-3</v>
          </cell>
          <cell r="AM1027" t="str">
            <v>dạng cuộn 1,000m</v>
          </cell>
          <cell r="AN1027">
            <v>170</v>
          </cell>
          <cell r="AO1027" t="str">
            <v>Công ty CP Thực Phẩm Hữu Nghị</v>
          </cell>
          <cell r="AP1027" t="str">
            <v>F131014-1</v>
          </cell>
          <cell r="AQ1027" t="str">
            <v>F130958-2</v>
          </cell>
          <cell r="AR1027" t="str">
            <v>F130958-3</v>
          </cell>
          <cell r="AS1027" t="str">
            <v>F130958-4</v>
          </cell>
          <cell r="AT1027" t="str">
            <v>F131014-5</v>
          </cell>
          <cell r="AU1027" t="str">
            <v>F131014-6</v>
          </cell>
          <cell r="AV1027" t="str">
            <v>F131014-7</v>
          </cell>
          <cell r="AW1027" t="str">
            <v>F130958-8</v>
          </cell>
          <cell r="AX1027">
            <v>0</v>
          </cell>
          <cell r="AY1027" t="str">
            <v>500x870</v>
          </cell>
          <cell r="AZ1027">
            <v>0</v>
          </cell>
          <cell r="BA1027">
            <v>0</v>
          </cell>
          <cell r="BB1027">
            <v>0</v>
          </cell>
          <cell r="BC1027">
            <v>0</v>
          </cell>
          <cell r="BD1027" t="e">
            <v>#N/A</v>
          </cell>
        </row>
        <row r="1028">
          <cell r="A1028" t="str">
            <v>sp 1536</v>
          </cell>
          <cell r="B1028" t="str">
            <v>Túi bánh trứng lipo bơ 300gr Hữu Nghị</v>
          </cell>
          <cell r="C1028">
            <v>7.0529999999999982</v>
          </cell>
          <cell r="D1028">
            <v>1</v>
          </cell>
          <cell r="E1028" t="str">
            <v>PET 12x660</v>
          </cell>
          <cell r="F1028">
            <v>8</v>
          </cell>
          <cell r="G1028" t="str">
            <v>PET</v>
          </cell>
          <cell r="H1028">
            <v>3.9E-2</v>
          </cell>
          <cell r="I1028">
            <v>5.008</v>
          </cell>
          <cell r="J1028">
            <v>9.8000000000000004E-2</v>
          </cell>
          <cell r="K1028">
            <v>0.02</v>
          </cell>
          <cell r="L1028">
            <v>1.1739999999999999</v>
          </cell>
          <cell r="M1028">
            <v>0.39100000000000001</v>
          </cell>
          <cell r="N1028">
            <v>0</v>
          </cell>
          <cell r="O1028">
            <v>0.02</v>
          </cell>
          <cell r="P1028">
            <v>7.8E-2</v>
          </cell>
          <cell r="Q1028">
            <v>0.11700000000000001</v>
          </cell>
          <cell r="R1028">
            <v>9.8000000000000004E-2</v>
          </cell>
          <cell r="S1028">
            <v>0</v>
          </cell>
          <cell r="T1028">
            <v>0</v>
          </cell>
          <cell r="U1028">
            <v>0.01</v>
          </cell>
          <cell r="V1028">
            <v>0</v>
          </cell>
          <cell r="W1028">
            <v>0</v>
          </cell>
          <cell r="X1028">
            <v>0</v>
          </cell>
          <cell r="Y1028">
            <v>0</v>
          </cell>
          <cell r="Z1028">
            <v>0</v>
          </cell>
          <cell r="AA1028">
            <v>0</v>
          </cell>
          <cell r="AB1028">
            <v>0</v>
          </cell>
          <cell r="AC1028">
            <v>0</v>
          </cell>
          <cell r="AD1028">
            <v>0</v>
          </cell>
          <cell r="AE1028" t="str">
            <v>PE 65x660</v>
          </cell>
          <cell r="AF1028">
            <v>0</v>
          </cell>
          <cell r="AG1028">
            <v>5.077050000000001E-2</v>
          </cell>
          <cell r="AH1028">
            <v>0.99666666666666659</v>
          </cell>
          <cell r="AI1028">
            <v>0</v>
          </cell>
          <cell r="AJ1028">
            <v>9530</v>
          </cell>
          <cell r="AK1028">
            <v>0</v>
          </cell>
          <cell r="AL1028">
            <v>2.3E-3</v>
          </cell>
          <cell r="AM1028" t="str">
            <v>túi ba biên</v>
          </cell>
          <cell r="AN1028">
            <v>350</v>
          </cell>
          <cell r="AO1028" t="str">
            <v>Công ty CP Thực Phẩm Hữu Nghị</v>
          </cell>
          <cell r="AP1028" t="str">
            <v>F130961-1</v>
          </cell>
          <cell r="AQ1028" t="str">
            <v>F130961-2</v>
          </cell>
          <cell r="AR1028" t="str">
            <v>F130961-3</v>
          </cell>
          <cell r="AS1028" t="str">
            <v>F130961-4</v>
          </cell>
          <cell r="AT1028" t="str">
            <v>F130961-5</v>
          </cell>
          <cell r="AU1028" t="str">
            <v>F130961-6</v>
          </cell>
          <cell r="AV1028" t="str">
            <v>F130961-7</v>
          </cell>
          <cell r="AW1028" t="str">
            <v>F130961-8</v>
          </cell>
          <cell r="AX1028">
            <v>0</v>
          </cell>
          <cell r="AY1028" t="str">
            <v>700x870</v>
          </cell>
          <cell r="AZ1028">
            <v>0</v>
          </cell>
          <cell r="BA1028">
            <v>0</v>
          </cell>
          <cell r="BB1028">
            <v>0</v>
          </cell>
          <cell r="BC1028">
            <v>0</v>
          </cell>
          <cell r="BD1028" t="e">
            <v>#N/A</v>
          </cell>
        </row>
        <row r="1029">
          <cell r="A1029" t="str">
            <v>sp 1537</v>
          </cell>
          <cell r="B1029" t="str">
            <v>Túi bánh trứng lipo bơ 200gr Hữu Nghị</v>
          </cell>
          <cell r="C1029">
            <v>2.4649999999999999</v>
          </cell>
          <cell r="D1029">
            <v>1</v>
          </cell>
          <cell r="E1029" t="str">
            <v>PET 12x550</v>
          </cell>
          <cell r="F1029">
            <v>8</v>
          </cell>
          <cell r="G1029" t="str">
            <v>PET</v>
          </cell>
          <cell r="H1029">
            <v>0.01</v>
          </cell>
          <cell r="I1029">
            <v>1.976</v>
          </cell>
          <cell r="J1029">
            <v>0.01</v>
          </cell>
          <cell r="K1029">
            <v>0.01</v>
          </cell>
          <cell r="L1029">
            <v>0.115</v>
          </cell>
          <cell r="M1029">
            <v>0.17199999999999999</v>
          </cell>
          <cell r="N1029">
            <v>0</v>
          </cell>
          <cell r="O1029">
            <v>8.5999999999999993E-2</v>
          </cell>
          <cell r="P1029">
            <v>0</v>
          </cell>
          <cell r="Q1029">
            <v>0</v>
          </cell>
          <cell r="R1029">
            <v>8.5999999999999993E-2</v>
          </cell>
          <cell r="S1029">
            <v>0</v>
          </cell>
          <cell r="T1029">
            <v>0</v>
          </cell>
          <cell r="U1029">
            <v>0</v>
          </cell>
          <cell r="V1029">
            <v>0</v>
          </cell>
          <cell r="W1029">
            <v>0</v>
          </cell>
          <cell r="X1029">
            <v>0</v>
          </cell>
          <cell r="Y1029">
            <v>0</v>
          </cell>
          <cell r="Z1029">
            <v>0</v>
          </cell>
          <cell r="AA1029">
            <v>0</v>
          </cell>
          <cell r="AB1029">
            <v>0</v>
          </cell>
          <cell r="AC1029">
            <v>0</v>
          </cell>
          <cell r="AD1029">
            <v>0</v>
          </cell>
          <cell r="AE1029" t="str">
            <v>PE 65x550</v>
          </cell>
          <cell r="AF1029">
            <v>0</v>
          </cell>
          <cell r="AG1029">
            <v>4.2308750000000006E-2</v>
          </cell>
          <cell r="AH1029">
            <v>0.82799999999999996</v>
          </cell>
          <cell r="AI1029">
            <v>0</v>
          </cell>
          <cell r="AJ1029">
            <v>9530</v>
          </cell>
          <cell r="AK1029">
            <v>0</v>
          </cell>
          <cell r="AL1029">
            <v>2.3E-3</v>
          </cell>
          <cell r="AM1029" t="str">
            <v>túi ba biên</v>
          </cell>
          <cell r="AN1029">
            <v>300</v>
          </cell>
          <cell r="AO1029" t="str">
            <v>Công ty CP Thực Phẩm Hữu Nghị</v>
          </cell>
          <cell r="AP1029" t="str">
            <v>F130959-1</v>
          </cell>
          <cell r="AQ1029" t="str">
            <v>F130959-2</v>
          </cell>
          <cell r="AR1029" t="str">
            <v>F130959-3</v>
          </cell>
          <cell r="AS1029" t="str">
            <v>F130959-4</v>
          </cell>
          <cell r="AT1029" t="str">
            <v>F130959-5</v>
          </cell>
          <cell r="AU1029" t="str">
            <v>F130959-6</v>
          </cell>
          <cell r="AV1029" t="str">
            <v>F130959-7</v>
          </cell>
          <cell r="AW1029" t="str">
            <v>F130959-8</v>
          </cell>
          <cell r="AX1029">
            <v>0</v>
          </cell>
          <cell r="AY1029" t="str">
            <v>600x870</v>
          </cell>
          <cell r="AZ1029">
            <v>0</v>
          </cell>
          <cell r="BA1029">
            <v>0</v>
          </cell>
          <cell r="BB1029">
            <v>0</v>
          </cell>
          <cell r="BC1029">
            <v>0</v>
          </cell>
          <cell r="BD1029" t="e">
            <v>#N/A</v>
          </cell>
        </row>
        <row r="1030">
          <cell r="A1030" t="str">
            <v>sp 1538</v>
          </cell>
          <cell r="B1030" t="str">
            <v>Túi nhôm không in KT 65x180x35mm-TPP France</v>
          </cell>
          <cell r="C1030">
            <v>0</v>
          </cell>
          <cell r="D1030">
            <v>3</v>
          </cell>
          <cell r="E1030" t="str">
            <v>PET 12x680</v>
          </cell>
          <cell r="F1030">
            <v>0</v>
          </cell>
          <cell r="G1030" t="str">
            <v>PET</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t="str">
            <v>Al 6x680</v>
          </cell>
          <cell r="AF1030" t="str">
            <v>PE 70x690</v>
          </cell>
          <cell r="AG1030">
            <v>6.6510800000000009E-2</v>
          </cell>
          <cell r="AH1030">
            <v>2.0546666666666664</v>
          </cell>
          <cell r="AI1030">
            <v>2.0546666666666664</v>
          </cell>
          <cell r="AJ1030">
            <v>9530</v>
          </cell>
          <cell r="AK1030">
            <v>9530</v>
          </cell>
          <cell r="AL1030" t="str">
            <v>0,0046(0,0023;0,0023)</v>
          </cell>
          <cell r="AM1030" t="str">
            <v>túi hàn lưng xếp hông</v>
          </cell>
          <cell r="AN1030">
            <v>180</v>
          </cell>
          <cell r="AO1030" t="str">
            <v>Công ty CP Liên Doanh Dược Phẩm TPP France</v>
          </cell>
          <cell r="AP1030">
            <v>0</v>
          </cell>
          <cell r="AQ1030">
            <v>0</v>
          </cell>
          <cell r="AR1030">
            <v>0</v>
          </cell>
          <cell r="AS1030">
            <v>0</v>
          </cell>
          <cell r="AT1030">
            <v>0</v>
          </cell>
          <cell r="AU1030">
            <v>0</v>
          </cell>
          <cell r="AV1030">
            <v>0</v>
          </cell>
          <cell r="AW1030">
            <v>0</v>
          </cell>
          <cell r="AX1030">
            <v>0</v>
          </cell>
          <cell r="AY1030">
            <v>0</v>
          </cell>
          <cell r="AZ1030">
            <v>0</v>
          </cell>
          <cell r="BA1030">
            <v>0</v>
          </cell>
          <cell r="BB1030">
            <v>0</v>
          </cell>
          <cell r="BC1030">
            <v>0</v>
          </cell>
          <cell r="BD1030" t="e">
            <v>#N/A</v>
          </cell>
        </row>
        <row r="1031">
          <cell r="A1031" t="str">
            <v>sp 1539</v>
          </cell>
          <cell r="B1031" t="str">
            <v>Túi màn chữ Hồng Hải màu tím</v>
          </cell>
          <cell r="C1031">
            <v>6.4329999999999998</v>
          </cell>
          <cell r="D1031">
            <v>1</v>
          </cell>
          <cell r="E1031" t="str">
            <v>PET 12x1070</v>
          </cell>
          <cell r="F1031">
            <v>4</v>
          </cell>
          <cell r="G1031" t="str">
            <v>PET</v>
          </cell>
          <cell r="H1031">
            <v>0</v>
          </cell>
          <cell r="I1031">
            <v>3.2120000000000002</v>
          </cell>
          <cell r="J1031">
            <v>0.32100000000000001</v>
          </cell>
          <cell r="K1031">
            <v>0.96299999999999997</v>
          </cell>
          <cell r="L1031">
            <v>0</v>
          </cell>
          <cell r="M1031">
            <v>1.766</v>
          </cell>
          <cell r="N1031">
            <v>0</v>
          </cell>
          <cell r="O1031">
            <v>0</v>
          </cell>
          <cell r="P1031">
            <v>0</v>
          </cell>
          <cell r="Q1031">
            <v>0</v>
          </cell>
          <cell r="R1031">
            <v>0.01</v>
          </cell>
          <cell r="S1031">
            <v>0.161</v>
          </cell>
          <cell r="T1031">
            <v>0</v>
          </cell>
          <cell r="U1031">
            <v>0</v>
          </cell>
          <cell r="V1031">
            <v>0</v>
          </cell>
          <cell r="W1031">
            <v>0</v>
          </cell>
          <cell r="X1031">
            <v>0</v>
          </cell>
          <cell r="Y1031">
            <v>0</v>
          </cell>
          <cell r="Z1031">
            <v>0</v>
          </cell>
          <cell r="AA1031">
            <v>0</v>
          </cell>
          <cell r="AB1031">
            <v>0</v>
          </cell>
          <cell r="AC1031">
            <v>0</v>
          </cell>
          <cell r="AD1031">
            <v>0</v>
          </cell>
          <cell r="AE1031" t="str">
            <v>PE 95x1070</v>
          </cell>
          <cell r="AF1031">
            <v>0</v>
          </cell>
          <cell r="AG1031">
            <v>0.11200225000000001</v>
          </cell>
          <cell r="AH1031">
            <v>2.12</v>
          </cell>
          <cell r="AI1031">
            <v>0</v>
          </cell>
          <cell r="AJ1031">
            <v>9530</v>
          </cell>
          <cell r="AK1031">
            <v>0</v>
          </cell>
          <cell r="AL1031">
            <v>3.0000000000000001E-3</v>
          </cell>
          <cell r="AM1031" t="str">
            <v>túi ba biên zipper</v>
          </cell>
          <cell r="AN1031">
            <v>360</v>
          </cell>
          <cell r="AO1031" t="str">
            <v>Công ty CP dệt và may Hồng Hải</v>
          </cell>
          <cell r="AP1031">
            <v>0</v>
          </cell>
          <cell r="AQ1031">
            <v>0</v>
          </cell>
          <cell r="AR1031">
            <v>0</v>
          </cell>
          <cell r="AS1031">
            <v>0</v>
          </cell>
          <cell r="AT1031">
            <v>0</v>
          </cell>
          <cell r="AU1031">
            <v>0</v>
          </cell>
          <cell r="AV1031">
            <v>0</v>
          </cell>
          <cell r="AW1031">
            <v>0</v>
          </cell>
          <cell r="AX1031">
            <v>0</v>
          </cell>
          <cell r="AY1031">
            <v>0</v>
          </cell>
          <cell r="AZ1031">
            <v>0</v>
          </cell>
          <cell r="BA1031">
            <v>0</v>
          </cell>
          <cell r="BB1031">
            <v>0</v>
          </cell>
          <cell r="BC1031">
            <v>0</v>
          </cell>
          <cell r="BD1031" t="e">
            <v>#N/A</v>
          </cell>
        </row>
        <row r="1032">
          <cell r="A1032" t="str">
            <v>sp 1540</v>
          </cell>
          <cell r="B1032" t="str">
            <v>Túi màn chữ Hồng Hải màu trắng</v>
          </cell>
          <cell r="C1032">
            <v>3.1669999999999998</v>
          </cell>
          <cell r="D1032">
            <v>1</v>
          </cell>
          <cell r="E1032" t="str">
            <v>PET 12x1070</v>
          </cell>
          <cell r="F1032">
            <v>5</v>
          </cell>
          <cell r="G1032" t="str">
            <v>PET</v>
          </cell>
          <cell r="H1032">
            <v>0</v>
          </cell>
          <cell r="I1032">
            <v>2.052</v>
          </cell>
          <cell r="J1032">
            <v>0</v>
          </cell>
          <cell r="K1032">
            <v>0</v>
          </cell>
          <cell r="L1032">
            <v>0</v>
          </cell>
          <cell r="M1032">
            <v>0</v>
          </cell>
          <cell r="N1032">
            <v>0.78900000000000003</v>
          </cell>
          <cell r="O1032">
            <v>0</v>
          </cell>
          <cell r="P1032">
            <v>0</v>
          </cell>
          <cell r="Q1032">
            <v>0</v>
          </cell>
          <cell r="R1032">
            <v>0.01</v>
          </cell>
          <cell r="S1032">
            <v>0.316</v>
          </cell>
          <cell r="T1032">
            <v>0</v>
          </cell>
          <cell r="U1032">
            <v>0</v>
          </cell>
          <cell r="V1032">
            <v>0</v>
          </cell>
          <cell r="W1032">
            <v>0</v>
          </cell>
          <cell r="X1032">
            <v>0</v>
          </cell>
          <cell r="Y1032">
            <v>0</v>
          </cell>
          <cell r="Z1032">
            <v>0</v>
          </cell>
          <cell r="AA1032">
            <v>0</v>
          </cell>
          <cell r="AB1032">
            <v>0</v>
          </cell>
          <cell r="AC1032">
            <v>0</v>
          </cell>
          <cell r="AD1032">
            <v>0</v>
          </cell>
          <cell r="AE1032" t="str">
            <v>PE 95x1070</v>
          </cell>
          <cell r="AF1032">
            <v>0</v>
          </cell>
          <cell r="AG1032">
            <v>0.11200225000000001</v>
          </cell>
          <cell r="AH1032">
            <v>2.12</v>
          </cell>
          <cell r="AI1032">
            <v>0</v>
          </cell>
          <cell r="AJ1032">
            <v>9530</v>
          </cell>
          <cell r="AK1032">
            <v>0</v>
          </cell>
          <cell r="AL1032">
            <v>3.0000000000000001E-3</v>
          </cell>
          <cell r="AM1032" t="str">
            <v>túi ba biên zipper</v>
          </cell>
          <cell r="AN1032">
            <v>360</v>
          </cell>
          <cell r="AO1032" t="str">
            <v>Công ty CP dệt và may Hồng Hải</v>
          </cell>
          <cell r="AP1032">
            <v>0</v>
          </cell>
          <cell r="AQ1032">
            <v>0</v>
          </cell>
          <cell r="AR1032">
            <v>0</v>
          </cell>
          <cell r="AS1032">
            <v>0</v>
          </cell>
          <cell r="AT1032">
            <v>0</v>
          </cell>
          <cell r="AU1032">
            <v>0</v>
          </cell>
          <cell r="AV1032">
            <v>0</v>
          </cell>
          <cell r="AW1032">
            <v>0</v>
          </cell>
          <cell r="AX1032">
            <v>0</v>
          </cell>
          <cell r="AY1032">
            <v>0</v>
          </cell>
          <cell r="AZ1032">
            <v>0</v>
          </cell>
          <cell r="BA1032">
            <v>0</v>
          </cell>
          <cell r="BB1032">
            <v>0</v>
          </cell>
          <cell r="BC1032">
            <v>0</v>
          </cell>
          <cell r="BD1032" t="e">
            <v>#N/A</v>
          </cell>
        </row>
        <row r="1033">
          <cell r="A1033" t="str">
            <v>sp 1541</v>
          </cell>
          <cell r="B1033" t="str">
            <v>Túi màn chaio Hồng Hải</v>
          </cell>
          <cell r="C1033">
            <v>15.583999999999998</v>
          </cell>
          <cell r="D1033">
            <v>1</v>
          </cell>
          <cell r="E1033" t="str">
            <v>PET 12x1050</v>
          </cell>
          <cell r="F1033">
            <v>5</v>
          </cell>
          <cell r="G1033" t="str">
            <v>PET</v>
          </cell>
          <cell r="H1033">
            <v>0</v>
          </cell>
          <cell r="I1033">
            <v>5.0549999999999997</v>
          </cell>
          <cell r="J1033">
            <v>0.32100000000000001</v>
          </cell>
          <cell r="K1033">
            <v>2.1259999999999999</v>
          </cell>
          <cell r="L1033">
            <v>0</v>
          </cell>
          <cell r="M1033">
            <v>5.4560000000000004</v>
          </cell>
          <cell r="N1033">
            <v>1.605</v>
          </cell>
          <cell r="O1033">
            <v>0</v>
          </cell>
          <cell r="P1033">
            <v>0.67</v>
          </cell>
          <cell r="Q1033">
            <v>0.32100000000000001</v>
          </cell>
          <cell r="R1033">
            <v>0.01</v>
          </cell>
          <cell r="S1033">
            <v>0.01</v>
          </cell>
          <cell r="T1033">
            <v>0</v>
          </cell>
          <cell r="U1033">
            <v>0</v>
          </cell>
          <cell r="V1033">
            <v>0.01</v>
          </cell>
          <cell r="W1033">
            <v>0</v>
          </cell>
          <cell r="X1033">
            <v>0</v>
          </cell>
          <cell r="Y1033">
            <v>0</v>
          </cell>
          <cell r="Z1033">
            <v>0</v>
          </cell>
          <cell r="AA1033">
            <v>0</v>
          </cell>
          <cell r="AB1033">
            <v>0</v>
          </cell>
          <cell r="AC1033">
            <v>0</v>
          </cell>
          <cell r="AD1033">
            <v>0</v>
          </cell>
          <cell r="AE1033" t="str">
            <v>PE 95x1050</v>
          </cell>
          <cell r="AF1033">
            <v>0</v>
          </cell>
          <cell r="AG1033">
            <v>0.10990875000000001</v>
          </cell>
          <cell r="AH1033">
            <v>2.08</v>
          </cell>
          <cell r="AI1033">
            <v>0</v>
          </cell>
          <cell r="AJ1033">
            <v>9530</v>
          </cell>
          <cell r="AK1033">
            <v>0</v>
          </cell>
          <cell r="AL1033">
            <v>3.0000000000000001E-3</v>
          </cell>
          <cell r="AM1033" t="str">
            <v>túi ba biên zipper</v>
          </cell>
          <cell r="AN1033">
            <v>360</v>
          </cell>
          <cell r="AO1033" t="str">
            <v>Công ty CP dệt và may Hồng Hải</v>
          </cell>
          <cell r="AP1033">
            <v>0</v>
          </cell>
          <cell r="AQ1033">
            <v>0</v>
          </cell>
          <cell r="AR1033">
            <v>0</v>
          </cell>
          <cell r="AS1033">
            <v>0</v>
          </cell>
          <cell r="AT1033">
            <v>0</v>
          </cell>
          <cell r="AU1033">
            <v>0</v>
          </cell>
          <cell r="AV1033">
            <v>0</v>
          </cell>
          <cell r="AW1033">
            <v>0</v>
          </cell>
          <cell r="AX1033">
            <v>0</v>
          </cell>
          <cell r="AY1033">
            <v>0</v>
          </cell>
          <cell r="AZ1033">
            <v>0</v>
          </cell>
          <cell r="BA1033">
            <v>0</v>
          </cell>
          <cell r="BB1033">
            <v>0</v>
          </cell>
          <cell r="BC1033">
            <v>0</v>
          </cell>
          <cell r="BD1033" t="e">
            <v>#N/A</v>
          </cell>
        </row>
        <row r="1034">
          <cell r="A1034" t="str">
            <v>sp 1542</v>
          </cell>
          <cell r="B1034" t="str">
            <v>Túi màn chapako Hồng Hải</v>
          </cell>
          <cell r="C1034">
            <v>8.5649999999999995</v>
          </cell>
          <cell r="D1034">
            <v>1</v>
          </cell>
          <cell r="E1034" t="str">
            <v>PET 12x1200</v>
          </cell>
          <cell r="F1034">
            <v>5</v>
          </cell>
          <cell r="G1034" t="str">
            <v>PET</v>
          </cell>
          <cell r="H1034">
            <v>0.83</v>
          </cell>
          <cell r="I1034">
            <v>1.329</v>
          </cell>
          <cell r="J1034">
            <v>0</v>
          </cell>
          <cell r="K1034">
            <v>0.498</v>
          </cell>
          <cell r="L1034">
            <v>0</v>
          </cell>
          <cell r="M1034">
            <v>2.6579999999999999</v>
          </cell>
          <cell r="N1034">
            <v>1.163</v>
          </cell>
          <cell r="O1034">
            <v>0</v>
          </cell>
          <cell r="P1034">
            <v>0.83099999999999996</v>
          </cell>
          <cell r="Q1034">
            <v>0</v>
          </cell>
          <cell r="R1034">
            <v>1.246</v>
          </cell>
          <cell r="S1034">
            <v>0.01</v>
          </cell>
          <cell r="T1034">
            <v>0</v>
          </cell>
          <cell r="U1034">
            <v>0</v>
          </cell>
          <cell r="V1034">
            <v>0</v>
          </cell>
          <cell r="W1034">
            <v>0</v>
          </cell>
          <cell r="X1034">
            <v>0</v>
          </cell>
          <cell r="Y1034">
            <v>0</v>
          </cell>
          <cell r="Z1034">
            <v>0</v>
          </cell>
          <cell r="AA1034">
            <v>0</v>
          </cell>
          <cell r="AB1034">
            <v>0</v>
          </cell>
          <cell r="AC1034">
            <v>0</v>
          </cell>
          <cell r="AD1034">
            <v>0</v>
          </cell>
          <cell r="AE1034" t="str">
            <v>PE 95x1200</v>
          </cell>
          <cell r="AF1034">
            <v>0</v>
          </cell>
          <cell r="AG1034">
            <v>0.12561</v>
          </cell>
          <cell r="AH1034">
            <v>2.38</v>
          </cell>
          <cell r="AI1034">
            <v>0</v>
          </cell>
          <cell r="AJ1034">
            <v>9530</v>
          </cell>
          <cell r="AK1034">
            <v>0</v>
          </cell>
          <cell r="AL1034">
            <v>3.0000000000000001E-3</v>
          </cell>
          <cell r="AM1034" t="str">
            <v>túi ba biên zipper</v>
          </cell>
          <cell r="AN1034">
            <v>415</v>
          </cell>
          <cell r="AO1034" t="str">
            <v>Công ty CP dệt và may Hồng Hải</v>
          </cell>
          <cell r="AP1034">
            <v>0</v>
          </cell>
          <cell r="AQ1034">
            <v>0</v>
          </cell>
          <cell r="AR1034">
            <v>0</v>
          </cell>
          <cell r="AS1034">
            <v>0</v>
          </cell>
          <cell r="AT1034">
            <v>0</v>
          </cell>
          <cell r="AU1034">
            <v>0</v>
          </cell>
          <cell r="AV1034">
            <v>0</v>
          </cell>
          <cell r="AW1034">
            <v>0</v>
          </cell>
          <cell r="AX1034">
            <v>0</v>
          </cell>
          <cell r="AY1034">
            <v>0</v>
          </cell>
          <cell r="AZ1034">
            <v>0</v>
          </cell>
          <cell r="BA1034">
            <v>0</v>
          </cell>
          <cell r="BB1034">
            <v>0</v>
          </cell>
          <cell r="BC1034">
            <v>0</v>
          </cell>
          <cell r="BD1034" t="e">
            <v>#N/A</v>
          </cell>
        </row>
        <row r="1035">
          <cell r="A1035" t="str">
            <v>sp 1543</v>
          </cell>
          <cell r="B1035" t="str">
            <v>Túi màn chữ Hồng Hải màu nhũ</v>
          </cell>
          <cell r="C1035">
            <v>5.0759999999999996</v>
          </cell>
          <cell r="D1035">
            <v>1</v>
          </cell>
          <cell r="E1035" t="str">
            <v>PET 12x1070</v>
          </cell>
          <cell r="F1035">
            <v>3</v>
          </cell>
          <cell r="G1035" t="str">
            <v>PET</v>
          </cell>
          <cell r="H1035">
            <v>0</v>
          </cell>
          <cell r="I1035">
            <v>0.01</v>
          </cell>
          <cell r="J1035">
            <v>0</v>
          </cell>
          <cell r="K1035">
            <v>2.6859999999999999</v>
          </cell>
          <cell r="L1035">
            <v>0</v>
          </cell>
          <cell r="M1035">
            <v>2.37</v>
          </cell>
          <cell r="N1035">
            <v>0</v>
          </cell>
          <cell r="O1035">
            <v>0</v>
          </cell>
          <cell r="P1035">
            <v>0.01</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t="str">
            <v>PE 95x1070</v>
          </cell>
          <cell r="AF1035">
            <v>0</v>
          </cell>
          <cell r="AG1035">
            <v>0.11200225000000001</v>
          </cell>
          <cell r="AH1035">
            <v>2.12</v>
          </cell>
          <cell r="AI1035">
            <v>0</v>
          </cell>
          <cell r="AJ1035">
            <v>9530</v>
          </cell>
          <cell r="AK1035">
            <v>0</v>
          </cell>
          <cell r="AL1035">
            <v>3.0000000000000001E-3</v>
          </cell>
          <cell r="AM1035" t="str">
            <v>túi ba biên zipper</v>
          </cell>
          <cell r="AN1035">
            <v>360</v>
          </cell>
          <cell r="AO1035" t="str">
            <v>Công ty CP dệt và may Hồng Hải</v>
          </cell>
          <cell r="AP1035">
            <v>0</v>
          </cell>
          <cell r="AQ1035">
            <v>0</v>
          </cell>
          <cell r="AR1035">
            <v>0</v>
          </cell>
          <cell r="AS1035">
            <v>0</v>
          </cell>
          <cell r="AT1035">
            <v>0</v>
          </cell>
          <cell r="AU1035">
            <v>0</v>
          </cell>
          <cell r="AV1035">
            <v>0</v>
          </cell>
          <cell r="AW1035">
            <v>0</v>
          </cell>
          <cell r="AX1035">
            <v>0</v>
          </cell>
          <cell r="AY1035">
            <v>0</v>
          </cell>
          <cell r="AZ1035">
            <v>0</v>
          </cell>
          <cell r="BA1035">
            <v>0</v>
          </cell>
          <cell r="BB1035">
            <v>0</v>
          </cell>
          <cell r="BC1035">
            <v>0</v>
          </cell>
          <cell r="BD1035" t="e">
            <v>#N/A</v>
          </cell>
        </row>
        <row r="1036">
          <cell r="A1036" t="str">
            <v>sp 1544</v>
          </cell>
          <cell r="B1036" t="str">
            <v>Túi hương trầm liên đức hương thơm đậu tàn KT 170x475</v>
          </cell>
          <cell r="C1036">
            <v>6.3030000000000008</v>
          </cell>
          <cell r="D1036">
            <v>4</v>
          </cell>
          <cell r="E1036" t="str">
            <v>OPP 20x700</v>
          </cell>
          <cell r="F1036">
            <v>6</v>
          </cell>
          <cell r="G1036" t="str">
            <v>OPP</v>
          </cell>
          <cell r="H1036">
            <v>0.55300000000000005</v>
          </cell>
          <cell r="I1036">
            <v>2.3220000000000001</v>
          </cell>
          <cell r="J1036">
            <v>0.111</v>
          </cell>
          <cell r="K1036">
            <v>1.548</v>
          </cell>
          <cell r="L1036">
            <v>0.442</v>
          </cell>
          <cell r="M1036">
            <v>0</v>
          </cell>
          <cell r="N1036">
            <v>1.327</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t="str">
            <v>MCPP 25x700</v>
          </cell>
          <cell r="AF1036">
            <v>0</v>
          </cell>
          <cell r="AG1036">
            <v>2.8665E-2</v>
          </cell>
          <cell r="AH1036">
            <v>1.0579999999999998</v>
          </cell>
          <cell r="AI1036">
            <v>0</v>
          </cell>
          <cell r="AJ1036">
            <v>9530</v>
          </cell>
          <cell r="AK1036">
            <v>0</v>
          </cell>
          <cell r="AL1036">
            <v>2.3E-3</v>
          </cell>
          <cell r="AM1036" t="str">
            <v>túi ba biên</v>
          </cell>
          <cell r="AN1036">
            <v>475</v>
          </cell>
          <cell r="AO1036" t="str">
            <v>Doanh nghiệp tư nhân Bảy Lương</v>
          </cell>
          <cell r="AP1036" t="str">
            <v>22050129-1</v>
          </cell>
          <cell r="AQ1036" t="str">
            <v>22050129-2</v>
          </cell>
          <cell r="AR1036" t="str">
            <v>22050129-3</v>
          </cell>
          <cell r="AS1036" t="str">
            <v>22050129-4</v>
          </cell>
          <cell r="AT1036" t="str">
            <v>22050129-5</v>
          </cell>
          <cell r="AU1036" t="str">
            <v>22050129-6</v>
          </cell>
          <cell r="AV1036">
            <v>0</v>
          </cell>
          <cell r="AW1036">
            <v>0</v>
          </cell>
          <cell r="AX1036">
            <v>0</v>
          </cell>
          <cell r="AY1036" t="str">
            <v>475x870</v>
          </cell>
          <cell r="AZ1036">
            <v>0</v>
          </cell>
          <cell r="BA1036">
            <v>0</v>
          </cell>
          <cell r="BB1036">
            <v>0</v>
          </cell>
          <cell r="BC1036">
            <v>0</v>
          </cell>
          <cell r="BD1036" t="e">
            <v>#N/A</v>
          </cell>
        </row>
        <row r="1037">
          <cell r="A1037" t="str">
            <v>sp 1545</v>
          </cell>
          <cell r="B1037" t="str">
            <v>Túi hương trầm liên đức hương thơm thảo mộc đậu tàn KT 500x550</v>
          </cell>
          <cell r="C1037">
            <v>8.9659999999999993</v>
          </cell>
          <cell r="D1037">
            <v>1</v>
          </cell>
          <cell r="E1037" t="str">
            <v>OPP 20x520</v>
          </cell>
          <cell r="F1037">
            <v>4</v>
          </cell>
          <cell r="G1037" t="str">
            <v>OPP</v>
          </cell>
          <cell r="H1037">
            <v>4.3289999999999997</v>
          </cell>
          <cell r="I1037">
            <v>0</v>
          </cell>
          <cell r="J1037">
            <v>0.01</v>
          </cell>
          <cell r="K1037">
            <v>0.01</v>
          </cell>
          <cell r="L1037">
            <v>3.4630000000000001</v>
          </cell>
          <cell r="M1037">
            <v>1.1539999999999999</v>
          </cell>
          <cell r="N1037">
            <v>0</v>
          </cell>
          <cell r="O1037">
            <v>0</v>
          </cell>
          <cell r="P1037">
            <v>0</v>
          </cell>
          <cell r="Q1037">
            <v>0</v>
          </cell>
          <cell r="R1037">
            <v>0</v>
          </cell>
          <cell r="S1037">
            <v>0</v>
          </cell>
          <cell r="T1037">
            <v>0</v>
          </cell>
          <cell r="U1037">
            <v>0</v>
          </cell>
          <cell r="V1037">
            <v>0</v>
          </cell>
          <cell r="W1037">
            <v>0</v>
          </cell>
          <cell r="X1037">
            <v>0</v>
          </cell>
          <cell r="Y1037">
            <v>0</v>
          </cell>
          <cell r="Z1037">
            <v>0</v>
          </cell>
          <cell r="AA1037">
            <v>0</v>
          </cell>
          <cell r="AB1037">
            <v>0</v>
          </cell>
          <cell r="AC1037">
            <v>0</v>
          </cell>
          <cell r="AD1037">
            <v>0</v>
          </cell>
          <cell r="AE1037" t="str">
            <v>PE 30x520</v>
          </cell>
          <cell r="AF1037">
            <v>0</v>
          </cell>
          <cell r="AG1037">
            <v>2.3894000000000002E-2</v>
          </cell>
          <cell r="AH1037">
            <v>0.78199999999999992</v>
          </cell>
          <cell r="AI1037">
            <v>0</v>
          </cell>
          <cell r="AJ1037">
            <v>9530</v>
          </cell>
          <cell r="AK1037">
            <v>0</v>
          </cell>
          <cell r="AL1037">
            <v>2.3E-3</v>
          </cell>
          <cell r="AM1037" t="str">
            <v>túi ba biên</v>
          </cell>
          <cell r="AN1037">
            <v>550</v>
          </cell>
          <cell r="AO1037" t="str">
            <v>Doanh nghiệp tư nhân Bảy Lương</v>
          </cell>
          <cell r="AP1037" t="str">
            <v>22050128-1</v>
          </cell>
          <cell r="AQ1037" t="str">
            <v>22050128-2</v>
          </cell>
          <cell r="AR1037" t="str">
            <v>22050128-3</v>
          </cell>
          <cell r="AS1037" t="str">
            <v>22050128-4</v>
          </cell>
          <cell r="AT1037">
            <v>0</v>
          </cell>
          <cell r="AU1037">
            <v>0</v>
          </cell>
          <cell r="AV1037">
            <v>0</v>
          </cell>
          <cell r="AW1037">
            <v>0</v>
          </cell>
          <cell r="AX1037">
            <v>0</v>
          </cell>
          <cell r="AY1037" t="str">
            <v>550x870</v>
          </cell>
          <cell r="AZ1037">
            <v>0</v>
          </cell>
          <cell r="BA1037">
            <v>0</v>
          </cell>
          <cell r="BB1037">
            <v>0</v>
          </cell>
          <cell r="BC1037">
            <v>0</v>
          </cell>
          <cell r="BD1037" t="e">
            <v>#N/A</v>
          </cell>
        </row>
        <row r="1038">
          <cell r="A1038" t="str">
            <v>sp 1546</v>
          </cell>
          <cell r="B1038" t="str">
            <v>Túi hạt giống lúa mới TBR225XN1 kháng bạc lá 1kg Tháí Bình</v>
          </cell>
          <cell r="C1038">
            <v>4.5520000000000005</v>
          </cell>
          <cell r="D1038">
            <v>2</v>
          </cell>
          <cell r="E1038" t="str">
            <v>PET 12x900</v>
          </cell>
          <cell r="F1038">
            <v>8</v>
          </cell>
          <cell r="G1038" t="str">
            <v>PET</v>
          </cell>
          <cell r="H1038">
            <v>9.1999999999999998E-2</v>
          </cell>
          <cell r="I1038">
            <v>2.6320000000000001</v>
          </cell>
          <cell r="J1038">
            <v>4.5999999999999999E-2</v>
          </cell>
          <cell r="K1038">
            <v>9.1999999999999998E-2</v>
          </cell>
          <cell r="L1038">
            <v>0.82199999999999995</v>
          </cell>
          <cell r="M1038">
            <v>0.27700000000000002</v>
          </cell>
          <cell r="N1038">
            <v>0</v>
          </cell>
          <cell r="O1038">
            <v>0.314</v>
          </cell>
          <cell r="P1038">
            <v>0</v>
          </cell>
          <cell r="Q1038">
            <v>0.20300000000000001</v>
          </cell>
          <cell r="R1038">
            <v>3.6999999999999998E-2</v>
          </cell>
          <cell r="S1038">
            <v>0</v>
          </cell>
          <cell r="T1038">
            <v>3.6999999999999998E-2</v>
          </cell>
          <cell r="U1038">
            <v>0</v>
          </cell>
          <cell r="V1038">
            <v>0</v>
          </cell>
          <cell r="W1038">
            <v>0</v>
          </cell>
          <cell r="X1038">
            <v>0</v>
          </cell>
          <cell r="Y1038">
            <v>0</v>
          </cell>
          <cell r="Z1038">
            <v>0</v>
          </cell>
          <cell r="AA1038">
            <v>0</v>
          </cell>
          <cell r="AB1038">
            <v>0</v>
          </cell>
          <cell r="AC1038">
            <v>0</v>
          </cell>
          <cell r="AD1038">
            <v>0</v>
          </cell>
          <cell r="AE1038" t="str">
            <v>PE 82x900</v>
          </cell>
          <cell r="AF1038">
            <v>0</v>
          </cell>
          <cell r="AG1038">
            <v>8.3385000000000001E-2</v>
          </cell>
          <cell r="AH1038">
            <v>1.3646666666666665</v>
          </cell>
          <cell r="AI1038">
            <v>0</v>
          </cell>
          <cell r="AJ1038">
            <v>9530</v>
          </cell>
          <cell r="AK1038">
            <v>0</v>
          </cell>
          <cell r="AL1038">
            <v>2.3E-3</v>
          </cell>
          <cell r="AM1038" t="str">
            <v>túi ba biên</v>
          </cell>
          <cell r="AN1038">
            <v>310</v>
          </cell>
          <cell r="AO1038" t="str">
            <v>Công ty Thái Bình</v>
          </cell>
          <cell r="AP1038" t="str">
            <v>1710841-1</v>
          </cell>
          <cell r="AQ1038" t="str">
            <v>1903063-2</v>
          </cell>
          <cell r="AR1038" t="str">
            <v>1609240-3</v>
          </cell>
          <cell r="AS1038" t="str">
            <v>1903063-4</v>
          </cell>
          <cell r="AT1038" t="str">
            <v>22041004-5</v>
          </cell>
          <cell r="AU1038" t="str">
            <v>22041004-6</v>
          </cell>
          <cell r="AV1038" t="str">
            <v>22041004-7</v>
          </cell>
          <cell r="AW1038" t="str">
            <v>20110138-8</v>
          </cell>
          <cell r="AX1038">
            <v>0</v>
          </cell>
          <cell r="AY1038" t="str">
            <v>620x1100</v>
          </cell>
          <cell r="AZ1038">
            <v>0</v>
          </cell>
          <cell r="BA1038">
            <v>0</v>
          </cell>
          <cell r="BB1038">
            <v>0</v>
          </cell>
          <cell r="BC1038">
            <v>0</v>
          </cell>
          <cell r="BD1038" t="e">
            <v>#N/A</v>
          </cell>
        </row>
        <row r="1039">
          <cell r="A1039" t="str">
            <v>sp 1547</v>
          </cell>
          <cell r="B1039" t="str">
            <v>Túi hạt giống lúa mới TBR97XN1 chịu đạo ôn 1kg Thái Bình</v>
          </cell>
          <cell r="C1039">
            <v>7.2519999999999998</v>
          </cell>
          <cell r="D1039">
            <v>2</v>
          </cell>
          <cell r="E1039" t="str">
            <v>PET 12x900</v>
          </cell>
          <cell r="F1039">
            <v>8</v>
          </cell>
          <cell r="G1039" t="str">
            <v>PET</v>
          </cell>
          <cell r="H1039">
            <v>0</v>
          </cell>
          <cell r="I1039">
            <v>4.0780000000000003</v>
          </cell>
          <cell r="J1039">
            <v>7.0000000000000007E-2</v>
          </cell>
          <cell r="K1039">
            <v>0.35199999999999998</v>
          </cell>
          <cell r="L1039">
            <v>2.3199999999999998</v>
          </cell>
          <cell r="M1039">
            <v>0.42199999999999999</v>
          </cell>
          <cell r="N1039">
            <v>0</v>
          </cell>
          <cell r="O1039">
            <v>0</v>
          </cell>
          <cell r="P1039">
            <v>0</v>
          </cell>
          <cell r="Q1039">
            <v>0</v>
          </cell>
          <cell r="R1039">
            <v>0</v>
          </cell>
          <cell r="S1039">
            <v>0</v>
          </cell>
          <cell r="T1039">
            <v>0.01</v>
          </cell>
          <cell r="U1039">
            <v>0</v>
          </cell>
          <cell r="V1039">
            <v>0</v>
          </cell>
          <cell r="W1039">
            <v>0</v>
          </cell>
          <cell r="X1039">
            <v>0</v>
          </cell>
          <cell r="Y1039">
            <v>0</v>
          </cell>
          <cell r="Z1039">
            <v>0</v>
          </cell>
          <cell r="AA1039">
            <v>0</v>
          </cell>
          <cell r="AB1039">
            <v>0</v>
          </cell>
          <cell r="AC1039">
            <v>0</v>
          </cell>
          <cell r="AD1039">
            <v>0</v>
          </cell>
          <cell r="AE1039" t="str">
            <v>PE 82x900</v>
          </cell>
          <cell r="AF1039">
            <v>0</v>
          </cell>
          <cell r="AG1039">
            <v>8.3385000000000001E-2</v>
          </cell>
          <cell r="AH1039">
            <v>1.3646666666666665</v>
          </cell>
          <cell r="AI1039">
            <v>0</v>
          </cell>
          <cell r="AJ1039">
            <v>9530</v>
          </cell>
          <cell r="AK1039">
            <v>0</v>
          </cell>
          <cell r="AL1039">
            <v>2.3E-3</v>
          </cell>
          <cell r="AM1039" t="str">
            <v>túi ba biên</v>
          </cell>
          <cell r="AN1039">
            <v>310</v>
          </cell>
          <cell r="AO1039" t="str">
            <v>Công ty Thái Bình</v>
          </cell>
          <cell r="AP1039" t="str">
            <v>1710841-1</v>
          </cell>
          <cell r="AQ1039" t="str">
            <v>1903063-2</v>
          </cell>
          <cell r="AR1039" t="str">
            <v>1609240-3</v>
          </cell>
          <cell r="AS1039" t="str">
            <v>1903063-4</v>
          </cell>
          <cell r="AT1039" t="str">
            <v>22041005-5</v>
          </cell>
          <cell r="AU1039" t="str">
            <v>22041005-6</v>
          </cell>
          <cell r="AV1039" t="str">
            <v>22041005-7</v>
          </cell>
          <cell r="AW1039" t="str">
            <v>20110138-8</v>
          </cell>
          <cell r="AX1039">
            <v>0</v>
          </cell>
          <cell r="AY1039" t="str">
            <v>620x1100</v>
          </cell>
          <cell r="AZ1039">
            <v>0</v>
          </cell>
          <cell r="BA1039">
            <v>0</v>
          </cell>
          <cell r="BB1039">
            <v>0</v>
          </cell>
          <cell r="BC1039">
            <v>0</v>
          </cell>
          <cell r="BD1039" t="e">
            <v>#N/A</v>
          </cell>
        </row>
        <row r="1040">
          <cell r="A1040" t="str">
            <v>sp 1548</v>
          </cell>
          <cell r="B1040" t="str">
            <v>Túi hạt giống lúa mới TBR225XN1 kháng bạc lá 40kg Tháí Bình</v>
          </cell>
          <cell r="C1040">
            <v>3.6029999999999998</v>
          </cell>
          <cell r="D1040">
            <v>1</v>
          </cell>
          <cell r="E1040" t="str">
            <v>OPP 20x690</v>
          </cell>
          <cell r="F1040">
            <v>8</v>
          </cell>
          <cell r="G1040" t="str">
            <v>OPP</v>
          </cell>
          <cell r="H1040">
            <v>0.308</v>
          </cell>
          <cell r="I1040">
            <v>0</v>
          </cell>
          <cell r="J1040">
            <v>0.01</v>
          </cell>
          <cell r="K1040">
            <v>0.20499999999999999</v>
          </cell>
          <cell r="L1040">
            <v>0.71899999999999997</v>
          </cell>
          <cell r="M1040">
            <v>0.61599999999999999</v>
          </cell>
          <cell r="N1040">
            <v>0</v>
          </cell>
          <cell r="O1040">
            <v>1.3859999999999999</v>
          </cell>
          <cell r="P1040">
            <v>0</v>
          </cell>
          <cell r="Q1040">
            <v>0.308</v>
          </cell>
          <cell r="R1040">
            <v>0</v>
          </cell>
          <cell r="S1040">
            <v>0</v>
          </cell>
          <cell r="T1040">
            <v>5.0999999999999997E-2</v>
          </cell>
          <cell r="U1040">
            <v>0</v>
          </cell>
          <cell r="V1040">
            <v>0</v>
          </cell>
          <cell r="W1040">
            <v>0</v>
          </cell>
          <cell r="X1040">
            <v>0</v>
          </cell>
          <cell r="Y1040">
            <v>0</v>
          </cell>
          <cell r="Z1040">
            <v>0</v>
          </cell>
          <cell r="AA1040">
            <v>0</v>
          </cell>
          <cell r="AB1040">
            <v>0</v>
          </cell>
          <cell r="AC1040">
            <v>0</v>
          </cell>
          <cell r="AD1040">
            <v>0</v>
          </cell>
          <cell r="AE1040">
            <v>0</v>
          </cell>
          <cell r="AF1040">
            <v>0</v>
          </cell>
          <cell r="AG1040">
            <v>0</v>
          </cell>
          <cell r="AH1040">
            <v>0</v>
          </cell>
          <cell r="AI1040">
            <v>0</v>
          </cell>
          <cell r="AJ1040">
            <v>0</v>
          </cell>
          <cell r="AK1040">
            <v>0</v>
          </cell>
          <cell r="AL1040">
            <v>0</v>
          </cell>
          <cell r="AM1040" t="str">
            <v>dạng cuộn 6,000m</v>
          </cell>
          <cell r="AN1040">
            <v>670</v>
          </cell>
          <cell r="AO1040" t="str">
            <v>Công ty Thái Bình</v>
          </cell>
          <cell r="AP1040" t="str">
            <v>17101029-1</v>
          </cell>
          <cell r="AQ1040" t="str">
            <v>1609242-2</v>
          </cell>
          <cell r="AR1040" t="str">
            <v>17101029-3</v>
          </cell>
          <cell r="AS1040" t="str">
            <v>1710745-4</v>
          </cell>
          <cell r="AT1040" t="str">
            <v>22050081-5</v>
          </cell>
          <cell r="AU1040" t="str">
            <v>22050081-6</v>
          </cell>
          <cell r="AV1040" t="str">
            <v>22050081-7</v>
          </cell>
          <cell r="AW1040" t="str">
            <v>1609242-8</v>
          </cell>
          <cell r="AX1040">
            <v>0</v>
          </cell>
          <cell r="AY1040" t="str">
            <v>850x1100</v>
          </cell>
          <cell r="AZ1040">
            <v>0</v>
          </cell>
          <cell r="BA1040">
            <v>0</v>
          </cell>
          <cell r="BB1040">
            <v>0</v>
          </cell>
          <cell r="BC1040">
            <v>0</v>
          </cell>
          <cell r="BD1040" t="e">
            <v>#N/A</v>
          </cell>
        </row>
        <row r="1041">
          <cell r="A1041" t="str">
            <v>sp 1549</v>
          </cell>
          <cell r="B1041" t="str">
            <v>Túi hạt giống lúa mới TBR97XN1 chịu đạo ôn 40kg Thái Bình</v>
          </cell>
          <cell r="C1041">
            <v>7.3149999999999995</v>
          </cell>
          <cell r="D1041">
            <v>1</v>
          </cell>
          <cell r="E1041" t="str">
            <v>OPP 20x690</v>
          </cell>
          <cell r="F1041">
            <v>8</v>
          </cell>
          <cell r="G1041" t="str">
            <v>OPP</v>
          </cell>
          <cell r="H1041">
            <v>0.59199999999999997</v>
          </cell>
          <cell r="I1041">
            <v>0</v>
          </cell>
          <cell r="J1041">
            <v>0.39500000000000002</v>
          </cell>
          <cell r="K1041">
            <v>0.39500000000000002</v>
          </cell>
          <cell r="L1041">
            <v>5.5279999999999996</v>
          </cell>
          <cell r="M1041">
            <v>0</v>
          </cell>
          <cell r="N1041">
            <v>0</v>
          </cell>
          <cell r="O1041">
            <v>0.01</v>
          </cell>
          <cell r="P1041">
            <v>0</v>
          </cell>
          <cell r="Q1041">
            <v>0</v>
          </cell>
          <cell r="R1041">
            <v>0</v>
          </cell>
          <cell r="S1041">
            <v>0</v>
          </cell>
          <cell r="T1041">
            <v>0.39500000000000002</v>
          </cell>
          <cell r="U1041">
            <v>0</v>
          </cell>
          <cell r="V1041">
            <v>0</v>
          </cell>
          <cell r="W1041">
            <v>0</v>
          </cell>
          <cell r="X1041">
            <v>0</v>
          </cell>
          <cell r="Y1041">
            <v>0</v>
          </cell>
          <cell r="Z1041">
            <v>0</v>
          </cell>
          <cell r="AA1041">
            <v>0</v>
          </cell>
          <cell r="AB1041">
            <v>0</v>
          </cell>
          <cell r="AC1041">
            <v>0</v>
          </cell>
          <cell r="AD1041">
            <v>0</v>
          </cell>
          <cell r="AE1041">
            <v>0</v>
          </cell>
          <cell r="AF1041">
            <v>0</v>
          </cell>
          <cell r="AG1041">
            <v>0</v>
          </cell>
          <cell r="AH1041">
            <v>0</v>
          </cell>
          <cell r="AI1041">
            <v>0</v>
          </cell>
          <cell r="AJ1041">
            <v>0</v>
          </cell>
          <cell r="AK1041">
            <v>0</v>
          </cell>
          <cell r="AL1041">
            <v>0</v>
          </cell>
          <cell r="AM1041" t="str">
            <v>dạng cuộn 6,000m</v>
          </cell>
          <cell r="AN1041">
            <v>670</v>
          </cell>
          <cell r="AO1041" t="str">
            <v>Công ty Thái Bình</v>
          </cell>
          <cell r="AP1041" t="str">
            <v>17101029-1</v>
          </cell>
          <cell r="AQ1041" t="str">
            <v>1609242-2</v>
          </cell>
          <cell r="AR1041" t="str">
            <v>17101029-3</v>
          </cell>
          <cell r="AS1041" t="str">
            <v>1710745-4</v>
          </cell>
          <cell r="AT1041" t="str">
            <v>22050082-5</v>
          </cell>
          <cell r="AU1041" t="str">
            <v>22050082-6</v>
          </cell>
          <cell r="AV1041" t="str">
            <v>22050082-7</v>
          </cell>
          <cell r="AW1041" t="str">
            <v>1609242-8</v>
          </cell>
          <cell r="AX1041">
            <v>0</v>
          </cell>
          <cell r="AY1041" t="str">
            <v>850x1100</v>
          </cell>
          <cell r="AZ1041">
            <v>0</v>
          </cell>
          <cell r="BA1041">
            <v>0</v>
          </cell>
          <cell r="BB1041">
            <v>0</v>
          </cell>
          <cell r="BC1041">
            <v>0</v>
          </cell>
          <cell r="BD1041" t="e">
            <v>#N/A</v>
          </cell>
        </row>
        <row r="1042">
          <cell r="A1042" t="str">
            <v>sp 1550</v>
          </cell>
          <cell r="B1042" t="str">
            <v>Túi zipper cám dinh dưỡng cao cấp VFG 1kg Ngọc Linh</v>
          </cell>
          <cell r="C1042">
            <v>11.555999999999999</v>
          </cell>
          <cell r="D1042">
            <v>1</v>
          </cell>
          <cell r="E1042" t="str">
            <v>PET 12x800</v>
          </cell>
          <cell r="F1042">
            <v>6</v>
          </cell>
          <cell r="G1042" t="str">
            <v>PET</v>
          </cell>
          <cell r="H1042">
            <v>0.71499999999999997</v>
          </cell>
          <cell r="I1042">
            <v>5.9569999999999999</v>
          </cell>
          <cell r="J1042">
            <v>0.11899999999999999</v>
          </cell>
          <cell r="K1042">
            <v>1.0720000000000001</v>
          </cell>
          <cell r="L1042">
            <v>0.71499999999999997</v>
          </cell>
          <cell r="M1042">
            <v>2.621</v>
          </cell>
          <cell r="N1042">
            <v>0</v>
          </cell>
          <cell r="O1042">
            <v>0</v>
          </cell>
          <cell r="P1042">
            <v>0</v>
          </cell>
          <cell r="Q1042">
            <v>0</v>
          </cell>
          <cell r="R1042">
            <v>0.35699999999999998</v>
          </cell>
          <cell r="S1042">
            <v>0</v>
          </cell>
          <cell r="T1042">
            <v>0</v>
          </cell>
          <cell r="U1042">
            <v>0</v>
          </cell>
          <cell r="V1042">
            <v>0</v>
          </cell>
          <cell r="W1042">
            <v>0</v>
          </cell>
          <cell r="X1042">
            <v>0</v>
          </cell>
          <cell r="Y1042">
            <v>0</v>
          </cell>
          <cell r="Z1042">
            <v>0</v>
          </cell>
          <cell r="AA1042">
            <v>0</v>
          </cell>
          <cell r="AB1042">
            <v>0</v>
          </cell>
          <cell r="AC1042">
            <v>0</v>
          </cell>
          <cell r="AD1042">
            <v>0</v>
          </cell>
          <cell r="AE1042" t="str">
            <v>PE 120x800</v>
          </cell>
          <cell r="AF1042">
            <v>0</v>
          </cell>
          <cell r="AG1042">
            <v>0.10224</v>
          </cell>
          <cell r="AH1042">
            <v>1.58</v>
          </cell>
          <cell r="AI1042">
            <v>0</v>
          </cell>
          <cell r="AJ1042">
            <v>9530</v>
          </cell>
          <cell r="AK1042">
            <v>0</v>
          </cell>
          <cell r="AL1042">
            <v>3.0000000000000001E-3</v>
          </cell>
          <cell r="AM1042" t="str">
            <v>túi ba biên đáy đứng</v>
          </cell>
          <cell r="AN1042">
            <v>220</v>
          </cell>
          <cell r="AO1042" t="str">
            <v>Công ty TNHH TM&amp;DV Thịnh Ngọc Linh</v>
          </cell>
          <cell r="AP1042" t="str">
            <v>22050066-1</v>
          </cell>
          <cell r="AQ1042" t="str">
            <v>22050066-2</v>
          </cell>
          <cell r="AR1042" t="str">
            <v>22050066-3</v>
          </cell>
          <cell r="AS1042" t="str">
            <v>22050066-4</v>
          </cell>
          <cell r="AT1042" t="str">
            <v>22050066-5</v>
          </cell>
          <cell r="AU1042" t="str">
            <v>22050066-6</v>
          </cell>
          <cell r="AV1042">
            <v>0</v>
          </cell>
          <cell r="AW1042">
            <v>0</v>
          </cell>
          <cell r="AX1042">
            <v>0</v>
          </cell>
          <cell r="AY1042" t="str">
            <v>440x870</v>
          </cell>
          <cell r="AZ1042">
            <v>0</v>
          </cell>
          <cell r="BA1042">
            <v>0</v>
          </cell>
          <cell r="BB1042">
            <v>0</v>
          </cell>
          <cell r="BC1042">
            <v>0</v>
          </cell>
          <cell r="BD1042" t="e">
            <v>#N/A</v>
          </cell>
        </row>
        <row r="1043">
          <cell r="A1043" t="str">
            <v>sp 1551</v>
          </cell>
          <cell r="B1043" t="str">
            <v>Cuộn bánh coffe baraka xuất khẩu Palestinian 45gr KT 215x138mm</v>
          </cell>
          <cell r="C1043">
            <v>9.2639999999999993</v>
          </cell>
          <cell r="D1043">
            <v>4</v>
          </cell>
          <cell r="E1043" t="str">
            <v>OPP 30x880</v>
          </cell>
          <cell r="F1043">
            <v>8</v>
          </cell>
          <cell r="G1043" t="str">
            <v>OPP</v>
          </cell>
          <cell r="H1043">
            <v>0.01</v>
          </cell>
          <cell r="I1043">
            <v>5.6079999999999997</v>
          </cell>
          <cell r="J1043">
            <v>0.83099999999999996</v>
          </cell>
          <cell r="K1043">
            <v>0.26</v>
          </cell>
          <cell r="L1043">
            <v>0.01</v>
          </cell>
          <cell r="M1043">
            <v>1.6619999999999999</v>
          </cell>
          <cell r="N1043">
            <v>0</v>
          </cell>
          <cell r="O1043">
            <v>5.1999999999999998E-2</v>
          </cell>
          <cell r="P1043">
            <v>0.104</v>
          </cell>
          <cell r="Q1043">
            <v>0</v>
          </cell>
          <cell r="R1043">
            <v>0</v>
          </cell>
          <cell r="S1043">
            <v>0</v>
          </cell>
          <cell r="T1043">
            <v>0.72699999999999998</v>
          </cell>
          <cell r="U1043">
            <v>0</v>
          </cell>
          <cell r="V1043">
            <v>0</v>
          </cell>
          <cell r="W1043">
            <v>0</v>
          </cell>
          <cell r="X1043">
            <v>0</v>
          </cell>
          <cell r="Y1043">
            <v>0</v>
          </cell>
          <cell r="Z1043">
            <v>0</v>
          </cell>
          <cell r="AA1043">
            <v>0</v>
          </cell>
          <cell r="AB1043">
            <v>0</v>
          </cell>
          <cell r="AC1043">
            <v>0</v>
          </cell>
          <cell r="AD1043">
            <v>0</v>
          </cell>
          <cell r="AE1043" t="str">
            <v>MCPP 35x880</v>
          </cell>
          <cell r="AF1043">
            <v>0</v>
          </cell>
          <cell r="AG1043">
            <v>5.2052000000000008E-2</v>
          </cell>
          <cell r="AH1043">
            <v>1.3339999999999999</v>
          </cell>
          <cell r="AI1043">
            <v>0</v>
          </cell>
          <cell r="AJ1043">
            <v>9530</v>
          </cell>
          <cell r="AK1043">
            <v>0</v>
          </cell>
          <cell r="AL1043">
            <v>2.3E-3</v>
          </cell>
          <cell r="AM1043" t="str">
            <v>dạng cuộn 1.000m</v>
          </cell>
          <cell r="AN1043">
            <v>215</v>
          </cell>
          <cell r="AO1043" t="str">
            <v>Công ty Libra</v>
          </cell>
          <cell r="AP1043" t="str">
            <v>F131115-1</v>
          </cell>
          <cell r="AQ1043" t="str">
            <v>F126665-2</v>
          </cell>
          <cell r="AR1043" t="str">
            <v>F126665-3</v>
          </cell>
          <cell r="AS1043" t="str">
            <v>F126665-4</v>
          </cell>
          <cell r="AT1043" t="str">
            <v>F131115-5</v>
          </cell>
          <cell r="AU1043" t="str">
            <v>F126665-6</v>
          </cell>
          <cell r="AV1043" t="str">
            <v>F131115-7</v>
          </cell>
          <cell r="AW1043" t="str">
            <v>F126665-8</v>
          </cell>
          <cell r="AX1043">
            <v>0</v>
          </cell>
          <cell r="AY1043" t="str">
            <v>552x1100</v>
          </cell>
          <cell r="AZ1043">
            <v>0</v>
          </cell>
          <cell r="BA1043">
            <v>0</v>
          </cell>
          <cell r="BB1043">
            <v>0</v>
          </cell>
          <cell r="BC1043">
            <v>0</v>
          </cell>
          <cell r="BD1043" t="e">
            <v>#N/A</v>
          </cell>
        </row>
        <row r="1044">
          <cell r="A1044" t="str">
            <v>sp 1552</v>
          </cell>
          <cell r="B1044" t="str">
            <v>Túi hạt giống xà lách KT 240x180 Việt Nhật</v>
          </cell>
          <cell r="C1044">
            <v>5.645999999999999</v>
          </cell>
          <cell r="D1044">
            <v>3</v>
          </cell>
          <cell r="E1044" t="str">
            <v>OPP 30x740</v>
          </cell>
          <cell r="F1044">
            <v>5</v>
          </cell>
          <cell r="G1044" t="str">
            <v>OPP</v>
          </cell>
          <cell r="H1044">
            <v>0</v>
          </cell>
          <cell r="I1044">
            <v>3.17</v>
          </cell>
          <cell r="J1044">
            <v>0.77500000000000002</v>
          </cell>
          <cell r="K1044">
            <v>0.56399999999999995</v>
          </cell>
          <cell r="L1044">
            <v>0.01</v>
          </cell>
          <cell r="M1044">
            <v>1.127</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t="str">
            <v>MPET 12x740</v>
          </cell>
          <cell r="AF1044" t="str">
            <v>PE 75x740</v>
          </cell>
          <cell r="AG1044">
            <v>8.3971500000000004E-2</v>
          </cell>
          <cell r="AH1044">
            <v>1.1193333333333333</v>
          </cell>
          <cell r="AI1044">
            <v>1.1193333333333333</v>
          </cell>
          <cell r="AJ1044">
            <v>9530</v>
          </cell>
          <cell r="AK1044">
            <v>9530</v>
          </cell>
          <cell r="AL1044" t="str">
            <v>0.0046(0.0023;0.0023)</v>
          </cell>
          <cell r="AM1044" t="str">
            <v>túi ba biên</v>
          </cell>
          <cell r="AN1044">
            <v>180</v>
          </cell>
          <cell r="AO1044" t="str">
            <v>Công ty TNHH SX TM Giống Việt Nhật</v>
          </cell>
          <cell r="AP1044" t="str">
            <v>22050281-1</v>
          </cell>
          <cell r="AQ1044" t="str">
            <v>22050281-2</v>
          </cell>
          <cell r="AR1044" t="str">
            <v>22050281-3</v>
          </cell>
          <cell r="AS1044" t="str">
            <v>22050281-4</v>
          </cell>
          <cell r="AT1044" t="str">
            <v>22050281-5</v>
          </cell>
          <cell r="AU1044">
            <v>0</v>
          </cell>
          <cell r="AV1044">
            <v>0</v>
          </cell>
          <cell r="AW1044">
            <v>0</v>
          </cell>
          <cell r="AX1044">
            <v>0</v>
          </cell>
          <cell r="AY1044" t="str">
            <v>720x870</v>
          </cell>
          <cell r="AZ1044">
            <v>0</v>
          </cell>
          <cell r="BA1044">
            <v>0</v>
          </cell>
          <cell r="BB1044">
            <v>0</v>
          </cell>
          <cell r="BC1044">
            <v>0</v>
          </cell>
          <cell r="BD1044" t="e">
            <v>#N/A</v>
          </cell>
        </row>
        <row r="1045">
          <cell r="A1045" t="str">
            <v>sp 1553</v>
          </cell>
          <cell r="B1045" t="str">
            <v>Túi chân gà tương thơm 38gr- Chu Việt Nam</v>
          </cell>
          <cell r="C1045">
            <v>3.9409999999999998</v>
          </cell>
          <cell r="D1045">
            <v>4</v>
          </cell>
          <cell r="E1045" t="str">
            <v>PET 12x740</v>
          </cell>
          <cell r="F1045">
            <v>6</v>
          </cell>
          <cell r="G1045" t="str">
            <v>PET</v>
          </cell>
          <cell r="H1045">
            <v>0.123</v>
          </cell>
          <cell r="I1045">
            <v>0.86</v>
          </cell>
          <cell r="J1045">
            <v>0.246</v>
          </cell>
          <cell r="K1045">
            <v>0</v>
          </cell>
          <cell r="L1045">
            <v>2.0880000000000001</v>
          </cell>
          <cell r="M1045">
            <v>0.61399999999999999</v>
          </cell>
          <cell r="N1045">
            <v>0</v>
          </cell>
          <cell r="O1045">
            <v>0</v>
          </cell>
          <cell r="P1045">
            <v>0</v>
          </cell>
          <cell r="Q1045">
            <v>0.01</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t="str">
            <v>Al 6x740</v>
          </cell>
          <cell r="AF1045" t="str">
            <v>PE 105x750</v>
          </cell>
          <cell r="AG1045">
            <v>9.6336899999999989E-2</v>
          </cell>
          <cell r="AH1045">
            <v>1.7033333333333334</v>
          </cell>
          <cell r="AI1045">
            <v>1.7033333333333334</v>
          </cell>
          <cell r="AJ1045">
            <v>9530</v>
          </cell>
          <cell r="AK1045">
            <v>9530</v>
          </cell>
          <cell r="AL1045" t="str">
            <v>0,007 (0,0035;0,0035)</v>
          </cell>
          <cell r="AM1045" t="str">
            <v>túi ba biên</v>
          </cell>
          <cell r="AN1045">
            <v>210</v>
          </cell>
          <cell r="AO1045" t="str">
            <v>Công ty TNHH Thực Phẩm vịt đen Chu Việt Nam</v>
          </cell>
          <cell r="AP1045" t="str">
            <v>22050344-1</v>
          </cell>
          <cell r="AQ1045" t="str">
            <v>22050344-2</v>
          </cell>
          <cell r="AR1045" t="str">
            <v>22050344-3</v>
          </cell>
          <cell r="AS1045" t="str">
            <v>22050344-4</v>
          </cell>
          <cell r="AT1045" t="str">
            <v>22050344-5</v>
          </cell>
          <cell r="AU1045" t="str">
            <v>22050344-6</v>
          </cell>
          <cell r="AV1045">
            <v>0</v>
          </cell>
          <cell r="AW1045">
            <v>0</v>
          </cell>
          <cell r="AX1045">
            <v>0</v>
          </cell>
          <cell r="AY1045" t="str">
            <v>420x870</v>
          </cell>
          <cell r="AZ1045">
            <v>0</v>
          </cell>
          <cell r="BA1045">
            <v>0</v>
          </cell>
          <cell r="BB1045">
            <v>0</v>
          </cell>
          <cell r="BC1045">
            <v>0</v>
          </cell>
          <cell r="BD1045" t="e">
            <v>#N/A</v>
          </cell>
        </row>
        <row r="1046">
          <cell r="A1046" t="str">
            <v>sp 1554</v>
          </cell>
          <cell r="B1046" t="str">
            <v>Túi không in HCT KT 220x340mm- Đức Việt</v>
          </cell>
          <cell r="C1046">
            <v>0</v>
          </cell>
          <cell r="D1046">
            <v>2</v>
          </cell>
          <cell r="E1046" t="str">
            <v>PA 15x900</v>
          </cell>
          <cell r="F1046">
            <v>0</v>
          </cell>
          <cell r="G1046" t="str">
            <v xml:space="preserve">PA </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t="str">
            <v>PE 65x900</v>
          </cell>
          <cell r="AF1046">
            <v>0</v>
          </cell>
          <cell r="AG1046">
            <v>6.9637500000000005E-2</v>
          </cell>
          <cell r="AH1046">
            <v>1.3646666666666665</v>
          </cell>
          <cell r="AI1046">
            <v>0</v>
          </cell>
          <cell r="AJ1046">
            <v>9530</v>
          </cell>
          <cell r="AK1046">
            <v>0</v>
          </cell>
          <cell r="AL1046">
            <v>2.3E-3</v>
          </cell>
          <cell r="AM1046" t="str">
            <v>túi ba biên</v>
          </cell>
          <cell r="AN1046">
            <v>340</v>
          </cell>
          <cell r="AO1046" t="str">
            <v>Công ty CP Thực Phẩm Đức Việt</v>
          </cell>
          <cell r="AP1046">
            <v>0</v>
          </cell>
          <cell r="AQ1046">
            <v>0</v>
          </cell>
          <cell r="AR1046">
            <v>0</v>
          </cell>
          <cell r="AS1046">
            <v>0</v>
          </cell>
          <cell r="AT1046">
            <v>0</v>
          </cell>
          <cell r="AU1046">
            <v>0</v>
          </cell>
          <cell r="AV1046">
            <v>0</v>
          </cell>
          <cell r="AW1046">
            <v>0</v>
          </cell>
          <cell r="AX1046">
            <v>0</v>
          </cell>
          <cell r="AY1046">
            <v>0</v>
          </cell>
          <cell r="AZ1046">
            <v>0</v>
          </cell>
          <cell r="BA1046">
            <v>0</v>
          </cell>
          <cell r="BB1046">
            <v>0</v>
          </cell>
          <cell r="BC1046">
            <v>0</v>
          </cell>
          <cell r="BD1046" t="e">
            <v>#N/A</v>
          </cell>
        </row>
        <row r="1047">
          <cell r="A1047" t="str">
            <v>sp 1555</v>
          </cell>
          <cell r="B1047" t="str">
            <v>Túi chân vịt tứ xuyên 35gr - Thực phẩm MC</v>
          </cell>
          <cell r="C1047">
            <v>3.7539999999999996</v>
          </cell>
          <cell r="D1047">
            <v>4</v>
          </cell>
          <cell r="E1047" t="str">
            <v>PET 12x740</v>
          </cell>
          <cell r="F1047">
            <v>6</v>
          </cell>
          <cell r="G1047" t="str">
            <v>PET</v>
          </cell>
          <cell r="H1047">
            <v>0.29299999999999998</v>
          </cell>
          <cell r="I1047">
            <v>1.5640000000000001</v>
          </cell>
          <cell r="J1047">
            <v>0.01</v>
          </cell>
          <cell r="K1047">
            <v>0.02</v>
          </cell>
          <cell r="L1047">
            <v>1.349</v>
          </cell>
          <cell r="M1047">
            <v>0.50800000000000001</v>
          </cell>
          <cell r="N1047">
            <v>0</v>
          </cell>
          <cell r="O1047">
            <v>0.01</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t="str">
            <v>Al 6x740</v>
          </cell>
          <cell r="AF1047" t="str">
            <v>PE 105x750</v>
          </cell>
          <cell r="AG1047">
            <v>9.6336899999999989E-2</v>
          </cell>
          <cell r="AH1047">
            <v>1.7033333333333334</v>
          </cell>
          <cell r="AI1047">
            <v>1.7033333333333334</v>
          </cell>
          <cell r="AJ1047">
            <v>9530</v>
          </cell>
          <cell r="AK1047">
            <v>9530</v>
          </cell>
          <cell r="AL1047" t="str">
            <v>0,007 (0,0035;0,0035)</v>
          </cell>
          <cell r="AM1047" t="str">
            <v>túi ba biên</v>
          </cell>
          <cell r="AN1047">
            <v>210</v>
          </cell>
          <cell r="AO1047" t="str">
            <v>Công ty TNHH XNK Thực Phẩm MC</v>
          </cell>
          <cell r="AP1047" t="str">
            <v>22050597-1</v>
          </cell>
          <cell r="AQ1047" t="str">
            <v>22050597-2</v>
          </cell>
          <cell r="AR1047" t="str">
            <v>22050597-3</v>
          </cell>
          <cell r="AS1047" t="str">
            <v>22050597-4</v>
          </cell>
          <cell r="AT1047" t="str">
            <v>22050597-5</v>
          </cell>
          <cell r="AU1047" t="str">
            <v>22050597-6</v>
          </cell>
          <cell r="AV1047">
            <v>0</v>
          </cell>
          <cell r="AW1047">
            <v>0</v>
          </cell>
          <cell r="AX1047">
            <v>0</v>
          </cell>
          <cell r="AY1047" t="str">
            <v>420x870</v>
          </cell>
          <cell r="AZ1047">
            <v>0</v>
          </cell>
          <cell r="BA1047">
            <v>0</v>
          </cell>
          <cell r="BB1047">
            <v>0</v>
          </cell>
          <cell r="BC1047">
            <v>0</v>
          </cell>
          <cell r="BD1047" t="e">
            <v>#N/A</v>
          </cell>
        </row>
        <row r="1048">
          <cell r="A1048" t="str">
            <v>sp 1556</v>
          </cell>
          <cell r="B1048">
            <v>0</v>
          </cell>
          <cell r="C1048">
            <v>0</v>
          </cell>
          <cell r="D1048">
            <v>0</v>
          </cell>
          <cell r="E1048">
            <v>0</v>
          </cell>
          <cell r="F1048">
            <v>0</v>
          </cell>
          <cell r="G1048" t="str">
            <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cell r="AF1048">
            <v>0</v>
          </cell>
          <cell r="AG1048">
            <v>0</v>
          </cell>
          <cell r="AH1048">
            <v>0</v>
          </cell>
          <cell r="AI1048">
            <v>0</v>
          </cell>
          <cell r="AJ1048">
            <v>0</v>
          </cell>
          <cell r="AK1048">
            <v>0</v>
          </cell>
          <cell r="AL1048">
            <v>0</v>
          </cell>
          <cell r="AM1048">
            <v>0</v>
          </cell>
          <cell r="AN1048">
            <v>0</v>
          </cell>
          <cell r="AO1048">
            <v>0</v>
          </cell>
          <cell r="AP1048">
            <v>0</v>
          </cell>
          <cell r="AQ1048">
            <v>0</v>
          </cell>
          <cell r="AR1048">
            <v>0</v>
          </cell>
          <cell r="AS1048">
            <v>0</v>
          </cell>
          <cell r="AT1048">
            <v>0</v>
          </cell>
          <cell r="AU1048">
            <v>0</v>
          </cell>
          <cell r="AV1048">
            <v>0</v>
          </cell>
          <cell r="AW1048">
            <v>0</v>
          </cell>
          <cell r="AX1048">
            <v>0</v>
          </cell>
          <cell r="AY1048">
            <v>0</v>
          </cell>
          <cell r="AZ1048">
            <v>0</v>
          </cell>
          <cell r="BA1048">
            <v>0</v>
          </cell>
          <cell r="BB1048">
            <v>0</v>
          </cell>
          <cell r="BC1048">
            <v>0</v>
          </cell>
          <cell r="BD1048" t="e">
            <v>#N/A</v>
          </cell>
        </row>
        <row r="1049">
          <cell r="A1049" t="str">
            <v>sp 1557</v>
          </cell>
          <cell r="B1049">
            <v>0</v>
          </cell>
          <cell r="C1049">
            <v>0</v>
          </cell>
          <cell r="D1049">
            <v>0</v>
          </cell>
          <cell r="E1049">
            <v>0</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cell r="AF1049">
            <v>0</v>
          </cell>
          <cell r="AG1049">
            <v>0</v>
          </cell>
          <cell r="AH1049">
            <v>0</v>
          </cell>
          <cell r="AI1049">
            <v>0</v>
          </cell>
          <cell r="AJ1049">
            <v>0</v>
          </cell>
          <cell r="AK1049">
            <v>0</v>
          </cell>
          <cell r="AL1049">
            <v>0</v>
          </cell>
          <cell r="AM1049">
            <v>0</v>
          </cell>
          <cell r="AN1049">
            <v>0</v>
          </cell>
          <cell r="AO1049">
            <v>0</v>
          </cell>
          <cell r="AP1049">
            <v>0</v>
          </cell>
          <cell r="AQ1049">
            <v>0</v>
          </cell>
          <cell r="AR1049">
            <v>0</v>
          </cell>
          <cell r="AS1049">
            <v>0</v>
          </cell>
          <cell r="AT1049">
            <v>0</v>
          </cell>
          <cell r="AU1049">
            <v>0</v>
          </cell>
          <cell r="AV1049">
            <v>0</v>
          </cell>
          <cell r="AW1049">
            <v>0</v>
          </cell>
          <cell r="AX1049">
            <v>0</v>
          </cell>
          <cell r="AY1049">
            <v>0</v>
          </cell>
          <cell r="AZ1049">
            <v>0</v>
          </cell>
          <cell r="BA1049">
            <v>0</v>
          </cell>
          <cell r="BB1049">
            <v>0</v>
          </cell>
          <cell r="BC1049">
            <v>0</v>
          </cell>
          <cell r="BD1049" t="e">
            <v>#N/A</v>
          </cell>
        </row>
        <row r="1050">
          <cell r="A1050" t="str">
            <v>sp 1558</v>
          </cell>
          <cell r="B1050" t="str">
            <v>Túi hạt hướng dương mỹ vị rang muối 5kg Hoàng Vũ</v>
          </cell>
          <cell r="C1050">
            <v>0</v>
          </cell>
          <cell r="D1050">
            <v>1</v>
          </cell>
          <cell r="E1050" t="str">
            <v>PA 15x900</v>
          </cell>
          <cell r="F1050">
            <v>6</v>
          </cell>
          <cell r="G1050" t="str">
            <v xml:space="preserve">PA </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t="str">
            <v>PE 100x900</v>
          </cell>
          <cell r="AF1050">
            <v>0</v>
          </cell>
          <cell r="AG1050">
            <v>0.18202500000000002</v>
          </cell>
          <cell r="AH1050">
            <v>1.78</v>
          </cell>
          <cell r="AI1050">
            <v>0</v>
          </cell>
          <cell r="AJ1050">
            <v>9530</v>
          </cell>
          <cell r="AK1050">
            <v>0</v>
          </cell>
          <cell r="AL1050">
            <v>3.0000000000000001E-3</v>
          </cell>
          <cell r="AM1050" t="str">
            <v>túi ba biên</v>
          </cell>
          <cell r="AN1050">
            <v>615</v>
          </cell>
          <cell r="AO1050" t="str">
            <v>Công ty TNHH TM DV&amp;SX Hoàng Vũ</v>
          </cell>
          <cell r="AP1050">
            <v>0</v>
          </cell>
          <cell r="AQ1050">
            <v>0</v>
          </cell>
          <cell r="AR1050">
            <v>0</v>
          </cell>
          <cell r="AS1050">
            <v>0</v>
          </cell>
          <cell r="AT1050">
            <v>0</v>
          </cell>
          <cell r="AU1050">
            <v>0</v>
          </cell>
          <cell r="AV1050">
            <v>0</v>
          </cell>
          <cell r="AW1050">
            <v>0</v>
          </cell>
          <cell r="AX1050">
            <v>0</v>
          </cell>
          <cell r="AY1050">
            <v>0</v>
          </cell>
          <cell r="AZ1050">
            <v>0</v>
          </cell>
          <cell r="BA1050">
            <v>0</v>
          </cell>
          <cell r="BB1050">
            <v>0</v>
          </cell>
          <cell r="BC1050">
            <v>0</v>
          </cell>
          <cell r="BD1050" t="e">
            <v>#N/A</v>
          </cell>
        </row>
        <row r="1051">
          <cell r="A1051" t="str">
            <v>sp 1559</v>
          </cell>
          <cell r="B1051" t="str">
            <v>Túi 1 màu cam KT 250x595x70mm Phú Thọ</v>
          </cell>
          <cell r="C1051">
            <v>3.8</v>
          </cell>
          <cell r="D1051">
            <v>1</v>
          </cell>
          <cell r="E1051" t="str">
            <v>OPP 20x760</v>
          </cell>
          <cell r="F1051">
            <v>1</v>
          </cell>
          <cell r="G1051" t="str">
            <v>OPP</v>
          </cell>
          <cell r="H1051">
            <v>0</v>
          </cell>
          <cell r="I1051">
            <v>0</v>
          </cell>
          <cell r="J1051">
            <v>0</v>
          </cell>
          <cell r="K1051">
            <v>0</v>
          </cell>
          <cell r="L1051">
            <v>0</v>
          </cell>
          <cell r="M1051">
            <v>0</v>
          </cell>
          <cell r="N1051">
            <v>0</v>
          </cell>
          <cell r="O1051">
            <v>0</v>
          </cell>
          <cell r="P1051">
            <v>0</v>
          </cell>
          <cell r="Q1051">
            <v>3.8</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t="str">
            <v>MPET 12x760</v>
          </cell>
          <cell r="AF1051" t="str">
            <v>PE 65x760</v>
          </cell>
          <cell r="AG1051">
            <v>7.2295000000000012E-2</v>
          </cell>
          <cell r="AH1051">
            <v>1.1499999999999999</v>
          </cell>
          <cell r="AI1051">
            <v>1.5</v>
          </cell>
          <cell r="AJ1051">
            <v>9530</v>
          </cell>
          <cell r="AK1051">
            <v>9530</v>
          </cell>
          <cell r="AL1051" t="str">
            <v>0.0053(0.0023;0.003)</v>
          </cell>
          <cell r="AM1051" t="str">
            <v>túi hàn lưng xếp hông</v>
          </cell>
          <cell r="AN1051">
            <v>595</v>
          </cell>
          <cell r="AO1051" t="str">
            <v>Công ty TNHH Thế hệ mới Vĩnh Phúc</v>
          </cell>
          <cell r="AP1051">
            <v>0</v>
          </cell>
          <cell r="AQ1051">
            <v>0</v>
          </cell>
          <cell r="AR1051">
            <v>0</v>
          </cell>
          <cell r="AS1051">
            <v>0</v>
          </cell>
          <cell r="AT1051">
            <v>0</v>
          </cell>
          <cell r="AU1051">
            <v>0</v>
          </cell>
          <cell r="AV1051">
            <v>0</v>
          </cell>
          <cell r="AW1051">
            <v>0</v>
          </cell>
          <cell r="AX1051">
            <v>0</v>
          </cell>
          <cell r="AY1051">
            <v>0</v>
          </cell>
          <cell r="AZ1051">
            <v>0</v>
          </cell>
          <cell r="BA1051">
            <v>0</v>
          </cell>
          <cell r="BB1051">
            <v>0</v>
          </cell>
          <cell r="BC1051">
            <v>0</v>
          </cell>
          <cell r="BD1051" t="e">
            <v>#N/A</v>
          </cell>
        </row>
        <row r="1052">
          <cell r="A1052" t="str">
            <v>sp 1560</v>
          </cell>
          <cell r="B1052" t="str">
            <v>Cuộn bột pha nước tắm trẻ em Nhân Hưng 1g - Cát Linh</v>
          </cell>
          <cell r="C1052">
            <v>12.691999999999998</v>
          </cell>
          <cell r="D1052">
            <v>12</v>
          </cell>
          <cell r="E1052" t="str">
            <v>Giấy 60x730</v>
          </cell>
          <cell r="F1052">
            <v>5</v>
          </cell>
          <cell r="G1052" t="str">
            <v>Giấy</v>
          </cell>
          <cell r="H1052">
            <v>0</v>
          </cell>
          <cell r="I1052">
            <v>0</v>
          </cell>
          <cell r="J1052">
            <v>4.0960000000000001</v>
          </cell>
          <cell r="K1052">
            <v>1.2410000000000001</v>
          </cell>
          <cell r="L1052">
            <v>0.621</v>
          </cell>
          <cell r="M1052">
            <v>6.2069999999999999</v>
          </cell>
          <cell r="N1052">
            <v>0</v>
          </cell>
          <cell r="O1052">
            <v>0.01</v>
          </cell>
          <cell r="P1052">
            <v>0.497</v>
          </cell>
          <cell r="Q1052">
            <v>0.01</v>
          </cell>
          <cell r="R1052">
            <v>0.01</v>
          </cell>
          <cell r="S1052">
            <v>0</v>
          </cell>
          <cell r="T1052">
            <v>0</v>
          </cell>
          <cell r="U1052">
            <v>0</v>
          </cell>
          <cell r="V1052">
            <v>0</v>
          </cell>
          <cell r="W1052">
            <v>0</v>
          </cell>
          <cell r="X1052">
            <v>0</v>
          </cell>
          <cell r="Y1052">
            <v>0</v>
          </cell>
          <cell r="Z1052">
            <v>0</v>
          </cell>
          <cell r="AA1052">
            <v>0</v>
          </cell>
          <cell r="AB1052">
            <v>0</v>
          </cell>
          <cell r="AC1052">
            <v>0</v>
          </cell>
          <cell r="AD1052">
            <v>0</v>
          </cell>
          <cell r="AE1052" t="str">
            <v>Al 6x730</v>
          </cell>
          <cell r="AF1052" t="str">
            <v>PE 40x740</v>
          </cell>
          <cell r="AG1052">
            <v>8.5599800000000004E-2</v>
          </cell>
          <cell r="AH1052">
            <v>1.44</v>
          </cell>
          <cell r="AI1052">
            <v>1.2</v>
          </cell>
          <cell r="AJ1052">
            <v>9530</v>
          </cell>
          <cell r="AK1052">
            <v>9530</v>
          </cell>
          <cell r="AL1052" t="str">
            <v>0.0055(0.003.0.0025)</v>
          </cell>
          <cell r="AM1052" t="str">
            <v>dạng cuộn 1.000m</v>
          </cell>
          <cell r="AN1052">
            <v>59</v>
          </cell>
          <cell r="AO1052" t="str">
            <v>Công ty TNHH Dược Phẩm Cát Linh</v>
          </cell>
          <cell r="AP1052">
            <v>0</v>
          </cell>
          <cell r="AQ1052">
            <v>0</v>
          </cell>
          <cell r="AR1052">
            <v>0</v>
          </cell>
          <cell r="AS1052">
            <v>0</v>
          </cell>
          <cell r="AT1052">
            <v>0</v>
          </cell>
          <cell r="AU1052">
            <v>0</v>
          </cell>
          <cell r="AV1052">
            <v>0</v>
          </cell>
          <cell r="AW1052">
            <v>0</v>
          </cell>
          <cell r="AX1052">
            <v>0</v>
          </cell>
          <cell r="AY1052">
            <v>0</v>
          </cell>
          <cell r="AZ1052">
            <v>0</v>
          </cell>
          <cell r="BA1052">
            <v>0</v>
          </cell>
          <cell r="BB1052">
            <v>0</v>
          </cell>
          <cell r="BC1052">
            <v>0</v>
          </cell>
          <cell r="BD1052" t="e">
            <v>#N/A</v>
          </cell>
        </row>
        <row r="1053">
          <cell r="A1053" t="str">
            <v>sp 1561</v>
          </cell>
          <cell r="B1053" t="str">
            <v>Túi đậu nành luộc ăn liền UMAMI -YA 400gr Hiền Lê</v>
          </cell>
          <cell r="C1053">
            <v>11.256000000000002</v>
          </cell>
          <cell r="D1053">
            <v>2</v>
          </cell>
          <cell r="E1053" t="str">
            <v>OPP 20x980</v>
          </cell>
          <cell r="F1053">
            <v>7</v>
          </cell>
          <cell r="G1053" t="str">
            <v>OPP</v>
          </cell>
          <cell r="H1053">
            <v>0.34100000000000003</v>
          </cell>
          <cell r="I1053">
            <v>5.1120000000000001</v>
          </cell>
          <cell r="J1053">
            <v>0.61299999999999999</v>
          </cell>
          <cell r="K1053">
            <v>0.47699999999999998</v>
          </cell>
          <cell r="L1053">
            <v>0.75</v>
          </cell>
          <cell r="M1053">
            <v>2.9990000000000001</v>
          </cell>
          <cell r="N1053">
            <v>0</v>
          </cell>
          <cell r="O1053">
            <v>0.95399999999999996</v>
          </cell>
          <cell r="P1053">
            <v>0</v>
          </cell>
          <cell r="Q1053">
            <v>0</v>
          </cell>
          <cell r="R1053">
            <v>0</v>
          </cell>
          <cell r="S1053">
            <v>0</v>
          </cell>
          <cell r="T1053">
            <v>0</v>
          </cell>
          <cell r="U1053">
            <v>0</v>
          </cell>
          <cell r="V1053">
            <v>0</v>
          </cell>
          <cell r="W1053">
            <v>0.01</v>
          </cell>
          <cell r="X1053">
            <v>0</v>
          </cell>
          <cell r="Y1053">
            <v>0</v>
          </cell>
          <cell r="Z1053">
            <v>0</v>
          </cell>
          <cell r="AA1053">
            <v>0</v>
          </cell>
          <cell r="AB1053">
            <v>0</v>
          </cell>
          <cell r="AC1053">
            <v>0</v>
          </cell>
          <cell r="AD1053">
            <v>0</v>
          </cell>
          <cell r="AE1053" t="str">
            <v>PE 50x980</v>
          </cell>
          <cell r="AF1053">
            <v>0</v>
          </cell>
          <cell r="AG1053">
            <v>6.3161000000000009E-2</v>
          </cell>
          <cell r="AH1053">
            <v>1.4873333333333332</v>
          </cell>
          <cell r="AI1053">
            <v>0</v>
          </cell>
          <cell r="AJ1053">
            <v>9530</v>
          </cell>
          <cell r="AK1053">
            <v>0</v>
          </cell>
          <cell r="AL1053">
            <v>2.3E-3</v>
          </cell>
          <cell r="AM1053" t="str">
            <v>túi hàn lưng xếp hông</v>
          </cell>
          <cell r="AN1053">
            <v>230</v>
          </cell>
          <cell r="AO1053" t="str">
            <v>Công ty TNHH TM&amp;DV Hiền Lê</v>
          </cell>
          <cell r="AP1053">
            <v>0</v>
          </cell>
          <cell r="AQ1053">
            <v>0</v>
          </cell>
          <cell r="AR1053">
            <v>0</v>
          </cell>
          <cell r="AS1053">
            <v>0</v>
          </cell>
          <cell r="AT1053">
            <v>0</v>
          </cell>
          <cell r="AU1053">
            <v>0</v>
          </cell>
          <cell r="AV1053">
            <v>0</v>
          </cell>
          <cell r="AW1053">
            <v>0</v>
          </cell>
          <cell r="AX1053">
            <v>0</v>
          </cell>
          <cell r="AY1053">
            <v>0</v>
          </cell>
          <cell r="AZ1053">
            <v>0</v>
          </cell>
          <cell r="BA1053">
            <v>0</v>
          </cell>
          <cell r="BB1053">
            <v>0</v>
          </cell>
          <cell r="BC1053">
            <v>0</v>
          </cell>
          <cell r="BD1053" t="e">
            <v>#N/A</v>
          </cell>
        </row>
        <row r="1054">
          <cell r="A1054" t="str">
            <v>sp 1562</v>
          </cell>
          <cell r="B1054" t="str">
            <v>Túi linh chi đỏ 250gr Nam Dược</v>
          </cell>
          <cell r="C1054">
            <v>10.302</v>
          </cell>
          <cell r="D1054">
            <v>1</v>
          </cell>
          <cell r="E1054" t="str">
            <v>OPP 30x800</v>
          </cell>
          <cell r="F1054">
            <v>7</v>
          </cell>
          <cell r="G1054" t="str">
            <v>OPP</v>
          </cell>
          <cell r="H1054">
            <v>0.01</v>
          </cell>
          <cell r="I1054">
            <v>3.32</v>
          </cell>
          <cell r="J1054">
            <v>0.66400000000000003</v>
          </cell>
          <cell r="K1054">
            <v>0</v>
          </cell>
          <cell r="L1054">
            <v>0</v>
          </cell>
          <cell r="M1054">
            <v>0</v>
          </cell>
          <cell r="N1054">
            <v>0</v>
          </cell>
          <cell r="O1054">
            <v>0</v>
          </cell>
          <cell r="P1054">
            <v>3.6520000000000001</v>
          </cell>
          <cell r="Q1054">
            <v>1.992</v>
          </cell>
          <cell r="R1054">
            <v>0</v>
          </cell>
          <cell r="S1054">
            <v>0.66400000000000003</v>
          </cell>
          <cell r="T1054">
            <v>0</v>
          </cell>
          <cell r="U1054">
            <v>0</v>
          </cell>
          <cell r="V1054">
            <v>0</v>
          </cell>
          <cell r="W1054">
            <v>0</v>
          </cell>
          <cell r="X1054">
            <v>0</v>
          </cell>
          <cell r="Y1054">
            <v>0</v>
          </cell>
          <cell r="Z1054">
            <v>0</v>
          </cell>
          <cell r="AA1054">
            <v>0</v>
          </cell>
          <cell r="AB1054">
            <v>0</v>
          </cell>
          <cell r="AC1054">
            <v>0</v>
          </cell>
          <cell r="AD1054">
            <v>0</v>
          </cell>
          <cell r="AE1054" t="str">
            <v>MPET 12x800</v>
          </cell>
          <cell r="AF1054" t="str">
            <v>PE 140x800</v>
          </cell>
          <cell r="AG1054">
            <v>0.13888000000000003</v>
          </cell>
          <cell r="AH1054">
            <v>1.6</v>
          </cell>
          <cell r="AI1054">
            <v>1.6</v>
          </cell>
          <cell r="AJ1054">
            <v>9530</v>
          </cell>
          <cell r="AK1054">
            <v>0</v>
          </cell>
          <cell r="AL1054" t="str">
            <v>0.006(0.003;0.003)</v>
          </cell>
          <cell r="AM1054" t="str">
            <v>túi zipper đáy đứng</v>
          </cell>
          <cell r="AN1054">
            <v>255</v>
          </cell>
          <cell r="AO1054" t="str">
            <v>Công ty CP Nam Dược</v>
          </cell>
          <cell r="AP1054">
            <v>0</v>
          </cell>
          <cell r="AQ1054">
            <v>0</v>
          </cell>
          <cell r="AR1054">
            <v>0</v>
          </cell>
          <cell r="AS1054">
            <v>0</v>
          </cell>
          <cell r="AT1054">
            <v>0</v>
          </cell>
          <cell r="AU1054">
            <v>0</v>
          </cell>
          <cell r="AV1054">
            <v>0</v>
          </cell>
          <cell r="AW1054">
            <v>0</v>
          </cell>
          <cell r="AX1054">
            <v>0</v>
          </cell>
          <cell r="AY1054">
            <v>0</v>
          </cell>
          <cell r="AZ1054">
            <v>0</v>
          </cell>
          <cell r="BA1054">
            <v>0</v>
          </cell>
          <cell r="BB1054">
            <v>0</v>
          </cell>
          <cell r="BC1054">
            <v>0</v>
          </cell>
          <cell r="BD1054" t="e">
            <v>#N/A</v>
          </cell>
        </row>
        <row r="1055">
          <cell r="A1055" t="str">
            <v>sp 1563</v>
          </cell>
          <cell r="B1055" t="str">
            <v>Túi linh chi đỏ 250gr hở màng Nam Dược</v>
          </cell>
          <cell r="C1055">
            <v>30.840000000000003</v>
          </cell>
          <cell r="D1055">
            <v>1</v>
          </cell>
          <cell r="E1055" t="str">
            <v>OPP 30x800</v>
          </cell>
          <cell r="F1055">
            <v>7</v>
          </cell>
          <cell r="G1055" t="str">
            <v>OPP</v>
          </cell>
          <cell r="H1055">
            <v>2.665</v>
          </cell>
          <cell r="I1055">
            <v>13.32</v>
          </cell>
          <cell r="J1055">
            <v>0</v>
          </cell>
          <cell r="K1055">
            <v>3.0449999999999999</v>
          </cell>
          <cell r="L1055">
            <v>10.657999999999999</v>
          </cell>
          <cell r="M1055">
            <v>0</v>
          </cell>
          <cell r="N1055">
            <v>0</v>
          </cell>
          <cell r="O1055">
            <v>0</v>
          </cell>
          <cell r="P1055">
            <v>1.1419999999999999</v>
          </cell>
          <cell r="Q1055">
            <v>0</v>
          </cell>
          <cell r="R1055">
            <v>0</v>
          </cell>
          <cell r="S1055">
            <v>0.01</v>
          </cell>
          <cell r="T1055">
            <v>0</v>
          </cell>
          <cell r="U1055">
            <v>0</v>
          </cell>
          <cell r="V1055">
            <v>0</v>
          </cell>
          <cell r="W1055">
            <v>0</v>
          </cell>
          <cell r="X1055">
            <v>0</v>
          </cell>
          <cell r="Y1055">
            <v>0</v>
          </cell>
          <cell r="Z1055">
            <v>0</v>
          </cell>
          <cell r="AA1055">
            <v>0</v>
          </cell>
          <cell r="AB1055">
            <v>0</v>
          </cell>
          <cell r="AC1055">
            <v>0</v>
          </cell>
          <cell r="AD1055">
            <v>0</v>
          </cell>
          <cell r="AE1055" t="str">
            <v>PE 140x800</v>
          </cell>
          <cell r="AF1055">
            <v>0</v>
          </cell>
          <cell r="AG1055">
            <v>0.12544000000000002</v>
          </cell>
          <cell r="AH1055">
            <v>1.58</v>
          </cell>
          <cell r="AI1055">
            <v>0</v>
          </cell>
          <cell r="AJ1055">
            <v>9530</v>
          </cell>
          <cell r="AK1055">
            <v>0</v>
          </cell>
          <cell r="AL1055">
            <v>3.0000000000000001E-3</v>
          </cell>
          <cell r="AM1055" t="str">
            <v>túi zipper đáy đứng</v>
          </cell>
          <cell r="AN1055">
            <v>255</v>
          </cell>
          <cell r="AO1055" t="str">
            <v>Công ty CP Nam Dược</v>
          </cell>
          <cell r="AP1055">
            <v>0</v>
          </cell>
          <cell r="AQ1055">
            <v>0</v>
          </cell>
          <cell r="AR1055">
            <v>0</v>
          </cell>
          <cell r="AS1055">
            <v>0</v>
          </cell>
          <cell r="AT1055">
            <v>0</v>
          </cell>
          <cell r="AU1055">
            <v>0</v>
          </cell>
          <cell r="AV1055">
            <v>0</v>
          </cell>
          <cell r="AW1055">
            <v>0</v>
          </cell>
          <cell r="AX1055">
            <v>0</v>
          </cell>
          <cell r="AY1055">
            <v>0</v>
          </cell>
          <cell r="AZ1055">
            <v>0</v>
          </cell>
          <cell r="BA1055">
            <v>0</v>
          </cell>
          <cell r="BB1055">
            <v>0</v>
          </cell>
          <cell r="BC1055">
            <v>0</v>
          </cell>
          <cell r="BD1055" t="e">
            <v>#N/A</v>
          </cell>
        </row>
        <row r="1056">
          <cell r="A1056" t="str">
            <v>sp 1564</v>
          </cell>
          <cell r="B1056" t="str">
            <v>Cuộn thuốc nước A-v-tvil xanh 5SC dạng sữa đặc loại 30ml-Việt Thắng</v>
          </cell>
          <cell r="C1056">
            <v>4.016</v>
          </cell>
          <cell r="D1056">
            <v>4</v>
          </cell>
          <cell r="E1056" t="str">
            <v>PET 12x676</v>
          </cell>
          <cell r="F1056">
            <v>6</v>
          </cell>
          <cell r="G1056" t="str">
            <v>PET</v>
          </cell>
          <cell r="H1056">
            <v>0.13100000000000001</v>
          </cell>
          <cell r="I1056">
            <v>2.62</v>
          </cell>
          <cell r="J1056">
            <v>0.26200000000000001</v>
          </cell>
          <cell r="K1056">
            <v>0.01</v>
          </cell>
          <cell r="L1056">
            <v>0.19700000000000001</v>
          </cell>
          <cell r="M1056">
            <v>0.78600000000000003</v>
          </cell>
          <cell r="N1056">
            <v>0</v>
          </cell>
          <cell r="O1056">
            <v>0</v>
          </cell>
          <cell r="P1056">
            <v>0</v>
          </cell>
          <cell r="Q1056">
            <v>0</v>
          </cell>
          <cell r="R1056">
            <v>0.01</v>
          </cell>
          <cell r="S1056">
            <v>0</v>
          </cell>
          <cell r="T1056">
            <v>0</v>
          </cell>
          <cell r="U1056">
            <v>0</v>
          </cell>
          <cell r="V1056">
            <v>0</v>
          </cell>
          <cell r="W1056">
            <v>0</v>
          </cell>
          <cell r="X1056">
            <v>0</v>
          </cell>
          <cell r="Y1056">
            <v>0</v>
          </cell>
          <cell r="Z1056">
            <v>0</v>
          </cell>
          <cell r="AA1056">
            <v>0</v>
          </cell>
          <cell r="AB1056">
            <v>0</v>
          </cell>
          <cell r="AC1056">
            <v>0</v>
          </cell>
          <cell r="AD1056">
            <v>0</v>
          </cell>
          <cell r="AE1056" t="str">
            <v>MPET ĐB 12x676</v>
          </cell>
          <cell r="AF1056" t="str">
            <v>PE ĐB 60x676</v>
          </cell>
          <cell r="AG1056">
            <v>6.0231600000000003E-2</v>
          </cell>
          <cell r="AH1056">
            <v>1.0211999999999999</v>
          </cell>
          <cell r="AI1056">
            <v>2.5004329004329005E-3</v>
          </cell>
          <cell r="AJ1056">
            <v>9530</v>
          </cell>
          <cell r="AK1056">
            <v>6260</v>
          </cell>
          <cell r="AL1056" t="str">
            <v>0,0053(0,0023;0,003)</v>
          </cell>
          <cell r="AM1056" t="str">
            <v>dạng cuộn 700m</v>
          </cell>
          <cell r="AN1056">
            <v>164</v>
          </cell>
          <cell r="AO1056" t="str">
            <v>Công ty Việt Thắng</v>
          </cell>
          <cell r="AP1056" t="e">
            <v>#N/A</v>
          </cell>
          <cell r="AQ1056" t="e">
            <v>#N/A</v>
          </cell>
          <cell r="AR1056" t="e">
            <v>#N/A</v>
          </cell>
          <cell r="AS1056" t="e">
            <v>#N/A</v>
          </cell>
          <cell r="AT1056" t="e">
            <v>#N/A</v>
          </cell>
          <cell r="AU1056" t="e">
            <v>#N/A</v>
          </cell>
          <cell r="AV1056" t="e">
            <v>#N/A</v>
          </cell>
          <cell r="AW1056" t="e">
            <v>#N/A</v>
          </cell>
          <cell r="AX1056" t="e">
            <v>#N/A</v>
          </cell>
          <cell r="AY1056" t="e">
            <v>#N/A</v>
          </cell>
          <cell r="AZ1056" t="e">
            <v>#N/A</v>
          </cell>
          <cell r="BA1056">
            <v>0</v>
          </cell>
          <cell r="BB1056">
            <v>0</v>
          </cell>
          <cell r="BC1056">
            <v>0</v>
          </cell>
          <cell r="BD1056" t="e">
            <v>#N/A</v>
          </cell>
        </row>
        <row r="1057">
          <cell r="A1057" t="str">
            <v>sp 1565</v>
          </cell>
          <cell r="B1057" t="str">
            <v>Cuộn thuốc nước A-v-tvil 5SC dạng sữa đặc loại A 45ml-Việt Thắng</v>
          </cell>
          <cell r="C1057">
            <v>6.7159999999999993</v>
          </cell>
          <cell r="D1057">
            <v>4</v>
          </cell>
          <cell r="E1057" t="str">
            <v>PET 12x676</v>
          </cell>
          <cell r="F1057">
            <v>6</v>
          </cell>
          <cell r="G1057" t="str">
            <v>PET</v>
          </cell>
          <cell r="H1057">
            <v>0</v>
          </cell>
          <cell r="I1057">
            <v>4.274</v>
          </cell>
          <cell r="J1057">
            <v>0</v>
          </cell>
          <cell r="K1057">
            <v>0.01</v>
          </cell>
          <cell r="L1057">
            <v>0.85499999999999998</v>
          </cell>
          <cell r="M1057">
            <v>1.5669999999999999</v>
          </cell>
          <cell r="N1057">
            <v>0</v>
          </cell>
          <cell r="O1057">
            <v>0</v>
          </cell>
          <cell r="P1057">
            <v>0</v>
          </cell>
          <cell r="Q1057">
            <v>0</v>
          </cell>
          <cell r="R1057">
            <v>0.01</v>
          </cell>
          <cell r="S1057">
            <v>0</v>
          </cell>
          <cell r="T1057">
            <v>0</v>
          </cell>
          <cell r="U1057">
            <v>0</v>
          </cell>
          <cell r="V1057">
            <v>0</v>
          </cell>
          <cell r="W1057">
            <v>0</v>
          </cell>
          <cell r="X1057">
            <v>0</v>
          </cell>
          <cell r="Y1057">
            <v>0</v>
          </cell>
          <cell r="Z1057">
            <v>0</v>
          </cell>
          <cell r="AA1057">
            <v>0</v>
          </cell>
          <cell r="AB1057">
            <v>0</v>
          </cell>
          <cell r="AC1057">
            <v>0</v>
          </cell>
          <cell r="AD1057">
            <v>0</v>
          </cell>
          <cell r="AE1057" t="str">
            <v>MPET ĐB 12x676</v>
          </cell>
          <cell r="AF1057" t="str">
            <v>PE ĐB 60x676</v>
          </cell>
          <cell r="AG1057">
            <v>6.0231600000000003E-2</v>
          </cell>
          <cell r="AH1057">
            <v>1.0211999999999999</v>
          </cell>
          <cell r="AI1057">
            <v>2.5004329004329005E-3</v>
          </cell>
          <cell r="AJ1057">
            <v>9530</v>
          </cell>
          <cell r="AK1057">
            <v>6260</v>
          </cell>
          <cell r="AL1057" t="str">
            <v>0,0053(0,0023;0,003)</v>
          </cell>
          <cell r="AM1057" t="str">
            <v>dạng cuộn 700m</v>
          </cell>
          <cell r="AN1057">
            <v>164</v>
          </cell>
          <cell r="AO1057" t="str">
            <v>Công ty Việt Thắng</v>
          </cell>
          <cell r="AP1057" t="e">
            <v>#N/A</v>
          </cell>
          <cell r="AQ1057" t="e">
            <v>#N/A</v>
          </cell>
          <cell r="AR1057" t="e">
            <v>#N/A</v>
          </cell>
          <cell r="AS1057" t="e">
            <v>#N/A</v>
          </cell>
          <cell r="AT1057" t="e">
            <v>#N/A</v>
          </cell>
          <cell r="AU1057" t="e">
            <v>#N/A</v>
          </cell>
          <cell r="AV1057" t="e">
            <v>#N/A</v>
          </cell>
          <cell r="AW1057" t="e">
            <v>#N/A</v>
          </cell>
          <cell r="AX1057" t="e">
            <v>#N/A</v>
          </cell>
          <cell r="AY1057" t="e">
            <v>#N/A</v>
          </cell>
          <cell r="AZ1057" t="e">
            <v>#N/A</v>
          </cell>
          <cell r="BA1057">
            <v>0</v>
          </cell>
          <cell r="BB1057">
            <v>0</v>
          </cell>
          <cell r="BC1057">
            <v>0</v>
          </cell>
          <cell r="BD1057" t="e">
            <v>#N/A</v>
          </cell>
        </row>
        <row r="1058">
          <cell r="A1058" t="str">
            <v>sp 1566</v>
          </cell>
          <cell r="B1058" t="str">
            <v>Cuộn cải bẹ dưa tòa sại choi hing 318 Việt Nhật</v>
          </cell>
          <cell r="C1058">
            <v>8.9629999999999992</v>
          </cell>
          <cell r="D1058">
            <v>3</v>
          </cell>
          <cell r="E1058" t="str">
            <v>PET 12x800</v>
          </cell>
          <cell r="F1058">
            <v>5</v>
          </cell>
          <cell r="G1058" t="str">
            <v>PET</v>
          </cell>
          <cell r="H1058">
            <v>0.01</v>
          </cell>
          <cell r="I1058">
            <v>5.0709999999999997</v>
          </cell>
          <cell r="J1058">
            <v>0.47499999999999998</v>
          </cell>
          <cell r="K1058">
            <v>0.317</v>
          </cell>
          <cell r="L1058">
            <v>1.6639999999999999</v>
          </cell>
          <cell r="M1058">
            <v>1.4259999999999999</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t="str">
            <v>MPET 12x800</v>
          </cell>
          <cell r="AF1058" t="str">
            <v>PE 85x800</v>
          </cell>
          <cell r="AG1058">
            <v>8.9780000000000026E-2</v>
          </cell>
          <cell r="AH1058">
            <v>1.2113333333333334</v>
          </cell>
          <cell r="AI1058">
            <v>1.2113333333333334</v>
          </cell>
          <cell r="AJ1058">
            <v>9530</v>
          </cell>
          <cell r="AK1058">
            <v>9530</v>
          </cell>
          <cell r="AL1058" t="str">
            <v>0.0046(0.023;0.0023)</v>
          </cell>
          <cell r="AM1058" t="str">
            <v>dạng cuộn 1.000m</v>
          </cell>
          <cell r="AN1058">
            <v>260</v>
          </cell>
          <cell r="AO1058" t="str">
            <v>Công ty TNHH SX&amp;TM Việt Nhật</v>
          </cell>
          <cell r="AP1058" t="e">
            <v>#N/A</v>
          </cell>
          <cell r="AQ1058" t="e">
            <v>#N/A</v>
          </cell>
          <cell r="AR1058" t="e">
            <v>#N/A</v>
          </cell>
          <cell r="AS1058" t="e">
            <v>#N/A</v>
          </cell>
          <cell r="AT1058" t="e">
            <v>#N/A</v>
          </cell>
          <cell r="AU1058" t="e">
            <v>#N/A</v>
          </cell>
          <cell r="AV1058" t="e">
            <v>#N/A</v>
          </cell>
          <cell r="AW1058" t="e">
            <v>#N/A</v>
          </cell>
          <cell r="AX1058" t="e">
            <v>#N/A</v>
          </cell>
          <cell r="AY1058" t="e">
            <v>#N/A</v>
          </cell>
          <cell r="AZ1058" t="e">
            <v>#N/A</v>
          </cell>
          <cell r="BA1058">
            <v>0</v>
          </cell>
          <cell r="BB1058">
            <v>0</v>
          </cell>
          <cell r="BC1058">
            <v>0</v>
          </cell>
          <cell r="BD1058" t="e">
            <v>#N/A</v>
          </cell>
        </row>
        <row r="1059">
          <cell r="A1059" t="str">
            <v>sp 1567</v>
          </cell>
          <cell r="B1059" t="str">
            <v>Cuộn thạch sữa chua POOM Jelly mix trái cây -Trung Tín</v>
          </cell>
          <cell r="C1059">
            <v>3.7989999999999999</v>
          </cell>
          <cell r="D1059">
            <v>1</v>
          </cell>
          <cell r="E1059" t="str">
            <v>OPP mờ 20x988</v>
          </cell>
          <cell r="F1059">
            <v>5</v>
          </cell>
          <cell r="G1059" t="str">
            <v>OPP</v>
          </cell>
          <cell r="H1059">
            <v>0.01</v>
          </cell>
          <cell r="I1059">
            <v>0</v>
          </cell>
          <cell r="J1059">
            <v>9.5000000000000001E-2</v>
          </cell>
          <cell r="K1059">
            <v>0.45</v>
          </cell>
          <cell r="L1059">
            <v>0.76200000000000001</v>
          </cell>
          <cell r="M1059">
            <v>1.33</v>
          </cell>
          <cell r="N1059">
            <v>1.1419999999999999</v>
          </cell>
          <cell r="O1059">
            <v>0</v>
          </cell>
          <cell r="P1059">
            <v>0.01</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t="str">
            <v>Giấy 55x988</v>
          </cell>
          <cell r="AF1059" t="str">
            <v>PA15x988
PE sứ 50x988</v>
          </cell>
          <cell r="AG1059">
            <v>0.14395159999999999</v>
          </cell>
          <cell r="AH1059">
            <v>2.6079999999999997</v>
          </cell>
          <cell r="AI1059">
            <v>2.6079999999999997</v>
          </cell>
          <cell r="AJ1059">
            <v>9530</v>
          </cell>
          <cell r="AK1059">
            <v>9530</v>
          </cell>
          <cell r="AL1059" t="str">
            <v>0.008 (0.004;0.004)</v>
          </cell>
          <cell r="AM1059" t="str">
            <v>dạng cuộn 500m</v>
          </cell>
          <cell r="AN1059">
            <v>968</v>
          </cell>
          <cell r="AO1059" t="str">
            <v>Hộ kinh doanh cơ sở nhà máy bánh kẹo Trung Tín</v>
          </cell>
          <cell r="AP1059" t="e">
            <v>#N/A</v>
          </cell>
          <cell r="AQ1059" t="e">
            <v>#N/A</v>
          </cell>
          <cell r="AR1059" t="e">
            <v>#N/A</v>
          </cell>
          <cell r="AS1059" t="e">
            <v>#N/A</v>
          </cell>
          <cell r="AT1059" t="e">
            <v>#N/A</v>
          </cell>
          <cell r="AU1059" t="e">
            <v>#N/A</v>
          </cell>
          <cell r="AV1059" t="e">
            <v>#N/A</v>
          </cell>
          <cell r="AW1059" t="e">
            <v>#N/A</v>
          </cell>
          <cell r="AX1059" t="e">
            <v>#N/A</v>
          </cell>
          <cell r="AY1059" t="e">
            <v>#N/A</v>
          </cell>
          <cell r="AZ1059" t="e">
            <v>#N/A</v>
          </cell>
          <cell r="BA1059">
            <v>0</v>
          </cell>
          <cell r="BB1059">
            <v>0</v>
          </cell>
          <cell r="BC1059">
            <v>0</v>
          </cell>
          <cell r="BD1059" t="e">
            <v>#N/A</v>
          </cell>
        </row>
        <row r="1060">
          <cell r="A1060" t="str">
            <v>sp 1568</v>
          </cell>
          <cell r="B1060" t="str">
            <v>Cuộn bánh korky phủ socola dừa Diamond Food</v>
          </cell>
          <cell r="C1060">
            <v>6.6819999999999995</v>
          </cell>
          <cell r="D1060">
            <v>6</v>
          </cell>
          <cell r="E1060" t="str">
            <v>OPP 20x890</v>
          </cell>
          <cell r="F1060">
            <v>6</v>
          </cell>
          <cell r="G1060" t="str">
            <v>OPP</v>
          </cell>
          <cell r="H1060">
            <v>0</v>
          </cell>
          <cell r="I1060">
            <v>4.42</v>
          </cell>
          <cell r="J1060">
            <v>0.159</v>
          </cell>
          <cell r="K1060">
            <v>0.95399999999999996</v>
          </cell>
          <cell r="L1060">
            <v>0.60399999999999998</v>
          </cell>
          <cell r="M1060">
            <v>0</v>
          </cell>
          <cell r="N1060">
            <v>0</v>
          </cell>
          <cell r="O1060">
            <v>0</v>
          </cell>
          <cell r="P1060">
            <v>0.45</v>
          </cell>
          <cell r="Q1060">
            <v>0</v>
          </cell>
          <cell r="R1060">
            <v>0</v>
          </cell>
          <cell r="S1060">
            <v>0</v>
          </cell>
          <cell r="T1060">
            <v>9.5000000000000001E-2</v>
          </cell>
          <cell r="U1060">
            <v>0</v>
          </cell>
          <cell r="V1060">
            <v>0</v>
          </cell>
          <cell r="W1060">
            <v>0</v>
          </cell>
          <cell r="X1060">
            <v>0</v>
          </cell>
          <cell r="Y1060">
            <v>0</v>
          </cell>
          <cell r="Z1060">
            <v>0</v>
          </cell>
          <cell r="AA1060">
            <v>0</v>
          </cell>
          <cell r="AB1060">
            <v>0</v>
          </cell>
          <cell r="AC1060">
            <v>0</v>
          </cell>
          <cell r="AD1060">
            <v>0</v>
          </cell>
          <cell r="AE1060" t="str">
            <v>MCPP 25x890</v>
          </cell>
          <cell r="AF1060">
            <v>0</v>
          </cell>
          <cell r="AG1060">
            <v>3.6445499999999999E-2</v>
          </cell>
          <cell r="AH1060">
            <v>3.6138666666666664E-4</v>
          </cell>
          <cell r="AI1060">
            <v>0</v>
          </cell>
          <cell r="AJ1060" t="str">
            <v>keo 829B
ĐR 829A</v>
          </cell>
          <cell r="AK1060">
            <v>0</v>
          </cell>
          <cell r="AL1060">
            <v>1.4E-3</v>
          </cell>
          <cell r="AM1060" t="str">
            <v>dạng cuộn 1.000m</v>
          </cell>
          <cell r="AN1060">
            <v>145</v>
          </cell>
          <cell r="AO1060" t="str">
            <v>Công ty Diamond food</v>
          </cell>
          <cell r="AP1060" t="e">
            <v>#N/A</v>
          </cell>
          <cell r="AQ1060" t="e">
            <v>#N/A</v>
          </cell>
          <cell r="AR1060" t="e">
            <v>#N/A</v>
          </cell>
          <cell r="AS1060" t="e">
            <v>#N/A</v>
          </cell>
          <cell r="AT1060" t="e">
            <v>#N/A</v>
          </cell>
          <cell r="AU1060" t="e">
            <v>#N/A</v>
          </cell>
          <cell r="AV1060" t="e">
            <v>#N/A</v>
          </cell>
          <cell r="AW1060" t="e">
            <v>#N/A</v>
          </cell>
          <cell r="AX1060" t="e">
            <v>#N/A</v>
          </cell>
          <cell r="AY1060" t="e">
            <v>#N/A</v>
          </cell>
          <cell r="AZ1060" t="e">
            <v>#N/A</v>
          </cell>
          <cell r="BA1060">
            <v>0</v>
          </cell>
          <cell r="BB1060">
            <v>0</v>
          </cell>
          <cell r="BC1060">
            <v>0</v>
          </cell>
          <cell r="BD1060" t="e">
            <v>#N/A</v>
          </cell>
        </row>
        <row r="1061">
          <cell r="A1061" t="str">
            <v>sp 1569</v>
          </cell>
          <cell r="B1061" t="str">
            <v>Cuộn bánh gạo Honey Rice Cracker Richy</v>
          </cell>
          <cell r="C1061">
            <v>7.4805000000000001</v>
          </cell>
          <cell r="D1061">
            <v>5</v>
          </cell>
          <cell r="E1061" t="str">
            <v>OPP 20x920</v>
          </cell>
          <cell r="F1061">
            <v>8</v>
          </cell>
          <cell r="G1061" t="str">
            <v>OPP</v>
          </cell>
          <cell r="H1061">
            <v>8.7999999999999995E-2</v>
          </cell>
          <cell r="I1061">
            <v>4.0179999999999998</v>
          </cell>
          <cell r="J1061">
            <v>0.01</v>
          </cell>
          <cell r="K1061">
            <v>8.7999999999999995E-2</v>
          </cell>
          <cell r="L1061">
            <v>1.2250000000000001</v>
          </cell>
          <cell r="M1061">
            <v>0.21099999999999999</v>
          </cell>
          <cell r="N1061">
            <v>0</v>
          </cell>
          <cell r="O1061">
            <v>0</v>
          </cell>
          <cell r="P1061">
            <v>9.4500000000000001E-2</v>
          </cell>
          <cell r="Q1061">
            <v>1.736</v>
          </cell>
          <cell r="R1061">
            <v>0</v>
          </cell>
          <cell r="S1061">
            <v>0</v>
          </cell>
          <cell r="T1061">
            <v>0.01</v>
          </cell>
          <cell r="U1061">
            <v>0</v>
          </cell>
          <cell r="V1061">
            <v>0</v>
          </cell>
          <cell r="W1061">
            <v>0</v>
          </cell>
          <cell r="X1061">
            <v>0</v>
          </cell>
          <cell r="Y1061">
            <v>0</v>
          </cell>
          <cell r="Z1061">
            <v>0</v>
          </cell>
          <cell r="AA1061">
            <v>0</v>
          </cell>
          <cell r="AB1061">
            <v>0</v>
          </cell>
          <cell r="AC1061">
            <v>0</v>
          </cell>
          <cell r="AD1061">
            <v>0</v>
          </cell>
          <cell r="AE1061" t="str">
            <v>MCPP 25x920</v>
          </cell>
          <cell r="AF1061">
            <v>0</v>
          </cell>
          <cell r="AG1061">
            <v>3.7673999999999999E-2</v>
          </cell>
          <cell r="AH1061">
            <v>3.8644666666666667E-4</v>
          </cell>
          <cell r="AI1061">
            <v>0</v>
          </cell>
          <cell r="AJ1061" t="str">
            <v>keo 829B
ĐR 829A</v>
          </cell>
          <cell r="AK1061">
            <v>0</v>
          </cell>
          <cell r="AL1061">
            <v>1.4E-3</v>
          </cell>
          <cell r="AM1061" t="str">
            <v>dạng cuộn 1.000m</v>
          </cell>
          <cell r="AN1061">
            <v>180</v>
          </cell>
          <cell r="AO1061" t="str">
            <v>Công ty CP thực phẩm Richy Miền Bắc</v>
          </cell>
          <cell r="AP1061" t="e">
            <v>#N/A</v>
          </cell>
          <cell r="AQ1061" t="e">
            <v>#N/A</v>
          </cell>
          <cell r="AR1061" t="e">
            <v>#N/A</v>
          </cell>
          <cell r="AS1061" t="e">
            <v>#N/A</v>
          </cell>
          <cell r="AT1061" t="e">
            <v>#N/A</v>
          </cell>
          <cell r="AU1061" t="e">
            <v>#N/A</v>
          </cell>
          <cell r="AV1061" t="e">
            <v>#N/A</v>
          </cell>
          <cell r="AW1061" t="e">
            <v>#N/A</v>
          </cell>
          <cell r="AX1061" t="e">
            <v>#N/A</v>
          </cell>
          <cell r="AY1061" t="e">
            <v>#N/A</v>
          </cell>
          <cell r="AZ1061" t="e">
            <v>#N/A</v>
          </cell>
          <cell r="BA1061">
            <v>0</v>
          </cell>
          <cell r="BB1061">
            <v>0</v>
          </cell>
          <cell r="BC1061">
            <v>0</v>
          </cell>
          <cell r="BD1061" t="e">
            <v>#N/A</v>
          </cell>
        </row>
        <row r="1062">
          <cell r="A1062" t="str">
            <v>sp 1570</v>
          </cell>
          <cell r="B1062">
            <v>0</v>
          </cell>
          <cell r="C1062">
            <v>0</v>
          </cell>
          <cell r="D1062">
            <v>0</v>
          </cell>
          <cell r="E1062">
            <v>0</v>
          </cell>
          <cell r="F1062">
            <v>0</v>
          </cell>
          <cell r="G1062" t="str">
            <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cell r="AF1062">
            <v>0</v>
          </cell>
          <cell r="AG1062">
            <v>0</v>
          </cell>
          <cell r="AH1062">
            <v>0</v>
          </cell>
          <cell r="AI1062">
            <v>0</v>
          </cell>
          <cell r="AJ1062">
            <v>0</v>
          </cell>
          <cell r="AK1062">
            <v>0</v>
          </cell>
          <cell r="AL1062">
            <v>0</v>
          </cell>
          <cell r="AM1062">
            <v>0</v>
          </cell>
          <cell r="AN1062">
            <v>0</v>
          </cell>
          <cell r="AO1062">
            <v>0</v>
          </cell>
          <cell r="AP1062" t="e">
            <v>#N/A</v>
          </cell>
          <cell r="AQ1062" t="e">
            <v>#N/A</v>
          </cell>
          <cell r="AR1062" t="e">
            <v>#N/A</v>
          </cell>
          <cell r="AS1062" t="e">
            <v>#N/A</v>
          </cell>
          <cell r="AT1062" t="e">
            <v>#N/A</v>
          </cell>
          <cell r="AU1062" t="e">
            <v>#N/A</v>
          </cell>
          <cell r="AV1062" t="e">
            <v>#N/A</v>
          </cell>
          <cell r="AW1062" t="e">
            <v>#N/A</v>
          </cell>
          <cell r="AX1062" t="e">
            <v>#N/A</v>
          </cell>
          <cell r="AY1062" t="e">
            <v>#N/A</v>
          </cell>
          <cell r="AZ1062" t="e">
            <v>#N/A</v>
          </cell>
          <cell r="BA1062">
            <v>0</v>
          </cell>
          <cell r="BB1062">
            <v>0</v>
          </cell>
          <cell r="BC1062">
            <v>0</v>
          </cell>
          <cell r="BD1062" t="e">
            <v>#N/A</v>
          </cell>
        </row>
        <row r="1063">
          <cell r="A1063" t="str">
            <v>sp 1571</v>
          </cell>
          <cell r="B1063">
            <v>0</v>
          </cell>
          <cell r="C1063">
            <v>0</v>
          </cell>
          <cell r="D1063">
            <v>0</v>
          </cell>
          <cell r="E1063">
            <v>0</v>
          </cell>
          <cell r="F1063">
            <v>0</v>
          </cell>
          <cell r="G1063" t="str">
            <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cell r="AF1063">
            <v>0</v>
          </cell>
          <cell r="AG1063">
            <v>0</v>
          </cell>
          <cell r="AH1063">
            <v>0</v>
          </cell>
          <cell r="AI1063">
            <v>0</v>
          </cell>
          <cell r="AJ1063">
            <v>0</v>
          </cell>
          <cell r="AK1063">
            <v>0</v>
          </cell>
          <cell r="AL1063">
            <v>0</v>
          </cell>
          <cell r="AM1063">
            <v>0</v>
          </cell>
          <cell r="AN1063">
            <v>0</v>
          </cell>
          <cell r="AO1063">
            <v>0</v>
          </cell>
          <cell r="AP1063" t="e">
            <v>#N/A</v>
          </cell>
          <cell r="AQ1063" t="e">
            <v>#N/A</v>
          </cell>
          <cell r="AR1063" t="e">
            <v>#N/A</v>
          </cell>
          <cell r="AS1063" t="e">
            <v>#N/A</v>
          </cell>
          <cell r="AT1063" t="e">
            <v>#N/A</v>
          </cell>
          <cell r="AU1063" t="e">
            <v>#N/A</v>
          </cell>
          <cell r="AV1063" t="e">
            <v>#N/A</v>
          </cell>
          <cell r="AW1063" t="e">
            <v>#N/A</v>
          </cell>
          <cell r="AX1063" t="e">
            <v>#N/A</v>
          </cell>
          <cell r="AY1063" t="e">
            <v>#N/A</v>
          </cell>
          <cell r="AZ1063" t="e">
            <v>#N/A</v>
          </cell>
          <cell r="BA1063">
            <v>0</v>
          </cell>
          <cell r="BB1063">
            <v>0</v>
          </cell>
          <cell r="BC1063">
            <v>0</v>
          </cell>
          <cell r="BD1063" t="e">
            <v>#N/A</v>
          </cell>
        </row>
        <row r="1064">
          <cell r="A1064" t="str">
            <v>sp 1572</v>
          </cell>
          <cell r="B1064">
            <v>0</v>
          </cell>
          <cell r="C1064">
            <v>0</v>
          </cell>
          <cell r="D1064">
            <v>0</v>
          </cell>
          <cell r="E1064">
            <v>0</v>
          </cell>
          <cell r="F1064">
            <v>0</v>
          </cell>
          <cell r="G1064" t="str">
            <v/>
          </cell>
          <cell r="H1064">
            <v>0</v>
          </cell>
          <cell r="I1064">
            <v>0</v>
          </cell>
          <cell r="J1064">
            <v>0</v>
          </cell>
          <cell r="K1064">
            <v>0</v>
          </cell>
          <cell r="L1064">
            <v>0</v>
          </cell>
          <cell r="M1064">
            <v>0</v>
          </cell>
          <cell r="N1064">
            <v>0</v>
          </cell>
          <cell r="O1064">
            <v>0</v>
          </cell>
          <cell r="P1064">
            <v>0</v>
          </cell>
          <cell r="Q1064">
            <v>0</v>
          </cell>
          <cell r="R1064">
            <v>0</v>
          </cell>
          <cell r="S1064">
            <v>0</v>
          </cell>
          <cell r="T1064">
            <v>0</v>
          </cell>
          <cell r="U1064">
            <v>0</v>
          </cell>
          <cell r="V1064">
            <v>0</v>
          </cell>
          <cell r="W1064">
            <v>0</v>
          </cell>
          <cell r="X1064">
            <v>0</v>
          </cell>
          <cell r="Y1064">
            <v>0</v>
          </cell>
          <cell r="Z1064">
            <v>0</v>
          </cell>
          <cell r="AA1064">
            <v>0</v>
          </cell>
          <cell r="AB1064">
            <v>0</v>
          </cell>
          <cell r="AC1064">
            <v>0</v>
          </cell>
          <cell r="AD1064">
            <v>0</v>
          </cell>
          <cell r="AE1064">
            <v>0</v>
          </cell>
          <cell r="AF1064">
            <v>0</v>
          </cell>
          <cell r="AG1064">
            <v>0</v>
          </cell>
          <cell r="AH1064">
            <v>0</v>
          </cell>
          <cell r="AI1064">
            <v>0</v>
          </cell>
          <cell r="AJ1064">
            <v>0</v>
          </cell>
          <cell r="AK1064">
            <v>0</v>
          </cell>
          <cell r="AL1064">
            <v>0</v>
          </cell>
          <cell r="AM1064">
            <v>0</v>
          </cell>
          <cell r="AN1064">
            <v>0</v>
          </cell>
          <cell r="AO1064">
            <v>0</v>
          </cell>
          <cell r="AP1064" t="e">
            <v>#N/A</v>
          </cell>
          <cell r="AQ1064" t="e">
            <v>#N/A</v>
          </cell>
          <cell r="AR1064" t="e">
            <v>#N/A</v>
          </cell>
          <cell r="AS1064" t="e">
            <v>#N/A</v>
          </cell>
          <cell r="AT1064" t="e">
            <v>#N/A</v>
          </cell>
          <cell r="AU1064" t="e">
            <v>#N/A</v>
          </cell>
          <cell r="AV1064" t="e">
            <v>#N/A</v>
          </cell>
          <cell r="AW1064" t="e">
            <v>#N/A</v>
          </cell>
          <cell r="AX1064" t="e">
            <v>#N/A</v>
          </cell>
          <cell r="AY1064" t="e">
            <v>#N/A</v>
          </cell>
          <cell r="AZ1064" t="e">
            <v>#N/A</v>
          </cell>
          <cell r="BA1064">
            <v>0</v>
          </cell>
          <cell r="BB1064">
            <v>0</v>
          </cell>
          <cell r="BC1064">
            <v>0</v>
          </cell>
          <cell r="BD1064" t="e">
            <v>#N/A</v>
          </cell>
        </row>
        <row r="1065">
          <cell r="A1065" t="str">
            <v>sp 1573</v>
          </cell>
          <cell r="B1065" t="str">
            <v>Túi không in thuốc thú y KT 130x180mm PE sứ - Đất Việt</v>
          </cell>
          <cell r="C1065">
            <v>0</v>
          </cell>
          <cell r="D1065">
            <v>3</v>
          </cell>
          <cell r="E1065" t="str">
            <v>PA 15x800</v>
          </cell>
          <cell r="F1065">
            <v>0</v>
          </cell>
          <cell r="G1065" t="str">
            <v xml:space="preserve">PA </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t="str">
            <v>PE sứ 65x800</v>
          </cell>
          <cell r="AF1065">
            <v>0</v>
          </cell>
          <cell r="AG1065">
            <v>6.2160000000000007E-2</v>
          </cell>
          <cell r="AH1065">
            <v>1.2113333333333334</v>
          </cell>
          <cell r="AI1065">
            <v>0</v>
          </cell>
          <cell r="AJ1065">
            <v>9530</v>
          </cell>
          <cell r="AK1065">
            <v>0</v>
          </cell>
          <cell r="AL1065">
            <v>2.3E-3</v>
          </cell>
          <cell r="AM1065" t="str">
            <v>túi ba biên</v>
          </cell>
          <cell r="AN1065">
            <v>180</v>
          </cell>
          <cell r="AO1065" t="str">
            <v>Công ty CP thuốc thú y Đất Việt</v>
          </cell>
          <cell r="AP1065" t="e">
            <v>#N/A</v>
          </cell>
          <cell r="AQ1065" t="e">
            <v>#N/A</v>
          </cell>
          <cell r="AR1065" t="e">
            <v>#N/A</v>
          </cell>
          <cell r="AS1065" t="e">
            <v>#N/A</v>
          </cell>
          <cell r="AT1065" t="e">
            <v>#N/A</v>
          </cell>
          <cell r="AU1065" t="e">
            <v>#N/A</v>
          </cell>
          <cell r="AV1065" t="e">
            <v>#N/A</v>
          </cell>
          <cell r="AW1065" t="e">
            <v>#N/A</v>
          </cell>
          <cell r="AX1065" t="e">
            <v>#N/A</v>
          </cell>
          <cell r="AY1065" t="e">
            <v>#N/A</v>
          </cell>
          <cell r="AZ1065" t="e">
            <v>#N/A</v>
          </cell>
          <cell r="BA1065">
            <v>0</v>
          </cell>
          <cell r="BB1065">
            <v>0</v>
          </cell>
          <cell r="BC1065">
            <v>0</v>
          </cell>
          <cell r="BD1065" t="e">
            <v>#N/A</v>
          </cell>
        </row>
        <row r="1066">
          <cell r="A1066" t="str">
            <v>sp 1574</v>
          </cell>
          <cell r="B1066" t="str">
            <v>Cuộn màng YNG hua Việt Nam 3 màu TH Việt</v>
          </cell>
          <cell r="C1066">
            <v>1.474</v>
          </cell>
          <cell r="D1066">
            <v>1</v>
          </cell>
          <cell r="E1066" t="str">
            <v>PE 50x1220</v>
          </cell>
          <cell r="F1066">
            <v>3</v>
          </cell>
          <cell r="G1066" t="str">
            <v xml:space="preserve">PE </v>
          </cell>
          <cell r="H1066">
            <v>0.71199999999999997</v>
          </cell>
          <cell r="I1066">
            <v>0</v>
          </cell>
          <cell r="J1066">
            <v>0</v>
          </cell>
          <cell r="K1066">
            <v>0.55400000000000005</v>
          </cell>
          <cell r="L1066">
            <v>0</v>
          </cell>
          <cell r="M1066">
            <v>0</v>
          </cell>
          <cell r="N1066">
            <v>0</v>
          </cell>
          <cell r="O1066">
            <v>0</v>
          </cell>
          <cell r="P1066">
            <v>0.19800000000000001</v>
          </cell>
          <cell r="Q1066">
            <v>0</v>
          </cell>
          <cell r="R1066">
            <v>0.01</v>
          </cell>
          <cell r="S1066">
            <v>0</v>
          </cell>
          <cell r="T1066">
            <v>0</v>
          </cell>
          <cell r="U1066">
            <v>0</v>
          </cell>
          <cell r="V1066">
            <v>0</v>
          </cell>
          <cell r="W1066">
            <v>0</v>
          </cell>
          <cell r="X1066">
            <v>0</v>
          </cell>
          <cell r="Y1066">
            <v>0</v>
          </cell>
          <cell r="Z1066">
            <v>0</v>
          </cell>
          <cell r="AA1066">
            <v>0</v>
          </cell>
          <cell r="AB1066">
            <v>0</v>
          </cell>
          <cell r="AC1066">
            <v>0</v>
          </cell>
          <cell r="AD1066">
            <v>0</v>
          </cell>
          <cell r="AE1066" t="str">
            <v>PE 30x1220</v>
          </cell>
          <cell r="AF1066">
            <v>0</v>
          </cell>
          <cell r="AG1066">
            <v>9.0280000000000013E-2</v>
          </cell>
          <cell r="AH1066">
            <v>1.4933333333333334</v>
          </cell>
          <cell r="AI1066">
            <v>0</v>
          </cell>
          <cell r="AJ1066">
            <v>9530</v>
          </cell>
          <cell r="AK1066">
            <v>0</v>
          </cell>
          <cell r="AL1066">
            <v>2E-3</v>
          </cell>
          <cell r="AM1066" t="str">
            <v>dạng cuộn 2.030m</v>
          </cell>
          <cell r="AN1066">
            <v>1220</v>
          </cell>
          <cell r="AO1066" t="str">
            <v>Công ty Đức Thiện</v>
          </cell>
          <cell r="AP1066" t="e">
            <v>#N/A</v>
          </cell>
          <cell r="AQ1066" t="e">
            <v>#N/A</v>
          </cell>
          <cell r="AR1066" t="e">
            <v>#N/A</v>
          </cell>
          <cell r="AS1066" t="e">
            <v>#N/A</v>
          </cell>
          <cell r="AT1066" t="e">
            <v>#N/A</v>
          </cell>
          <cell r="AU1066" t="e">
            <v>#N/A</v>
          </cell>
          <cell r="AV1066" t="e">
            <v>#N/A</v>
          </cell>
          <cell r="AW1066" t="e">
            <v>#N/A</v>
          </cell>
          <cell r="AX1066" t="e">
            <v>#N/A</v>
          </cell>
          <cell r="AY1066" t="e">
            <v>#N/A</v>
          </cell>
          <cell r="AZ1066" t="e">
            <v>#N/A</v>
          </cell>
          <cell r="BA1066">
            <v>0</v>
          </cell>
          <cell r="BB1066">
            <v>0</v>
          </cell>
          <cell r="BC1066">
            <v>0</v>
          </cell>
          <cell r="BD1066" t="e">
            <v>#N/A</v>
          </cell>
        </row>
        <row r="1067">
          <cell r="A1067" t="str">
            <v>sp 1575</v>
          </cell>
          <cell r="B1067" t="str">
            <v>Cuộn kẹo thạch Hasuko sữa chua trái cây - Trung Tín</v>
          </cell>
          <cell r="C1067">
            <v>2.7559999999999998</v>
          </cell>
          <cell r="D1067">
            <v>1</v>
          </cell>
          <cell r="E1067" t="str">
            <v>OPP mờ 20x988</v>
          </cell>
          <cell r="F1067">
            <v>6</v>
          </cell>
          <cell r="G1067" t="str">
            <v>OPP</v>
          </cell>
          <cell r="H1067">
            <v>4.3999999999999997E-2</v>
          </cell>
          <cell r="I1067">
            <v>0</v>
          </cell>
          <cell r="J1067">
            <v>0.622</v>
          </cell>
          <cell r="K1067">
            <v>0.311</v>
          </cell>
          <cell r="L1067">
            <v>1.1559999999999999</v>
          </cell>
          <cell r="M1067">
            <v>0.26700000000000002</v>
          </cell>
          <cell r="N1067">
            <v>0</v>
          </cell>
          <cell r="O1067">
            <v>0</v>
          </cell>
          <cell r="P1067">
            <v>0</v>
          </cell>
          <cell r="Q1067">
            <v>0.35599999999999998</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t="str">
            <v>Giấy 55x988</v>
          </cell>
          <cell r="AF1067" t="str">
            <v>PA 15x988
PE sứ 40x988</v>
          </cell>
          <cell r="AG1067">
            <v>0.14395159999999999</v>
          </cell>
          <cell r="AH1067">
            <v>2.6079999999999997</v>
          </cell>
          <cell r="AI1067">
            <v>2.6079999999999997</v>
          </cell>
          <cell r="AJ1067">
            <v>9530</v>
          </cell>
          <cell r="AK1067">
            <v>9530</v>
          </cell>
          <cell r="AL1067" t="str">
            <v>0.008 (0.004;0.004)</v>
          </cell>
          <cell r="AM1067" t="str">
            <v>dạng cuộn 500m</v>
          </cell>
          <cell r="AN1067">
            <v>968</v>
          </cell>
          <cell r="AO1067" t="str">
            <v>Hộ kinh doanh cơ sở nhà máy bánh kẹo Trung Tín</v>
          </cell>
          <cell r="AP1067" t="e">
            <v>#N/A</v>
          </cell>
          <cell r="AQ1067" t="e">
            <v>#N/A</v>
          </cell>
          <cell r="AR1067" t="e">
            <v>#N/A</v>
          </cell>
          <cell r="AS1067" t="e">
            <v>#N/A</v>
          </cell>
          <cell r="AT1067" t="e">
            <v>#N/A</v>
          </cell>
          <cell r="AU1067" t="e">
            <v>#N/A</v>
          </cell>
          <cell r="AV1067" t="e">
            <v>#N/A</v>
          </cell>
          <cell r="AW1067" t="e">
            <v>#N/A</v>
          </cell>
          <cell r="AX1067" t="e">
            <v>#N/A</v>
          </cell>
          <cell r="AY1067" t="e">
            <v>#N/A</v>
          </cell>
          <cell r="AZ1067" t="e">
            <v>#N/A</v>
          </cell>
          <cell r="BA1067">
            <v>0</v>
          </cell>
          <cell r="BB1067">
            <v>0</v>
          </cell>
          <cell r="BC1067">
            <v>0</v>
          </cell>
          <cell r="BD1067" t="e">
            <v>#N/A</v>
          </cell>
        </row>
        <row r="1068">
          <cell r="A1068" t="str">
            <v>sp 1576</v>
          </cell>
          <cell r="B1068" t="str">
            <v>Cuộn kẹo thạch Sakura Hương Việt- Trung Tín</v>
          </cell>
          <cell r="C1068">
            <v>2.5230000000000001</v>
          </cell>
          <cell r="D1068">
            <v>1</v>
          </cell>
          <cell r="E1068" t="str">
            <v>OPP mờ 20x988</v>
          </cell>
          <cell r="F1068">
            <v>6</v>
          </cell>
          <cell r="G1068" t="str">
            <v>OPP</v>
          </cell>
          <cell r="H1068">
            <v>0.13500000000000001</v>
          </cell>
          <cell r="I1068">
            <v>0</v>
          </cell>
          <cell r="J1068">
            <v>0</v>
          </cell>
          <cell r="K1068">
            <v>0.67300000000000004</v>
          </cell>
          <cell r="L1068">
            <v>0.01</v>
          </cell>
          <cell r="M1068">
            <v>0.98699999999999999</v>
          </cell>
          <cell r="N1068">
            <v>0.44900000000000001</v>
          </cell>
          <cell r="O1068">
            <v>0</v>
          </cell>
          <cell r="P1068">
            <v>0</v>
          </cell>
          <cell r="Q1068">
            <v>0.26900000000000002</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t="str">
            <v>Giấy 55x988</v>
          </cell>
          <cell r="AF1068" t="str">
            <v>PA 15x988
PE sứ 40x988</v>
          </cell>
          <cell r="AG1068">
            <v>0.14395159999999999</v>
          </cell>
          <cell r="AH1068">
            <v>2.6079999999999997</v>
          </cell>
          <cell r="AI1068">
            <v>2.6079999999999997</v>
          </cell>
          <cell r="AJ1068">
            <v>9530</v>
          </cell>
          <cell r="AK1068">
            <v>9530</v>
          </cell>
          <cell r="AL1068" t="str">
            <v>0.008 (0.004;0.004)</v>
          </cell>
          <cell r="AM1068" t="str">
            <v>dạng cuộn 500m</v>
          </cell>
          <cell r="AN1068">
            <v>968</v>
          </cell>
          <cell r="AO1068" t="str">
            <v>Hộ kinh doanh cơ sở nhà máy bánh kẹo Trung Tín</v>
          </cell>
          <cell r="AP1068" t="e">
            <v>#N/A</v>
          </cell>
          <cell r="AQ1068" t="e">
            <v>#N/A</v>
          </cell>
          <cell r="AR1068" t="e">
            <v>#N/A</v>
          </cell>
          <cell r="AS1068" t="e">
            <v>#N/A</v>
          </cell>
          <cell r="AT1068" t="e">
            <v>#N/A</v>
          </cell>
          <cell r="AU1068" t="e">
            <v>#N/A</v>
          </cell>
          <cell r="AV1068" t="e">
            <v>#N/A</v>
          </cell>
          <cell r="AW1068" t="e">
            <v>#N/A</v>
          </cell>
          <cell r="AX1068" t="e">
            <v>#N/A</v>
          </cell>
          <cell r="AY1068" t="e">
            <v>#N/A</v>
          </cell>
          <cell r="AZ1068" t="e">
            <v>#N/A</v>
          </cell>
          <cell r="BA1068">
            <v>0</v>
          </cell>
          <cell r="BB1068">
            <v>0</v>
          </cell>
          <cell r="BC1068">
            <v>0</v>
          </cell>
          <cell r="BD1068" t="e">
            <v>#N/A</v>
          </cell>
        </row>
        <row r="1069">
          <cell r="A1069" t="str">
            <v>sp 1577</v>
          </cell>
          <cell r="B1069" t="str">
            <v>Cuộn  trà sâm vàng wongin - T gold 3gr Việt Hải</v>
          </cell>
          <cell r="C1069">
            <v>11.083</v>
          </cell>
          <cell r="D1069">
            <v>7</v>
          </cell>
          <cell r="E1069" t="str">
            <v>OPP 40x720</v>
          </cell>
          <cell r="F1069">
            <v>3</v>
          </cell>
          <cell r="G1069" t="str">
            <v>OPP</v>
          </cell>
          <cell r="H1069">
            <v>2.7269999999999999</v>
          </cell>
          <cell r="I1069">
            <v>4.0430000000000001</v>
          </cell>
          <cell r="J1069">
            <v>0</v>
          </cell>
          <cell r="K1069">
            <v>1.458</v>
          </cell>
          <cell r="L1069">
            <v>0.84599999999999997</v>
          </cell>
          <cell r="M1069">
            <v>1.22</v>
          </cell>
          <cell r="N1069">
            <v>0.75900000000000001</v>
          </cell>
          <cell r="O1069">
            <v>0</v>
          </cell>
          <cell r="P1069">
            <v>0.01</v>
          </cell>
          <cell r="Q1069">
            <v>0</v>
          </cell>
          <cell r="R1069">
            <v>0</v>
          </cell>
          <cell r="S1069">
            <v>0.01</v>
          </cell>
          <cell r="T1069">
            <v>0.01</v>
          </cell>
          <cell r="U1069">
            <v>0</v>
          </cell>
          <cell r="V1069">
            <v>0</v>
          </cell>
          <cell r="W1069">
            <v>0</v>
          </cell>
          <cell r="X1069">
            <v>0</v>
          </cell>
          <cell r="Y1069">
            <v>0</v>
          </cell>
          <cell r="Z1069">
            <v>0</v>
          </cell>
          <cell r="AA1069">
            <v>0</v>
          </cell>
          <cell r="AB1069">
            <v>0</v>
          </cell>
          <cell r="AC1069">
            <v>0</v>
          </cell>
          <cell r="AD1069">
            <v>0</v>
          </cell>
          <cell r="AE1069" t="str">
            <v>MCPP 25x720</v>
          </cell>
          <cell r="AF1069">
            <v>0</v>
          </cell>
          <cell r="AG1069">
            <v>4.2588000000000001E-2</v>
          </cell>
          <cell r="AH1069">
            <v>2.352466666666666E-4</v>
          </cell>
          <cell r="AI1069">
            <v>0</v>
          </cell>
          <cell r="AJ1069" t="str">
            <v>keo 829B
ĐR 829A</v>
          </cell>
          <cell r="AK1069">
            <v>0</v>
          </cell>
          <cell r="AL1069">
            <v>1.4E-3</v>
          </cell>
          <cell r="AM1069" t="str">
            <v>dạng cuộn 1,000m</v>
          </cell>
          <cell r="AN1069">
            <v>100</v>
          </cell>
          <cell r="AO1069" t="str">
            <v>Công ty TNHH Thương Mại Việt Hải</v>
          </cell>
          <cell r="AP1069" t="e">
            <v>#N/A</v>
          </cell>
          <cell r="AQ1069" t="e">
            <v>#N/A</v>
          </cell>
          <cell r="AR1069" t="e">
            <v>#N/A</v>
          </cell>
          <cell r="AS1069" t="e">
            <v>#N/A</v>
          </cell>
          <cell r="AT1069" t="e">
            <v>#N/A</v>
          </cell>
          <cell r="AU1069" t="e">
            <v>#N/A</v>
          </cell>
          <cell r="AV1069" t="e">
            <v>#N/A</v>
          </cell>
          <cell r="AW1069" t="e">
            <v>#N/A</v>
          </cell>
          <cell r="AX1069" t="e">
            <v>#N/A</v>
          </cell>
          <cell r="AY1069" t="e">
            <v>#N/A</v>
          </cell>
          <cell r="AZ1069" t="e">
            <v>#N/A</v>
          </cell>
          <cell r="BA1069">
            <v>0</v>
          </cell>
          <cell r="BB1069">
            <v>0</v>
          </cell>
          <cell r="BC1069">
            <v>0</v>
          </cell>
          <cell r="BD1069" t="e">
            <v>#N/A</v>
          </cell>
        </row>
        <row r="1070">
          <cell r="A1070" t="str">
            <v>sp 1578</v>
          </cell>
          <cell r="B1070" t="str">
            <v>Túi bột matcha barista 200gr Phú Thọ</v>
          </cell>
          <cell r="C1070">
            <v>7.2979999999999992</v>
          </cell>
          <cell r="D1070">
            <v>1</v>
          </cell>
          <cell r="E1070" t="str">
            <v>PET 12x550</v>
          </cell>
          <cell r="F1070">
            <v>7</v>
          </cell>
          <cell r="G1070" t="str">
            <v>PET</v>
          </cell>
          <cell r="H1070">
            <v>0.41799999999999998</v>
          </cell>
          <cell r="I1070">
            <v>4.1769999999999996</v>
          </cell>
          <cell r="J1070">
            <v>0.01</v>
          </cell>
          <cell r="K1070">
            <v>0</v>
          </cell>
          <cell r="L1070">
            <v>0.01</v>
          </cell>
          <cell r="M1070">
            <v>2.673</v>
          </cell>
          <cell r="N1070">
            <v>0</v>
          </cell>
          <cell r="O1070">
            <v>0.01</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t="str">
            <v>Al 6x550</v>
          </cell>
          <cell r="AF1070" t="str">
            <v>PE 100x560</v>
          </cell>
          <cell r="AG1070">
            <v>6.9058000000000008E-2</v>
          </cell>
          <cell r="AH1070">
            <v>0.82799999999999996</v>
          </cell>
          <cell r="AI1070">
            <v>1.08</v>
          </cell>
          <cell r="AJ1070">
            <v>9530</v>
          </cell>
          <cell r="AK1070">
            <v>9530</v>
          </cell>
          <cell r="AL1070" t="str">
            <v>0.0053 (0.0023;0.003)</v>
          </cell>
          <cell r="AM1070" t="str">
            <v>túi zipper đáy đứng</v>
          </cell>
          <cell r="AN1070">
            <v>155</v>
          </cell>
          <cell r="AO1070" t="str">
            <v>Công ty TNHH Thế hệ mới Vĩnh Phúc</v>
          </cell>
          <cell r="AP1070" t="e">
            <v>#N/A</v>
          </cell>
          <cell r="AQ1070" t="e">
            <v>#N/A</v>
          </cell>
          <cell r="AR1070" t="e">
            <v>#N/A</v>
          </cell>
          <cell r="AS1070" t="e">
            <v>#N/A</v>
          </cell>
          <cell r="AT1070" t="e">
            <v>#N/A</v>
          </cell>
          <cell r="AU1070" t="e">
            <v>#N/A</v>
          </cell>
          <cell r="AV1070" t="e">
            <v>#N/A</v>
          </cell>
          <cell r="AW1070" t="e">
            <v>#N/A</v>
          </cell>
          <cell r="AX1070" t="e">
            <v>#N/A</v>
          </cell>
          <cell r="AY1070" t="e">
            <v>#N/A</v>
          </cell>
          <cell r="AZ1070" t="e">
            <v>#N/A</v>
          </cell>
          <cell r="BA1070">
            <v>0</v>
          </cell>
          <cell r="BB1070">
            <v>0</v>
          </cell>
          <cell r="BC1070">
            <v>0</v>
          </cell>
          <cell r="BD1070" t="e">
            <v>#N/A</v>
          </cell>
        </row>
        <row r="1071">
          <cell r="A1071" t="str">
            <v>sp 1579</v>
          </cell>
          <cell r="B1071" t="str">
            <v>Cuộn  trà sâm wongin - T ginseng tea 3gr Việt Hải</v>
          </cell>
          <cell r="C1071">
            <v>8.7279999999999998</v>
          </cell>
          <cell r="D1071">
            <v>7</v>
          </cell>
          <cell r="E1071" t="str">
            <v>OPP 40x720</v>
          </cell>
          <cell r="F1071">
            <v>3</v>
          </cell>
          <cell r="G1071" t="str">
            <v>OPP</v>
          </cell>
          <cell r="H1071">
            <v>0.379</v>
          </cell>
          <cell r="I1071">
            <v>0</v>
          </cell>
          <cell r="J1071">
            <v>0</v>
          </cell>
          <cell r="K1071">
            <v>0</v>
          </cell>
          <cell r="L1071">
            <v>0</v>
          </cell>
          <cell r="M1071">
            <v>7.59</v>
          </cell>
          <cell r="N1071">
            <v>0.75900000000000001</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t="str">
            <v>MCPP 25x720</v>
          </cell>
          <cell r="AF1071">
            <v>0</v>
          </cell>
          <cell r="AG1071">
            <v>4.2588000000000001E-2</v>
          </cell>
          <cell r="AH1071">
            <v>2.352466666666666E-4</v>
          </cell>
          <cell r="AI1071">
            <v>0</v>
          </cell>
          <cell r="AJ1071" t="str">
            <v>keo 829B
ĐR 829A</v>
          </cell>
          <cell r="AK1071">
            <v>0</v>
          </cell>
          <cell r="AL1071">
            <v>1.4E-3</v>
          </cell>
          <cell r="AM1071" t="str">
            <v>dạng cuộn 1,000m</v>
          </cell>
          <cell r="AN1071">
            <v>100</v>
          </cell>
          <cell r="AO1071" t="str">
            <v>Công ty TNHH Thương Mại Việt Hải</v>
          </cell>
          <cell r="AP1071" t="e">
            <v>#N/A</v>
          </cell>
          <cell r="AQ1071" t="e">
            <v>#N/A</v>
          </cell>
          <cell r="AR1071" t="e">
            <v>#N/A</v>
          </cell>
          <cell r="AS1071" t="e">
            <v>#N/A</v>
          </cell>
          <cell r="AT1071" t="e">
            <v>#N/A</v>
          </cell>
          <cell r="AU1071" t="e">
            <v>#N/A</v>
          </cell>
          <cell r="AV1071" t="e">
            <v>#N/A</v>
          </cell>
          <cell r="AW1071" t="e">
            <v>#N/A</v>
          </cell>
          <cell r="AX1071" t="e">
            <v>#N/A</v>
          </cell>
          <cell r="AY1071" t="e">
            <v>#N/A</v>
          </cell>
          <cell r="AZ1071" t="e">
            <v>#N/A</v>
          </cell>
          <cell r="BA1071">
            <v>0</v>
          </cell>
          <cell r="BB1071">
            <v>0</v>
          </cell>
          <cell r="BC1071">
            <v>0</v>
          </cell>
          <cell r="BD1071" t="e">
            <v>#N/A</v>
          </cell>
        </row>
        <row r="1072">
          <cell r="A1072" t="str">
            <v>sp 1580</v>
          </cell>
          <cell r="B1072" t="str">
            <v>Cuộn  trà sâm wongin - T ginseng tea 2gr Việt Hải</v>
          </cell>
          <cell r="C1072">
            <v>3.6420000000000003</v>
          </cell>
          <cell r="D1072">
            <v>7</v>
          </cell>
          <cell r="E1072" t="str">
            <v>OPP 40x720</v>
          </cell>
          <cell r="F1072">
            <v>3</v>
          </cell>
          <cell r="G1072" t="str">
            <v>OPP</v>
          </cell>
          <cell r="H1072">
            <v>0.186</v>
          </cell>
          <cell r="I1072">
            <v>0</v>
          </cell>
          <cell r="J1072">
            <v>0</v>
          </cell>
          <cell r="K1072">
            <v>0</v>
          </cell>
          <cell r="L1072">
            <v>0</v>
          </cell>
          <cell r="M1072">
            <v>0.01</v>
          </cell>
          <cell r="N1072">
            <v>1.956</v>
          </cell>
          <cell r="O1072">
            <v>0</v>
          </cell>
          <cell r="P1072">
            <v>1.49</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t="str">
            <v>MCPP 25x720</v>
          </cell>
          <cell r="AF1072">
            <v>0</v>
          </cell>
          <cell r="AG1072">
            <v>4.2588000000000001E-2</v>
          </cell>
          <cell r="AH1072">
            <v>2.352466666666666E-4</v>
          </cell>
          <cell r="AI1072">
            <v>0</v>
          </cell>
          <cell r="AJ1072" t="str">
            <v>keo 829B
ĐR 829A</v>
          </cell>
          <cell r="AK1072">
            <v>0</v>
          </cell>
          <cell r="AL1072">
            <v>1.4E-3</v>
          </cell>
          <cell r="AM1072" t="str">
            <v>dạng cuộn 1,000m</v>
          </cell>
          <cell r="AN1072">
            <v>100</v>
          </cell>
          <cell r="AO1072" t="str">
            <v>Công ty TNHH Thương Mại Việt Hải</v>
          </cell>
          <cell r="AP1072" t="e">
            <v>#N/A</v>
          </cell>
          <cell r="AQ1072" t="e">
            <v>#N/A</v>
          </cell>
          <cell r="AR1072" t="e">
            <v>#N/A</v>
          </cell>
          <cell r="AS1072" t="e">
            <v>#N/A</v>
          </cell>
          <cell r="AT1072" t="e">
            <v>#N/A</v>
          </cell>
          <cell r="AU1072" t="e">
            <v>#N/A</v>
          </cell>
          <cell r="AV1072" t="e">
            <v>#N/A</v>
          </cell>
          <cell r="AW1072" t="e">
            <v>#N/A</v>
          </cell>
          <cell r="AX1072" t="e">
            <v>#N/A</v>
          </cell>
          <cell r="AY1072" t="e">
            <v>#N/A</v>
          </cell>
          <cell r="AZ1072" t="e">
            <v>#N/A</v>
          </cell>
          <cell r="BA1072">
            <v>0</v>
          </cell>
          <cell r="BB1072">
            <v>0</v>
          </cell>
          <cell r="BC1072">
            <v>0</v>
          </cell>
          <cell r="BD1072" t="e">
            <v>#N/A</v>
          </cell>
        </row>
        <row r="1073">
          <cell r="A1073" t="str">
            <v>sp 1581</v>
          </cell>
          <cell r="B1073" t="str">
            <v>Cuộn kẹo thạch sữa chua trái cây Kico mã 337- Trung Tín</v>
          </cell>
          <cell r="C1073">
            <v>1.3619999999999999</v>
          </cell>
          <cell r="D1073">
            <v>1</v>
          </cell>
          <cell r="E1073" t="str">
            <v>OPP mờ 20x988</v>
          </cell>
          <cell r="F1073">
            <v>6</v>
          </cell>
          <cell r="G1073" t="str">
            <v>OPP</v>
          </cell>
          <cell r="H1073">
            <v>0.09</v>
          </cell>
          <cell r="I1073">
            <v>0</v>
          </cell>
          <cell r="J1073">
            <v>0.13500000000000001</v>
          </cell>
          <cell r="K1073">
            <v>0.01</v>
          </cell>
          <cell r="L1073">
            <v>0.36099999999999999</v>
          </cell>
          <cell r="M1073">
            <v>0</v>
          </cell>
          <cell r="N1073">
            <v>0</v>
          </cell>
          <cell r="O1073">
            <v>0</v>
          </cell>
          <cell r="P1073">
            <v>0.63100000000000001</v>
          </cell>
          <cell r="Q1073">
            <v>0</v>
          </cell>
          <cell r="R1073">
            <v>0</v>
          </cell>
          <cell r="S1073">
            <v>0.13500000000000001</v>
          </cell>
          <cell r="T1073">
            <v>0</v>
          </cell>
          <cell r="U1073">
            <v>0</v>
          </cell>
          <cell r="V1073">
            <v>0</v>
          </cell>
          <cell r="W1073">
            <v>0</v>
          </cell>
          <cell r="X1073">
            <v>0</v>
          </cell>
          <cell r="Y1073">
            <v>0</v>
          </cell>
          <cell r="Z1073">
            <v>0</v>
          </cell>
          <cell r="AA1073">
            <v>0</v>
          </cell>
          <cell r="AB1073">
            <v>0</v>
          </cell>
          <cell r="AC1073">
            <v>0</v>
          </cell>
          <cell r="AD1073">
            <v>0</v>
          </cell>
          <cell r="AE1073" t="str">
            <v>Giấy 55x988</v>
          </cell>
          <cell r="AF1073" t="str">
            <v>PA 15x988
PE sứ 40x988</v>
          </cell>
          <cell r="AG1073">
            <v>0.14395159999999999</v>
          </cell>
          <cell r="AH1073">
            <v>2.6079999999999997</v>
          </cell>
          <cell r="AI1073">
            <v>2.6079999999999997</v>
          </cell>
          <cell r="AJ1073">
            <v>9530</v>
          </cell>
          <cell r="AK1073">
            <v>9530</v>
          </cell>
          <cell r="AL1073" t="str">
            <v>0.008 (0.004;0.004)</v>
          </cell>
          <cell r="AM1073" t="str">
            <v>dạng cuộn 500m</v>
          </cell>
          <cell r="AN1073">
            <v>968</v>
          </cell>
          <cell r="AO1073" t="str">
            <v>Hộ kinh doanh cơ sở nhà máy bánh kẹo Trung Tín</v>
          </cell>
          <cell r="AP1073" t="e">
            <v>#N/A</v>
          </cell>
          <cell r="AQ1073" t="e">
            <v>#N/A</v>
          </cell>
          <cell r="AR1073" t="e">
            <v>#N/A</v>
          </cell>
          <cell r="AS1073" t="e">
            <v>#N/A</v>
          </cell>
          <cell r="AT1073" t="e">
            <v>#N/A</v>
          </cell>
          <cell r="AU1073" t="e">
            <v>#N/A</v>
          </cell>
          <cell r="AV1073" t="e">
            <v>#N/A</v>
          </cell>
          <cell r="AW1073" t="e">
            <v>#N/A</v>
          </cell>
          <cell r="AX1073" t="e">
            <v>#N/A</v>
          </cell>
          <cell r="AY1073" t="e">
            <v>#N/A</v>
          </cell>
          <cell r="AZ1073" t="e">
            <v>#N/A</v>
          </cell>
          <cell r="BA1073">
            <v>0</v>
          </cell>
          <cell r="BB1073">
            <v>0</v>
          </cell>
          <cell r="BC1073">
            <v>0</v>
          </cell>
          <cell r="BD1073" t="e">
            <v>#N/A</v>
          </cell>
        </row>
        <row r="1074">
          <cell r="A1074" t="str">
            <v>sp 1582</v>
          </cell>
          <cell r="B1074" t="str">
            <v>Cuộn kẹo thạch sữa chua trái cây mã 989 Trung Tín</v>
          </cell>
          <cell r="C1074">
            <v>2.1999999999999997</v>
          </cell>
          <cell r="D1074">
            <v>1</v>
          </cell>
          <cell r="E1074" t="str">
            <v>OPP mờ 20x988</v>
          </cell>
          <cell r="F1074">
            <v>6</v>
          </cell>
          <cell r="G1074" t="str">
            <v>OPP</v>
          </cell>
          <cell r="H1074">
            <v>0</v>
          </cell>
          <cell r="I1074">
            <v>0</v>
          </cell>
          <cell r="J1074">
            <v>0.01</v>
          </cell>
          <cell r="K1074">
            <v>0.01</v>
          </cell>
          <cell r="L1074">
            <v>0.78500000000000003</v>
          </cell>
          <cell r="M1074">
            <v>0.27700000000000002</v>
          </cell>
          <cell r="N1074">
            <v>0.46200000000000002</v>
          </cell>
          <cell r="O1074">
            <v>0</v>
          </cell>
          <cell r="P1074">
            <v>0.64600000000000002</v>
          </cell>
          <cell r="Q1074">
            <v>0</v>
          </cell>
          <cell r="R1074">
            <v>0</v>
          </cell>
          <cell r="S1074">
            <v>0.01</v>
          </cell>
          <cell r="T1074">
            <v>0</v>
          </cell>
          <cell r="U1074">
            <v>0</v>
          </cell>
          <cell r="V1074">
            <v>0</v>
          </cell>
          <cell r="W1074">
            <v>0</v>
          </cell>
          <cell r="X1074">
            <v>0</v>
          </cell>
          <cell r="Y1074">
            <v>0</v>
          </cell>
          <cell r="Z1074">
            <v>0</v>
          </cell>
          <cell r="AA1074">
            <v>0</v>
          </cell>
          <cell r="AB1074">
            <v>0</v>
          </cell>
          <cell r="AC1074">
            <v>0</v>
          </cell>
          <cell r="AD1074">
            <v>0</v>
          </cell>
          <cell r="AE1074" t="str">
            <v>Giấy 55x988</v>
          </cell>
          <cell r="AF1074" t="str">
            <v>PA 15x988
PE sứ 40x988</v>
          </cell>
          <cell r="AG1074">
            <v>0.14395159999999999</v>
          </cell>
          <cell r="AH1074">
            <v>2.6079999999999997</v>
          </cell>
          <cell r="AI1074">
            <v>2.6079999999999997</v>
          </cell>
          <cell r="AJ1074">
            <v>9530</v>
          </cell>
          <cell r="AK1074">
            <v>9530</v>
          </cell>
          <cell r="AL1074" t="str">
            <v>0.008 (0.004;0.004)</v>
          </cell>
          <cell r="AM1074" t="str">
            <v>dạng cuộn 500m</v>
          </cell>
          <cell r="AN1074">
            <v>968</v>
          </cell>
          <cell r="AO1074" t="str">
            <v>Hộ kinh doanh cơ sở nhà máy bánh kẹo Trung Tín</v>
          </cell>
          <cell r="AP1074" t="e">
            <v>#N/A</v>
          </cell>
          <cell r="AQ1074" t="e">
            <v>#N/A</v>
          </cell>
          <cell r="AR1074" t="e">
            <v>#N/A</v>
          </cell>
          <cell r="AS1074" t="e">
            <v>#N/A</v>
          </cell>
          <cell r="AT1074" t="e">
            <v>#N/A</v>
          </cell>
          <cell r="AU1074" t="e">
            <v>#N/A</v>
          </cell>
          <cell r="AV1074" t="e">
            <v>#N/A</v>
          </cell>
          <cell r="AW1074" t="e">
            <v>#N/A</v>
          </cell>
          <cell r="AX1074" t="e">
            <v>#N/A</v>
          </cell>
          <cell r="AY1074" t="e">
            <v>#N/A</v>
          </cell>
          <cell r="AZ1074" t="e">
            <v>#N/A</v>
          </cell>
          <cell r="BA1074">
            <v>0</v>
          </cell>
          <cell r="BB1074">
            <v>0</v>
          </cell>
          <cell r="BC1074">
            <v>0</v>
          </cell>
          <cell r="BD1074" t="e">
            <v>#N/A</v>
          </cell>
        </row>
        <row r="1075">
          <cell r="A1075" t="str">
            <v>sp 1583</v>
          </cell>
          <cell r="B1075" t="str">
            <v>Cuộn đựng viên rửa bát T-clean Techmat</v>
          </cell>
          <cell r="C1075">
            <v>0.35</v>
          </cell>
          <cell r="D1075">
            <v>7</v>
          </cell>
          <cell r="E1075" t="str">
            <v>PCPP 30x790</v>
          </cell>
          <cell r="F1075">
            <v>1</v>
          </cell>
          <cell r="G1075" t="str">
            <v>PCP</v>
          </cell>
          <cell r="H1075">
            <v>0.35</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cell r="AF1075">
            <v>0</v>
          </cell>
          <cell r="AG1075">
            <v>0</v>
          </cell>
          <cell r="AH1075">
            <v>0</v>
          </cell>
          <cell r="AI1075">
            <v>0</v>
          </cell>
          <cell r="AJ1075">
            <v>0</v>
          </cell>
          <cell r="AK1075">
            <v>0</v>
          </cell>
          <cell r="AL1075">
            <v>0</v>
          </cell>
          <cell r="AM1075" t="str">
            <v>dạng cuộn 1.000m</v>
          </cell>
          <cell r="AN1075">
            <v>110</v>
          </cell>
          <cell r="AO1075" t="str">
            <v>Công ty TNHH Tư vấn và thiết kế kỹ thuật Techmat</v>
          </cell>
          <cell r="AP1075" t="e">
            <v>#N/A</v>
          </cell>
          <cell r="AQ1075" t="e">
            <v>#N/A</v>
          </cell>
          <cell r="AR1075" t="e">
            <v>#N/A</v>
          </cell>
          <cell r="AS1075" t="e">
            <v>#N/A</v>
          </cell>
          <cell r="AT1075" t="e">
            <v>#N/A</v>
          </cell>
          <cell r="AU1075" t="e">
            <v>#N/A</v>
          </cell>
          <cell r="AV1075" t="e">
            <v>#N/A</v>
          </cell>
          <cell r="AW1075" t="e">
            <v>#N/A</v>
          </cell>
          <cell r="AX1075" t="e">
            <v>#N/A</v>
          </cell>
          <cell r="AY1075" t="e">
            <v>#N/A</v>
          </cell>
          <cell r="AZ1075" t="e">
            <v>#N/A</v>
          </cell>
          <cell r="BA1075">
            <v>0</v>
          </cell>
          <cell r="BB1075">
            <v>0</v>
          </cell>
          <cell r="BC1075">
            <v>0</v>
          </cell>
          <cell r="BD1075" t="e">
            <v>#N/A</v>
          </cell>
        </row>
        <row r="1076">
          <cell r="A1076" t="str">
            <v>sp 1584</v>
          </cell>
          <cell r="B1076" t="str">
            <v>Túi bột rửa bát-viên rửa bát-viên muối làm mềm nước T-clean</v>
          </cell>
          <cell r="C1076">
            <v>2.87</v>
          </cell>
          <cell r="D1076">
            <v>1</v>
          </cell>
          <cell r="E1076" t="str">
            <v>OPP 30x635</v>
          </cell>
          <cell r="F1076">
            <v>5</v>
          </cell>
          <cell r="G1076" t="str">
            <v>OPP</v>
          </cell>
          <cell r="H1076">
            <v>0.31900000000000001</v>
          </cell>
          <cell r="I1076">
            <v>0</v>
          </cell>
          <cell r="J1076">
            <v>1.3819999999999999</v>
          </cell>
          <cell r="K1076">
            <v>0</v>
          </cell>
          <cell r="L1076">
            <v>0.31900000000000001</v>
          </cell>
          <cell r="M1076">
            <v>0</v>
          </cell>
          <cell r="N1076">
            <v>0</v>
          </cell>
          <cell r="O1076">
            <v>0</v>
          </cell>
          <cell r="P1076">
            <v>0</v>
          </cell>
          <cell r="Q1076">
            <v>0</v>
          </cell>
          <cell r="R1076">
            <v>0.85</v>
          </cell>
          <cell r="S1076">
            <v>0</v>
          </cell>
          <cell r="T1076">
            <v>0</v>
          </cell>
          <cell r="U1076">
            <v>0</v>
          </cell>
          <cell r="V1076">
            <v>0</v>
          </cell>
          <cell r="W1076">
            <v>0</v>
          </cell>
          <cell r="X1076">
            <v>0</v>
          </cell>
          <cell r="Y1076">
            <v>0</v>
          </cell>
          <cell r="Z1076">
            <v>0</v>
          </cell>
          <cell r="AA1076">
            <v>0</v>
          </cell>
          <cell r="AB1076">
            <v>0</v>
          </cell>
          <cell r="AC1076">
            <v>0</v>
          </cell>
          <cell r="AD1076">
            <v>0</v>
          </cell>
          <cell r="AE1076" t="str">
            <v>PE sứ 80x635</v>
          </cell>
          <cell r="AF1076">
            <v>0</v>
          </cell>
          <cell r="AG1076">
            <v>6.4579500000000012E-2</v>
          </cell>
          <cell r="AH1076">
            <v>1.25</v>
          </cell>
          <cell r="AI1076">
            <v>0</v>
          </cell>
          <cell r="AJ1076">
            <v>9530</v>
          </cell>
          <cell r="AK1076">
            <v>0</v>
          </cell>
          <cell r="AL1076">
            <v>3.0000000000000001E-3</v>
          </cell>
          <cell r="AM1076" t="str">
            <v>túi ba biên zipper đáy đứng</v>
          </cell>
          <cell r="AN1076">
            <v>220</v>
          </cell>
          <cell r="AO1076" t="str">
            <v>Công ty TNHH Tư vấn và thiết kế kỹ thuật Techmat</v>
          </cell>
          <cell r="AP1076" t="e">
            <v>#N/A</v>
          </cell>
          <cell r="AQ1076" t="e">
            <v>#N/A</v>
          </cell>
          <cell r="AR1076" t="e">
            <v>#N/A</v>
          </cell>
          <cell r="AS1076" t="e">
            <v>#N/A</v>
          </cell>
          <cell r="AT1076" t="e">
            <v>#N/A</v>
          </cell>
          <cell r="AU1076" t="e">
            <v>#N/A</v>
          </cell>
          <cell r="AV1076" t="e">
            <v>#N/A</v>
          </cell>
          <cell r="AW1076" t="e">
            <v>#N/A</v>
          </cell>
          <cell r="AX1076" t="e">
            <v>#N/A</v>
          </cell>
          <cell r="AY1076" t="e">
            <v>#N/A</v>
          </cell>
          <cell r="AZ1076" t="e">
            <v>#N/A</v>
          </cell>
          <cell r="BA1076">
            <v>0</v>
          </cell>
          <cell r="BB1076">
            <v>0</v>
          </cell>
          <cell r="BC1076">
            <v>0</v>
          </cell>
          <cell r="BD1076" t="e">
            <v>#N/A</v>
          </cell>
        </row>
        <row r="1077">
          <cell r="A1077" t="str">
            <v>sp 1585</v>
          </cell>
          <cell r="B1077">
            <v>0</v>
          </cell>
          <cell r="C1077">
            <v>0</v>
          </cell>
          <cell r="D1077">
            <v>0</v>
          </cell>
          <cell r="E1077">
            <v>0</v>
          </cell>
          <cell r="F1077">
            <v>0</v>
          </cell>
          <cell r="G1077" t="str">
            <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cell r="AF1077">
            <v>0</v>
          </cell>
          <cell r="AG1077">
            <v>0</v>
          </cell>
          <cell r="AH1077">
            <v>0</v>
          </cell>
          <cell r="AI1077">
            <v>0</v>
          </cell>
          <cell r="AJ1077">
            <v>0</v>
          </cell>
          <cell r="AK1077">
            <v>0</v>
          </cell>
          <cell r="AL1077">
            <v>0</v>
          </cell>
          <cell r="AM1077">
            <v>0</v>
          </cell>
          <cell r="AN1077">
            <v>0</v>
          </cell>
          <cell r="AO1077">
            <v>0</v>
          </cell>
          <cell r="AP1077" t="e">
            <v>#N/A</v>
          </cell>
          <cell r="AQ1077" t="e">
            <v>#N/A</v>
          </cell>
          <cell r="AR1077" t="e">
            <v>#N/A</v>
          </cell>
          <cell r="AS1077" t="e">
            <v>#N/A</v>
          </cell>
          <cell r="AT1077" t="e">
            <v>#N/A</v>
          </cell>
          <cell r="AU1077" t="e">
            <v>#N/A</v>
          </cell>
          <cell r="AV1077" t="e">
            <v>#N/A</v>
          </cell>
          <cell r="AW1077" t="e">
            <v>#N/A</v>
          </cell>
          <cell r="AX1077" t="e">
            <v>#N/A</v>
          </cell>
          <cell r="AY1077" t="e">
            <v>#N/A</v>
          </cell>
          <cell r="AZ1077" t="e">
            <v>#N/A</v>
          </cell>
          <cell r="BA1077">
            <v>0</v>
          </cell>
          <cell r="BB1077">
            <v>0</v>
          </cell>
          <cell r="BC1077">
            <v>0</v>
          </cell>
          <cell r="BD1077" t="e">
            <v>#N/A</v>
          </cell>
        </row>
        <row r="1078">
          <cell r="A1078" t="str">
            <v>sp 1586</v>
          </cell>
          <cell r="B1078">
            <v>0</v>
          </cell>
          <cell r="C1078">
            <v>0</v>
          </cell>
          <cell r="D1078">
            <v>0</v>
          </cell>
          <cell r="E1078">
            <v>0</v>
          </cell>
          <cell r="F1078">
            <v>0</v>
          </cell>
          <cell r="G1078" t="str">
            <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cell r="AF1078">
            <v>0</v>
          </cell>
          <cell r="AG1078">
            <v>0</v>
          </cell>
          <cell r="AH1078">
            <v>0</v>
          </cell>
          <cell r="AI1078">
            <v>0</v>
          </cell>
          <cell r="AJ1078">
            <v>0</v>
          </cell>
          <cell r="AK1078">
            <v>0</v>
          </cell>
          <cell r="AL1078">
            <v>0</v>
          </cell>
          <cell r="AM1078">
            <v>0</v>
          </cell>
          <cell r="AN1078">
            <v>0</v>
          </cell>
          <cell r="AO1078">
            <v>0</v>
          </cell>
          <cell r="AP1078" t="e">
            <v>#N/A</v>
          </cell>
          <cell r="AQ1078" t="e">
            <v>#N/A</v>
          </cell>
          <cell r="AR1078" t="e">
            <v>#N/A</v>
          </cell>
          <cell r="AS1078" t="e">
            <v>#N/A</v>
          </cell>
          <cell r="AT1078" t="e">
            <v>#N/A</v>
          </cell>
          <cell r="AU1078" t="e">
            <v>#N/A</v>
          </cell>
          <cell r="AV1078" t="e">
            <v>#N/A</v>
          </cell>
          <cell r="AW1078" t="e">
            <v>#N/A</v>
          </cell>
          <cell r="AX1078" t="e">
            <v>#N/A</v>
          </cell>
          <cell r="AY1078" t="e">
            <v>#N/A</v>
          </cell>
          <cell r="AZ1078" t="e">
            <v>#N/A</v>
          </cell>
          <cell r="BA1078">
            <v>0</v>
          </cell>
          <cell r="BB1078">
            <v>0</v>
          </cell>
          <cell r="BC1078">
            <v>0</v>
          </cell>
          <cell r="BD1078" t="e">
            <v>#N/A</v>
          </cell>
        </row>
        <row r="1079">
          <cell r="A1079" t="str">
            <v>sp 1587</v>
          </cell>
          <cell r="B1079">
            <v>0</v>
          </cell>
          <cell r="C1079">
            <v>0</v>
          </cell>
          <cell r="D1079">
            <v>0</v>
          </cell>
          <cell r="E1079">
            <v>0</v>
          </cell>
          <cell r="F1079">
            <v>0</v>
          </cell>
          <cell r="G1079" t="str">
            <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cell r="AF1079">
            <v>0</v>
          </cell>
          <cell r="AG1079">
            <v>0</v>
          </cell>
          <cell r="AH1079">
            <v>0</v>
          </cell>
          <cell r="AI1079">
            <v>0</v>
          </cell>
          <cell r="AJ1079">
            <v>0</v>
          </cell>
          <cell r="AK1079">
            <v>0</v>
          </cell>
          <cell r="AL1079">
            <v>0</v>
          </cell>
          <cell r="AM1079">
            <v>0</v>
          </cell>
          <cell r="AN1079">
            <v>0</v>
          </cell>
          <cell r="AO1079">
            <v>0</v>
          </cell>
          <cell r="AP1079" t="e">
            <v>#N/A</v>
          </cell>
          <cell r="AQ1079" t="e">
            <v>#N/A</v>
          </cell>
          <cell r="AR1079" t="e">
            <v>#N/A</v>
          </cell>
          <cell r="AS1079" t="e">
            <v>#N/A</v>
          </cell>
          <cell r="AT1079" t="e">
            <v>#N/A</v>
          </cell>
          <cell r="AU1079" t="e">
            <v>#N/A</v>
          </cell>
          <cell r="AV1079" t="e">
            <v>#N/A</v>
          </cell>
          <cell r="AW1079" t="e">
            <v>#N/A</v>
          </cell>
          <cell r="AX1079" t="e">
            <v>#N/A</v>
          </cell>
          <cell r="AY1079" t="e">
            <v>#N/A</v>
          </cell>
          <cell r="AZ1079" t="e">
            <v>#N/A</v>
          </cell>
          <cell r="BA1079">
            <v>0</v>
          </cell>
          <cell r="BB1079">
            <v>0</v>
          </cell>
          <cell r="BC1079">
            <v>0</v>
          </cell>
          <cell r="BD1079" t="e">
            <v>#N/A</v>
          </cell>
        </row>
        <row r="1080">
          <cell r="A1080" t="str">
            <v>sp 1588</v>
          </cell>
          <cell r="B1080">
            <v>0</v>
          </cell>
          <cell r="C1080">
            <v>0</v>
          </cell>
          <cell r="D1080">
            <v>0</v>
          </cell>
          <cell r="E1080">
            <v>0</v>
          </cell>
          <cell r="F1080">
            <v>0</v>
          </cell>
          <cell r="G1080" t="str">
            <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cell r="AF1080">
            <v>0</v>
          </cell>
          <cell r="AG1080">
            <v>0</v>
          </cell>
          <cell r="AH1080">
            <v>0</v>
          </cell>
          <cell r="AI1080">
            <v>0</v>
          </cell>
          <cell r="AJ1080">
            <v>0</v>
          </cell>
          <cell r="AK1080">
            <v>0</v>
          </cell>
          <cell r="AL1080">
            <v>0</v>
          </cell>
          <cell r="AM1080">
            <v>0</v>
          </cell>
          <cell r="AN1080">
            <v>0</v>
          </cell>
          <cell r="AO1080">
            <v>0</v>
          </cell>
          <cell r="AP1080" t="e">
            <v>#N/A</v>
          </cell>
          <cell r="AQ1080" t="e">
            <v>#N/A</v>
          </cell>
          <cell r="AR1080" t="e">
            <v>#N/A</v>
          </cell>
          <cell r="AS1080" t="e">
            <v>#N/A</v>
          </cell>
          <cell r="AT1080" t="e">
            <v>#N/A</v>
          </cell>
          <cell r="AU1080" t="e">
            <v>#N/A</v>
          </cell>
          <cell r="AV1080" t="e">
            <v>#N/A</v>
          </cell>
          <cell r="AW1080" t="e">
            <v>#N/A</v>
          </cell>
          <cell r="AX1080" t="e">
            <v>#N/A</v>
          </cell>
          <cell r="AY1080" t="e">
            <v>#N/A</v>
          </cell>
          <cell r="AZ1080" t="e">
            <v>#N/A</v>
          </cell>
          <cell r="BA1080">
            <v>0</v>
          </cell>
          <cell r="BB1080">
            <v>0</v>
          </cell>
          <cell r="BC1080">
            <v>0</v>
          </cell>
          <cell r="BD1080" t="e">
            <v>#N/A</v>
          </cell>
        </row>
        <row r="1081">
          <cell r="A1081" t="str">
            <v>sp 1589</v>
          </cell>
          <cell r="B1081" t="str">
            <v>Túi hạt hướng dương 400gr vị dừa Hoàng Dương</v>
          </cell>
          <cell r="C1081">
            <v>0</v>
          </cell>
          <cell r="D1081">
            <v>1</v>
          </cell>
          <cell r="E1081">
            <v>0</v>
          </cell>
          <cell r="F1081">
            <v>0</v>
          </cell>
          <cell r="G1081" t="str">
            <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cell r="AF1081">
            <v>0</v>
          </cell>
          <cell r="AG1081">
            <v>0</v>
          </cell>
          <cell r="AH1081">
            <v>0</v>
          </cell>
          <cell r="AI1081">
            <v>0</v>
          </cell>
          <cell r="AJ1081">
            <v>0</v>
          </cell>
          <cell r="AK1081">
            <v>0</v>
          </cell>
          <cell r="AL1081">
            <v>0</v>
          </cell>
          <cell r="AM1081" t="str">
            <v>túi ba biên zipper</v>
          </cell>
          <cell r="AN1081">
            <v>180</v>
          </cell>
          <cell r="AO1081" t="str">
            <v>Công ty Hoàng Dương</v>
          </cell>
          <cell r="AP1081" t="e">
            <v>#N/A</v>
          </cell>
          <cell r="AQ1081" t="e">
            <v>#N/A</v>
          </cell>
          <cell r="AR1081" t="e">
            <v>#N/A</v>
          </cell>
          <cell r="AS1081" t="e">
            <v>#N/A</v>
          </cell>
          <cell r="AT1081" t="e">
            <v>#N/A</v>
          </cell>
          <cell r="AU1081" t="e">
            <v>#N/A</v>
          </cell>
          <cell r="AV1081" t="e">
            <v>#N/A</v>
          </cell>
          <cell r="AW1081" t="e">
            <v>#N/A</v>
          </cell>
          <cell r="AX1081" t="e">
            <v>#N/A</v>
          </cell>
          <cell r="AY1081" t="e">
            <v>#N/A</v>
          </cell>
          <cell r="AZ1081" t="e">
            <v>#N/A</v>
          </cell>
          <cell r="BA1081">
            <v>0</v>
          </cell>
          <cell r="BB1081">
            <v>0</v>
          </cell>
          <cell r="BC1081">
            <v>0</v>
          </cell>
          <cell r="BD1081" t="e">
            <v>#N/A</v>
          </cell>
        </row>
        <row r="1082">
          <cell r="A1082" t="str">
            <v>sp 1590</v>
          </cell>
          <cell r="B1082" t="str">
            <v>Túi hạt hướng dương vị óc chó 400gr Hoàng Dương</v>
          </cell>
          <cell r="C1082">
            <v>0</v>
          </cell>
          <cell r="D1082">
            <v>1</v>
          </cell>
          <cell r="E1082">
            <v>0</v>
          </cell>
          <cell r="F1082">
            <v>0</v>
          </cell>
          <cell r="G1082" t="str">
            <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cell r="AF1082">
            <v>0</v>
          </cell>
          <cell r="AG1082">
            <v>0</v>
          </cell>
          <cell r="AH1082">
            <v>0</v>
          </cell>
          <cell r="AI1082">
            <v>0</v>
          </cell>
          <cell r="AJ1082">
            <v>0</v>
          </cell>
          <cell r="AK1082">
            <v>0</v>
          </cell>
          <cell r="AL1082">
            <v>0</v>
          </cell>
          <cell r="AM1082" t="str">
            <v>túi ba biên zipper</v>
          </cell>
          <cell r="AN1082">
            <v>180</v>
          </cell>
          <cell r="AO1082" t="str">
            <v>Công ty Hoàng Dương</v>
          </cell>
          <cell r="AP1082" t="e">
            <v>#N/A</v>
          </cell>
          <cell r="AQ1082" t="e">
            <v>#N/A</v>
          </cell>
          <cell r="AR1082" t="e">
            <v>#N/A</v>
          </cell>
          <cell r="AS1082" t="e">
            <v>#N/A</v>
          </cell>
          <cell r="AT1082" t="e">
            <v>#N/A</v>
          </cell>
          <cell r="AU1082" t="e">
            <v>#N/A</v>
          </cell>
          <cell r="AV1082" t="e">
            <v>#N/A</v>
          </cell>
          <cell r="AW1082" t="e">
            <v>#N/A</v>
          </cell>
          <cell r="AX1082" t="e">
            <v>#N/A</v>
          </cell>
          <cell r="AY1082" t="e">
            <v>#N/A</v>
          </cell>
          <cell r="AZ1082" t="e">
            <v>#N/A</v>
          </cell>
          <cell r="BA1082">
            <v>0</v>
          </cell>
          <cell r="BB1082">
            <v>0</v>
          </cell>
          <cell r="BC1082">
            <v>0</v>
          </cell>
          <cell r="BD1082" t="e">
            <v>#N/A</v>
          </cell>
        </row>
        <row r="1083">
          <cell r="A1083" t="str">
            <v>sp 1591</v>
          </cell>
          <cell r="B1083">
            <v>0</v>
          </cell>
          <cell r="C1083">
            <v>0</v>
          </cell>
          <cell r="D1083">
            <v>0</v>
          </cell>
          <cell r="E1083">
            <v>0</v>
          </cell>
          <cell r="F1083">
            <v>0</v>
          </cell>
          <cell r="G1083" t="str">
            <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cell r="AF1083">
            <v>0</v>
          </cell>
          <cell r="AG1083">
            <v>0</v>
          </cell>
          <cell r="AH1083">
            <v>0</v>
          </cell>
          <cell r="AI1083">
            <v>0</v>
          </cell>
          <cell r="AJ1083">
            <v>0</v>
          </cell>
          <cell r="AK1083">
            <v>0</v>
          </cell>
          <cell r="AL1083">
            <v>0</v>
          </cell>
          <cell r="AM1083">
            <v>0</v>
          </cell>
          <cell r="AN1083">
            <v>0</v>
          </cell>
          <cell r="AO1083">
            <v>0</v>
          </cell>
          <cell r="AP1083" t="e">
            <v>#N/A</v>
          </cell>
          <cell r="AQ1083" t="e">
            <v>#N/A</v>
          </cell>
          <cell r="AR1083" t="e">
            <v>#N/A</v>
          </cell>
          <cell r="AS1083" t="e">
            <v>#N/A</v>
          </cell>
          <cell r="AT1083" t="e">
            <v>#N/A</v>
          </cell>
          <cell r="AU1083" t="e">
            <v>#N/A</v>
          </cell>
          <cell r="AV1083" t="e">
            <v>#N/A</v>
          </cell>
          <cell r="AW1083" t="e">
            <v>#N/A</v>
          </cell>
          <cell r="AX1083" t="e">
            <v>#N/A</v>
          </cell>
          <cell r="AY1083" t="e">
            <v>#N/A</v>
          </cell>
          <cell r="AZ1083" t="e">
            <v>#N/A</v>
          </cell>
          <cell r="BA1083">
            <v>0</v>
          </cell>
          <cell r="BB1083">
            <v>0</v>
          </cell>
          <cell r="BC1083">
            <v>0</v>
          </cell>
          <cell r="BD1083" t="e">
            <v>#N/A</v>
          </cell>
        </row>
        <row r="1084">
          <cell r="A1084" t="str">
            <v>sp 1592</v>
          </cell>
          <cell r="B1084">
            <v>0</v>
          </cell>
          <cell r="C1084">
            <v>0</v>
          </cell>
          <cell r="D1084">
            <v>0</v>
          </cell>
          <cell r="E1084">
            <v>0</v>
          </cell>
          <cell r="F1084">
            <v>0</v>
          </cell>
          <cell r="G1084" t="str">
            <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cell r="AF1084">
            <v>0</v>
          </cell>
          <cell r="AG1084">
            <v>0</v>
          </cell>
          <cell r="AH1084">
            <v>0</v>
          </cell>
          <cell r="AI1084">
            <v>0</v>
          </cell>
          <cell r="AJ1084">
            <v>0</v>
          </cell>
          <cell r="AK1084">
            <v>0</v>
          </cell>
          <cell r="AL1084">
            <v>0</v>
          </cell>
          <cell r="AM1084">
            <v>0</v>
          </cell>
          <cell r="AN1084">
            <v>0</v>
          </cell>
          <cell r="AO1084">
            <v>0</v>
          </cell>
          <cell r="AP1084" t="e">
            <v>#N/A</v>
          </cell>
          <cell r="AQ1084" t="e">
            <v>#N/A</v>
          </cell>
          <cell r="AR1084" t="e">
            <v>#N/A</v>
          </cell>
          <cell r="AS1084" t="e">
            <v>#N/A</v>
          </cell>
          <cell r="AT1084" t="e">
            <v>#N/A</v>
          </cell>
          <cell r="AU1084" t="e">
            <v>#N/A</v>
          </cell>
          <cell r="AV1084" t="e">
            <v>#N/A</v>
          </cell>
          <cell r="AW1084" t="e">
            <v>#N/A</v>
          </cell>
          <cell r="AX1084" t="e">
            <v>#N/A</v>
          </cell>
          <cell r="AY1084" t="e">
            <v>#N/A</v>
          </cell>
          <cell r="AZ1084" t="e">
            <v>#N/A</v>
          </cell>
          <cell r="BA1084">
            <v>0</v>
          </cell>
          <cell r="BB1084">
            <v>0</v>
          </cell>
          <cell r="BC1084">
            <v>0</v>
          </cell>
          <cell r="BD1084" t="e">
            <v>#N/A</v>
          </cell>
        </row>
        <row r="1085">
          <cell r="A1085" t="str">
            <v>sp 1593</v>
          </cell>
          <cell r="B1085">
            <v>0</v>
          </cell>
          <cell r="C1085">
            <v>0</v>
          </cell>
          <cell r="D1085">
            <v>0</v>
          </cell>
          <cell r="E1085">
            <v>0</v>
          </cell>
          <cell r="F1085">
            <v>0</v>
          </cell>
          <cell r="G1085" t="str">
            <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cell r="AF1085">
            <v>0</v>
          </cell>
          <cell r="AG1085">
            <v>0</v>
          </cell>
          <cell r="AH1085">
            <v>0</v>
          </cell>
          <cell r="AI1085">
            <v>0</v>
          </cell>
          <cell r="AJ1085">
            <v>0</v>
          </cell>
          <cell r="AK1085">
            <v>0</v>
          </cell>
          <cell r="AL1085">
            <v>0</v>
          </cell>
          <cell r="AM1085">
            <v>0</v>
          </cell>
          <cell r="AN1085">
            <v>0</v>
          </cell>
          <cell r="AO1085">
            <v>0</v>
          </cell>
          <cell r="AP1085" t="e">
            <v>#N/A</v>
          </cell>
          <cell r="AQ1085" t="e">
            <v>#N/A</v>
          </cell>
          <cell r="AR1085" t="e">
            <v>#N/A</v>
          </cell>
          <cell r="AS1085" t="e">
            <v>#N/A</v>
          </cell>
          <cell r="AT1085" t="e">
            <v>#N/A</v>
          </cell>
          <cell r="AU1085" t="e">
            <v>#N/A</v>
          </cell>
          <cell r="AV1085" t="e">
            <v>#N/A</v>
          </cell>
          <cell r="AW1085" t="e">
            <v>#N/A</v>
          </cell>
          <cell r="AX1085" t="e">
            <v>#N/A</v>
          </cell>
          <cell r="AY1085" t="e">
            <v>#N/A</v>
          </cell>
          <cell r="AZ1085" t="e">
            <v>#N/A</v>
          </cell>
          <cell r="BA1085">
            <v>0</v>
          </cell>
          <cell r="BB1085">
            <v>0</v>
          </cell>
          <cell r="BC1085">
            <v>0</v>
          </cell>
          <cell r="BD1085" t="e">
            <v>#N/A</v>
          </cell>
        </row>
        <row r="1086">
          <cell r="A1086" t="str">
            <v>sp 1594</v>
          </cell>
          <cell r="B1086">
            <v>0</v>
          </cell>
          <cell r="C1086">
            <v>0</v>
          </cell>
          <cell r="D1086">
            <v>0</v>
          </cell>
          <cell r="E1086">
            <v>0</v>
          </cell>
          <cell r="F1086">
            <v>0</v>
          </cell>
          <cell r="G1086" t="str">
            <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cell r="AF1086">
            <v>0</v>
          </cell>
          <cell r="AG1086">
            <v>0</v>
          </cell>
          <cell r="AH1086">
            <v>0</v>
          </cell>
          <cell r="AI1086">
            <v>0</v>
          </cell>
          <cell r="AJ1086">
            <v>0</v>
          </cell>
          <cell r="AK1086">
            <v>0</v>
          </cell>
          <cell r="AL1086">
            <v>0</v>
          </cell>
          <cell r="AM1086">
            <v>0</v>
          </cell>
          <cell r="AN1086">
            <v>0</v>
          </cell>
          <cell r="AO1086">
            <v>0</v>
          </cell>
          <cell r="AP1086" t="e">
            <v>#N/A</v>
          </cell>
          <cell r="AQ1086" t="e">
            <v>#N/A</v>
          </cell>
          <cell r="AR1086" t="e">
            <v>#N/A</v>
          </cell>
          <cell r="AS1086" t="e">
            <v>#N/A</v>
          </cell>
          <cell r="AT1086" t="e">
            <v>#N/A</v>
          </cell>
          <cell r="AU1086" t="e">
            <v>#N/A</v>
          </cell>
          <cell r="AV1086" t="e">
            <v>#N/A</v>
          </cell>
          <cell r="AW1086" t="e">
            <v>#N/A</v>
          </cell>
          <cell r="AX1086" t="e">
            <v>#N/A</v>
          </cell>
          <cell r="AY1086" t="e">
            <v>#N/A</v>
          </cell>
          <cell r="AZ1086" t="e">
            <v>#N/A</v>
          </cell>
          <cell r="BA1086">
            <v>0</v>
          </cell>
          <cell r="BB1086">
            <v>0</v>
          </cell>
          <cell r="BC1086">
            <v>0</v>
          </cell>
          <cell r="BD1086" t="e">
            <v>#N/A</v>
          </cell>
        </row>
        <row r="1087">
          <cell r="A1087" t="str">
            <v>sp 1595</v>
          </cell>
          <cell r="B1087">
            <v>0</v>
          </cell>
          <cell r="C1087">
            <v>0</v>
          </cell>
          <cell r="D1087">
            <v>0</v>
          </cell>
          <cell r="E1087">
            <v>0</v>
          </cell>
          <cell r="F1087">
            <v>0</v>
          </cell>
          <cell r="G1087" t="str">
            <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cell r="AF1087">
            <v>0</v>
          </cell>
          <cell r="AG1087">
            <v>0</v>
          </cell>
          <cell r="AH1087">
            <v>0</v>
          </cell>
          <cell r="AI1087">
            <v>0</v>
          </cell>
          <cell r="AJ1087">
            <v>0</v>
          </cell>
          <cell r="AK1087">
            <v>0</v>
          </cell>
          <cell r="AL1087">
            <v>0</v>
          </cell>
          <cell r="AM1087">
            <v>0</v>
          </cell>
          <cell r="AN1087">
            <v>0</v>
          </cell>
          <cell r="AO1087">
            <v>0</v>
          </cell>
          <cell r="AP1087" t="e">
            <v>#N/A</v>
          </cell>
          <cell r="AQ1087" t="e">
            <v>#N/A</v>
          </cell>
          <cell r="AR1087" t="e">
            <v>#N/A</v>
          </cell>
          <cell r="AS1087" t="e">
            <v>#N/A</v>
          </cell>
          <cell r="AT1087" t="e">
            <v>#N/A</v>
          </cell>
          <cell r="AU1087" t="e">
            <v>#N/A</v>
          </cell>
          <cell r="AV1087" t="e">
            <v>#N/A</v>
          </cell>
          <cell r="AW1087" t="e">
            <v>#N/A</v>
          </cell>
          <cell r="AX1087" t="e">
            <v>#N/A</v>
          </cell>
          <cell r="AY1087" t="e">
            <v>#N/A</v>
          </cell>
          <cell r="AZ1087" t="e">
            <v>#N/A</v>
          </cell>
          <cell r="BA1087">
            <v>0</v>
          </cell>
          <cell r="BB1087">
            <v>0</v>
          </cell>
          <cell r="BC1087">
            <v>0</v>
          </cell>
          <cell r="BD1087" t="e">
            <v>#N/A</v>
          </cell>
        </row>
        <row r="1088">
          <cell r="A1088" t="str">
            <v>sp 1596</v>
          </cell>
          <cell r="B1088">
            <v>0</v>
          </cell>
          <cell r="C1088">
            <v>0</v>
          </cell>
          <cell r="D1088">
            <v>0</v>
          </cell>
          <cell r="E1088">
            <v>0</v>
          </cell>
          <cell r="F1088">
            <v>0</v>
          </cell>
          <cell r="G1088" t="str">
            <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cell r="AF1088">
            <v>0</v>
          </cell>
          <cell r="AG1088">
            <v>0</v>
          </cell>
          <cell r="AH1088">
            <v>0</v>
          </cell>
          <cell r="AI1088">
            <v>0</v>
          </cell>
          <cell r="AJ1088">
            <v>0</v>
          </cell>
          <cell r="AK1088">
            <v>0</v>
          </cell>
          <cell r="AL1088">
            <v>0</v>
          </cell>
          <cell r="AM1088">
            <v>0</v>
          </cell>
          <cell r="AN1088">
            <v>0</v>
          </cell>
          <cell r="AO1088">
            <v>0</v>
          </cell>
          <cell r="AP1088" t="e">
            <v>#N/A</v>
          </cell>
          <cell r="AQ1088" t="e">
            <v>#N/A</v>
          </cell>
          <cell r="AR1088" t="e">
            <v>#N/A</v>
          </cell>
          <cell r="AS1088" t="e">
            <v>#N/A</v>
          </cell>
          <cell r="AT1088" t="e">
            <v>#N/A</v>
          </cell>
          <cell r="AU1088" t="e">
            <v>#N/A</v>
          </cell>
          <cell r="AV1088" t="e">
            <v>#N/A</v>
          </cell>
          <cell r="AW1088" t="e">
            <v>#N/A</v>
          </cell>
          <cell r="AX1088" t="e">
            <v>#N/A</v>
          </cell>
          <cell r="AY1088" t="e">
            <v>#N/A</v>
          </cell>
          <cell r="AZ1088" t="e">
            <v>#N/A</v>
          </cell>
          <cell r="BA1088">
            <v>0</v>
          </cell>
          <cell r="BB1088">
            <v>0</v>
          </cell>
          <cell r="BC1088">
            <v>0</v>
          </cell>
          <cell r="BD1088" t="e">
            <v>#N/A</v>
          </cell>
        </row>
        <row r="1089">
          <cell r="A1089" t="str">
            <v>sp 1597</v>
          </cell>
          <cell r="B1089">
            <v>0</v>
          </cell>
          <cell r="C1089">
            <v>0</v>
          </cell>
          <cell r="D1089">
            <v>0</v>
          </cell>
          <cell r="E1089">
            <v>0</v>
          </cell>
          <cell r="F1089">
            <v>0</v>
          </cell>
          <cell r="G1089" t="str">
            <v/>
          </cell>
          <cell r="H1089">
            <v>0</v>
          </cell>
          <cell r="I1089">
            <v>0</v>
          </cell>
          <cell r="J1089">
            <v>0</v>
          </cell>
          <cell r="K1089">
            <v>0</v>
          </cell>
          <cell r="L1089">
            <v>0</v>
          </cell>
          <cell r="M1089">
            <v>0</v>
          </cell>
          <cell r="N1089">
            <v>0</v>
          </cell>
          <cell r="O1089">
            <v>0</v>
          </cell>
          <cell r="P1089">
            <v>0</v>
          </cell>
          <cell r="Q1089">
            <v>0</v>
          </cell>
          <cell r="R1089">
            <v>0</v>
          </cell>
          <cell r="S1089">
            <v>0</v>
          </cell>
          <cell r="T1089">
            <v>0</v>
          </cell>
          <cell r="U1089">
            <v>0</v>
          </cell>
          <cell r="V1089">
            <v>0</v>
          </cell>
          <cell r="W1089">
            <v>0</v>
          </cell>
          <cell r="X1089">
            <v>0</v>
          </cell>
          <cell r="Y1089">
            <v>0</v>
          </cell>
          <cell r="Z1089">
            <v>0</v>
          </cell>
          <cell r="AA1089">
            <v>0</v>
          </cell>
          <cell r="AB1089">
            <v>0</v>
          </cell>
          <cell r="AC1089">
            <v>0</v>
          </cell>
          <cell r="AD1089">
            <v>0</v>
          </cell>
          <cell r="AE1089">
            <v>0</v>
          </cell>
          <cell r="AF1089">
            <v>0</v>
          </cell>
          <cell r="AG1089">
            <v>0</v>
          </cell>
          <cell r="AH1089">
            <v>0</v>
          </cell>
          <cell r="AI1089">
            <v>0</v>
          </cell>
          <cell r="AJ1089">
            <v>0</v>
          </cell>
          <cell r="AK1089">
            <v>0</v>
          </cell>
          <cell r="AL1089">
            <v>0</v>
          </cell>
          <cell r="AM1089">
            <v>0</v>
          </cell>
          <cell r="AN1089">
            <v>0</v>
          </cell>
          <cell r="AO1089">
            <v>0</v>
          </cell>
          <cell r="AP1089" t="e">
            <v>#N/A</v>
          </cell>
          <cell r="AQ1089" t="e">
            <v>#N/A</v>
          </cell>
          <cell r="AR1089" t="e">
            <v>#N/A</v>
          </cell>
          <cell r="AS1089" t="e">
            <v>#N/A</v>
          </cell>
          <cell r="AT1089" t="e">
            <v>#N/A</v>
          </cell>
          <cell r="AU1089" t="e">
            <v>#N/A</v>
          </cell>
          <cell r="AV1089" t="e">
            <v>#N/A</v>
          </cell>
          <cell r="AW1089" t="e">
            <v>#N/A</v>
          </cell>
          <cell r="AX1089" t="e">
            <v>#N/A</v>
          </cell>
          <cell r="AY1089" t="e">
            <v>#N/A</v>
          </cell>
          <cell r="AZ1089" t="e">
            <v>#N/A</v>
          </cell>
          <cell r="BA1089">
            <v>0</v>
          </cell>
          <cell r="BB1089">
            <v>0</v>
          </cell>
          <cell r="BC1089">
            <v>0</v>
          </cell>
          <cell r="BD1089" t="e">
            <v>#N/A</v>
          </cell>
        </row>
        <row r="1090">
          <cell r="A1090" t="str">
            <v>sp 1598</v>
          </cell>
          <cell r="B1090">
            <v>0</v>
          </cell>
          <cell r="C1090">
            <v>0</v>
          </cell>
          <cell r="D1090">
            <v>0</v>
          </cell>
          <cell r="E1090">
            <v>0</v>
          </cell>
          <cell r="F1090">
            <v>0</v>
          </cell>
          <cell r="G1090" t="str">
            <v/>
          </cell>
          <cell r="H1090">
            <v>0</v>
          </cell>
          <cell r="I1090">
            <v>0</v>
          </cell>
          <cell r="J1090">
            <v>0</v>
          </cell>
          <cell r="K1090">
            <v>0</v>
          </cell>
          <cell r="L1090">
            <v>0</v>
          </cell>
          <cell r="M1090">
            <v>0</v>
          </cell>
          <cell r="N1090">
            <v>0</v>
          </cell>
          <cell r="O1090">
            <v>0</v>
          </cell>
          <cell r="P1090">
            <v>0</v>
          </cell>
          <cell r="Q1090">
            <v>0</v>
          </cell>
          <cell r="R1090">
            <v>0</v>
          </cell>
          <cell r="S1090">
            <v>0</v>
          </cell>
          <cell r="T1090">
            <v>0</v>
          </cell>
          <cell r="U1090">
            <v>0</v>
          </cell>
          <cell r="V1090">
            <v>0</v>
          </cell>
          <cell r="W1090">
            <v>0</v>
          </cell>
          <cell r="X1090">
            <v>0</v>
          </cell>
          <cell r="Y1090">
            <v>0</v>
          </cell>
          <cell r="Z1090">
            <v>0</v>
          </cell>
          <cell r="AA1090">
            <v>0</v>
          </cell>
          <cell r="AB1090">
            <v>0</v>
          </cell>
          <cell r="AC1090">
            <v>0</v>
          </cell>
          <cell r="AD1090">
            <v>0</v>
          </cell>
          <cell r="AE1090">
            <v>0</v>
          </cell>
          <cell r="AF1090">
            <v>0</v>
          </cell>
          <cell r="AG1090">
            <v>0</v>
          </cell>
          <cell r="AH1090">
            <v>0</v>
          </cell>
          <cell r="AI1090">
            <v>0</v>
          </cell>
          <cell r="AJ1090">
            <v>0</v>
          </cell>
          <cell r="AK1090">
            <v>0</v>
          </cell>
          <cell r="AL1090">
            <v>0</v>
          </cell>
          <cell r="AM1090">
            <v>0</v>
          </cell>
          <cell r="AN1090">
            <v>0</v>
          </cell>
          <cell r="AO1090">
            <v>0</v>
          </cell>
          <cell r="AP1090" t="e">
            <v>#N/A</v>
          </cell>
          <cell r="AQ1090" t="e">
            <v>#N/A</v>
          </cell>
          <cell r="AR1090" t="e">
            <v>#N/A</v>
          </cell>
          <cell r="AS1090" t="e">
            <v>#N/A</v>
          </cell>
          <cell r="AT1090" t="e">
            <v>#N/A</v>
          </cell>
          <cell r="AU1090" t="e">
            <v>#N/A</v>
          </cell>
          <cell r="AV1090" t="e">
            <v>#N/A</v>
          </cell>
          <cell r="AW1090" t="e">
            <v>#N/A</v>
          </cell>
          <cell r="AX1090" t="e">
            <v>#N/A</v>
          </cell>
          <cell r="AY1090" t="e">
            <v>#N/A</v>
          </cell>
          <cell r="AZ1090" t="e">
            <v>#N/A</v>
          </cell>
          <cell r="BA1090">
            <v>0</v>
          </cell>
          <cell r="BB1090">
            <v>0</v>
          </cell>
          <cell r="BC1090">
            <v>0</v>
          </cell>
          <cell r="BD1090" t="e">
            <v>#N/A</v>
          </cell>
        </row>
        <row r="1091">
          <cell r="A1091" t="str">
            <v>sp 1599</v>
          </cell>
          <cell r="B1091">
            <v>0</v>
          </cell>
          <cell r="C1091">
            <v>0</v>
          </cell>
          <cell r="D1091">
            <v>0</v>
          </cell>
          <cell r="E1091">
            <v>0</v>
          </cell>
          <cell r="F1091">
            <v>0</v>
          </cell>
          <cell r="G1091" t="str">
            <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cell r="AF1091">
            <v>0</v>
          </cell>
          <cell r="AG1091">
            <v>0</v>
          </cell>
          <cell r="AH1091">
            <v>0</v>
          </cell>
          <cell r="AI1091">
            <v>0</v>
          </cell>
          <cell r="AJ1091">
            <v>0</v>
          </cell>
          <cell r="AK1091">
            <v>0</v>
          </cell>
          <cell r="AL1091">
            <v>0</v>
          </cell>
          <cell r="AM1091">
            <v>0</v>
          </cell>
          <cell r="AN1091">
            <v>0</v>
          </cell>
          <cell r="AO1091">
            <v>0</v>
          </cell>
          <cell r="AP1091" t="e">
            <v>#N/A</v>
          </cell>
          <cell r="AQ1091" t="e">
            <v>#N/A</v>
          </cell>
          <cell r="AR1091" t="e">
            <v>#N/A</v>
          </cell>
          <cell r="AS1091" t="e">
            <v>#N/A</v>
          </cell>
          <cell r="AT1091" t="e">
            <v>#N/A</v>
          </cell>
          <cell r="AU1091" t="e">
            <v>#N/A</v>
          </cell>
          <cell r="AV1091" t="e">
            <v>#N/A</v>
          </cell>
          <cell r="AW1091" t="e">
            <v>#N/A</v>
          </cell>
          <cell r="AX1091" t="e">
            <v>#N/A</v>
          </cell>
          <cell r="AY1091" t="e">
            <v>#N/A</v>
          </cell>
          <cell r="AZ1091" t="e">
            <v>#N/A</v>
          </cell>
          <cell r="BA1091">
            <v>0</v>
          </cell>
          <cell r="BB1091">
            <v>0</v>
          </cell>
          <cell r="BC1091">
            <v>0</v>
          </cell>
          <cell r="BD1091" t="e">
            <v>#N/A</v>
          </cell>
        </row>
        <row r="1092">
          <cell r="A1092" t="str">
            <v>sp 1600</v>
          </cell>
          <cell r="B1092">
            <v>0</v>
          </cell>
          <cell r="C1092">
            <v>0</v>
          </cell>
          <cell r="D1092">
            <v>0</v>
          </cell>
          <cell r="E1092">
            <v>0</v>
          </cell>
          <cell r="F1092">
            <v>0</v>
          </cell>
          <cell r="G1092" t="str">
            <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cell r="AF1092">
            <v>0</v>
          </cell>
          <cell r="AG1092">
            <v>0</v>
          </cell>
          <cell r="AH1092">
            <v>0</v>
          </cell>
          <cell r="AI1092">
            <v>0</v>
          </cell>
          <cell r="AJ1092">
            <v>0</v>
          </cell>
          <cell r="AK1092">
            <v>0</v>
          </cell>
          <cell r="AL1092">
            <v>0</v>
          </cell>
          <cell r="AM1092">
            <v>0</v>
          </cell>
          <cell r="AN1092">
            <v>0</v>
          </cell>
          <cell r="AO1092">
            <v>0</v>
          </cell>
          <cell r="AP1092" t="e">
            <v>#N/A</v>
          </cell>
          <cell r="AQ1092" t="e">
            <v>#N/A</v>
          </cell>
          <cell r="AR1092" t="e">
            <v>#N/A</v>
          </cell>
          <cell r="AS1092" t="e">
            <v>#N/A</v>
          </cell>
          <cell r="AT1092" t="e">
            <v>#N/A</v>
          </cell>
          <cell r="AU1092" t="e">
            <v>#N/A</v>
          </cell>
          <cell r="AV1092" t="e">
            <v>#N/A</v>
          </cell>
          <cell r="AW1092" t="e">
            <v>#N/A</v>
          </cell>
          <cell r="AX1092" t="e">
            <v>#N/A</v>
          </cell>
          <cell r="AY1092" t="e">
            <v>#N/A</v>
          </cell>
          <cell r="AZ1092" t="e">
            <v>#N/A</v>
          </cell>
          <cell r="BA1092">
            <v>0</v>
          </cell>
          <cell r="BB1092">
            <v>0</v>
          </cell>
          <cell r="BC1092">
            <v>0</v>
          </cell>
          <cell r="BD1092" t="e">
            <v>#N/A</v>
          </cell>
        </row>
        <row r="1093">
          <cell r="A1093" t="str">
            <v>sp 1601</v>
          </cell>
          <cell r="B1093">
            <v>0</v>
          </cell>
          <cell r="C1093">
            <v>0</v>
          </cell>
          <cell r="D1093">
            <v>0</v>
          </cell>
          <cell r="E1093">
            <v>0</v>
          </cell>
          <cell r="F1093">
            <v>0</v>
          </cell>
          <cell r="G1093" t="str">
            <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cell r="AF1093">
            <v>0</v>
          </cell>
          <cell r="AG1093">
            <v>0</v>
          </cell>
          <cell r="AH1093">
            <v>0</v>
          </cell>
          <cell r="AI1093">
            <v>0</v>
          </cell>
          <cell r="AJ1093">
            <v>0</v>
          </cell>
          <cell r="AK1093">
            <v>0</v>
          </cell>
          <cell r="AL1093">
            <v>0</v>
          </cell>
          <cell r="AM1093">
            <v>0</v>
          </cell>
          <cell r="AN1093">
            <v>0</v>
          </cell>
          <cell r="AO1093">
            <v>0</v>
          </cell>
          <cell r="AP1093" t="e">
            <v>#N/A</v>
          </cell>
          <cell r="AQ1093" t="e">
            <v>#N/A</v>
          </cell>
          <cell r="AR1093" t="e">
            <v>#N/A</v>
          </cell>
          <cell r="AS1093" t="e">
            <v>#N/A</v>
          </cell>
          <cell r="AT1093" t="e">
            <v>#N/A</v>
          </cell>
          <cell r="AU1093" t="e">
            <v>#N/A</v>
          </cell>
          <cell r="AV1093" t="e">
            <v>#N/A</v>
          </cell>
          <cell r="AW1093" t="e">
            <v>#N/A</v>
          </cell>
          <cell r="AX1093" t="e">
            <v>#N/A</v>
          </cell>
          <cell r="AY1093" t="e">
            <v>#N/A</v>
          </cell>
          <cell r="AZ1093" t="e">
            <v>#N/A</v>
          </cell>
          <cell r="BA1093">
            <v>0</v>
          </cell>
          <cell r="BB1093">
            <v>0</v>
          </cell>
          <cell r="BC1093">
            <v>0</v>
          </cell>
          <cell r="BD1093" t="e">
            <v>#N/A</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sp"/>
      <sheetName val="TD"/>
      <sheetName val="XT"/>
      <sheetName val="sử dụng trục"/>
      <sheetName val="xuất sửa trục"/>
      <sheetName val="nhập trục"/>
      <sheetName val="xuất in"/>
      <sheetName val="trục đi gia công"/>
      <sheetName val="truc tra KH"/>
      <sheetName val="trục đi tái sp mới "/>
      <sheetName val="MSSP k còn trục"/>
      <sheetName val="Ton kho"/>
      <sheetName val="Sheet1"/>
    </sheetNames>
    <sheetDataSet>
      <sheetData sheetId="0" refreshError="1">
        <row r="5">
          <cell r="A5" t="str">
            <v>sp 007</v>
          </cell>
          <cell r="B5" t="str">
            <v>Túi hương Liên Đức KT240x440</v>
          </cell>
          <cell r="E5">
            <v>4</v>
          </cell>
          <cell r="F5">
            <v>4</v>
          </cell>
          <cell r="AO5" t="str">
            <v>DNTN Bảy lương (Tâm Đức)</v>
          </cell>
          <cell r="AQ5" t="str">
            <v>F455586-1</v>
          </cell>
          <cell r="AR5" t="str">
            <v>F455586-2</v>
          </cell>
          <cell r="AS5" t="str">
            <v>F455586-3</v>
          </cell>
          <cell r="AT5" t="str">
            <v>F455586-4</v>
          </cell>
          <cell r="BA5" t="str">
            <v>440x740</v>
          </cell>
          <cell r="BB5" t="str">
            <v>M1</v>
          </cell>
        </row>
        <row r="6">
          <cell r="A6" t="str">
            <v>sp 012</v>
          </cell>
          <cell r="B6" t="str">
            <v>Túi viên đạm sữa VTV1 1kg Đất Việt</v>
          </cell>
          <cell r="C6">
            <v>4.8000000000000007</v>
          </cell>
          <cell r="D6" t="str">
            <v>OPP 20x620</v>
          </cell>
          <cell r="E6">
            <v>5</v>
          </cell>
          <cell r="F6">
            <v>5</v>
          </cell>
          <cell r="G6" t="str">
            <v xml:space="preserve">OPP </v>
          </cell>
          <cell r="H6">
            <v>0.1</v>
          </cell>
          <cell r="I6">
            <v>2.5</v>
          </cell>
          <cell r="J6">
            <v>0.1</v>
          </cell>
          <cell r="K6">
            <v>0.1</v>
          </cell>
          <cell r="L6">
            <v>1.3</v>
          </cell>
          <cell r="M6">
            <v>0.7</v>
          </cell>
          <cell r="AE6" t="str">
            <v xml:space="preserve">
MPET12x620</v>
          </cell>
          <cell r="AF6" t="str">
            <v>PE 80x 620</v>
          </cell>
          <cell r="AG6">
            <v>6.7580000000000001E-2</v>
          </cell>
          <cell r="AH6">
            <v>0.81333333333333324</v>
          </cell>
          <cell r="AI6">
            <v>1.22</v>
          </cell>
          <cell r="AJ6">
            <v>9530</v>
          </cell>
          <cell r="AK6">
            <v>5.0000000000000001E-3</v>
          </cell>
          <cell r="AM6" t="str">
            <v>túi ba biên</v>
          </cell>
          <cell r="AN6">
            <v>220</v>
          </cell>
          <cell r="AO6" t="str">
            <v>Công ty Đất Việt</v>
          </cell>
          <cell r="AQ6" t="str">
            <v>20030055-1</v>
          </cell>
          <cell r="AR6" t="str">
            <v>17090112-2</v>
          </cell>
          <cell r="AS6" t="str">
            <v>17090112-3</v>
          </cell>
          <cell r="AT6" t="str">
            <v>17090112-4</v>
          </cell>
          <cell r="AU6" t="str">
            <v>17090112-5</v>
          </cell>
          <cell r="BA6" t="str">
            <v>440x750</v>
          </cell>
          <cell r="BB6" t="str">
            <v>M1</v>
          </cell>
        </row>
        <row r="7">
          <cell r="A7" t="str">
            <v>sp 013</v>
          </cell>
          <cell r="B7" t="str">
            <v>Túi viên đạm sữa VTV2 1kg Đất Việt</v>
          </cell>
          <cell r="C7">
            <v>5.3000000000000007</v>
          </cell>
          <cell r="D7" t="str">
            <v>OPP 20x620</v>
          </cell>
          <cell r="E7">
            <v>4</v>
          </cell>
          <cell r="F7">
            <v>5</v>
          </cell>
          <cell r="G7" t="str">
            <v xml:space="preserve">OPP </v>
          </cell>
          <cell r="H7">
            <v>0.1</v>
          </cell>
          <cell r="I7">
            <v>2.5</v>
          </cell>
          <cell r="J7">
            <v>0.2</v>
          </cell>
          <cell r="K7">
            <v>0.5</v>
          </cell>
          <cell r="L7">
            <v>1.3</v>
          </cell>
          <cell r="M7">
            <v>0.7</v>
          </cell>
          <cell r="AE7" t="str">
            <v xml:space="preserve">
MPET 12x620</v>
          </cell>
          <cell r="AF7" t="str">
            <v>PE 75x625</v>
          </cell>
          <cell r="AG7">
            <v>6.4712500000000006E-2</v>
          </cell>
          <cell r="AH7">
            <v>0.81333333333333324</v>
          </cell>
          <cell r="AI7">
            <v>1.22</v>
          </cell>
          <cell r="AJ7">
            <v>9530</v>
          </cell>
          <cell r="AK7">
            <v>5.0000000000000001E-3</v>
          </cell>
          <cell r="AM7" t="str">
            <v>túi ba biên</v>
          </cell>
          <cell r="AN7">
            <v>220</v>
          </cell>
          <cell r="AO7" t="str">
            <v>Công ty Đất Việt</v>
          </cell>
          <cell r="AQ7" t="str">
            <v>20030056-1</v>
          </cell>
          <cell r="AR7" t="str">
            <v>180111143-2</v>
          </cell>
          <cell r="AS7" t="str">
            <v>180111143-3</v>
          </cell>
          <cell r="AT7" t="str">
            <v>180111143-4</v>
          </cell>
          <cell r="AU7" t="str">
            <v>1709112-5</v>
          </cell>
          <cell r="BA7" t="str">
            <v>440x750</v>
          </cell>
          <cell r="BB7" t="str">
            <v>M1</v>
          </cell>
          <cell r="BC7" t="str">
            <v>chung cây trắng sp 012</v>
          </cell>
        </row>
        <row r="8">
          <cell r="A8" t="str">
            <v>sp 017</v>
          </cell>
          <cell r="B8" t="str">
            <v>Túi bánh trứng lipo tiếng anh 300gr Alpha</v>
          </cell>
          <cell r="C8">
            <v>6.1199999999999992</v>
          </cell>
          <cell r="D8" t="str">
            <v>OPP 20x670</v>
          </cell>
          <cell r="E8">
            <v>7</v>
          </cell>
          <cell r="F8">
            <v>7</v>
          </cell>
          <cell r="G8" t="str">
            <v xml:space="preserve">OPP </v>
          </cell>
          <cell r="H8">
            <v>0.05</v>
          </cell>
          <cell r="I8">
            <v>2.5</v>
          </cell>
          <cell r="J8">
            <v>0.02</v>
          </cell>
          <cell r="K8">
            <v>0.4</v>
          </cell>
          <cell r="L8">
            <v>2.2999999999999998</v>
          </cell>
          <cell r="M8">
            <v>0.7</v>
          </cell>
          <cell r="Q8">
            <v>0.1</v>
          </cell>
          <cell r="R8">
            <v>0.05</v>
          </cell>
          <cell r="AE8" t="str">
            <v>PE 55x670</v>
          </cell>
          <cell r="AG8">
            <v>4.6179750000000006E-2</v>
          </cell>
          <cell r="AH8">
            <v>1.1000000000000001</v>
          </cell>
          <cell r="AI8">
            <v>0</v>
          </cell>
          <cell r="AJ8">
            <v>9530</v>
          </cell>
          <cell r="AK8">
            <v>2.5000000000000001E-3</v>
          </cell>
          <cell r="AM8" t="str">
            <v>túi ba biên</v>
          </cell>
          <cell r="AN8">
            <v>350</v>
          </cell>
          <cell r="AO8" t="str">
            <v>Công ty Quốc tế Alpha</v>
          </cell>
          <cell r="AQ8" t="str">
            <v>21020370-1</v>
          </cell>
          <cell r="AR8" t="str">
            <v>20120670-2</v>
          </cell>
          <cell r="AS8" t="str">
            <v>20070875-3</v>
          </cell>
          <cell r="AT8" t="str">
            <v>21080722-4</v>
          </cell>
          <cell r="AU8" t="str">
            <v>21080722-5</v>
          </cell>
          <cell r="AV8" t="str">
            <v>1808751-6</v>
          </cell>
          <cell r="AW8" t="str">
            <v>21110214-7</v>
          </cell>
          <cell r="BA8" t="str">
            <v>700x750</v>
          </cell>
          <cell r="BB8" t="str">
            <v>C1</v>
          </cell>
          <cell r="BD8" t="str">
            <v>Chuyển cây đỏ sen cũ có halal lên kho tận dụng</v>
          </cell>
          <cell r="BE8" t="str">
            <v>đã trả hh 1 cây trắng</v>
          </cell>
        </row>
        <row r="9">
          <cell r="A9" t="str">
            <v>sp 021</v>
          </cell>
          <cell r="B9" t="str">
            <v>Túi trà B'lao nền vàng Vĩnh Phúc</v>
          </cell>
          <cell r="C9">
            <v>3.6</v>
          </cell>
          <cell r="D9" t="str">
            <v>OPP 20 x 700</v>
          </cell>
          <cell r="E9">
            <v>2</v>
          </cell>
          <cell r="F9">
            <v>4</v>
          </cell>
          <cell r="G9" t="str">
            <v xml:space="preserve">OPP </v>
          </cell>
          <cell r="H9">
            <v>0.1</v>
          </cell>
          <cell r="L9">
            <v>3</v>
          </cell>
          <cell r="O9">
            <v>0.2</v>
          </cell>
          <cell r="S9">
            <v>0.3</v>
          </cell>
          <cell r="AE9" t="str">
            <v>MCPP 25 x 700</v>
          </cell>
          <cell r="AG9">
            <v>4.095E-2</v>
          </cell>
          <cell r="AH9">
            <v>0.82799999999999996</v>
          </cell>
          <cell r="AJ9">
            <v>9530</v>
          </cell>
          <cell r="AK9">
            <v>1.8E-3</v>
          </cell>
          <cell r="AM9" t="str">
            <v>túi hàn lưng xếp hông</v>
          </cell>
          <cell r="AN9">
            <v>280</v>
          </cell>
          <cell r="AO9" t="str">
            <v>Công ty Vĩnh Phúc</v>
          </cell>
          <cell r="AQ9" t="str">
            <v>1404452-1</v>
          </cell>
          <cell r="AR9" t="str">
            <v>1807192-2</v>
          </cell>
          <cell r="AS9" t="str">
            <v>sửa nội dung cây K</v>
          </cell>
          <cell r="AT9" t="str">
            <v>1404451-4</v>
          </cell>
          <cell r="BA9" t="str">
            <v>560x750</v>
          </cell>
          <cell r="BB9" t="str">
            <v>A1</v>
          </cell>
          <cell r="BC9" t="str">
            <v xml:space="preserve">2 bộ riêng cây nhũ và đen </v>
          </cell>
        </row>
        <row r="10">
          <cell r="A10" t="str">
            <v>sp 021A</v>
          </cell>
          <cell r="B10" t="str">
            <v>Túi trà B'lao nền đỏ Vĩnh Phúc</v>
          </cell>
          <cell r="C10">
            <v>4.2</v>
          </cell>
          <cell r="D10" t="str">
            <v>OPP 20x700</v>
          </cell>
          <cell r="E10">
            <v>4</v>
          </cell>
          <cell r="F10">
            <v>4</v>
          </cell>
          <cell r="G10" t="str">
            <v xml:space="preserve">OPP </v>
          </cell>
          <cell r="H10">
            <v>0.1</v>
          </cell>
          <cell r="J10">
            <v>0.3</v>
          </cell>
          <cell r="L10">
            <v>0.4</v>
          </cell>
          <cell r="O10">
            <v>0.2</v>
          </cell>
          <cell r="P10">
            <v>2.9</v>
          </cell>
          <cell r="S10">
            <v>0.3</v>
          </cell>
          <cell r="AE10" t="str">
            <v>MCPP 25x700</v>
          </cell>
          <cell r="AG10">
            <v>2.8665E-2</v>
          </cell>
          <cell r="AH10">
            <v>0.82799999999999996</v>
          </cell>
          <cell r="AJ10">
            <v>9530</v>
          </cell>
          <cell r="AK10">
            <v>1.8E-3</v>
          </cell>
          <cell r="AM10" t="str">
            <v>túi hàn lưng xếp hông</v>
          </cell>
          <cell r="AN10">
            <v>280</v>
          </cell>
          <cell r="AO10" t="str">
            <v>Công ty Vĩnh Phúc</v>
          </cell>
          <cell r="AQ10" t="str">
            <v>1404451-1</v>
          </cell>
          <cell r="AR10" t="str">
            <v>18011006-2</v>
          </cell>
          <cell r="AS10" t="str">
            <v>1404451-3</v>
          </cell>
          <cell r="AT10" t="str">
            <v>1404451-4</v>
          </cell>
          <cell r="BA10" t="str">
            <v>560x750</v>
          </cell>
          <cell r="BB10" t="str">
            <v>A1</v>
          </cell>
        </row>
        <row r="11">
          <cell r="A11" t="str">
            <v>sp 022</v>
          </cell>
          <cell r="B11" t="str">
            <v>Túi bột đậu xanh 400gr hương sen Tiên Dung</v>
          </cell>
          <cell r="C11">
            <v>3.9000000000000004</v>
          </cell>
          <cell r="D11" t="str">
            <v>OPP 20x540</v>
          </cell>
          <cell r="E11">
            <v>6</v>
          </cell>
          <cell r="F11">
            <v>6</v>
          </cell>
          <cell r="G11" t="str">
            <v xml:space="preserve">OPP </v>
          </cell>
          <cell r="H11">
            <v>0.1</v>
          </cell>
          <cell r="J11">
            <v>0.3</v>
          </cell>
          <cell r="K11">
            <v>0.1</v>
          </cell>
          <cell r="L11">
            <v>0.9</v>
          </cell>
          <cell r="M11">
            <v>1.8</v>
          </cell>
          <cell r="O11">
            <v>0.7</v>
          </cell>
          <cell r="AE11" t="str">
            <v>PE sứ 60x540</v>
          </cell>
          <cell r="AG11">
            <v>3.9798E-2</v>
          </cell>
          <cell r="AH11">
            <v>0.77733333333333343</v>
          </cell>
          <cell r="AJ11">
            <v>9530</v>
          </cell>
          <cell r="AK11">
            <v>2.2000000000000001E-3</v>
          </cell>
          <cell r="AM11" t="str">
            <v>túi ba biên</v>
          </cell>
          <cell r="AN11">
            <v>210</v>
          </cell>
          <cell r="AO11" t="str">
            <v>Công ty Tiên Dung</v>
          </cell>
          <cell r="AQ11" t="str">
            <v>1404538-1</v>
          </cell>
          <cell r="AR11" t="str">
            <v>1404538-2</v>
          </cell>
          <cell r="AS11" t="str">
            <v>1404538-3</v>
          </cell>
          <cell r="AT11" t="str">
            <v>1404538-4</v>
          </cell>
          <cell r="AU11" t="str">
            <v>1404538-5</v>
          </cell>
          <cell r="AV11" t="str">
            <v>1404538-6</v>
          </cell>
          <cell r="BA11" t="str">
            <v>420x750</v>
          </cell>
          <cell r="BB11" t="str">
            <v>M1</v>
          </cell>
        </row>
        <row r="12">
          <cell r="A12" t="str">
            <v>sp 028</v>
          </cell>
          <cell r="B12" t="str">
            <v>Cuộn giống GS747 1kg Đại Thành</v>
          </cell>
          <cell r="C12">
            <v>6.41</v>
          </cell>
          <cell r="D12" t="str">
            <v>OPP 20x460</v>
          </cell>
          <cell r="E12" t="str">
            <v>7-ban</v>
          </cell>
          <cell r="F12">
            <v>7</v>
          </cell>
          <cell r="G12" t="str">
            <v xml:space="preserve">OPP </v>
          </cell>
          <cell r="H12">
            <v>0.18</v>
          </cell>
          <cell r="I12">
            <v>3</v>
          </cell>
          <cell r="J12">
            <v>0.8</v>
          </cell>
          <cell r="K12">
            <v>0.1</v>
          </cell>
          <cell r="L12">
            <v>0.9</v>
          </cell>
          <cell r="M12">
            <v>0.7</v>
          </cell>
          <cell r="P12">
            <v>0.05</v>
          </cell>
          <cell r="Q12">
            <v>0.5</v>
          </cell>
          <cell r="R12">
            <v>0.18</v>
          </cell>
          <cell r="AE12" t="str">
            <v>PE 68x460</v>
          </cell>
          <cell r="AG12">
            <v>3.7306000000000006E-2</v>
          </cell>
          <cell r="AH12">
            <v>0.66</v>
          </cell>
          <cell r="AJ12">
            <v>9530</v>
          </cell>
          <cell r="AK12">
            <v>2.2000000000000001E-3</v>
          </cell>
          <cell r="AM12" t="str">
            <v>dạng cuộn 500m</v>
          </cell>
          <cell r="AN12">
            <v>440</v>
          </cell>
          <cell r="AO12" t="str">
            <v>Công ty Giống Đại Thành</v>
          </cell>
          <cell r="AQ12" t="str">
            <v>F308246-1</v>
          </cell>
          <cell r="AR12" t="str">
            <v>F308246-2</v>
          </cell>
          <cell r="AS12" t="str">
            <v>F308246-3</v>
          </cell>
          <cell r="AT12" t="str">
            <v>F308246-4</v>
          </cell>
          <cell r="AU12" t="str">
            <v>F308246-5</v>
          </cell>
          <cell r="AV12" t="str">
            <v>F308246-6</v>
          </cell>
          <cell r="AW12" t="str">
            <v>F308246-7</v>
          </cell>
          <cell r="BA12" t="str">
            <v>520x610</v>
          </cell>
          <cell r="BB12" t="str">
            <v>Z1</v>
          </cell>
        </row>
        <row r="13">
          <cell r="A13" t="str">
            <v>sp 044</v>
          </cell>
          <cell r="B13" t="str">
            <v>Túi bánh trứng lipo tiếng trung 200gr</v>
          </cell>
          <cell r="C13">
            <v>6.7000000000000011</v>
          </cell>
          <cell r="D13" t="str">
            <v>OPPmờ 20x460</v>
          </cell>
          <cell r="E13">
            <v>7</v>
          </cell>
          <cell r="F13">
            <v>7</v>
          </cell>
          <cell r="G13" t="str">
            <v xml:space="preserve">OPP </v>
          </cell>
          <cell r="H13">
            <v>0.1</v>
          </cell>
          <cell r="I13">
            <v>3</v>
          </cell>
          <cell r="J13">
            <v>0.1</v>
          </cell>
          <cell r="K13">
            <v>0.1</v>
          </cell>
          <cell r="L13">
            <v>2</v>
          </cell>
          <cell r="M13">
            <v>0.7</v>
          </cell>
          <cell r="P13">
            <v>0.5</v>
          </cell>
          <cell r="R13">
            <v>0.2</v>
          </cell>
          <cell r="AE13" t="str">
            <v>MPET 12x460</v>
          </cell>
          <cell r="AF13" t="str">
            <v>PE 30x460</v>
          </cell>
          <cell r="AG13">
            <v>2.8865000000000002E-2</v>
          </cell>
          <cell r="AH13">
            <v>0.69</v>
          </cell>
          <cell r="AI13">
            <v>0.75</v>
          </cell>
          <cell r="AJ13">
            <v>9530</v>
          </cell>
          <cell r="AK13" t="str">
            <v>0,0048(0,0023;0,0025)</v>
          </cell>
          <cell r="AM13" t="str">
            <v>túi bốn biên</v>
          </cell>
          <cell r="AN13">
            <v>300</v>
          </cell>
          <cell r="AO13" t="str">
            <v>Công ty Quốc tế Alpha</v>
          </cell>
          <cell r="AQ13" t="str">
            <v>1902139-1</v>
          </cell>
          <cell r="AR13" t="str">
            <v>18071167-2</v>
          </cell>
          <cell r="AS13" t="str">
            <v>1902139-3</v>
          </cell>
          <cell r="AT13" t="str">
            <v>1710403-4</v>
          </cell>
          <cell r="AU13" t="str">
            <v>1902139-5</v>
          </cell>
          <cell r="AV13" t="str">
            <v>1902139-6</v>
          </cell>
          <cell r="AW13" t="str">
            <v>1710175-7</v>
          </cell>
          <cell r="BA13" t="str">
            <v>600x750</v>
          </cell>
          <cell r="BB13" t="str">
            <v>C1</v>
          </cell>
        </row>
        <row r="14">
          <cell r="A14" t="str">
            <v>sp 051</v>
          </cell>
          <cell r="B14" t="str">
            <v>Cuộn ngũ cốc cao tuổi 25gr</v>
          </cell>
          <cell r="C14">
            <v>5.35</v>
          </cell>
          <cell r="D14" t="str">
            <v>OPP 30 x 970</v>
          </cell>
          <cell r="E14">
            <v>6</v>
          </cell>
          <cell r="F14">
            <v>6</v>
          </cell>
          <cell r="G14" t="str">
            <v xml:space="preserve">OPP </v>
          </cell>
          <cell r="H14">
            <v>0.3</v>
          </cell>
          <cell r="I14">
            <v>2</v>
          </cell>
          <cell r="J14">
            <v>0.05</v>
          </cell>
          <cell r="K14">
            <v>0.4</v>
          </cell>
          <cell r="L14">
            <v>1.5</v>
          </cell>
          <cell r="M14">
            <v>1</v>
          </cell>
          <cell r="T14">
            <v>0.1</v>
          </cell>
          <cell r="AE14" t="str">
            <v>MCPP25 x 970</v>
          </cell>
          <cell r="AG14">
            <v>4.8548500000000001E-2</v>
          </cell>
          <cell r="AH14">
            <v>1.2799999999999998</v>
          </cell>
          <cell r="AJ14">
            <v>9530</v>
          </cell>
          <cell r="AK14">
            <v>2E-3</v>
          </cell>
          <cell r="AM14" t="str">
            <v>dạng cuộn 1000m</v>
          </cell>
          <cell r="AN14">
            <v>190</v>
          </cell>
          <cell r="AO14" t="str">
            <v>Công ty CP Sinh Việt</v>
          </cell>
          <cell r="AQ14" t="str">
            <v>1909933-1</v>
          </cell>
          <cell r="AR14" t="str">
            <v>1705971-2</v>
          </cell>
          <cell r="AS14" t="str">
            <v>1407462-3</v>
          </cell>
          <cell r="AT14" t="str">
            <v>1407462-4</v>
          </cell>
          <cell r="AU14" t="str">
            <v>1712059-5</v>
          </cell>
          <cell r="AV14" t="str">
            <v>1712059-6</v>
          </cell>
          <cell r="BA14" t="str">
            <v>480x1100</v>
          </cell>
          <cell r="BB14" t="str">
            <v>M1</v>
          </cell>
        </row>
        <row r="15">
          <cell r="A15" t="str">
            <v>sp 052</v>
          </cell>
          <cell r="B15" t="str">
            <v>Túi ngũ cốc cao tuổi 500gr</v>
          </cell>
          <cell r="C15">
            <v>3.3400000000000003</v>
          </cell>
          <cell r="D15" t="str">
            <v>OPP 20 x 645</v>
          </cell>
          <cell r="E15">
            <v>5</v>
          </cell>
          <cell r="F15">
            <v>6</v>
          </cell>
          <cell r="G15" t="str">
            <v xml:space="preserve">OPP </v>
          </cell>
          <cell r="H15">
            <v>0.2</v>
          </cell>
          <cell r="J15">
            <v>0.26</v>
          </cell>
          <cell r="K15">
            <v>0.4</v>
          </cell>
          <cell r="L15">
            <v>1.5</v>
          </cell>
          <cell r="M15">
            <v>0.8</v>
          </cell>
          <cell r="T15">
            <v>0.18</v>
          </cell>
          <cell r="AE15" t="str">
            <v>PE sứ 90x645</v>
          </cell>
          <cell r="AG15">
            <v>6.5435250000000014E-2</v>
          </cell>
          <cell r="AH15">
            <v>0.97366666666666657</v>
          </cell>
          <cell r="AJ15">
            <v>9530</v>
          </cell>
          <cell r="AK15">
            <v>2.3E-3</v>
          </cell>
          <cell r="AM15" t="str">
            <v>túi bốn biên</v>
          </cell>
          <cell r="AN15">
            <v>340</v>
          </cell>
          <cell r="AO15" t="str">
            <v>Công ty CP Sinh Việt</v>
          </cell>
          <cell r="AQ15" t="str">
            <v>1912155-1</v>
          </cell>
          <cell r="AR15" t="str">
            <v>21030919-2</v>
          </cell>
          <cell r="AS15" t="str">
            <v>1407463-3</v>
          </cell>
          <cell r="AT15" t="str">
            <v>1407463-4</v>
          </cell>
          <cell r="AU15" t="str">
            <v>1407463-5</v>
          </cell>
          <cell r="AV15" t="str">
            <v>1407464-6</v>
          </cell>
          <cell r="AW15" t="str">
            <v>20070428-0</v>
          </cell>
          <cell r="BA15" t="str">
            <v>650x750</v>
          </cell>
          <cell r="BB15" t="str">
            <v>M1</v>
          </cell>
          <cell r="BC15" t="str">
            <v>in chung cây trắng sp 053</v>
          </cell>
          <cell r="BD15" t="str">
            <v>Làm thêm cây số 0</v>
          </cell>
        </row>
        <row r="16">
          <cell r="A16" t="str">
            <v>sp 053</v>
          </cell>
          <cell r="B16" t="str">
            <v>Túi ngũ cốc ăn kiêng 500gr</v>
          </cell>
          <cell r="C16">
            <v>3.2600000000000002</v>
          </cell>
          <cell r="D16" t="str">
            <v>OPP 20x645</v>
          </cell>
          <cell r="E16">
            <v>6</v>
          </cell>
          <cell r="F16">
            <v>6</v>
          </cell>
          <cell r="G16" t="str">
            <v xml:space="preserve">OPP </v>
          </cell>
          <cell r="H16">
            <v>0.2</v>
          </cell>
          <cell r="I16">
            <v>0</v>
          </cell>
          <cell r="J16">
            <v>0.26</v>
          </cell>
          <cell r="K16">
            <v>0.4</v>
          </cell>
          <cell r="L16">
            <v>1.5</v>
          </cell>
          <cell r="M16">
            <v>0.8</v>
          </cell>
          <cell r="T16">
            <v>0.1</v>
          </cell>
          <cell r="AE16" t="str">
            <v>PE sứ 90x645</v>
          </cell>
          <cell r="AG16">
            <v>6.5435250000000014E-2</v>
          </cell>
          <cell r="AH16">
            <v>0.97366666666666657</v>
          </cell>
          <cell r="AJ16">
            <v>9530</v>
          </cell>
          <cell r="AK16">
            <v>2E-3</v>
          </cell>
          <cell r="AM16" t="str">
            <v>túi bốn biên</v>
          </cell>
          <cell r="AN16">
            <v>340</v>
          </cell>
          <cell r="AO16" t="str">
            <v>Công ty CP Sinh Việt</v>
          </cell>
          <cell r="AQ16" t="str">
            <v>1407464-1</v>
          </cell>
          <cell r="AR16" t="str">
            <v>1407464-2</v>
          </cell>
          <cell r="AS16" t="str">
            <v>1407464-3</v>
          </cell>
          <cell r="AT16" t="str">
            <v>1407464-4</v>
          </cell>
          <cell r="AU16" t="str">
            <v>1407464-5</v>
          </cell>
          <cell r="AV16" t="str">
            <v>1407464-6</v>
          </cell>
          <cell r="BA16" t="str">
            <v>650x750</v>
          </cell>
          <cell r="BB16" t="str">
            <v>M1</v>
          </cell>
        </row>
        <row r="17">
          <cell r="A17" t="str">
            <v>sp 059</v>
          </cell>
          <cell r="B17" t="str">
            <v>Túi muối biển xanh 950gr hanufood</v>
          </cell>
          <cell r="C17">
            <v>3.5</v>
          </cell>
          <cell r="D17" t="str">
            <v>OPP 20x800</v>
          </cell>
          <cell r="E17">
            <v>5</v>
          </cell>
          <cell r="F17">
            <v>5</v>
          </cell>
          <cell r="G17" t="str">
            <v xml:space="preserve">OPP </v>
          </cell>
          <cell r="H17">
            <v>0.1</v>
          </cell>
          <cell r="I17">
            <v>1.6</v>
          </cell>
          <cell r="J17">
            <v>0.5</v>
          </cell>
          <cell r="K17">
            <v>0.3</v>
          </cell>
          <cell r="L17">
            <v>0.4</v>
          </cell>
          <cell r="M17">
            <v>0.6</v>
          </cell>
          <cell r="AE17" t="str">
            <v>PE 65x800</v>
          </cell>
          <cell r="AG17">
            <v>6.2660000000000007E-2</v>
          </cell>
          <cell r="AH17">
            <v>1.3166666666666669</v>
          </cell>
          <cell r="AI17">
            <v>0</v>
          </cell>
          <cell r="AJ17">
            <v>9530</v>
          </cell>
          <cell r="AK17">
            <v>2.5000000000000001E-3</v>
          </cell>
          <cell r="AM17" t="str">
            <v>túi ba biên</v>
          </cell>
          <cell r="AN17">
            <v>295</v>
          </cell>
          <cell r="AO17" t="str">
            <v>Công ty Hanufood</v>
          </cell>
          <cell r="AQ17" t="str">
            <v>1702827-1</v>
          </cell>
          <cell r="AR17" t="str">
            <v>1408353-2</v>
          </cell>
          <cell r="AS17" t="str">
            <v>1607581-3</v>
          </cell>
          <cell r="AT17" t="str">
            <v>1408353-4</v>
          </cell>
          <cell r="AU17" t="str">
            <v>1408353-5</v>
          </cell>
          <cell r="BA17" t="str">
            <v>590x850</v>
          </cell>
          <cell r="BB17" t="str">
            <v>M1</v>
          </cell>
        </row>
        <row r="18">
          <cell r="A18" t="str">
            <v>sp 063</v>
          </cell>
          <cell r="B18" t="str">
            <v>Túi muối iot Hà Nội 450gr</v>
          </cell>
          <cell r="C18">
            <v>3.04</v>
          </cell>
          <cell r="D18" t="str">
            <v>BOPP 20x640</v>
          </cell>
          <cell r="E18">
            <v>4</v>
          </cell>
          <cell r="G18" t="str">
            <v xml:space="preserve">OPP </v>
          </cell>
          <cell r="H18">
            <v>0.2</v>
          </cell>
          <cell r="I18">
            <v>1</v>
          </cell>
          <cell r="J18">
            <v>0.4</v>
          </cell>
          <cell r="L18">
            <v>1.04</v>
          </cell>
          <cell r="P18">
            <v>0.1</v>
          </cell>
          <cell r="Q18">
            <v>0.3</v>
          </cell>
          <cell r="AE18" t="str">
            <v>PE 65x640</v>
          </cell>
          <cell r="AG18">
            <v>5.0128000000000006E-2</v>
          </cell>
          <cell r="AH18">
            <v>0.84</v>
          </cell>
          <cell r="AI18">
            <v>0</v>
          </cell>
          <cell r="AJ18">
            <v>9530</v>
          </cell>
          <cell r="AK18">
            <v>2E-3</v>
          </cell>
          <cell r="AM18">
            <v>0</v>
          </cell>
          <cell r="AO18" t="str">
            <v>Công ty VISACO</v>
          </cell>
          <cell r="AQ18" t="str">
            <v>1505020-1</v>
          </cell>
          <cell r="AR18" t="str">
            <v>1505020-2</v>
          </cell>
          <cell r="AS18" t="str">
            <v>1505020-3</v>
          </cell>
          <cell r="AT18" t="str">
            <v>1505020-4</v>
          </cell>
          <cell r="BA18" t="str">
            <v>424x750</v>
          </cell>
          <cell r="BB18" t="str">
            <v>M1</v>
          </cell>
        </row>
        <row r="19">
          <cell r="A19" t="str">
            <v>sp 077</v>
          </cell>
          <cell r="B19" t="str">
            <v>Cuộn bánh bao nhân xíu mại bò 300gr Phú Mỹ</v>
          </cell>
          <cell r="C19">
            <v>5.6999999999999993</v>
          </cell>
          <cell r="D19" t="str">
            <v>OPP 20x730</v>
          </cell>
          <cell r="E19">
            <v>7</v>
          </cell>
          <cell r="F19">
            <v>7</v>
          </cell>
          <cell r="G19" t="str">
            <v xml:space="preserve">OPP </v>
          </cell>
          <cell r="H19">
            <v>0.3</v>
          </cell>
          <cell r="I19">
            <v>2.6</v>
          </cell>
          <cell r="J19">
            <v>0.3</v>
          </cell>
          <cell r="K19">
            <v>0.2</v>
          </cell>
          <cell r="L19">
            <v>0.5</v>
          </cell>
          <cell r="P19">
            <v>0.4</v>
          </cell>
          <cell r="Q19">
            <v>1.3</v>
          </cell>
          <cell r="T19">
            <v>0.1</v>
          </cell>
          <cell r="AE19" t="str">
            <v>PE 70x730</v>
          </cell>
          <cell r="AG19">
            <v>6.0553500000000017E-2</v>
          </cell>
          <cell r="AH19">
            <v>1.056</v>
          </cell>
          <cell r="AJ19">
            <v>9530</v>
          </cell>
          <cell r="AK19">
            <v>2.2000000000000001E-3</v>
          </cell>
          <cell r="AM19">
            <v>0</v>
          </cell>
          <cell r="AO19" t="str">
            <v>Công ty Phú Mỹ</v>
          </cell>
          <cell r="AQ19" t="str">
            <v>18121024-1</v>
          </cell>
          <cell r="AR19" t="str">
            <v>1310563-2</v>
          </cell>
          <cell r="AS19" t="str">
            <v>1310563-3</v>
          </cell>
          <cell r="AT19" t="str">
            <v>1310563-4</v>
          </cell>
          <cell r="AU19" t="str">
            <v>1310563-5</v>
          </cell>
          <cell r="AV19" t="str">
            <v>1310563-6</v>
          </cell>
          <cell r="AW19" t="str">
            <v>1310562-7</v>
          </cell>
          <cell r="BA19" t="str">
            <v>532x850</v>
          </cell>
          <cell r="BB19" t="str">
            <v>V1</v>
          </cell>
          <cell r="BC19" t="str">
            <v>in chung cây trắng vs sp 088+087 : 1310562</v>
          </cell>
        </row>
        <row r="20">
          <cell r="A20" t="str">
            <v>sp 083</v>
          </cell>
          <cell r="B20" t="str">
            <v>Cuộn trà cozy hương quế</v>
          </cell>
          <cell r="C20">
            <v>0</v>
          </cell>
          <cell r="D20" t="str">
            <v>BOPP mờ 30x640</v>
          </cell>
          <cell r="E20">
            <v>6</v>
          </cell>
          <cell r="F20">
            <v>6</v>
          </cell>
          <cell r="G20" t="str">
            <v>BOPP</v>
          </cell>
          <cell r="AE20" t="str">
            <v>MCPP 25x640</v>
          </cell>
          <cell r="AG20">
            <v>3.2032000000000005E-2</v>
          </cell>
          <cell r="AH20">
            <v>0.84</v>
          </cell>
          <cell r="AJ20">
            <v>9530</v>
          </cell>
          <cell r="AK20">
            <v>2E-3</v>
          </cell>
          <cell r="AM20" t="str">
            <v>dạng cuộn 1500m</v>
          </cell>
          <cell r="AN20">
            <v>155</v>
          </cell>
          <cell r="AO20" t="str">
            <v>Công ty Vĩnh Phúc</v>
          </cell>
          <cell r="AQ20" t="str">
            <v>1410590-1</v>
          </cell>
          <cell r="AR20" t="str">
            <v>1410590-2</v>
          </cell>
          <cell r="AS20" t="str">
            <v>1410590-3</v>
          </cell>
          <cell r="AT20" t="str">
            <v>1410590-4</v>
          </cell>
          <cell r="AU20" t="str">
            <v>1410590-5</v>
          </cell>
          <cell r="AV20" t="str">
            <v>1908217-6</v>
          </cell>
          <cell r="BA20" t="str">
            <v>462x750</v>
          </cell>
          <cell r="BB20" t="str">
            <v>A1</v>
          </cell>
          <cell r="BC20" t="str">
            <v xml:space="preserve">chạy chung cây Trắng với bộ cozy </v>
          </cell>
        </row>
        <row r="21">
          <cell r="A21" t="str">
            <v>sp 086</v>
          </cell>
          <cell r="B21" t="str">
            <v>Trục in túi tr'han vit C 1kg Trường Hằng 460x750</v>
          </cell>
          <cell r="E21">
            <v>5</v>
          </cell>
          <cell r="F21">
            <v>5</v>
          </cell>
          <cell r="AO21" t="str">
            <v xml:space="preserve">Công ty Trường Hằng </v>
          </cell>
          <cell r="AQ21" t="str">
            <v>1411258-1</v>
          </cell>
          <cell r="AR21" t="str">
            <v>1411258-2</v>
          </cell>
          <cell r="AS21" t="str">
            <v>1411258-3</v>
          </cell>
          <cell r="AT21" t="str">
            <v>1411258-4</v>
          </cell>
          <cell r="AU21" t="str">
            <v>1411258-5</v>
          </cell>
          <cell r="BA21" t="str">
            <v>460x750</v>
          </cell>
          <cell r="BB21" t="str">
            <v>M1</v>
          </cell>
        </row>
        <row r="22">
          <cell r="A22" t="str">
            <v>sp 087</v>
          </cell>
          <cell r="B22" t="str">
            <v>Cuộn bánh bao xíu mại 300gr Phú Mỹ</v>
          </cell>
          <cell r="C22">
            <v>6.6000000000000005</v>
          </cell>
          <cell r="D22" t="str">
            <v>BOPP 20x730</v>
          </cell>
          <cell r="E22">
            <v>6</v>
          </cell>
          <cell r="F22">
            <v>7</v>
          </cell>
          <cell r="G22" t="str">
            <v>BOPP</v>
          </cell>
          <cell r="H22">
            <v>0.1</v>
          </cell>
          <cell r="I22">
            <v>3.2</v>
          </cell>
          <cell r="J22">
            <v>0.3</v>
          </cell>
          <cell r="K22">
            <v>0.3</v>
          </cell>
          <cell r="L22">
            <v>0.5</v>
          </cell>
          <cell r="M22">
            <v>0.9</v>
          </cell>
          <cell r="P22">
            <v>0.3</v>
          </cell>
          <cell r="Q22">
            <v>0.2</v>
          </cell>
          <cell r="T22">
            <v>0.8</v>
          </cell>
          <cell r="AE22" t="str">
            <v>PE 70x730</v>
          </cell>
          <cell r="AG22">
            <v>6.0553500000000017E-2</v>
          </cell>
          <cell r="AH22">
            <v>1.056</v>
          </cell>
          <cell r="AJ22">
            <v>9530</v>
          </cell>
          <cell r="AK22">
            <v>2.2000000000000001E-3</v>
          </cell>
          <cell r="AM22" t="str">
            <v>dạng cuộn 500m</v>
          </cell>
          <cell r="AN22">
            <v>355</v>
          </cell>
          <cell r="AO22" t="str">
            <v>Công ty Phú Mỹ</v>
          </cell>
          <cell r="AQ22" t="str">
            <v>18051197-1</v>
          </cell>
          <cell r="AR22" t="str">
            <v>1310562-2</v>
          </cell>
          <cell r="AS22" t="str">
            <v>1411258-3</v>
          </cell>
          <cell r="AT22" t="str">
            <v>1310562-4</v>
          </cell>
          <cell r="AU22" t="str">
            <v>1310562-5</v>
          </cell>
          <cell r="AV22" t="str">
            <v>1310562-6</v>
          </cell>
          <cell r="AW22" t="str">
            <v>1310562-7</v>
          </cell>
          <cell r="BA22" t="str">
            <v>532x850</v>
          </cell>
          <cell r="BB22" t="str">
            <v>V1</v>
          </cell>
          <cell r="BC22" t="str">
            <v>in chung cây trắng vs sp 077+088 : 1310562</v>
          </cell>
        </row>
        <row r="23">
          <cell r="A23" t="str">
            <v>sp 088</v>
          </cell>
          <cell r="B23" t="str">
            <v>Cuộn bánh bao xíu mại trứng muối 300gr Phú Mỹ</v>
          </cell>
          <cell r="C23">
            <v>0</v>
          </cell>
          <cell r="D23" t="str">
            <v>BOPP 20x730</v>
          </cell>
          <cell r="E23">
            <v>6</v>
          </cell>
          <cell r="F23">
            <v>7</v>
          </cell>
          <cell r="G23" t="str">
            <v>BOPP</v>
          </cell>
          <cell r="AE23" t="str">
            <v>PE 70x730</v>
          </cell>
          <cell r="AJ23">
            <v>9530</v>
          </cell>
          <cell r="AK23">
            <v>2.2000000000000001E-3</v>
          </cell>
          <cell r="AM23">
            <v>0</v>
          </cell>
          <cell r="AO23" t="str">
            <v>Công ty Phú Mỹ</v>
          </cell>
          <cell r="AQ23" t="str">
            <v>18121023-1</v>
          </cell>
          <cell r="AR23" t="str">
            <v>1310564-2</v>
          </cell>
          <cell r="AS23" t="str">
            <v>1310564-3</v>
          </cell>
          <cell r="AT23" t="str">
            <v>1310564-4</v>
          </cell>
          <cell r="AU23" t="str">
            <v>1310564-5</v>
          </cell>
          <cell r="AV23" t="str">
            <v>1310564-6</v>
          </cell>
          <cell r="AW23" t="str">
            <v>1310562-7</v>
          </cell>
          <cell r="BA23" t="str">
            <v xml:space="preserve"> 532x850</v>
          </cell>
          <cell r="BB23" t="str">
            <v>V1</v>
          </cell>
          <cell r="BC23" t="str">
            <v>in chung cây trắng vs sp 077+087 : 1310562</v>
          </cell>
        </row>
        <row r="26">
          <cell r="A26" t="str">
            <v>sp 094</v>
          </cell>
          <cell r="B26" t="str">
            <v>Cuộn trà diabetna Nam dược</v>
          </cell>
          <cell r="C26">
            <v>0</v>
          </cell>
          <cell r="D26" t="str">
            <v>OPP 30 x 795</v>
          </cell>
          <cell r="E26">
            <v>6</v>
          </cell>
          <cell r="F26">
            <v>6</v>
          </cell>
          <cell r="G26" t="str">
            <v xml:space="preserve">OPP </v>
          </cell>
          <cell r="AE26" t="str">
            <v>MCPP 25 x 795</v>
          </cell>
          <cell r="AG26">
            <v>3.9789750000000006E-2</v>
          </cell>
          <cell r="AH26">
            <v>1.0466666666666666</v>
          </cell>
          <cell r="AJ26">
            <v>9530</v>
          </cell>
          <cell r="AK26">
            <v>2E-3</v>
          </cell>
          <cell r="AM26" t="str">
            <v>dạng cuộn 1000m</v>
          </cell>
          <cell r="AN26">
            <v>155</v>
          </cell>
          <cell r="AO26" t="str">
            <v>Công ty Nam Dược</v>
          </cell>
          <cell r="AQ26" t="str">
            <v>F110031G1-1</v>
          </cell>
          <cell r="AR26" t="str">
            <v>F110031G1-2</v>
          </cell>
          <cell r="AS26" t="str">
            <v>F110031G1-3</v>
          </cell>
          <cell r="AT26" t="str">
            <v>F110031G1-4</v>
          </cell>
          <cell r="AU26" t="str">
            <v>F110031G1-5</v>
          </cell>
          <cell r="AV26" t="str">
            <v>F110031-6</v>
          </cell>
          <cell r="BA26" t="str">
            <v>462x860</v>
          </cell>
          <cell r="BB26" t="str">
            <v>M1</v>
          </cell>
        </row>
        <row r="27">
          <cell r="A27" t="str">
            <v>sp 097</v>
          </cell>
          <cell r="B27" t="str">
            <v>Túi B-complex K3+C Trường Hằng</v>
          </cell>
          <cell r="C27" t="e">
            <v>#N/A</v>
          </cell>
          <cell r="E27">
            <v>2</v>
          </cell>
          <cell r="F27">
            <v>2</v>
          </cell>
          <cell r="G27" t="e">
            <v>#N/A</v>
          </cell>
          <cell r="H27" t="e">
            <v>#N/A</v>
          </cell>
          <cell r="I27" t="e">
            <v>#N/A</v>
          </cell>
          <cell r="J27" t="e">
            <v>#N/A</v>
          </cell>
          <cell r="K27" t="e">
            <v>#N/A</v>
          </cell>
          <cell r="L27" t="e">
            <v>#N/A</v>
          </cell>
          <cell r="M27" t="e">
            <v>#N/A</v>
          </cell>
          <cell r="N27" t="e">
            <v>#N/A</v>
          </cell>
          <cell r="O27" t="e">
            <v>#N/A</v>
          </cell>
          <cell r="P27" t="e">
            <v>#N/A</v>
          </cell>
          <cell r="Q27" t="e">
            <v>#N/A</v>
          </cell>
          <cell r="R27" t="e">
            <v>#N/A</v>
          </cell>
          <cell r="S27" t="e">
            <v>#N/A</v>
          </cell>
          <cell r="T27" t="e">
            <v>#N/A</v>
          </cell>
          <cell r="U27" t="e">
            <v>#N/A</v>
          </cell>
          <cell r="V27" t="e">
            <v>#N/A</v>
          </cell>
          <cell r="W27" t="e">
            <v>#N/A</v>
          </cell>
          <cell r="X27" t="e">
            <v>#N/A</v>
          </cell>
          <cell r="Y27" t="e">
            <v>#N/A</v>
          </cell>
          <cell r="Z27" t="e">
            <v>#N/A</v>
          </cell>
          <cell r="AA27" t="e">
            <v>#N/A</v>
          </cell>
          <cell r="AB27" t="e">
            <v>#N/A</v>
          </cell>
          <cell r="AC27" t="e">
            <v>#N/A</v>
          </cell>
          <cell r="AD27" t="e">
            <v>#N/A</v>
          </cell>
          <cell r="AE27" t="e">
            <v>#N/A</v>
          </cell>
          <cell r="AF27" t="e">
            <v>#N/A</v>
          </cell>
          <cell r="AG27" t="e">
            <v>#N/A</v>
          </cell>
          <cell r="AH27" t="e">
            <v>#N/A</v>
          </cell>
          <cell r="AI27" t="e">
            <v>#N/A</v>
          </cell>
          <cell r="AJ27" t="e">
            <v>#N/A</v>
          </cell>
          <cell r="AK27" t="e">
            <v>#N/A</v>
          </cell>
          <cell r="AL27" t="e">
            <v>#N/A</v>
          </cell>
          <cell r="AM27" t="e">
            <v>#N/A</v>
          </cell>
          <cell r="AN27" t="e">
            <v>#N/A</v>
          </cell>
          <cell r="AO27" t="str">
            <v xml:space="preserve">Công ty Trường Hằng </v>
          </cell>
          <cell r="AP27" t="str">
            <v>H021674S1</v>
          </cell>
          <cell r="AQ27" t="str">
            <v>1811584-1</v>
          </cell>
          <cell r="AR27" t="str">
            <v>1811584-2</v>
          </cell>
          <cell r="BA27" t="str">
            <v>420x750</v>
          </cell>
          <cell r="BB27" t="str">
            <v>M2</v>
          </cell>
        </row>
        <row r="28">
          <cell r="A28" t="str">
            <v>sp 101</v>
          </cell>
          <cell r="B28" t="str">
            <v>Cuộn bánh gấc Q5 diamondfood</v>
          </cell>
          <cell r="E28">
            <v>7</v>
          </cell>
          <cell r="F28">
            <v>7</v>
          </cell>
          <cell r="AO28" t="str">
            <v>Công ty Diamond Food</v>
          </cell>
          <cell r="AQ28" t="str">
            <v>F105603-1</v>
          </cell>
          <cell r="AR28" t="str">
            <v>F105603-2</v>
          </cell>
          <cell r="AS28" t="str">
            <v>F105603-3</v>
          </cell>
          <cell r="AT28" t="str">
            <v>F105603-4</v>
          </cell>
          <cell r="AU28" t="str">
            <v>F105603-5</v>
          </cell>
          <cell r="AV28" t="str">
            <v>F105603-6</v>
          </cell>
          <cell r="AW28" t="str">
            <v>F105603-7</v>
          </cell>
          <cell r="BA28" t="str">
            <v>450x750</v>
          </cell>
          <cell r="BB28" t="str">
            <v>M2</v>
          </cell>
        </row>
        <row r="29">
          <cell r="A29" t="str">
            <v>sp 108</v>
          </cell>
          <cell r="B29" t="str">
            <v>Cuộn trà cozy hương nhài Vĩnh Phúc</v>
          </cell>
          <cell r="C29">
            <v>8.4999999999999982</v>
          </cell>
          <cell r="D29" t="str">
            <v>BOPP mo 30x640</v>
          </cell>
          <cell r="E29">
            <v>6</v>
          </cell>
          <cell r="F29">
            <v>6</v>
          </cell>
          <cell r="G29" t="str">
            <v>BOPP</v>
          </cell>
          <cell r="H29">
            <v>0.1</v>
          </cell>
          <cell r="I29">
            <v>2.4</v>
          </cell>
          <cell r="J29">
            <v>0.6</v>
          </cell>
          <cell r="K29">
            <v>0.1</v>
          </cell>
          <cell r="L29">
            <v>2.2000000000000002</v>
          </cell>
          <cell r="M29">
            <v>0.8</v>
          </cell>
          <cell r="O29">
            <v>2</v>
          </cell>
          <cell r="Q29">
            <v>0.1</v>
          </cell>
          <cell r="R29">
            <v>0.2</v>
          </cell>
          <cell r="AE29" t="str">
            <v>MCPP 25x640</v>
          </cell>
          <cell r="AG29">
            <v>3.2032000000000005E-2</v>
          </cell>
          <cell r="AH29">
            <v>0.84</v>
          </cell>
          <cell r="AJ29">
            <v>9530</v>
          </cell>
          <cell r="AK29">
            <v>2E-3</v>
          </cell>
          <cell r="AM29">
            <v>0</v>
          </cell>
          <cell r="AO29" t="str">
            <v>Công ty Vĩnh Phúc</v>
          </cell>
          <cell r="AQ29" t="str">
            <v>21080170-1</v>
          </cell>
          <cell r="AR29" t="str">
            <v>18031198-2</v>
          </cell>
          <cell r="AS29" t="str">
            <v>18031198-3</v>
          </cell>
          <cell r="AT29" t="str">
            <v>18031198-4</v>
          </cell>
          <cell r="AU29" t="str">
            <v>18031198-5</v>
          </cell>
          <cell r="AV29" t="str">
            <v>21080170-6</v>
          </cell>
          <cell r="BA29" t="str">
            <v>462x750</v>
          </cell>
          <cell r="BB29" t="str">
            <v>A1</v>
          </cell>
        </row>
        <row r="30">
          <cell r="A30" t="str">
            <v>sp 117</v>
          </cell>
          <cell r="B30" t="str">
            <v>Cuộn bánh trứng lipo tiếng anh K170</v>
          </cell>
          <cell r="C30">
            <v>6.05</v>
          </cell>
          <cell r="D30" t="str">
            <v>BOPP 20x700</v>
          </cell>
          <cell r="E30">
            <v>8</v>
          </cell>
          <cell r="F30">
            <v>7</v>
          </cell>
          <cell r="G30" t="str">
            <v>BOPP</v>
          </cell>
          <cell r="H30">
            <v>0.05</v>
          </cell>
          <cell r="I30">
            <v>2.8</v>
          </cell>
          <cell r="J30">
            <v>0.1</v>
          </cell>
          <cell r="K30">
            <v>0.2</v>
          </cell>
          <cell r="L30">
            <v>1.6</v>
          </cell>
          <cell r="M30">
            <v>1</v>
          </cell>
          <cell r="P30">
            <v>0.2</v>
          </cell>
          <cell r="R30">
            <v>0.1</v>
          </cell>
          <cell r="AE30" t="str">
            <v>MCPP 25x700</v>
          </cell>
          <cell r="AG30">
            <v>1.7198999999999999E-2</v>
          </cell>
          <cell r="AH30">
            <v>1.1499999999999999</v>
          </cell>
          <cell r="AI30">
            <v>0</v>
          </cell>
          <cell r="AJ30">
            <v>9530</v>
          </cell>
          <cell r="AK30">
            <v>2.5000000000000001E-3</v>
          </cell>
          <cell r="AM30">
            <v>0</v>
          </cell>
          <cell r="AO30" t="str">
            <v>Công ty Quốc tế Alpha</v>
          </cell>
          <cell r="AQ30" t="str">
            <v>F810864G6-1</v>
          </cell>
          <cell r="AR30" t="str">
            <v>F810864G7-2</v>
          </cell>
          <cell r="AS30" t="str">
            <v>F810864G5-3</v>
          </cell>
          <cell r="AT30" t="str">
            <v>F810864G8-4</v>
          </cell>
          <cell r="AU30" t="str">
            <v>F810864G7-5</v>
          </cell>
          <cell r="AV30" t="str">
            <v>F810864G9-6</v>
          </cell>
          <cell r="AW30" t="str">
            <v>F810864G10-7 
cây mới</v>
          </cell>
          <cell r="AX30" t="str">
            <v xml:space="preserve">F810864G4-7 
cây củ </v>
          </cell>
          <cell r="BA30" t="str">
            <v>500x750</v>
          </cell>
          <cell r="BB30" t="str">
            <v>C1</v>
          </cell>
        </row>
        <row r="31">
          <cell r="A31" t="str">
            <v>sp 119</v>
          </cell>
          <cell r="B31" t="str">
            <v>Túi cơm cháy nếp cái hoa vàng 200gr</v>
          </cell>
          <cell r="C31">
            <v>5.29</v>
          </cell>
          <cell r="D31" t="str">
            <v>BOPP 20x440</v>
          </cell>
          <cell r="E31">
            <v>5</v>
          </cell>
          <cell r="F31">
            <v>5</v>
          </cell>
          <cell r="G31" t="str">
            <v>BOPP</v>
          </cell>
          <cell r="H31">
            <v>0.2</v>
          </cell>
          <cell r="I31">
            <v>2.1</v>
          </cell>
          <cell r="J31">
            <v>0.13</v>
          </cell>
          <cell r="K31">
            <v>0.35</v>
          </cell>
          <cell r="L31">
            <v>1.1100000000000001</v>
          </cell>
          <cell r="M31">
            <v>1</v>
          </cell>
          <cell r="O31">
            <v>0.3</v>
          </cell>
          <cell r="R31">
            <v>0.1</v>
          </cell>
          <cell r="AE31" t="str">
            <v>CPP 35x440</v>
          </cell>
          <cell r="AG31">
            <v>2.2022000000000003E-2</v>
          </cell>
          <cell r="AH31">
            <v>0.57333333333333325</v>
          </cell>
          <cell r="AJ31">
            <v>9530</v>
          </cell>
          <cell r="AK31">
            <v>2E-3</v>
          </cell>
          <cell r="AM31" t="str">
            <v>Hàn lưng</v>
          </cell>
          <cell r="AO31" t="str">
            <v>Hoa Lư</v>
          </cell>
          <cell r="AQ31" t="str">
            <v>21040498-1</v>
          </cell>
          <cell r="AR31" t="str">
            <v>1708739-2</v>
          </cell>
          <cell r="AS31" t="str">
            <v>21040498-3</v>
          </cell>
          <cell r="AT31" t="str">
            <v>1708739-4</v>
          </cell>
          <cell r="AU31" t="str">
            <v>1708739-5</v>
          </cell>
          <cell r="BA31" t="str">
            <v>620x750</v>
          </cell>
          <cell r="BB31" t="str">
            <v>M2</v>
          </cell>
        </row>
        <row r="32">
          <cell r="A32" t="str">
            <v>sp 144</v>
          </cell>
          <cell r="B32" t="str">
            <v>Túi quế 600gr Quế Lâm</v>
          </cell>
          <cell r="D32" t="str">
            <v>OPP 20x640</v>
          </cell>
          <cell r="E32">
            <v>6</v>
          </cell>
          <cell r="F32">
            <v>6</v>
          </cell>
          <cell r="AO32" t="str">
            <v>Quế Lâm</v>
          </cell>
          <cell r="AQ32" t="str">
            <v>F125899-1</v>
          </cell>
          <cell r="AR32" t="str">
            <v>F105356-2</v>
          </cell>
          <cell r="AS32" t="str">
            <v>F125899G1-3</v>
          </cell>
          <cell r="AT32" t="str">
            <v>F105356-4</v>
          </cell>
          <cell r="AU32" t="str">
            <v>F105356-5</v>
          </cell>
          <cell r="AV32" t="str">
            <v>F105356-6</v>
          </cell>
          <cell r="BA32" t="str">
            <v>460x750</v>
          </cell>
          <cell r="BB32" t="str">
            <v>M2</v>
          </cell>
        </row>
        <row r="33">
          <cell r="A33" t="str">
            <v>sp 147</v>
          </cell>
          <cell r="B33" t="str">
            <v>Trục in túi muối Hà Nội 500g 424x750(1508195)</v>
          </cell>
          <cell r="E33">
            <v>1</v>
          </cell>
          <cell r="AO33" t="str">
            <v>Công ty VISACO</v>
          </cell>
          <cell r="AQ33">
            <v>1508195</v>
          </cell>
          <cell r="BA33" t="str">
            <v>424x750</v>
          </cell>
          <cell r="BB33" t="str">
            <v>M2</v>
          </cell>
        </row>
        <row r="34">
          <cell r="A34" t="str">
            <v>sp 148</v>
          </cell>
          <cell r="B34" t="str">
            <v xml:space="preserve">Túi muối iot Hà Nội 200gr </v>
          </cell>
          <cell r="C34">
            <v>4.2</v>
          </cell>
          <cell r="D34" t="str">
            <v>BOPP 20x470</v>
          </cell>
          <cell r="E34">
            <v>5</v>
          </cell>
          <cell r="F34">
            <v>5</v>
          </cell>
          <cell r="G34" t="str">
            <v>BOPP</v>
          </cell>
          <cell r="H34">
            <v>0.1</v>
          </cell>
          <cell r="I34">
            <v>1.4</v>
          </cell>
          <cell r="J34">
            <v>0.1</v>
          </cell>
          <cell r="L34">
            <v>1.3</v>
          </cell>
          <cell r="M34">
            <v>0.7</v>
          </cell>
          <cell r="P34">
            <v>0.6</v>
          </cell>
          <cell r="AE34" t="str">
            <v>PE 65x470</v>
          </cell>
          <cell r="AG34">
            <v>3.6812749999999998E-2</v>
          </cell>
          <cell r="AH34">
            <v>0.61333333333333329</v>
          </cell>
          <cell r="AJ34">
            <v>9530</v>
          </cell>
          <cell r="AK34">
            <v>2E-3</v>
          </cell>
          <cell r="AM34" t="str">
            <v>Ba biên</v>
          </cell>
          <cell r="AO34" t="str">
            <v>Công ty VISACO</v>
          </cell>
          <cell r="AQ34" t="str">
            <v>1412417-1</v>
          </cell>
          <cell r="AR34" t="str">
            <v>1308276-2</v>
          </cell>
          <cell r="AS34" t="str">
            <v>1308276-3</v>
          </cell>
          <cell r="AT34" t="str">
            <v>1308276-4</v>
          </cell>
          <cell r="AU34" t="str">
            <v>18011108-5</v>
          </cell>
          <cell r="BA34" t="str">
            <v>480x740</v>
          </cell>
          <cell r="BB34" t="str">
            <v>M2</v>
          </cell>
          <cell r="BC34" t="str">
            <v>in chung bộ sp 336+ 403</v>
          </cell>
        </row>
        <row r="35">
          <cell r="A35" t="str">
            <v>sp 153</v>
          </cell>
          <cell r="B35" t="str">
            <v>Trục in túi chè All Muftahein 450g 620x520(17040653)</v>
          </cell>
          <cell r="E35">
            <v>3</v>
          </cell>
          <cell r="F35">
            <v>3</v>
          </cell>
          <cell r="AO35" t="str">
            <v>Công ty Vĩnh Phúc</v>
          </cell>
          <cell r="AQ35" t="str">
            <v>17040653-1</v>
          </cell>
          <cell r="AR35" t="str">
            <v>17040653-2</v>
          </cell>
          <cell r="AS35" t="str">
            <v>17040653-3</v>
          </cell>
          <cell r="BA35" t="str">
            <v>520x620</v>
          </cell>
          <cell r="BB35" t="str">
            <v>A1</v>
          </cell>
        </row>
        <row r="36">
          <cell r="A36" t="str">
            <v>sp 160</v>
          </cell>
          <cell r="B36" t="str">
            <v>Túi muối siêu sạch 5 màu Ngọc Châu</v>
          </cell>
          <cell r="C36">
            <v>7.6</v>
          </cell>
          <cell r="D36" t="str">
            <v>OPP 20x540</v>
          </cell>
          <cell r="E36">
            <v>5</v>
          </cell>
          <cell r="G36" t="str">
            <v xml:space="preserve">OPP </v>
          </cell>
          <cell r="H36">
            <v>0.6</v>
          </cell>
          <cell r="I36">
            <v>2.8</v>
          </cell>
          <cell r="J36">
            <v>2.2000000000000002</v>
          </cell>
          <cell r="K36">
            <v>0.4</v>
          </cell>
          <cell r="L36">
            <v>0.3</v>
          </cell>
          <cell r="M36">
            <v>1.3</v>
          </cell>
          <cell r="AE36" t="str">
            <v>PE 40x540</v>
          </cell>
          <cell r="AG36">
            <v>2.9808000000000005E-2</v>
          </cell>
          <cell r="AH36">
            <v>0.70666666666666667</v>
          </cell>
          <cell r="AJ36">
            <v>9530</v>
          </cell>
          <cell r="AK36">
            <v>2E-3</v>
          </cell>
          <cell r="AM36" t="str">
            <v>Ba biên</v>
          </cell>
          <cell r="AO36" t="str">
            <v>Công ty Ngọc Châu</v>
          </cell>
          <cell r="AQ36" t="str">
            <v>F113905-1</v>
          </cell>
          <cell r="AR36" t="str">
            <v>F305575-2</v>
          </cell>
          <cell r="AS36" t="str">
            <v>F305575-3</v>
          </cell>
          <cell r="AT36" t="str">
            <v>F305575-4</v>
          </cell>
          <cell r="AU36" t="str">
            <v>F305575-5</v>
          </cell>
          <cell r="BA36" t="str">
            <v>540x750</v>
          </cell>
          <cell r="BB36" t="str">
            <v>M2</v>
          </cell>
        </row>
        <row r="37">
          <cell r="A37" t="str">
            <v>sp 163</v>
          </cell>
          <cell r="B37" t="str">
            <v>Túi umgavit 10gr Trường Hằng</v>
          </cell>
          <cell r="C37">
            <v>0</v>
          </cell>
          <cell r="D37" t="str">
            <v>BOPP 20x500</v>
          </cell>
          <cell r="E37">
            <v>5</v>
          </cell>
          <cell r="F37">
            <v>5</v>
          </cell>
          <cell r="G37" t="str">
            <v>BOPP</v>
          </cell>
          <cell r="AE37" t="str">
            <v>MPET 12x500</v>
          </cell>
          <cell r="AF37" t="str">
            <v>PE 60x505</v>
          </cell>
          <cell r="AG37">
            <v>4.5249999999999999E-2</v>
          </cell>
          <cell r="AH37">
            <v>0.7513333333333333</v>
          </cell>
          <cell r="AI37">
            <v>0.98</v>
          </cell>
          <cell r="AJ37">
            <v>9530</v>
          </cell>
          <cell r="AK37" t="str">
            <v>0.0053 (0.0023; 0.003)</v>
          </cell>
          <cell r="AM37">
            <v>0</v>
          </cell>
          <cell r="AO37" t="str">
            <v xml:space="preserve">Công ty Trường Hằng </v>
          </cell>
          <cell r="AQ37" t="str">
            <v>1312036-1</v>
          </cell>
          <cell r="AR37" t="str">
            <v>1312036-2</v>
          </cell>
          <cell r="AS37" t="str">
            <v>1312036-3</v>
          </cell>
          <cell r="AT37" t="str">
            <v>1312036-4</v>
          </cell>
          <cell r="AU37" t="str">
            <v>1312036-5</v>
          </cell>
          <cell r="BA37">
            <v>0</v>
          </cell>
          <cell r="BB37" t="str">
            <v>M2</v>
          </cell>
        </row>
        <row r="38">
          <cell r="A38" t="str">
            <v>sp 164</v>
          </cell>
          <cell r="B38" t="str">
            <v>Túi ngừa giun sán 2gr Trường Hằng</v>
          </cell>
          <cell r="C38">
            <v>5.3000000000000007</v>
          </cell>
          <cell r="D38" t="str">
            <v>BOPP 20x620</v>
          </cell>
          <cell r="E38">
            <v>4</v>
          </cell>
          <cell r="F38">
            <v>4</v>
          </cell>
          <cell r="G38" t="str">
            <v>BOPP</v>
          </cell>
          <cell r="H38">
            <v>0.2</v>
          </cell>
          <cell r="I38">
            <v>3</v>
          </cell>
          <cell r="K38">
            <v>0.1</v>
          </cell>
          <cell r="L38">
            <v>2</v>
          </cell>
          <cell r="AE38" t="str">
            <v>CPP 25x620</v>
          </cell>
          <cell r="AG38">
            <v>2.5388999999999998E-2</v>
          </cell>
          <cell r="AH38">
            <v>0.73199999999999998</v>
          </cell>
          <cell r="AJ38">
            <v>9530</v>
          </cell>
          <cell r="AK38">
            <v>1.8E-3</v>
          </cell>
          <cell r="AM38" t="str">
            <v>Ba biên</v>
          </cell>
          <cell r="AN38">
            <v>60</v>
          </cell>
          <cell r="AO38" t="str">
            <v xml:space="preserve">Công ty Trường Hằng </v>
          </cell>
          <cell r="AQ38" t="str">
            <v>1903314-1</v>
          </cell>
          <cell r="AR38" t="str">
            <v>1903314-2</v>
          </cell>
          <cell r="AS38" t="str">
            <v>1310473-3</v>
          </cell>
          <cell r="AT38" t="str">
            <v>1310473-4</v>
          </cell>
          <cell r="BB38" t="str">
            <v>M2</v>
          </cell>
        </row>
        <row r="39">
          <cell r="A39" t="str">
            <v>sp 166</v>
          </cell>
          <cell r="B39" t="str">
            <v>Cuộn bột canh visip 250gr Ngọc Châu</v>
          </cell>
          <cell r="C39">
            <v>4.7899999999999991</v>
          </cell>
          <cell r="D39" t="str">
            <v>BOPP 20x560</v>
          </cell>
          <cell r="E39">
            <v>4</v>
          </cell>
          <cell r="F39">
            <v>4</v>
          </cell>
          <cell r="G39" t="str">
            <v>BOPP</v>
          </cell>
          <cell r="H39">
            <v>0.19</v>
          </cell>
          <cell r="I39">
            <v>2</v>
          </cell>
          <cell r="K39">
            <v>0.1</v>
          </cell>
          <cell r="L39">
            <v>0.3</v>
          </cell>
          <cell r="M39">
            <v>0</v>
          </cell>
          <cell r="P39">
            <v>2</v>
          </cell>
          <cell r="Q39">
            <v>0.1</v>
          </cell>
          <cell r="R39">
            <v>0.1</v>
          </cell>
          <cell r="AE39" t="str">
            <v>PE 40x560</v>
          </cell>
          <cell r="AG39">
            <v>3.0912000000000005E-2</v>
          </cell>
          <cell r="AH39">
            <v>0.73333333333333339</v>
          </cell>
          <cell r="AJ39">
            <v>9530</v>
          </cell>
          <cell r="AK39">
            <v>2E-3</v>
          </cell>
          <cell r="AM39" t="str">
            <v>Ba biên</v>
          </cell>
          <cell r="AO39" t="str">
            <v>Công ty Ngọc Châu</v>
          </cell>
          <cell r="AQ39" t="str">
            <v>F113905G1-1</v>
          </cell>
          <cell r="AR39" t="str">
            <v>F108150G3-2</v>
          </cell>
          <cell r="AS39" t="str">
            <v>F108150-3</v>
          </cell>
          <cell r="AT39" t="str">
            <v>F108150-4</v>
          </cell>
          <cell r="BA39" t="str">
            <v>525x750</v>
          </cell>
          <cell r="BB39" t="str">
            <v>M2</v>
          </cell>
        </row>
        <row r="40">
          <cell r="A40" t="str">
            <v>sp 173</v>
          </cell>
          <cell r="B40" t="str">
            <v>Trục in túi bánh đậu xanh Tiên Dung 420g 540x850</v>
          </cell>
          <cell r="E40">
            <v>2</v>
          </cell>
          <cell r="F40">
            <v>2</v>
          </cell>
          <cell r="AO40" t="str">
            <v>Công ty Tiên Dung</v>
          </cell>
          <cell r="AQ40" t="str">
            <v>1203479-1</v>
          </cell>
          <cell r="AR40" t="str">
            <v>1203479-2</v>
          </cell>
          <cell r="BA40" t="str">
            <v>540x850</v>
          </cell>
          <cell r="BB40" t="str">
            <v>M2</v>
          </cell>
        </row>
        <row r="41">
          <cell r="A41" t="str">
            <v>sp 175</v>
          </cell>
          <cell r="B41" t="str">
            <v>Túi bánh cripts Q2 diamondfood</v>
          </cell>
          <cell r="C41">
            <v>6.8199999999999994</v>
          </cell>
          <cell r="D41" t="str">
            <v>BOPP 20x440</v>
          </cell>
          <cell r="E41">
            <v>5</v>
          </cell>
          <cell r="F41">
            <v>5</v>
          </cell>
          <cell r="G41" t="str">
            <v>BOPP</v>
          </cell>
          <cell r="H41">
            <v>0.05</v>
          </cell>
          <cell r="I41">
            <v>2.7</v>
          </cell>
          <cell r="K41">
            <v>0.14000000000000001</v>
          </cell>
          <cell r="L41">
            <v>2.7</v>
          </cell>
          <cell r="M41">
            <v>0.8</v>
          </cell>
          <cell r="S41">
            <v>0.43</v>
          </cell>
          <cell r="AE41" t="str">
            <v>CPP 43x440</v>
          </cell>
          <cell r="AG41">
            <v>2.52252E-2</v>
          </cell>
          <cell r="AH41">
            <v>0.66</v>
          </cell>
          <cell r="AJ41">
            <v>9530</v>
          </cell>
          <cell r="AK41">
            <v>2.2000000000000001E-3</v>
          </cell>
          <cell r="AM41">
            <v>0</v>
          </cell>
          <cell r="AO41" t="str">
            <v>Công ty Diamond food</v>
          </cell>
          <cell r="AQ41" t="str">
            <v>1110357-1</v>
          </cell>
          <cell r="AR41" t="str">
            <v>1110357-2</v>
          </cell>
          <cell r="AS41" t="str">
            <v>1110357-3</v>
          </cell>
          <cell r="AT41" t="str">
            <v>1110357-4</v>
          </cell>
          <cell r="AU41" t="str">
            <v>1110357-5</v>
          </cell>
          <cell r="BA41" t="str">
            <v>600x750</v>
          </cell>
          <cell r="BB41" t="str">
            <v>M2</v>
          </cell>
        </row>
        <row r="42">
          <cell r="A42" t="str">
            <v>sp 177</v>
          </cell>
          <cell r="B42" t="str">
            <v>Trục in túi trà gừng 400g màu xanh SV 750x580</v>
          </cell>
          <cell r="E42">
            <v>5</v>
          </cell>
          <cell r="F42">
            <v>5</v>
          </cell>
          <cell r="AO42" t="str">
            <v>Công ty Sing Việt</v>
          </cell>
          <cell r="AQ42" t="str">
            <v>F108216-1</v>
          </cell>
          <cell r="AR42" t="str">
            <v>F108216-2</v>
          </cell>
          <cell r="AS42" t="str">
            <v>F108216-3</v>
          </cell>
          <cell r="AT42" t="str">
            <v>F108216-4</v>
          </cell>
          <cell r="AU42" t="str">
            <v>F108216-5</v>
          </cell>
          <cell r="BA42" t="str">
            <v>750x580</v>
          </cell>
          <cell r="BB42" t="str">
            <v>M2</v>
          </cell>
        </row>
        <row r="43">
          <cell r="A43" t="str">
            <v>sp 183</v>
          </cell>
          <cell r="B43" t="str">
            <v>Túi bột đậu đen 500gr Tiên Dung</v>
          </cell>
          <cell r="E43">
            <v>6</v>
          </cell>
          <cell r="F43">
            <v>6</v>
          </cell>
          <cell r="AO43" t="str">
            <v>Công ty Tiên Dung</v>
          </cell>
          <cell r="AQ43" t="str">
            <v>1504555-1</v>
          </cell>
          <cell r="AR43" t="str">
            <v>1006115-2</v>
          </cell>
          <cell r="AS43" t="str">
            <v>1006115-3</v>
          </cell>
          <cell r="AT43" t="str">
            <v>1006115-4</v>
          </cell>
          <cell r="AU43" t="str">
            <v>1006115-5</v>
          </cell>
          <cell r="AV43" t="str">
            <v>1006115-6</v>
          </cell>
          <cell r="BA43" t="str">
            <v>560x850</v>
          </cell>
          <cell r="BB43" t="str">
            <v>M3</v>
          </cell>
        </row>
        <row r="44">
          <cell r="A44" t="str">
            <v>sp 182</v>
          </cell>
          <cell r="B44" t="str">
            <v>Túi bánh gấc Q5 Diamondfood</v>
          </cell>
          <cell r="C44">
            <v>6.55</v>
          </cell>
          <cell r="D44" t="str">
            <v>BOPP 20x720</v>
          </cell>
          <cell r="E44">
            <v>5</v>
          </cell>
          <cell r="F44">
            <v>5</v>
          </cell>
          <cell r="G44" t="str">
            <v>BOPP</v>
          </cell>
          <cell r="H44">
            <v>0.2</v>
          </cell>
          <cell r="I44">
            <v>2.7</v>
          </cell>
          <cell r="J44">
            <v>0.1</v>
          </cell>
          <cell r="K44">
            <v>0.05</v>
          </cell>
          <cell r="L44">
            <v>2.7</v>
          </cell>
          <cell r="M44">
            <v>0.8</v>
          </cell>
          <cell r="AE44" t="str">
            <v>CPP 43x720</v>
          </cell>
          <cell r="AG44">
            <v>4.1277599999999998E-2</v>
          </cell>
          <cell r="AH44">
            <v>0.94666666666666655</v>
          </cell>
          <cell r="AJ44">
            <v>9530</v>
          </cell>
          <cell r="AK44">
            <v>2E-3</v>
          </cell>
          <cell r="AM44" t="str">
            <v>Ba biên</v>
          </cell>
          <cell r="AO44" t="str">
            <v>Công ty Diamond food</v>
          </cell>
          <cell r="AQ44" t="str">
            <v>1311778-1</v>
          </cell>
          <cell r="AR44" t="str">
            <v>1312670-2</v>
          </cell>
          <cell r="AS44" t="str">
            <v>1012033-3</v>
          </cell>
          <cell r="AT44" t="str">
            <v>1012033-4</v>
          </cell>
          <cell r="AU44" t="str">
            <v>1510169-5</v>
          </cell>
          <cell r="BA44" t="str">
            <v>500x800</v>
          </cell>
          <cell r="BB44" t="str">
            <v>M3</v>
          </cell>
        </row>
        <row r="45">
          <cell r="A45" t="str">
            <v>sp 193</v>
          </cell>
          <cell r="B45" t="str">
            <v xml:space="preserve"> túi bánh trứng tiếng trung 135g Alpha 850x570</v>
          </cell>
          <cell r="E45">
            <v>5</v>
          </cell>
          <cell r="F45">
            <v>5</v>
          </cell>
          <cell r="AO45" t="str">
            <v>Công ty Quốc tế Alpha</v>
          </cell>
          <cell r="AQ45" t="str">
            <v xml:space="preserve"> F106279-1</v>
          </cell>
          <cell r="AR45" t="str">
            <v xml:space="preserve"> F106279-2</v>
          </cell>
          <cell r="AS45" t="str">
            <v xml:space="preserve"> F106279-3</v>
          </cell>
          <cell r="AT45" t="str">
            <v xml:space="preserve"> F106279-4</v>
          </cell>
          <cell r="AU45" t="str">
            <v xml:space="preserve"> F106279-5</v>
          </cell>
          <cell r="BA45" t="str">
            <v xml:space="preserve"> 850x570</v>
          </cell>
          <cell r="BB45" t="str">
            <v>C1</v>
          </cell>
        </row>
        <row r="46">
          <cell r="A46" t="str">
            <v>sp 197</v>
          </cell>
          <cell r="B46" t="str">
            <v>Túi cơm cháy tám thơm 200gr Hoa Lư</v>
          </cell>
          <cell r="C46">
            <v>7.7999999999999989</v>
          </cell>
          <cell r="D46" t="str">
            <v>OPP 20x440</v>
          </cell>
          <cell r="E46">
            <v>2</v>
          </cell>
          <cell r="F46">
            <v>2</v>
          </cell>
          <cell r="G46" t="str">
            <v xml:space="preserve">OPP </v>
          </cell>
          <cell r="I46">
            <v>5</v>
          </cell>
          <cell r="K46">
            <v>0.1</v>
          </cell>
          <cell r="L46">
            <v>2</v>
          </cell>
          <cell r="O46">
            <v>0.6</v>
          </cell>
          <cell r="R46">
            <v>0.1</v>
          </cell>
          <cell r="AE46" t="str">
            <v>CPP 35x440</v>
          </cell>
          <cell r="AG46">
            <v>2.2022000000000003E-2</v>
          </cell>
          <cell r="AH46">
            <v>0.57333333333333325</v>
          </cell>
          <cell r="AJ46">
            <v>9530</v>
          </cell>
          <cell r="AK46">
            <v>2E-3</v>
          </cell>
          <cell r="AM46" t="str">
            <v>Hàn lưng</v>
          </cell>
          <cell r="AO46" t="str">
            <v>Hoa Lư</v>
          </cell>
          <cell r="AQ46" t="str">
            <v>1305811-1</v>
          </cell>
          <cell r="AR46" t="str">
            <v>1708315-2</v>
          </cell>
          <cell r="BA46" t="str">
            <v>620x550</v>
          </cell>
          <cell r="BB46" t="str">
            <v>M3</v>
          </cell>
        </row>
        <row r="47">
          <cell r="A47" t="str">
            <v>sp 202</v>
          </cell>
          <cell r="B47" t="str">
            <v>Túi bánh đậu xanh 350gr Tiên Dung</v>
          </cell>
          <cell r="E47">
            <v>3</v>
          </cell>
          <cell r="F47">
            <v>3</v>
          </cell>
          <cell r="AO47" t="str">
            <v>Công ty Tiên Dung</v>
          </cell>
          <cell r="AQ47" t="str">
            <v>1309145-1</v>
          </cell>
          <cell r="AR47" t="str">
            <v>1309145-2</v>
          </cell>
          <cell r="AS47" t="str">
            <v>1309145-3</v>
          </cell>
          <cell r="BA47" t="str">
            <v>550x750</v>
          </cell>
          <cell r="BB47" t="str">
            <v>M3</v>
          </cell>
        </row>
        <row r="48">
          <cell r="A48" t="str">
            <v>sp 205</v>
          </cell>
          <cell r="B48" t="str">
            <v>Túi bánh khoai tây Q2 Diamondfood</v>
          </cell>
          <cell r="C48">
            <v>7.35</v>
          </cell>
          <cell r="D48" t="str">
            <v>OPP 20x470</v>
          </cell>
          <cell r="E48">
            <v>6</v>
          </cell>
          <cell r="F48">
            <v>6</v>
          </cell>
          <cell r="G48" t="str">
            <v xml:space="preserve">OPP </v>
          </cell>
          <cell r="I48">
            <v>2.2999999999999998</v>
          </cell>
          <cell r="J48">
            <v>0.8</v>
          </cell>
          <cell r="K48">
            <v>0.1</v>
          </cell>
          <cell r="L48">
            <v>2.7</v>
          </cell>
          <cell r="M48">
            <v>1</v>
          </cell>
          <cell r="R48">
            <v>0.1</v>
          </cell>
          <cell r="S48">
            <v>0.35</v>
          </cell>
          <cell r="AE48" t="str">
            <v>CPP 43x470</v>
          </cell>
          <cell r="AG48">
            <v>2.69451E-2</v>
          </cell>
          <cell r="AH48">
            <v>0.61333333333333329</v>
          </cell>
          <cell r="AJ48">
            <v>9530</v>
          </cell>
          <cell r="AK48">
            <v>2E-3</v>
          </cell>
          <cell r="AM48" t="str">
            <v xml:space="preserve">Hàn lưng </v>
          </cell>
          <cell r="AO48" t="str">
            <v>Công ty Diamond food</v>
          </cell>
          <cell r="AQ48" t="str">
            <v>1310341-1</v>
          </cell>
          <cell r="AR48" t="str">
            <v>1707907-2</v>
          </cell>
          <cell r="AS48" t="str">
            <v>1310341-3</v>
          </cell>
          <cell r="AT48" t="str">
            <v>1310341-4</v>
          </cell>
          <cell r="AU48" t="str">
            <v>1310341-5</v>
          </cell>
          <cell r="AV48" t="str">
            <v>1310341-6</v>
          </cell>
          <cell r="BA48" t="str">
            <v>620x750</v>
          </cell>
          <cell r="BB48" t="str">
            <v>M3</v>
          </cell>
        </row>
        <row r="49">
          <cell r="A49" t="str">
            <v>sp 212</v>
          </cell>
          <cell r="B49" t="str">
            <v>Cuộn bột canh đặc biệt Ngọc Châu (3 màu)</v>
          </cell>
          <cell r="C49">
            <v>0</v>
          </cell>
          <cell r="D49" t="str">
            <v>OPP 20x500</v>
          </cell>
          <cell r="E49" t="str">
            <v>BHD 3</v>
          </cell>
          <cell r="F49">
            <v>3</v>
          </cell>
          <cell r="G49" t="str">
            <v xml:space="preserve">OPP </v>
          </cell>
          <cell r="AE49" t="str">
            <v>PE 40x500</v>
          </cell>
          <cell r="AG49">
            <v>2.7600000000000003E-2</v>
          </cell>
          <cell r="AH49">
            <v>0.65333333333333332</v>
          </cell>
          <cell r="AJ49">
            <v>9530</v>
          </cell>
          <cell r="AK49">
            <v>2E-3</v>
          </cell>
          <cell r="AM49" t="str">
            <v>dạng cuộn</v>
          </cell>
          <cell r="AO49" t="str">
            <v>Công ty Ngọc Châu</v>
          </cell>
          <cell r="AQ49" t="str">
            <v>F313267-1</v>
          </cell>
          <cell r="AR49" t="str">
            <v>F313267-2</v>
          </cell>
          <cell r="AS49" t="str">
            <v>F313267-3</v>
          </cell>
          <cell r="BA49" t="str">
            <v>480x560</v>
          </cell>
          <cell r="BB49" t="str">
            <v>BHD</v>
          </cell>
          <cell r="BD49" t="str">
            <v>hàng gia công,để bên BHD</v>
          </cell>
        </row>
        <row r="50">
          <cell r="A50" t="str">
            <v>sp 221</v>
          </cell>
          <cell r="B50" t="str">
            <v>Cuộn bánh crispt Q2 Diamondfood</v>
          </cell>
          <cell r="E50">
            <v>6</v>
          </cell>
          <cell r="F50">
            <v>6</v>
          </cell>
          <cell r="AO50" t="str">
            <v>Công ty Diamond food</v>
          </cell>
          <cell r="AQ50" t="str">
            <v>1110358-1</v>
          </cell>
          <cell r="AR50" t="str">
            <v>1110358-2</v>
          </cell>
          <cell r="AS50" t="str">
            <v>1110358-3</v>
          </cell>
          <cell r="AT50" t="str">
            <v>1110358-4</v>
          </cell>
          <cell r="AU50" t="str">
            <v>1110358-5</v>
          </cell>
          <cell r="AV50" t="str">
            <v>1211122-6</v>
          </cell>
          <cell r="BA50" t="str">
            <v>450x750</v>
          </cell>
          <cell r="BB50" t="str">
            <v>M3</v>
          </cell>
        </row>
        <row r="51">
          <cell r="A51" t="str">
            <v>sp 225</v>
          </cell>
          <cell r="B51" t="str">
            <v>Cuộn bánh gấc Zenla Minh Phát</v>
          </cell>
          <cell r="C51">
            <v>7.28</v>
          </cell>
          <cell r="D51" t="str">
            <v>OPP mờ 20 x 620</v>
          </cell>
          <cell r="E51">
            <v>7</v>
          </cell>
          <cell r="F51">
            <v>7</v>
          </cell>
          <cell r="G51" t="str">
            <v xml:space="preserve">OPP </v>
          </cell>
          <cell r="H51">
            <v>0.1</v>
          </cell>
          <cell r="I51">
            <v>3</v>
          </cell>
          <cell r="J51">
            <v>0.1</v>
          </cell>
          <cell r="K51">
            <v>0.28000000000000003</v>
          </cell>
          <cell r="L51">
            <v>1.7</v>
          </cell>
          <cell r="M51">
            <v>0.6</v>
          </cell>
          <cell r="P51">
            <v>1</v>
          </cell>
          <cell r="Q51">
            <v>0.3</v>
          </cell>
          <cell r="S51">
            <v>0.2</v>
          </cell>
          <cell r="AE51" t="str">
            <v>MCPP 25 x 620</v>
          </cell>
          <cell r="AG51">
            <v>2.5388999999999998E-2</v>
          </cell>
          <cell r="AH51">
            <v>0.89466666666666672</v>
          </cell>
          <cell r="AJ51">
            <v>9530</v>
          </cell>
          <cell r="AK51">
            <v>2E-3</v>
          </cell>
          <cell r="AM51" t="str">
            <v>dạng cuộn 1000m</v>
          </cell>
          <cell r="AN51">
            <v>150</v>
          </cell>
          <cell r="AO51" t="str">
            <v>Công ty Minh Phát</v>
          </cell>
          <cell r="AQ51" t="str">
            <v>F121276G4-1</v>
          </cell>
          <cell r="AR51" t="str">
            <v>F105895-2</v>
          </cell>
          <cell r="AS51" t="str">
            <v>F121276G4-3</v>
          </cell>
          <cell r="AT51" t="str">
            <v>F105895-4</v>
          </cell>
          <cell r="AU51" t="str">
            <v>F121276G3-5</v>
          </cell>
          <cell r="AV51" t="str">
            <v>F105895-6</v>
          </cell>
          <cell r="AW51" t="str">
            <v>F121276G3-7</v>
          </cell>
          <cell r="BA51" t="str">
            <v>450x750</v>
          </cell>
          <cell r="BB51" t="str">
            <v>M3</v>
          </cell>
        </row>
        <row r="52">
          <cell r="A52" t="str">
            <v>sp 233</v>
          </cell>
          <cell r="B52" t="str">
            <v>Cuộn bánh đồng tiền Minh Phát</v>
          </cell>
          <cell r="C52">
            <v>7.1</v>
          </cell>
          <cell r="D52" t="str">
            <v>OPP 20x820</v>
          </cell>
          <cell r="E52">
            <v>7</v>
          </cell>
          <cell r="F52">
            <v>7</v>
          </cell>
          <cell r="G52" t="str">
            <v xml:space="preserve">OPP </v>
          </cell>
          <cell r="H52">
            <v>0.1</v>
          </cell>
          <cell r="I52">
            <v>2</v>
          </cell>
          <cell r="K52">
            <v>0.1</v>
          </cell>
          <cell r="L52">
            <v>1.8</v>
          </cell>
          <cell r="O52">
            <v>0.1</v>
          </cell>
          <cell r="P52">
            <v>1.2</v>
          </cell>
          <cell r="Q52">
            <v>1.7</v>
          </cell>
          <cell r="S52">
            <v>0.1</v>
          </cell>
          <cell r="AE52" t="str">
            <v>CPP 25x820</v>
          </cell>
          <cell r="AG52">
            <v>3.3578999999999998E-2</v>
          </cell>
          <cell r="AH52">
            <v>0.97199999999999998</v>
          </cell>
          <cell r="AJ52">
            <v>9530</v>
          </cell>
          <cell r="AK52">
            <v>2E-3</v>
          </cell>
          <cell r="AM52">
            <v>0</v>
          </cell>
          <cell r="AO52" t="str">
            <v>Công ty Minh Phát</v>
          </cell>
          <cell r="AQ52" t="str">
            <v>F106531-1</v>
          </cell>
          <cell r="AR52" t="str">
            <v>F106531-2</v>
          </cell>
          <cell r="AS52" t="str">
            <v>F106531-3</v>
          </cell>
          <cell r="AT52" t="str">
            <v>F106531-4</v>
          </cell>
          <cell r="AU52" t="str">
            <v>F106531-5</v>
          </cell>
          <cell r="AV52" t="str">
            <v>F106531-6</v>
          </cell>
          <cell r="AW52" t="str">
            <v>F106531-7</v>
          </cell>
          <cell r="BA52" t="str">
            <v>640x860</v>
          </cell>
          <cell r="BB52" t="str">
            <v>M3</v>
          </cell>
        </row>
        <row r="53">
          <cell r="A53" t="str">
            <v>sp 256</v>
          </cell>
          <cell r="B53" t="str">
            <v>Cuộn bánh khoai tây Q2 Diamondfood</v>
          </cell>
          <cell r="E53">
            <v>6</v>
          </cell>
          <cell r="F53">
            <v>6</v>
          </cell>
          <cell r="AO53" t="str">
            <v>Công ty Diamond Food</v>
          </cell>
          <cell r="AQ53" t="str">
            <v>1310340-1</v>
          </cell>
          <cell r="AR53" t="str">
            <v>1507600-2</v>
          </cell>
          <cell r="AS53" t="str">
            <v>1310340-3</v>
          </cell>
          <cell r="AT53" t="str">
            <v>1310340-5</v>
          </cell>
          <cell r="AU53" t="str">
            <v>1507600-4</v>
          </cell>
          <cell r="AV53" t="str">
            <v>1310340-6</v>
          </cell>
          <cell r="BA53" t="str">
            <v>450x840</v>
          </cell>
          <cell r="BB53" t="str">
            <v>M3</v>
          </cell>
        </row>
        <row r="54">
          <cell r="A54" t="str">
            <v>sp 267</v>
          </cell>
          <cell r="B54" t="str">
            <v>Cuộn màng bột canh Iot 7 màu Ngọc Châu</v>
          </cell>
          <cell r="C54">
            <v>0</v>
          </cell>
          <cell r="D54" t="str">
            <v>OPP 20x680</v>
          </cell>
          <cell r="E54">
            <v>7</v>
          </cell>
          <cell r="F54">
            <v>7</v>
          </cell>
          <cell r="G54" t="str">
            <v xml:space="preserve">OPP </v>
          </cell>
          <cell r="AE54" t="str">
            <v>CPP 30x680</v>
          </cell>
          <cell r="AG54">
            <v>3.0940000000000002E-2</v>
          </cell>
          <cell r="AH54">
            <v>0.89333333333333331</v>
          </cell>
          <cell r="AJ54">
            <v>9530</v>
          </cell>
          <cell r="AK54">
            <v>2E-3</v>
          </cell>
          <cell r="AM54">
            <v>0</v>
          </cell>
          <cell r="AO54" t="str">
            <v>Công ty Ngọc Châu</v>
          </cell>
          <cell r="AQ54" t="str">
            <v>F305616-1</v>
          </cell>
          <cell r="AR54" t="str">
            <v>F305616-2</v>
          </cell>
          <cell r="AS54" t="str">
            <v>F305616-3</v>
          </cell>
          <cell r="AT54" t="str">
            <v>F305616-4</v>
          </cell>
          <cell r="AU54" t="str">
            <v>F305616-5</v>
          </cell>
          <cell r="AV54" t="str">
            <v>F305616-6</v>
          </cell>
          <cell r="AW54" t="str">
            <v>F305616-7</v>
          </cell>
          <cell r="BA54" t="str">
            <v>525x750</v>
          </cell>
          <cell r="BB54" t="str">
            <v>M3</v>
          </cell>
        </row>
        <row r="55">
          <cell r="A55" t="str">
            <v>sp 268</v>
          </cell>
          <cell r="B55" t="str">
            <v>Cuộn bột canh gà 6 màu Ngọc Châu</v>
          </cell>
          <cell r="C55">
            <v>6.73</v>
          </cell>
          <cell r="D55" t="str">
            <v>OPP 20x500</v>
          </cell>
          <cell r="E55">
            <v>6</v>
          </cell>
          <cell r="F55">
            <v>6</v>
          </cell>
          <cell r="G55" t="str">
            <v xml:space="preserve">OPP </v>
          </cell>
          <cell r="H55">
            <v>0.3</v>
          </cell>
          <cell r="I55">
            <v>2.4</v>
          </cell>
          <cell r="J55">
            <v>0.1</v>
          </cell>
          <cell r="K55">
            <v>0.7</v>
          </cell>
          <cell r="L55">
            <v>1</v>
          </cell>
          <cell r="M55">
            <v>1.5</v>
          </cell>
          <cell r="P55">
            <v>0.73</v>
          </cell>
          <cell r="AE55" t="str">
            <v>CPP 30x500</v>
          </cell>
          <cell r="AG55">
            <v>2.2749999999999999E-2</v>
          </cell>
          <cell r="AH55">
            <v>0.65333333333333332</v>
          </cell>
          <cell r="AJ55">
            <v>9530</v>
          </cell>
          <cell r="AK55">
            <v>2E-3</v>
          </cell>
          <cell r="AM55">
            <v>0</v>
          </cell>
          <cell r="AO55" t="str">
            <v>Công ty Ngọc Châu</v>
          </cell>
          <cell r="AQ55" t="str">
            <v>F118014-1</v>
          </cell>
          <cell r="AR55" t="str">
            <v>F118014-2</v>
          </cell>
          <cell r="AS55" t="str">
            <v>F118014-3</v>
          </cell>
          <cell r="AT55" t="str">
            <v>F118014-4</v>
          </cell>
          <cell r="AU55" t="str">
            <v>F118014-5</v>
          </cell>
          <cell r="AV55" t="str">
            <v>F118014-6</v>
          </cell>
          <cell r="BA55" t="str">
            <v>750x480</v>
          </cell>
          <cell r="BB55" t="str">
            <v>M3</v>
          </cell>
        </row>
        <row r="56">
          <cell r="A56" t="str">
            <v>sp 270</v>
          </cell>
          <cell r="B56" t="str">
            <v>Cuộn màng bánh đậu xanh 200gr</v>
          </cell>
          <cell r="C56" t="e">
            <v>#N/A</v>
          </cell>
          <cell r="E56">
            <v>2</v>
          </cell>
          <cell r="F56">
            <v>2</v>
          </cell>
          <cell r="G56" t="e">
            <v>#N/A</v>
          </cell>
          <cell r="H56" t="e">
            <v>#N/A</v>
          </cell>
          <cell r="I56" t="e">
            <v>#N/A</v>
          </cell>
          <cell r="J56" t="e">
            <v>#N/A</v>
          </cell>
          <cell r="K56" t="e">
            <v>#N/A</v>
          </cell>
          <cell r="L56" t="e">
            <v>#N/A</v>
          </cell>
          <cell r="M56" t="e">
            <v>#N/A</v>
          </cell>
          <cell r="N56" t="e">
            <v>#N/A</v>
          </cell>
          <cell r="O56" t="e">
            <v>#N/A</v>
          </cell>
          <cell r="P56" t="e">
            <v>#N/A</v>
          </cell>
          <cell r="Q56" t="e">
            <v>#N/A</v>
          </cell>
          <cell r="R56" t="e">
            <v>#N/A</v>
          </cell>
          <cell r="S56" t="e">
            <v>#N/A</v>
          </cell>
          <cell r="T56" t="e">
            <v>#N/A</v>
          </cell>
          <cell r="U56" t="e">
            <v>#N/A</v>
          </cell>
          <cell r="V56" t="e">
            <v>#N/A</v>
          </cell>
          <cell r="W56" t="e">
            <v>#N/A</v>
          </cell>
          <cell r="X56" t="e">
            <v>#N/A</v>
          </cell>
          <cell r="Y56" t="e">
            <v>#N/A</v>
          </cell>
          <cell r="Z56" t="e">
            <v>#N/A</v>
          </cell>
          <cell r="AA56" t="e">
            <v>#N/A</v>
          </cell>
          <cell r="AB56" t="e">
            <v>#N/A</v>
          </cell>
          <cell r="AC56" t="e">
            <v>#N/A</v>
          </cell>
          <cell r="AD56" t="e">
            <v>#N/A</v>
          </cell>
          <cell r="AE56" t="e">
            <v>#N/A</v>
          </cell>
          <cell r="AF56" t="e">
            <v>#N/A</v>
          </cell>
          <cell r="AG56" t="e">
            <v>#N/A</v>
          </cell>
          <cell r="AH56" t="e">
            <v>#N/A</v>
          </cell>
          <cell r="AI56" t="e">
            <v>#N/A</v>
          </cell>
          <cell r="AJ56" t="e">
            <v>#N/A</v>
          </cell>
          <cell r="AK56" t="e">
            <v>#N/A</v>
          </cell>
          <cell r="AL56" t="e">
            <v>#N/A</v>
          </cell>
          <cell r="AM56" t="e">
            <v>#N/A</v>
          </cell>
          <cell r="AN56" t="e">
            <v>#N/A</v>
          </cell>
          <cell r="AO56" t="str">
            <v>Công ty Tiên Dung</v>
          </cell>
          <cell r="AQ56" t="str">
            <v>18091047-1</v>
          </cell>
          <cell r="AR56" t="str">
            <v>18091047-2</v>
          </cell>
          <cell r="BA56" t="str">
            <v>450x850</v>
          </cell>
          <cell r="BB56" t="str">
            <v>M3</v>
          </cell>
        </row>
        <row r="57">
          <cell r="A57" t="str">
            <v>sp 276</v>
          </cell>
          <cell r="B57" t="str">
            <v>Túi bánh đậu xanh 1 màu KT 150x220x90</v>
          </cell>
          <cell r="E57">
            <v>1</v>
          </cell>
          <cell r="F57">
            <v>1</v>
          </cell>
          <cell r="AO57" t="str">
            <v>Công ty Tiên Dung</v>
          </cell>
          <cell r="AQ57" t="str">
            <v>F106863-1</v>
          </cell>
          <cell r="BA57" t="str">
            <v>440x750</v>
          </cell>
          <cell r="BB57" t="str">
            <v>N1</v>
          </cell>
        </row>
        <row r="58">
          <cell r="A58" t="str">
            <v>sp 282</v>
          </cell>
          <cell r="B58" t="str">
            <v>Cuộn trà cozy hương táo Vĩnh Phúc</v>
          </cell>
          <cell r="C58">
            <v>7.8</v>
          </cell>
          <cell r="D58" t="str">
            <v>OPP mo 30x640</v>
          </cell>
          <cell r="E58">
            <v>6</v>
          </cell>
          <cell r="F58">
            <v>6</v>
          </cell>
          <cell r="G58" t="str">
            <v xml:space="preserve">OPP </v>
          </cell>
          <cell r="H58">
            <v>7.0000000000000007E-2</v>
          </cell>
          <cell r="I58">
            <v>2.4</v>
          </cell>
          <cell r="J58">
            <v>0.3</v>
          </cell>
          <cell r="K58">
            <v>0.22</v>
          </cell>
          <cell r="L58">
            <v>0.76</v>
          </cell>
          <cell r="M58">
            <v>1.17</v>
          </cell>
          <cell r="P58">
            <v>0.68</v>
          </cell>
          <cell r="Q58">
            <v>2.2000000000000002</v>
          </cell>
          <cell r="AE58" t="str">
            <v>MCPP 25x640</v>
          </cell>
          <cell r="AG58">
            <v>3.2032000000000005E-2</v>
          </cell>
          <cell r="AH58">
            <v>0.84</v>
          </cell>
          <cell r="AJ58">
            <v>9530</v>
          </cell>
          <cell r="AK58">
            <v>2E-3</v>
          </cell>
          <cell r="AM58" t="str">
            <v>dạng cuộn 1500m</v>
          </cell>
          <cell r="AN58">
            <v>155</v>
          </cell>
          <cell r="AO58" t="str">
            <v>Công ty Vĩnh Phúc</v>
          </cell>
          <cell r="AQ58" t="str">
            <v>1412123-1</v>
          </cell>
          <cell r="AR58" t="str">
            <v>1412123-2</v>
          </cell>
          <cell r="AS58" t="str">
            <v>1412123-3</v>
          </cell>
          <cell r="AT58" t="str">
            <v>1412123-4</v>
          </cell>
          <cell r="AU58" t="str">
            <v>1412123-5</v>
          </cell>
          <cell r="AV58" t="str">
            <v>20120111-6</v>
          </cell>
          <cell r="BA58" t="str">
            <v>462x750</v>
          </cell>
          <cell r="BB58" t="str">
            <v>A1</v>
          </cell>
        </row>
        <row r="59">
          <cell r="A59" t="str">
            <v>sp 289</v>
          </cell>
          <cell r="B59" t="str">
            <v>Túi chè 10g loại 2</v>
          </cell>
          <cell r="E59">
            <v>1</v>
          </cell>
          <cell r="F59">
            <v>1</v>
          </cell>
          <cell r="AO59" t="str">
            <v>Công ty Vĩnh Phúc</v>
          </cell>
          <cell r="BC59" t="str">
            <v>Dùng trục sp 1062</v>
          </cell>
        </row>
        <row r="60">
          <cell r="A60" t="str">
            <v>sp 301</v>
          </cell>
          <cell r="B60" t="str">
            <v>Cuộn bánh bao nhân thập cẩm 300gr Phú Mỹ</v>
          </cell>
          <cell r="C60">
            <v>5.55</v>
          </cell>
          <cell r="D60" t="str">
            <v>OPP 20x730</v>
          </cell>
          <cell r="E60">
            <v>7</v>
          </cell>
          <cell r="F60">
            <v>7</v>
          </cell>
          <cell r="G60" t="str">
            <v xml:space="preserve">OPP </v>
          </cell>
          <cell r="H60">
            <v>0.2</v>
          </cell>
          <cell r="I60">
            <v>3.3</v>
          </cell>
          <cell r="J60">
            <v>0.05</v>
          </cell>
          <cell r="K60">
            <v>0.1</v>
          </cell>
          <cell r="L60">
            <v>0.2</v>
          </cell>
          <cell r="M60">
            <v>0.3</v>
          </cell>
          <cell r="P60">
            <v>0.5</v>
          </cell>
          <cell r="S60">
            <v>0.1</v>
          </cell>
          <cell r="T60">
            <v>0.8</v>
          </cell>
          <cell r="AE60" t="str">
            <v>PE 70x730</v>
          </cell>
          <cell r="AG60">
            <v>6.0553500000000017E-2</v>
          </cell>
          <cell r="AH60">
            <v>1.056</v>
          </cell>
          <cell r="AJ60">
            <v>9530</v>
          </cell>
          <cell r="AK60">
            <v>2.2000000000000001E-3</v>
          </cell>
          <cell r="AM60">
            <v>0</v>
          </cell>
          <cell r="AO60" t="str">
            <v>Công ty Phú Mỹ</v>
          </cell>
          <cell r="AQ60" t="str">
            <v>18056366-1</v>
          </cell>
          <cell r="AR60" t="str">
            <v>18056366-2</v>
          </cell>
          <cell r="AS60" t="str">
            <v>1503149-3</v>
          </cell>
          <cell r="AT60" t="str">
            <v>1503149-4</v>
          </cell>
          <cell r="AU60" t="str">
            <v>1503149-5</v>
          </cell>
          <cell r="AV60" t="str">
            <v>1503149-6</v>
          </cell>
          <cell r="AW60" t="str">
            <v>1503149-7</v>
          </cell>
          <cell r="BA60" t="str">
            <v>532x850</v>
          </cell>
          <cell r="BB60" t="str">
            <v>V1</v>
          </cell>
        </row>
        <row r="61">
          <cell r="A61" t="str">
            <v>sp 302</v>
          </cell>
          <cell r="B61" t="str">
            <v>Túi trà xanh đặc sản Thái Nguyên 10gr loại 1</v>
          </cell>
          <cell r="C61">
            <v>0</v>
          </cell>
          <cell r="D61" t="str">
            <v>PET 12x700</v>
          </cell>
          <cell r="E61">
            <v>2</v>
          </cell>
          <cell r="F61">
            <v>2</v>
          </cell>
          <cell r="G61" t="str">
            <v xml:space="preserve">PET </v>
          </cell>
          <cell r="AM61">
            <v>0</v>
          </cell>
          <cell r="AO61" t="str">
            <v>Bùi Văn Sỹ</v>
          </cell>
          <cell r="AQ61" t="str">
            <v>1503501-1</v>
          </cell>
          <cell r="AR61" t="str">
            <v>1503501-2</v>
          </cell>
          <cell r="BA61" t="str">
            <v>460x750</v>
          </cell>
          <cell r="BB61" t="str">
            <v>F1</v>
          </cell>
        </row>
        <row r="62">
          <cell r="A62" t="str">
            <v>sp 305</v>
          </cell>
          <cell r="B62" t="str">
            <v>Cuộn bánh bao chay trắng 300gr Phú Mỹ</v>
          </cell>
          <cell r="C62">
            <v>6.1</v>
          </cell>
          <cell r="D62" t="str">
            <v>BOPP 20x730</v>
          </cell>
          <cell r="E62">
            <v>4</v>
          </cell>
          <cell r="F62">
            <v>4</v>
          </cell>
          <cell r="G62" t="str">
            <v>BOPP</v>
          </cell>
          <cell r="I62">
            <v>3.5</v>
          </cell>
          <cell r="L62">
            <v>2.1</v>
          </cell>
          <cell r="P62">
            <v>0.5</v>
          </cell>
          <cell r="AE62" t="str">
            <v>PE 70x730</v>
          </cell>
          <cell r="AG62">
            <v>6.0553500000000017E-2</v>
          </cell>
          <cell r="AH62">
            <v>1.1039999999999999</v>
          </cell>
          <cell r="AJ62">
            <v>9530</v>
          </cell>
          <cell r="AK62">
            <v>2.3E-3</v>
          </cell>
          <cell r="AM62">
            <v>0</v>
          </cell>
          <cell r="AO62" t="str">
            <v>Công ty Phú Mỹ</v>
          </cell>
          <cell r="AQ62" t="str">
            <v>1312408-1</v>
          </cell>
          <cell r="AR62" t="str">
            <v>1503733-2</v>
          </cell>
          <cell r="AS62" t="str">
            <v>1312408-3</v>
          </cell>
          <cell r="AT62" t="str">
            <v>1804180-4</v>
          </cell>
          <cell r="BA62" t="str">
            <v>532x850</v>
          </cell>
          <cell r="BB62" t="str">
            <v>V1</v>
          </cell>
        </row>
        <row r="63">
          <cell r="A63" t="str">
            <v>sp 313</v>
          </cell>
          <cell r="B63" t="str">
            <v>Túi thuốc trừ sâu sieubem 777WP 15gr Hòa Bình</v>
          </cell>
          <cell r="C63">
            <v>0</v>
          </cell>
          <cell r="D63" t="str">
            <v>PET 12x796</v>
          </cell>
          <cell r="E63">
            <v>7</v>
          </cell>
          <cell r="F63">
            <v>7</v>
          </cell>
          <cell r="G63" t="str">
            <v xml:space="preserve">PET </v>
          </cell>
          <cell r="AE63" t="str">
            <v>MPET 12x796</v>
          </cell>
          <cell r="AF63" t="str">
            <v>PE 75x796</v>
          </cell>
          <cell r="AJ63">
            <v>9530</v>
          </cell>
          <cell r="AK63" t="str">
            <v>0.006 (0.003; 0.003)</v>
          </cell>
          <cell r="AM63">
            <v>0</v>
          </cell>
          <cell r="AO63" t="str">
            <v>Công ty Quốc tế Hòa Bình</v>
          </cell>
          <cell r="AQ63" t="str">
            <v>1503599-1</v>
          </cell>
          <cell r="AR63" t="str">
            <v>1503599-2</v>
          </cell>
          <cell r="AS63" t="str">
            <v>1503599-3</v>
          </cell>
          <cell r="AT63" t="str">
            <v>1503599-4</v>
          </cell>
          <cell r="AU63" t="str">
            <v>1503599-5</v>
          </cell>
          <cell r="AV63" t="str">
            <v>1503599-6</v>
          </cell>
          <cell r="AW63" t="str">
            <v>1503599-7</v>
          </cell>
          <cell r="BA63" t="str">
            <v>500x875</v>
          </cell>
          <cell r="BB63" t="str">
            <v>T1</v>
          </cell>
        </row>
        <row r="64">
          <cell r="A64" t="str">
            <v>sp 315</v>
          </cell>
          <cell r="B64" t="str">
            <v>Cuộn thuốc trừ sâu Sadamir 200WP 8gr Hòa Bình</v>
          </cell>
          <cell r="C64">
            <v>8.3600000000000012</v>
          </cell>
          <cell r="D64" t="str">
            <v>PET 12x796</v>
          </cell>
          <cell r="E64">
            <v>6</v>
          </cell>
          <cell r="F64">
            <v>6</v>
          </cell>
          <cell r="G64" t="str">
            <v xml:space="preserve">PET </v>
          </cell>
          <cell r="H64">
            <v>0.1</v>
          </cell>
          <cell r="I64">
            <v>2.9</v>
          </cell>
          <cell r="J64">
            <v>0.1</v>
          </cell>
          <cell r="K64">
            <v>0.2</v>
          </cell>
          <cell r="L64">
            <v>2.6</v>
          </cell>
          <cell r="M64">
            <v>1.7</v>
          </cell>
          <cell r="O64">
            <v>0.76</v>
          </cell>
          <cell r="AE64" t="str">
            <v>MPET 12x800</v>
          </cell>
          <cell r="AF64" t="str">
            <v>PE 75x800</v>
          </cell>
          <cell r="AG64">
            <v>8.2380000000000009E-2</v>
          </cell>
          <cell r="AH64">
            <v>1.2052</v>
          </cell>
          <cell r="AI64">
            <v>1.2052</v>
          </cell>
          <cell r="AJ64">
            <v>9530</v>
          </cell>
          <cell r="AK64" t="str">
            <v>0,0046(0,0023;0,0023)</v>
          </cell>
          <cell r="AM64" t="str">
            <v>dạng cuộn 500m</v>
          </cell>
          <cell r="AN64">
            <v>194</v>
          </cell>
          <cell r="AO64" t="str">
            <v>Công ty Quốc tế Hòa Bình</v>
          </cell>
          <cell r="AQ64" t="str">
            <v>19070659-1</v>
          </cell>
          <cell r="AR64" t="str">
            <v>1504564-2</v>
          </cell>
          <cell r="AS64" t="str">
            <v>1504564-3</v>
          </cell>
          <cell r="AT64" t="str">
            <v>1504564-4</v>
          </cell>
          <cell r="AU64" t="str">
            <v>1504564-5</v>
          </cell>
          <cell r="AV64" t="str">
            <v>1504564-6</v>
          </cell>
          <cell r="BA64" t="str">
            <v>500x860</v>
          </cell>
          <cell r="BB64" t="str">
            <v>T1</v>
          </cell>
        </row>
        <row r="65">
          <cell r="A65" t="str">
            <v>sp 316</v>
          </cell>
          <cell r="B65" t="str">
            <v>Túi thuốc trừ sâu Sadamir 200WP 100gr Hòa Bình</v>
          </cell>
          <cell r="C65">
            <v>0</v>
          </cell>
          <cell r="D65" t="str">
            <v>PET 12x620</v>
          </cell>
          <cell r="E65">
            <v>7</v>
          </cell>
          <cell r="F65">
            <v>6</v>
          </cell>
          <cell r="G65" t="str">
            <v xml:space="preserve">PET </v>
          </cell>
          <cell r="AE65" t="str">
            <v>MPET 12x620</v>
          </cell>
          <cell r="AF65" t="str">
            <v>PE 75x620</v>
          </cell>
          <cell r="AJ65">
            <v>9530</v>
          </cell>
          <cell r="AK65" t="str">
            <v>0.0025;0.0032</v>
          </cell>
          <cell r="AM65">
            <v>0</v>
          </cell>
          <cell r="AO65" t="str">
            <v>Công ty Quốc tế Hòa Bình</v>
          </cell>
          <cell r="AQ65" t="str">
            <v>1902155-1</v>
          </cell>
          <cell r="AR65" t="str">
            <v>1504563-2</v>
          </cell>
          <cell r="AS65" t="str">
            <v>1504563-3</v>
          </cell>
          <cell r="AT65" t="str">
            <v>1504563-4</v>
          </cell>
          <cell r="AU65" t="str">
            <v>1504563-5</v>
          </cell>
          <cell r="AV65" t="str">
            <v>1504563-6</v>
          </cell>
          <cell r="AW65" t="str">
            <v>1504563-1 cây củ</v>
          </cell>
          <cell r="BA65" t="str">
            <v>440x750</v>
          </cell>
          <cell r="BB65" t="str">
            <v>T1</v>
          </cell>
        </row>
        <row r="66">
          <cell r="A66" t="str">
            <v>sp 319</v>
          </cell>
          <cell r="B66" t="str">
            <v>Cuộn trà cozy hương đào</v>
          </cell>
          <cell r="C66">
            <v>6.92</v>
          </cell>
          <cell r="D66" t="str">
            <v>BOPP mo 30x640</v>
          </cell>
          <cell r="E66">
            <v>5</v>
          </cell>
          <cell r="F66">
            <v>6</v>
          </cell>
          <cell r="G66" t="str">
            <v>BOPP</v>
          </cell>
          <cell r="H66">
            <v>0.2</v>
          </cell>
          <cell r="I66">
            <v>2.5</v>
          </cell>
          <cell r="J66">
            <v>0.12</v>
          </cell>
          <cell r="K66">
            <v>0.5</v>
          </cell>
          <cell r="L66">
            <v>1</v>
          </cell>
          <cell r="M66">
            <v>0.8</v>
          </cell>
          <cell r="P66">
            <v>0.45</v>
          </cell>
          <cell r="Q66">
            <v>0.1</v>
          </cell>
          <cell r="R66">
            <v>0.05</v>
          </cell>
          <cell r="T66">
            <v>1.2</v>
          </cell>
          <cell r="AE66" t="str">
            <v>MCPP 25x640</v>
          </cell>
          <cell r="AG66">
            <v>3.2032000000000005E-2</v>
          </cell>
          <cell r="AH66">
            <v>0.92400000000000004</v>
          </cell>
          <cell r="AJ66">
            <v>9530</v>
          </cell>
          <cell r="AK66">
            <v>2E-3</v>
          </cell>
          <cell r="AM66">
            <v>0</v>
          </cell>
          <cell r="AO66" t="str">
            <v>Công ty Vĩnh Phúc</v>
          </cell>
          <cell r="AQ66" t="str">
            <v>1803378-1</v>
          </cell>
          <cell r="AR66" t="str">
            <v>1908187-2</v>
          </cell>
          <cell r="AS66" t="str">
            <v>1908187-3</v>
          </cell>
          <cell r="AT66" t="str">
            <v>1803378-4</v>
          </cell>
          <cell r="AU66" t="str">
            <v>1803378-5</v>
          </cell>
          <cell r="AV66" t="str">
            <v>1908217-6</v>
          </cell>
          <cell r="BA66" t="str">
            <v>462x750</v>
          </cell>
          <cell r="BB66" t="str">
            <v>A1</v>
          </cell>
          <cell r="BC66" t="str">
            <v>Trắng  cây số 6 in chung cozy quế sp 083</v>
          </cell>
        </row>
        <row r="67">
          <cell r="A67" t="str">
            <v>sp 320</v>
          </cell>
          <cell r="B67" t="str">
            <v>túi bột đậu xanh có sữa 500gr Tiên Dung KT210x260</v>
          </cell>
          <cell r="C67">
            <v>8.5</v>
          </cell>
          <cell r="D67" t="str">
            <v>BOPP 20x540</v>
          </cell>
          <cell r="E67">
            <v>6</v>
          </cell>
          <cell r="F67">
            <v>6</v>
          </cell>
          <cell r="G67" t="str">
            <v>BOPP</v>
          </cell>
          <cell r="H67">
            <v>0.1</v>
          </cell>
          <cell r="I67">
            <v>3.6</v>
          </cell>
          <cell r="J67">
            <v>0.2</v>
          </cell>
          <cell r="K67">
            <v>0.1</v>
          </cell>
          <cell r="L67">
            <v>4.5</v>
          </cell>
          <cell r="AE67" t="str">
            <v>PE su 60x540</v>
          </cell>
          <cell r="AG67">
            <v>3.9798E-2</v>
          </cell>
          <cell r="AH67">
            <v>0.88333333333333341</v>
          </cell>
          <cell r="AJ67">
            <v>9530</v>
          </cell>
          <cell r="AK67">
            <v>2.5000000000000001E-3</v>
          </cell>
          <cell r="AM67">
            <v>0</v>
          </cell>
          <cell r="AO67" t="str">
            <v>Công ty Tiên Dung</v>
          </cell>
          <cell r="AQ67" t="str">
            <v>F110953-1</v>
          </cell>
          <cell r="AR67" t="str">
            <v>F110953-2</v>
          </cell>
          <cell r="AS67" t="str">
            <v>F110953-3</v>
          </cell>
          <cell r="AT67" t="str">
            <v>F110953-4</v>
          </cell>
          <cell r="AU67" t="str">
            <v>F110953-5</v>
          </cell>
          <cell r="AV67" t="str">
            <v>F110953-6</v>
          </cell>
          <cell r="BA67" t="str">
            <v>420x750</v>
          </cell>
          <cell r="BB67" t="str">
            <v>N1</v>
          </cell>
        </row>
        <row r="75">
          <cell r="A75" t="str">
            <v>sp 336</v>
          </cell>
          <cell r="B75" t="str">
            <v>Túi muối sạch thượng hạng 200gr hanufood</v>
          </cell>
          <cell r="C75">
            <v>0</v>
          </cell>
          <cell r="E75" t="str">
            <v>sp 148</v>
          </cell>
          <cell r="F75">
            <v>5</v>
          </cell>
          <cell r="G75" t="str">
            <v/>
          </cell>
          <cell r="AM75">
            <v>0</v>
          </cell>
          <cell r="AO75" t="str">
            <v>Công ty VISACO</v>
          </cell>
          <cell r="AQ75" t="str">
            <v>1412417-1</v>
          </cell>
          <cell r="AR75" t="str">
            <v>1308276-2</v>
          </cell>
          <cell r="AS75" t="str">
            <v>1308276-3</v>
          </cell>
          <cell r="AT75" t="str">
            <v>1308276-4</v>
          </cell>
          <cell r="AU75" t="str">
            <v>18011108-5</v>
          </cell>
          <cell r="BA75" t="str">
            <v>480x740</v>
          </cell>
          <cell r="BB75" t="str">
            <v>N1</v>
          </cell>
          <cell r="BC75" t="str">
            <v>in chung bộ sp 148 + 403</v>
          </cell>
        </row>
        <row r="76">
          <cell r="A76" t="str">
            <v>sp 337</v>
          </cell>
          <cell r="B76" t="str">
            <v>Túi lúa lai nhị ưu 838 1kg Mahyco</v>
          </cell>
          <cell r="C76">
            <v>6.660000000000001</v>
          </cell>
          <cell r="D76" t="str">
            <v>BOPP 20x440</v>
          </cell>
          <cell r="E76">
            <v>6</v>
          </cell>
          <cell r="F76">
            <v>6</v>
          </cell>
          <cell r="G76" t="str">
            <v>BOPP</v>
          </cell>
          <cell r="H76">
            <v>0.1</v>
          </cell>
          <cell r="I76">
            <v>3.2</v>
          </cell>
          <cell r="J76">
            <v>0.5</v>
          </cell>
          <cell r="L76">
            <v>0.5</v>
          </cell>
          <cell r="M76">
            <v>1.2</v>
          </cell>
          <cell r="O76">
            <v>0.1</v>
          </cell>
          <cell r="P76">
            <v>0.2</v>
          </cell>
          <cell r="Q76">
            <v>0.5</v>
          </cell>
          <cell r="R76">
            <v>0.36</v>
          </cell>
          <cell r="AE76" t="str">
            <v>PE 90x440</v>
          </cell>
          <cell r="AG76">
            <v>4.4638000000000004E-2</v>
          </cell>
          <cell r="AH76">
            <v>0.71666666666666667</v>
          </cell>
          <cell r="AJ76">
            <v>9530</v>
          </cell>
          <cell r="AK76">
            <v>2.5000000000000001E-3</v>
          </cell>
          <cell r="AM76" t="str">
            <v>Hàn lưng</v>
          </cell>
          <cell r="AO76" t="str">
            <v>Công ty Mahyco</v>
          </cell>
          <cell r="AQ76" t="str">
            <v>18101259-1</v>
          </cell>
          <cell r="AR76" t="str">
            <v>15041067-2</v>
          </cell>
          <cell r="AS76" t="str">
            <v>15041067-3</v>
          </cell>
          <cell r="AT76" t="str">
            <v>15041067-4</v>
          </cell>
          <cell r="AU76" t="str">
            <v>15041067-5</v>
          </cell>
          <cell r="AV76" t="str">
            <v>15041067-6</v>
          </cell>
          <cell r="BA76" t="str">
            <v>600x750</v>
          </cell>
          <cell r="BB76" t="str">
            <v>N1</v>
          </cell>
        </row>
        <row r="77">
          <cell r="A77" t="str">
            <v>sp 342</v>
          </cell>
          <cell r="B77" t="str">
            <v>Túi hương thơm thảo mộc Liên Đức KT480x490</v>
          </cell>
          <cell r="C77">
            <v>2.7</v>
          </cell>
          <cell r="D77" t="str">
            <v>OPP 20 x 500</v>
          </cell>
          <cell r="E77">
            <v>5</v>
          </cell>
          <cell r="F77">
            <v>5</v>
          </cell>
          <cell r="G77" t="str">
            <v xml:space="preserve">OPP </v>
          </cell>
          <cell r="I77">
            <v>1.1000000000000001</v>
          </cell>
          <cell r="J77">
            <v>0.1</v>
          </cell>
          <cell r="L77">
            <v>0.5</v>
          </cell>
          <cell r="P77">
            <v>0.9</v>
          </cell>
          <cell r="S77">
            <v>0.1</v>
          </cell>
          <cell r="AE77" t="str">
            <v>CPP 30 x 500</v>
          </cell>
          <cell r="AG77">
            <v>2.2749999999999999E-2</v>
          </cell>
          <cell r="AH77">
            <v>0.65333333333333332</v>
          </cell>
          <cell r="AJ77">
            <v>9530</v>
          </cell>
          <cell r="AK77">
            <v>2E-3</v>
          </cell>
          <cell r="AM77">
            <v>0</v>
          </cell>
          <cell r="AO77" t="str">
            <v>DNTN Bảy lương (Tâm Đức)</v>
          </cell>
          <cell r="AQ77" t="str">
            <v>1505534-1</v>
          </cell>
          <cell r="AR77" t="str">
            <v>1505534-2</v>
          </cell>
          <cell r="AS77" t="str">
            <v>1505534-3</v>
          </cell>
          <cell r="AT77" t="str">
            <v>1505534-4</v>
          </cell>
          <cell r="AU77" t="str">
            <v>1505534-5</v>
          </cell>
          <cell r="BA77" t="str">
            <v>490x750</v>
          </cell>
          <cell r="BB77" t="str">
            <v>N1</v>
          </cell>
        </row>
        <row r="78">
          <cell r="A78" t="str">
            <v>sp 344</v>
          </cell>
          <cell r="B78" t="str">
            <v>Túi muối biển xanh 700gr hanufood KT340x240</v>
          </cell>
          <cell r="C78">
            <v>4.43</v>
          </cell>
          <cell r="D78" t="str">
            <v>OPP 20x700</v>
          </cell>
          <cell r="E78">
            <v>5</v>
          </cell>
          <cell r="F78">
            <v>5</v>
          </cell>
          <cell r="G78" t="str">
            <v xml:space="preserve">OPP </v>
          </cell>
          <cell r="H78">
            <v>0.05</v>
          </cell>
          <cell r="I78">
            <v>1.8</v>
          </cell>
          <cell r="J78">
            <v>0.2</v>
          </cell>
          <cell r="L78">
            <v>1.8</v>
          </cell>
          <cell r="O78">
            <v>0.3</v>
          </cell>
          <cell r="P78">
            <v>0.1</v>
          </cell>
          <cell r="Q78">
            <v>0.18</v>
          </cell>
          <cell r="AE78" t="str">
            <v>PE 65x700</v>
          </cell>
          <cell r="AG78">
            <v>5.4827500000000001E-2</v>
          </cell>
          <cell r="AH78">
            <v>1.012</v>
          </cell>
          <cell r="AJ78">
            <v>9530</v>
          </cell>
          <cell r="AK78">
            <v>2.1999999999999999E-2</v>
          </cell>
          <cell r="AM78" t="str">
            <v>túi ba biên</v>
          </cell>
          <cell r="AN78">
            <v>240</v>
          </cell>
          <cell r="AO78" t="str">
            <v>Công ty Hanufood</v>
          </cell>
          <cell r="AQ78" t="str">
            <v>20100917-1</v>
          </cell>
          <cell r="AR78" t="str">
            <v>20100917-2</v>
          </cell>
          <cell r="AS78" t="str">
            <v>20100917-3</v>
          </cell>
          <cell r="AT78" t="str">
            <v>1505663-4</v>
          </cell>
          <cell r="AU78" t="str">
            <v>1805776-5</v>
          </cell>
          <cell r="BA78" t="str">
            <v>480x850</v>
          </cell>
          <cell r="BB78" t="str">
            <v>N1</v>
          </cell>
        </row>
        <row r="79">
          <cell r="A79" t="str">
            <v>sp 347</v>
          </cell>
          <cell r="B79" t="str">
            <v>Túi thuốc vietvet 100gr Đất Việt</v>
          </cell>
          <cell r="C79">
            <v>0</v>
          </cell>
          <cell r="D79" t="str">
            <v>BOPP 20 x 700</v>
          </cell>
          <cell r="E79">
            <v>1</v>
          </cell>
          <cell r="F79">
            <v>1</v>
          </cell>
          <cell r="G79" t="str">
            <v>BOPP</v>
          </cell>
          <cell r="AE79" t="str">
            <v>Al 6x700</v>
          </cell>
          <cell r="AF79" t="str">
            <v>PE 70x710</v>
          </cell>
          <cell r="AJ79">
            <v>9530</v>
          </cell>
          <cell r="AK79" t="str">
            <v>0,0053(0,0023;0,003)</v>
          </cell>
          <cell r="AM79">
            <v>0</v>
          </cell>
          <cell r="AO79" t="str">
            <v>Công ty Đất Việt</v>
          </cell>
          <cell r="AQ79" t="str">
            <v>1505773-1</v>
          </cell>
          <cell r="BA79" t="str">
            <v>480x850</v>
          </cell>
          <cell r="BB79" t="str">
            <v>N1</v>
          </cell>
        </row>
        <row r="80">
          <cell r="A80" t="str">
            <v>sp 348</v>
          </cell>
          <cell r="B80" t="str">
            <v>Cuộn thức ăn Cosvit 10gr Đất Việt</v>
          </cell>
          <cell r="C80">
            <v>0</v>
          </cell>
          <cell r="D80" t="str">
            <v>BOPP 20 x 700</v>
          </cell>
          <cell r="E80">
            <v>2</v>
          </cell>
          <cell r="F80">
            <v>2</v>
          </cell>
          <cell r="G80" t="str">
            <v>BOPP</v>
          </cell>
          <cell r="AE80" t="str">
            <v>Al 6x700</v>
          </cell>
          <cell r="AF80" t="str">
            <v>PE 70x710</v>
          </cell>
          <cell r="AJ80">
            <v>9530</v>
          </cell>
          <cell r="AK80" t="str">
            <v>0,0053(0,0023;0,003)</v>
          </cell>
          <cell r="AM80">
            <v>0</v>
          </cell>
          <cell r="AO80" t="str">
            <v>Công ty Đất Việt</v>
          </cell>
          <cell r="AQ80" t="str">
            <v>1505772-1</v>
          </cell>
          <cell r="AR80" t="str">
            <v>1505772-2</v>
          </cell>
          <cell r="BA80" t="str">
            <v>480x850</v>
          </cell>
          <cell r="BB80" t="str">
            <v>N1</v>
          </cell>
        </row>
        <row r="82">
          <cell r="A82" t="str">
            <v>sp 351</v>
          </cell>
          <cell r="B82" t="str">
            <v>Túi thuốc menbio vietvet 500gr Đất Việt</v>
          </cell>
          <cell r="C82">
            <v>4.21</v>
          </cell>
          <cell r="D82" t="str">
            <v>BOPP 20x780</v>
          </cell>
          <cell r="E82">
            <v>3</v>
          </cell>
          <cell r="F82">
            <v>3</v>
          </cell>
          <cell r="G82" t="str">
            <v>BOPP</v>
          </cell>
          <cell r="I82">
            <v>3</v>
          </cell>
          <cell r="J82">
            <v>0.11</v>
          </cell>
          <cell r="P82">
            <v>0.8</v>
          </cell>
          <cell r="R82">
            <v>0.3</v>
          </cell>
          <cell r="AE82" t="str">
            <v>MPET 12x780</v>
          </cell>
          <cell r="AF82" t="str">
            <v>PE 65x780</v>
          </cell>
          <cell r="AG82">
            <v>7.4197500000000013E-2</v>
          </cell>
          <cell r="AH82">
            <v>1.1806666666666665</v>
          </cell>
          <cell r="AI82">
            <v>1.54</v>
          </cell>
          <cell r="AJ82">
            <v>9530</v>
          </cell>
          <cell r="AK82" t="str">
            <v>0,0053(0,0023;0,003)</v>
          </cell>
          <cell r="AM82" t="str">
            <v>3 biên</v>
          </cell>
          <cell r="AO82" t="str">
            <v>Công ty Đất Việt</v>
          </cell>
          <cell r="AQ82" t="str">
            <v>20080781-1</v>
          </cell>
          <cell r="AR82" t="str">
            <v>20080781-2</v>
          </cell>
          <cell r="AS82" t="str">
            <v>1506198-3</v>
          </cell>
          <cell r="BA82" t="str">
            <v>440x870</v>
          </cell>
          <cell r="BB82" t="str">
            <v>N1</v>
          </cell>
          <cell r="BC82" t="str">
            <v xml:space="preserve">trục xanh 3 in vs sp 469 </v>
          </cell>
        </row>
        <row r="83">
          <cell r="A83" t="str">
            <v>sp 353</v>
          </cell>
          <cell r="B83" t="str">
            <v>Túi muối biển xanh 500gr hanufood KT310x215</v>
          </cell>
          <cell r="C83">
            <v>2.6499999999999995</v>
          </cell>
          <cell r="D83" t="str">
            <v>BOPP 20x640</v>
          </cell>
          <cell r="E83">
            <v>5</v>
          </cell>
          <cell r="F83">
            <v>5</v>
          </cell>
          <cell r="G83" t="str">
            <v>BOPP</v>
          </cell>
          <cell r="H83">
            <v>0.1</v>
          </cell>
          <cell r="I83">
            <v>0.6</v>
          </cell>
          <cell r="J83">
            <v>1.4</v>
          </cell>
          <cell r="L83">
            <v>0.2</v>
          </cell>
          <cell r="M83">
            <v>0.3</v>
          </cell>
          <cell r="P83">
            <v>0.05</v>
          </cell>
          <cell r="AE83" t="str">
            <v>PE 65x640</v>
          </cell>
          <cell r="AG83">
            <v>5.0128000000000006E-2</v>
          </cell>
          <cell r="AH83">
            <v>1.05</v>
          </cell>
          <cell r="AJ83">
            <v>9530</v>
          </cell>
          <cell r="AK83">
            <v>2.5000000000000001E-3</v>
          </cell>
          <cell r="AM83" t="str">
            <v>Ba biên</v>
          </cell>
          <cell r="AO83" t="str">
            <v>Công ty Hanufood</v>
          </cell>
          <cell r="AQ83" t="str">
            <v>20100916-1</v>
          </cell>
          <cell r="AR83" t="str">
            <v>20100916-2</v>
          </cell>
          <cell r="AS83" t="str">
            <v>1909397-3</v>
          </cell>
          <cell r="AT83" t="str">
            <v>1909397-4</v>
          </cell>
          <cell r="AU83" t="str">
            <v>21040352-5</v>
          </cell>
          <cell r="BA83" t="str">
            <v>430x750</v>
          </cell>
          <cell r="BB83" t="str">
            <v>N1</v>
          </cell>
        </row>
        <row r="84">
          <cell r="A84" t="str">
            <v>sp 356</v>
          </cell>
          <cell r="B84" t="str">
            <v>Cuộn trà cozy hibicus Vĩnh Phúc</v>
          </cell>
          <cell r="E84">
            <v>4</v>
          </cell>
          <cell r="F84">
            <v>4</v>
          </cell>
          <cell r="AO84" t="str">
            <v>Công ty Vĩnh Phúc</v>
          </cell>
          <cell r="AQ84" t="str">
            <v>1507565-1</v>
          </cell>
          <cell r="AR84" t="str">
            <v>1507565-2</v>
          </cell>
          <cell r="AS84" t="str">
            <v>1507565-3</v>
          </cell>
          <cell r="AT84" t="str">
            <v>1507565-4</v>
          </cell>
          <cell r="BA84" t="str">
            <v>500x870</v>
          </cell>
          <cell r="BB84" t="str">
            <v>A1</v>
          </cell>
        </row>
        <row r="85">
          <cell r="A85" t="str">
            <v>sp 360</v>
          </cell>
          <cell r="B85" t="str">
            <v>Cuộn bánh bao sữa dừa 200gr Phú Mỹ</v>
          </cell>
          <cell r="C85">
            <v>5.5</v>
          </cell>
          <cell r="D85" t="str">
            <v>OPP 20x730</v>
          </cell>
          <cell r="E85">
            <v>7</v>
          </cell>
          <cell r="F85">
            <v>7</v>
          </cell>
          <cell r="G85" t="str">
            <v xml:space="preserve">OPP </v>
          </cell>
          <cell r="H85">
            <v>0.1</v>
          </cell>
          <cell r="I85">
            <v>2.8</v>
          </cell>
          <cell r="J85">
            <v>0.1</v>
          </cell>
          <cell r="K85">
            <v>0.2</v>
          </cell>
          <cell r="L85">
            <v>1.7</v>
          </cell>
          <cell r="M85">
            <v>0.4</v>
          </cell>
          <cell r="O85">
            <v>0.1</v>
          </cell>
          <cell r="S85">
            <v>0.1</v>
          </cell>
          <cell r="AE85" t="str">
            <v>PE 70x730</v>
          </cell>
          <cell r="AG85">
            <v>6.0553500000000017E-2</v>
          </cell>
          <cell r="AH85">
            <v>1.056</v>
          </cell>
          <cell r="AJ85">
            <v>9530</v>
          </cell>
          <cell r="AK85">
            <v>2.2000000000000001E-3</v>
          </cell>
          <cell r="AM85">
            <v>0</v>
          </cell>
          <cell r="AO85" t="str">
            <v>Công ty Phú Mỹ</v>
          </cell>
          <cell r="AQ85" t="str">
            <v>18121025-1</v>
          </cell>
          <cell r="AR85" t="str">
            <v>1609451-2</v>
          </cell>
          <cell r="AS85" t="str">
            <v>18121025-3</v>
          </cell>
          <cell r="AT85" t="str">
            <v>19120780-4</v>
          </cell>
          <cell r="AU85" t="str">
            <v>1503114-5</v>
          </cell>
          <cell r="AV85" t="str">
            <v>17121266-6</v>
          </cell>
          <cell r="AW85" t="str">
            <v>1611472-7</v>
          </cell>
          <cell r="BA85" t="str">
            <v>536x1000</v>
          </cell>
          <cell r="BB85" t="str">
            <v>V1</v>
          </cell>
        </row>
        <row r="86">
          <cell r="A86" t="str">
            <v>sp 361</v>
          </cell>
          <cell r="B86" t="str">
            <v>Cuộn bánh bao xá xíu 300gr Phú Mỹ</v>
          </cell>
          <cell r="C86">
            <v>6.07</v>
          </cell>
          <cell r="D86" t="str">
            <v>OPP 20x730</v>
          </cell>
          <cell r="E86">
            <v>6</v>
          </cell>
          <cell r="F86">
            <v>6</v>
          </cell>
          <cell r="G86" t="str">
            <v xml:space="preserve">OPP </v>
          </cell>
          <cell r="H86">
            <v>0.17</v>
          </cell>
          <cell r="I86">
            <v>2.2999999999999998</v>
          </cell>
          <cell r="J86">
            <v>0.1</v>
          </cell>
          <cell r="K86">
            <v>0.1</v>
          </cell>
          <cell r="L86">
            <v>0.2</v>
          </cell>
          <cell r="M86">
            <v>1.7</v>
          </cell>
          <cell r="O86" t="str">
            <v xml:space="preserve"> </v>
          </cell>
          <cell r="P86">
            <v>0.5</v>
          </cell>
          <cell r="Q86" t="str">
            <v xml:space="preserve"> </v>
          </cell>
          <cell r="V86">
            <v>1</v>
          </cell>
          <cell r="AE86" t="str">
            <v>PE 70x730</v>
          </cell>
          <cell r="AG86">
            <v>6.0553500000000017E-2</v>
          </cell>
          <cell r="AH86">
            <v>1.1039999999999999</v>
          </cell>
          <cell r="AJ86">
            <v>9530</v>
          </cell>
          <cell r="AK86">
            <v>2.3E-3</v>
          </cell>
          <cell r="AM86" t="str">
            <v>dạng cuộn 500m</v>
          </cell>
          <cell r="AN86">
            <v>355</v>
          </cell>
          <cell r="AO86" t="str">
            <v>Công ty Phú Mỹ</v>
          </cell>
          <cell r="AQ86" t="str">
            <v>21030934-1</v>
          </cell>
          <cell r="AR86" t="str">
            <v>21030934-2</v>
          </cell>
          <cell r="AS86" t="str">
            <v>20081393-3</v>
          </cell>
          <cell r="AT86" t="str">
            <v>1508114-4</v>
          </cell>
          <cell r="AU86" t="str">
            <v>1209324-5</v>
          </cell>
          <cell r="AV86" t="str">
            <v>1412194-6</v>
          </cell>
          <cell r="BA86" t="str">
            <v>532x1000</v>
          </cell>
          <cell r="BB86" t="str">
            <v>V1</v>
          </cell>
        </row>
        <row r="87">
          <cell r="A87" t="str">
            <v>sp 362</v>
          </cell>
          <cell r="B87" t="str">
            <v>Cuộn bánh bao chay khoai môn 200gr Phú Mỹ</v>
          </cell>
          <cell r="C87">
            <v>3.9000000000000004</v>
          </cell>
          <cell r="D87" t="str">
            <v>OPP 20x730</v>
          </cell>
          <cell r="E87">
            <v>7</v>
          </cell>
          <cell r="F87">
            <v>7</v>
          </cell>
          <cell r="G87" t="str">
            <v xml:space="preserve">OPP </v>
          </cell>
          <cell r="H87">
            <v>0.1</v>
          </cell>
          <cell r="I87">
            <v>2</v>
          </cell>
          <cell r="J87">
            <v>0.1</v>
          </cell>
          <cell r="K87">
            <v>0.7</v>
          </cell>
          <cell r="L87">
            <v>0.1</v>
          </cell>
          <cell r="M87">
            <v>0.7</v>
          </cell>
          <cell r="S87">
            <v>0.1</v>
          </cell>
          <cell r="T87">
            <v>0.1</v>
          </cell>
          <cell r="AE87" t="str">
            <v>PE 70x730</v>
          </cell>
          <cell r="AG87">
            <v>6.0553500000000017E-2</v>
          </cell>
          <cell r="AH87">
            <v>1.056</v>
          </cell>
          <cell r="AJ87">
            <v>9530</v>
          </cell>
          <cell r="AK87">
            <v>2.2000000000000001E-3</v>
          </cell>
          <cell r="AM87">
            <v>0</v>
          </cell>
          <cell r="AO87" t="str">
            <v>Công ty Phú Mỹ</v>
          </cell>
          <cell r="AQ87" t="str">
            <v>1804075-1</v>
          </cell>
          <cell r="AR87" t="str">
            <v>1804075-2</v>
          </cell>
          <cell r="AS87" t="str">
            <v>20081391-3</v>
          </cell>
          <cell r="AT87" t="str">
            <v>1406289-4</v>
          </cell>
          <cell r="AU87" t="str">
            <v>1510074-5</v>
          </cell>
          <cell r="AV87" t="str">
            <v>1412799-6</v>
          </cell>
          <cell r="AW87" t="str">
            <v>1711334-7</v>
          </cell>
          <cell r="BA87" t="str">
            <v>462x1000</v>
          </cell>
          <cell r="BB87" t="str">
            <v>V1</v>
          </cell>
        </row>
        <row r="88">
          <cell r="A88" t="str">
            <v>sp 363</v>
          </cell>
          <cell r="B88" t="str">
            <v>Cuộn bánh bao chay chiên 180gr Phú Mỹ</v>
          </cell>
          <cell r="C88">
            <v>5.7</v>
          </cell>
          <cell r="D88" t="str">
            <v>OPP 20x730</v>
          </cell>
          <cell r="E88">
            <v>6</v>
          </cell>
          <cell r="F88">
            <v>6</v>
          </cell>
          <cell r="G88" t="str">
            <v xml:space="preserve">OPP </v>
          </cell>
          <cell r="H88">
            <v>0.1</v>
          </cell>
          <cell r="I88">
            <v>2.6</v>
          </cell>
          <cell r="J88">
            <v>0.1</v>
          </cell>
          <cell r="K88">
            <v>0.2</v>
          </cell>
          <cell r="L88">
            <v>1.2</v>
          </cell>
          <cell r="M88">
            <v>1</v>
          </cell>
          <cell r="Q88">
            <v>0.5</v>
          </cell>
          <cell r="T88" t="str">
            <v xml:space="preserve"> </v>
          </cell>
          <cell r="AE88" t="str">
            <v>PE 70x730</v>
          </cell>
          <cell r="AG88">
            <v>6.0553500000000017E-2</v>
          </cell>
          <cell r="AH88">
            <v>1.056</v>
          </cell>
          <cell r="AJ88">
            <v>9530</v>
          </cell>
          <cell r="AK88">
            <v>2.2000000000000001E-3</v>
          </cell>
          <cell r="AM88" t="str">
            <v>dạng cuộn 500m</v>
          </cell>
          <cell r="AN88">
            <v>355</v>
          </cell>
          <cell r="AO88" t="str">
            <v>Công ty Phú Mỹ</v>
          </cell>
          <cell r="AQ88" t="str">
            <v>18071153-1</v>
          </cell>
          <cell r="AR88" t="str">
            <v>18071153-2</v>
          </cell>
          <cell r="AS88" t="str">
            <v>20081392-3</v>
          </cell>
          <cell r="AT88" t="str">
            <v>20121252-4</v>
          </cell>
          <cell r="AU88" t="str">
            <v>20121252-5</v>
          </cell>
          <cell r="AV88" t="str">
            <v>18071153-6</v>
          </cell>
          <cell r="BA88" t="str">
            <v>536x1000</v>
          </cell>
          <cell r="BB88" t="str">
            <v>V1</v>
          </cell>
        </row>
        <row r="89">
          <cell r="A89" t="str">
            <v>sp 366</v>
          </cell>
          <cell r="B89" t="str">
            <v xml:space="preserve">Túi thuốc trừ sâu Danobull 50WG-13g Việt Đức </v>
          </cell>
          <cell r="E89">
            <v>6</v>
          </cell>
          <cell r="F89">
            <v>6</v>
          </cell>
          <cell r="AO89" t="str">
            <v>Công ty Việt Đức</v>
          </cell>
          <cell r="AQ89" t="str">
            <v>F415073-1</v>
          </cell>
          <cell r="AR89" t="str">
            <v>F415073-2</v>
          </cell>
          <cell r="AS89" t="str">
            <v>F415073-3</v>
          </cell>
          <cell r="AT89" t="str">
            <v>F415073-4</v>
          </cell>
          <cell r="AU89" t="str">
            <v>F415073-5</v>
          </cell>
          <cell r="AV89" t="str">
            <v>F415073-6</v>
          </cell>
          <cell r="BA89" t="str">
            <v>750x417</v>
          </cell>
          <cell r="BB89" t="str">
            <v>N2</v>
          </cell>
        </row>
        <row r="90">
          <cell r="A90" t="str">
            <v>sp 367</v>
          </cell>
          <cell r="B90" t="str">
            <v>Cuộn thuốc diệt chuột rat-kill 2% DP 10gr agricare</v>
          </cell>
          <cell r="C90">
            <v>6.3</v>
          </cell>
          <cell r="D90" t="str">
            <v>PET 12x770</v>
          </cell>
          <cell r="E90">
            <v>7</v>
          </cell>
          <cell r="F90">
            <v>7</v>
          </cell>
          <cell r="G90" t="str">
            <v xml:space="preserve">PET </v>
          </cell>
          <cell r="H90">
            <v>0.2</v>
          </cell>
          <cell r="I90">
            <v>2</v>
          </cell>
          <cell r="J90">
            <v>0.2</v>
          </cell>
          <cell r="K90">
            <v>0.2</v>
          </cell>
          <cell r="L90">
            <v>1.9</v>
          </cell>
          <cell r="M90">
            <v>1.5</v>
          </cell>
          <cell r="P90">
            <v>0.2</v>
          </cell>
          <cell r="R90">
            <v>0.1</v>
          </cell>
          <cell r="AE90" t="str">
            <v>PE 75x770; MPET 12x770</v>
          </cell>
          <cell r="AF90" t="str">
            <v>PE 75x770</v>
          </cell>
          <cell r="AG90">
            <v>7.9290750000000007E-2</v>
          </cell>
          <cell r="AH90">
            <v>1.1653333333333333</v>
          </cell>
          <cell r="AI90">
            <v>1.52</v>
          </cell>
          <cell r="AJ90">
            <v>9530</v>
          </cell>
          <cell r="AK90" t="str">
            <v>0,0053(0,0023;0,003)</v>
          </cell>
          <cell r="AM90">
            <v>0</v>
          </cell>
          <cell r="AO90" t="str">
            <v>Công ty Agricare</v>
          </cell>
          <cell r="AQ90" t="str">
            <v>1507601-1</v>
          </cell>
          <cell r="AR90" t="str">
            <v>1507601-2</v>
          </cell>
          <cell r="AS90" t="str">
            <v>1507601-3</v>
          </cell>
          <cell r="AT90" t="str">
            <v>1507601-4</v>
          </cell>
          <cell r="AU90" t="str">
            <v>1507601-5</v>
          </cell>
          <cell r="AV90" t="str">
            <v>1507601-6</v>
          </cell>
          <cell r="AW90" t="str">
            <v>1507601-7</v>
          </cell>
          <cell r="BA90" t="str">
            <v>480x850</v>
          </cell>
          <cell r="BB90" t="str">
            <v>N2</v>
          </cell>
        </row>
        <row r="91">
          <cell r="A91" t="str">
            <v>sp 372</v>
          </cell>
          <cell r="B91" t="str">
            <v>túi thuốc trừ cỏ mía amet super 80WP -50gr hòa bình</v>
          </cell>
          <cell r="C91">
            <v>0</v>
          </cell>
          <cell r="D91" t="str">
            <v>PET 12x740</v>
          </cell>
          <cell r="E91">
            <v>7</v>
          </cell>
          <cell r="F91">
            <v>7</v>
          </cell>
          <cell r="G91" t="str">
            <v xml:space="preserve">PET </v>
          </cell>
          <cell r="AE91" t="str">
            <v>PE 75x740; MPET 12x740</v>
          </cell>
          <cell r="AJ91">
            <v>9530</v>
          </cell>
          <cell r="AK91" t="str">
            <v>0,0053(0,0023;0,003)</v>
          </cell>
          <cell r="AM91">
            <v>0</v>
          </cell>
          <cell r="AO91" t="str">
            <v>Công ty Quốc tế Hòa Bình</v>
          </cell>
          <cell r="AQ91" t="str">
            <v>1507713-1</v>
          </cell>
          <cell r="AR91" t="str">
            <v>1507713-2</v>
          </cell>
          <cell r="AS91" t="str">
            <v>1507713-3</v>
          </cell>
          <cell r="AT91" t="str">
            <v>1507713-4</v>
          </cell>
          <cell r="AU91" t="str">
            <v>1507713-5</v>
          </cell>
          <cell r="AV91" t="str">
            <v>1507713-6</v>
          </cell>
          <cell r="AW91" t="str">
            <v>1507713-7</v>
          </cell>
          <cell r="BA91" t="str">
            <v>540x850</v>
          </cell>
          <cell r="BB91" t="str">
            <v>T1</v>
          </cell>
        </row>
        <row r="92">
          <cell r="A92" t="str">
            <v>sp 383</v>
          </cell>
          <cell r="B92" t="str">
            <v>Cuộn màng trừ sâu Goldan 750WP loại 20gr USA</v>
          </cell>
          <cell r="C92">
            <v>0</v>
          </cell>
          <cell r="D92" t="str">
            <v>PET 12 x 680</v>
          </cell>
          <cell r="E92">
            <v>7</v>
          </cell>
          <cell r="F92">
            <v>7</v>
          </cell>
          <cell r="G92" t="str">
            <v xml:space="preserve">PET </v>
          </cell>
          <cell r="AE92" t="str">
            <v>MPET 12x680, PE 75x680</v>
          </cell>
          <cell r="AJ92">
            <v>9530</v>
          </cell>
          <cell r="AK92" t="str">
            <v>0.0053 (0.0023; 0.003)</v>
          </cell>
          <cell r="AM92">
            <v>0</v>
          </cell>
          <cell r="AO92" t="str">
            <v xml:space="preserve"> USA</v>
          </cell>
          <cell r="AQ92" t="str">
            <v>1503625-1</v>
          </cell>
          <cell r="AR92" t="str">
            <v>1503625-2</v>
          </cell>
          <cell r="AS92" t="str">
            <v>1503625-3</v>
          </cell>
          <cell r="AT92" t="str">
            <v>1503625-4</v>
          </cell>
          <cell r="AU92" t="str">
            <v>1503625-5</v>
          </cell>
          <cell r="AV92" t="str">
            <v>1503625-6</v>
          </cell>
          <cell r="AW92" t="str">
            <v>1503625-7</v>
          </cell>
          <cell r="BA92" t="str">
            <v>435x750</v>
          </cell>
          <cell r="BB92" t="str">
            <v>N2</v>
          </cell>
        </row>
        <row r="93">
          <cell r="A93" t="str">
            <v>sp 389</v>
          </cell>
          <cell r="B93" t="str">
            <v>Túi thạch đông 50gr hải long</v>
          </cell>
          <cell r="C93">
            <v>1.1000000000000001</v>
          </cell>
          <cell r="D93" t="str">
            <v>BOPP 30x580</v>
          </cell>
          <cell r="E93">
            <v>1</v>
          </cell>
          <cell r="F93">
            <v>1</v>
          </cell>
          <cell r="G93" t="str">
            <v>BOPP</v>
          </cell>
          <cell r="O93">
            <v>0.9</v>
          </cell>
          <cell r="P93">
            <v>0.2</v>
          </cell>
          <cell r="AE93" t="str">
            <v>CPP 25x580</v>
          </cell>
          <cell r="AG93">
            <v>2.9028999999999999E-2</v>
          </cell>
          <cell r="AH93">
            <v>0.7599999999999999</v>
          </cell>
          <cell r="AJ93">
            <v>9530</v>
          </cell>
          <cell r="AK93">
            <v>2E-3</v>
          </cell>
          <cell r="AM93" t="str">
            <v>Ba biên</v>
          </cell>
          <cell r="AO93" t="str">
            <v>Công ty Hải Long</v>
          </cell>
          <cell r="AQ93" t="str">
            <v>F111915G2-1</v>
          </cell>
          <cell r="BA93" t="str">
            <v>400x750</v>
          </cell>
          <cell r="BB93" t="str">
            <v>N2</v>
          </cell>
        </row>
        <row r="95">
          <cell r="A95" t="str">
            <v>sp 402</v>
          </cell>
          <cell r="B95" t="str">
            <v>Trục in cuộn trà gừng mật ong 4g Sing Việt 400x850 15090036</v>
          </cell>
          <cell r="E95">
            <v>2</v>
          </cell>
          <cell r="F95">
            <v>2</v>
          </cell>
          <cell r="AO95" t="str">
            <v>Công ty CP Sinh Việt</v>
          </cell>
          <cell r="AQ95" t="str">
            <v>15090036-1</v>
          </cell>
          <cell r="AR95" t="str">
            <v>15090036-2</v>
          </cell>
          <cell r="BA95" t="str">
            <v>400x850</v>
          </cell>
          <cell r="BB95" t="str">
            <v>N2</v>
          </cell>
        </row>
        <row r="96">
          <cell r="A96" t="str">
            <v>sp 403</v>
          </cell>
          <cell r="B96" t="str">
            <v>Túi muối thượng hạng 200gr hanufood</v>
          </cell>
          <cell r="C96">
            <v>5</v>
          </cell>
          <cell r="D96" t="str">
            <v>OPP 20x470</v>
          </cell>
          <cell r="E96">
            <v>2</v>
          </cell>
          <cell r="F96">
            <v>5</v>
          </cell>
          <cell r="G96" t="str">
            <v xml:space="preserve">OPP </v>
          </cell>
          <cell r="H96">
            <v>0.1</v>
          </cell>
          <cell r="I96">
            <v>1.3</v>
          </cell>
          <cell r="J96">
            <v>0.3</v>
          </cell>
          <cell r="K96">
            <v>0.1</v>
          </cell>
          <cell r="L96">
            <v>1.9</v>
          </cell>
          <cell r="M96">
            <v>1.2</v>
          </cell>
          <cell r="P96">
            <v>0.1</v>
          </cell>
          <cell r="AE96" t="str">
            <v>PE 65x470</v>
          </cell>
          <cell r="AG96">
            <v>3.6812749999999998E-2</v>
          </cell>
          <cell r="AH96">
            <v>0.61333333333333329</v>
          </cell>
          <cell r="AJ96">
            <v>9530</v>
          </cell>
          <cell r="AK96">
            <v>2E-3</v>
          </cell>
          <cell r="AM96" t="str">
            <v>3 biên</v>
          </cell>
          <cell r="AO96" t="str">
            <v>Công ty Hanufood</v>
          </cell>
          <cell r="AQ96" t="str">
            <v>1711194-1</v>
          </cell>
          <cell r="AR96" t="str">
            <v>1308276-2</v>
          </cell>
          <cell r="AS96" t="str">
            <v>1505019-3</v>
          </cell>
          <cell r="AT96" t="str">
            <v>1308276-4</v>
          </cell>
          <cell r="AU96" t="str">
            <v>1308276-5</v>
          </cell>
          <cell r="BA96" t="str">
            <v>480x740</v>
          </cell>
          <cell r="BB96" t="str">
            <v>N2</v>
          </cell>
          <cell r="BC96" t="str">
            <v>in chung sp 148+336</v>
          </cell>
        </row>
        <row r="97">
          <cell r="A97" t="str">
            <v>sp 404</v>
          </cell>
          <cell r="B97" t="str">
            <v>Cuộn bánh bao liên tục Phú Mỹ</v>
          </cell>
          <cell r="C97">
            <v>0.89999999999999991</v>
          </cell>
          <cell r="D97" t="str">
            <v>OPP 20x660</v>
          </cell>
          <cell r="E97">
            <v>2</v>
          </cell>
          <cell r="F97">
            <v>2</v>
          </cell>
          <cell r="G97" t="str">
            <v xml:space="preserve">OPP </v>
          </cell>
          <cell r="I97">
            <v>0.2</v>
          </cell>
          <cell r="L97">
            <v>0.5</v>
          </cell>
          <cell r="M97">
            <v>0.1</v>
          </cell>
          <cell r="O97">
            <v>0.1</v>
          </cell>
          <cell r="AE97" t="str">
            <v>CPP 20x660</v>
          </cell>
          <cell r="AG97">
            <v>2.4024000000000004E-2</v>
          </cell>
          <cell r="AH97">
            <v>0.78</v>
          </cell>
          <cell r="AJ97">
            <v>9530</v>
          </cell>
          <cell r="AK97">
            <v>1.8E-3</v>
          </cell>
          <cell r="AM97" t="str">
            <v>dạng cuộn 1000m</v>
          </cell>
          <cell r="AN97">
            <v>320</v>
          </cell>
          <cell r="AO97" t="str">
            <v>Công ty Phú Mỹ</v>
          </cell>
          <cell r="AQ97" t="str">
            <v>20091172-1</v>
          </cell>
          <cell r="AR97" t="str">
            <v>1902298-2</v>
          </cell>
          <cell r="BA97" t="str">
            <v>400x750</v>
          </cell>
          <cell r="BB97" t="str">
            <v>V1</v>
          </cell>
        </row>
        <row r="98">
          <cell r="A98" t="str">
            <v>sp 419</v>
          </cell>
          <cell r="B98" t="str">
            <v>Túi agar thượng hạng 25gr hải long</v>
          </cell>
          <cell r="C98">
            <v>4.5</v>
          </cell>
          <cell r="D98" t="str">
            <v>OPP 20x760</v>
          </cell>
          <cell r="E98">
            <v>5</v>
          </cell>
          <cell r="F98">
            <v>5</v>
          </cell>
          <cell r="G98" t="str">
            <v xml:space="preserve">OPP </v>
          </cell>
          <cell r="H98">
            <v>0.2</v>
          </cell>
          <cell r="I98">
            <v>2.5</v>
          </cell>
          <cell r="J98">
            <v>0.3</v>
          </cell>
          <cell r="L98">
            <v>0.5</v>
          </cell>
          <cell r="O98">
            <v>0.1</v>
          </cell>
          <cell r="P98">
            <v>0.4</v>
          </cell>
          <cell r="Q98">
            <v>0.4</v>
          </cell>
          <cell r="R98">
            <v>0.1</v>
          </cell>
          <cell r="AE98" t="str">
            <v>PET/MPET 12x760</v>
          </cell>
          <cell r="AF98" t="str">
            <v>CPP 45x760</v>
          </cell>
          <cell r="AG98">
            <v>5.7722000000000002E-2</v>
          </cell>
          <cell r="AH98">
            <v>1.1499999999999999</v>
          </cell>
          <cell r="AI98">
            <v>1.5</v>
          </cell>
          <cell r="AJ98">
            <v>9530</v>
          </cell>
          <cell r="AK98" t="str">
            <v>0,0053(0,0023;0,003)</v>
          </cell>
          <cell r="AM98" t="str">
            <v xml:space="preserve">túi ba biên </v>
          </cell>
          <cell r="AN98">
            <v>95</v>
          </cell>
          <cell r="AO98" t="str">
            <v>Công ty Hải Long</v>
          </cell>
          <cell r="AQ98" t="str">
            <v>F114068G3-1</v>
          </cell>
          <cell r="AR98" t="str">
            <v>F114068G1-2</v>
          </cell>
          <cell r="AS98" t="str">
            <v>F114068-3</v>
          </cell>
          <cell r="AT98" t="str">
            <v>F114068-4</v>
          </cell>
          <cell r="AU98" t="str">
            <v>F11468-5</v>
          </cell>
          <cell r="BA98" t="str">
            <v>475x840</v>
          </cell>
          <cell r="BB98" t="str">
            <v>N2</v>
          </cell>
        </row>
        <row r="99">
          <cell r="A99" t="str">
            <v>sp 420</v>
          </cell>
          <cell r="B99" t="str">
            <v>Túi agar thượng hạng 50gr hải long</v>
          </cell>
          <cell r="C99">
            <v>4.53</v>
          </cell>
          <cell r="D99" t="str">
            <v>OPP 20x660</v>
          </cell>
          <cell r="E99">
            <v>5</v>
          </cell>
          <cell r="F99">
            <v>5</v>
          </cell>
          <cell r="G99" t="str">
            <v xml:space="preserve">OPP </v>
          </cell>
          <cell r="I99">
            <v>2.5</v>
          </cell>
          <cell r="J99">
            <v>0.3</v>
          </cell>
          <cell r="L99">
            <v>0.5</v>
          </cell>
          <cell r="O99">
            <v>0.1</v>
          </cell>
          <cell r="P99">
            <v>0.63</v>
          </cell>
          <cell r="Q99">
            <v>0.4</v>
          </cell>
          <cell r="R99">
            <v>0.1</v>
          </cell>
          <cell r="AE99" t="str">
            <v>PET/MPET 12x660</v>
          </cell>
          <cell r="AF99" t="str">
            <v xml:space="preserve">CPP 45x660 </v>
          </cell>
          <cell r="AG99">
            <v>5.0126999999999998E-2</v>
          </cell>
          <cell r="AH99">
            <v>0.99666666666666659</v>
          </cell>
          <cell r="AI99">
            <v>1.3</v>
          </cell>
          <cell r="AJ99">
            <v>9530</v>
          </cell>
          <cell r="AK99" t="str">
            <v>0,0053(0,0023;0,003)</v>
          </cell>
          <cell r="AM99" t="str">
            <v>túi ba biên</v>
          </cell>
          <cell r="AN99">
            <v>145</v>
          </cell>
          <cell r="AO99" t="str">
            <v>Công ty Hải Long</v>
          </cell>
          <cell r="AQ99" t="str">
            <v>F112128G3-1</v>
          </cell>
          <cell r="AR99" t="str">
            <v>F112128-2</v>
          </cell>
          <cell r="AS99" t="str">
            <v>F112128-3</v>
          </cell>
          <cell r="AT99" t="str">
            <v>F112128-4</v>
          </cell>
          <cell r="AU99" t="str">
            <v>F112128-5</v>
          </cell>
          <cell r="BA99" t="str">
            <v>440x750</v>
          </cell>
          <cell r="BB99" t="str">
            <v>N2</v>
          </cell>
        </row>
        <row r="100">
          <cell r="A100" t="str">
            <v>sp 421</v>
          </cell>
          <cell r="B100" t="str">
            <v>Cuộn bánh korky chocolate diamond food</v>
          </cell>
          <cell r="C100">
            <v>4.9000000000000004</v>
          </cell>
          <cell r="D100" t="str">
            <v>OPP 20x720</v>
          </cell>
          <cell r="E100">
            <v>6</v>
          </cell>
          <cell r="F100">
            <v>6</v>
          </cell>
          <cell r="G100" t="str">
            <v xml:space="preserve">OPP </v>
          </cell>
          <cell r="H100">
            <v>0.2</v>
          </cell>
          <cell r="I100">
            <v>1.8</v>
          </cell>
          <cell r="J100">
            <v>0.2</v>
          </cell>
          <cell r="K100">
            <v>0.5</v>
          </cell>
          <cell r="L100">
            <v>1</v>
          </cell>
          <cell r="M100">
            <v>0.9</v>
          </cell>
          <cell r="Q100">
            <v>0.3</v>
          </cell>
          <cell r="AE100" t="str">
            <v>MCPP 25x720</v>
          </cell>
          <cell r="AG100">
            <v>2.9484E-2</v>
          </cell>
          <cell r="AH100">
            <v>0.85199999999999998</v>
          </cell>
          <cell r="AJ100">
            <v>9530</v>
          </cell>
          <cell r="AK100">
            <v>1.8E-3</v>
          </cell>
          <cell r="AM100" t="str">
            <v>Cuộn</v>
          </cell>
          <cell r="AO100" t="str">
            <v>Công ty Diamond Food</v>
          </cell>
          <cell r="AQ100" t="str">
            <v>F112125-1</v>
          </cell>
          <cell r="AR100" t="str">
            <v>F112125-2</v>
          </cell>
          <cell r="AS100" t="str">
            <v>F112125-3</v>
          </cell>
          <cell r="AT100" t="str">
            <v>F112125-4</v>
          </cell>
          <cell r="AU100" t="str">
            <v>F112125-5</v>
          </cell>
          <cell r="AV100" t="str">
            <v>F112125-6</v>
          </cell>
          <cell r="BA100" t="str">
            <v>840x450</v>
          </cell>
          <cell r="BB100" t="str">
            <v>N2</v>
          </cell>
        </row>
        <row r="101">
          <cell r="A101" t="str">
            <v>sp 422</v>
          </cell>
          <cell r="B101" t="str">
            <v>Cuộn thạch rau câu gia đình đồng phát</v>
          </cell>
          <cell r="E101">
            <v>6</v>
          </cell>
          <cell r="F101">
            <v>6</v>
          </cell>
          <cell r="AO101" t="str">
            <v>Công ty Đồng Phát</v>
          </cell>
          <cell r="AQ101" t="str">
            <v>F415203-1</v>
          </cell>
          <cell r="AR101" t="str">
            <v>F415203-2</v>
          </cell>
          <cell r="AS101" t="str">
            <v>F415203-3</v>
          </cell>
          <cell r="AT101" t="str">
            <v>F415203-4</v>
          </cell>
          <cell r="AU101" t="str">
            <v>F415203-5</v>
          </cell>
          <cell r="AV101" t="str">
            <v>F415203-6</v>
          </cell>
          <cell r="BA101" t="str">
            <v>420x750</v>
          </cell>
          <cell r="BB101" t="str">
            <v>N2</v>
          </cell>
        </row>
        <row r="102">
          <cell r="A102" t="str">
            <v>sp 424</v>
          </cell>
          <cell r="B102" t="str">
            <v>Túi thuốc trừ bệnh Jzomil 720WP loại 1kg USA</v>
          </cell>
          <cell r="C102">
            <v>0</v>
          </cell>
          <cell r="D102" t="str">
            <v>PET 12x760</v>
          </cell>
          <cell r="E102">
            <v>7</v>
          </cell>
          <cell r="F102">
            <v>7</v>
          </cell>
          <cell r="G102" t="str">
            <v xml:space="preserve">PET </v>
          </cell>
          <cell r="AE102" t="str">
            <v>PE 10x760; MPET 12x760</v>
          </cell>
          <cell r="AJ102" t="str">
            <v>9530; 811A</v>
          </cell>
          <cell r="AK102" t="str">
            <v>0.0023 (9530); 0.035 (811A)</v>
          </cell>
          <cell r="AM102">
            <v>0</v>
          </cell>
          <cell r="AO102" t="str">
            <v xml:space="preserve"> USA</v>
          </cell>
          <cell r="AQ102" t="str">
            <v>1510103-1</v>
          </cell>
          <cell r="AR102" t="str">
            <v>1510103-2</v>
          </cell>
          <cell r="AS102" t="str">
            <v>1510103-3</v>
          </cell>
          <cell r="AT102" t="str">
            <v>1510103-4</v>
          </cell>
          <cell r="AU102" t="str">
            <v>1510103-5</v>
          </cell>
          <cell r="AV102" t="str">
            <v>1510103-6</v>
          </cell>
          <cell r="AW102" t="str">
            <v>1510103-7</v>
          </cell>
          <cell r="BA102" t="str">
            <v>510x820</v>
          </cell>
          <cell r="BB102" t="str">
            <v>N2</v>
          </cell>
        </row>
        <row r="103">
          <cell r="A103" t="str">
            <v>sp 425</v>
          </cell>
          <cell r="B103" t="str">
            <v>Túi ngô VS36 1kg thái binh</v>
          </cell>
          <cell r="C103" t="e">
            <v>#N/A</v>
          </cell>
          <cell r="E103">
            <v>8</v>
          </cell>
          <cell r="F103">
            <v>8</v>
          </cell>
          <cell r="G103" t="e">
            <v>#N/A</v>
          </cell>
          <cell r="H103" t="e">
            <v>#N/A</v>
          </cell>
          <cell r="I103" t="e">
            <v>#N/A</v>
          </cell>
          <cell r="J103" t="e">
            <v>#N/A</v>
          </cell>
          <cell r="K103" t="e">
            <v>#N/A</v>
          </cell>
          <cell r="L103" t="e">
            <v>#N/A</v>
          </cell>
          <cell r="M103" t="e">
            <v>#N/A</v>
          </cell>
          <cell r="N103" t="e">
            <v>#N/A</v>
          </cell>
          <cell r="O103" t="e">
            <v>#N/A</v>
          </cell>
          <cell r="P103" t="e">
            <v>#N/A</v>
          </cell>
          <cell r="Q103" t="e">
            <v>#N/A</v>
          </cell>
          <cell r="R103" t="e">
            <v>#N/A</v>
          </cell>
          <cell r="S103" t="e">
            <v>#N/A</v>
          </cell>
          <cell r="T103" t="e">
            <v>#N/A</v>
          </cell>
          <cell r="U103" t="e">
            <v>#N/A</v>
          </cell>
          <cell r="V103" t="e">
            <v>#N/A</v>
          </cell>
          <cell r="W103" t="e">
            <v>#N/A</v>
          </cell>
          <cell r="X103" t="e">
            <v>#N/A</v>
          </cell>
          <cell r="Y103" t="e">
            <v>#N/A</v>
          </cell>
          <cell r="Z103" t="e">
            <v>#N/A</v>
          </cell>
          <cell r="AA103" t="e">
            <v>#N/A</v>
          </cell>
          <cell r="AB103" t="e">
            <v>#N/A</v>
          </cell>
          <cell r="AC103" t="e">
            <v>#N/A</v>
          </cell>
          <cell r="AD103" t="e">
            <v>#N/A</v>
          </cell>
          <cell r="AE103" t="e">
            <v>#N/A</v>
          </cell>
          <cell r="AF103" t="e">
            <v>#N/A</v>
          </cell>
          <cell r="AG103" t="e">
            <v>#N/A</v>
          </cell>
          <cell r="AH103" t="e">
            <v>#N/A</v>
          </cell>
          <cell r="AI103" t="e">
            <v>#N/A</v>
          </cell>
          <cell r="AJ103" t="e">
            <v>#N/A</v>
          </cell>
          <cell r="AK103" t="e">
            <v>#N/A</v>
          </cell>
          <cell r="AL103" t="e">
            <v>#N/A</v>
          </cell>
          <cell r="AM103" t="e">
            <v>#N/A</v>
          </cell>
          <cell r="AN103" t="e">
            <v>#N/A</v>
          </cell>
          <cell r="AO103" t="str">
            <v>Công ty Thái Bình</v>
          </cell>
          <cell r="AQ103" t="str">
            <v>1710093-1</v>
          </cell>
          <cell r="AR103" t="str">
            <v>1710093-2</v>
          </cell>
          <cell r="AS103" t="str">
            <v>1710093-3</v>
          </cell>
          <cell r="AT103" t="str">
            <v>1710093-4</v>
          </cell>
          <cell r="AU103" t="str">
            <v>1903481-5</v>
          </cell>
          <cell r="AV103" t="str">
            <v>1903481-6</v>
          </cell>
          <cell r="AW103" t="str">
            <v>1710093-7</v>
          </cell>
          <cell r="AX103" t="str">
            <v>1710093-8</v>
          </cell>
          <cell r="BA103" t="str">
            <v>670x870</v>
          </cell>
          <cell r="BB103" t="str">
            <v>I1</v>
          </cell>
        </row>
        <row r="104">
          <cell r="A104" t="str">
            <v>sp 426</v>
          </cell>
          <cell r="B104" t="str">
            <v>Túi ngô VS 36 20kg thái bình</v>
          </cell>
          <cell r="E104">
            <v>8</v>
          </cell>
          <cell r="F104">
            <v>7</v>
          </cell>
          <cell r="AO104" t="str">
            <v>Công ty Thái Bình</v>
          </cell>
          <cell r="AQ104" t="str">
            <v>1903480-1</v>
          </cell>
          <cell r="AR104" t="str">
            <v>1903480-2</v>
          </cell>
          <cell r="AS104" t="str">
            <v>1903480-3</v>
          </cell>
          <cell r="AT104" t="str">
            <v>1603346-4</v>
          </cell>
          <cell r="AU104" t="str">
            <v>1903480-5</v>
          </cell>
          <cell r="AV104" t="str">
            <v>1903480-6</v>
          </cell>
          <cell r="AW104" t="str">
            <v>1510425-7</v>
          </cell>
          <cell r="BA104" t="str">
            <v>770x750</v>
          </cell>
          <cell r="BB104" t="str">
            <v>J1</v>
          </cell>
        </row>
        <row r="105">
          <cell r="A105" t="str">
            <v>sp 442</v>
          </cell>
          <cell r="B105" t="str">
            <v>cuộn thạch rau câu dứa Trung tín</v>
          </cell>
          <cell r="E105">
            <v>4</v>
          </cell>
          <cell r="F105">
            <v>4</v>
          </cell>
          <cell r="AO105" t="str">
            <v>Công ty Đồng Phát</v>
          </cell>
          <cell r="AQ105" t="str">
            <v>F415349-1</v>
          </cell>
          <cell r="AR105" t="str">
            <v>F415349-2</v>
          </cell>
          <cell r="AS105" t="str">
            <v>F415349-3</v>
          </cell>
          <cell r="AT105" t="str">
            <v>F415349-4</v>
          </cell>
          <cell r="BA105" t="str">
            <v>520x750</v>
          </cell>
          <cell r="BB105" t="str">
            <v>N2</v>
          </cell>
        </row>
        <row r="106">
          <cell r="A106" t="str">
            <v>sp 452</v>
          </cell>
          <cell r="B106" t="str">
            <v>Túi thuốc trừ bệnh Trizim 868WP loại 13.5gr hà thái</v>
          </cell>
          <cell r="C106">
            <v>6.7</v>
          </cell>
          <cell r="D106" t="str">
            <v>PET 12x710</v>
          </cell>
          <cell r="E106">
            <v>6</v>
          </cell>
          <cell r="F106">
            <v>6</v>
          </cell>
          <cell r="G106" t="str">
            <v xml:space="preserve">PET </v>
          </cell>
          <cell r="H106">
            <v>0.6</v>
          </cell>
          <cell r="I106">
            <v>2.9</v>
          </cell>
          <cell r="J106">
            <v>0.1</v>
          </cell>
          <cell r="K106">
            <v>0.1</v>
          </cell>
          <cell r="L106">
            <v>2</v>
          </cell>
          <cell r="M106">
            <v>0.9</v>
          </cell>
          <cell r="O106">
            <v>0.1</v>
          </cell>
          <cell r="AE106" t="str">
            <v>PE 75x710; MPET 12x710</v>
          </cell>
          <cell r="AF106" t="str">
            <v>PE 75x710</v>
          </cell>
          <cell r="AG106">
            <v>7.3112250000000004E-2</v>
          </cell>
          <cell r="AH106">
            <v>1.0733333333333333</v>
          </cell>
          <cell r="AI106">
            <v>1.4</v>
          </cell>
          <cell r="AJ106">
            <v>9530</v>
          </cell>
          <cell r="AK106" t="str">
            <v>0,0053(0,0023;0,003)</v>
          </cell>
          <cell r="AM106">
            <v>0</v>
          </cell>
          <cell r="AO106" t="str">
            <v>Công ty Hà Thái</v>
          </cell>
          <cell r="AQ106" t="str">
            <v>1511021-1</v>
          </cell>
          <cell r="AR106" t="str">
            <v>1511021-2</v>
          </cell>
          <cell r="AS106" t="str">
            <v>1511021-3</v>
          </cell>
          <cell r="AT106" t="str">
            <v>1511021-4</v>
          </cell>
          <cell r="AU106" t="str">
            <v>1511021-5</v>
          </cell>
          <cell r="AV106" t="str">
            <v>1511021-6</v>
          </cell>
          <cell r="BA106" t="str">
            <v>500x860</v>
          </cell>
          <cell r="BB106" t="str">
            <v>N2</v>
          </cell>
          <cell r="BD106" t="str">
            <v>Trục khách giữ lại</v>
          </cell>
        </row>
        <row r="107">
          <cell r="A107" t="str">
            <v>sp 453</v>
          </cell>
          <cell r="B107" t="str">
            <v>Cuộn màng thuốc trừ sâu Sirafb 100 WP loại 7.5gr american</v>
          </cell>
          <cell r="C107">
            <v>6.1499999999999995</v>
          </cell>
          <cell r="D107" t="str">
            <v>PET 12x620</v>
          </cell>
          <cell r="E107">
            <v>7</v>
          </cell>
          <cell r="F107">
            <v>7</v>
          </cell>
          <cell r="G107" t="str">
            <v xml:space="preserve">PET </v>
          </cell>
          <cell r="H107">
            <v>0.3</v>
          </cell>
          <cell r="I107">
            <v>3</v>
          </cell>
          <cell r="J107">
            <v>0.2</v>
          </cell>
          <cell r="K107">
            <v>0.7</v>
          </cell>
          <cell r="L107">
            <v>1.75</v>
          </cell>
          <cell r="P107">
            <v>0.1</v>
          </cell>
          <cell r="R107">
            <v>0.1</v>
          </cell>
          <cell r="AE107" t="str">
            <v>PE 75x620; MPET 12x620</v>
          </cell>
          <cell r="AF107" t="str">
            <v>PE 75x620</v>
          </cell>
          <cell r="AG107">
            <v>6.3844500000000012E-2</v>
          </cell>
          <cell r="AH107">
            <v>0.93533333333333324</v>
          </cell>
          <cell r="AI107">
            <v>1.22</v>
          </cell>
          <cell r="AJ107">
            <v>9530</v>
          </cell>
          <cell r="AK107" t="str">
            <v>0,0053(0,0023;0,003)</v>
          </cell>
          <cell r="AM107">
            <v>0</v>
          </cell>
          <cell r="AO107" t="str">
            <v>Công ty American</v>
          </cell>
          <cell r="AQ107" t="str">
            <v>18091249-1</v>
          </cell>
          <cell r="AR107" t="str">
            <v>1512088-2</v>
          </cell>
          <cell r="AS107" t="str">
            <v>1512088-3</v>
          </cell>
          <cell r="AT107" t="str">
            <v>1512088-4</v>
          </cell>
          <cell r="AU107" t="str">
            <v>18091249-5</v>
          </cell>
          <cell r="AV107" t="str">
            <v>1512088-6</v>
          </cell>
          <cell r="AW107" t="str">
            <v>1512088-7</v>
          </cell>
          <cell r="BA107" t="str">
            <v>405x750</v>
          </cell>
          <cell r="BB107" t="str">
            <v>N3</v>
          </cell>
        </row>
        <row r="108">
          <cell r="A108" t="str">
            <v>sp 463</v>
          </cell>
          <cell r="B108" t="str">
            <v>Túi miến đao đặc sản 500gr thanh sơn</v>
          </cell>
          <cell r="C108">
            <v>2</v>
          </cell>
          <cell r="D108" t="str">
            <v>PA 15x540</v>
          </cell>
          <cell r="E108">
            <v>6</v>
          </cell>
          <cell r="F108">
            <v>6</v>
          </cell>
          <cell r="G108" t="str">
            <v xml:space="preserve">PA </v>
          </cell>
          <cell r="I108">
            <v>2</v>
          </cell>
          <cell r="AE108" t="str">
            <v>PE 80x540</v>
          </cell>
          <cell r="AG108">
            <v>4.9275000000000006E-2</v>
          </cell>
          <cell r="AH108">
            <v>1.06</v>
          </cell>
          <cell r="AJ108">
            <v>9530</v>
          </cell>
          <cell r="AK108">
            <v>3.0000000000000001E-3</v>
          </cell>
          <cell r="AM108">
            <v>0</v>
          </cell>
          <cell r="AO108" t="str">
            <v>HTX Thành Sơn, Bản Xèo, Lào Cai</v>
          </cell>
          <cell r="AQ108" t="str">
            <v>1701143-1</v>
          </cell>
          <cell r="AR108" t="str">
            <v>1701143-2</v>
          </cell>
          <cell r="AS108" t="str">
            <v>1701143-3</v>
          </cell>
          <cell r="AT108" t="str">
            <v>1701143-4</v>
          </cell>
          <cell r="AU108" t="str">
            <v>1701143-5</v>
          </cell>
          <cell r="AV108" t="str">
            <v>1701143-6</v>
          </cell>
          <cell r="BA108" t="str">
            <v>550x750</v>
          </cell>
          <cell r="BB108" t="str">
            <v>N3</v>
          </cell>
        </row>
        <row r="109">
          <cell r="A109" t="str">
            <v>sp 469</v>
          </cell>
          <cell r="B109" t="str">
            <v>túi một màu KT 290x595x70 vĩnh phúc</v>
          </cell>
          <cell r="C109">
            <v>3.7</v>
          </cell>
          <cell r="D109" t="str">
            <v>OPP 20x760</v>
          </cell>
          <cell r="E109" t="str">
            <v>sp 351</v>
          </cell>
          <cell r="F109">
            <v>1</v>
          </cell>
          <cell r="G109" t="str">
            <v xml:space="preserve">OPP </v>
          </cell>
          <cell r="L109">
            <v>3</v>
          </cell>
          <cell r="O109">
            <v>0.7</v>
          </cell>
          <cell r="AE109" t="str">
            <v>PE 65x760; MPET 12x760</v>
          </cell>
          <cell r="AF109" t="str">
            <v>PE 65x765</v>
          </cell>
          <cell r="AG109">
            <v>7.2295000000000012E-2</v>
          </cell>
          <cell r="AH109">
            <v>1.1499999999999999</v>
          </cell>
          <cell r="AI109">
            <v>1.5</v>
          </cell>
          <cell r="AJ109">
            <v>9530</v>
          </cell>
          <cell r="AK109" t="str">
            <v>0,0053(0,0023;0,003)</v>
          </cell>
          <cell r="AM109" t="str">
            <v>Hàn lưng, xếp hông</v>
          </cell>
          <cell r="AO109" t="str">
            <v>Công ty Vĩnh Phúc</v>
          </cell>
          <cell r="AS109" t="str">
            <v>1506198-3</v>
          </cell>
          <cell r="BA109" t="str">
            <v>440x870</v>
          </cell>
          <cell r="BB109" t="str">
            <v>N1</v>
          </cell>
          <cell r="BC109" t="str">
            <v>in chung trục xanh sp 351</v>
          </cell>
        </row>
        <row r="110">
          <cell r="A110" t="str">
            <v>sp 473</v>
          </cell>
          <cell r="B110" t="str">
            <v xml:space="preserve"> cuộn thạch rau câu dứa Đại Trang 480x750 </v>
          </cell>
          <cell r="E110">
            <v>5</v>
          </cell>
          <cell r="F110">
            <v>5</v>
          </cell>
          <cell r="AO110" t="str">
            <v>Công ty Đồng Phát</v>
          </cell>
          <cell r="AQ110" t="str">
            <v>1601609-1</v>
          </cell>
          <cell r="AR110" t="str">
            <v>1601609-2</v>
          </cell>
          <cell r="AS110" t="str">
            <v>1601609-3</v>
          </cell>
          <cell r="AT110" t="str">
            <v>1601609-4</v>
          </cell>
          <cell r="AU110" t="str">
            <v>1601609-5</v>
          </cell>
          <cell r="BA110" t="str">
            <v>480x750</v>
          </cell>
          <cell r="BB110" t="str">
            <v>N3</v>
          </cell>
        </row>
        <row r="111">
          <cell r="A111" t="str">
            <v>sp 474</v>
          </cell>
          <cell r="B111" t="str">
            <v>cuộn thạch rau hoa quả đại trang</v>
          </cell>
          <cell r="E111">
            <v>5</v>
          </cell>
          <cell r="F111">
            <v>5</v>
          </cell>
          <cell r="AO111" t="str">
            <v>Công ty Đồng Phát</v>
          </cell>
          <cell r="AQ111" t="str">
            <v>1601610-1</v>
          </cell>
          <cell r="AR111" t="str">
            <v>1601610-2</v>
          </cell>
          <cell r="AS111" t="str">
            <v>1601610-3</v>
          </cell>
          <cell r="AT111" t="str">
            <v>1601610-4</v>
          </cell>
          <cell r="AU111" t="str">
            <v>1601610-5</v>
          </cell>
          <cell r="BA111" t="str">
            <v>480x750</v>
          </cell>
          <cell r="BB111" t="str">
            <v>N3</v>
          </cell>
        </row>
        <row r="112">
          <cell r="A112" t="str">
            <v>sp 475</v>
          </cell>
          <cell r="B112" t="str">
            <v>Túi bánh trứng lipo 200gr BC tiếng trung alpha</v>
          </cell>
          <cell r="C112">
            <v>8.1799999999999979</v>
          </cell>
          <cell r="D112" t="str">
            <v>OPP 20x550</v>
          </cell>
          <cell r="E112">
            <v>7</v>
          </cell>
          <cell r="F112">
            <v>7</v>
          </cell>
          <cell r="G112" t="str">
            <v xml:space="preserve">OPP </v>
          </cell>
          <cell r="H112">
            <v>0.05</v>
          </cell>
          <cell r="I112">
            <v>3.15</v>
          </cell>
          <cell r="J112">
            <v>0.05</v>
          </cell>
          <cell r="K112">
            <v>0.7</v>
          </cell>
          <cell r="L112">
            <v>3.3</v>
          </cell>
          <cell r="M112">
            <v>0.9</v>
          </cell>
          <cell r="Q112">
            <v>0.02</v>
          </cell>
          <cell r="R112">
            <v>0.01</v>
          </cell>
          <cell r="AE112" t="str">
            <v>PE 55x550</v>
          </cell>
          <cell r="AG112">
            <v>3.7991250000000004E-2</v>
          </cell>
          <cell r="AH112">
            <v>0.82799999999999996</v>
          </cell>
          <cell r="AJ112">
            <v>9530</v>
          </cell>
          <cell r="AK112">
            <v>2.3E-2</v>
          </cell>
          <cell r="AM112" t="str">
            <v xml:space="preserve">túi ba biên </v>
          </cell>
          <cell r="AN112">
            <v>300</v>
          </cell>
          <cell r="AO112" t="str">
            <v>Công ty Quốc tế Alpha</v>
          </cell>
          <cell r="AQ112" t="str">
            <v>20110743-1</v>
          </cell>
          <cell r="AR112" t="str">
            <v>21040239-2</v>
          </cell>
          <cell r="AS112" t="str">
            <v>1905795-3</v>
          </cell>
          <cell r="AT112" t="str">
            <v>20110743-4</v>
          </cell>
          <cell r="AU112" t="str">
            <v>1902138-5</v>
          </cell>
          <cell r="AV112" t="str">
            <v>1902138-6</v>
          </cell>
          <cell r="AW112" t="str">
            <v>21090187-7</v>
          </cell>
          <cell r="BA112" t="str">
            <v>600x750</v>
          </cell>
          <cell r="BB112" t="str">
            <v>C1</v>
          </cell>
        </row>
        <row r="113">
          <cell r="A113" t="str">
            <v>sp 476</v>
          </cell>
          <cell r="B113" t="str">
            <v>Túi thuốc trừ sâu Bemgold 750 WP loại 18gr USA</v>
          </cell>
          <cell r="C113">
            <v>0</v>
          </cell>
          <cell r="D113" t="str">
            <v>PET 12x700</v>
          </cell>
          <cell r="E113">
            <v>7</v>
          </cell>
          <cell r="F113">
            <v>7</v>
          </cell>
          <cell r="G113" t="str">
            <v xml:space="preserve">PET </v>
          </cell>
          <cell r="AE113" t="str">
            <v>PE 75x700; MPET 12x700</v>
          </cell>
          <cell r="AJ113">
            <v>9530</v>
          </cell>
          <cell r="AK113" t="str">
            <v>(0.0023; 0.003)</v>
          </cell>
          <cell r="AM113">
            <v>0</v>
          </cell>
          <cell r="AO113" t="str">
            <v xml:space="preserve"> USA</v>
          </cell>
          <cell r="AQ113" t="str">
            <v>1601834-1</v>
          </cell>
          <cell r="AR113" t="str">
            <v>1601834-2</v>
          </cell>
          <cell r="AS113" t="str">
            <v>1601834-3</v>
          </cell>
          <cell r="AT113" t="str">
            <v>1601834-4</v>
          </cell>
          <cell r="AU113" t="str">
            <v>1601834-5</v>
          </cell>
          <cell r="AV113" t="str">
            <v>1601834-6</v>
          </cell>
          <cell r="AW113" t="str">
            <v>1601834-7</v>
          </cell>
          <cell r="BB113" t="str">
            <v>N3</v>
          </cell>
        </row>
        <row r="114">
          <cell r="A114" t="str">
            <v>sp 477</v>
          </cell>
          <cell r="B114" t="str">
            <v>Túi thuốc T.T.S 50gr vietvet</v>
          </cell>
          <cell r="C114">
            <v>5.3</v>
          </cell>
          <cell r="D114" t="str">
            <v>BOPP 20x680</v>
          </cell>
          <cell r="E114">
            <v>3</v>
          </cell>
          <cell r="F114">
            <v>3</v>
          </cell>
          <cell r="G114" t="str">
            <v>BOPP</v>
          </cell>
          <cell r="H114">
            <v>1</v>
          </cell>
          <cell r="L114">
            <v>3</v>
          </cell>
          <cell r="P114">
            <v>1.3</v>
          </cell>
          <cell r="AE114" t="str">
            <v xml:space="preserve">AL 6x680 </v>
          </cell>
          <cell r="AF114" t="str">
            <v>PE 75x690</v>
          </cell>
          <cell r="AG114">
            <v>7.0607800000000012E-2</v>
          </cell>
          <cell r="AH114">
            <v>1.0273333333333332</v>
          </cell>
          <cell r="AI114">
            <v>1.34</v>
          </cell>
          <cell r="AJ114">
            <v>9530</v>
          </cell>
          <cell r="AK114" t="str">
            <v>0,0053(0,0023;0,003)</v>
          </cell>
          <cell r="AM114">
            <v>0</v>
          </cell>
          <cell r="AO114" t="str">
            <v>Công ty Đất Việt</v>
          </cell>
          <cell r="AQ114" t="str">
            <v>1602031-1</v>
          </cell>
          <cell r="AR114" t="str">
            <v>1602031-2</v>
          </cell>
          <cell r="AS114" t="str">
            <v>1602031-3</v>
          </cell>
          <cell r="BA114" t="str">
            <v>520x750</v>
          </cell>
          <cell r="BB114" t="str">
            <v>N3</v>
          </cell>
        </row>
        <row r="115">
          <cell r="A115" t="str">
            <v>sp 486</v>
          </cell>
          <cell r="B115" t="str">
            <v>Cuộn bánh bao phumy bakery</v>
          </cell>
          <cell r="C115" t="e">
            <v>#N/A</v>
          </cell>
          <cell r="E115">
            <v>1</v>
          </cell>
          <cell r="F115">
            <v>1</v>
          </cell>
          <cell r="G115" t="e">
            <v>#N/A</v>
          </cell>
          <cell r="H115" t="e">
            <v>#N/A</v>
          </cell>
          <cell r="I115" t="e">
            <v>#N/A</v>
          </cell>
          <cell r="J115" t="e">
            <v>#N/A</v>
          </cell>
          <cell r="K115" t="e">
            <v>#N/A</v>
          </cell>
          <cell r="L115" t="e">
            <v>#N/A</v>
          </cell>
          <cell r="M115" t="e">
            <v>#N/A</v>
          </cell>
          <cell r="N115" t="e">
            <v>#N/A</v>
          </cell>
          <cell r="O115" t="e">
            <v>#N/A</v>
          </cell>
          <cell r="P115" t="e">
            <v>#N/A</v>
          </cell>
          <cell r="Q115" t="e">
            <v>#N/A</v>
          </cell>
          <cell r="R115" t="e">
            <v>#N/A</v>
          </cell>
          <cell r="S115" t="e">
            <v>#N/A</v>
          </cell>
          <cell r="T115" t="e">
            <v>#N/A</v>
          </cell>
          <cell r="U115" t="e">
            <v>#N/A</v>
          </cell>
          <cell r="V115" t="e">
            <v>#N/A</v>
          </cell>
          <cell r="W115" t="e">
            <v>#N/A</v>
          </cell>
          <cell r="X115" t="e">
            <v>#N/A</v>
          </cell>
          <cell r="Y115" t="e">
            <v>#N/A</v>
          </cell>
          <cell r="Z115" t="e">
            <v>#N/A</v>
          </cell>
          <cell r="AA115" t="e">
            <v>#N/A</v>
          </cell>
          <cell r="AB115" t="e">
            <v>#N/A</v>
          </cell>
          <cell r="AC115" t="e">
            <v>#N/A</v>
          </cell>
          <cell r="AD115" t="e">
            <v>#N/A</v>
          </cell>
          <cell r="AE115" t="e">
            <v>#N/A</v>
          </cell>
          <cell r="AF115" t="e">
            <v>#N/A</v>
          </cell>
          <cell r="AG115" t="e">
            <v>#N/A</v>
          </cell>
          <cell r="AH115" t="e">
            <v>#N/A</v>
          </cell>
          <cell r="AI115" t="e">
            <v>#N/A</v>
          </cell>
          <cell r="AJ115" t="e">
            <v>#N/A</v>
          </cell>
          <cell r="AK115" t="e">
            <v>#N/A</v>
          </cell>
          <cell r="AL115" t="e">
            <v>#N/A</v>
          </cell>
          <cell r="AM115" t="e">
            <v>#N/A</v>
          </cell>
          <cell r="AN115" t="e">
            <v>#N/A</v>
          </cell>
          <cell r="AO115" t="str">
            <v>Công ty Phú Mỹ</v>
          </cell>
          <cell r="AQ115" t="str">
            <v>1603030-1</v>
          </cell>
          <cell r="BA115" t="str">
            <v>525x750</v>
          </cell>
          <cell r="BB115" t="str">
            <v>V1</v>
          </cell>
        </row>
        <row r="116">
          <cell r="A116" t="str">
            <v>sp 508</v>
          </cell>
          <cell r="B116" t="str">
            <v>Cuộn thạch rau câu hoa quả trung tín</v>
          </cell>
          <cell r="E116">
            <v>4</v>
          </cell>
          <cell r="F116">
            <v>4</v>
          </cell>
          <cell r="AO116" t="str">
            <v>Công ty Đồng Phát</v>
          </cell>
          <cell r="AQ116" t="str">
            <v>1602085-1</v>
          </cell>
          <cell r="AR116" t="str">
            <v>1602085-2</v>
          </cell>
          <cell r="AS116" t="str">
            <v>1602085-3</v>
          </cell>
          <cell r="AT116" t="str">
            <v>1602085-4</v>
          </cell>
          <cell r="BA116" t="str">
            <v>519x750</v>
          </cell>
          <cell r="BB116" t="str">
            <v>N3</v>
          </cell>
          <cell r="BD116" t="str">
            <v>trục của ĐP</v>
          </cell>
        </row>
        <row r="117">
          <cell r="A117" t="str">
            <v>sp 509</v>
          </cell>
          <cell r="B117" t="str">
            <v>Túi chè tân cương phúc linh 100gr</v>
          </cell>
          <cell r="C117">
            <v>3.3</v>
          </cell>
          <cell r="D117" t="str">
            <v>BOPP 20x540</v>
          </cell>
          <cell r="E117">
            <v>5</v>
          </cell>
          <cell r="F117">
            <v>5</v>
          </cell>
          <cell r="G117" t="str">
            <v>BOPP</v>
          </cell>
          <cell r="H117">
            <v>0.1</v>
          </cell>
          <cell r="I117">
            <v>0.1</v>
          </cell>
          <cell r="J117">
            <v>0.5</v>
          </cell>
          <cell r="K117">
            <v>0.1</v>
          </cell>
          <cell r="L117">
            <v>1</v>
          </cell>
          <cell r="M117">
            <v>1.5</v>
          </cell>
          <cell r="AE117" t="str">
            <v>CPP 40x540</v>
          </cell>
          <cell r="AG117">
            <v>2.9484000000000003E-2</v>
          </cell>
          <cell r="AH117">
            <v>0.70666666666666667</v>
          </cell>
          <cell r="AJ117">
            <v>9530</v>
          </cell>
          <cell r="AK117">
            <v>2E-3</v>
          </cell>
          <cell r="AM117" t="str">
            <v>Túi hàn lưng lệch</v>
          </cell>
          <cell r="AN117">
            <v>215</v>
          </cell>
          <cell r="AO117" t="str">
            <v>Công ty Phúc Linh</v>
          </cell>
          <cell r="AQ117" t="str">
            <v>1604095-1</v>
          </cell>
          <cell r="AR117" t="str">
            <v>1604095-2</v>
          </cell>
          <cell r="AS117" t="str">
            <v>1604095-3</v>
          </cell>
          <cell r="AT117" t="str">
            <v>1604095-4</v>
          </cell>
          <cell r="AU117" t="str">
            <v>1604095-5</v>
          </cell>
          <cell r="BA117" t="str">
            <v>430x750</v>
          </cell>
          <cell r="BB117" t="str">
            <v>N3</v>
          </cell>
        </row>
        <row r="118">
          <cell r="A118" t="str">
            <v>sp 519</v>
          </cell>
          <cell r="B118" t="str">
            <v>cuộn thach nagisa nghiêm gia</v>
          </cell>
          <cell r="E118">
            <v>5</v>
          </cell>
          <cell r="F118">
            <v>5</v>
          </cell>
          <cell r="AO118" t="str">
            <v>Công ty Đồng Phát</v>
          </cell>
          <cell r="AQ118" t="str">
            <v>1604524-1</v>
          </cell>
          <cell r="AR118" t="str">
            <v>1604524-2</v>
          </cell>
          <cell r="AS118" t="str">
            <v>1604524-3</v>
          </cell>
          <cell r="AT118" t="str">
            <v>1604524-4</v>
          </cell>
          <cell r="AU118" t="str">
            <v>1604524-5</v>
          </cell>
          <cell r="BA118" t="str">
            <v>510x750</v>
          </cell>
          <cell r="BB118" t="str">
            <v>N3</v>
          </cell>
        </row>
        <row r="119">
          <cell r="A119" t="str">
            <v>sp 521</v>
          </cell>
          <cell r="B119" t="str">
            <v>túi hương thơm KT 240 x 490 liên đức</v>
          </cell>
          <cell r="C119">
            <v>2.6</v>
          </cell>
          <cell r="D119" t="str">
            <v>BOPP 20x500</v>
          </cell>
          <cell r="E119">
            <v>2</v>
          </cell>
          <cell r="F119">
            <v>2</v>
          </cell>
          <cell r="G119" t="str">
            <v>BOPP</v>
          </cell>
          <cell r="L119">
            <v>0.6</v>
          </cell>
          <cell r="P119">
            <v>1.5</v>
          </cell>
          <cell r="Q119">
            <v>0.5</v>
          </cell>
          <cell r="AE119" t="str">
            <v>CPP 30x500</v>
          </cell>
          <cell r="AG119">
            <v>2.2749999999999999E-2</v>
          </cell>
          <cell r="AH119">
            <v>0.65333333333333332</v>
          </cell>
          <cell r="AJ119">
            <v>9530</v>
          </cell>
          <cell r="AK119">
            <v>2E-3</v>
          </cell>
          <cell r="AM119">
            <v>0</v>
          </cell>
          <cell r="AO119" t="str">
            <v>DNTN Bảy lương (Tâm Đức)</v>
          </cell>
          <cell r="AQ119" t="str">
            <v>1604778-1</v>
          </cell>
          <cell r="AR119" t="str">
            <v>1604778-2</v>
          </cell>
          <cell r="BA119" t="str">
            <v>490x750</v>
          </cell>
          <cell r="BB119" t="str">
            <v>N3</v>
          </cell>
        </row>
        <row r="120">
          <cell r="A120" t="str">
            <v>sp 525</v>
          </cell>
          <cell r="B120" t="str">
            <v>cuộn thạch rau câu tân hùng thái</v>
          </cell>
          <cell r="E120">
            <v>4</v>
          </cell>
          <cell r="F120">
            <v>4</v>
          </cell>
          <cell r="AO120" t="str">
            <v>Công ty Đồng Phát</v>
          </cell>
          <cell r="AQ120" t="str">
            <v>1604915-1</v>
          </cell>
          <cell r="AR120" t="str">
            <v>1604915-2</v>
          </cell>
          <cell r="AS120" t="str">
            <v>1604915-3</v>
          </cell>
          <cell r="AT120" t="str">
            <v>1604915-4</v>
          </cell>
          <cell r="BA120" t="str">
            <v>519x750</v>
          </cell>
          <cell r="BB120" t="str">
            <v>N3</v>
          </cell>
        </row>
        <row r="121">
          <cell r="A121" t="str">
            <v>sp 550</v>
          </cell>
          <cell r="B121" t="str">
            <v>Cuộn thuốc diệt cỏ rorax 10 WP loai 5gr Việt Thắng</v>
          </cell>
          <cell r="C121">
            <v>4.3999999999999995</v>
          </cell>
          <cell r="D121" t="str">
            <v>PET 12x800</v>
          </cell>
          <cell r="E121">
            <v>8</v>
          </cell>
          <cell r="F121">
            <v>8</v>
          </cell>
          <cell r="G121" t="str">
            <v xml:space="preserve">PET </v>
          </cell>
          <cell r="H121">
            <v>0.6</v>
          </cell>
          <cell r="I121">
            <v>1.3</v>
          </cell>
          <cell r="J121">
            <v>0.4</v>
          </cell>
          <cell r="K121">
            <v>0.1</v>
          </cell>
          <cell r="L121">
            <v>0.5</v>
          </cell>
          <cell r="M121">
            <v>1.1000000000000001</v>
          </cell>
          <cell r="O121">
            <v>0.2</v>
          </cell>
          <cell r="P121">
            <v>0.1</v>
          </cell>
          <cell r="R121">
            <v>0.1</v>
          </cell>
          <cell r="AE121" t="str">
            <v>Al 6x800</v>
          </cell>
          <cell r="AF121" t="str">
            <v>PE 75x810</v>
          </cell>
          <cell r="AG121">
            <v>8.1948000000000007E-2</v>
          </cell>
          <cell r="AH121">
            <v>1.2113333333333334</v>
          </cell>
          <cell r="AI121">
            <v>1.2113333333333334</v>
          </cell>
          <cell r="AJ121">
            <v>9530</v>
          </cell>
          <cell r="AK121" t="str">
            <v>0,0046(0,0023;0,0023)</v>
          </cell>
          <cell r="AM121" t="str">
            <v>dạng cuộn 700m</v>
          </cell>
          <cell r="AN121">
            <v>260</v>
          </cell>
          <cell r="AO121" t="str">
            <v>Công ty Việt Thắng</v>
          </cell>
          <cell r="AQ121" t="str">
            <v>1606159-1</v>
          </cell>
          <cell r="AR121" t="str">
            <v>17111056-2</v>
          </cell>
          <cell r="AS121" t="str">
            <v>19101151-3</v>
          </cell>
          <cell r="AT121" t="str">
            <v>1606159-4</v>
          </cell>
          <cell r="AU121" t="str">
            <v>1606159-5</v>
          </cell>
          <cell r="AV121" t="str">
            <v>1606159-6</v>
          </cell>
          <cell r="AW121" t="str">
            <v>1606159-7</v>
          </cell>
          <cell r="AX121" t="str">
            <v>1606159-8</v>
          </cell>
          <cell r="BA121" t="str">
            <v>450x850</v>
          </cell>
          <cell r="BB121" t="str">
            <v>D1</v>
          </cell>
        </row>
        <row r="122">
          <cell r="A122" t="str">
            <v>sp 552</v>
          </cell>
          <cell r="B122" t="str">
            <v>Túi thuốc trừ cỏ mía Wamrincomnbi 
800WP loại 1kg</v>
          </cell>
          <cell r="C122">
            <v>4.1999999999999993</v>
          </cell>
          <cell r="D122" t="str">
            <v>PET 12x760</v>
          </cell>
          <cell r="E122">
            <v>6</v>
          </cell>
          <cell r="F122">
            <v>6</v>
          </cell>
          <cell r="G122" t="str">
            <v xml:space="preserve">PET </v>
          </cell>
          <cell r="H122">
            <v>0.2</v>
          </cell>
          <cell r="I122">
            <v>1.2</v>
          </cell>
          <cell r="J122">
            <v>2</v>
          </cell>
          <cell r="K122">
            <v>0.2</v>
          </cell>
          <cell r="L122">
            <v>0.5</v>
          </cell>
          <cell r="R122">
            <v>0.1</v>
          </cell>
          <cell r="AE122" t="str">
            <v>Al 6x760</v>
          </cell>
          <cell r="AF122" t="str">
            <v>PE 80x770</v>
          </cell>
          <cell r="AG122">
            <v>8.136560000000001E-2</v>
          </cell>
          <cell r="AH122">
            <v>1.25</v>
          </cell>
          <cell r="AI122">
            <v>1.75</v>
          </cell>
          <cell r="AJ122">
            <v>9530</v>
          </cell>
          <cell r="AK122" t="str">
            <v>0.006(0.0025;0.0035)</v>
          </cell>
          <cell r="AM122" t="str">
            <v>túi ba biên</v>
          </cell>
          <cell r="AN122">
            <v>275</v>
          </cell>
          <cell r="AO122" t="str">
            <v>Công ty Việt Thắng</v>
          </cell>
          <cell r="AQ122" t="str">
            <v>21050949-1</v>
          </cell>
          <cell r="AR122" t="str">
            <v>1803821-2</v>
          </cell>
          <cell r="AS122" t="str">
            <v>21050949-3</v>
          </cell>
          <cell r="AT122" t="str">
            <v>21050949-4</v>
          </cell>
          <cell r="AU122" t="str">
            <v>21050949-5</v>
          </cell>
          <cell r="AV122" t="str">
            <v>1606574-6</v>
          </cell>
          <cell r="BA122" t="str">
            <v>550x850</v>
          </cell>
          <cell r="BB122" t="str">
            <v>D1</v>
          </cell>
        </row>
        <row r="123">
          <cell r="A123" t="str">
            <v>sp 553</v>
          </cell>
          <cell r="B123" t="str">
            <v>Túi thuốc trừ cỏ mía Wamrincomnbi 
800WP loại 500gr</v>
          </cell>
          <cell r="C123">
            <v>2.7</v>
          </cell>
          <cell r="D123" t="str">
            <v>PET 12x760</v>
          </cell>
          <cell r="E123">
            <v>1</v>
          </cell>
          <cell r="F123">
            <v>6</v>
          </cell>
          <cell r="G123" t="str">
            <v xml:space="preserve">PET </v>
          </cell>
          <cell r="H123">
            <v>0.2</v>
          </cell>
          <cell r="I123">
            <v>1.2</v>
          </cell>
          <cell r="J123">
            <v>0.4</v>
          </cell>
          <cell r="K123">
            <v>0.2</v>
          </cell>
          <cell r="L123">
            <v>0.5</v>
          </cell>
          <cell r="R123">
            <v>0.2</v>
          </cell>
          <cell r="AE123" t="str">
            <v>Al 6x760</v>
          </cell>
          <cell r="AF123" t="str">
            <v>PE 80x770</v>
          </cell>
          <cell r="AG123">
            <v>8.136560000000001E-2</v>
          </cell>
          <cell r="AH123">
            <v>1.25</v>
          </cell>
          <cell r="AI123">
            <v>1.75</v>
          </cell>
          <cell r="AJ123">
            <v>9530</v>
          </cell>
          <cell r="AK123" t="str">
            <v>0.006(0.0025;0.0035)</v>
          </cell>
          <cell r="AM123" t="str">
            <v>túi ba biên</v>
          </cell>
          <cell r="AN123">
            <v>275</v>
          </cell>
          <cell r="AO123" t="str">
            <v>Công ty Việt Thắng</v>
          </cell>
          <cell r="AQ123" t="str">
            <v>1803821-1</v>
          </cell>
          <cell r="AR123" t="str">
            <v>1803821-2</v>
          </cell>
          <cell r="AS123" t="str">
            <v>1803821-3</v>
          </cell>
          <cell r="AT123" t="str">
            <v>1606575-4</v>
          </cell>
          <cell r="AU123" t="str">
            <v>1803821-5</v>
          </cell>
          <cell r="AV123" t="str">
            <v>1606574-6</v>
          </cell>
          <cell r="BA123" t="str">
            <v>550x850</v>
          </cell>
          <cell r="BB123" t="str">
            <v>D1</v>
          </cell>
          <cell r="BC123" t="str">
            <v>chung bộ sp 552 trừ cây đỏ sen/cờ</v>
          </cell>
        </row>
        <row r="125">
          <cell r="A125" t="str">
            <v>sp 557</v>
          </cell>
          <cell r="B125" t="str">
            <v>Cuộn  thuốc trừ sâu Tasieu 5WG loại 5g việt thắng</v>
          </cell>
          <cell r="C125">
            <v>4.9000000000000004</v>
          </cell>
          <cell r="D125" t="str">
            <v>PET 12x740</v>
          </cell>
          <cell r="E125">
            <v>7</v>
          </cell>
          <cell r="F125">
            <v>7</v>
          </cell>
          <cell r="G125" t="str">
            <v xml:space="preserve">PET </v>
          </cell>
          <cell r="H125">
            <v>0.3</v>
          </cell>
          <cell r="I125">
            <v>2.5</v>
          </cell>
          <cell r="J125">
            <v>0.3</v>
          </cell>
          <cell r="K125">
            <v>0.1</v>
          </cell>
          <cell r="L125">
            <v>0.4</v>
          </cell>
          <cell r="M125">
            <v>0.5</v>
          </cell>
          <cell r="P125">
            <v>0.4</v>
          </cell>
          <cell r="R125">
            <v>0.4</v>
          </cell>
          <cell r="AE125" t="str">
            <v>Al 6x740</v>
          </cell>
          <cell r="AF125" t="str">
            <v>PE 75x740</v>
          </cell>
          <cell r="AG125">
            <v>7.5801899999999992E-2</v>
          </cell>
          <cell r="AH125">
            <v>1.1193333333333333</v>
          </cell>
          <cell r="AI125">
            <v>1.1193333333333333</v>
          </cell>
          <cell r="AJ125">
            <v>9530</v>
          </cell>
          <cell r="AK125" t="str">
            <v>0,0046(0,0023;0,0023)</v>
          </cell>
          <cell r="AM125" t="str">
            <v>dạng cuộn 700m</v>
          </cell>
          <cell r="AN125">
            <v>180</v>
          </cell>
          <cell r="AO125" t="str">
            <v>Công ty Việt Thắng</v>
          </cell>
          <cell r="AQ125" t="str">
            <v>F114487G7-1</v>
          </cell>
          <cell r="AR125" t="str">
            <v>F114487-2</v>
          </cell>
          <cell r="AS125" t="str">
            <v>F114487-3</v>
          </cell>
          <cell r="AT125" t="str">
            <v>F114487G8-4</v>
          </cell>
          <cell r="AU125" t="str">
            <v>F114487-5</v>
          </cell>
          <cell r="AV125" t="str">
            <v>F114487-6</v>
          </cell>
          <cell r="AW125" t="str">
            <v>F114487-7</v>
          </cell>
          <cell r="BA125" t="str">
            <v>456x840</v>
          </cell>
          <cell r="BB125" t="str">
            <v>D1</v>
          </cell>
        </row>
        <row r="128">
          <cell r="A128" t="str">
            <v>sp 566</v>
          </cell>
          <cell r="B128" t="str">
            <v>Túi chè lụa màu vàng tân cương và đặc
 sản 100g</v>
          </cell>
          <cell r="C128">
            <v>6.5</v>
          </cell>
          <cell r="D128" t="str">
            <v>OPP mờ 20x740</v>
          </cell>
          <cell r="E128">
            <v>7</v>
          </cell>
          <cell r="F128">
            <v>7</v>
          </cell>
          <cell r="G128" t="str">
            <v xml:space="preserve">OPP </v>
          </cell>
          <cell r="H128">
            <v>0.1</v>
          </cell>
          <cell r="I128">
            <v>2.7</v>
          </cell>
          <cell r="J128">
            <v>0.3</v>
          </cell>
          <cell r="K128">
            <v>0.1</v>
          </cell>
          <cell r="L128">
            <v>2</v>
          </cell>
          <cell r="M128">
            <v>1</v>
          </cell>
          <cell r="S128">
            <v>0.3</v>
          </cell>
          <cell r="AE128" t="str">
            <v>MPET 12x740</v>
          </cell>
          <cell r="AF128" t="str">
            <v>PE 75x740</v>
          </cell>
          <cell r="AG128">
            <v>7.7237500000000001E-2</v>
          </cell>
          <cell r="AH128">
            <v>1.2166666666666668</v>
          </cell>
          <cell r="AI128">
            <v>1.46</v>
          </cell>
          <cell r="AJ128">
            <v>9530</v>
          </cell>
          <cell r="AK128" t="str">
            <v>0,0055(0,0025;0,003)</v>
          </cell>
          <cell r="AM128" t="str">
            <v>túi hàn lưng xếp hông</v>
          </cell>
          <cell r="AN128">
            <v>270</v>
          </cell>
          <cell r="AO128" t="str">
            <v>Bùi Văn Sỹ</v>
          </cell>
          <cell r="AQ128" t="str">
            <v>1607495-1</v>
          </cell>
          <cell r="AR128" t="str">
            <v>1812617-2-2</v>
          </cell>
          <cell r="AS128" t="str">
            <v>1607495-3</v>
          </cell>
          <cell r="AT128" t="str">
            <v>1607495-4</v>
          </cell>
          <cell r="AU128" t="str">
            <v>1607495-5</v>
          </cell>
          <cell r="AV128" t="str">
            <v>1607495-6</v>
          </cell>
          <cell r="AW128" t="str">
            <v>1607495-7</v>
          </cell>
          <cell r="BA128" t="str">
            <v>540x850</v>
          </cell>
          <cell r="BB128" t="str">
            <v>F1</v>
          </cell>
          <cell r="BC128" t="str">
            <v>in chung sp 663+794</v>
          </cell>
        </row>
        <row r="129">
          <cell r="A129" t="str">
            <v>sp 567</v>
          </cell>
          <cell r="B129" t="str">
            <v>Túi chè lụa màu vàng tân cương và đặc  sản 200g</v>
          </cell>
          <cell r="C129">
            <v>6.7000000000000011</v>
          </cell>
          <cell r="D129" t="str">
            <v>OPP mờ 20x920</v>
          </cell>
          <cell r="E129">
            <v>7</v>
          </cell>
          <cell r="F129">
            <v>7</v>
          </cell>
          <cell r="G129" t="str">
            <v xml:space="preserve">OPP </v>
          </cell>
          <cell r="H129">
            <v>0.15</v>
          </cell>
          <cell r="I129">
            <v>2.7</v>
          </cell>
          <cell r="J129">
            <v>0.35</v>
          </cell>
          <cell r="K129">
            <v>0.1</v>
          </cell>
          <cell r="L129">
            <v>2</v>
          </cell>
          <cell r="M129">
            <v>1</v>
          </cell>
          <cell r="S129">
            <v>0.4</v>
          </cell>
          <cell r="AE129" t="str">
            <v>MPET 12x920</v>
          </cell>
          <cell r="AF129" t="str">
            <v>PE 75x920</v>
          </cell>
          <cell r="AG129">
            <v>9.6025000000000013E-2</v>
          </cell>
          <cell r="AH129">
            <v>1.3953333333333333</v>
          </cell>
          <cell r="AI129">
            <v>1.82</v>
          </cell>
          <cell r="AJ129">
            <v>9530</v>
          </cell>
          <cell r="AK129" t="str">
            <v>0,0053(0,0023;0,003)</v>
          </cell>
          <cell r="AM129" t="str">
            <v>túi hàn lưng xếp hông</v>
          </cell>
          <cell r="AN129">
            <v>340</v>
          </cell>
          <cell r="AO129" t="str">
            <v>Bùi Văn Sỹ</v>
          </cell>
          <cell r="AQ129" t="str">
            <v>1607496-1</v>
          </cell>
          <cell r="AR129" t="str">
            <v>1607496-2</v>
          </cell>
          <cell r="AS129" t="str">
            <v>1607496-3</v>
          </cell>
          <cell r="AT129" t="str">
            <v>1607496-4</v>
          </cell>
          <cell r="AU129" t="str">
            <v>1607496-5</v>
          </cell>
          <cell r="AV129" t="str">
            <v>1607496-6</v>
          </cell>
          <cell r="AW129" t="str">
            <v>1607496-7</v>
          </cell>
          <cell r="BA129" t="str">
            <v>680x1100</v>
          </cell>
          <cell r="BB129" t="str">
            <v>F1</v>
          </cell>
          <cell r="BC129" t="str">
            <v>in chung sp 626</v>
          </cell>
        </row>
        <row r="130">
          <cell r="A130" t="str">
            <v>sp 568</v>
          </cell>
          <cell r="B130" t="str">
            <v>Túi chè lụa màu vàng tân cương và đặc  sản 500g</v>
          </cell>
          <cell r="C130">
            <v>6.8000000000000007</v>
          </cell>
          <cell r="D130" t="str">
            <v>OPP mờ 20x760</v>
          </cell>
          <cell r="E130">
            <v>7</v>
          </cell>
          <cell r="F130">
            <v>7</v>
          </cell>
          <cell r="G130" t="str">
            <v xml:space="preserve">OPP </v>
          </cell>
          <cell r="H130">
            <v>0.2</v>
          </cell>
          <cell r="I130">
            <v>2.7</v>
          </cell>
          <cell r="J130">
            <v>0.3</v>
          </cell>
          <cell r="K130">
            <v>0.2</v>
          </cell>
          <cell r="L130">
            <v>2</v>
          </cell>
          <cell r="M130">
            <v>1</v>
          </cell>
          <cell r="S130">
            <v>0.4</v>
          </cell>
          <cell r="AE130" t="str">
            <v>MPET 12x760</v>
          </cell>
          <cell r="AF130" t="str">
            <v>PE 75x760</v>
          </cell>
          <cell r="AG130">
            <v>7.9325000000000007E-2</v>
          </cell>
          <cell r="AH130">
            <v>1.1499999999999999</v>
          </cell>
          <cell r="AI130">
            <v>1.5</v>
          </cell>
          <cell r="AJ130">
            <v>9530</v>
          </cell>
          <cell r="AK130" t="str">
            <v>0,0053(0,0023;0,003)</v>
          </cell>
          <cell r="AM130" t="str">
            <v>túi hàn lưng xếp hông</v>
          </cell>
          <cell r="AN130">
            <v>420</v>
          </cell>
          <cell r="AO130" t="str">
            <v>Bùi Văn Sỹ</v>
          </cell>
          <cell r="AQ130" t="str">
            <v>1801664-1</v>
          </cell>
          <cell r="AR130" t="str">
            <v>1801664-2</v>
          </cell>
          <cell r="AS130" t="str">
            <v>1607497-3</v>
          </cell>
          <cell r="AT130" t="str">
            <v>1801664-4</v>
          </cell>
          <cell r="AU130" t="str">
            <v>1607497-5</v>
          </cell>
          <cell r="AV130" t="str">
            <v>1607497-6</v>
          </cell>
          <cell r="AW130" t="str">
            <v>1607497-7</v>
          </cell>
          <cell r="BA130" t="str">
            <v>420x850</v>
          </cell>
          <cell r="BB130" t="str">
            <v>F1</v>
          </cell>
          <cell r="BC130" t="str">
            <v>in chung bộ sp 608 ; chung cây trắng với sp 808+832</v>
          </cell>
        </row>
        <row r="131">
          <cell r="A131" t="str">
            <v>sp 570</v>
          </cell>
          <cell r="B131" t="str">
            <v>Cuộn ngô DT 6869 1kg Đại Thành</v>
          </cell>
          <cell r="C131">
            <v>3.0000000000000004</v>
          </cell>
          <cell r="D131" t="str">
            <v>PA 15x820</v>
          </cell>
          <cell r="E131">
            <v>7</v>
          </cell>
          <cell r="F131">
            <v>7</v>
          </cell>
          <cell r="G131" t="str">
            <v xml:space="preserve">PA </v>
          </cell>
          <cell r="H131">
            <v>0.1</v>
          </cell>
          <cell r="J131">
            <v>0.1</v>
          </cell>
          <cell r="K131">
            <v>0.3</v>
          </cell>
          <cell r="L131">
            <v>0.2</v>
          </cell>
          <cell r="M131">
            <v>2</v>
          </cell>
          <cell r="O131">
            <v>0.2</v>
          </cell>
          <cell r="R131">
            <v>0.1</v>
          </cell>
          <cell r="AE131" t="str">
            <v>PE sứ 95x820</v>
          </cell>
          <cell r="AG131">
            <v>8.6202500000000001E-2</v>
          </cell>
          <cell r="AH131">
            <v>1.35</v>
          </cell>
          <cell r="AJ131">
            <v>9530</v>
          </cell>
          <cell r="AK131">
            <v>2.5000000000000001E-3</v>
          </cell>
          <cell r="AM131" t="str">
            <v>dạng cuộn 500m</v>
          </cell>
          <cell r="AN131">
            <v>400</v>
          </cell>
          <cell r="AO131" t="str">
            <v>Công ty Đại Thành</v>
          </cell>
          <cell r="AQ131" t="str">
            <v>16071384-1</v>
          </cell>
          <cell r="AR131" t="str">
            <v>16071384-2</v>
          </cell>
          <cell r="AS131" t="str">
            <v>16071384-3</v>
          </cell>
          <cell r="AT131" t="str">
            <v>16071384-4</v>
          </cell>
          <cell r="AU131" t="str">
            <v>16071384-5</v>
          </cell>
          <cell r="AV131" t="str">
            <v>16071384-6</v>
          </cell>
          <cell r="AW131" t="str">
            <v>16071384-7</v>
          </cell>
          <cell r="BA131" t="str">
            <v>580x900</v>
          </cell>
          <cell r="BB131" t="str">
            <v>N3</v>
          </cell>
        </row>
        <row r="132">
          <cell r="A132" t="str">
            <v>sp 596</v>
          </cell>
          <cell r="B132" t="str">
            <v>Cuộn thuốc trừ sâu aceny 4,2 EC loại 15ml 
mekong</v>
          </cell>
          <cell r="C132" t="e">
            <v>#N/A</v>
          </cell>
          <cell r="E132">
            <v>5</v>
          </cell>
          <cell r="F132">
            <v>5</v>
          </cell>
          <cell r="G132" t="e">
            <v>#N/A</v>
          </cell>
          <cell r="H132" t="e">
            <v>#N/A</v>
          </cell>
          <cell r="I132" t="e">
            <v>#N/A</v>
          </cell>
          <cell r="J132" t="e">
            <v>#N/A</v>
          </cell>
          <cell r="K132" t="e">
            <v>#N/A</v>
          </cell>
          <cell r="L132" t="e">
            <v>#N/A</v>
          </cell>
          <cell r="M132" t="e">
            <v>#N/A</v>
          </cell>
          <cell r="N132" t="e">
            <v>#N/A</v>
          </cell>
          <cell r="O132" t="e">
            <v>#N/A</v>
          </cell>
          <cell r="P132" t="e">
            <v>#N/A</v>
          </cell>
          <cell r="Q132" t="e">
            <v>#N/A</v>
          </cell>
          <cell r="R132" t="e">
            <v>#N/A</v>
          </cell>
          <cell r="S132" t="e">
            <v>#N/A</v>
          </cell>
          <cell r="T132" t="e">
            <v>#N/A</v>
          </cell>
          <cell r="U132" t="e">
            <v>#N/A</v>
          </cell>
          <cell r="V132" t="e">
            <v>#N/A</v>
          </cell>
          <cell r="W132" t="e">
            <v>#N/A</v>
          </cell>
          <cell r="X132" t="e">
            <v>#N/A</v>
          </cell>
          <cell r="Y132" t="e">
            <v>#N/A</v>
          </cell>
          <cell r="Z132" t="e">
            <v>#N/A</v>
          </cell>
          <cell r="AA132" t="e">
            <v>#N/A</v>
          </cell>
          <cell r="AB132" t="e">
            <v>#N/A</v>
          </cell>
          <cell r="AC132" t="e">
            <v>#N/A</v>
          </cell>
          <cell r="AD132" t="e">
            <v>#N/A</v>
          </cell>
          <cell r="AE132" t="e">
            <v>#N/A</v>
          </cell>
          <cell r="AF132" t="e">
            <v>#N/A</v>
          </cell>
          <cell r="AG132" t="e">
            <v>#N/A</v>
          </cell>
          <cell r="AH132" t="e">
            <v>#N/A</v>
          </cell>
          <cell r="AI132" t="e">
            <v>#N/A</v>
          </cell>
          <cell r="AJ132" t="e">
            <v>#N/A</v>
          </cell>
          <cell r="AK132" t="e">
            <v>#N/A</v>
          </cell>
          <cell r="AL132" t="e">
            <v>#N/A</v>
          </cell>
          <cell r="AM132" t="e">
            <v>#N/A</v>
          </cell>
          <cell r="AN132" t="e">
            <v>#N/A</v>
          </cell>
          <cell r="AO132" t="str">
            <v>Công ty CP Green Mekong</v>
          </cell>
          <cell r="AQ132" t="str">
            <v>1607595-1</v>
          </cell>
          <cell r="AR132" t="str">
            <v>1607595-2</v>
          </cell>
          <cell r="AS132" t="str">
            <v>1607595-3</v>
          </cell>
          <cell r="AT132" t="str">
            <v>1607595-4</v>
          </cell>
          <cell r="AU132" t="str">
            <v>1607595-5</v>
          </cell>
          <cell r="BA132" t="str">
            <v>500x750</v>
          </cell>
          <cell r="BB132" t="str">
            <v>O1</v>
          </cell>
        </row>
        <row r="133">
          <cell r="A133" t="str">
            <v>sp 599</v>
          </cell>
          <cell r="B133" t="str">
            <v xml:space="preserve">Túi bánh trung thu nhật nguyệt </v>
          </cell>
          <cell r="C133">
            <v>1.7</v>
          </cell>
          <cell r="D133" t="str">
            <v>OPP mờ 20x580</v>
          </cell>
          <cell r="E133">
            <v>2</v>
          </cell>
          <cell r="F133">
            <v>2</v>
          </cell>
          <cell r="G133" t="str">
            <v xml:space="preserve">OPP </v>
          </cell>
          <cell r="S133">
            <v>0.7</v>
          </cell>
          <cell r="T133">
            <v>1</v>
          </cell>
          <cell r="AE133" t="str">
            <v>PE 50x580</v>
          </cell>
          <cell r="AG133">
            <v>3.7381000000000005E-2</v>
          </cell>
          <cell r="AH133">
            <v>0.87399999999999989</v>
          </cell>
          <cell r="AJ133">
            <v>9530</v>
          </cell>
          <cell r="AK133">
            <v>2.3E-3</v>
          </cell>
          <cell r="AM133" t="str">
            <v>túi hàn lưng xếp hông</v>
          </cell>
          <cell r="AN133">
            <v>150</v>
          </cell>
          <cell r="AO133" t="str">
            <v>Công ty Thực Phẩm Nhật Nguyệt</v>
          </cell>
          <cell r="AQ133" t="str">
            <v>1601320-1</v>
          </cell>
          <cell r="AR133" t="str">
            <v>1601320-2</v>
          </cell>
          <cell r="BA133" t="str">
            <v>450x750</v>
          </cell>
          <cell r="BB133" t="str">
            <v>O1</v>
          </cell>
        </row>
        <row r="134">
          <cell r="A134" t="str">
            <v>sp 605</v>
          </cell>
          <cell r="B134" t="str">
            <v>Túi tasieu khủng long 5WG F1000 loại 15g Việt Thắng</v>
          </cell>
          <cell r="C134">
            <v>4.5999999999999996</v>
          </cell>
          <cell r="D134" t="str">
            <v>PET 12x620</v>
          </cell>
          <cell r="E134">
            <v>7</v>
          </cell>
          <cell r="F134">
            <v>7</v>
          </cell>
          <cell r="G134" t="str">
            <v xml:space="preserve">PET </v>
          </cell>
          <cell r="H134">
            <v>0.1</v>
          </cell>
          <cell r="I134">
            <v>1.8</v>
          </cell>
          <cell r="J134">
            <v>0.1</v>
          </cell>
          <cell r="K134">
            <v>0.3</v>
          </cell>
          <cell r="L134">
            <v>0.1</v>
          </cell>
          <cell r="M134">
            <v>2</v>
          </cell>
          <cell r="P134">
            <v>0.1</v>
          </cell>
          <cell r="R134">
            <v>0.1</v>
          </cell>
          <cell r="AE134" t="str">
            <v>Al 6x620</v>
          </cell>
          <cell r="AF134" t="str">
            <v>PE 75x630</v>
          </cell>
          <cell r="AG134">
            <v>6.3509700000000002E-2</v>
          </cell>
          <cell r="AH134">
            <v>0.93533333333333324</v>
          </cell>
          <cell r="AI134">
            <v>1.22</v>
          </cell>
          <cell r="AJ134">
            <v>9530</v>
          </cell>
          <cell r="AK134" t="str">
            <v>0,0053(0,0023;0,003)</v>
          </cell>
          <cell r="AM134" t="str">
            <v>Cuộn</v>
          </cell>
          <cell r="AO134" t="str">
            <v>Công ty Việt Thắng</v>
          </cell>
          <cell r="AQ134" t="str">
            <v>F114908G3-1</v>
          </cell>
          <cell r="AR134" t="str">
            <v>F114908-2</v>
          </cell>
          <cell r="AS134" t="str">
            <v>F114908-3</v>
          </cell>
          <cell r="AT134" t="str">
            <v>F114908-4</v>
          </cell>
          <cell r="AU134" t="str">
            <v>F114908-5</v>
          </cell>
          <cell r="AV134" t="str">
            <v>F114908-6</v>
          </cell>
          <cell r="AW134" t="str">
            <v>F114908-7</v>
          </cell>
          <cell r="BA134" t="str">
            <v>450x750</v>
          </cell>
          <cell r="BB134" t="str">
            <v>D1</v>
          </cell>
          <cell r="BC134" t="str">
            <v>in chung sp 606 trừ Đỏ cờ và Đen</v>
          </cell>
        </row>
        <row r="135">
          <cell r="A135" t="str">
            <v>sp 606</v>
          </cell>
          <cell r="B135" t="str">
            <v>Túi tasieu khủng long 5WG F900 loại 10g 
Việt Thắng</v>
          </cell>
          <cell r="C135">
            <v>6.3999999999999986</v>
          </cell>
          <cell r="D135" t="str">
            <v>PET 12x620</v>
          </cell>
          <cell r="E135">
            <v>2</v>
          </cell>
          <cell r="F135">
            <v>7</v>
          </cell>
          <cell r="G135" t="str">
            <v xml:space="preserve">PET </v>
          </cell>
          <cell r="H135">
            <v>0.1</v>
          </cell>
          <cell r="I135">
            <v>5</v>
          </cell>
          <cell r="J135">
            <v>0.1</v>
          </cell>
          <cell r="K135">
            <v>0.3</v>
          </cell>
          <cell r="L135">
            <v>0.7</v>
          </cell>
          <cell r="P135">
            <v>0.1</v>
          </cell>
          <cell r="R135">
            <v>0.1</v>
          </cell>
          <cell r="AE135" t="str">
            <v>Al 6x620</v>
          </cell>
          <cell r="AF135" t="str">
            <v>PE 75x630</v>
          </cell>
          <cell r="AG135">
            <v>6.3509700000000002E-2</v>
          </cell>
          <cell r="AH135">
            <v>0.93533333333333324</v>
          </cell>
          <cell r="AI135">
            <v>1.22</v>
          </cell>
          <cell r="AJ135">
            <v>9530</v>
          </cell>
          <cell r="AK135" t="str">
            <v>0,0053(0,0023;0,003)</v>
          </cell>
          <cell r="AM135" t="str">
            <v>Cuộn</v>
          </cell>
          <cell r="AO135" t="str">
            <v>Công ty Việt Thắng</v>
          </cell>
          <cell r="AQ135" t="str">
            <v>F114911-1</v>
          </cell>
          <cell r="AR135" t="str">
            <v>F114911-2</v>
          </cell>
          <cell r="AS135" t="str">
            <v>F114908-3</v>
          </cell>
          <cell r="AT135" t="str">
            <v>F114908-4</v>
          </cell>
          <cell r="AU135" t="str">
            <v>F114908-5</v>
          </cell>
          <cell r="AV135" t="str">
            <v>F114908-6</v>
          </cell>
          <cell r="AW135" t="str">
            <v>F114908-7</v>
          </cell>
          <cell r="BA135" t="str">
            <v>450x750</v>
          </cell>
          <cell r="BB135" t="str">
            <v>D1</v>
          </cell>
          <cell r="BC135" t="str">
            <v>in chung sp 605 trừ Đỏ cờ và Đen</v>
          </cell>
        </row>
        <row r="136">
          <cell r="A136" t="str">
            <v>sp 607</v>
          </cell>
          <cell r="B136" t="str">
            <v>Cuộn thuốc trừ sâu otoxes 200 SP màu vàng loại
10g Việt Thắng</v>
          </cell>
          <cell r="C136">
            <v>7.1999999999999993</v>
          </cell>
          <cell r="D136" t="str">
            <v>PET 12x560</v>
          </cell>
          <cell r="E136">
            <v>8</v>
          </cell>
          <cell r="F136">
            <v>8</v>
          </cell>
          <cell r="G136" t="str">
            <v xml:space="preserve">PET </v>
          </cell>
          <cell r="H136">
            <v>0.1</v>
          </cell>
          <cell r="I136">
            <v>0.8</v>
          </cell>
          <cell r="J136">
            <v>0.7</v>
          </cell>
          <cell r="K136">
            <v>0.1</v>
          </cell>
          <cell r="L136">
            <v>4.3</v>
          </cell>
          <cell r="P136">
            <v>1.1000000000000001</v>
          </cell>
          <cell r="R136">
            <v>0.1</v>
          </cell>
          <cell r="AE136" t="str">
            <v>Al 6x560</v>
          </cell>
          <cell r="AF136" t="str">
            <v>PE 75x570</v>
          </cell>
          <cell r="AG136">
            <v>5.7363600000000008E-2</v>
          </cell>
          <cell r="AH136">
            <v>0.84333333333333338</v>
          </cell>
          <cell r="AI136">
            <v>1.1000000000000001</v>
          </cell>
          <cell r="AJ136">
            <v>9530</v>
          </cell>
          <cell r="AK136" t="str">
            <v>0,0053(0,0023;0,003)</v>
          </cell>
          <cell r="AM136" t="str">
            <v>Cuộn</v>
          </cell>
          <cell r="AO136" t="str">
            <v>Công ty Việt Thắng</v>
          </cell>
          <cell r="AQ136" t="str">
            <v>F114912-1</v>
          </cell>
          <cell r="AR136" t="str">
            <v>F114912-2</v>
          </cell>
          <cell r="AS136" t="str">
            <v>F114912-3</v>
          </cell>
          <cell r="AT136" t="str">
            <v>F114912-4</v>
          </cell>
          <cell r="AU136" t="str">
            <v>F114912-5</v>
          </cell>
          <cell r="AV136" t="str">
            <v>F114912-6</v>
          </cell>
          <cell r="AW136" t="str">
            <v>F114912-7</v>
          </cell>
          <cell r="AX136" t="str">
            <v>F114912-8</v>
          </cell>
          <cell r="BA136" t="str">
            <v>450x750</v>
          </cell>
          <cell r="BB136" t="str">
            <v>D1</v>
          </cell>
        </row>
        <row r="137">
          <cell r="A137" t="str">
            <v>sp 608</v>
          </cell>
          <cell r="B137" t="str">
            <v>Túi chè lụa màu xanh tân cương và đặc sản 500 gr</v>
          </cell>
          <cell r="C137">
            <v>6.6999999999999993</v>
          </cell>
          <cell r="D137" t="str">
            <v>OPP mờ 20x760</v>
          </cell>
          <cell r="E137" t="str">
            <v>sp568</v>
          </cell>
          <cell r="F137">
            <v>7</v>
          </cell>
          <cell r="G137" t="str">
            <v xml:space="preserve">OPP </v>
          </cell>
          <cell r="H137">
            <v>0.2</v>
          </cell>
          <cell r="I137">
            <v>3.2</v>
          </cell>
          <cell r="J137">
            <v>0.5</v>
          </cell>
          <cell r="K137">
            <v>0.3</v>
          </cell>
          <cell r="L137">
            <v>0.6</v>
          </cell>
          <cell r="O137">
            <v>1.4</v>
          </cell>
          <cell r="S137">
            <v>0.5</v>
          </cell>
          <cell r="AE137" t="str">
            <v>MPET 12x760</v>
          </cell>
          <cell r="AF137" t="str">
            <v>PE 65x760</v>
          </cell>
          <cell r="AG137">
            <v>7.2295000000000012E-2</v>
          </cell>
          <cell r="AH137">
            <v>1.25</v>
          </cell>
          <cell r="AI137">
            <v>1.5</v>
          </cell>
          <cell r="AJ137">
            <v>9530</v>
          </cell>
          <cell r="AK137" t="str">
            <v>0,0055(0,0025;0,003)</v>
          </cell>
          <cell r="AM137" t="str">
            <v>Túi</v>
          </cell>
          <cell r="AO137" t="str">
            <v>Bùi Văn Sỹ</v>
          </cell>
          <cell r="AQ137" t="str">
            <v>1801664-1</v>
          </cell>
          <cell r="AR137" t="str">
            <v>1801664-2</v>
          </cell>
          <cell r="AS137" t="str">
            <v>1607497-3</v>
          </cell>
          <cell r="AT137" t="str">
            <v>1801664-4</v>
          </cell>
          <cell r="AU137" t="str">
            <v>1607497-5</v>
          </cell>
          <cell r="AV137" t="str">
            <v>1607497-6</v>
          </cell>
          <cell r="AW137" t="str">
            <v>1607497-7</v>
          </cell>
          <cell r="BA137" t="str">
            <v>420x850</v>
          </cell>
          <cell r="BB137" t="str">
            <v>F1</v>
          </cell>
          <cell r="BC137" t="str">
            <v>in chung sp 568</v>
          </cell>
        </row>
        <row r="138">
          <cell r="A138" t="str">
            <v>sp 610</v>
          </cell>
          <cell r="B138" t="str">
            <v>Cuộn bánh trứng lipo bơ 2,5kg Alpha</v>
          </cell>
          <cell r="C138">
            <v>7.1400000000000006</v>
          </cell>
          <cell r="D138" t="str">
            <v>OPP 20x720</v>
          </cell>
          <cell r="E138">
            <v>7</v>
          </cell>
          <cell r="F138">
            <v>7</v>
          </cell>
          <cell r="G138" t="str">
            <v xml:space="preserve">OPP </v>
          </cell>
          <cell r="H138">
            <v>0.1</v>
          </cell>
          <cell r="I138">
            <v>3</v>
          </cell>
          <cell r="J138">
            <v>0.1</v>
          </cell>
          <cell r="K138">
            <v>0.14000000000000001</v>
          </cell>
          <cell r="L138">
            <v>2.4</v>
          </cell>
          <cell r="M138">
            <v>0.9</v>
          </cell>
          <cell r="P138">
            <v>0.2</v>
          </cell>
          <cell r="Q138">
            <v>0.3</v>
          </cell>
          <cell r="AE138" t="str">
            <v>MCPP 25x720</v>
          </cell>
          <cell r="AG138">
            <v>2.9484E-2</v>
          </cell>
          <cell r="AH138">
            <v>1.0413333333333334</v>
          </cell>
          <cell r="AJ138">
            <v>9530</v>
          </cell>
          <cell r="AK138">
            <v>2.2000000000000001E-3</v>
          </cell>
          <cell r="AM138" t="str">
            <v>Cuộn</v>
          </cell>
          <cell r="AO138" t="str">
            <v>Công ty Quốc tế Alpha</v>
          </cell>
          <cell r="AQ138" t="str">
            <v>1608428-1</v>
          </cell>
          <cell r="AR138" t="str">
            <v>1608428-2</v>
          </cell>
          <cell r="AS138" t="str">
            <v>1608428-3</v>
          </cell>
          <cell r="AT138" t="str">
            <v>1608428-4</v>
          </cell>
          <cell r="AU138" t="str">
            <v>1608428-5</v>
          </cell>
          <cell r="AV138" t="str">
            <v>1608428-6</v>
          </cell>
          <cell r="AW138" t="str">
            <v>1608428-7</v>
          </cell>
          <cell r="BA138" t="str">
            <v>460x850</v>
          </cell>
          <cell r="BB138" t="str">
            <v>C1</v>
          </cell>
        </row>
        <row r="139">
          <cell r="A139" t="str">
            <v>sp 611</v>
          </cell>
          <cell r="B139" t="str">
            <v>Cuộn màng otoxes 200SP cậu bé bắn cung 18g
 Việt Thắng</v>
          </cell>
          <cell r="C139">
            <v>4.7399999999999993</v>
          </cell>
          <cell r="D139" t="str">
            <v>PET 12x580</v>
          </cell>
          <cell r="E139">
            <v>7</v>
          </cell>
          <cell r="F139">
            <v>7</v>
          </cell>
          <cell r="G139" t="str">
            <v xml:space="preserve">PET </v>
          </cell>
          <cell r="H139">
            <v>0.1</v>
          </cell>
          <cell r="I139">
            <v>3.6</v>
          </cell>
          <cell r="J139">
            <v>0.5</v>
          </cell>
          <cell r="K139">
            <v>0.14000000000000001</v>
          </cell>
          <cell r="L139">
            <v>0.2</v>
          </cell>
          <cell r="O139">
            <v>0.1</v>
          </cell>
          <cell r="R139">
            <v>0.1</v>
          </cell>
          <cell r="AE139" t="str">
            <v>Al 6x580</v>
          </cell>
          <cell r="AF139" t="str">
            <v>PE 75x590</v>
          </cell>
          <cell r="AG139">
            <v>5.9412299999999994E-2</v>
          </cell>
          <cell r="AH139">
            <v>0.87399999999999989</v>
          </cell>
          <cell r="AI139">
            <v>1.1399999999999999</v>
          </cell>
          <cell r="AJ139">
            <v>9530</v>
          </cell>
          <cell r="AK139" t="str">
            <v>0,0053(0,0023;0,003)</v>
          </cell>
          <cell r="AM139" t="str">
            <v>Cuộn</v>
          </cell>
          <cell r="AO139" t="str">
            <v>Công ty Việt Thắng</v>
          </cell>
          <cell r="AQ139" t="str">
            <v>F115206-1</v>
          </cell>
          <cell r="AR139" t="str">
            <v>F115206-2</v>
          </cell>
          <cell r="AS139" t="str">
            <v>F115206-3</v>
          </cell>
          <cell r="AT139" t="str">
            <v>F115206-4</v>
          </cell>
          <cell r="AU139" t="str">
            <v>F115206-5</v>
          </cell>
          <cell r="AV139" t="str">
            <v>F115206-6</v>
          </cell>
          <cell r="AW139" t="str">
            <v>F115206-7</v>
          </cell>
          <cell r="BA139" t="str">
            <v>750x450</v>
          </cell>
          <cell r="BB139" t="str">
            <v>D1</v>
          </cell>
        </row>
        <row r="140">
          <cell r="A140" t="str">
            <v>sp 612</v>
          </cell>
          <cell r="B140" t="str">
            <v>Cuộn màng otoxes 200SP cậu bé bắn cung 10g
 Việt Thắng</v>
          </cell>
          <cell r="C140">
            <v>4.7399999999999993</v>
          </cell>
          <cell r="D140" t="str">
            <v>PET 12x580</v>
          </cell>
          <cell r="E140">
            <v>4</v>
          </cell>
          <cell r="F140">
            <v>7</v>
          </cell>
          <cell r="G140" t="str">
            <v xml:space="preserve">PET </v>
          </cell>
          <cell r="H140">
            <v>0.1</v>
          </cell>
          <cell r="I140">
            <v>3.6</v>
          </cell>
          <cell r="J140">
            <v>0.5</v>
          </cell>
          <cell r="K140">
            <v>0.14000000000000001</v>
          </cell>
          <cell r="L140">
            <v>0.2</v>
          </cell>
          <cell r="O140">
            <v>0.1</v>
          </cell>
          <cell r="R140">
            <v>0.1</v>
          </cell>
          <cell r="AE140" t="str">
            <v>Al 6x580</v>
          </cell>
          <cell r="AF140" t="str">
            <v>PE 75x590</v>
          </cell>
          <cell r="AG140">
            <v>5.9412299999999994E-2</v>
          </cell>
          <cell r="AH140">
            <v>0.87399999999999989</v>
          </cell>
          <cell r="AI140">
            <v>1.1399999999999999</v>
          </cell>
          <cell r="AJ140">
            <v>9530</v>
          </cell>
          <cell r="AK140" t="str">
            <v>0,0053(0,0023;0,003)</v>
          </cell>
          <cell r="AM140" t="str">
            <v>Cuộn</v>
          </cell>
          <cell r="AO140" t="str">
            <v>Công ty Việt Thắng</v>
          </cell>
          <cell r="AQ140" t="str">
            <v>F115206-1</v>
          </cell>
          <cell r="AR140" t="str">
            <v>F115208-2</v>
          </cell>
          <cell r="AS140" t="str">
            <v>F115208-3</v>
          </cell>
          <cell r="AT140" t="str">
            <v>F115208-4</v>
          </cell>
          <cell r="AU140" t="str">
            <v>F115208-5</v>
          </cell>
          <cell r="AV140" t="str">
            <v>F115208-6</v>
          </cell>
          <cell r="AW140" t="str">
            <v>F115208-7</v>
          </cell>
          <cell r="BA140" t="str">
            <v>450x750</v>
          </cell>
          <cell r="BB140" t="str">
            <v>D1</v>
          </cell>
        </row>
        <row r="141">
          <cell r="A141" t="str">
            <v>sp 613</v>
          </cell>
          <cell r="B141" t="str">
            <v>Túi thuốc trừ bệnh Ajily 77WP 100g Việt Thắng</v>
          </cell>
          <cell r="C141">
            <v>8.1999999999999993</v>
          </cell>
          <cell r="D141" t="str">
            <v>PET 12x660</v>
          </cell>
          <cell r="E141">
            <v>6</v>
          </cell>
          <cell r="F141">
            <v>6</v>
          </cell>
          <cell r="G141" t="str">
            <v xml:space="preserve">PET </v>
          </cell>
          <cell r="H141">
            <v>0.1</v>
          </cell>
          <cell r="I141">
            <v>5.4</v>
          </cell>
          <cell r="J141">
            <v>0.2</v>
          </cell>
          <cell r="K141">
            <v>0.1</v>
          </cell>
          <cell r="L141">
            <v>0.2</v>
          </cell>
          <cell r="M141">
            <v>1.3</v>
          </cell>
          <cell r="R141">
            <v>0.9</v>
          </cell>
          <cell r="AE141" t="str">
            <v>AL 6x660</v>
          </cell>
          <cell r="AF141" t="str">
            <v>PE 75x670</v>
          </cell>
          <cell r="AG141">
            <v>6.7607100000000003E-2</v>
          </cell>
          <cell r="AH141">
            <v>0.99666666666666659</v>
          </cell>
          <cell r="AI141">
            <v>1.3</v>
          </cell>
          <cell r="AJ141">
            <v>9530</v>
          </cell>
          <cell r="AK141" t="str">
            <v>0,0053(0,0023;0,003)</v>
          </cell>
          <cell r="AM141" t="str">
            <v>Túi</v>
          </cell>
          <cell r="AO141" t="str">
            <v>Công ty Việt Thắng</v>
          </cell>
          <cell r="AQ141" t="str">
            <v>16081472-1</v>
          </cell>
          <cell r="AR141" t="str">
            <v>16081472-2</v>
          </cell>
          <cell r="AS141" t="str">
            <v>16081472-3</v>
          </cell>
          <cell r="AT141" t="str">
            <v>16081472-4</v>
          </cell>
          <cell r="AU141" t="str">
            <v>16081472-5</v>
          </cell>
          <cell r="AV141" t="str">
            <v>16081472-6</v>
          </cell>
          <cell r="BA141" t="str">
            <v>440x780</v>
          </cell>
          <cell r="BB141" t="str">
            <v>D2</v>
          </cell>
        </row>
        <row r="142">
          <cell r="A142" t="str">
            <v>sp 626</v>
          </cell>
          <cell r="B142" t="str">
            <v>Túi chè lụa màu xanh tân cương và đặc sản 200g loại 5</v>
          </cell>
          <cell r="C142">
            <v>4.0299999999999994</v>
          </cell>
          <cell r="D142" t="str">
            <v>OPP mờ 20x920</v>
          </cell>
          <cell r="E142" t="str">
            <v>sp 567</v>
          </cell>
          <cell r="F142">
            <v>7</v>
          </cell>
          <cell r="G142" t="str">
            <v xml:space="preserve">OPP </v>
          </cell>
          <cell r="H142">
            <v>0.1</v>
          </cell>
          <cell r="I142">
            <v>2.2000000000000002</v>
          </cell>
          <cell r="J142">
            <v>0.36</v>
          </cell>
          <cell r="K142">
            <v>0.27</v>
          </cell>
          <cell r="L142">
            <v>0.7</v>
          </cell>
          <cell r="M142">
            <v>0.3</v>
          </cell>
          <cell r="O142" t="str">
            <v xml:space="preserve"> </v>
          </cell>
          <cell r="S142">
            <v>0.1</v>
          </cell>
          <cell r="AE142" t="str">
            <v>MPET 12x920</v>
          </cell>
          <cell r="AF142" t="str">
            <v>PE 65x920</v>
          </cell>
          <cell r="AG142">
            <v>8.7515000000000023E-2</v>
          </cell>
          <cell r="AH142">
            <v>1.5166666666666668</v>
          </cell>
          <cell r="AI142">
            <v>1.82</v>
          </cell>
          <cell r="AJ142">
            <v>9530</v>
          </cell>
          <cell r="AK142" t="str">
            <v>0,0055(0,0025;0,003)</v>
          </cell>
          <cell r="AM142" t="str">
            <v>Túi</v>
          </cell>
          <cell r="AO142" t="str">
            <v>Bùi Văn Sỹ</v>
          </cell>
          <cell r="AQ142" t="str">
            <v>1607496-1</v>
          </cell>
          <cell r="AR142" t="str">
            <v>1607496-2</v>
          </cell>
          <cell r="AS142" t="str">
            <v>1607496-3</v>
          </cell>
          <cell r="AT142" t="str">
            <v>1607496-4</v>
          </cell>
          <cell r="AU142" t="str">
            <v>1607496-5</v>
          </cell>
          <cell r="AV142" t="str">
            <v>1607496-6</v>
          </cell>
          <cell r="AW142" t="str">
            <v>1607496-7</v>
          </cell>
          <cell r="BA142" t="str">
            <v>680x1100</v>
          </cell>
          <cell r="BB142" t="str">
            <v>F1</v>
          </cell>
          <cell r="BC142" t="str">
            <v>in chung sp 567</v>
          </cell>
        </row>
        <row r="143">
          <cell r="A143" t="str">
            <v>sp 627</v>
          </cell>
          <cell r="B143" t="str">
            <v xml:space="preserve">Trục in cuộn màng otoxes 200SP cậu bé bắn cung 15g Việt Thắng </v>
          </cell>
          <cell r="E143">
            <v>1</v>
          </cell>
          <cell r="F143">
            <v>7</v>
          </cell>
          <cell r="AO143" t="str">
            <v>Công ty Việt Thắng</v>
          </cell>
          <cell r="AQ143" t="str">
            <v>F115207-1</v>
          </cell>
          <cell r="AR143" t="str">
            <v>F115208-2</v>
          </cell>
          <cell r="AS143" t="str">
            <v>F115208-3</v>
          </cell>
          <cell r="AT143" t="str">
            <v>F115208-4</v>
          </cell>
          <cell r="AU143" t="str">
            <v>F115208-5</v>
          </cell>
          <cell r="AV143" t="str">
            <v>F115208-6</v>
          </cell>
          <cell r="AW143" t="str">
            <v>F115208-7</v>
          </cell>
          <cell r="BA143" t="str">
            <v>750x450</v>
          </cell>
          <cell r="BB143" t="str">
            <v>D2</v>
          </cell>
        </row>
        <row r="144">
          <cell r="A144" t="str">
            <v>sp 630</v>
          </cell>
          <cell r="B144" t="str">
            <v>Túi lúa mới TBR225XN1 1kg Thái Bình</v>
          </cell>
          <cell r="C144">
            <v>5.25</v>
          </cell>
          <cell r="D144" t="str">
            <v>OPP 20x900</v>
          </cell>
          <cell r="E144">
            <v>8</v>
          </cell>
          <cell r="F144">
            <v>8</v>
          </cell>
          <cell r="G144" t="str">
            <v xml:space="preserve">OPP </v>
          </cell>
          <cell r="H144">
            <v>0.1</v>
          </cell>
          <cell r="I144">
            <v>2.5</v>
          </cell>
          <cell r="J144">
            <v>0.2</v>
          </cell>
          <cell r="K144">
            <v>0.2</v>
          </cell>
          <cell r="L144">
            <v>0.9</v>
          </cell>
          <cell r="M144">
            <v>0.5</v>
          </cell>
          <cell r="O144">
            <v>0.2</v>
          </cell>
          <cell r="Q144">
            <v>0.05</v>
          </cell>
          <cell r="R144">
            <v>0.1</v>
          </cell>
          <cell r="T144">
            <v>0.5</v>
          </cell>
          <cell r="Z144">
            <v>0.8</v>
          </cell>
          <cell r="AE144" t="str">
            <v>PE 80x900</v>
          </cell>
          <cell r="AG144">
            <v>8.2980000000000012E-2</v>
          </cell>
          <cell r="AH144">
            <v>1.4833333333333334</v>
          </cell>
          <cell r="AJ144">
            <v>9530</v>
          </cell>
          <cell r="AK144">
            <v>2.5000000000000001E-3</v>
          </cell>
          <cell r="AM144">
            <v>0</v>
          </cell>
          <cell r="AO144" t="str">
            <v>Công ty Thái Bình</v>
          </cell>
          <cell r="AQ144" t="str">
            <v>1710841-1</v>
          </cell>
          <cell r="AR144" t="str">
            <v>1903063-2</v>
          </cell>
          <cell r="AS144" t="str">
            <v>1609240-3</v>
          </cell>
          <cell r="AT144" t="str">
            <v>1903063-4</v>
          </cell>
          <cell r="AU144" t="str">
            <v>1911489-5</v>
          </cell>
          <cell r="AV144" t="str">
            <v>19121037-6</v>
          </cell>
          <cell r="AW144" t="str">
            <v>20110138-7</v>
          </cell>
          <cell r="AX144" t="str">
            <v>20110138-8</v>
          </cell>
          <cell r="BA144" t="str">
            <v>620x1100</v>
          </cell>
          <cell r="BB144" t="str">
            <v>I1</v>
          </cell>
          <cell r="BD144" t="str">
            <v>trắng chung bộ lúa</v>
          </cell>
        </row>
        <row r="145">
          <cell r="A145" t="str">
            <v>sp 634</v>
          </cell>
          <cell r="B145" t="str">
            <v>Túi lúa mới TBR225XN1  40kg Thái Bình</v>
          </cell>
          <cell r="C145">
            <v>2.9</v>
          </cell>
          <cell r="D145" t="str">
            <v>OPP 18x690</v>
          </cell>
          <cell r="E145">
            <v>8</v>
          </cell>
          <cell r="F145">
            <v>8</v>
          </cell>
          <cell r="G145" t="str">
            <v xml:space="preserve">OPP </v>
          </cell>
          <cell r="H145">
            <v>0.1</v>
          </cell>
          <cell r="J145">
            <v>0.1</v>
          </cell>
          <cell r="K145">
            <v>0.2</v>
          </cell>
          <cell r="L145">
            <v>1</v>
          </cell>
          <cell r="M145">
            <v>0.5</v>
          </cell>
          <cell r="O145">
            <v>0.7</v>
          </cell>
          <cell r="Q145">
            <v>0.1</v>
          </cell>
          <cell r="T145">
            <v>0.2</v>
          </cell>
          <cell r="AM145" t="str">
            <v>Cuộn</v>
          </cell>
          <cell r="AO145" t="str">
            <v>Công ty Thái Bình</v>
          </cell>
          <cell r="AQ145" t="str">
            <v>17101029-1</v>
          </cell>
          <cell r="AR145" t="str">
            <v>1602242-2</v>
          </cell>
          <cell r="AS145" t="str">
            <v>17101029-3</v>
          </cell>
          <cell r="AT145" t="str">
            <v>1710745-4</v>
          </cell>
          <cell r="AU145" t="str">
            <v>17101029-5</v>
          </cell>
          <cell r="AV145" t="str">
            <v>1602242-6</v>
          </cell>
          <cell r="AW145" t="str">
            <v>1903062-7</v>
          </cell>
          <cell r="AX145" t="str">
            <v>1602242-8</v>
          </cell>
          <cell r="BA145" t="str">
            <v>1100x850</v>
          </cell>
          <cell r="BB145" t="str">
            <v>K1</v>
          </cell>
        </row>
        <row r="146">
          <cell r="A146" t="str">
            <v>sp 638</v>
          </cell>
          <cell r="B146" t="str">
            <v>Túi lúa mới TBR1 XN1 1kg Thái Bình</v>
          </cell>
          <cell r="C146">
            <v>4.34</v>
          </cell>
          <cell r="D146" t="str">
            <v>OPP 20x900</v>
          </cell>
          <cell r="E146">
            <v>3</v>
          </cell>
          <cell r="F146">
            <v>8</v>
          </cell>
          <cell r="G146" t="str">
            <v xml:space="preserve">OPP </v>
          </cell>
          <cell r="H146">
            <v>0.2</v>
          </cell>
          <cell r="I146">
            <v>2.1</v>
          </cell>
          <cell r="J146">
            <v>0.3</v>
          </cell>
          <cell r="K146">
            <v>0.14000000000000001</v>
          </cell>
          <cell r="L146">
            <v>0.43</v>
          </cell>
          <cell r="M146">
            <v>0.62</v>
          </cell>
          <cell r="O146">
            <v>0.45</v>
          </cell>
          <cell r="T146">
            <v>0.1</v>
          </cell>
          <cell r="AE146" t="str">
            <v>PE 80x900</v>
          </cell>
          <cell r="AG146">
            <v>8.2980000000000012E-2</v>
          </cell>
          <cell r="AH146">
            <v>1.4833333333333334</v>
          </cell>
          <cell r="AJ146">
            <v>9530</v>
          </cell>
          <cell r="AK146">
            <v>2.5000000000000001E-3</v>
          </cell>
          <cell r="AM146" t="str">
            <v>Ba biên</v>
          </cell>
          <cell r="AO146" t="str">
            <v>Công ty Thái Bình</v>
          </cell>
          <cell r="AQ146" t="str">
            <v>1710841-1</v>
          </cell>
          <cell r="AR146" t="str">
            <v>1903063-2</v>
          </cell>
          <cell r="AS146" t="str">
            <v>1609240-3</v>
          </cell>
          <cell r="AT146" t="str">
            <v>1903063-4</v>
          </cell>
          <cell r="AU146" t="str">
            <v>1609518-5</v>
          </cell>
          <cell r="AV146" t="str">
            <v>1609518-6</v>
          </cell>
          <cell r="AW146" t="str">
            <v>1902522-7</v>
          </cell>
          <cell r="AX146" t="str">
            <v>20110138-8</v>
          </cell>
          <cell r="BA146" t="str">
            <v>620x1100</v>
          </cell>
          <cell r="BB146" t="str">
            <v>I1</v>
          </cell>
          <cell r="BC146" t="str">
            <v xml:space="preserve">in chung với bộ 630 khác cây số 5,6,7 </v>
          </cell>
          <cell r="BD146" t="str">
            <v>trắng chung bộ lúa</v>
          </cell>
        </row>
        <row r="147">
          <cell r="A147" t="str">
            <v>sp 639</v>
          </cell>
          <cell r="B147" t="str">
            <v>Túi lúa mới BC15XN1 1kg Thái Bình</v>
          </cell>
          <cell r="C147">
            <v>4.7799999999999994</v>
          </cell>
          <cell r="D147" t="str">
            <v>OPP 20x900</v>
          </cell>
          <cell r="E147">
            <v>4</v>
          </cell>
          <cell r="F147">
            <v>8</v>
          </cell>
          <cell r="G147" t="str">
            <v xml:space="preserve">OPP </v>
          </cell>
          <cell r="H147">
            <v>0.1</v>
          </cell>
          <cell r="I147">
            <v>2.2999999999999998</v>
          </cell>
          <cell r="J147">
            <v>0.15</v>
          </cell>
          <cell r="K147">
            <v>0.1</v>
          </cell>
          <cell r="L147">
            <v>1.25</v>
          </cell>
          <cell r="M147">
            <v>0.5</v>
          </cell>
          <cell r="O147">
            <v>0.15</v>
          </cell>
          <cell r="P147">
            <v>0.02</v>
          </cell>
          <cell r="Q147">
            <v>0.01</v>
          </cell>
          <cell r="T147">
            <v>0.1</v>
          </cell>
          <cell r="U147">
            <v>0.1</v>
          </cell>
          <cell r="AE147" t="str">
            <v>PE 80x900</v>
          </cell>
          <cell r="AG147">
            <v>8.2980000000000012E-2</v>
          </cell>
          <cell r="AH147">
            <v>1.4833333333333334</v>
          </cell>
          <cell r="AJ147">
            <v>9530</v>
          </cell>
          <cell r="AK147">
            <v>2.5000000000000001E-3</v>
          </cell>
          <cell r="AM147" t="str">
            <v>Túi</v>
          </cell>
          <cell r="AO147" t="str">
            <v>Công ty Thái Bình</v>
          </cell>
          <cell r="AQ147" t="str">
            <v>1902520-1</v>
          </cell>
          <cell r="AR147" t="str">
            <v>1903063-2</v>
          </cell>
          <cell r="AS147" t="str">
            <v>1609240-3</v>
          </cell>
          <cell r="AT147" t="str">
            <v>1903063-4</v>
          </cell>
          <cell r="AU147" t="str">
            <v>1902520-5</v>
          </cell>
          <cell r="AV147" t="str">
            <v>1609519-6</v>
          </cell>
          <cell r="AW147" t="str">
            <v>1902520-7</v>
          </cell>
          <cell r="AX147" t="str">
            <v>20110138-8</v>
          </cell>
          <cell r="BA147" t="str">
            <v>620x1100</v>
          </cell>
          <cell r="BB147" t="str">
            <v>I1</v>
          </cell>
          <cell r="BC147" t="str">
            <v>in chung sp 630 khác cây số 1,5,6,7</v>
          </cell>
          <cell r="BD147" t="str">
            <v>trắng chung bộ lúa</v>
          </cell>
        </row>
        <row r="148">
          <cell r="A148" t="str">
            <v>sp 640</v>
          </cell>
          <cell r="B148" t="str">
            <v>Túi lúa mới TBR36XN1 1kg Thái Bình</v>
          </cell>
          <cell r="C148">
            <v>5.64</v>
          </cell>
          <cell r="D148" t="str">
            <v>OPP 20x900</v>
          </cell>
          <cell r="E148">
            <v>3</v>
          </cell>
          <cell r="F148">
            <v>8</v>
          </cell>
          <cell r="G148" t="str">
            <v xml:space="preserve">OPP </v>
          </cell>
          <cell r="H148">
            <v>0.1</v>
          </cell>
          <cell r="I148">
            <v>2.7</v>
          </cell>
          <cell r="J148">
            <v>0.2</v>
          </cell>
          <cell r="K148">
            <v>0.14000000000000001</v>
          </cell>
          <cell r="L148">
            <v>1.5</v>
          </cell>
          <cell r="M148">
            <v>0.5</v>
          </cell>
          <cell r="O148">
            <v>0.1</v>
          </cell>
          <cell r="Q148">
            <v>0.2</v>
          </cell>
          <cell r="T148">
            <v>0.1</v>
          </cell>
          <cell r="U148">
            <v>0.1</v>
          </cell>
          <cell r="AE148" t="str">
            <v>PE 80x900</v>
          </cell>
          <cell r="AG148">
            <v>8.2980000000000012E-2</v>
          </cell>
          <cell r="AH148">
            <v>1.4833333333333334</v>
          </cell>
          <cell r="AJ148">
            <v>9530</v>
          </cell>
          <cell r="AK148">
            <v>2.5000000000000001E-3</v>
          </cell>
          <cell r="AM148" t="str">
            <v>Túi</v>
          </cell>
          <cell r="AO148" t="str">
            <v>Công ty Thái Bình</v>
          </cell>
          <cell r="AQ148" t="str">
            <v>1902523-1</v>
          </cell>
          <cell r="AR148" t="str">
            <v>1903063-2</v>
          </cell>
          <cell r="AS148" t="str">
            <v>1609240-3</v>
          </cell>
          <cell r="AT148" t="str">
            <v>1903063-4</v>
          </cell>
          <cell r="AU148" t="str">
            <v>1902523-5</v>
          </cell>
          <cell r="AV148" t="str">
            <v>1609520-6</v>
          </cell>
          <cell r="AW148" t="str">
            <v>1902520-7</v>
          </cell>
          <cell r="AX148" t="str">
            <v>20110138-8</v>
          </cell>
          <cell r="BA148" t="str">
            <v>620x1100</v>
          </cell>
          <cell r="BB148" t="str">
            <v>I1</v>
          </cell>
          <cell r="BC148" t="str">
            <v>in chung (2,3.4) với sp 630; nền với sp 639</v>
          </cell>
          <cell r="BD148" t="str">
            <v>trắng chung bộ lúa</v>
          </cell>
        </row>
        <row r="149">
          <cell r="A149" t="str">
            <v>sp 641</v>
          </cell>
          <cell r="B149" t="str">
            <v>Túi lúa mới TBR45 XN1 1kg Thái Bình</v>
          </cell>
          <cell r="C149">
            <v>5.0999999999999996</v>
          </cell>
          <cell r="D149" t="str">
            <v>OPP 20x900</v>
          </cell>
          <cell r="E149">
            <v>2</v>
          </cell>
          <cell r="F149">
            <v>8</v>
          </cell>
          <cell r="G149" t="str">
            <v xml:space="preserve">OPP </v>
          </cell>
          <cell r="H149">
            <v>0.1</v>
          </cell>
          <cell r="I149">
            <v>2.7</v>
          </cell>
          <cell r="J149">
            <v>0.2</v>
          </cell>
          <cell r="K149">
            <v>0.1</v>
          </cell>
          <cell r="L149">
            <v>0.4</v>
          </cell>
          <cell r="M149">
            <v>0.5</v>
          </cell>
          <cell r="O149">
            <v>0.9</v>
          </cell>
          <cell r="Q149">
            <v>0.1</v>
          </cell>
          <cell r="T149">
            <v>0.1</v>
          </cell>
          <cell r="AE149" t="str">
            <v>PE 80x900</v>
          </cell>
          <cell r="AG149">
            <v>8.2980000000000012E-2</v>
          </cell>
          <cell r="AH149">
            <v>1.4833333333333334</v>
          </cell>
          <cell r="AJ149">
            <v>9530</v>
          </cell>
          <cell r="AK149">
            <v>2.5000000000000001E-3</v>
          </cell>
          <cell r="AM149" t="str">
            <v>Túi</v>
          </cell>
          <cell r="AO149" t="str">
            <v>Công ty Thái Bình</v>
          </cell>
          <cell r="AQ149" t="str">
            <v>1902524-1</v>
          </cell>
          <cell r="AR149" t="str">
            <v>1903063-2</v>
          </cell>
          <cell r="AS149" t="str">
            <v>1609240-3</v>
          </cell>
          <cell r="AT149" t="str">
            <v>1903063-4</v>
          </cell>
          <cell r="AU149" t="str">
            <v>1804993-5</v>
          </cell>
          <cell r="AV149" t="str">
            <v>1609521-6</v>
          </cell>
          <cell r="AW149" t="str">
            <v>1902520-7</v>
          </cell>
          <cell r="AX149" t="str">
            <v>20110138-8</v>
          </cell>
          <cell r="BA149" t="str">
            <v>620x1100</v>
          </cell>
          <cell r="BB149" t="str">
            <v>I1</v>
          </cell>
          <cell r="BC149" t="str">
            <v xml:space="preserve">in chung với sp 630; 641 </v>
          </cell>
          <cell r="BD149" t="str">
            <v>trắng chung bộ lúa</v>
          </cell>
        </row>
        <row r="150">
          <cell r="A150" t="str">
            <v>sp 642</v>
          </cell>
          <cell r="B150" t="str">
            <v>Túi lúa mới BC15XN1 40kg Thái Bình</v>
          </cell>
          <cell r="C150">
            <v>3.0000000000000004</v>
          </cell>
          <cell r="D150" t="str">
            <v>OPP 18x690</v>
          </cell>
          <cell r="E150">
            <v>4</v>
          </cell>
          <cell r="F150">
            <v>7</v>
          </cell>
          <cell r="G150" t="str">
            <v xml:space="preserve">OPP </v>
          </cell>
          <cell r="H150">
            <v>0.3</v>
          </cell>
          <cell r="J150">
            <v>0.3</v>
          </cell>
          <cell r="K150">
            <v>0.2</v>
          </cell>
          <cell r="L150">
            <v>1.6</v>
          </cell>
          <cell r="M150">
            <v>0.3</v>
          </cell>
          <cell r="O150">
            <v>0.2</v>
          </cell>
          <cell r="T150">
            <v>0.1</v>
          </cell>
          <cell r="X150">
            <v>1.7</v>
          </cell>
          <cell r="AM150" t="str">
            <v>Cuộn</v>
          </cell>
          <cell r="AO150" t="str">
            <v>Công ty Thái Bình</v>
          </cell>
          <cell r="AQ150" t="str">
            <v>1903035-1</v>
          </cell>
          <cell r="AR150" t="str">
            <v>1609242-2</v>
          </cell>
          <cell r="AS150" t="str">
            <v>17101029-3</v>
          </cell>
          <cell r="AT150" t="str">
            <v>1710745-4</v>
          </cell>
          <cell r="AU150" t="str">
            <v>1903035-5</v>
          </cell>
          <cell r="AV150" t="str">
            <v>17101030-6</v>
          </cell>
          <cell r="AW150" t="str">
            <v>1903035-7</v>
          </cell>
          <cell r="BA150" t="str">
            <v>1100x850</v>
          </cell>
          <cell r="BB150" t="str">
            <v>K1</v>
          </cell>
          <cell r="BC150" t="str">
            <v>in chung  đs,xd,vàng với sp 634</v>
          </cell>
        </row>
        <row r="151">
          <cell r="A151" t="str">
            <v>sp 643</v>
          </cell>
          <cell r="B151" t="str">
            <v>Túi lúa mới Bắc thơm 7 NC 40kg Thái Bình</v>
          </cell>
          <cell r="C151">
            <v>6.6999999999999993</v>
          </cell>
          <cell r="D151" t="str">
            <v>OPP 18x690</v>
          </cell>
          <cell r="E151">
            <v>7</v>
          </cell>
          <cell r="F151">
            <v>7</v>
          </cell>
          <cell r="G151" t="str">
            <v xml:space="preserve">OPP </v>
          </cell>
          <cell r="H151">
            <v>0.1</v>
          </cell>
          <cell r="I151">
            <v>3</v>
          </cell>
          <cell r="J151">
            <v>0.2</v>
          </cell>
          <cell r="K151">
            <v>0.6</v>
          </cell>
          <cell r="L151">
            <v>1.3</v>
          </cell>
          <cell r="O151">
            <v>0.1</v>
          </cell>
          <cell r="T151">
            <v>1.4</v>
          </cell>
          <cell r="AM151" t="str">
            <v>Cuộn</v>
          </cell>
          <cell r="AO151" t="str">
            <v>Công ty Thái Bình</v>
          </cell>
          <cell r="AQ151" t="str">
            <v>1609553-1</v>
          </cell>
          <cell r="AR151" t="str">
            <v>1609553-2</v>
          </cell>
          <cell r="AS151" t="str">
            <v>1609553-3</v>
          </cell>
          <cell r="AT151" t="str">
            <v>1609553-4</v>
          </cell>
          <cell r="AU151" t="str">
            <v>1609553-5</v>
          </cell>
          <cell r="AV151" t="str">
            <v>1609553-6</v>
          </cell>
          <cell r="AW151" t="str">
            <v>1903065-7</v>
          </cell>
          <cell r="BA151" t="str">
            <v>1100x850</v>
          </cell>
          <cell r="BB151" t="str">
            <v>K2</v>
          </cell>
        </row>
        <row r="152">
          <cell r="A152" t="str">
            <v>sp 644</v>
          </cell>
          <cell r="B152" t="str">
            <v>Túi lúa mới N97NC 40kg Thái Bình</v>
          </cell>
          <cell r="C152">
            <v>6.6999999999999993</v>
          </cell>
          <cell r="D152" t="str">
            <v>OPP 18x690</v>
          </cell>
          <cell r="E152">
            <v>4</v>
          </cell>
          <cell r="F152">
            <v>7</v>
          </cell>
          <cell r="G152" t="str">
            <v xml:space="preserve">OPP </v>
          </cell>
          <cell r="H152">
            <v>0.1</v>
          </cell>
          <cell r="I152">
            <v>3</v>
          </cell>
          <cell r="J152">
            <v>0.2</v>
          </cell>
          <cell r="K152">
            <v>0.6</v>
          </cell>
          <cell r="L152">
            <v>1.3</v>
          </cell>
          <cell r="O152">
            <v>0.1</v>
          </cell>
          <cell r="T152">
            <v>1.4</v>
          </cell>
          <cell r="AM152" t="str">
            <v>Cuộn</v>
          </cell>
          <cell r="AO152" t="str">
            <v>Công ty Thái Bình</v>
          </cell>
          <cell r="AQ152" t="str">
            <v>1903066-1</v>
          </cell>
          <cell r="AR152" t="str">
            <v>1609553-2</v>
          </cell>
          <cell r="AS152" t="str">
            <v>1609553-3</v>
          </cell>
          <cell r="AT152" t="str">
            <v>1609553-4</v>
          </cell>
          <cell r="AU152" t="str">
            <v>1903066-5</v>
          </cell>
          <cell r="AV152" t="str">
            <v>1609554-6</v>
          </cell>
          <cell r="AW152" t="str">
            <v>1903066-7</v>
          </cell>
          <cell r="BA152" t="str">
            <v>1100x850</v>
          </cell>
          <cell r="BB152" t="str">
            <v>K2</v>
          </cell>
          <cell r="BC152" t="str">
            <v>in chung cây XD,ĐS,V, với sp 643</v>
          </cell>
        </row>
        <row r="153">
          <cell r="A153" t="str">
            <v>sp 645</v>
          </cell>
          <cell r="B153" t="str">
            <v>Túi lúa mới hương thơm 1 40kg Thái Bình</v>
          </cell>
          <cell r="C153">
            <v>6.6999999999999993</v>
          </cell>
          <cell r="D153" t="str">
            <v>OPP 18x690</v>
          </cell>
          <cell r="E153">
            <v>1</v>
          </cell>
          <cell r="F153">
            <v>7</v>
          </cell>
          <cell r="G153" t="str">
            <v xml:space="preserve">OPP </v>
          </cell>
          <cell r="H153">
            <v>0.1</v>
          </cell>
          <cell r="I153">
            <v>3</v>
          </cell>
          <cell r="J153">
            <v>0.2</v>
          </cell>
          <cell r="K153">
            <v>0.6</v>
          </cell>
          <cell r="L153">
            <v>1.3</v>
          </cell>
          <cell r="O153">
            <v>0.1</v>
          </cell>
          <cell r="T153">
            <v>1.4</v>
          </cell>
          <cell r="AM153" t="str">
            <v>Cuộn</v>
          </cell>
          <cell r="AO153" t="str">
            <v>Công ty Thái Bình</v>
          </cell>
          <cell r="AQ153" t="str">
            <v>1903066-1</v>
          </cell>
          <cell r="AR153" t="str">
            <v>1609553-2</v>
          </cell>
          <cell r="AS153" t="str">
            <v>1609553-3</v>
          </cell>
          <cell r="AT153" t="str">
            <v>1609553-4</v>
          </cell>
          <cell r="AU153" t="str">
            <v>1903066-5</v>
          </cell>
          <cell r="AV153" t="str">
            <v>1609555-6</v>
          </cell>
          <cell r="AW153" t="str">
            <v>1903066-7</v>
          </cell>
          <cell r="BA153" t="str">
            <v>1100x850</v>
          </cell>
          <cell r="BB153" t="str">
            <v>K2</v>
          </cell>
          <cell r="BC153" t="str">
            <v>in chung (2,3,4) với sp 643;  (1,5,7) với sp 644</v>
          </cell>
        </row>
        <row r="154">
          <cell r="A154" t="str">
            <v>sp 646</v>
          </cell>
          <cell r="B154" t="str">
            <v>Túi lúa mới Q5 NC 40kg Thái Bình</v>
          </cell>
          <cell r="C154">
            <v>5.9999999999999991</v>
          </cell>
          <cell r="D154" t="str">
            <v>OPP 18x690</v>
          </cell>
          <cell r="E154">
            <v>1</v>
          </cell>
          <cell r="F154">
            <v>7</v>
          </cell>
          <cell r="G154" t="str">
            <v xml:space="preserve">OPP </v>
          </cell>
          <cell r="H154">
            <v>0.1</v>
          </cell>
          <cell r="I154">
            <v>3</v>
          </cell>
          <cell r="J154">
            <v>0.1</v>
          </cell>
          <cell r="K154">
            <v>0.3</v>
          </cell>
          <cell r="L154">
            <v>0.5</v>
          </cell>
          <cell r="O154">
            <v>0.1</v>
          </cell>
          <cell r="T154">
            <v>0.1</v>
          </cell>
          <cell r="W154">
            <v>1.8</v>
          </cell>
          <cell r="Y154">
            <v>1.8</v>
          </cell>
          <cell r="AM154" t="str">
            <v>Cuộn</v>
          </cell>
          <cell r="AO154" t="str">
            <v>Công ty Thái Bình</v>
          </cell>
          <cell r="AQ154" t="str">
            <v>1903066-1</v>
          </cell>
          <cell r="AR154" t="str">
            <v>1609553-2</v>
          </cell>
          <cell r="AS154" t="str">
            <v>1609553-3</v>
          </cell>
          <cell r="AT154" t="str">
            <v>1609553-4</v>
          </cell>
          <cell r="AU154" t="str">
            <v>1903066-5</v>
          </cell>
          <cell r="AV154" t="str">
            <v>1609556-6</v>
          </cell>
          <cell r="AW154" t="str">
            <v>1903066-7</v>
          </cell>
          <cell r="BA154" t="str">
            <v>1100x850</v>
          </cell>
          <cell r="BB154" t="str">
            <v>K3</v>
          </cell>
          <cell r="BC154" t="str">
            <v>in chung  với sp 644</v>
          </cell>
        </row>
        <row r="155">
          <cell r="A155" t="str">
            <v>sp 647</v>
          </cell>
          <cell r="B155" t="str">
            <v>Túi lúa mới KD18 NC 40kg Thái Bình</v>
          </cell>
          <cell r="C155">
            <v>5.9</v>
          </cell>
          <cell r="D155" t="str">
            <v>OPP 18x690</v>
          </cell>
          <cell r="E155">
            <v>1</v>
          </cell>
          <cell r="F155">
            <v>7</v>
          </cell>
          <cell r="G155" t="str">
            <v xml:space="preserve">OPP </v>
          </cell>
          <cell r="H155">
            <v>0.1</v>
          </cell>
          <cell r="I155">
            <v>3</v>
          </cell>
          <cell r="J155">
            <v>0.1</v>
          </cell>
          <cell r="K155">
            <v>0.2</v>
          </cell>
          <cell r="L155">
            <v>1.5</v>
          </cell>
          <cell r="M155">
            <v>0.5</v>
          </cell>
          <cell r="O155">
            <v>0.4</v>
          </cell>
          <cell r="T155">
            <v>0.1</v>
          </cell>
          <cell r="Z155">
            <v>0.1</v>
          </cell>
          <cell r="AM155" t="str">
            <v>Cuộn</v>
          </cell>
          <cell r="AO155" t="str">
            <v>Công ty Thái Bình</v>
          </cell>
          <cell r="AQ155" t="str">
            <v>1903066-1</v>
          </cell>
          <cell r="AR155" t="str">
            <v>1609553-2</v>
          </cell>
          <cell r="AS155" t="str">
            <v>1609553-3</v>
          </cell>
          <cell r="AT155" t="str">
            <v>1609553-4</v>
          </cell>
          <cell r="AU155" t="str">
            <v>1903066-5</v>
          </cell>
          <cell r="AV155" t="str">
            <v>1609557-6</v>
          </cell>
          <cell r="AW155" t="str">
            <v>1903066-7</v>
          </cell>
          <cell r="BA155" t="str">
            <v>1100x850</v>
          </cell>
          <cell r="BB155" t="str">
            <v>K3</v>
          </cell>
          <cell r="BC155" t="str">
            <v>in chung sp 644:( 1,5,7);chung sp 643:( 2,3,4)</v>
          </cell>
        </row>
        <row r="156">
          <cell r="A156" t="str">
            <v>sp 648</v>
          </cell>
          <cell r="B156" t="str">
            <v>Túi lúa mới Q5 nguyên chủng 1kg Thái Bình</v>
          </cell>
          <cell r="C156">
            <v>4.9000000000000004</v>
          </cell>
          <cell r="D156" t="str">
            <v>OPP 20x900</v>
          </cell>
          <cell r="E156">
            <v>8</v>
          </cell>
          <cell r="F156">
            <v>8</v>
          </cell>
          <cell r="G156" t="str">
            <v xml:space="preserve">OPP </v>
          </cell>
          <cell r="H156">
            <v>0.1</v>
          </cell>
          <cell r="I156">
            <v>2.7</v>
          </cell>
          <cell r="J156">
            <v>0.1</v>
          </cell>
          <cell r="K156">
            <v>0.1</v>
          </cell>
          <cell r="L156">
            <v>0.5</v>
          </cell>
          <cell r="O156">
            <v>0.1</v>
          </cell>
          <cell r="T156">
            <v>0.1</v>
          </cell>
          <cell r="W156">
            <v>1.2</v>
          </cell>
          <cell r="Y156">
            <v>1.2</v>
          </cell>
          <cell r="AE156" t="str">
            <v>PE 80x900</v>
          </cell>
          <cell r="AG156">
            <v>8.2980000000000012E-2</v>
          </cell>
          <cell r="AH156">
            <v>1.4833333333333334</v>
          </cell>
          <cell r="AJ156">
            <v>9530</v>
          </cell>
          <cell r="AK156">
            <v>2.5000000000000001E-3</v>
          </cell>
          <cell r="AM156" t="str">
            <v>Cuộn</v>
          </cell>
          <cell r="AO156" t="str">
            <v>Công ty Thái Bình</v>
          </cell>
          <cell r="AQ156" t="str">
            <v>1902526-1</v>
          </cell>
          <cell r="AR156" t="str">
            <v>19041070-2</v>
          </cell>
          <cell r="AS156" t="str">
            <v>1609558-3</v>
          </cell>
          <cell r="AT156" t="str">
            <v>1609558-4</v>
          </cell>
          <cell r="AU156" t="str">
            <v>1902526-5</v>
          </cell>
          <cell r="AV156" t="str">
            <v>1609558-6</v>
          </cell>
          <cell r="AW156" t="str">
            <v>1902526-7</v>
          </cell>
          <cell r="AX156" t="str">
            <v>21030918-8</v>
          </cell>
          <cell r="BA156" t="str">
            <v>620x1100</v>
          </cell>
          <cell r="BB156" t="str">
            <v>I1</v>
          </cell>
          <cell r="BD156" t="str">
            <v>trắng chung bộ lúa</v>
          </cell>
        </row>
        <row r="157">
          <cell r="A157" t="str">
            <v>sp 649</v>
          </cell>
          <cell r="B157" t="str">
            <v>Túi lúa mới khang dân 18 NC 1kg Thái Bình</v>
          </cell>
          <cell r="C157">
            <v>6.1999999999999993</v>
          </cell>
          <cell r="D157" t="str">
            <v>OPP 20x900</v>
          </cell>
          <cell r="E157">
            <v>2</v>
          </cell>
          <cell r="F157">
            <v>8</v>
          </cell>
          <cell r="G157" t="str">
            <v xml:space="preserve">OPP </v>
          </cell>
          <cell r="H157">
            <v>0.1</v>
          </cell>
          <cell r="I157">
            <v>2.7</v>
          </cell>
          <cell r="J157">
            <v>0.1</v>
          </cell>
          <cell r="K157">
            <v>0.1</v>
          </cell>
          <cell r="L157">
            <v>1.5</v>
          </cell>
          <cell r="M157">
            <v>0.5</v>
          </cell>
          <cell r="O157">
            <v>0.1</v>
          </cell>
          <cell r="Q157">
            <v>0.1</v>
          </cell>
          <cell r="T157">
            <v>0.5</v>
          </cell>
          <cell r="U157">
            <v>0.5</v>
          </cell>
          <cell r="AA157">
            <v>0.5</v>
          </cell>
          <cell r="AE157" t="str">
            <v>PE 80x900</v>
          </cell>
          <cell r="AG157">
            <v>8.2980000000000012E-2</v>
          </cell>
          <cell r="AH157">
            <v>1.4833333333333334</v>
          </cell>
          <cell r="AJ157">
            <v>9530</v>
          </cell>
          <cell r="AK157">
            <v>2.5000000000000001E-3</v>
          </cell>
          <cell r="AM157" t="str">
            <v>túi ba biên hoặc cuộn 800m</v>
          </cell>
          <cell r="AN157">
            <v>310</v>
          </cell>
          <cell r="AO157" t="str">
            <v>Công ty Thái Bình</v>
          </cell>
          <cell r="AQ157" t="str">
            <v>1902527-1</v>
          </cell>
          <cell r="AR157" t="str">
            <v>19041070-2</v>
          </cell>
          <cell r="AS157" t="str">
            <v>1609558-3</v>
          </cell>
          <cell r="AT157" t="str">
            <v>1609558-4</v>
          </cell>
          <cell r="AU157" t="str">
            <v>1902526-5</v>
          </cell>
          <cell r="AV157" t="str">
            <v>1609559-6</v>
          </cell>
          <cell r="AW157" t="str">
            <v>1902526-7</v>
          </cell>
          <cell r="AX157" t="str">
            <v>21030918-8</v>
          </cell>
          <cell r="BA157" t="str">
            <v>620x1100</v>
          </cell>
          <cell r="BB157" t="str">
            <v>I2</v>
          </cell>
          <cell r="BC157" t="str">
            <v>in chung  cây sp 648 (2,3,4;5,7)</v>
          </cell>
          <cell r="BD157" t="str">
            <v>trắng chung bộ lúa</v>
          </cell>
        </row>
        <row r="158">
          <cell r="A158" t="str">
            <v>sp 650</v>
          </cell>
          <cell r="B158" t="str">
            <v>Túi lúa mới Bắc thơm 7 nguyên chủng 1kg Thái Bình</v>
          </cell>
          <cell r="C158">
            <v>6.8</v>
          </cell>
          <cell r="D158" t="str">
            <v>OPP 20x900</v>
          </cell>
          <cell r="E158">
            <v>4</v>
          </cell>
          <cell r="F158">
            <v>8</v>
          </cell>
          <cell r="G158" t="str">
            <v xml:space="preserve">OPP </v>
          </cell>
          <cell r="H158">
            <v>0.2</v>
          </cell>
          <cell r="I158">
            <v>2.7</v>
          </cell>
          <cell r="J158">
            <v>0.1</v>
          </cell>
          <cell r="K158">
            <v>0.1</v>
          </cell>
          <cell r="L158">
            <v>1.5</v>
          </cell>
          <cell r="M158">
            <v>0.7</v>
          </cell>
          <cell r="O158">
            <v>0.1</v>
          </cell>
          <cell r="Q158">
            <v>0.1</v>
          </cell>
          <cell r="T158">
            <v>1.3</v>
          </cell>
          <cell r="AE158" t="str">
            <v>PE 80x900</v>
          </cell>
          <cell r="AG158">
            <v>8.2980000000000012E-2</v>
          </cell>
          <cell r="AH158">
            <v>1.4833333333333334</v>
          </cell>
          <cell r="AJ158">
            <v>9530</v>
          </cell>
          <cell r="AK158">
            <v>2.5000000000000001E-3</v>
          </cell>
          <cell r="AM158" t="str">
            <v>Túi</v>
          </cell>
          <cell r="AO158" t="str">
            <v>Công ty Thái Bình</v>
          </cell>
          <cell r="AQ158" t="str">
            <v>1609560-1</v>
          </cell>
          <cell r="AR158" t="str">
            <v>19041070-2</v>
          </cell>
          <cell r="AS158" t="str">
            <v>1609558-3</v>
          </cell>
          <cell r="AT158" t="str">
            <v>1609558-4</v>
          </cell>
          <cell r="AU158" t="str">
            <v>1609560-5</v>
          </cell>
          <cell r="AV158" t="str">
            <v>1609560-6</v>
          </cell>
          <cell r="AW158" t="str">
            <v>1902529-7</v>
          </cell>
          <cell r="AX158" t="str">
            <v>21030918-8</v>
          </cell>
          <cell r="BA158" t="str">
            <v>620x1100</v>
          </cell>
          <cell r="BB158" t="str">
            <v>I2</v>
          </cell>
          <cell r="BC158" t="str">
            <v>in chung sp 648 :(đs,xd,vàng )</v>
          </cell>
          <cell r="BD158" t="str">
            <v>trắng chung bộ lúa</v>
          </cell>
        </row>
        <row r="159">
          <cell r="A159" t="str">
            <v>sp 651</v>
          </cell>
          <cell r="B159" t="str">
            <v>Túi lúa mới hương thơm 1 nguyên chủng 1kg 
Thái Bình</v>
          </cell>
          <cell r="C159">
            <v>4.58</v>
          </cell>
          <cell r="D159" t="str">
            <v>OPP 20x900</v>
          </cell>
          <cell r="E159">
            <v>2</v>
          </cell>
          <cell r="F159">
            <v>8</v>
          </cell>
          <cell r="G159" t="str">
            <v xml:space="preserve">OPP </v>
          </cell>
          <cell r="H159">
            <v>0.14000000000000001</v>
          </cell>
          <cell r="I159">
            <v>2.7</v>
          </cell>
          <cell r="J159">
            <v>0.2</v>
          </cell>
          <cell r="K159">
            <v>0.14000000000000001</v>
          </cell>
          <cell r="L159">
            <v>0.3</v>
          </cell>
          <cell r="M159">
            <v>0.7</v>
          </cell>
          <cell r="O159">
            <v>0.1</v>
          </cell>
          <cell r="Q159">
            <v>0.1</v>
          </cell>
          <cell r="T159">
            <v>0.2</v>
          </cell>
          <cell r="AE159" t="str">
            <v>PE 80x900</v>
          </cell>
          <cell r="AG159">
            <v>8.2980000000000012E-2</v>
          </cell>
          <cell r="AH159">
            <v>1.4833333333333334</v>
          </cell>
          <cell r="AJ159">
            <v>9530</v>
          </cell>
          <cell r="AK159">
            <v>2.5000000000000001E-3</v>
          </cell>
          <cell r="AM159" t="str">
            <v>Túi</v>
          </cell>
          <cell r="AO159" t="str">
            <v>Công ty Thái Bình</v>
          </cell>
          <cell r="AQ159" t="str">
            <v>1902528-1</v>
          </cell>
          <cell r="AR159" t="str">
            <v>19041070-2</v>
          </cell>
          <cell r="AS159" t="str">
            <v>1609558-3</v>
          </cell>
          <cell r="AT159" t="str">
            <v>1609558-4</v>
          </cell>
          <cell r="AU159" t="str">
            <v>1902526-5</v>
          </cell>
          <cell r="AV159" t="str">
            <v>1609561-6</v>
          </cell>
          <cell r="AW159" t="str">
            <v>1902526-7</v>
          </cell>
          <cell r="AX159" t="str">
            <v>21030918-8</v>
          </cell>
          <cell r="BA159" t="str">
            <v>620x1100</v>
          </cell>
          <cell r="BB159" t="str">
            <v>I2</v>
          </cell>
          <cell r="BC159" t="str">
            <v xml:space="preserve">in chung với bộ sp 648: trừ  Đen+ Nâu </v>
          </cell>
          <cell r="BD159" t="str">
            <v>trắng chung bộ lúa</v>
          </cell>
        </row>
        <row r="160">
          <cell r="A160" t="str">
            <v>sp 652</v>
          </cell>
          <cell r="B160" t="str">
            <v>Túi lúa mới N97 nguyên chủng 1kg Thái Bình</v>
          </cell>
          <cell r="C160">
            <v>5.7999999999999989</v>
          </cell>
          <cell r="D160" t="str">
            <v>OPP 20x900</v>
          </cell>
          <cell r="E160">
            <v>2</v>
          </cell>
          <cell r="F160">
            <v>8</v>
          </cell>
          <cell r="G160" t="str">
            <v xml:space="preserve">OPP </v>
          </cell>
          <cell r="H160">
            <v>0.1</v>
          </cell>
          <cell r="I160">
            <v>2.7</v>
          </cell>
          <cell r="J160">
            <v>0.1</v>
          </cell>
          <cell r="K160">
            <v>0.1</v>
          </cell>
          <cell r="L160">
            <v>0.5</v>
          </cell>
          <cell r="M160">
            <v>0.7</v>
          </cell>
          <cell r="O160">
            <v>0.1</v>
          </cell>
          <cell r="T160">
            <v>0.1</v>
          </cell>
          <cell r="W160">
            <v>1.4</v>
          </cell>
          <cell r="Y160">
            <v>1.4</v>
          </cell>
          <cell r="AE160" t="str">
            <v>PE 80x900</v>
          </cell>
          <cell r="AG160">
            <v>8.2980000000000012E-2</v>
          </cell>
          <cell r="AH160">
            <v>1.4833333333333334</v>
          </cell>
          <cell r="AJ160">
            <v>9530</v>
          </cell>
          <cell r="AK160">
            <v>2.5000000000000001E-3</v>
          </cell>
          <cell r="AM160" t="str">
            <v>Túi</v>
          </cell>
          <cell r="AO160" t="str">
            <v>Công ty Thái Bình</v>
          </cell>
          <cell r="AQ160" t="str">
            <v>1902570-1</v>
          </cell>
          <cell r="AR160" t="str">
            <v>19041070-2</v>
          </cell>
          <cell r="AS160" t="str">
            <v>1609558-3</v>
          </cell>
          <cell r="AT160" t="str">
            <v>1609558-4</v>
          </cell>
          <cell r="AU160" t="str">
            <v>1902526-5</v>
          </cell>
          <cell r="AV160" t="str">
            <v>1609562-6</v>
          </cell>
          <cell r="AW160" t="str">
            <v>1902526-7</v>
          </cell>
          <cell r="AX160" t="str">
            <v>21030918-8</v>
          </cell>
          <cell r="BA160" t="str">
            <v>620x1100</v>
          </cell>
          <cell r="BB160" t="str">
            <v>I2</v>
          </cell>
          <cell r="BC160" t="str">
            <v>in chung 6 cây sp  648:</v>
          </cell>
          <cell r="BD160" t="str">
            <v>trắng chung bộ lúa</v>
          </cell>
        </row>
        <row r="161">
          <cell r="A161" t="str">
            <v>sp 661</v>
          </cell>
          <cell r="B161" t="str">
            <v>Cuộn bánh bao màu nâu barkey Phú Mỹ KT 
270x130</v>
          </cell>
          <cell r="C161">
            <v>2.1</v>
          </cell>
          <cell r="D161" t="str">
            <v>OPP 20x560</v>
          </cell>
          <cell r="E161">
            <v>2</v>
          </cell>
          <cell r="F161">
            <v>2</v>
          </cell>
          <cell r="G161" t="str">
            <v xml:space="preserve">OPP </v>
          </cell>
          <cell r="I161">
            <v>1.1000000000000001</v>
          </cell>
          <cell r="P161">
            <v>0.5</v>
          </cell>
          <cell r="T161">
            <v>0.5</v>
          </cell>
          <cell r="AE161" t="str">
            <v>CPP20x560</v>
          </cell>
          <cell r="AG161">
            <v>2.0384000000000003E-2</v>
          </cell>
          <cell r="AH161">
            <v>0.66</v>
          </cell>
          <cell r="AJ161">
            <v>9530</v>
          </cell>
          <cell r="AK161">
            <v>1.8E-3</v>
          </cell>
          <cell r="AM161" t="str">
            <v>Cuộn</v>
          </cell>
          <cell r="AO161" t="str">
            <v>Công ty Phú Mỹ</v>
          </cell>
          <cell r="AQ161" t="str">
            <v>16101152-1</v>
          </cell>
          <cell r="AR161" t="str">
            <v>16101152-2</v>
          </cell>
          <cell r="BA161" t="str">
            <v>520x750</v>
          </cell>
          <cell r="BB161" t="str">
            <v>V2</v>
          </cell>
        </row>
        <row r="162">
          <cell r="A162" t="str">
            <v>sp 662</v>
          </cell>
          <cell r="B162" t="str">
            <v>Túi lúa mới bao chung NC 10kg Thái Bình</v>
          </cell>
          <cell r="C162">
            <v>3.1</v>
          </cell>
          <cell r="D162" t="str">
            <v>OPP 20x840</v>
          </cell>
          <cell r="E162">
            <v>7</v>
          </cell>
          <cell r="F162">
            <v>7</v>
          </cell>
          <cell r="G162" t="str">
            <v xml:space="preserve">OPP </v>
          </cell>
          <cell r="H162">
            <v>0.1</v>
          </cell>
          <cell r="I162">
            <v>0.6</v>
          </cell>
          <cell r="J162">
            <v>0.2</v>
          </cell>
          <cell r="K162">
            <v>0.1</v>
          </cell>
          <cell r="L162">
            <v>0.9</v>
          </cell>
          <cell r="M162">
            <v>0.3</v>
          </cell>
          <cell r="O162">
            <v>0.5</v>
          </cell>
          <cell r="P162">
            <v>0.2</v>
          </cell>
          <cell r="Q162">
            <v>0.1</v>
          </cell>
          <cell r="T162">
            <v>0.1</v>
          </cell>
          <cell r="Y162">
            <v>0.2</v>
          </cell>
          <cell r="AM162">
            <v>0</v>
          </cell>
          <cell r="AO162" t="str">
            <v>Công ty Thái Bình</v>
          </cell>
          <cell r="AQ162" t="str">
            <v>1803915-1</v>
          </cell>
          <cell r="AR162" t="str">
            <v>16100638-2</v>
          </cell>
          <cell r="AS162" t="str">
            <v>1610638-3</v>
          </cell>
          <cell r="AT162" t="str">
            <v>1610638-4</v>
          </cell>
          <cell r="AU162" t="str">
            <v>19031105-5</v>
          </cell>
          <cell r="AV162" t="str">
            <v>1610638-6</v>
          </cell>
          <cell r="AW162" t="str">
            <v>19031031-7</v>
          </cell>
          <cell r="BA162" t="str">
            <v>670x1100</v>
          </cell>
          <cell r="BB162" t="str">
            <v>J1</v>
          </cell>
          <cell r="BC162" t="str">
            <v>cây nền chung sp 1022</v>
          </cell>
          <cell r="BD162" t="str">
            <v>Đ, XD,DS, V, ZX,NAU, NEN</v>
          </cell>
        </row>
        <row r="163">
          <cell r="A163" t="str">
            <v>sp 663</v>
          </cell>
          <cell r="B163" t="str">
            <v>Túi chè lụa màu xanh tân cương và đặc sản 100g</v>
          </cell>
          <cell r="C163">
            <v>5.5700000000000012</v>
          </cell>
          <cell r="D163" t="str">
            <v>OPP mờ 20x740</v>
          </cell>
          <cell r="E163" t="str">
            <v>sp 566</v>
          </cell>
          <cell r="F163">
            <v>7</v>
          </cell>
          <cell r="G163" t="str">
            <v xml:space="preserve">OPP </v>
          </cell>
          <cell r="H163">
            <v>0.2</v>
          </cell>
          <cell r="I163">
            <v>2</v>
          </cell>
          <cell r="J163">
            <v>0.34</v>
          </cell>
          <cell r="K163">
            <v>0.2</v>
          </cell>
          <cell r="L163">
            <v>1.1000000000000001</v>
          </cell>
          <cell r="M163">
            <v>0.6</v>
          </cell>
          <cell r="O163">
            <v>0.9</v>
          </cell>
          <cell r="S163">
            <v>0.23</v>
          </cell>
          <cell r="U163" t="str">
            <v xml:space="preserve"> </v>
          </cell>
          <cell r="AE163" t="str">
            <v>MPET 12x740</v>
          </cell>
          <cell r="AF163" t="str">
            <v>PE 65x740</v>
          </cell>
          <cell r="AG163">
            <v>7.0392500000000011E-2</v>
          </cell>
          <cell r="AH163">
            <v>1.2166666666666668</v>
          </cell>
          <cell r="AI163">
            <v>1.46</v>
          </cell>
          <cell r="AJ163">
            <v>9530</v>
          </cell>
          <cell r="AK163" t="str">
            <v>0,0055(0,0025;0,003)</v>
          </cell>
          <cell r="AM163" t="str">
            <v>Túi</v>
          </cell>
          <cell r="AO163" t="str">
            <v>Bùi Văn Sỹ</v>
          </cell>
          <cell r="AQ163" t="str">
            <v>1607495-1</v>
          </cell>
          <cell r="AR163" t="str">
            <v>1812617-2</v>
          </cell>
          <cell r="AS163" t="str">
            <v>1607495-3</v>
          </cell>
          <cell r="AT163" t="str">
            <v>1607495-4</v>
          </cell>
          <cell r="AU163" t="str">
            <v>1607495-5</v>
          </cell>
          <cell r="AV163" t="str">
            <v>1607495-6</v>
          </cell>
          <cell r="AW163" t="str">
            <v>1607495-7</v>
          </cell>
          <cell r="BA163" t="str">
            <v>540x850</v>
          </cell>
          <cell r="BB163" t="str">
            <v>F1</v>
          </cell>
          <cell r="BC163" t="str">
            <v>in chung sp 566+794</v>
          </cell>
        </row>
        <row r="164">
          <cell r="A164" t="str">
            <v>sp 664</v>
          </cell>
          <cell r="B164" t="str">
            <v>Túi ngô LVN10 cấp giống lai F1 1kg Thái Bình</v>
          </cell>
          <cell r="C164">
            <v>6.6999999999999993</v>
          </cell>
          <cell r="D164" t="str">
            <v>PET 12x820</v>
          </cell>
          <cell r="E164">
            <v>8</v>
          </cell>
          <cell r="F164">
            <v>7</v>
          </cell>
          <cell r="G164" t="str">
            <v xml:space="preserve">PET </v>
          </cell>
          <cell r="H164">
            <v>0.1</v>
          </cell>
          <cell r="I164">
            <v>2.7</v>
          </cell>
          <cell r="J164">
            <v>0.1</v>
          </cell>
          <cell r="K164">
            <v>0.1</v>
          </cell>
          <cell r="L164">
            <v>2.5</v>
          </cell>
          <cell r="M164">
            <v>0.8</v>
          </cell>
          <cell r="O164">
            <v>0.1</v>
          </cell>
          <cell r="P164">
            <v>0.2</v>
          </cell>
          <cell r="T164">
            <v>0.1</v>
          </cell>
          <cell r="AE164" t="str">
            <v>MPET 12x820</v>
          </cell>
          <cell r="AF164" t="str">
            <v>PE 85x820</v>
          </cell>
          <cell r="AG164">
            <v>9.2024500000000009E-2</v>
          </cell>
          <cell r="AH164">
            <v>1.242</v>
          </cell>
          <cell r="AI164">
            <v>1.64</v>
          </cell>
          <cell r="AJ164">
            <v>9530</v>
          </cell>
          <cell r="AK164" t="str">
            <v>0,0053(0,0023;0,003)</v>
          </cell>
          <cell r="AM164" t="str">
            <v>Túi</v>
          </cell>
          <cell r="AO164" t="str">
            <v>Công ty Thái Bình</v>
          </cell>
          <cell r="AQ164" t="str">
            <v>1903483-1</v>
          </cell>
          <cell r="AR164" t="str">
            <v>1610846-2</v>
          </cell>
          <cell r="AS164" t="str">
            <v>1610846-3</v>
          </cell>
          <cell r="AT164" t="str">
            <v>1610846-4</v>
          </cell>
          <cell r="AU164" t="str">
            <v>1903483-5</v>
          </cell>
          <cell r="AV164" t="str">
            <v>1610846-6</v>
          </cell>
          <cell r="AW164" t="str">
            <v>1610846-7</v>
          </cell>
          <cell r="AX164" t="str">
            <v>1610846-5 củ</v>
          </cell>
          <cell r="BA164" t="str">
            <v>570x1100</v>
          </cell>
          <cell r="BB164" t="str">
            <v>I2</v>
          </cell>
        </row>
        <row r="165">
          <cell r="A165" t="str">
            <v>sp 665</v>
          </cell>
          <cell r="B165" t="str">
            <v>Túi ngô LVN10 cấp giống lai F1 20kg Thái Bình</v>
          </cell>
          <cell r="C165">
            <v>3.24</v>
          </cell>
          <cell r="D165" t="str">
            <v>OPP 20x520</v>
          </cell>
          <cell r="E165">
            <v>7</v>
          </cell>
          <cell r="F165">
            <v>7</v>
          </cell>
          <cell r="G165" t="str">
            <v xml:space="preserve">OPP </v>
          </cell>
          <cell r="H165">
            <v>0.3</v>
          </cell>
          <cell r="J165">
            <v>0.24</v>
          </cell>
          <cell r="K165">
            <v>0.36</v>
          </cell>
          <cell r="L165">
            <v>0.84</v>
          </cell>
          <cell r="M165">
            <v>0.5</v>
          </cell>
          <cell r="O165">
            <v>0.5</v>
          </cell>
          <cell r="T165">
            <v>0.5</v>
          </cell>
          <cell r="AM165" t="str">
            <v>Túi</v>
          </cell>
          <cell r="AO165" t="str">
            <v>Công ty Thái Bình</v>
          </cell>
          <cell r="AQ165" t="str">
            <v>1903482-1</v>
          </cell>
          <cell r="AR165" t="str">
            <v>1610847-2</v>
          </cell>
          <cell r="AS165" t="str">
            <v>1610847-3</v>
          </cell>
          <cell r="AT165" t="str">
            <v>1610847-4</v>
          </cell>
          <cell r="AU165" t="str">
            <v>1903482-5</v>
          </cell>
          <cell r="AV165" t="str">
            <v>1610847-6</v>
          </cell>
          <cell r="AW165" t="str">
            <v>1610847-7</v>
          </cell>
          <cell r="BA165" t="str">
            <v>770x750</v>
          </cell>
          <cell r="BB165" t="str">
            <v>J1</v>
          </cell>
        </row>
        <row r="166">
          <cell r="A166" t="str">
            <v>sp 666</v>
          </cell>
          <cell r="B166" t="str">
            <v>Túi chè HCK 200g Hùng An</v>
          </cell>
          <cell r="C166">
            <v>5.3100000000000005</v>
          </cell>
          <cell r="D166" t="str">
            <v>PET 12x620</v>
          </cell>
          <cell r="E166">
            <v>6</v>
          </cell>
          <cell r="F166">
            <v>6</v>
          </cell>
          <cell r="G166" t="str">
            <v xml:space="preserve">PET </v>
          </cell>
          <cell r="H166">
            <v>0.1</v>
          </cell>
          <cell r="I166">
            <v>2.2999999999999998</v>
          </cell>
          <cell r="J166">
            <v>0.1</v>
          </cell>
          <cell r="K166">
            <v>0.5</v>
          </cell>
          <cell r="L166">
            <v>1.81</v>
          </cell>
          <cell r="M166">
            <v>0.5</v>
          </cell>
          <cell r="P166" t="str">
            <v xml:space="preserve"> </v>
          </cell>
          <cell r="AE166" t="str">
            <v>MPET 12x620</v>
          </cell>
          <cell r="AF166" t="str">
            <v>PE 75x620</v>
          </cell>
          <cell r="AG166">
            <v>2.5133249999999999E-2</v>
          </cell>
          <cell r="AH166">
            <v>0.93533333333333324</v>
          </cell>
          <cell r="AI166">
            <v>1.22</v>
          </cell>
          <cell r="AJ166">
            <v>9530</v>
          </cell>
          <cell r="AK166" t="str">
            <v>0,0053(0,0023;0,003)</v>
          </cell>
          <cell r="AM166" t="str">
            <v>Túi</v>
          </cell>
          <cell r="AO166" t="str">
            <v>Công ty Hùng An</v>
          </cell>
          <cell r="AQ166" t="str">
            <v>20110088-1</v>
          </cell>
          <cell r="AR166" t="str">
            <v>1807146-2</v>
          </cell>
          <cell r="AS166" t="str">
            <v>1610805-3</v>
          </cell>
          <cell r="AT166" t="str">
            <v>1610805-4</v>
          </cell>
          <cell r="AU166" t="str">
            <v>20110088-5</v>
          </cell>
          <cell r="AV166" t="str">
            <v>20110088-6</v>
          </cell>
          <cell r="BA166" t="str">
            <v>680x750</v>
          </cell>
          <cell r="BB166" t="str">
            <v>O1</v>
          </cell>
        </row>
        <row r="167">
          <cell r="A167" t="str">
            <v>sp 667</v>
          </cell>
          <cell r="B167" t="str">
            <v>Túi chè HCK 500g Hùng An</v>
          </cell>
          <cell r="C167">
            <v>5.1100000000000003</v>
          </cell>
          <cell r="D167" t="str">
            <v>OPP mờ 20x760</v>
          </cell>
          <cell r="E167">
            <v>5</v>
          </cell>
          <cell r="F167">
            <v>5</v>
          </cell>
          <cell r="G167" t="str">
            <v xml:space="preserve">OPP </v>
          </cell>
          <cell r="H167">
            <v>0.2</v>
          </cell>
          <cell r="I167">
            <v>2.2999999999999998</v>
          </cell>
          <cell r="J167">
            <v>0.1</v>
          </cell>
          <cell r="K167">
            <v>0.2</v>
          </cell>
          <cell r="L167">
            <v>1.81</v>
          </cell>
          <cell r="M167">
            <v>0.5</v>
          </cell>
          <cell r="AE167" t="str">
            <v>MPET 12x760</v>
          </cell>
          <cell r="AF167" t="str">
            <v>PE75x760</v>
          </cell>
          <cell r="AG167">
            <v>7.9325000000000007E-2</v>
          </cell>
          <cell r="AH167">
            <v>1.1499999999999999</v>
          </cell>
          <cell r="AI167">
            <v>1.5</v>
          </cell>
          <cell r="AJ167">
            <v>9530</v>
          </cell>
          <cell r="AK167" t="str">
            <v>0,0053(0,0023;0,003)</v>
          </cell>
          <cell r="AM167" t="str">
            <v>Túi</v>
          </cell>
          <cell r="AO167" t="str">
            <v>Công ty Hùng An</v>
          </cell>
          <cell r="AQ167" t="str">
            <v>1610804-1</v>
          </cell>
          <cell r="AR167" t="str">
            <v>1610804-2</v>
          </cell>
          <cell r="AS167" t="str">
            <v>1610804-3</v>
          </cell>
          <cell r="AT167" t="str">
            <v>1610804-4</v>
          </cell>
          <cell r="AU167" t="str">
            <v>1610804-5</v>
          </cell>
          <cell r="BA167" t="str">
            <v>420x850</v>
          </cell>
          <cell r="BB167" t="str">
            <v>O1</v>
          </cell>
        </row>
        <row r="168">
          <cell r="A168" t="str">
            <v>sp 668</v>
          </cell>
          <cell r="B168" t="str">
            <v>Túi chè thường 200g Hùng An</v>
          </cell>
          <cell r="C168">
            <v>5.0999999999999996</v>
          </cell>
          <cell r="D168" t="str">
            <v>OPP 20x740</v>
          </cell>
          <cell r="E168">
            <v>5</v>
          </cell>
          <cell r="F168">
            <v>5</v>
          </cell>
          <cell r="G168" t="str">
            <v xml:space="preserve">OPP </v>
          </cell>
          <cell r="H168">
            <v>0.7</v>
          </cell>
          <cell r="I168">
            <v>2.5</v>
          </cell>
          <cell r="J168">
            <v>0.3</v>
          </cell>
          <cell r="K168">
            <v>0.1</v>
          </cell>
          <cell r="L168">
            <v>0.5</v>
          </cell>
          <cell r="M168">
            <v>1</v>
          </cell>
          <cell r="AE168" t="str">
            <v>PE 60x740</v>
          </cell>
          <cell r="AG168">
            <v>5.4538000000000003E-2</v>
          </cell>
          <cell r="AH168">
            <v>9.7333333333333343</v>
          </cell>
          <cell r="AJ168">
            <v>9530</v>
          </cell>
          <cell r="AK168">
            <v>2E-3</v>
          </cell>
          <cell r="AM168" t="str">
            <v>Túi</v>
          </cell>
          <cell r="AO168" t="str">
            <v>Công ty Hùng An</v>
          </cell>
          <cell r="AQ168" t="str">
            <v>1610806-1</v>
          </cell>
          <cell r="AR168" t="str">
            <v>1610806-2</v>
          </cell>
          <cell r="AS168" t="str">
            <v>1610806-3</v>
          </cell>
          <cell r="AT168" t="str">
            <v>1610806-4</v>
          </cell>
          <cell r="AU168" t="str">
            <v>1610806-5</v>
          </cell>
          <cell r="BA168" t="str">
            <v>500x850</v>
          </cell>
          <cell r="BB168" t="str">
            <v>O1</v>
          </cell>
        </row>
        <row r="169">
          <cell r="A169" t="str">
            <v>sp 673</v>
          </cell>
          <cell r="B169" t="str">
            <v>Cuộn lúa GS55 1kg Đại Thành</v>
          </cell>
          <cell r="C169">
            <v>4.8499999999999996</v>
          </cell>
          <cell r="D169" t="str">
            <v>OPP 20x460</v>
          </cell>
          <cell r="E169">
            <v>7</v>
          </cell>
          <cell r="F169">
            <v>7</v>
          </cell>
          <cell r="G169" t="str">
            <v xml:space="preserve">OPP </v>
          </cell>
          <cell r="H169">
            <v>0.1</v>
          </cell>
          <cell r="I169">
            <v>3.3</v>
          </cell>
          <cell r="J169">
            <v>0.1</v>
          </cell>
          <cell r="K169">
            <v>0.15</v>
          </cell>
          <cell r="L169">
            <v>0.2</v>
          </cell>
          <cell r="M169">
            <v>0.6</v>
          </cell>
          <cell r="P169">
            <v>0.1</v>
          </cell>
          <cell r="R169">
            <v>0.3</v>
          </cell>
          <cell r="AE169" t="str">
            <v>PE 70x460</v>
          </cell>
          <cell r="AG169">
            <v>3.815700000000001E-2</v>
          </cell>
          <cell r="AH169">
            <v>0.69</v>
          </cell>
          <cell r="AJ169">
            <v>9530</v>
          </cell>
          <cell r="AK169">
            <v>2.3E-3</v>
          </cell>
          <cell r="AM169" t="str">
            <v>Cuộn</v>
          </cell>
          <cell r="AO169" t="str">
            <v>Công ty Đại Thành</v>
          </cell>
          <cell r="AQ169" t="str">
            <v>F115552G1-1</v>
          </cell>
          <cell r="AR169" t="str">
            <v>F115552-2</v>
          </cell>
          <cell r="AS169" t="str">
            <v>F115552-3</v>
          </cell>
          <cell r="AT169" t="str">
            <v>F115552-4</v>
          </cell>
          <cell r="AU169" t="str">
            <v>F115552-5</v>
          </cell>
          <cell r="AV169" t="str">
            <v>F115552-6</v>
          </cell>
          <cell r="AW169" t="str">
            <v>F115552-7</v>
          </cell>
          <cell r="BA169" t="str">
            <v>750x610</v>
          </cell>
          <cell r="BB169" t="str">
            <v>O1</v>
          </cell>
        </row>
        <row r="170">
          <cell r="A170" t="str">
            <v>sp 674</v>
          </cell>
          <cell r="B170" t="str">
            <v>Túi chè hạnh phúc, phúc lộc thọ, đặc sản 10g</v>
          </cell>
          <cell r="C170">
            <v>6.2</v>
          </cell>
          <cell r="D170" t="str">
            <v>PET 12x700</v>
          </cell>
          <cell r="E170">
            <v>8</v>
          </cell>
          <cell r="F170">
            <v>8</v>
          </cell>
          <cell r="G170" t="str">
            <v xml:space="preserve">PET </v>
          </cell>
          <cell r="H170">
            <v>0.1</v>
          </cell>
          <cell r="I170">
            <v>2.1</v>
          </cell>
          <cell r="J170">
            <v>0.1</v>
          </cell>
          <cell r="K170">
            <v>0.1</v>
          </cell>
          <cell r="L170">
            <v>3</v>
          </cell>
          <cell r="P170">
            <v>0.6</v>
          </cell>
          <cell r="S170">
            <v>0.2</v>
          </cell>
          <cell r="AE170" t="str">
            <v>MPET 12x700</v>
          </cell>
          <cell r="AF170" t="str">
            <v>PE 30x700</v>
          </cell>
          <cell r="AG170">
            <v>4.2944999999999997E-2</v>
          </cell>
          <cell r="AH170">
            <v>1.012</v>
          </cell>
          <cell r="AI170">
            <v>1.012</v>
          </cell>
          <cell r="AJ170">
            <v>9530</v>
          </cell>
          <cell r="AK170" t="str">
            <v>0,0044(0,0022;0,0022)</v>
          </cell>
          <cell r="AM170" t="str">
            <v>Túi</v>
          </cell>
          <cell r="AO170" t="str">
            <v>Bùi Văn Sỹ</v>
          </cell>
          <cell r="AQ170" t="str">
            <v>1611038-1</v>
          </cell>
          <cell r="AR170" t="str">
            <v>1611038-2</v>
          </cell>
          <cell r="AS170" t="str">
            <v>1611038-3</v>
          </cell>
          <cell r="AT170" t="str">
            <v>1611038-4</v>
          </cell>
          <cell r="AU170" t="str">
            <v>1611038-5</v>
          </cell>
          <cell r="AV170" t="str">
            <v>1611038-6</v>
          </cell>
          <cell r="AW170" t="str">
            <v>1611038-7</v>
          </cell>
          <cell r="BA170" t="str">
            <v>460x750</v>
          </cell>
          <cell r="BB170" t="str">
            <v>F2</v>
          </cell>
        </row>
        <row r="171">
          <cell r="A171" t="str">
            <v>sp 675</v>
          </cell>
          <cell r="B171" t="str">
            <v>Túi trà chúc mừng năm mới 100g</v>
          </cell>
          <cell r="C171">
            <v>4.5999999999999996</v>
          </cell>
          <cell r="D171" t="str">
            <v>PET 12x740</v>
          </cell>
          <cell r="E171">
            <v>7</v>
          </cell>
          <cell r="F171">
            <v>7</v>
          </cell>
          <cell r="G171" t="str">
            <v xml:space="preserve">PET </v>
          </cell>
          <cell r="H171">
            <v>0.1</v>
          </cell>
          <cell r="I171">
            <v>1.2</v>
          </cell>
          <cell r="J171">
            <v>0.2</v>
          </cell>
          <cell r="K171">
            <v>0.2</v>
          </cell>
          <cell r="L171">
            <v>1.5</v>
          </cell>
          <cell r="P171">
            <v>0.4</v>
          </cell>
          <cell r="U171">
            <v>1</v>
          </cell>
          <cell r="AE171" t="str">
            <v>MPET 12x740</v>
          </cell>
          <cell r="AF171" t="str">
            <v>PE 75x740</v>
          </cell>
          <cell r="AG171">
            <v>7.6201500000000005E-2</v>
          </cell>
          <cell r="AH171">
            <v>1.1193333333333333</v>
          </cell>
          <cell r="AI171">
            <v>1.46</v>
          </cell>
          <cell r="AJ171">
            <v>9530</v>
          </cell>
          <cell r="AK171" t="str">
            <v>0,0053(0,0023;0,003)</v>
          </cell>
          <cell r="AM171" t="str">
            <v>Túi</v>
          </cell>
          <cell r="AO171" t="str">
            <v>Bùi Văn Sỹ</v>
          </cell>
          <cell r="AQ171" t="str">
            <v>16101031-1</v>
          </cell>
          <cell r="AR171" t="str">
            <v>16101031-2</v>
          </cell>
          <cell r="AS171" t="str">
            <v>16101031-3</v>
          </cell>
          <cell r="AT171" t="str">
            <v>16101031-4</v>
          </cell>
          <cell r="AU171" t="str">
            <v>16101031-5</v>
          </cell>
          <cell r="AV171" t="str">
            <v>16101031-6</v>
          </cell>
          <cell r="AW171" t="str">
            <v>16101031-7</v>
          </cell>
          <cell r="BA171" t="str">
            <v>540x850</v>
          </cell>
          <cell r="BB171" t="str">
            <v>F2</v>
          </cell>
        </row>
        <row r="173">
          <cell r="A173" t="str">
            <v>sp 678</v>
          </cell>
          <cell r="B173" t="str">
            <v>Túi thuốc trị nấm fovathane 80WP loại 90g</v>
          </cell>
          <cell r="C173">
            <v>1.9</v>
          </cell>
          <cell r="D173" t="str">
            <v>PET 12x640</v>
          </cell>
          <cell r="E173">
            <v>6</v>
          </cell>
          <cell r="F173">
            <v>6</v>
          </cell>
          <cell r="G173" t="str">
            <v xml:space="preserve">PET </v>
          </cell>
          <cell r="H173">
            <v>0.1</v>
          </cell>
          <cell r="I173">
            <v>0.4</v>
          </cell>
          <cell r="J173">
            <v>0.1</v>
          </cell>
          <cell r="K173">
            <v>0.1</v>
          </cell>
          <cell r="L173">
            <v>0.2</v>
          </cell>
          <cell r="M173">
            <v>0.9</v>
          </cell>
          <cell r="R173">
            <v>0.1</v>
          </cell>
          <cell r="AE173" t="str">
            <v>Al 6x640</v>
          </cell>
          <cell r="AF173" t="str">
            <v>PE 75x650</v>
          </cell>
          <cell r="AG173">
            <v>6.5558400000000003E-2</v>
          </cell>
          <cell r="AH173">
            <v>0.96599999999999997</v>
          </cell>
          <cell r="AI173">
            <v>1.26</v>
          </cell>
          <cell r="AJ173">
            <v>9530</v>
          </cell>
          <cell r="AK173" t="str">
            <v>0,0053(0,0023;0,003)</v>
          </cell>
          <cell r="AM173" t="str">
            <v>Túi</v>
          </cell>
          <cell r="AO173" t="str">
            <v>Công ty Việt Thắng</v>
          </cell>
          <cell r="AQ173" t="str">
            <v>F115666G2-1</v>
          </cell>
          <cell r="AR173" t="str">
            <v>F115666-2</v>
          </cell>
          <cell r="AS173" t="str">
            <v>F115666-3</v>
          </cell>
          <cell r="AT173" t="str">
            <v>F115666-4</v>
          </cell>
          <cell r="AU173" t="str">
            <v>F115666-5</v>
          </cell>
          <cell r="AV173" t="str">
            <v>F115666-6</v>
          </cell>
          <cell r="BA173" t="str">
            <v>420x750</v>
          </cell>
          <cell r="BB173" t="str">
            <v>D2</v>
          </cell>
        </row>
        <row r="174">
          <cell r="A174" t="str">
            <v>sp 679</v>
          </cell>
          <cell r="B174" t="str">
            <v>Túi thuốc trị nấm fovanthane 80WP loại 450g</v>
          </cell>
          <cell r="C174">
            <v>2.8000000000000003</v>
          </cell>
          <cell r="D174" t="str">
            <v>PET 12x620</v>
          </cell>
          <cell r="E174">
            <v>6</v>
          </cell>
          <cell r="F174">
            <v>6</v>
          </cell>
          <cell r="G174" t="str">
            <v xml:space="preserve">PET </v>
          </cell>
          <cell r="H174">
            <v>0.1</v>
          </cell>
          <cell r="I174">
            <v>0.7</v>
          </cell>
          <cell r="J174">
            <v>0.2</v>
          </cell>
          <cell r="K174">
            <v>0.1</v>
          </cell>
          <cell r="L174">
            <v>0.3</v>
          </cell>
          <cell r="M174">
            <v>1.3</v>
          </cell>
          <cell r="R174">
            <v>0.1</v>
          </cell>
          <cell r="AE174" t="str">
            <v>Al 6x620</v>
          </cell>
          <cell r="AF174" t="str">
            <v>PET 75x630</v>
          </cell>
          <cell r="AG174">
            <v>6.3509700000000002E-2</v>
          </cell>
          <cell r="AH174">
            <v>0.93533333333333324</v>
          </cell>
          <cell r="AI174">
            <v>1.22</v>
          </cell>
          <cell r="AJ174">
            <v>9530</v>
          </cell>
          <cell r="AK174" t="str">
            <v>0,0053(0,0023;0,003)</v>
          </cell>
          <cell r="AM174" t="str">
            <v>Túi</v>
          </cell>
          <cell r="AO174" t="str">
            <v>Công ty Việt Thắng</v>
          </cell>
          <cell r="AQ174" t="str">
            <v>F115667-1</v>
          </cell>
          <cell r="AR174" t="str">
            <v>F115667-2</v>
          </cell>
          <cell r="AS174" t="str">
            <v>F115667-3</v>
          </cell>
          <cell r="AT174" t="str">
            <v>F115667-4</v>
          </cell>
          <cell r="AU174" t="str">
            <v>F115667-5</v>
          </cell>
          <cell r="AV174" t="str">
            <v>F115667-6</v>
          </cell>
          <cell r="BA174" t="str">
            <v>420x750</v>
          </cell>
          <cell r="BB174" t="str">
            <v>D2</v>
          </cell>
        </row>
        <row r="175">
          <cell r="A175" t="str">
            <v>sp 680</v>
          </cell>
          <cell r="B175" t="str">
            <v>Túi thuốc trị nấm fovathane 80WP loại 900g</v>
          </cell>
          <cell r="C175">
            <v>2.9</v>
          </cell>
          <cell r="D175" t="str">
            <v>PET 12x740</v>
          </cell>
          <cell r="E175">
            <v>6</v>
          </cell>
          <cell r="F175">
            <v>6</v>
          </cell>
          <cell r="G175" t="str">
            <v xml:space="preserve">PET </v>
          </cell>
          <cell r="H175">
            <v>0.2</v>
          </cell>
          <cell r="I175">
            <v>0.7</v>
          </cell>
          <cell r="J175">
            <v>0.2</v>
          </cell>
          <cell r="K175">
            <v>0.1</v>
          </cell>
          <cell r="L175">
            <v>0.3</v>
          </cell>
          <cell r="M175">
            <v>1.3</v>
          </cell>
          <cell r="R175">
            <v>0.1</v>
          </cell>
          <cell r="AE175" t="str">
            <v>Al 6x740</v>
          </cell>
          <cell r="AF175" t="str">
            <v>PE 75x750</v>
          </cell>
          <cell r="AG175">
            <v>7.5801899999999992E-2</v>
          </cell>
          <cell r="AH175">
            <v>1.1193333333333333</v>
          </cell>
          <cell r="AI175">
            <v>1.46</v>
          </cell>
          <cell r="AJ175">
            <v>9530</v>
          </cell>
          <cell r="AK175" t="str">
            <v>0,0053(0,0023;0,003)</v>
          </cell>
          <cell r="AM175" t="str">
            <v>Túi</v>
          </cell>
          <cell r="AO175" t="str">
            <v>Công ty Việt Thắng</v>
          </cell>
          <cell r="AQ175" t="str">
            <v>F115668-1</v>
          </cell>
          <cell r="AR175" t="str">
            <v>F115668-2</v>
          </cell>
          <cell r="AS175" t="str">
            <v>F115668-3</v>
          </cell>
          <cell r="AT175" t="str">
            <v>F115668-4</v>
          </cell>
          <cell r="AU175" t="str">
            <v>F115668-5</v>
          </cell>
          <cell r="AV175" t="str">
            <v>F115668-6</v>
          </cell>
          <cell r="BA175" t="str">
            <v>480x850</v>
          </cell>
          <cell r="BB175" t="str">
            <v>D2</v>
          </cell>
        </row>
        <row r="176">
          <cell r="A176" t="str">
            <v>sp 681</v>
          </cell>
          <cell r="B176" t="str">
            <v>Trục in túi trà táo đỏ Vĩnh Phúc 400x850</v>
          </cell>
          <cell r="E176">
            <v>1</v>
          </cell>
          <cell r="AO176" t="str">
            <v>Công ty Vĩnh Phúc</v>
          </cell>
          <cell r="AQ176">
            <v>16110495</v>
          </cell>
          <cell r="BA176" t="str">
            <v xml:space="preserve"> 400x850</v>
          </cell>
          <cell r="BB176" t="str">
            <v>A1</v>
          </cell>
        </row>
        <row r="177">
          <cell r="A177" t="str">
            <v>sp 682</v>
          </cell>
          <cell r="B177" t="str">
            <v>Túi lúa mới TBR45XN1 40kg Thái Bình</v>
          </cell>
          <cell r="C177">
            <v>3.4000000000000004</v>
          </cell>
          <cell r="D177" t="str">
            <v>OPP 18x690</v>
          </cell>
          <cell r="E177">
            <v>2</v>
          </cell>
          <cell r="F177">
            <v>7</v>
          </cell>
          <cell r="G177" t="str">
            <v xml:space="preserve">OPP </v>
          </cell>
          <cell r="H177">
            <v>0.4</v>
          </cell>
          <cell r="I177">
            <v>0.9</v>
          </cell>
          <cell r="J177">
            <v>0.8</v>
          </cell>
          <cell r="K177">
            <v>0.2</v>
          </cell>
          <cell r="L177">
            <v>0.7</v>
          </cell>
          <cell r="O177">
            <v>0.2</v>
          </cell>
          <cell r="T177">
            <v>0.2</v>
          </cell>
          <cell r="AM177">
            <v>0</v>
          </cell>
          <cell r="AO177" t="str">
            <v>Công ty Thái Bình</v>
          </cell>
          <cell r="AQ177" t="str">
            <v>1903035-1</v>
          </cell>
          <cell r="AR177" t="str">
            <v>1609242-2</v>
          </cell>
          <cell r="AS177" t="str">
            <v>17101029-3</v>
          </cell>
          <cell r="AT177" t="str">
            <v>1710745-4</v>
          </cell>
          <cell r="AU177" t="str">
            <v>1903484-5</v>
          </cell>
          <cell r="AV177" t="str">
            <v>1703398-6</v>
          </cell>
          <cell r="AW177" t="str">
            <v>1903035-7</v>
          </cell>
          <cell r="BA177" t="str">
            <v>1100x850</v>
          </cell>
          <cell r="BB177" t="str">
            <v>K3</v>
          </cell>
          <cell r="BC177" t="str">
            <v xml:space="preserve">in chung sp 634(2,3,4):;với sp 642: (1,7) </v>
          </cell>
        </row>
        <row r="178">
          <cell r="A178" t="str">
            <v>sp 683</v>
          </cell>
          <cell r="B178" t="str">
            <v>Túi lúa mới bao chung nguyên chủng 1kg Thái Bình</v>
          </cell>
          <cell r="C178">
            <v>5.3</v>
          </cell>
          <cell r="D178" t="str">
            <v>OPP 20x900</v>
          </cell>
          <cell r="E178">
            <v>6</v>
          </cell>
          <cell r="F178">
            <v>8</v>
          </cell>
          <cell r="G178" t="str">
            <v xml:space="preserve">OPP </v>
          </cell>
          <cell r="H178">
            <v>0.1</v>
          </cell>
          <cell r="I178">
            <v>2.6</v>
          </cell>
          <cell r="J178">
            <v>0.6</v>
          </cell>
          <cell r="K178">
            <v>0.1</v>
          </cell>
          <cell r="L178">
            <v>0.5</v>
          </cell>
          <cell r="M178">
            <v>1</v>
          </cell>
          <cell r="O178">
            <v>0.3</v>
          </cell>
          <cell r="T178">
            <v>0.1</v>
          </cell>
          <cell r="AE178" t="str">
            <v>PE 80x900</v>
          </cell>
          <cell r="AG178">
            <v>8.2980000000000012E-2</v>
          </cell>
          <cell r="AH178">
            <v>1.4833333333333334</v>
          </cell>
          <cell r="AJ178">
            <v>9530</v>
          </cell>
          <cell r="AK178">
            <v>2.5000000000000001E-3</v>
          </cell>
          <cell r="AM178">
            <v>0</v>
          </cell>
          <cell r="AO178" t="str">
            <v>Công ty Thái Bình</v>
          </cell>
          <cell r="AQ178" t="str">
            <v>1903696-1</v>
          </cell>
          <cell r="AR178" t="str">
            <v>19041070-2</v>
          </cell>
          <cell r="AS178" t="str">
            <v>1611196-3</v>
          </cell>
          <cell r="AT178" t="str">
            <v>1611196-4</v>
          </cell>
          <cell r="AU178" t="str">
            <v>1903696-5</v>
          </cell>
          <cell r="AV178" t="str">
            <v>1611196-6</v>
          </cell>
          <cell r="AW178" t="str">
            <v>1903696-7</v>
          </cell>
          <cell r="AX178" t="str">
            <v>21030918-8</v>
          </cell>
          <cell r="BA178" t="str">
            <v>620x1100</v>
          </cell>
          <cell r="BB178" t="str">
            <v>I2</v>
          </cell>
          <cell r="BC178" t="str">
            <v>in chung (2)với sp 648: 1609558</v>
          </cell>
          <cell r="BD178" t="str">
            <v>trắng chung bộ lúa 1kg</v>
          </cell>
        </row>
        <row r="179">
          <cell r="A179" t="str">
            <v>sp 684</v>
          </cell>
          <cell r="B179" t="str">
            <v>Túi lúa mới TBR36XN1 40kg Thái Bình</v>
          </cell>
          <cell r="C179">
            <v>3</v>
          </cell>
          <cell r="D179" t="str">
            <v>OPP 18x690</v>
          </cell>
          <cell r="E179">
            <v>1</v>
          </cell>
          <cell r="F179">
            <v>7</v>
          </cell>
          <cell r="G179" t="str">
            <v xml:space="preserve">OPP </v>
          </cell>
          <cell r="H179">
            <v>0.3</v>
          </cell>
          <cell r="I179">
            <v>0.9</v>
          </cell>
          <cell r="J179">
            <v>0.5</v>
          </cell>
          <cell r="K179">
            <v>0.2</v>
          </cell>
          <cell r="L179">
            <v>0.7</v>
          </cell>
          <cell r="O179">
            <v>0.2</v>
          </cell>
          <cell r="T179">
            <v>0.2</v>
          </cell>
          <cell r="AM179">
            <v>0</v>
          </cell>
          <cell r="AO179" t="str">
            <v>Công ty Thái Bình</v>
          </cell>
          <cell r="AQ179" t="str">
            <v>1903035-1</v>
          </cell>
          <cell r="AR179" t="str">
            <v>1609242-2</v>
          </cell>
          <cell r="AS179" t="str">
            <v>17101029-3</v>
          </cell>
          <cell r="AT179" t="str">
            <v>1710745-4</v>
          </cell>
          <cell r="AU179" t="str">
            <v>19031034-5</v>
          </cell>
          <cell r="AV179" t="str">
            <v>1703399-6</v>
          </cell>
          <cell r="AW179" t="str">
            <v>1903035-7</v>
          </cell>
          <cell r="BA179" t="str">
            <v>1100x850</v>
          </cell>
          <cell r="BB179" t="str">
            <v>K3</v>
          </cell>
          <cell r="BC179" t="str">
            <v>in chung sp 634(2,3,4):;với sp 642: (1,7) ,(5) với sp 682</v>
          </cell>
        </row>
        <row r="180">
          <cell r="A180" t="str">
            <v>sp 685</v>
          </cell>
          <cell r="B180" t="str">
            <v>Túi lúa mới bao chung NC 40kg Thái Bình</v>
          </cell>
          <cell r="C180">
            <v>3.1999999999999997</v>
          </cell>
          <cell r="D180" t="str">
            <v>OPP 18x690</v>
          </cell>
          <cell r="E180">
            <v>2</v>
          </cell>
          <cell r="F180">
            <v>7</v>
          </cell>
          <cell r="G180" t="str">
            <v xml:space="preserve">OPP </v>
          </cell>
          <cell r="H180">
            <v>0.1</v>
          </cell>
          <cell r="I180">
            <v>0.5</v>
          </cell>
          <cell r="J180">
            <v>0.6</v>
          </cell>
          <cell r="K180">
            <v>0.2</v>
          </cell>
          <cell r="L180">
            <v>0.9</v>
          </cell>
          <cell r="O180">
            <v>0.3</v>
          </cell>
          <cell r="Q180">
            <v>0.4</v>
          </cell>
          <cell r="T180">
            <v>0.2</v>
          </cell>
          <cell r="AM180">
            <v>0</v>
          </cell>
          <cell r="AO180" t="str">
            <v>Công ty Thái Bình</v>
          </cell>
          <cell r="AQ180" t="str">
            <v>1903066-1</v>
          </cell>
          <cell r="AR180" t="str">
            <v>1609553-2</v>
          </cell>
          <cell r="AS180" t="str">
            <v>1609553-3</v>
          </cell>
          <cell r="AT180" t="str">
            <v>1609553-4</v>
          </cell>
          <cell r="AU180" t="str">
            <v>19031034-5</v>
          </cell>
          <cell r="AV180" t="str">
            <v>1611200-6</v>
          </cell>
          <cell r="AW180" t="str">
            <v>1903066-7</v>
          </cell>
          <cell r="BA180" t="str">
            <v>1100x850</v>
          </cell>
          <cell r="BB180" t="str">
            <v>K3</v>
          </cell>
          <cell r="BC180" t="str">
            <v>in chung với sp 644 : (1,7);với sp 643: (2,3,4)</v>
          </cell>
        </row>
        <row r="181">
          <cell r="A181" t="str">
            <v>sp 686</v>
          </cell>
          <cell r="B181" t="str">
            <v>Túi lúa mới TBR1 40kg Thái Bình</v>
          </cell>
          <cell r="C181">
            <v>3.4</v>
          </cell>
          <cell r="D181" t="str">
            <v>OPP 18x690</v>
          </cell>
          <cell r="E181">
            <v>2</v>
          </cell>
          <cell r="F181">
            <v>7</v>
          </cell>
          <cell r="G181" t="str">
            <v xml:space="preserve">OPP </v>
          </cell>
          <cell r="H181">
            <v>0.7</v>
          </cell>
          <cell r="J181">
            <v>0.8</v>
          </cell>
          <cell r="K181">
            <v>0.5</v>
          </cell>
          <cell r="L181">
            <v>0.8</v>
          </cell>
          <cell r="O181">
            <v>0.5</v>
          </cell>
          <cell r="T181">
            <v>0.1</v>
          </cell>
          <cell r="AM181" t="str">
            <v>dạng cuộn</v>
          </cell>
          <cell r="AN181">
            <v>670</v>
          </cell>
          <cell r="AO181" t="str">
            <v>Công ty Thái Bình</v>
          </cell>
          <cell r="AQ181" t="str">
            <v>17101029-1</v>
          </cell>
          <cell r="AR181" t="str">
            <v>1609242-2</v>
          </cell>
          <cell r="AS181" t="str">
            <v>17101029-3</v>
          </cell>
          <cell r="AT181" t="str">
            <v>1710745-4</v>
          </cell>
          <cell r="AU181" t="str">
            <v>1611199-5</v>
          </cell>
          <cell r="AV181" t="str">
            <v>1611199-6</v>
          </cell>
          <cell r="AW181" t="str">
            <v>1903062-7</v>
          </cell>
          <cell r="BA181" t="str">
            <v>1100x850</v>
          </cell>
          <cell r="BB181" t="str">
            <v>K3</v>
          </cell>
          <cell r="BC181" t="str">
            <v>in chung 5 cây :với sp 634:(1,3,7);(2);(4)</v>
          </cell>
        </row>
        <row r="182">
          <cell r="A182" t="str">
            <v>sp 689</v>
          </cell>
          <cell r="B182" t="str">
            <v>Trục in túi trà trong albee tea 200g Vĩnh Phúc 400x850</v>
          </cell>
          <cell r="E182">
            <v>1</v>
          </cell>
          <cell r="AO182" t="str">
            <v>Công ty Vĩnh Phúc</v>
          </cell>
          <cell r="AQ182" t="str">
            <v>16110494</v>
          </cell>
          <cell r="BA182" t="str">
            <v>400x850</v>
          </cell>
          <cell r="BB182" t="str">
            <v>A1</v>
          </cell>
        </row>
        <row r="183">
          <cell r="A183" t="str">
            <v>sp 690</v>
          </cell>
          <cell r="B183" t="str">
            <v>Túi trà ngoài albee tea 200g Vĩnh Phúc</v>
          </cell>
          <cell r="C183">
            <v>4.3</v>
          </cell>
          <cell r="D183" t="str">
            <v>OPP 20x660</v>
          </cell>
          <cell r="E183">
            <v>5</v>
          </cell>
          <cell r="F183">
            <v>5</v>
          </cell>
          <cell r="G183" t="str">
            <v xml:space="preserve">OPP </v>
          </cell>
          <cell r="H183">
            <v>0.2</v>
          </cell>
          <cell r="J183">
            <v>2.1</v>
          </cell>
          <cell r="K183">
            <v>0.5</v>
          </cell>
          <cell r="L183">
            <v>0.6</v>
          </cell>
          <cell r="M183">
            <v>0.8</v>
          </cell>
          <cell r="O183">
            <v>0</v>
          </cell>
          <cell r="S183">
            <v>0.1</v>
          </cell>
          <cell r="AE183" t="str">
            <v>PE sứ 60x660</v>
          </cell>
          <cell r="AG183">
            <v>4.8642000000000005E-2</v>
          </cell>
          <cell r="AH183">
            <v>1.5333333333333332</v>
          </cell>
          <cell r="AJ183">
            <v>9530</v>
          </cell>
          <cell r="AK183">
            <v>2.3E-3</v>
          </cell>
          <cell r="AM183" t="str">
            <v>Túi</v>
          </cell>
          <cell r="AO183" t="str">
            <v>Công ty Vĩnh Phúc</v>
          </cell>
          <cell r="AQ183" t="str">
            <v>1611757-1</v>
          </cell>
          <cell r="AR183" t="str">
            <v>1611757-2</v>
          </cell>
          <cell r="AS183" t="str">
            <v>1611757-3</v>
          </cell>
          <cell r="AT183" t="str">
            <v>1611757-4</v>
          </cell>
          <cell r="AU183" t="str">
            <v>1611757-5</v>
          </cell>
          <cell r="BA183" t="str">
            <v>520x750</v>
          </cell>
          <cell r="BB183" t="str">
            <v>A1</v>
          </cell>
        </row>
        <row r="186">
          <cell r="A186" t="str">
            <v>sp 699</v>
          </cell>
          <cell r="B186" t="str">
            <v>Túi thuốc trừ ốc clodan super 700WP loại 10g</v>
          </cell>
          <cell r="C186">
            <v>5.6</v>
          </cell>
          <cell r="D186" t="str">
            <v>PET 12x620</v>
          </cell>
          <cell r="E186">
            <v>6</v>
          </cell>
          <cell r="F186">
            <v>7</v>
          </cell>
          <cell r="G186" t="str">
            <v xml:space="preserve">PET </v>
          </cell>
          <cell r="H186">
            <v>0.1</v>
          </cell>
          <cell r="I186">
            <v>3.6</v>
          </cell>
          <cell r="J186">
            <v>0.2</v>
          </cell>
          <cell r="K186">
            <v>0.1</v>
          </cell>
          <cell r="L186">
            <v>0.4</v>
          </cell>
          <cell r="M186">
            <v>1.1000000000000001</v>
          </cell>
          <cell r="P186">
            <v>0.1</v>
          </cell>
          <cell r="Q186" t="str">
            <v xml:space="preserve"> </v>
          </cell>
          <cell r="R186" t="str">
            <v xml:space="preserve"> </v>
          </cell>
          <cell r="AE186" t="str">
            <v>MPET 12x620</v>
          </cell>
          <cell r="AF186" t="str">
            <v>PE 75x620</v>
          </cell>
          <cell r="AG186">
            <v>6.3844500000000012E-2</v>
          </cell>
          <cell r="AH186">
            <v>0.93533333333333324</v>
          </cell>
          <cell r="AI186">
            <v>1.22</v>
          </cell>
          <cell r="AJ186">
            <v>9530</v>
          </cell>
          <cell r="AK186" t="str">
            <v>0,0053(0,0023;0,003)</v>
          </cell>
          <cell r="AM186">
            <v>0</v>
          </cell>
          <cell r="AO186" t="str">
            <v>Công ty Quốc tế Hòa Bình</v>
          </cell>
          <cell r="AQ186" t="str">
            <v>1612235-1</v>
          </cell>
          <cell r="AR186" t="str">
            <v>1612235-2</v>
          </cell>
          <cell r="AS186" t="str">
            <v>1612235-3</v>
          </cell>
          <cell r="AT186" t="str">
            <v>1612235-4</v>
          </cell>
          <cell r="AU186" t="str">
            <v>1612235-5</v>
          </cell>
          <cell r="AV186" t="str">
            <v>1612235-6</v>
          </cell>
          <cell r="AW186" t="str">
            <v>1612235-7</v>
          </cell>
          <cell r="BA186" t="str">
            <v>500x750</v>
          </cell>
          <cell r="BB186" t="str">
            <v>T1</v>
          </cell>
          <cell r="BD186" t="str">
            <v>1 cây ở HH</v>
          </cell>
        </row>
        <row r="187">
          <cell r="A187" t="str">
            <v>sp 701</v>
          </cell>
          <cell r="B187" t="str">
            <v>Túi trà phúc lộc thọ 10g</v>
          </cell>
          <cell r="C187">
            <v>4.2</v>
          </cell>
          <cell r="D187" t="str">
            <v>PET 12x700</v>
          </cell>
          <cell r="E187">
            <v>7</v>
          </cell>
          <cell r="F187">
            <v>7</v>
          </cell>
          <cell r="G187" t="str">
            <v xml:space="preserve">PET </v>
          </cell>
          <cell r="H187">
            <v>0.3</v>
          </cell>
          <cell r="I187">
            <v>2.1</v>
          </cell>
          <cell r="J187">
            <v>0.1</v>
          </cell>
          <cell r="K187">
            <v>0.1</v>
          </cell>
          <cell r="L187">
            <v>0.8</v>
          </cell>
          <cell r="M187">
            <v>0.7</v>
          </cell>
          <cell r="P187">
            <v>0.1</v>
          </cell>
          <cell r="AE187" t="str">
            <v>MPET 12x700</v>
          </cell>
          <cell r="AF187" t="str">
            <v>PE 30x700</v>
          </cell>
          <cell r="AG187">
            <v>4.2944999999999997E-2</v>
          </cell>
          <cell r="AH187">
            <v>1.012</v>
          </cell>
          <cell r="AI187">
            <v>1.38</v>
          </cell>
          <cell r="AJ187">
            <v>9530</v>
          </cell>
          <cell r="AK187" t="str">
            <v>0,0044(0,0022;0,0022)</v>
          </cell>
          <cell r="AM187">
            <v>0</v>
          </cell>
          <cell r="AO187" t="str">
            <v>Bùi Văn Sỹ</v>
          </cell>
          <cell r="AQ187" t="str">
            <v>1612405-1</v>
          </cell>
          <cell r="AR187" t="str">
            <v>1612405-2</v>
          </cell>
          <cell r="AS187" t="str">
            <v>1612405-3</v>
          </cell>
          <cell r="AT187" t="str">
            <v>1612405-4</v>
          </cell>
          <cell r="AU187" t="str">
            <v>1612405-5</v>
          </cell>
          <cell r="AV187" t="str">
            <v>1612405-6</v>
          </cell>
          <cell r="AW187" t="str">
            <v>1612405-7</v>
          </cell>
          <cell r="BA187" t="str">
            <v>460x750</v>
          </cell>
          <cell r="BB187" t="str">
            <v>F2</v>
          </cell>
        </row>
        <row r="188">
          <cell r="A188" t="str">
            <v>sp 702</v>
          </cell>
          <cell r="B188" t="str">
            <v>Túi gạo HCK 1kg Thái Bình</v>
          </cell>
          <cell r="C188">
            <v>9.5000000000000018</v>
          </cell>
          <cell r="D188" t="str">
            <v>PA 15x580</v>
          </cell>
          <cell r="E188">
            <v>7</v>
          </cell>
          <cell r="F188">
            <v>7</v>
          </cell>
          <cell r="G188" t="str">
            <v xml:space="preserve">PA </v>
          </cell>
          <cell r="H188">
            <v>0.1</v>
          </cell>
          <cell r="I188">
            <v>3.2</v>
          </cell>
          <cell r="J188">
            <v>0.4</v>
          </cell>
          <cell r="K188">
            <v>1.1000000000000001</v>
          </cell>
          <cell r="L188">
            <v>1.5</v>
          </cell>
          <cell r="M188">
            <v>1.9</v>
          </cell>
          <cell r="O188">
            <v>0.9</v>
          </cell>
          <cell r="T188">
            <v>0.4</v>
          </cell>
          <cell r="AE188" t="str">
            <v>PE 85x580</v>
          </cell>
          <cell r="AG188">
            <v>5.5607500000000004E-2</v>
          </cell>
          <cell r="AH188">
            <v>0.95</v>
          </cell>
          <cell r="AJ188">
            <v>9530</v>
          </cell>
          <cell r="AK188">
            <v>2.5000000000000001E-3</v>
          </cell>
          <cell r="AM188">
            <v>0</v>
          </cell>
          <cell r="AO188" t="str">
            <v>Công ty Thái Bình</v>
          </cell>
          <cell r="AQ188" t="str">
            <v>1612337-1</v>
          </cell>
          <cell r="AR188" t="str">
            <v>1612337-2</v>
          </cell>
          <cell r="AS188" t="str">
            <v>1612337-3</v>
          </cell>
          <cell r="AT188" t="str">
            <v>1612337-4</v>
          </cell>
          <cell r="AU188" t="str">
            <v>1612337-5</v>
          </cell>
          <cell r="AV188" t="str">
            <v>1704431-6</v>
          </cell>
          <cell r="AW188" t="str">
            <v>1612337-7</v>
          </cell>
          <cell r="BA188" t="str">
            <v>400x750</v>
          </cell>
          <cell r="BB188" t="str">
            <v>I2</v>
          </cell>
        </row>
        <row r="189">
          <cell r="A189" t="str">
            <v>sp 703</v>
          </cell>
          <cell r="B189" t="str">
            <v>Túi gạo HCK 3kg Thái Bình</v>
          </cell>
          <cell r="C189">
            <v>9.3000000000000025</v>
          </cell>
          <cell r="D189" t="str">
            <v>PA 15x560</v>
          </cell>
          <cell r="E189">
            <v>7</v>
          </cell>
          <cell r="F189">
            <v>7</v>
          </cell>
          <cell r="G189" t="str">
            <v xml:space="preserve">PA </v>
          </cell>
          <cell r="H189">
            <v>0.1</v>
          </cell>
          <cell r="I189">
            <v>3.2</v>
          </cell>
          <cell r="J189">
            <v>0.5</v>
          </cell>
          <cell r="K189">
            <v>1</v>
          </cell>
          <cell r="L189">
            <v>1.4</v>
          </cell>
          <cell r="M189">
            <v>1.9</v>
          </cell>
          <cell r="O189">
            <v>0.9</v>
          </cell>
          <cell r="T189">
            <v>0.3</v>
          </cell>
          <cell r="AE189" t="str">
            <v>PE 110x560</v>
          </cell>
          <cell r="AG189">
            <v>6.6640000000000005E-2</v>
          </cell>
          <cell r="AH189">
            <v>1.4666666666666668</v>
          </cell>
          <cell r="AJ189">
            <v>9530</v>
          </cell>
          <cell r="AK189">
            <v>4.0000000000000001E-3</v>
          </cell>
          <cell r="AM189">
            <v>0</v>
          </cell>
          <cell r="AO189" t="str">
            <v>Công ty Thái Bình</v>
          </cell>
          <cell r="AQ189" t="str">
            <v>1612350-1</v>
          </cell>
          <cell r="AR189" t="str">
            <v>1612350-2</v>
          </cell>
          <cell r="AS189" t="str">
            <v>1612350-3</v>
          </cell>
          <cell r="AT189" t="str">
            <v>1612350-4</v>
          </cell>
          <cell r="AU189" t="str">
            <v>1612350-5</v>
          </cell>
          <cell r="AV189" t="str">
            <v>1704432-6</v>
          </cell>
          <cell r="AW189" t="str">
            <v>1612350-7</v>
          </cell>
          <cell r="BA189" t="str">
            <v>410x750</v>
          </cell>
          <cell r="BB189" t="str">
            <v>J1</v>
          </cell>
        </row>
        <row r="190">
          <cell r="A190" t="str">
            <v>sp 707</v>
          </cell>
          <cell r="B190" t="str">
            <v>Cuộn màng thuốc trừ sâu Belazole 75WP loại 8g Việt Thắng</v>
          </cell>
          <cell r="C190">
            <v>3.5000000000000004</v>
          </cell>
          <cell r="D190" t="str">
            <v>PET 12x800</v>
          </cell>
          <cell r="E190">
            <v>6</v>
          </cell>
          <cell r="F190">
            <v>6</v>
          </cell>
          <cell r="G190" t="str">
            <v xml:space="preserve">PET </v>
          </cell>
          <cell r="H190">
            <v>0.1</v>
          </cell>
          <cell r="I190">
            <v>2.1</v>
          </cell>
          <cell r="J190">
            <v>0.2</v>
          </cell>
          <cell r="L190">
            <v>0.5</v>
          </cell>
          <cell r="M190">
            <v>0.4</v>
          </cell>
          <cell r="P190">
            <v>0.1</v>
          </cell>
          <cell r="R190">
            <v>0.1</v>
          </cell>
          <cell r="AE190" t="str">
            <v>Al 12x800</v>
          </cell>
          <cell r="AF190" t="str">
            <v>PE 75x810</v>
          </cell>
          <cell r="AG190">
            <v>9.4956000000000013E-2</v>
          </cell>
          <cell r="AH190">
            <v>1.2113333333333334</v>
          </cell>
          <cell r="AI190">
            <v>1.58</v>
          </cell>
          <cell r="AJ190">
            <v>9530</v>
          </cell>
          <cell r="AK190" t="str">
            <v>0,0053(0,0023;0,003)</v>
          </cell>
          <cell r="AM190">
            <v>0</v>
          </cell>
          <cell r="AO190" t="str">
            <v>Công ty Việt Thắng</v>
          </cell>
          <cell r="AQ190" t="str">
            <v>F116232-1</v>
          </cell>
          <cell r="AR190" t="str">
            <v>F116232-2</v>
          </cell>
          <cell r="AS190" t="str">
            <v>F116232-3</v>
          </cell>
          <cell r="AT190" t="str">
            <v>F116232-4</v>
          </cell>
          <cell r="AU190" t="str">
            <v>F116232-5</v>
          </cell>
          <cell r="AV190" t="str">
            <v>F116232-6</v>
          </cell>
          <cell r="AW190" t="str">
            <v>F116232-7</v>
          </cell>
          <cell r="BA190" t="str">
            <v>450x850</v>
          </cell>
          <cell r="BB190" t="str">
            <v>D2</v>
          </cell>
        </row>
        <row r="191">
          <cell r="A191" t="str">
            <v>sp 710</v>
          </cell>
          <cell r="B191" t="str">
            <v>Cuộn thuốc trừ bệnh Kanra 72WP loại 25g</v>
          </cell>
          <cell r="C191">
            <v>5.6000000000000005</v>
          </cell>
          <cell r="D191" t="str">
            <v>PET 12x600</v>
          </cell>
          <cell r="E191">
            <v>6</v>
          </cell>
          <cell r="F191">
            <v>6</v>
          </cell>
          <cell r="G191" t="str">
            <v xml:space="preserve">PET </v>
          </cell>
          <cell r="H191">
            <v>0.1</v>
          </cell>
          <cell r="I191">
            <v>3</v>
          </cell>
          <cell r="J191">
            <v>0.5</v>
          </cell>
          <cell r="K191">
            <v>0.1</v>
          </cell>
          <cell r="L191">
            <v>1.1000000000000001</v>
          </cell>
          <cell r="M191">
            <v>0.6</v>
          </cell>
          <cell r="O191">
            <v>0.2</v>
          </cell>
          <cell r="AE191" t="str">
            <v>Al 6x600</v>
          </cell>
          <cell r="AF191" t="str">
            <v>PE 75x610</v>
          </cell>
          <cell r="AG191">
            <v>6.1460999999999995E-2</v>
          </cell>
          <cell r="AH191">
            <v>0.90466666666666651</v>
          </cell>
          <cell r="AI191">
            <v>1.18</v>
          </cell>
          <cell r="AJ191">
            <v>9530</v>
          </cell>
          <cell r="AK191" t="str">
            <v>0,0053(0,0023;0,003)</v>
          </cell>
          <cell r="AM191" t="str">
            <v>Cuộn</v>
          </cell>
          <cell r="AO191" t="str">
            <v>Công ty Việt Thắng</v>
          </cell>
          <cell r="AQ191" t="str">
            <v>F116420G1-1</v>
          </cell>
          <cell r="AR191" t="str">
            <v>F116420-2</v>
          </cell>
          <cell r="AS191" t="str">
            <v>F116420-3</v>
          </cell>
          <cell r="AT191" t="str">
            <v>F116420-4</v>
          </cell>
          <cell r="AU191" t="str">
            <v>F116420-5</v>
          </cell>
          <cell r="AV191" t="str">
            <v>F116420-6</v>
          </cell>
          <cell r="BA191" t="str">
            <v>450x750</v>
          </cell>
          <cell r="BB191" t="str">
            <v>D2</v>
          </cell>
        </row>
        <row r="192">
          <cell r="A192" t="str">
            <v>sp 711</v>
          </cell>
          <cell r="B192" t="str">
            <v>Cuộn thuốc trừ sâu vithadan 95WP loại 30g Việt Thắng</v>
          </cell>
          <cell r="C192">
            <v>6</v>
          </cell>
          <cell r="D192" t="str">
            <v>PET 12x600</v>
          </cell>
          <cell r="E192">
            <v>5</v>
          </cell>
          <cell r="F192">
            <v>5</v>
          </cell>
          <cell r="G192" t="str">
            <v xml:space="preserve">PET </v>
          </cell>
          <cell r="H192">
            <v>0.1</v>
          </cell>
          <cell r="I192">
            <v>3.8</v>
          </cell>
          <cell r="J192">
            <v>0.1</v>
          </cell>
          <cell r="K192">
            <v>1.9</v>
          </cell>
          <cell r="L192">
            <v>0.1</v>
          </cell>
          <cell r="AE192" t="str">
            <v>Al 6x600</v>
          </cell>
          <cell r="AF192" t="str">
            <v>PE 75x610</v>
          </cell>
          <cell r="AG192">
            <v>6.1460999999999995E-2</v>
          </cell>
          <cell r="AH192">
            <v>0.90466666666666651</v>
          </cell>
          <cell r="AI192">
            <v>1.18</v>
          </cell>
          <cell r="AJ192">
            <v>9530</v>
          </cell>
          <cell r="AK192" t="str">
            <v>0,0053(0,0023;0,003)</v>
          </cell>
          <cell r="AM192" t="str">
            <v>Cuộn</v>
          </cell>
          <cell r="AO192" t="str">
            <v>Công ty Việt Thắng</v>
          </cell>
          <cell r="AQ192" t="str">
            <v>F116421-1</v>
          </cell>
          <cell r="AR192" t="str">
            <v>F116421-2</v>
          </cell>
          <cell r="AS192" t="str">
            <v>F116421-3</v>
          </cell>
          <cell r="AT192" t="str">
            <v>F116421-4</v>
          </cell>
          <cell r="AU192" t="str">
            <v>F116421-5</v>
          </cell>
          <cell r="BA192" t="str">
            <v>450x750</v>
          </cell>
          <cell r="BB192" t="str">
            <v>D2</v>
          </cell>
        </row>
        <row r="193">
          <cell r="A193" t="str">
            <v>sp 715</v>
          </cell>
          <cell r="B193" t="str">
            <v>Cuộn thuốc trừ sâu PN - Linhcide 1,2EW loại 15ml</v>
          </cell>
          <cell r="E193">
            <v>6</v>
          </cell>
          <cell r="F193">
            <v>6</v>
          </cell>
          <cell r="AO193" t="str">
            <v>Công ty Tâm Nông</v>
          </cell>
          <cell r="AQ193" t="str">
            <v>1702484-1</v>
          </cell>
          <cell r="AR193" t="str">
            <v>1702484-2</v>
          </cell>
          <cell r="AS193" t="str">
            <v>1702484-3</v>
          </cell>
          <cell r="AT193" t="str">
            <v>1702484-4</v>
          </cell>
          <cell r="AU193" t="str">
            <v>1702484-5</v>
          </cell>
          <cell r="AV193" t="str">
            <v>1702484-6</v>
          </cell>
          <cell r="BA193" t="str">
            <v>500x750</v>
          </cell>
          <cell r="BB193" t="str">
            <v>O1</v>
          </cell>
        </row>
        <row r="194">
          <cell r="A194" t="str">
            <v>sp 716</v>
          </cell>
          <cell r="B194" t="str">
            <v>cuộn thuốc trừ sâu Danobull 8g</v>
          </cell>
          <cell r="E194">
            <v>5</v>
          </cell>
          <cell r="F194">
            <v>5</v>
          </cell>
          <cell r="AO194" t="str">
            <v>Công ty Việt Đức</v>
          </cell>
          <cell r="AQ194" t="str">
            <v>F416293-1</v>
          </cell>
          <cell r="AR194" t="str">
            <v>F416293-2</v>
          </cell>
          <cell r="AS194" t="str">
            <v>F416293-3</v>
          </cell>
          <cell r="AT194" t="str">
            <v>F416293-4</v>
          </cell>
          <cell r="AU194" t="str">
            <v>F416293-5</v>
          </cell>
          <cell r="BA194" t="str">
            <v xml:space="preserve"> 750x417</v>
          </cell>
          <cell r="BB194" t="str">
            <v>O1</v>
          </cell>
        </row>
        <row r="195">
          <cell r="A195" t="str">
            <v>sp 718</v>
          </cell>
          <cell r="B195" t="str">
            <v>Cuộn thuốc trừ sâu bác sỹ Javizole 777WP loại 18g Việt Đức</v>
          </cell>
          <cell r="C195">
            <v>6.8000000000000007</v>
          </cell>
          <cell r="D195" t="str">
            <v>PET 12x740</v>
          </cell>
          <cell r="E195">
            <v>6</v>
          </cell>
          <cell r="F195">
            <v>6</v>
          </cell>
          <cell r="G195" t="str">
            <v xml:space="preserve">PET </v>
          </cell>
          <cell r="H195">
            <v>0.1</v>
          </cell>
          <cell r="I195">
            <v>2.4</v>
          </cell>
          <cell r="J195">
            <v>0.1</v>
          </cell>
          <cell r="K195">
            <v>0.1</v>
          </cell>
          <cell r="L195">
            <v>1.7</v>
          </cell>
          <cell r="M195">
            <v>2</v>
          </cell>
          <cell r="P195">
            <v>0.4</v>
          </cell>
          <cell r="AE195" t="str">
            <v>MPET 12x740</v>
          </cell>
          <cell r="AF195" t="str">
            <v>PE 75x740</v>
          </cell>
          <cell r="AG195">
            <v>7.6201500000000005E-2</v>
          </cell>
          <cell r="AH195">
            <v>1.1193333333333333</v>
          </cell>
          <cell r="AI195">
            <v>1.46</v>
          </cell>
          <cell r="AJ195">
            <v>9530</v>
          </cell>
          <cell r="AK195" t="str">
            <v>0,0053(0,0023;0,003)</v>
          </cell>
          <cell r="AM195" t="str">
            <v>Cuộn</v>
          </cell>
          <cell r="AO195" t="str">
            <v>Công ty Việt Đức</v>
          </cell>
          <cell r="AQ195" t="str">
            <v>1703542-1</v>
          </cell>
          <cell r="AR195" t="str">
            <v>1703542-2</v>
          </cell>
          <cell r="AS195" t="str">
            <v>1703542-3</v>
          </cell>
          <cell r="AT195" t="str">
            <v>1703542-4</v>
          </cell>
          <cell r="AU195" t="str">
            <v>1703542-5</v>
          </cell>
          <cell r="AV195" t="str">
            <v>1703542-6</v>
          </cell>
          <cell r="BA195" t="str">
            <v>480x750</v>
          </cell>
          <cell r="BB195" t="str">
            <v>O1</v>
          </cell>
        </row>
        <row r="196">
          <cell r="A196" t="str">
            <v>sp 719</v>
          </cell>
          <cell r="B196" t="str">
            <v>Cuộn thuốc trừ sâu xài ong vàng Javizole 777WP loại 18gr Việt Đức</v>
          </cell>
          <cell r="C196">
            <v>4.4000000000000004</v>
          </cell>
          <cell r="D196" t="str">
            <v>PET 12x740</v>
          </cell>
          <cell r="E196">
            <v>5</v>
          </cell>
          <cell r="F196">
            <v>5</v>
          </cell>
          <cell r="G196" t="str">
            <v xml:space="preserve">PET </v>
          </cell>
          <cell r="H196">
            <v>0.1</v>
          </cell>
          <cell r="I196">
            <v>3.5</v>
          </cell>
          <cell r="J196">
            <v>0.2</v>
          </cell>
          <cell r="K196">
            <v>0.3</v>
          </cell>
          <cell r="L196">
            <v>0.3</v>
          </cell>
          <cell r="AE196" t="str">
            <v>MPET 12x740</v>
          </cell>
          <cell r="AF196" t="str">
            <v>PE 75x740</v>
          </cell>
          <cell r="AG196">
            <v>7.6201500000000005E-2</v>
          </cell>
          <cell r="AH196">
            <v>1.1193333333333333</v>
          </cell>
          <cell r="AI196">
            <v>1.46</v>
          </cell>
          <cell r="AJ196">
            <v>9530</v>
          </cell>
          <cell r="AK196" t="str">
            <v>0,0053(0,0023;0,003)</v>
          </cell>
          <cell r="AM196" t="str">
            <v>Cuộn</v>
          </cell>
          <cell r="AO196" t="str">
            <v>Công ty Việt Đức</v>
          </cell>
          <cell r="AQ196" t="str">
            <v>1703541-1</v>
          </cell>
          <cell r="AR196" t="str">
            <v>1703541-2</v>
          </cell>
          <cell r="AS196" t="str">
            <v>1703541-3</v>
          </cell>
          <cell r="AT196" t="str">
            <v>1703541-4</v>
          </cell>
          <cell r="AU196" t="str">
            <v>1703541-5</v>
          </cell>
          <cell r="BA196" t="str">
            <v>480x750</v>
          </cell>
          <cell r="BB196" t="str">
            <v>O1</v>
          </cell>
        </row>
        <row r="197">
          <cell r="A197" t="str">
            <v>sp 721</v>
          </cell>
          <cell r="B197" t="str">
            <v>Túi thuốc trừ sâu starbem 500WP loại 15g Hòa bình</v>
          </cell>
          <cell r="C197">
            <v>5.8</v>
          </cell>
          <cell r="D197" t="str">
            <v>PET 12x770</v>
          </cell>
          <cell r="E197">
            <v>7</v>
          </cell>
          <cell r="F197">
            <v>7</v>
          </cell>
          <cell r="G197" t="str">
            <v xml:space="preserve">PET </v>
          </cell>
          <cell r="H197">
            <v>0.2</v>
          </cell>
          <cell r="I197">
            <v>3.2</v>
          </cell>
          <cell r="J197">
            <v>0.3</v>
          </cell>
          <cell r="K197">
            <v>0.1</v>
          </cell>
          <cell r="L197">
            <v>1.4</v>
          </cell>
          <cell r="O197">
            <v>0.1</v>
          </cell>
          <cell r="P197">
            <v>0.5</v>
          </cell>
          <cell r="AE197" t="str">
            <v>MPET 12x770</v>
          </cell>
          <cell r="AF197" t="str">
            <v>PE 75x770</v>
          </cell>
          <cell r="AG197">
            <v>7.9290750000000007E-2</v>
          </cell>
          <cell r="AH197">
            <v>1.1653333333333333</v>
          </cell>
          <cell r="AI197">
            <v>1.52</v>
          </cell>
          <cell r="AJ197">
            <v>9530</v>
          </cell>
          <cell r="AK197" t="str">
            <v>0,0053(0,0023;0,003)</v>
          </cell>
          <cell r="AM197" t="str">
            <v>Ba biên</v>
          </cell>
          <cell r="AO197" t="str">
            <v>Công ty Quốc tế Hòa Bình</v>
          </cell>
          <cell r="AQ197" t="str">
            <v>1703749-1</v>
          </cell>
          <cell r="AR197" t="str">
            <v>1703749-2</v>
          </cell>
          <cell r="AS197" t="str">
            <v>1703749-3</v>
          </cell>
          <cell r="AT197" t="str">
            <v>1703749-4</v>
          </cell>
          <cell r="AU197" t="str">
            <v>1703749-5</v>
          </cell>
          <cell r="AV197" t="str">
            <v>1703749-6</v>
          </cell>
          <cell r="AW197" t="str">
            <v>1703749-7</v>
          </cell>
          <cell r="BA197" t="str">
            <v>400x850</v>
          </cell>
          <cell r="BB197" t="str">
            <v>T1</v>
          </cell>
        </row>
        <row r="198">
          <cell r="A198" t="str">
            <v>sp 722</v>
          </cell>
          <cell r="B198" t="str">
            <v>Túi thuốc trừ sâu Aperlaur hiệu dế mèn 100WP loại 50gr</v>
          </cell>
          <cell r="C198">
            <v>3.8000000000000003</v>
          </cell>
          <cell r="D198" t="str">
            <v>PET 12x800</v>
          </cell>
          <cell r="E198">
            <v>7</v>
          </cell>
          <cell r="F198">
            <v>7</v>
          </cell>
          <cell r="G198" t="str">
            <v xml:space="preserve">PET </v>
          </cell>
          <cell r="H198">
            <v>0.1</v>
          </cell>
          <cell r="I198">
            <v>2.5</v>
          </cell>
          <cell r="J198">
            <v>0.1</v>
          </cell>
          <cell r="K198">
            <v>0.1</v>
          </cell>
          <cell r="L198">
            <v>0.6</v>
          </cell>
          <cell r="O198">
            <v>0.3</v>
          </cell>
          <cell r="P198">
            <v>0.1</v>
          </cell>
          <cell r="AE198" t="str">
            <v>MPET 12x800</v>
          </cell>
          <cell r="AF198" t="str">
            <v>PE 75x800</v>
          </cell>
          <cell r="AG198">
            <v>8.2380000000000009E-2</v>
          </cell>
          <cell r="AH198">
            <v>1.2113333333333334</v>
          </cell>
          <cell r="AI198">
            <v>1.58</v>
          </cell>
          <cell r="AJ198">
            <v>9530</v>
          </cell>
          <cell r="AK198" t="str">
            <v>0,0053(0,0023;0,003)</v>
          </cell>
          <cell r="AM198" t="str">
            <v>Ba biên</v>
          </cell>
          <cell r="AO198" t="str">
            <v>Công ty Quốc tế Hòa Bình</v>
          </cell>
          <cell r="AQ198" t="str">
            <v>17031055-1</v>
          </cell>
          <cell r="AR198" t="str">
            <v>17031055-2</v>
          </cell>
          <cell r="AS198" t="str">
            <v>17031055-3</v>
          </cell>
          <cell r="AT198" t="str">
            <v>17031055-4</v>
          </cell>
          <cell r="AU198" t="str">
            <v>17031055-5</v>
          </cell>
          <cell r="AV198" t="str">
            <v>17031055-6</v>
          </cell>
          <cell r="AW198" t="str">
            <v>17031055-7</v>
          </cell>
          <cell r="BA198" t="str">
            <v>405x850</v>
          </cell>
          <cell r="BB198" t="str">
            <v>T1</v>
          </cell>
        </row>
        <row r="199">
          <cell r="A199" t="str">
            <v>sp 724</v>
          </cell>
          <cell r="B199" t="str">
            <v>Túi hạt giống lúa lai Mahyco TH 3-5 1kg mới</v>
          </cell>
          <cell r="C199">
            <v>5.8999999999999995</v>
          </cell>
          <cell r="D199" t="str">
            <v>OPP 20x900</v>
          </cell>
          <cell r="E199">
            <v>6</v>
          </cell>
          <cell r="F199">
            <v>6</v>
          </cell>
          <cell r="G199" t="str">
            <v xml:space="preserve">OPP </v>
          </cell>
          <cell r="H199">
            <v>0.1</v>
          </cell>
          <cell r="I199">
            <v>3</v>
          </cell>
          <cell r="J199">
            <v>0.3</v>
          </cell>
          <cell r="L199">
            <v>2.1</v>
          </cell>
          <cell r="O199">
            <v>0.1</v>
          </cell>
          <cell r="P199">
            <v>0.2</v>
          </cell>
          <cell r="Q199">
            <v>0.1</v>
          </cell>
          <cell r="AE199" t="str">
            <v>PE 90x900</v>
          </cell>
          <cell r="AG199">
            <v>9.1305000000000011E-2</v>
          </cell>
          <cell r="AH199">
            <v>1.4833333333333334</v>
          </cell>
          <cell r="AJ199">
            <v>9530</v>
          </cell>
          <cell r="AK199">
            <v>2.5000000000000001E-3</v>
          </cell>
          <cell r="AM199" t="str">
            <v>Ba biên</v>
          </cell>
          <cell r="AO199" t="str">
            <v>Công ty Mahyco</v>
          </cell>
          <cell r="AQ199" t="str">
            <v>18101257-1</v>
          </cell>
          <cell r="AR199" t="str">
            <v>1704290-2</v>
          </cell>
          <cell r="AS199" t="str">
            <v>1704290-3</v>
          </cell>
          <cell r="AT199" t="str">
            <v>1704290-4</v>
          </cell>
          <cell r="AU199" t="str">
            <v>1704290-5</v>
          </cell>
          <cell r="AV199" t="str">
            <v>1704290-6</v>
          </cell>
          <cell r="BA199" t="str">
            <v>620x1100</v>
          </cell>
          <cell r="BB199" t="str">
            <v>O1</v>
          </cell>
        </row>
        <row r="204">
          <cell r="A204" t="str">
            <v>sp 761</v>
          </cell>
          <cell r="B204" t="str">
            <v>Cuộn thạch hoa quả siêu nhân Anh Đức</v>
          </cell>
          <cell r="E204">
            <v>5</v>
          </cell>
          <cell r="F204">
            <v>5</v>
          </cell>
          <cell r="AO204" t="str">
            <v>Công ty Đồng Phát</v>
          </cell>
          <cell r="AQ204" t="str">
            <v>1705254-1</v>
          </cell>
          <cell r="AR204" t="str">
            <v>1705254-2</v>
          </cell>
          <cell r="AS204" t="str">
            <v>1705254-3</v>
          </cell>
          <cell r="AT204" t="str">
            <v>1705254-4</v>
          </cell>
          <cell r="AU204" t="str">
            <v>1705254-5</v>
          </cell>
          <cell r="BA204" t="str">
            <v>419x750</v>
          </cell>
          <cell r="BB204" t="str">
            <v>O2</v>
          </cell>
        </row>
        <row r="205">
          <cell r="A205" t="str">
            <v>sp 763</v>
          </cell>
          <cell r="B205" t="str">
            <v>Túi thuốc trừ sâu techtimex 50WG hiệu chim sẻ loại 10g</v>
          </cell>
          <cell r="C205">
            <v>4.96</v>
          </cell>
          <cell r="D205" t="str">
            <v>PET 12x770</v>
          </cell>
          <cell r="E205">
            <v>7</v>
          </cell>
          <cell r="F205">
            <v>7</v>
          </cell>
          <cell r="G205" t="str">
            <v>PET</v>
          </cell>
          <cell r="H205">
            <v>0.1</v>
          </cell>
          <cell r="I205">
            <v>3</v>
          </cell>
          <cell r="J205">
            <v>0.1</v>
          </cell>
          <cell r="K205">
            <v>0.16</v>
          </cell>
          <cell r="L205">
            <v>1.3</v>
          </cell>
          <cell r="P205">
            <v>0.2</v>
          </cell>
          <cell r="R205">
            <v>0.1</v>
          </cell>
          <cell r="AE205" t="str">
            <v>MPET 12x770</v>
          </cell>
          <cell r="AF205" t="str">
            <v>PE 75x770</v>
          </cell>
          <cell r="AG205">
            <v>7.9290750000000007E-2</v>
          </cell>
          <cell r="AH205">
            <v>1.1653333333333333</v>
          </cell>
          <cell r="AI205">
            <v>1.52</v>
          </cell>
          <cell r="AJ205">
            <v>9530</v>
          </cell>
          <cell r="AK205" t="str">
            <v>0,0053(0,0023;0,003)</v>
          </cell>
          <cell r="AO205" t="str">
            <v>Công ty American</v>
          </cell>
          <cell r="AQ205" t="str">
            <v>18091255-1</v>
          </cell>
          <cell r="AR205" t="str">
            <v>1705790-2</v>
          </cell>
          <cell r="AS205" t="str">
            <v>1705790-3</v>
          </cell>
          <cell r="AT205" t="str">
            <v>1705790-4</v>
          </cell>
          <cell r="AU205" t="str">
            <v>1705790-5</v>
          </cell>
          <cell r="AV205" t="str">
            <v>1705790-6</v>
          </cell>
          <cell r="AW205" t="str">
            <v>1705790-7</v>
          </cell>
          <cell r="BA205" t="str">
            <v>485x850</v>
          </cell>
          <cell r="BB205" t="str">
            <v>O2</v>
          </cell>
        </row>
        <row r="206">
          <cell r="A206" t="str">
            <v>sp 769</v>
          </cell>
          <cell r="B206" t="str">
            <v>Túi thuốc trừ sâu techtimex 50WG hiệu siêu nhân mỹ lợi loại 12g</v>
          </cell>
          <cell r="C206">
            <v>6</v>
          </cell>
          <cell r="D206" t="str">
            <v>PET 12x632</v>
          </cell>
          <cell r="E206">
            <v>7</v>
          </cell>
          <cell r="F206">
            <v>7</v>
          </cell>
          <cell r="G206" t="str">
            <v>PET</v>
          </cell>
          <cell r="H206">
            <v>0.6</v>
          </cell>
          <cell r="I206">
            <v>3</v>
          </cell>
          <cell r="J206">
            <v>0.8</v>
          </cell>
          <cell r="K206">
            <v>0.4</v>
          </cell>
          <cell r="L206">
            <v>0.1</v>
          </cell>
          <cell r="P206">
            <v>1</v>
          </cell>
          <cell r="R206">
            <v>0.1</v>
          </cell>
          <cell r="AE206" t="str">
            <v>MPET 12x632</v>
          </cell>
          <cell r="AF206" t="str">
            <v>PE 75x632</v>
          </cell>
          <cell r="AG206">
            <v>6.5080200000000005E-2</v>
          </cell>
          <cell r="AH206">
            <v>0.95373333333333321</v>
          </cell>
          <cell r="AI206">
            <v>1.244</v>
          </cell>
          <cell r="AJ206">
            <v>9530</v>
          </cell>
          <cell r="AK206" t="str">
            <v>0,0053(0,0023;0,003)</v>
          </cell>
          <cell r="AO206" t="str">
            <v>Công ty American</v>
          </cell>
          <cell r="AQ206" t="str">
            <v>17051024-1</v>
          </cell>
          <cell r="AR206" t="str">
            <v>17051024-2</v>
          </cell>
          <cell r="AS206" t="str">
            <v>17051024-3</v>
          </cell>
          <cell r="AT206" t="str">
            <v>17051024-4</v>
          </cell>
          <cell r="AU206" t="str">
            <v>17051024-5</v>
          </cell>
          <cell r="AV206" t="str">
            <v>17051024-6</v>
          </cell>
          <cell r="AW206" t="str">
            <v>17051024-7</v>
          </cell>
          <cell r="BA206" t="str">
            <v>435x750</v>
          </cell>
          <cell r="BB206" t="str">
            <v>O2</v>
          </cell>
        </row>
        <row r="207">
          <cell r="A207" t="str">
            <v>sp 770</v>
          </cell>
          <cell r="B207" t="str">
            <v>Túi thuốc trừ sâu clodan super 700WP hiệu vua ốc loại 30g</v>
          </cell>
          <cell r="C207">
            <v>6.26</v>
          </cell>
          <cell r="D207" t="str">
            <v>PET 12x680</v>
          </cell>
          <cell r="E207">
            <v>7</v>
          </cell>
          <cell r="F207">
            <v>7</v>
          </cell>
          <cell r="G207" t="str">
            <v>PET</v>
          </cell>
          <cell r="H207">
            <v>0.18</v>
          </cell>
          <cell r="I207">
            <v>2.8</v>
          </cell>
          <cell r="J207">
            <v>0.1</v>
          </cell>
          <cell r="K207">
            <v>0.28000000000000003</v>
          </cell>
          <cell r="L207">
            <v>1</v>
          </cell>
          <cell r="M207">
            <v>0.7</v>
          </cell>
          <cell r="P207">
            <v>1.1000000000000001</v>
          </cell>
          <cell r="R207">
            <v>0.1</v>
          </cell>
          <cell r="AE207" t="str">
            <v>MPET 12x680</v>
          </cell>
          <cell r="AF207" t="str">
            <v>PE 75x680</v>
          </cell>
          <cell r="AG207">
            <v>7.0023000000000016E-2</v>
          </cell>
          <cell r="AH207">
            <v>1.0273333333333332</v>
          </cell>
          <cell r="AI207">
            <v>1.34</v>
          </cell>
          <cell r="AJ207">
            <v>9530</v>
          </cell>
          <cell r="AK207" t="str">
            <v>0,0053(0,0023;0,003)</v>
          </cell>
          <cell r="AO207" t="str">
            <v>Công ty American</v>
          </cell>
          <cell r="AQ207" t="str">
            <v>20050199-1</v>
          </cell>
          <cell r="AR207" t="str">
            <v>17051023-2</v>
          </cell>
          <cell r="AS207" t="str">
            <v>17051023-3</v>
          </cell>
          <cell r="AT207" t="str">
            <v>17051023-4</v>
          </cell>
          <cell r="AU207" t="str">
            <v>20050199-5</v>
          </cell>
          <cell r="AV207" t="str">
            <v>20050199-6</v>
          </cell>
          <cell r="AW207" t="str">
            <v>17051023-7</v>
          </cell>
          <cell r="BA207" t="str">
            <v>460x750</v>
          </cell>
          <cell r="BB207" t="str">
            <v>O2</v>
          </cell>
        </row>
        <row r="210">
          <cell r="A210" t="str">
            <v>sp 786</v>
          </cell>
          <cell r="B210" t="str">
            <v>Cuộn trà xanh harada Vĩnh phúc</v>
          </cell>
          <cell r="E210">
            <v>3</v>
          </cell>
          <cell r="F210">
            <v>3</v>
          </cell>
          <cell r="AO210" t="str">
            <v>Công ty Vĩnh Phúc</v>
          </cell>
          <cell r="AQ210" t="str">
            <v>F118291-1</v>
          </cell>
          <cell r="AR210" t="str">
            <v>F118291-2</v>
          </cell>
          <cell r="AS210" t="str">
            <v>F118291-3</v>
          </cell>
          <cell r="BA210" t="str">
            <v>462x750</v>
          </cell>
          <cell r="BB210" t="str">
            <v>A1</v>
          </cell>
        </row>
        <row r="211">
          <cell r="A211" t="str">
            <v>sp 793</v>
          </cell>
          <cell r="B211" t="str">
            <v>Túi thuốc trừ bệnh number 1 trị loét 500g</v>
          </cell>
          <cell r="C211">
            <v>5.7</v>
          </cell>
          <cell r="D211" t="str">
            <v>PET 12x590</v>
          </cell>
          <cell r="E211">
            <v>6</v>
          </cell>
          <cell r="F211">
            <v>6</v>
          </cell>
          <cell r="G211" t="str">
            <v>PET</v>
          </cell>
          <cell r="H211">
            <v>0.4</v>
          </cell>
          <cell r="I211">
            <v>3.4</v>
          </cell>
          <cell r="J211">
            <v>0.4</v>
          </cell>
          <cell r="K211">
            <v>0.4</v>
          </cell>
          <cell r="L211">
            <v>0.1</v>
          </cell>
          <cell r="O211">
            <v>1</v>
          </cell>
          <cell r="AE211" t="str">
            <v>Al 60x590</v>
          </cell>
          <cell r="AF211" t="str">
            <v>PE 75x600</v>
          </cell>
          <cell r="AG211">
            <v>6.0436649999999995E-2</v>
          </cell>
          <cell r="AH211">
            <v>0.8893333333333332</v>
          </cell>
          <cell r="AI211">
            <v>1.1599999999999999</v>
          </cell>
          <cell r="AJ211">
            <v>9530</v>
          </cell>
          <cell r="AK211" t="str">
            <v>0,0053(0,0023;0,003)</v>
          </cell>
          <cell r="AM211" t="str">
            <v>túi ba biên</v>
          </cell>
          <cell r="AN211">
            <v>225</v>
          </cell>
          <cell r="AO211" t="str">
            <v>Công ty Việt Thắng</v>
          </cell>
          <cell r="AQ211" t="str">
            <v>F416562-1</v>
          </cell>
          <cell r="AR211" t="str">
            <v>F416562-2</v>
          </cell>
          <cell r="AS211" t="str">
            <v>F416562-3</v>
          </cell>
          <cell r="AT211" t="str">
            <v>F416562-4</v>
          </cell>
          <cell r="AU211" t="str">
            <v>F416562-5</v>
          </cell>
          <cell r="AV211" t="str">
            <v>F416562-6</v>
          </cell>
          <cell r="BA211" t="str">
            <v>450x750</v>
          </cell>
          <cell r="BB211" t="str">
            <v>D2</v>
          </cell>
        </row>
        <row r="212">
          <cell r="A212" t="str">
            <v>sp 794</v>
          </cell>
          <cell r="B212" t="str">
            <v>Túi chè lụa trắng tân cương và đặc sản 100g</v>
          </cell>
          <cell r="C212">
            <v>5.8</v>
          </cell>
          <cell r="D212" t="str">
            <v>OPP mờ 20x740</v>
          </cell>
          <cell r="E212" t="str">
            <v>sp 566</v>
          </cell>
          <cell r="F212">
            <v>7</v>
          </cell>
          <cell r="G212" t="str">
            <v>OPP</v>
          </cell>
          <cell r="H212">
            <v>0.2</v>
          </cell>
          <cell r="I212">
            <v>3.4</v>
          </cell>
          <cell r="J212">
            <v>0.3</v>
          </cell>
          <cell r="K212">
            <v>0.6</v>
          </cell>
          <cell r="L212">
            <v>0.1</v>
          </cell>
          <cell r="M212">
            <v>0.9</v>
          </cell>
          <cell r="S212">
            <v>0.3</v>
          </cell>
          <cell r="AE212" t="str">
            <v>MPET 12x740</v>
          </cell>
          <cell r="AF212" t="str">
            <v>PE 75x740</v>
          </cell>
          <cell r="AG212">
            <v>7.7237500000000001E-2</v>
          </cell>
          <cell r="AH212">
            <v>1.1193333333333333</v>
          </cell>
          <cell r="AI212">
            <v>1.46</v>
          </cell>
          <cell r="AJ212">
            <v>9530</v>
          </cell>
          <cell r="AK212" t="str">
            <v>0,0053(0,0023;0,003)</v>
          </cell>
          <cell r="AM212" t="str">
            <v>túi hàn lưng xếp hông</v>
          </cell>
          <cell r="AN212">
            <v>270</v>
          </cell>
          <cell r="AO212" t="str">
            <v>Bùi Văn Sỹ</v>
          </cell>
          <cell r="AQ212" t="str">
            <v>1607495-1</v>
          </cell>
          <cell r="AR212" t="str">
            <v>1812617-2</v>
          </cell>
          <cell r="AS212" t="str">
            <v>1607495-3</v>
          </cell>
          <cell r="AT212" t="str">
            <v>1607495-4</v>
          </cell>
          <cell r="AU212" t="str">
            <v>1607495-5</v>
          </cell>
          <cell r="AV212" t="str">
            <v>1607495-6</v>
          </cell>
          <cell r="AW212" t="str">
            <v>1607495-7</v>
          </cell>
          <cell r="BA212" t="str">
            <v>540x850</v>
          </cell>
          <cell r="BB212" t="str">
            <v>F1</v>
          </cell>
          <cell r="BC212" t="str">
            <v>in chung sp 566</v>
          </cell>
        </row>
        <row r="213">
          <cell r="A213" t="str">
            <v>sp 796</v>
          </cell>
          <cell r="B213" t="str">
            <v>Túi gạo lứt đỏ KB333 1kg bản nội địa Đại Thành</v>
          </cell>
          <cell r="C213">
            <v>7.9999999999999991</v>
          </cell>
          <cell r="D213" t="str">
            <v>PET 12x760</v>
          </cell>
          <cell r="E213">
            <v>7</v>
          </cell>
          <cell r="F213">
            <v>7</v>
          </cell>
          <cell r="G213" t="str">
            <v>PET</v>
          </cell>
          <cell r="H213">
            <v>0.4</v>
          </cell>
          <cell r="I213">
            <v>3</v>
          </cell>
          <cell r="J213">
            <v>0.6</v>
          </cell>
          <cell r="K213">
            <v>2</v>
          </cell>
          <cell r="L213">
            <v>0.8</v>
          </cell>
          <cell r="M213">
            <v>1</v>
          </cell>
          <cell r="O213">
            <v>0.1</v>
          </cell>
          <cell r="R213">
            <v>0.1</v>
          </cell>
          <cell r="AE213" t="str">
            <v>PET12x380/MPET 12x380</v>
          </cell>
          <cell r="AF213" t="str">
            <v>PE 100x760</v>
          </cell>
          <cell r="AG213">
            <v>9.5836000000000005E-2</v>
          </cell>
          <cell r="AH213">
            <v>1.1499999999999999</v>
          </cell>
          <cell r="AI213">
            <v>1.5</v>
          </cell>
          <cell r="AJ213">
            <v>9530</v>
          </cell>
          <cell r="AK213" t="str">
            <v>0,0053(0,0023;0,003)</v>
          </cell>
          <cell r="AM213" t="str">
            <v>túi ba biên</v>
          </cell>
          <cell r="AN213">
            <v>290</v>
          </cell>
          <cell r="AO213" t="str">
            <v>Công ty Đại Thành</v>
          </cell>
          <cell r="AQ213" t="str">
            <v>F118475-1</v>
          </cell>
          <cell r="AR213" t="str">
            <v>F118475-2</v>
          </cell>
          <cell r="AS213" t="str">
            <v>F118475-3</v>
          </cell>
          <cell r="AT213" t="str">
            <v>F118475-4</v>
          </cell>
          <cell r="AU213" t="str">
            <v>F118475-5</v>
          </cell>
          <cell r="AV213" t="str">
            <v>F118475-6</v>
          </cell>
          <cell r="AW213" t="str">
            <v>F118475-7</v>
          </cell>
          <cell r="BA213" t="str">
            <v>580x850</v>
          </cell>
          <cell r="BB213" t="str">
            <v>O2</v>
          </cell>
        </row>
        <row r="214">
          <cell r="A214" t="str">
            <v>sp 798</v>
          </cell>
          <cell r="B214" t="str">
            <v xml:space="preserve"> Túi gạo trắng bani999 2kg nội địa màu vàng </v>
          </cell>
          <cell r="E214">
            <v>6</v>
          </cell>
          <cell r="F214">
            <v>6</v>
          </cell>
          <cell r="AO214" t="str">
            <v>Công ty Đại Thành</v>
          </cell>
          <cell r="AQ214" t="str">
            <v>F118476-1</v>
          </cell>
          <cell r="AR214" t="str">
            <v>F118476-2</v>
          </cell>
          <cell r="AS214" t="str">
            <v>F118476-3</v>
          </cell>
          <cell r="AT214" t="str">
            <v>F118476-4</v>
          </cell>
          <cell r="AU214" t="str">
            <v>F118476-5</v>
          </cell>
          <cell r="AV214" t="str">
            <v>F118476-6</v>
          </cell>
          <cell r="BA214" t="str">
            <v>700 x 750</v>
          </cell>
          <cell r="BB214" t="str">
            <v>O2</v>
          </cell>
        </row>
        <row r="215">
          <cell r="A215" t="str">
            <v>sp 802</v>
          </cell>
          <cell r="B215" t="str">
            <v>Cuộn trà gừng mật ong dạng cốm 20g Sing Việt</v>
          </cell>
          <cell r="C215">
            <v>6.2</v>
          </cell>
          <cell r="D215" t="str">
            <v>PET 12x660</v>
          </cell>
          <cell r="E215">
            <v>5</v>
          </cell>
          <cell r="F215">
            <v>5</v>
          </cell>
          <cell r="G215" t="str">
            <v>PET</v>
          </cell>
          <cell r="I215">
            <v>2.9</v>
          </cell>
          <cell r="J215">
            <v>0.5</v>
          </cell>
          <cell r="K215">
            <v>0.4</v>
          </cell>
          <cell r="L215">
            <v>1.6</v>
          </cell>
          <cell r="M215">
            <v>0.8</v>
          </cell>
          <cell r="AE215" t="str">
            <v>Al 6x660</v>
          </cell>
          <cell r="AF215" t="str">
            <v>PE 55x670</v>
          </cell>
          <cell r="AG215">
            <v>0.15198150000000002</v>
          </cell>
          <cell r="AH215">
            <v>0.99666666666666659</v>
          </cell>
          <cell r="AI215">
            <v>1.0833333333333335</v>
          </cell>
          <cell r="AJ215">
            <v>9530</v>
          </cell>
          <cell r="AK215" t="str">
            <v>0,0048(0,0023;0,0025)</v>
          </cell>
          <cell r="AM215" t="str">
            <v>dạng cuộn 1000m</v>
          </cell>
          <cell r="AN215">
            <v>160</v>
          </cell>
          <cell r="AO215" t="str">
            <v>Công ty CP Sinh Việt</v>
          </cell>
          <cell r="AQ215" t="str">
            <v>F118539G2-1</v>
          </cell>
          <cell r="AR215" t="str">
            <v>F118539-2</v>
          </cell>
          <cell r="AS215" t="str">
            <v>F118539-3</v>
          </cell>
          <cell r="AT215" t="str">
            <v>F118539-4</v>
          </cell>
          <cell r="AU215" t="str">
            <v>F118539-5</v>
          </cell>
          <cell r="BA215" t="str">
            <v>428x750</v>
          </cell>
          <cell r="BB215" t="str">
            <v>O2</v>
          </cell>
        </row>
        <row r="216">
          <cell r="A216" t="str">
            <v>sp 803</v>
          </cell>
          <cell r="B216" t="str">
            <v>Túi trà gừng mật ong dạng cốm 400g Sing Việt</v>
          </cell>
          <cell r="C216">
            <v>1.3</v>
          </cell>
          <cell r="D216" t="str">
            <v>PET 12x700</v>
          </cell>
          <cell r="E216">
            <v>4</v>
          </cell>
          <cell r="F216">
            <v>4</v>
          </cell>
          <cell r="G216" t="str">
            <v>PET</v>
          </cell>
          <cell r="H216">
            <v>0.1</v>
          </cell>
          <cell r="J216">
            <v>0.1</v>
          </cell>
          <cell r="K216">
            <v>0.1</v>
          </cell>
          <cell r="L216">
            <v>1</v>
          </cell>
          <cell r="AE216" t="str">
            <v>PE sứ 140x700</v>
          </cell>
          <cell r="AG216">
            <v>0.91825999999999985</v>
          </cell>
          <cell r="AH216">
            <v>1.4</v>
          </cell>
          <cell r="AJ216">
            <v>9530</v>
          </cell>
          <cell r="AK216">
            <v>3.0000000000000001E-3</v>
          </cell>
          <cell r="AM216" t="str">
            <v>túi ba biên đáy đứng zipper</v>
          </cell>
          <cell r="AN216">
            <v>230</v>
          </cell>
          <cell r="AO216" t="str">
            <v>Công ty CP Sinh Việt</v>
          </cell>
          <cell r="AQ216" t="str">
            <v>F118705G2-1</v>
          </cell>
          <cell r="AR216" t="str">
            <v>F118705G1-2</v>
          </cell>
          <cell r="AS216" t="str">
            <v>F118705G1-3</v>
          </cell>
          <cell r="AT216" t="str">
            <v>F118705-4</v>
          </cell>
          <cell r="BA216" t="str">
            <v>460x750</v>
          </cell>
          <cell r="BB216" t="str">
            <v>O2</v>
          </cell>
        </row>
        <row r="217">
          <cell r="A217" t="str">
            <v>sp 804</v>
          </cell>
          <cell r="B217" t="str">
            <v>Cuộn oresol Zin C mới Hải Phòng</v>
          </cell>
          <cell r="C217">
            <v>0</v>
          </cell>
          <cell r="D217" t="str">
            <v>PET 12x620</v>
          </cell>
          <cell r="E217">
            <v>5</v>
          </cell>
          <cell r="F217">
            <v>5</v>
          </cell>
          <cell r="G217" t="str">
            <v>PET</v>
          </cell>
          <cell r="AE217" t="str">
            <v>Al 6x620</v>
          </cell>
          <cell r="AF217" t="str">
            <v>PE 75x630</v>
          </cell>
          <cell r="AG217">
            <v>6.3509700000000002E-2</v>
          </cell>
          <cell r="AH217">
            <v>0.93533333333333324</v>
          </cell>
          <cell r="AI217">
            <v>1.22</v>
          </cell>
          <cell r="AJ217">
            <v>9530</v>
          </cell>
          <cell r="AK217" t="str">
            <v>0,0053(0,0023;0,003)</v>
          </cell>
          <cell r="AM217" t="str">
            <v>dạng cuộn 500m</v>
          </cell>
          <cell r="AN217">
            <v>120</v>
          </cell>
          <cell r="AO217" t="str">
            <v>Công ty  Dược Hải Phòng</v>
          </cell>
          <cell r="AQ217" t="str">
            <v>1708889-1</v>
          </cell>
          <cell r="AR217" t="str">
            <v>1708889-2</v>
          </cell>
          <cell r="AS217" t="str">
            <v>1708889-3</v>
          </cell>
          <cell r="AT217" t="str">
            <v>1708889-4</v>
          </cell>
          <cell r="AU217" t="str">
            <v>1708889-5</v>
          </cell>
          <cell r="BA217" t="str">
            <v>400x750</v>
          </cell>
          <cell r="BB217" t="str">
            <v>O2</v>
          </cell>
        </row>
        <row r="220">
          <cell r="A220" t="str">
            <v>sp 808</v>
          </cell>
          <cell r="B220" t="str">
            <v>Túi chè lụa tân cương 500g loại 5</v>
          </cell>
          <cell r="C220">
            <v>8.9</v>
          </cell>
          <cell r="D220" t="str">
            <v>OPP mờ 20x760</v>
          </cell>
          <cell r="E220">
            <v>6</v>
          </cell>
          <cell r="F220">
            <v>7</v>
          </cell>
          <cell r="G220" t="str">
            <v>OPP</v>
          </cell>
          <cell r="H220">
            <v>0.1</v>
          </cell>
          <cell r="I220">
            <v>3.6</v>
          </cell>
          <cell r="J220">
            <v>0.7</v>
          </cell>
          <cell r="K220">
            <v>0.2</v>
          </cell>
          <cell r="L220">
            <v>3.7</v>
          </cell>
          <cell r="M220">
            <v>0.5</v>
          </cell>
          <cell r="S220">
            <v>0.1</v>
          </cell>
          <cell r="AE220" t="str">
            <v>MPET 12x760</v>
          </cell>
          <cell r="AF220" t="str">
            <v>PE 75x760</v>
          </cell>
          <cell r="AG220">
            <v>7.9325000000000007E-2</v>
          </cell>
          <cell r="AH220">
            <v>1.1499999999999999</v>
          </cell>
          <cell r="AI220">
            <v>1.5</v>
          </cell>
          <cell r="AJ220">
            <v>9530</v>
          </cell>
          <cell r="AK220" t="str">
            <v>0,0053(0,0023;0,003)</v>
          </cell>
          <cell r="AM220" t="str">
            <v>túi hàn lưng xếp hông</v>
          </cell>
          <cell r="AN220">
            <v>420</v>
          </cell>
          <cell r="AO220" t="str">
            <v>Bùi Văn Sỹ</v>
          </cell>
          <cell r="AQ220" t="str">
            <v>1708584-1</v>
          </cell>
          <cell r="AR220" t="str">
            <v>1708584-2</v>
          </cell>
          <cell r="AS220" t="str">
            <v>1708584-3</v>
          </cell>
          <cell r="AT220" t="str">
            <v>1708584-4</v>
          </cell>
          <cell r="AU220" t="str">
            <v>1708584-5</v>
          </cell>
          <cell r="AV220" t="str">
            <v>1708584-6</v>
          </cell>
          <cell r="AW220" t="str">
            <v>1607497-7</v>
          </cell>
          <cell r="BA220" t="str">
            <v>420x850</v>
          </cell>
          <cell r="BB220" t="str">
            <v>F2</v>
          </cell>
          <cell r="BC220" t="str">
            <v>in chung bộ sp 832,cây trắng với sp 568</v>
          </cell>
        </row>
        <row r="221">
          <cell r="A221" t="str">
            <v>sp 809</v>
          </cell>
          <cell r="B221" t="str">
            <v>Cuộn bánh gạo sasaki Nhật Minh Phát</v>
          </cell>
          <cell r="C221">
            <v>1.5000000000000002</v>
          </cell>
          <cell r="D221" t="str">
            <v>OPP mờ 20x945</v>
          </cell>
          <cell r="E221">
            <v>3</v>
          </cell>
          <cell r="F221">
            <v>3</v>
          </cell>
          <cell r="G221" t="str">
            <v>OPP</v>
          </cell>
          <cell r="H221">
            <v>0.1</v>
          </cell>
          <cell r="L221">
            <v>1.3</v>
          </cell>
          <cell r="Q221">
            <v>0.1</v>
          </cell>
          <cell r="AE221" t="str">
            <v>CPP 25x945</v>
          </cell>
          <cell r="AG221">
            <v>3.8697749999999996E-2</v>
          </cell>
          <cell r="AH221">
            <v>1.1220000000000001</v>
          </cell>
          <cell r="AJ221">
            <v>9530</v>
          </cell>
          <cell r="AK221">
            <v>1.8E-3</v>
          </cell>
          <cell r="AM221" t="str">
            <v>dạng cuộn 1000m</v>
          </cell>
          <cell r="AN221">
            <v>185</v>
          </cell>
          <cell r="AO221" t="str">
            <v>Công ty Minh Phát</v>
          </cell>
          <cell r="AQ221" t="str">
            <v>F118711-1</v>
          </cell>
          <cell r="AR221" t="str">
            <v>F118711-2</v>
          </cell>
          <cell r="AS221" t="str">
            <v>F118711-3</v>
          </cell>
          <cell r="BA221" t="str">
            <v>400x1100</v>
          </cell>
          <cell r="BB221" t="str">
            <v>P1</v>
          </cell>
        </row>
        <row r="222">
          <cell r="A222" t="str">
            <v>sp 810</v>
          </cell>
          <cell r="B222" t="str">
            <v>Túi bánh gạo nhật sasaka 100g Minh Phát</v>
          </cell>
          <cell r="C222">
            <v>6.0500000000000007</v>
          </cell>
          <cell r="D222" t="str">
            <v>OPP 20x800</v>
          </cell>
          <cell r="E222">
            <v>7</v>
          </cell>
          <cell r="F222">
            <v>7</v>
          </cell>
          <cell r="G222" t="str">
            <v>OPP</v>
          </cell>
          <cell r="H222">
            <v>0.85</v>
          </cell>
          <cell r="I222">
            <v>2.4</v>
          </cell>
          <cell r="J222">
            <v>0.1</v>
          </cell>
          <cell r="K222">
            <v>0.6</v>
          </cell>
          <cell r="L222">
            <v>0.1</v>
          </cell>
          <cell r="M222">
            <v>1.6</v>
          </cell>
          <cell r="P222">
            <v>0.4</v>
          </cell>
          <cell r="AE222" t="str">
            <v>MPET 12x800</v>
          </cell>
          <cell r="AF222" t="str">
            <v>PE 30x800</v>
          </cell>
          <cell r="AG222">
            <v>5.0200000000000002E-2</v>
          </cell>
          <cell r="AH222">
            <v>1.196</v>
          </cell>
          <cell r="AI222">
            <v>1.196</v>
          </cell>
          <cell r="AJ222">
            <v>9530</v>
          </cell>
          <cell r="AK222" t="str">
            <v>0,0046(0,0023;0,0023)</v>
          </cell>
          <cell r="AM222" t="str">
            <v>túi hàn lưng</v>
          </cell>
          <cell r="AN222">
            <v>280</v>
          </cell>
          <cell r="AO222" t="str">
            <v>Công ty Minh Phát</v>
          </cell>
          <cell r="AQ222" t="str">
            <v>F118710-1</v>
          </cell>
          <cell r="AR222" t="str">
            <v>F118710-2</v>
          </cell>
          <cell r="AS222" t="str">
            <v>F118710-3</v>
          </cell>
          <cell r="AT222" t="str">
            <v>F118710-4</v>
          </cell>
          <cell r="AU222" t="str">
            <v>F118710-5</v>
          </cell>
          <cell r="AV222" t="str">
            <v>F118710-6</v>
          </cell>
          <cell r="AW222" t="str">
            <v>F118710-7</v>
          </cell>
          <cell r="BB222" t="str">
            <v>P1</v>
          </cell>
        </row>
        <row r="223">
          <cell r="A223" t="str">
            <v>sp 811</v>
          </cell>
          <cell r="B223" t="str">
            <v>Túi kẹo socola viên Sọc nâu</v>
          </cell>
          <cell r="E223">
            <v>5</v>
          </cell>
          <cell r="F223">
            <v>6</v>
          </cell>
          <cell r="AO223" t="str">
            <v>Công ty Marika</v>
          </cell>
          <cell r="AQ223" t="str">
            <v>F118717-1</v>
          </cell>
          <cell r="AR223" t="str">
            <v>F118717-2</v>
          </cell>
          <cell r="AS223" t="str">
            <v>F118717-3</v>
          </cell>
          <cell r="AT223" t="str">
            <v>F118717-4</v>
          </cell>
          <cell r="AU223" t="str">
            <v>F118717-5</v>
          </cell>
          <cell r="AV223" t="str">
            <v>F118715-6</v>
          </cell>
          <cell r="BA223" t="str">
            <v>540x750</v>
          </cell>
        </row>
        <row r="224">
          <cell r="A224" t="str">
            <v>sp 812</v>
          </cell>
          <cell r="B224" t="str">
            <v>Túi kẹo viên socola Sọc trắng</v>
          </cell>
          <cell r="E224">
            <v>6</v>
          </cell>
          <cell r="F224">
            <v>6</v>
          </cell>
          <cell r="AO224" t="str">
            <v>Công ty Marika</v>
          </cell>
          <cell r="AQ224" t="str">
            <v>F118715-1</v>
          </cell>
          <cell r="AR224" t="str">
            <v>F118715-2</v>
          </cell>
          <cell r="AS224" t="str">
            <v>F118715-3</v>
          </cell>
          <cell r="AT224" t="str">
            <v>F118715-4</v>
          </cell>
          <cell r="AU224" t="str">
            <v>F118715-5</v>
          </cell>
          <cell r="AV224" t="str">
            <v>F118715-6</v>
          </cell>
          <cell r="BA224" t="str">
            <v>540x750</v>
          </cell>
        </row>
        <row r="225">
          <cell r="A225" t="str">
            <v>sp 823</v>
          </cell>
          <cell r="B225" t="str">
            <v>Túi in thú y KT220x310 Redfood</v>
          </cell>
          <cell r="C225">
            <v>1.6</v>
          </cell>
          <cell r="D225" t="str">
            <v>PA 15x640</v>
          </cell>
          <cell r="E225">
            <v>3</v>
          </cell>
          <cell r="F225">
            <v>3</v>
          </cell>
          <cell r="G225" t="str">
            <v>PET</v>
          </cell>
          <cell r="I225">
            <v>0.5</v>
          </cell>
          <cell r="L225">
            <v>0.7</v>
          </cell>
          <cell r="P225">
            <v>0.4</v>
          </cell>
          <cell r="AE225" t="str">
            <v>PE 75x640</v>
          </cell>
          <cell r="AG225">
            <v>5.5440000000000003E-2</v>
          </cell>
          <cell r="AH225">
            <v>0.84</v>
          </cell>
          <cell r="AJ225">
            <v>9530</v>
          </cell>
          <cell r="AK225">
            <v>2E-3</v>
          </cell>
          <cell r="AM225" t="str">
            <v>túi ba biên</v>
          </cell>
          <cell r="AN225">
            <v>220</v>
          </cell>
          <cell r="AO225" t="str">
            <v>Công ty Redfood</v>
          </cell>
          <cell r="AQ225" t="str">
            <v>1710415-1</v>
          </cell>
          <cell r="AR225" t="str">
            <v>1710415-2</v>
          </cell>
          <cell r="AS225" t="str">
            <v>1710415-3</v>
          </cell>
          <cell r="BA225" t="str">
            <v>440x750</v>
          </cell>
          <cell r="BB225" t="str">
            <v>P1</v>
          </cell>
        </row>
        <row r="226">
          <cell r="A226" t="str">
            <v>sp 824</v>
          </cell>
          <cell r="B226" t="str">
            <v xml:space="preserve">Cuộn bánh trứng lipo hương bơ hàng cân 3000gr dải cam </v>
          </cell>
          <cell r="C226">
            <v>6.6999999999999993</v>
          </cell>
          <cell r="D226" t="str">
            <v>OPP 20x700</v>
          </cell>
          <cell r="E226">
            <v>4</v>
          </cell>
          <cell r="F226">
            <v>8</v>
          </cell>
          <cell r="G226" t="str">
            <v>OPP</v>
          </cell>
          <cell r="H226">
            <v>0.1</v>
          </cell>
          <cell r="I226">
            <v>3.4</v>
          </cell>
          <cell r="J226">
            <v>0.1</v>
          </cell>
          <cell r="K226">
            <v>0.1</v>
          </cell>
          <cell r="L226">
            <v>1.3</v>
          </cell>
          <cell r="M226">
            <v>0.5</v>
          </cell>
          <cell r="O226">
            <v>0.6</v>
          </cell>
          <cell r="P226">
            <v>0.1</v>
          </cell>
          <cell r="Q226">
            <v>0.5</v>
          </cell>
          <cell r="AE226" t="str">
            <v>MCPP 25x700</v>
          </cell>
          <cell r="AG226">
            <v>2.4275999999999999E-2</v>
          </cell>
          <cell r="AH226">
            <v>1.0579999999999998</v>
          </cell>
          <cell r="AJ226">
            <v>9530</v>
          </cell>
          <cell r="AK226">
            <v>2.3E-3</v>
          </cell>
          <cell r="AM226" t="str">
            <v>dạng cuộn 1000m</v>
          </cell>
          <cell r="AN226">
            <v>170</v>
          </cell>
          <cell r="AO226" t="str">
            <v>Công ty Quốc tế Alpha</v>
          </cell>
          <cell r="AQ226" t="str">
            <v>F119027G2-1</v>
          </cell>
          <cell r="AR226" t="str">
            <v>F119025 -2</v>
          </cell>
          <cell r="AS226" t="str">
            <v>F119025 -3</v>
          </cell>
          <cell r="AT226" t="str">
            <v>F119025G3-4</v>
          </cell>
          <cell r="AU226" t="str">
            <v>F119027-5</v>
          </cell>
          <cell r="AV226" t="str">
            <v>F119027-6</v>
          </cell>
          <cell r="AW226" t="str">
            <v>F119027G1NG1-7</v>
          </cell>
          <cell r="AX226" t="str">
            <v>F119025 -8</v>
          </cell>
          <cell r="BA226" t="str">
            <v>500x850</v>
          </cell>
          <cell r="BB226" t="str">
            <v>C1</v>
          </cell>
          <cell r="BC226" t="str">
            <v>in chung 2,3,4,8 vơi sp 825</v>
          </cell>
        </row>
        <row r="227">
          <cell r="A227" t="str">
            <v>sp 825</v>
          </cell>
          <cell r="B227" t="str">
            <v>Cuộn bánh trứng lipo hương sữa hàng cân 3000gr dải đỏ</v>
          </cell>
          <cell r="C227">
            <v>6.6999999999999993</v>
          </cell>
          <cell r="D227" t="str">
            <v>OPP 20x700</v>
          </cell>
          <cell r="E227">
            <v>8</v>
          </cell>
          <cell r="F227">
            <v>8</v>
          </cell>
          <cell r="G227" t="str">
            <v>OPP</v>
          </cell>
          <cell r="H227">
            <v>0.1</v>
          </cell>
          <cell r="I227">
            <v>3.4</v>
          </cell>
          <cell r="J227">
            <v>0.1</v>
          </cell>
          <cell r="K227">
            <v>0.1</v>
          </cell>
          <cell r="L227">
            <v>1.3</v>
          </cell>
          <cell r="M227">
            <v>0.5</v>
          </cell>
          <cell r="O227">
            <v>0.6</v>
          </cell>
          <cell r="P227">
            <v>0.5</v>
          </cell>
          <cell r="Q227">
            <v>0.1</v>
          </cell>
          <cell r="AE227" t="str">
            <v>MCPP 25x700</v>
          </cell>
          <cell r="AG227">
            <v>2.4275999999999999E-2</v>
          </cell>
          <cell r="AH227">
            <v>1.0579999999999998</v>
          </cell>
          <cell r="AJ227">
            <v>9530</v>
          </cell>
          <cell r="AK227">
            <v>2.3E-3</v>
          </cell>
          <cell r="AM227" t="str">
            <v>dạng cuộn 1000m</v>
          </cell>
          <cell r="AN227">
            <v>170</v>
          </cell>
          <cell r="AO227" t="str">
            <v>Công ty Quốc tế Alpha</v>
          </cell>
          <cell r="AQ227" t="str">
            <v>F119025 -1</v>
          </cell>
          <cell r="AR227" t="str">
            <v>F119025 -2</v>
          </cell>
          <cell r="AS227" t="str">
            <v>F119025 -3</v>
          </cell>
          <cell r="AT227" t="str">
            <v>F119025G3NG1-4</v>
          </cell>
          <cell r="AU227" t="str">
            <v>F119025 -5</v>
          </cell>
          <cell r="AV227" t="str">
            <v>F119025-6</v>
          </cell>
          <cell r="AW227" t="str">
            <v>F119025 -7</v>
          </cell>
          <cell r="AX227" t="str">
            <v>F119025 -8</v>
          </cell>
          <cell r="BB227" t="str">
            <v>C2</v>
          </cell>
          <cell r="BC227" t="str">
            <v>in chung 2,3,4,8 vơi sp 824</v>
          </cell>
        </row>
        <row r="228">
          <cell r="A228" t="str">
            <v>sp 826</v>
          </cell>
          <cell r="B228" t="str">
            <v>Cuộn bột giặt Đức Giang siêu sạch 250gr</v>
          </cell>
          <cell r="C228">
            <v>1.8</v>
          </cell>
          <cell r="D228" t="str">
            <v>PET 12x680</v>
          </cell>
          <cell r="E228">
            <v>7</v>
          </cell>
          <cell r="F228">
            <v>7</v>
          </cell>
          <cell r="G228" t="str">
            <v>PET</v>
          </cell>
          <cell r="H228">
            <v>0.1</v>
          </cell>
          <cell r="I228" t="str">
            <v>2.6</v>
          </cell>
          <cell r="J228">
            <v>0.4</v>
          </cell>
          <cell r="K228" t="str">
            <v>1.3</v>
          </cell>
          <cell r="L228" t="str">
            <v>0.7</v>
          </cell>
          <cell r="P228">
            <v>1.2</v>
          </cell>
          <cell r="R228">
            <v>0.1</v>
          </cell>
          <cell r="AE228" t="str">
            <v>PE sứ 60x680</v>
          </cell>
          <cell r="AG228">
            <v>4.9164000000000006E-2</v>
          </cell>
          <cell r="AH228">
            <v>1.34</v>
          </cell>
          <cell r="AJ228">
            <v>9530</v>
          </cell>
          <cell r="AK228">
            <v>3.0000000000000001E-3</v>
          </cell>
          <cell r="AM228" t="str">
            <v>dạng cuộn 1000m</v>
          </cell>
          <cell r="AN228">
            <v>330</v>
          </cell>
          <cell r="AO228" t="str">
            <v>Công ty Đức Giang</v>
          </cell>
          <cell r="AQ228" t="str">
            <v>1710303-1</v>
          </cell>
          <cell r="AR228" t="str">
            <v>20081310-2</v>
          </cell>
          <cell r="AS228" t="str">
            <v>20081310-3</v>
          </cell>
          <cell r="AT228" t="str">
            <v>1710303-4</v>
          </cell>
          <cell r="AU228" t="str">
            <v>1710303-5</v>
          </cell>
          <cell r="AV228" t="str">
            <v>1710303-6</v>
          </cell>
          <cell r="BA228" t="str">
            <v>430x750</v>
          </cell>
          <cell r="BB228" t="str">
            <v>U1</v>
          </cell>
        </row>
        <row r="229">
          <cell r="A229" t="str">
            <v>sp 830</v>
          </cell>
          <cell r="B229" t="str">
            <v>Cuộn bánh bao nhân thập cẩm Finefood 300g Phú Mỹ</v>
          </cell>
          <cell r="C229">
            <v>0</v>
          </cell>
          <cell r="D229" t="str">
            <v>OPP 20x730</v>
          </cell>
          <cell r="E229">
            <v>6</v>
          </cell>
          <cell r="F229">
            <v>6</v>
          </cell>
          <cell r="G229" t="str">
            <v>OPP</v>
          </cell>
          <cell r="AE229" t="str">
            <v>PE 70x730</v>
          </cell>
          <cell r="AG229">
            <v>6.0553500000000017E-2</v>
          </cell>
          <cell r="AH229">
            <v>1.1039999999999999</v>
          </cell>
          <cell r="AJ229">
            <v>9530</v>
          </cell>
          <cell r="AK229">
            <v>2.3E-3</v>
          </cell>
          <cell r="AM229" t="str">
            <v>dạng cuộn 500m</v>
          </cell>
          <cell r="AN229">
            <v>354</v>
          </cell>
          <cell r="AO229" t="str">
            <v>Công ty Phú Mỹ</v>
          </cell>
          <cell r="AQ229" t="str">
            <v>1710373-1</v>
          </cell>
          <cell r="AR229" t="str">
            <v>1710373-2</v>
          </cell>
          <cell r="AS229" t="str">
            <v>1710373-3</v>
          </cell>
          <cell r="AT229" t="str">
            <v>1710373-4</v>
          </cell>
          <cell r="AU229" t="str">
            <v>1710373-5</v>
          </cell>
          <cell r="AV229" t="str">
            <v>1710373-6</v>
          </cell>
          <cell r="BA229" t="str">
            <v>532x850</v>
          </cell>
          <cell r="BB229" t="str">
            <v>V2</v>
          </cell>
        </row>
        <row r="230">
          <cell r="A230" t="str">
            <v>sp 831</v>
          </cell>
          <cell r="B230" t="str">
            <v>Cuộn bánh bao nhân sữa dừa Finefood 300gr</v>
          </cell>
          <cell r="C230">
            <v>0</v>
          </cell>
          <cell r="D230" t="str">
            <v>OPP 20x730</v>
          </cell>
          <cell r="E230">
            <v>5</v>
          </cell>
          <cell r="F230">
            <v>6</v>
          </cell>
          <cell r="G230" t="str">
            <v>OPP</v>
          </cell>
          <cell r="AE230" t="str">
            <v>PE 70x730</v>
          </cell>
          <cell r="AG230">
            <v>6.0553500000000017E-2</v>
          </cell>
          <cell r="AH230">
            <v>1.1039999999999999</v>
          </cell>
          <cell r="AJ230">
            <v>9530</v>
          </cell>
          <cell r="AK230">
            <v>2.3E-3</v>
          </cell>
          <cell r="AM230" t="str">
            <v>dạng cuộn 500m</v>
          </cell>
          <cell r="AN230">
            <v>354</v>
          </cell>
          <cell r="AO230" t="str">
            <v>Công ty Phú Mỹ</v>
          </cell>
          <cell r="AQ230" t="str">
            <v>1710374-1</v>
          </cell>
          <cell r="AR230" t="str">
            <v>1710374-2</v>
          </cell>
          <cell r="AS230" t="str">
            <v>1710374-3</v>
          </cell>
          <cell r="AT230" t="str">
            <v>1710374-4</v>
          </cell>
          <cell r="AU230" t="str">
            <v>1710374-5</v>
          </cell>
          <cell r="AV230" t="str">
            <v>1710373-6</v>
          </cell>
          <cell r="BA230" t="str">
            <v>532x850</v>
          </cell>
          <cell r="BB230" t="str">
            <v>V2</v>
          </cell>
          <cell r="BC230" t="str">
            <v>in chung cây Trắng vs sp 830</v>
          </cell>
        </row>
        <row r="231">
          <cell r="A231" t="str">
            <v>sp 832</v>
          </cell>
          <cell r="B231" t="str">
            <v>Túi trà chữ đỏ Tân Cương 500gr loại 7</v>
          </cell>
          <cell r="C231">
            <v>0</v>
          </cell>
          <cell r="D231" t="str">
            <v>PET 12x760</v>
          </cell>
          <cell r="E231" t="str">
            <v>sp 808</v>
          </cell>
          <cell r="F231">
            <v>7</v>
          </cell>
          <cell r="G231" t="str">
            <v>PET</v>
          </cell>
          <cell r="AE231" t="str">
            <v>MPET 12x760</v>
          </cell>
          <cell r="AF231" t="str">
            <v>PE 75x760</v>
          </cell>
          <cell r="AG231">
            <v>7.8261000000000011E-2</v>
          </cell>
          <cell r="AH231">
            <v>1.1499999999999999</v>
          </cell>
          <cell r="AI231">
            <v>1.5</v>
          </cell>
          <cell r="AJ231">
            <v>9530</v>
          </cell>
          <cell r="AK231" t="str">
            <v>0,0053(0,0023;0,003)</v>
          </cell>
          <cell r="AM231" t="str">
            <v>hàn lưng xếp hông</v>
          </cell>
          <cell r="AN231">
            <v>420</v>
          </cell>
          <cell r="AO231" t="str">
            <v>Bùi Văn Sỹ</v>
          </cell>
          <cell r="AQ231" t="str">
            <v>1708584-1</v>
          </cell>
          <cell r="AR231" t="str">
            <v>1708584-2</v>
          </cell>
          <cell r="AS231" t="str">
            <v>1708584-3</v>
          </cell>
          <cell r="AT231" t="str">
            <v>1708584-4</v>
          </cell>
          <cell r="AU231" t="str">
            <v>1708584-5</v>
          </cell>
          <cell r="AV231" t="str">
            <v>1708584-6</v>
          </cell>
          <cell r="AW231" t="str">
            <v>1607497-7</v>
          </cell>
          <cell r="BA231" t="str">
            <v>420x850</v>
          </cell>
          <cell r="BB231" t="str">
            <v>F2+ F1</v>
          </cell>
          <cell r="BC231" t="str">
            <v>in chung sp 808;cây trắng với sp 568</v>
          </cell>
        </row>
        <row r="232">
          <cell r="A232" t="str">
            <v>sp 834</v>
          </cell>
          <cell r="B232" t="str">
            <v>Túi hạt giống Đông A cấp giống XN1 1kg Thái Bình</v>
          </cell>
          <cell r="C232">
            <v>8.4699999999999989</v>
          </cell>
          <cell r="D232" t="str">
            <v>OPP 20x900</v>
          </cell>
          <cell r="E232">
            <v>4</v>
          </cell>
          <cell r="F232">
            <v>8</v>
          </cell>
          <cell r="G232" t="str">
            <v>OPP</v>
          </cell>
          <cell r="H232">
            <v>0.56999999999999995</v>
          </cell>
          <cell r="I232">
            <v>5.4</v>
          </cell>
          <cell r="J232">
            <v>0.1</v>
          </cell>
          <cell r="K232">
            <v>0.4</v>
          </cell>
          <cell r="L232">
            <v>1.7</v>
          </cell>
          <cell r="O232">
            <v>0.1</v>
          </cell>
          <cell r="T232">
            <v>0.2</v>
          </cell>
          <cell r="AE232" t="str">
            <v>PE 80x900</v>
          </cell>
          <cell r="AG232">
            <v>8.2980000000000012E-2</v>
          </cell>
          <cell r="AH232">
            <v>1.3646666666666665</v>
          </cell>
          <cell r="AJ232">
            <v>9530</v>
          </cell>
          <cell r="AK232">
            <v>2.3E-3</v>
          </cell>
          <cell r="AM232" t="str">
            <v>dạng cuộn or túi ba biên</v>
          </cell>
          <cell r="AN232">
            <v>310</v>
          </cell>
          <cell r="AO232" t="str">
            <v>Công ty Thái Bình</v>
          </cell>
          <cell r="AQ232" t="str">
            <v>1902525-1</v>
          </cell>
          <cell r="AR232" t="str">
            <v>1903063-2</v>
          </cell>
          <cell r="AS232" t="str">
            <v>1609240-3</v>
          </cell>
          <cell r="AT232" t="str">
            <v>1903063-4</v>
          </cell>
          <cell r="AU232" t="str">
            <v>1902525-5</v>
          </cell>
          <cell r="AV232" t="str">
            <v>1710724-6</v>
          </cell>
          <cell r="AW232" t="str">
            <v>1710724-7</v>
          </cell>
          <cell r="AX232" t="str">
            <v>1807922-8</v>
          </cell>
          <cell r="BA232" t="str">
            <v>620x1100</v>
          </cell>
          <cell r="BB232" t="str">
            <v>I2</v>
          </cell>
        </row>
        <row r="233">
          <cell r="A233" t="str">
            <v>sp 835</v>
          </cell>
          <cell r="B233" t="str">
            <v>Túi hạt giống Đông A cấp giống XN1 40kg Thái Bình</v>
          </cell>
          <cell r="D233" t="str">
            <v>OPP 20x900</v>
          </cell>
          <cell r="E233">
            <v>3</v>
          </cell>
          <cell r="F233">
            <v>7</v>
          </cell>
          <cell r="AO233" t="str">
            <v>Công ty Thái Bình</v>
          </cell>
          <cell r="AQ233" t="str">
            <v>17101029-1</v>
          </cell>
          <cell r="AR233" t="str">
            <v>1602242-2</v>
          </cell>
          <cell r="AS233" t="str">
            <v>17101029-3</v>
          </cell>
          <cell r="AT233" t="str">
            <v>1710745-4</v>
          </cell>
          <cell r="AU233" t="str">
            <v>1903064-5</v>
          </cell>
          <cell r="AV233" t="str">
            <v>1710723-6</v>
          </cell>
          <cell r="AW233" t="str">
            <v>1903064-7</v>
          </cell>
          <cell r="BA233" t="str">
            <v>1100x850</v>
          </cell>
          <cell r="BB233" t="str">
            <v>K4</v>
          </cell>
        </row>
        <row r="234">
          <cell r="A234" t="str">
            <v>sp 837</v>
          </cell>
          <cell r="B234" t="str">
            <v>Túi đựng cá KT 160x500 Hạ Long</v>
          </cell>
          <cell r="C234">
            <v>8.4</v>
          </cell>
          <cell r="D234" t="str">
            <v>PA 15x660</v>
          </cell>
          <cell r="E234">
            <v>6</v>
          </cell>
          <cell r="F234">
            <v>6</v>
          </cell>
          <cell r="G234" t="str">
            <v>PET</v>
          </cell>
          <cell r="I234">
            <v>2.2000000000000002</v>
          </cell>
          <cell r="J234">
            <v>0.1</v>
          </cell>
          <cell r="K234">
            <v>1.7</v>
          </cell>
          <cell r="L234">
            <v>0.9</v>
          </cell>
          <cell r="M234">
            <v>3</v>
          </cell>
          <cell r="P234">
            <v>0.5</v>
          </cell>
          <cell r="AE234" t="str">
            <v>PE 65x660</v>
          </cell>
          <cell r="AG234">
            <v>5.1067500000000002E-2</v>
          </cell>
          <cell r="AH234">
            <v>0.99666666666666659</v>
          </cell>
          <cell r="AJ234">
            <v>9530</v>
          </cell>
          <cell r="AK234">
            <v>2.3E-3</v>
          </cell>
          <cell r="AM234" t="str">
            <v>túi ba biên</v>
          </cell>
          <cell r="AN234">
            <v>500</v>
          </cell>
          <cell r="AO234" t="str">
            <v>Công ty Hạ Long</v>
          </cell>
          <cell r="AQ234" t="str">
            <v>X101819-1</v>
          </cell>
          <cell r="AR234" t="str">
            <v>X101819-2</v>
          </cell>
          <cell r="AS234" t="str">
            <v>X101819-3</v>
          </cell>
          <cell r="AT234" t="str">
            <v>X101819-4</v>
          </cell>
          <cell r="AU234" t="str">
            <v>X101819-5</v>
          </cell>
          <cell r="AV234" t="str">
            <v>X101819-6</v>
          </cell>
          <cell r="BA234" t="str">
            <v>500x750</v>
          </cell>
          <cell r="BB234" t="str">
            <v>P1</v>
          </cell>
        </row>
        <row r="235">
          <cell r="A235" t="str">
            <v>sp 840</v>
          </cell>
          <cell r="B235" t="str">
            <v>Túi hạt giống lúa DTR  667 1kg Đại Thành</v>
          </cell>
          <cell r="C235">
            <v>7</v>
          </cell>
          <cell r="D235" t="str">
            <v>OPP 20x460</v>
          </cell>
          <cell r="E235">
            <v>8</v>
          </cell>
          <cell r="F235">
            <v>8</v>
          </cell>
          <cell r="G235" t="str">
            <v xml:space="preserve">OPP </v>
          </cell>
          <cell r="H235">
            <v>0.1</v>
          </cell>
          <cell r="I235">
            <v>2.8</v>
          </cell>
          <cell r="J235">
            <v>2.5</v>
          </cell>
          <cell r="K235">
            <v>0.4</v>
          </cell>
          <cell r="L235">
            <v>0.1</v>
          </cell>
          <cell r="M235">
            <v>1</v>
          </cell>
          <cell r="O235">
            <v>0.1</v>
          </cell>
          <cell r="AE235" t="str">
            <v>PE 70x460</v>
          </cell>
          <cell r="AG235">
            <v>3.815700000000001E-2</v>
          </cell>
          <cell r="AH235">
            <v>0.75</v>
          </cell>
          <cell r="AJ235">
            <v>9530</v>
          </cell>
          <cell r="AK235">
            <v>2.5000000000000001E-3</v>
          </cell>
          <cell r="AM235" t="str">
            <v>dạng cuộn 500m</v>
          </cell>
          <cell r="AN235">
            <v>440</v>
          </cell>
          <cell r="AO235" t="str">
            <v>Công ty Đại Thành</v>
          </cell>
          <cell r="AQ235" t="str">
            <v>1711632-1</v>
          </cell>
          <cell r="AR235" t="str">
            <v>1711632-2</v>
          </cell>
          <cell r="AS235" t="str">
            <v>1711632-3</v>
          </cell>
          <cell r="AT235" t="str">
            <v>1711632-4</v>
          </cell>
          <cell r="AU235" t="str">
            <v>1711632-5</v>
          </cell>
          <cell r="AV235" t="str">
            <v>1711632-6</v>
          </cell>
          <cell r="AW235" t="str">
            <v>1711632-7</v>
          </cell>
          <cell r="AX235" t="str">
            <v>1711632-8</v>
          </cell>
          <cell r="BA235" t="str">
            <v>610x750</v>
          </cell>
          <cell r="BB235" t="str">
            <v>P1</v>
          </cell>
        </row>
        <row r="236">
          <cell r="A236" t="str">
            <v>sp 841</v>
          </cell>
          <cell r="B236" t="str">
            <v>Túi đựng quà Tết Nhật Nguyệt</v>
          </cell>
          <cell r="C236">
            <v>1.1499999999999999</v>
          </cell>
          <cell r="D236" t="str">
            <v>OPP mờ 20x600</v>
          </cell>
          <cell r="E236">
            <v>2</v>
          </cell>
          <cell r="F236">
            <v>2</v>
          </cell>
          <cell r="G236" t="str">
            <v>OPP</v>
          </cell>
          <cell r="I236">
            <v>0.5</v>
          </cell>
          <cell r="S236">
            <v>0.65</v>
          </cell>
          <cell r="AE236" t="str">
            <v>CPP 45x600</v>
          </cell>
          <cell r="AG236">
            <v>3.5490000000000001E-2</v>
          </cell>
          <cell r="AH236">
            <v>0.90466666666666651</v>
          </cell>
          <cell r="AJ236">
            <v>9530</v>
          </cell>
          <cell r="AK236">
            <v>2.3E-3</v>
          </cell>
          <cell r="AM236" t="str">
            <v>túi hàn lưng xếp hông</v>
          </cell>
          <cell r="AN236">
            <v>155</v>
          </cell>
          <cell r="AO236" t="str">
            <v>Công ty Nhật Nguyệt</v>
          </cell>
          <cell r="AQ236" t="str">
            <v>F119426-1</v>
          </cell>
          <cell r="AR236" t="str">
            <v>F119426-2</v>
          </cell>
          <cell r="BA236" t="str">
            <v>465x860</v>
          </cell>
          <cell r="BB236" t="str">
            <v>P1</v>
          </cell>
        </row>
        <row r="237">
          <cell r="A237" t="str">
            <v>sp 842</v>
          </cell>
          <cell r="B237" t="str">
            <v>Túi lúa nếp A Sào 1kg thái bình</v>
          </cell>
          <cell r="C237">
            <v>15.5</v>
          </cell>
          <cell r="D237" t="str">
            <v>PA 15x580</v>
          </cell>
          <cell r="E237">
            <v>7</v>
          </cell>
          <cell r="F237">
            <v>7</v>
          </cell>
          <cell r="G237" t="str">
            <v>PET</v>
          </cell>
          <cell r="H237">
            <v>0.9</v>
          </cell>
          <cell r="I237">
            <v>5.2</v>
          </cell>
          <cell r="J237">
            <v>2.5</v>
          </cell>
          <cell r="K237">
            <v>0.1</v>
          </cell>
          <cell r="L237">
            <v>5.5</v>
          </cell>
          <cell r="M237">
            <v>1</v>
          </cell>
          <cell r="O237">
            <v>0.1</v>
          </cell>
          <cell r="T237">
            <v>0.2</v>
          </cell>
          <cell r="AE237" t="str">
            <v>PE 85x580</v>
          </cell>
          <cell r="AG237">
            <v>5.3690000000000015E-2</v>
          </cell>
          <cell r="AH237">
            <v>0.87399999999999989</v>
          </cell>
          <cell r="AJ237">
            <v>9530</v>
          </cell>
          <cell r="AK237">
            <v>2.3E-3</v>
          </cell>
          <cell r="AM237" t="str">
            <v>túi ba biên</v>
          </cell>
          <cell r="AN237">
            <v>200</v>
          </cell>
          <cell r="AO237" t="str">
            <v>Công ty Thái Bình</v>
          </cell>
          <cell r="AQ237" t="str">
            <v>1711961-1</v>
          </cell>
          <cell r="AR237" t="str">
            <v>1711961-2</v>
          </cell>
          <cell r="AS237" t="str">
            <v>1711961-3</v>
          </cell>
          <cell r="AT237" t="str">
            <v>1711961-4</v>
          </cell>
          <cell r="AU237" t="str">
            <v>1711961-5</v>
          </cell>
          <cell r="AV237" t="str">
            <v>1711961-6</v>
          </cell>
          <cell r="AW237" t="str">
            <v>1711961-7</v>
          </cell>
          <cell r="BA237" t="str">
            <v>840x456</v>
          </cell>
          <cell r="BB237" t="str">
            <v>I3</v>
          </cell>
        </row>
        <row r="238">
          <cell r="A238" t="str">
            <v>sp 844</v>
          </cell>
          <cell r="B238" t="str">
            <v>Cuộn thuốc trừ sâu Bemab khủng long 52WG 800 loại 10g</v>
          </cell>
          <cell r="C238">
            <v>4.5999999999999996</v>
          </cell>
          <cell r="D238" t="str">
            <v>PET 12x620</v>
          </cell>
          <cell r="E238">
            <v>7</v>
          </cell>
          <cell r="F238">
            <v>7</v>
          </cell>
          <cell r="G238" t="str">
            <v>PET</v>
          </cell>
          <cell r="I238">
            <v>2.5</v>
          </cell>
          <cell r="J238">
            <v>0.1</v>
          </cell>
          <cell r="K238">
            <v>0.1</v>
          </cell>
          <cell r="L238">
            <v>0.4</v>
          </cell>
          <cell r="M238">
            <v>1</v>
          </cell>
          <cell r="P238">
            <v>0.4</v>
          </cell>
          <cell r="R238">
            <v>0.1</v>
          </cell>
          <cell r="AE238" t="str">
            <v>Al 6x620</v>
          </cell>
          <cell r="AF238" t="str">
            <v>PE 75x630</v>
          </cell>
          <cell r="AG238">
            <v>6.4534049999999996E-2</v>
          </cell>
          <cell r="AH238">
            <v>0.93533333333333324</v>
          </cell>
          <cell r="AI238">
            <v>0.93533333333333324</v>
          </cell>
          <cell r="AJ238">
            <v>9530</v>
          </cell>
          <cell r="AK238" t="str">
            <v>0,0046(0,0023;0,0023)</v>
          </cell>
          <cell r="AM238" t="str">
            <v>dạng cuộn 700m</v>
          </cell>
          <cell r="AN238">
            <v>200</v>
          </cell>
          <cell r="AO238" t="str">
            <v>Công ty Việt Thắng</v>
          </cell>
          <cell r="AQ238" t="str">
            <v>F119474G6-1</v>
          </cell>
          <cell r="AR238" t="str">
            <v>F119474G6-2</v>
          </cell>
          <cell r="AS238" t="str">
            <v>F119474G6-3</v>
          </cell>
          <cell r="AT238" t="str">
            <v>F119474G3-4</v>
          </cell>
          <cell r="AU238" t="str">
            <v>F119474-5</v>
          </cell>
          <cell r="AV238" t="str">
            <v>F119474-6</v>
          </cell>
          <cell r="AW238" t="str">
            <v>F119474G4-7</v>
          </cell>
          <cell r="BA238" t="str">
            <v>405x750</v>
          </cell>
          <cell r="BB238" t="str">
            <v>D2</v>
          </cell>
        </row>
        <row r="239">
          <cell r="A239" t="str">
            <v>sp 845</v>
          </cell>
          <cell r="B239" t="str">
            <v>Cuộn thuốc trừ sâu Bemab  khủng long 52WG 900 loại 15g</v>
          </cell>
          <cell r="D239" t="str">
            <v>PET 12x620</v>
          </cell>
          <cell r="E239">
            <v>2</v>
          </cell>
          <cell r="F239">
            <v>7</v>
          </cell>
          <cell r="AO239" t="str">
            <v>Công ty Việt Thắng</v>
          </cell>
          <cell r="AQ239" t="str">
            <v>F119474G3-1</v>
          </cell>
          <cell r="AR239" t="str">
            <v>F119474-2</v>
          </cell>
          <cell r="AS239" t="str">
            <v>F120892-3</v>
          </cell>
          <cell r="AT239" t="str">
            <v>F120892-4</v>
          </cell>
          <cell r="AU239" t="str">
            <v>F119474-5</v>
          </cell>
          <cell r="AV239" t="str">
            <v>F119474-6</v>
          </cell>
          <cell r="AW239" t="str">
            <v>F119474-7</v>
          </cell>
          <cell r="BA239" t="str">
            <v>405x750</v>
          </cell>
          <cell r="BB239" t="str">
            <v>D2</v>
          </cell>
          <cell r="BC239" t="str">
            <v>in chung bộ sp 844 trừ cây Z đỏ + XD</v>
          </cell>
        </row>
        <row r="242">
          <cell r="A242" t="str">
            <v>sp 851</v>
          </cell>
          <cell r="B242" t="str">
            <v>Túi miến lẩu đặc biệt bản xèo 500g</v>
          </cell>
          <cell r="C242">
            <v>4.3000000000000007</v>
          </cell>
          <cell r="D242" t="str">
            <v>PA 15x490</v>
          </cell>
          <cell r="E242">
            <v>5</v>
          </cell>
          <cell r="F242">
            <v>5</v>
          </cell>
          <cell r="G242" t="str">
            <v>PET</v>
          </cell>
          <cell r="I242">
            <v>1.7</v>
          </cell>
          <cell r="J242">
            <v>0.4</v>
          </cell>
          <cell r="K242">
            <v>0.6</v>
          </cell>
          <cell r="L242">
            <v>1.1000000000000001</v>
          </cell>
          <cell r="M242">
            <v>0.5</v>
          </cell>
          <cell r="AE242" t="str">
            <v>PE 80x490</v>
          </cell>
          <cell r="AG242">
            <v>4.4712500000000002E-2</v>
          </cell>
          <cell r="AH242">
            <v>0.73599999999999988</v>
          </cell>
          <cell r="AJ242">
            <v>9530</v>
          </cell>
          <cell r="AK242">
            <v>2.3E-3</v>
          </cell>
          <cell r="AM242" t="str">
            <v>túi hàn lưng xếp hông</v>
          </cell>
          <cell r="AN242">
            <v>350</v>
          </cell>
          <cell r="AO242" t="str">
            <v>HTX Thành Sơn, Bản Xèo, Lào Cai</v>
          </cell>
          <cell r="AQ242" t="str">
            <v>17121376-1</v>
          </cell>
          <cell r="AR242" t="str">
            <v>17121376-2</v>
          </cell>
          <cell r="AS242" t="str">
            <v>17121376-3</v>
          </cell>
          <cell r="AT242" t="str">
            <v>17121376-4</v>
          </cell>
          <cell r="AU242" t="str">
            <v>17121376-5</v>
          </cell>
          <cell r="BA242" t="str">
            <v>700x750</v>
          </cell>
          <cell r="BB242" t="str">
            <v>P1</v>
          </cell>
        </row>
        <row r="243">
          <cell r="A243" t="str">
            <v>sp 853</v>
          </cell>
          <cell r="B243" t="str">
            <v>Túi thuốc trừ sâu Goldsai hiệu Metalaxyl 350WP loại 250g USA</v>
          </cell>
          <cell r="C243">
            <v>6.1999999999999993</v>
          </cell>
          <cell r="D243" t="str">
            <v>PET 12x660</v>
          </cell>
          <cell r="E243">
            <v>7</v>
          </cell>
          <cell r="F243">
            <v>7</v>
          </cell>
          <cell r="G243" t="str">
            <v>PET</v>
          </cell>
          <cell r="H243">
            <v>0.1</v>
          </cell>
          <cell r="I243">
            <v>2.9</v>
          </cell>
          <cell r="J243">
            <v>1</v>
          </cell>
          <cell r="K243">
            <v>0.1</v>
          </cell>
          <cell r="L243">
            <v>0.9</v>
          </cell>
          <cell r="M243">
            <v>1</v>
          </cell>
          <cell r="P243">
            <v>0.1</v>
          </cell>
          <cell r="R243">
            <v>0.1</v>
          </cell>
          <cell r="AE243" t="str">
            <v>MPET 12x660</v>
          </cell>
          <cell r="AF243" t="str">
            <v>PE 75x660</v>
          </cell>
          <cell r="AG243">
            <v>6.796350000000001E-2</v>
          </cell>
          <cell r="AH243">
            <v>0.99666666666666659</v>
          </cell>
          <cell r="AI243">
            <v>0.99666666666666659</v>
          </cell>
          <cell r="AJ243">
            <v>9530</v>
          </cell>
          <cell r="AK243" t="str">
            <v>0,0046(0,0023;0,0023)</v>
          </cell>
          <cell r="AM243" t="str">
            <v>túi ba biên</v>
          </cell>
          <cell r="AN243">
            <v>220</v>
          </cell>
          <cell r="AO243" t="str">
            <v xml:space="preserve"> USA</v>
          </cell>
          <cell r="AQ243" t="str">
            <v>20072047-1</v>
          </cell>
          <cell r="AR243" t="str">
            <v>20072047-2</v>
          </cell>
          <cell r="AS243" t="str">
            <v>20072047-3</v>
          </cell>
          <cell r="AT243" t="str">
            <v>1801210-4</v>
          </cell>
          <cell r="AU243" t="str">
            <v>20070247-5</v>
          </cell>
          <cell r="AV243" t="str">
            <v>20070247-6</v>
          </cell>
          <cell r="AW243" t="str">
            <v>1801210-7</v>
          </cell>
          <cell r="BA243" t="str">
            <v>440x750</v>
          </cell>
          <cell r="BB243" t="str">
            <v>P1</v>
          </cell>
        </row>
        <row r="245">
          <cell r="A245" t="str">
            <v>sp 855</v>
          </cell>
          <cell r="B245" t="str">
            <v>Túi chè lụa trắng Tân cương và đặc sản 200g loại 5</v>
          </cell>
          <cell r="C245">
            <v>7.6999999999999993</v>
          </cell>
          <cell r="D245" t="str">
            <v>OPP mờ 20x920</v>
          </cell>
          <cell r="E245" t="str">
            <v>sp 567</v>
          </cell>
          <cell r="F245">
            <v>7</v>
          </cell>
          <cell r="G245" t="str">
            <v>OPP</v>
          </cell>
          <cell r="H245">
            <v>0.2</v>
          </cell>
          <cell r="I245">
            <v>6.1</v>
          </cell>
          <cell r="J245">
            <v>0.7</v>
          </cell>
          <cell r="K245">
            <v>0.1</v>
          </cell>
          <cell r="L245">
            <v>0.6</v>
          </cell>
          <cell r="AE245" t="str">
            <v>MPET 12x920</v>
          </cell>
          <cell r="AF245" t="str">
            <v>PE 75x920</v>
          </cell>
          <cell r="AG245">
            <v>9.6025000000000013E-2</v>
          </cell>
          <cell r="AH245">
            <v>1.3953333333333333</v>
          </cell>
          <cell r="AI245">
            <v>1.82</v>
          </cell>
          <cell r="AJ245">
            <v>9530</v>
          </cell>
          <cell r="AK245" t="str">
            <v>0,0053(0,0023;0,003)</v>
          </cell>
          <cell r="AM245" t="str">
            <v>túi hàn lưng xếp hông</v>
          </cell>
          <cell r="AN245">
            <v>340</v>
          </cell>
          <cell r="AO245" t="str">
            <v>Bùi Văn Sỹ</v>
          </cell>
          <cell r="AQ245" t="str">
            <v>1607496-1</v>
          </cell>
          <cell r="AR245" t="str">
            <v>1607496-2</v>
          </cell>
          <cell r="AS245" t="str">
            <v>1607496-3</v>
          </cell>
          <cell r="AT245" t="str">
            <v>1607496-4</v>
          </cell>
          <cell r="AU245" t="str">
            <v>1607496-5</v>
          </cell>
          <cell r="AV245" t="str">
            <v>1607496-6</v>
          </cell>
          <cell r="AW245" t="str">
            <v>1607496-7</v>
          </cell>
          <cell r="BA245" t="str">
            <v>680x1100</v>
          </cell>
          <cell r="BB245" t="str">
            <v>F1</v>
          </cell>
          <cell r="BC245" t="str">
            <v>in chung vs sp 567</v>
          </cell>
        </row>
        <row r="246">
          <cell r="A246" t="str">
            <v>sp 856</v>
          </cell>
          <cell r="B246" t="str">
            <v>Túi chè lụa trắng Tân cương và đặc sản 500g loại 5</v>
          </cell>
          <cell r="C246">
            <v>9.7999999999999989</v>
          </cell>
          <cell r="D246" t="str">
            <v>OPP mờ 20x760</v>
          </cell>
          <cell r="E246" t="str">
            <v>sp568</v>
          </cell>
          <cell r="F246">
            <v>7</v>
          </cell>
          <cell r="G246" t="str">
            <v>OPP</v>
          </cell>
          <cell r="H246">
            <v>0.2</v>
          </cell>
          <cell r="I246">
            <v>5</v>
          </cell>
          <cell r="J246">
            <v>0.5</v>
          </cell>
          <cell r="K246">
            <v>0.1</v>
          </cell>
          <cell r="L246">
            <v>2.4</v>
          </cell>
          <cell r="M246">
            <v>1.5</v>
          </cell>
          <cell r="S246">
            <v>0.1</v>
          </cell>
          <cell r="AE246" t="str">
            <v>MPET 12x760</v>
          </cell>
          <cell r="AF246" t="str">
            <v>PE 75x760</v>
          </cell>
          <cell r="AG246">
            <v>7.9325000000000007E-2</v>
          </cell>
          <cell r="AH246">
            <v>1.1499999999999999</v>
          </cell>
          <cell r="AI246">
            <v>1.5</v>
          </cell>
          <cell r="AJ246">
            <v>9530</v>
          </cell>
          <cell r="AK246" t="str">
            <v>0,0053(0,0023;0,003)</v>
          </cell>
          <cell r="AM246" t="str">
            <v>túi hàn lưng xếp hông</v>
          </cell>
          <cell r="AN246">
            <v>420</v>
          </cell>
          <cell r="AO246" t="str">
            <v>Bùi Văn Sỹ</v>
          </cell>
          <cell r="AQ246" t="str">
            <v>1607497-1</v>
          </cell>
          <cell r="AR246" t="str">
            <v>1607497-2</v>
          </cell>
          <cell r="AS246" t="str">
            <v>1607497-3</v>
          </cell>
          <cell r="AT246" t="str">
            <v>1607497-4</v>
          </cell>
          <cell r="AU246" t="str">
            <v>1607497-5</v>
          </cell>
          <cell r="AV246" t="str">
            <v>1607497-6</v>
          </cell>
          <cell r="AW246" t="str">
            <v>1607497-7</v>
          </cell>
          <cell r="BA246" t="str">
            <v>420x850</v>
          </cell>
          <cell r="BB246" t="str">
            <v>F1</v>
          </cell>
          <cell r="BC246" t="str">
            <v>in chung vs sp 568</v>
          </cell>
        </row>
        <row r="247">
          <cell r="A247" t="str">
            <v>sp 857</v>
          </cell>
          <cell r="B247" t="str">
            <v>Cuộn in 1 màu Nhật Nguyên</v>
          </cell>
          <cell r="C247">
            <v>0.1</v>
          </cell>
          <cell r="D247" t="str">
            <v>PET 12x740</v>
          </cell>
          <cell r="E247">
            <v>1</v>
          </cell>
          <cell r="F247">
            <v>1</v>
          </cell>
          <cell r="G247" t="str">
            <v>PET</v>
          </cell>
          <cell r="H247">
            <v>0.1</v>
          </cell>
          <cell r="AE247" t="str">
            <v>CPP 35x740</v>
          </cell>
          <cell r="AG247">
            <v>3.6000999999999998E-2</v>
          </cell>
          <cell r="AH247">
            <v>0.97333333333333327</v>
          </cell>
          <cell r="AJ247">
            <v>9530</v>
          </cell>
          <cell r="AK247">
            <v>2E-3</v>
          </cell>
          <cell r="AM247" t="str">
            <v>dạng cuộn 500</v>
          </cell>
          <cell r="AN247">
            <v>360</v>
          </cell>
          <cell r="AO247" t="str">
            <v>Công ty Nhật Nguyệt</v>
          </cell>
          <cell r="AQ247" t="str">
            <v>X102176-1</v>
          </cell>
          <cell r="BA247" t="str">
            <v>520x850</v>
          </cell>
          <cell r="BB247" t="str">
            <v>P1</v>
          </cell>
          <cell r="BC247" t="str">
            <v>in chung sản phẩm 1165</v>
          </cell>
        </row>
        <row r="248">
          <cell r="A248" t="str">
            <v>sp 858</v>
          </cell>
          <cell r="B248" t="str">
            <v xml:space="preserve">Túi bánh trứng vị bơ 200gr
</v>
          </cell>
          <cell r="C248">
            <v>7.2499999999999991</v>
          </cell>
          <cell r="D248" t="str">
            <v>OPP 20x550</v>
          </cell>
          <cell r="E248">
            <v>8</v>
          </cell>
          <cell r="F248">
            <v>8</v>
          </cell>
          <cell r="G248" t="str">
            <v>OPP</v>
          </cell>
          <cell r="H248">
            <v>0.1</v>
          </cell>
          <cell r="I248">
            <v>4</v>
          </cell>
          <cell r="J248">
            <v>0.25</v>
          </cell>
          <cell r="K248">
            <v>0.25</v>
          </cell>
          <cell r="L248">
            <v>0.5</v>
          </cell>
          <cell r="M248">
            <v>1.1000000000000001</v>
          </cell>
          <cell r="O248">
            <v>0.1</v>
          </cell>
          <cell r="Q248">
            <v>0.05</v>
          </cell>
          <cell r="R248">
            <v>0.2</v>
          </cell>
          <cell r="U248">
            <v>0.7</v>
          </cell>
          <cell r="AE248" t="str">
            <v>PE 60x550</v>
          </cell>
          <cell r="AG248">
            <v>4.0535000000000002E-2</v>
          </cell>
          <cell r="AH248">
            <v>0.82799999999999996</v>
          </cell>
          <cell r="AJ248">
            <v>9530</v>
          </cell>
          <cell r="AK248">
            <v>2.3E-3</v>
          </cell>
          <cell r="AM248" t="str">
            <v>túi ba biên</v>
          </cell>
          <cell r="AN248">
            <v>300</v>
          </cell>
          <cell r="AO248" t="str">
            <v>Công ty Quốc tế Alpha</v>
          </cell>
          <cell r="AQ248" t="str">
            <v>F119780NG2-1</v>
          </cell>
          <cell r="AR248" t="str">
            <v>F119780-2</v>
          </cell>
          <cell r="AS248" t="str">
            <v xml:space="preserve">F119780-3 </v>
          </cell>
          <cell r="AT248" t="str">
            <v>F119780G4-4 k hanal</v>
          </cell>
          <cell r="AU248" t="str">
            <v>F119780-5</v>
          </cell>
          <cell r="AV248" t="str">
            <v>F119780-6</v>
          </cell>
          <cell r="AW248" t="str">
            <v>F119780-7</v>
          </cell>
          <cell r="AX248" t="str">
            <v>F119780-8</v>
          </cell>
          <cell r="BA248" t="str">
            <v>600x750</v>
          </cell>
          <cell r="BB248" t="str">
            <v>C2</v>
          </cell>
          <cell r="BD248" t="str">
            <v>Chuyển 2 cây có halal lên kho tận dụng</v>
          </cell>
        </row>
        <row r="249">
          <cell r="A249" t="str">
            <v>sp 859</v>
          </cell>
          <cell r="B249" t="str">
            <v>Túi bánh trứng vị bơ 300gr Alpha</v>
          </cell>
          <cell r="C249">
            <v>7.5499999999999989</v>
          </cell>
          <cell r="D249" t="str">
            <v>OPP 20x660</v>
          </cell>
          <cell r="E249">
            <v>8</v>
          </cell>
          <cell r="F249">
            <v>8</v>
          </cell>
          <cell r="G249" t="str">
            <v>OPP</v>
          </cell>
          <cell r="H249">
            <v>0.1</v>
          </cell>
          <cell r="I249">
            <v>4</v>
          </cell>
          <cell r="J249">
            <v>0.25</v>
          </cell>
          <cell r="K249">
            <v>0.25</v>
          </cell>
          <cell r="L249">
            <v>0.6</v>
          </cell>
          <cell r="M249">
            <v>1.3</v>
          </cell>
          <cell r="O249">
            <v>0.1</v>
          </cell>
          <cell r="P249">
            <v>0.05</v>
          </cell>
          <cell r="R249">
            <v>0.2</v>
          </cell>
          <cell r="U249">
            <v>0.7</v>
          </cell>
          <cell r="AE249" t="str">
            <v>PE 60x660</v>
          </cell>
          <cell r="AG249">
            <v>4.8642000000000005E-2</v>
          </cell>
          <cell r="AH249">
            <v>0.99666666666666659</v>
          </cell>
          <cell r="AJ249">
            <v>9530</v>
          </cell>
          <cell r="AK249">
            <v>2.3E-3</v>
          </cell>
          <cell r="AM249" t="str">
            <v>túi ba biên</v>
          </cell>
          <cell r="AN249">
            <v>350</v>
          </cell>
          <cell r="AO249" t="str">
            <v>Công ty Quốc tế Alpha</v>
          </cell>
          <cell r="AQ249" t="str">
            <v>F119781G6-1</v>
          </cell>
          <cell r="AR249" t="str">
            <v>F119781NG3-2</v>
          </cell>
          <cell r="AS249" t="str">
            <v>F119781G3-3</v>
          </cell>
          <cell r="AT249" t="str">
            <v>F119781-4</v>
          </cell>
          <cell r="AU249" t="str">
            <v>F119781G5-5</v>
          </cell>
          <cell r="AV249" t="str">
            <v>F119781-6</v>
          </cell>
          <cell r="AW249" t="str">
            <v>F119781-7</v>
          </cell>
          <cell r="AX249" t="str">
            <v>F119781G5-8</v>
          </cell>
          <cell r="BA249" t="str">
            <v>700x750</v>
          </cell>
          <cell r="BB249" t="str">
            <v>C2</v>
          </cell>
        </row>
        <row r="250">
          <cell r="A250" t="str">
            <v>sp 860</v>
          </cell>
          <cell r="B250" t="str">
            <v>Cuộn bánh trứng lipo bơ Alpha</v>
          </cell>
          <cell r="C250">
            <v>7.25</v>
          </cell>
          <cell r="D250" t="str">
            <v>OPP 20x700</v>
          </cell>
          <cell r="E250">
            <v>8</v>
          </cell>
          <cell r="F250">
            <v>8</v>
          </cell>
          <cell r="G250" t="str">
            <v>OPP</v>
          </cell>
          <cell r="H250">
            <v>0.1</v>
          </cell>
          <cell r="I250">
            <v>4</v>
          </cell>
          <cell r="J250">
            <v>0.25</v>
          </cell>
          <cell r="K250">
            <v>0.25</v>
          </cell>
          <cell r="L250">
            <v>0.5</v>
          </cell>
          <cell r="M250">
            <v>0.9</v>
          </cell>
          <cell r="O250">
            <v>0.1</v>
          </cell>
          <cell r="P250">
            <v>0.2</v>
          </cell>
          <cell r="Q250">
            <v>0.05</v>
          </cell>
          <cell r="R250">
            <v>0.2</v>
          </cell>
          <cell r="U250">
            <v>0.7</v>
          </cell>
          <cell r="AE250" t="str">
            <v>MCPP 25x700</v>
          </cell>
          <cell r="AG250">
            <v>2.8665E-2</v>
          </cell>
          <cell r="AH250">
            <v>1.0579999999999998</v>
          </cell>
          <cell r="AJ250">
            <v>9530</v>
          </cell>
          <cell r="AK250">
            <v>2.3E-3</v>
          </cell>
          <cell r="AM250" t="str">
            <v>dạng cuộn 1000m</v>
          </cell>
          <cell r="AN250">
            <v>170</v>
          </cell>
          <cell r="AO250" t="str">
            <v>Công ty Quốc tế Alpha</v>
          </cell>
          <cell r="AQ250" t="str">
            <v xml:space="preserve">F119779-1 </v>
          </cell>
          <cell r="AR250" t="str">
            <v>F119779G4-2</v>
          </cell>
          <cell r="AS250" t="str">
            <v>F119779G4-3</v>
          </cell>
          <cell r="AT250" t="str">
            <v>F119779-4</v>
          </cell>
          <cell r="AU250" t="str">
            <v>F119779G5-5</v>
          </cell>
          <cell r="AV250" t="str">
            <v>F119779-6</v>
          </cell>
          <cell r="AW250" t="str">
            <v>F119779G4-7</v>
          </cell>
          <cell r="AX250" t="str">
            <v>F119779-8</v>
          </cell>
          <cell r="BA250" t="str">
            <v>500x850</v>
          </cell>
          <cell r="BB250" t="str">
            <v>C2</v>
          </cell>
          <cell r="BD250" t="str">
            <v>Chuyển  cây xanh có halal lên kho tận dụng</v>
          </cell>
        </row>
        <row r="251">
          <cell r="A251" t="str">
            <v>sp 861</v>
          </cell>
          <cell r="B251" t="str">
            <v>Cuộn thuốc trừ bệnh nhật Daconil 75WP loại 30gr Việt Thắng</v>
          </cell>
          <cell r="C251">
            <v>4.3999999999999995</v>
          </cell>
          <cell r="D251" t="str">
            <v>PET 12x640</v>
          </cell>
          <cell r="E251">
            <v>6</v>
          </cell>
          <cell r="F251">
            <v>6</v>
          </cell>
          <cell r="G251" t="str">
            <v>PET</v>
          </cell>
          <cell r="H251">
            <v>0.1</v>
          </cell>
          <cell r="I251">
            <v>2.2999999999999998</v>
          </cell>
          <cell r="J251">
            <v>0.1</v>
          </cell>
          <cell r="K251">
            <v>0.1</v>
          </cell>
          <cell r="L251">
            <v>0.8</v>
          </cell>
          <cell r="M251">
            <v>0.3</v>
          </cell>
          <cell r="P251">
            <v>0.6</v>
          </cell>
          <cell r="R251">
            <v>0.1</v>
          </cell>
          <cell r="AE251" t="str">
            <v>Al 6x640</v>
          </cell>
          <cell r="AF251" t="str">
            <v>PE 75x650</v>
          </cell>
          <cell r="AG251">
            <v>6.5558400000000003E-2</v>
          </cell>
          <cell r="AH251">
            <v>0.96599999999999997</v>
          </cell>
          <cell r="AI251">
            <v>0.96599999999999997</v>
          </cell>
          <cell r="AJ251">
            <v>9530</v>
          </cell>
          <cell r="AK251" t="str">
            <v>0,0046(0,0023;0,0023)</v>
          </cell>
          <cell r="AM251" t="str">
            <v>dạng cuộn 700m</v>
          </cell>
          <cell r="AN251">
            <v>310</v>
          </cell>
          <cell r="AO251" t="str">
            <v>Công ty Việt Thắng</v>
          </cell>
          <cell r="AQ251" t="str">
            <v>1902335-1</v>
          </cell>
          <cell r="AR251" t="str">
            <v>1801705-2</v>
          </cell>
          <cell r="AS251" t="str">
            <v>1801705-3</v>
          </cell>
          <cell r="AT251" t="str">
            <v>1801705-4</v>
          </cell>
          <cell r="AU251" t="str">
            <v>1801705-5</v>
          </cell>
          <cell r="AV251" t="str">
            <v>1801705-6</v>
          </cell>
          <cell r="BA251" t="str">
            <v>440x750</v>
          </cell>
          <cell r="BB251" t="str">
            <v>D3</v>
          </cell>
        </row>
        <row r="252">
          <cell r="A252" t="str">
            <v>sp 862</v>
          </cell>
          <cell r="B252" t="str">
            <v>Cuộn thuốc trừ sâu Anvado 100WP hiệu súng máy loại 10gr Việt Thắng</v>
          </cell>
          <cell r="C252">
            <v>3.8</v>
          </cell>
          <cell r="D252" t="str">
            <v>PET 12x800</v>
          </cell>
          <cell r="E252">
            <v>6</v>
          </cell>
          <cell r="F252">
            <v>6</v>
          </cell>
          <cell r="G252" t="str">
            <v>PET</v>
          </cell>
          <cell r="H252">
            <v>0.15</v>
          </cell>
          <cell r="I252">
            <v>2.1</v>
          </cell>
          <cell r="J252">
            <v>0.5</v>
          </cell>
          <cell r="K252">
            <v>0.15</v>
          </cell>
          <cell r="L252">
            <v>0.4</v>
          </cell>
          <cell r="M252">
            <v>0.4</v>
          </cell>
          <cell r="R252">
            <v>0.1</v>
          </cell>
          <cell r="AE252" t="str">
            <v>Al 6x800</v>
          </cell>
          <cell r="AF252" t="str">
            <v>PE 75x810</v>
          </cell>
          <cell r="AG252">
            <v>8.1948000000000007E-2</v>
          </cell>
          <cell r="AH252">
            <v>1.2113333333333334</v>
          </cell>
          <cell r="AI252">
            <v>1.2113333333333334</v>
          </cell>
          <cell r="AJ252">
            <v>9530</v>
          </cell>
          <cell r="AK252" t="str">
            <v>0,0046(0,0023;0,0023)</v>
          </cell>
          <cell r="AM252" t="str">
            <v>dạng cuộn 700m</v>
          </cell>
          <cell r="AN252">
            <v>260</v>
          </cell>
          <cell r="AO252" t="str">
            <v>Công ty Việt Thắng</v>
          </cell>
          <cell r="AQ252" t="str">
            <v>1801706-1</v>
          </cell>
          <cell r="AR252" t="str">
            <v>1801706-2</v>
          </cell>
          <cell r="AS252" t="str">
            <v>1801706-3</v>
          </cell>
          <cell r="AT252" t="str">
            <v>1801706-4</v>
          </cell>
          <cell r="AU252" t="str">
            <v>1801706-5</v>
          </cell>
          <cell r="AV252" t="str">
            <v>1801706-6</v>
          </cell>
          <cell r="BA252" t="str">
            <v>450x850</v>
          </cell>
          <cell r="BB252" t="str">
            <v>D3</v>
          </cell>
        </row>
        <row r="253">
          <cell r="A253" t="str">
            <v>sp 863</v>
          </cell>
          <cell r="B253" t="str">
            <v>Cuộn thuốc trừ cỏ Rorax 10WP loại 6gr Việt Thắng</v>
          </cell>
          <cell r="C253">
            <v>3.8</v>
          </cell>
          <cell r="D253" t="str">
            <v>PET 12x800</v>
          </cell>
          <cell r="E253">
            <v>6</v>
          </cell>
          <cell r="F253">
            <v>6</v>
          </cell>
          <cell r="G253" t="str">
            <v>PET</v>
          </cell>
          <cell r="H253">
            <v>0.15</v>
          </cell>
          <cell r="I253">
            <v>2.1</v>
          </cell>
          <cell r="J253">
            <v>0.5</v>
          </cell>
          <cell r="K253">
            <v>0.15</v>
          </cell>
          <cell r="L253">
            <v>0.4</v>
          </cell>
          <cell r="M253">
            <v>0.4</v>
          </cell>
          <cell r="O253">
            <v>0.1</v>
          </cell>
          <cell r="AE253" t="str">
            <v>Al 6x800</v>
          </cell>
          <cell r="AF253" t="str">
            <v>PE 75x810</v>
          </cell>
          <cell r="AG253">
            <v>8.1948000000000007E-2</v>
          </cell>
          <cell r="AH253">
            <v>1.2113333333333334</v>
          </cell>
          <cell r="AI253">
            <v>1.2113333333333334</v>
          </cell>
          <cell r="AJ253">
            <v>9530</v>
          </cell>
          <cell r="AK253" t="str">
            <v>0,0046(0,0023;0,0023)</v>
          </cell>
          <cell r="AM253" t="str">
            <v>dạng cuộn 700m</v>
          </cell>
          <cell r="AN253">
            <v>260</v>
          </cell>
          <cell r="AO253" t="str">
            <v>Công ty Việt Thắng</v>
          </cell>
          <cell r="AQ253" t="str">
            <v>21050948-1</v>
          </cell>
          <cell r="AR253" t="str">
            <v>1801707-2</v>
          </cell>
          <cell r="AS253" t="str">
            <v>21050948-3</v>
          </cell>
          <cell r="AT253" t="str">
            <v>1801707-4</v>
          </cell>
          <cell r="AU253" t="str">
            <v>1801707-5</v>
          </cell>
          <cell r="AV253" t="str">
            <v>1801707-6</v>
          </cell>
          <cell r="BA253" t="str">
            <v>450x850</v>
          </cell>
          <cell r="BB253" t="str">
            <v>D3</v>
          </cell>
        </row>
        <row r="254">
          <cell r="A254" t="str">
            <v>sp 865</v>
          </cell>
          <cell r="B254" t="str">
            <v>Cuộn bột giặt Đức Giang siêu sạch 200gr</v>
          </cell>
          <cell r="C254">
            <v>4.6999999999999993</v>
          </cell>
          <cell r="D254" t="str">
            <v>PET 12x580</v>
          </cell>
          <cell r="E254">
            <v>6</v>
          </cell>
          <cell r="F254">
            <v>6</v>
          </cell>
          <cell r="G254" t="str">
            <v>PET</v>
          </cell>
          <cell r="H254">
            <v>0.2</v>
          </cell>
          <cell r="J254">
            <v>0.7</v>
          </cell>
          <cell r="K254">
            <v>1.6</v>
          </cell>
          <cell r="L254">
            <v>2</v>
          </cell>
          <cell r="P254">
            <v>0.1</v>
          </cell>
          <cell r="R254">
            <v>0.1</v>
          </cell>
          <cell r="AE254" t="str">
            <v>PE sứ 60x580</v>
          </cell>
          <cell r="AG254">
            <v>4.1933999999999999E-2</v>
          </cell>
          <cell r="AH254">
            <v>1.1399999999999999</v>
          </cell>
          <cell r="AJ254">
            <v>9530</v>
          </cell>
          <cell r="AK254">
            <v>3.0000000000000001E-3</v>
          </cell>
          <cell r="AM254" t="str">
            <v>dạng cuộn 1000m</v>
          </cell>
          <cell r="AN254">
            <v>280</v>
          </cell>
          <cell r="AO254" t="str">
            <v>Công ty Đức Giang</v>
          </cell>
          <cell r="AQ254" t="str">
            <v>1801917-1</v>
          </cell>
          <cell r="AR254" t="str">
            <v>1801917-2</v>
          </cell>
          <cell r="AS254" t="str">
            <v>19041179-3</v>
          </cell>
          <cell r="AT254" t="str">
            <v>1801917-4</v>
          </cell>
          <cell r="AU254" t="str">
            <v>1801917-5</v>
          </cell>
          <cell r="AV254" t="str">
            <v>1801917-6</v>
          </cell>
          <cell r="BA254" t="str">
            <v>420x750</v>
          </cell>
          <cell r="BB254" t="str">
            <v>U1</v>
          </cell>
        </row>
        <row r="255">
          <cell r="A255" t="str">
            <v>sp 866</v>
          </cell>
          <cell r="B255" t="str">
            <v>cuộn trà cà gai leo 5gr CNC TL</v>
          </cell>
          <cell r="C255">
            <v>7.4</v>
          </cell>
          <cell r="D255" t="str">
            <v>PET 12x740</v>
          </cell>
          <cell r="E255">
            <v>6</v>
          </cell>
          <cell r="F255">
            <v>6</v>
          </cell>
          <cell r="G255" t="str">
            <v>PET</v>
          </cell>
          <cell r="H255">
            <v>0.2</v>
          </cell>
          <cell r="I255">
            <v>3</v>
          </cell>
          <cell r="J255">
            <v>0.1</v>
          </cell>
          <cell r="K255">
            <v>0.1</v>
          </cell>
          <cell r="L255">
            <v>0.8</v>
          </cell>
          <cell r="M255">
            <v>1.5</v>
          </cell>
          <cell r="O255">
            <v>1.7</v>
          </cell>
          <cell r="AE255" t="str">
            <v>Al 6x740</v>
          </cell>
          <cell r="AF255" t="str">
            <v>PE 75x750</v>
          </cell>
          <cell r="AG255">
            <v>7.5801899999999992E-2</v>
          </cell>
          <cell r="AH255">
            <v>1.1193333333333333</v>
          </cell>
          <cell r="AI255">
            <v>1.46</v>
          </cell>
          <cell r="AJ255">
            <v>9530</v>
          </cell>
          <cell r="AK255" t="str">
            <v>0,0053(0,0023;0,003)</v>
          </cell>
          <cell r="AM255" t="str">
            <v>dạng cuộn 500m</v>
          </cell>
          <cell r="AN255">
            <v>120</v>
          </cell>
          <cell r="AO255" t="str">
            <v>Công ty CNC Thăng Long</v>
          </cell>
          <cell r="AQ255" t="str">
            <v>1801932-1</v>
          </cell>
          <cell r="AR255" t="str">
            <v>1801932-2</v>
          </cell>
          <cell r="AS255" t="str">
            <v>1801932-3</v>
          </cell>
          <cell r="AT255" t="str">
            <v>1801932-4</v>
          </cell>
          <cell r="AU255" t="str">
            <v>1801932-5</v>
          </cell>
          <cell r="AV255" t="str">
            <v>1801932-6</v>
          </cell>
          <cell r="BA255" t="str">
            <v>450x850</v>
          </cell>
          <cell r="BB255" t="str">
            <v>P1</v>
          </cell>
        </row>
        <row r="256">
          <cell r="A256" t="str">
            <v>sp 867</v>
          </cell>
          <cell r="B256" t="str">
            <v>Cuộn bột giặt cao cấp 270gr Đức Giang</v>
          </cell>
          <cell r="C256">
            <v>2.0499999999999998</v>
          </cell>
          <cell r="D256" t="str">
            <v>PET 12x680</v>
          </cell>
          <cell r="E256">
            <v>6</v>
          </cell>
          <cell r="F256">
            <v>6</v>
          </cell>
          <cell r="G256" t="str">
            <v>PET</v>
          </cell>
          <cell r="H256">
            <v>0.1</v>
          </cell>
          <cell r="J256">
            <v>0.5</v>
          </cell>
          <cell r="K256">
            <v>0.2</v>
          </cell>
          <cell r="L256">
            <v>0.6</v>
          </cell>
          <cell r="M256">
            <v>0.05</v>
          </cell>
          <cell r="P256">
            <v>0.5</v>
          </cell>
          <cell r="R256">
            <v>0.1</v>
          </cell>
          <cell r="AE256" t="str">
            <v>PE sứ 60x680</v>
          </cell>
          <cell r="AG256">
            <v>4.9164000000000006E-2</v>
          </cell>
          <cell r="AH256">
            <v>1.34</v>
          </cell>
          <cell r="AJ256">
            <v>9530</v>
          </cell>
          <cell r="AK256">
            <v>3.0000000000000001E-3</v>
          </cell>
          <cell r="AM256" t="str">
            <v>dạng cuộn 1000m</v>
          </cell>
          <cell r="AN256">
            <v>330</v>
          </cell>
          <cell r="AO256" t="str">
            <v>Công ty Đức Giang</v>
          </cell>
          <cell r="AQ256" t="str">
            <v>18011035-1</v>
          </cell>
          <cell r="AR256" t="str">
            <v>18011035-2</v>
          </cell>
          <cell r="AS256" t="str">
            <v>19041180-3</v>
          </cell>
          <cell r="AT256" t="str">
            <v>18011035-4</v>
          </cell>
          <cell r="AU256" t="str">
            <v>18011035-5</v>
          </cell>
          <cell r="AV256" t="str">
            <v>18011035-6</v>
          </cell>
          <cell r="BA256" t="str">
            <v>440x750</v>
          </cell>
          <cell r="BB256" t="str">
            <v>U1</v>
          </cell>
        </row>
        <row r="257">
          <cell r="A257" t="str">
            <v>sp 868</v>
          </cell>
          <cell r="B257" t="str">
            <v>Cuộn bột giặt cao cấp 350gr Đức Giang</v>
          </cell>
          <cell r="C257">
            <v>2.6</v>
          </cell>
          <cell r="D257" t="str">
            <v>PET 12x690</v>
          </cell>
          <cell r="E257">
            <v>6</v>
          </cell>
          <cell r="F257">
            <v>6</v>
          </cell>
          <cell r="G257" t="str">
            <v>PET</v>
          </cell>
          <cell r="H257">
            <v>0.2</v>
          </cell>
          <cell r="J257">
            <v>0.9</v>
          </cell>
          <cell r="K257">
            <v>0.7</v>
          </cell>
          <cell r="L257">
            <v>0.6</v>
          </cell>
          <cell r="P257">
            <v>0.1</v>
          </cell>
          <cell r="R257">
            <v>0.1</v>
          </cell>
          <cell r="AE257" t="str">
            <v>PE sứ 60x690</v>
          </cell>
          <cell r="AG257">
            <v>4.9887000000000001E-2</v>
          </cell>
          <cell r="AH257">
            <v>1.36</v>
          </cell>
          <cell r="AJ257">
            <v>9530</v>
          </cell>
          <cell r="AK257">
            <v>3.0000000000000001E-3</v>
          </cell>
          <cell r="AM257" t="str">
            <v>dạng cuộn 1000m</v>
          </cell>
          <cell r="AN257">
            <v>334</v>
          </cell>
          <cell r="AO257" t="str">
            <v>Công ty Đức Giang</v>
          </cell>
          <cell r="AQ257" t="str">
            <v>18011036-1</v>
          </cell>
          <cell r="AR257" t="str">
            <v>18011036-2</v>
          </cell>
          <cell r="AS257" t="str">
            <v>19041181-3</v>
          </cell>
          <cell r="AT257" t="str">
            <v>18011036-4</v>
          </cell>
          <cell r="AU257" t="str">
            <v>18011036-5</v>
          </cell>
          <cell r="AV257" t="str">
            <v>18011036-6</v>
          </cell>
          <cell r="BA257" t="str">
            <v>470x750</v>
          </cell>
          <cell r="BB257" t="str">
            <v>U1</v>
          </cell>
        </row>
        <row r="258">
          <cell r="A258" t="str">
            <v>sp 869</v>
          </cell>
          <cell r="B258" t="str">
            <v>Cuộn bột giặt cao cấp 700gr Đức Giang</v>
          </cell>
          <cell r="C258">
            <v>3.5500000000000003</v>
          </cell>
          <cell r="D258" t="str">
            <v>PET 12x900</v>
          </cell>
          <cell r="E258">
            <v>6</v>
          </cell>
          <cell r="F258">
            <v>6</v>
          </cell>
          <cell r="G258" t="str">
            <v>PET</v>
          </cell>
          <cell r="H258">
            <v>0.1</v>
          </cell>
          <cell r="J258">
            <v>0.5</v>
          </cell>
          <cell r="K258">
            <v>0.7</v>
          </cell>
          <cell r="L258">
            <v>0.6</v>
          </cell>
          <cell r="M258">
            <v>0.05</v>
          </cell>
          <cell r="P258">
            <v>1.5</v>
          </cell>
          <cell r="R258">
            <v>0.1</v>
          </cell>
          <cell r="AE258" t="str">
            <v>PE sứ 70x900</v>
          </cell>
          <cell r="AG258">
            <v>7.3395000000000016E-2</v>
          </cell>
          <cell r="AH258">
            <v>1.78</v>
          </cell>
          <cell r="AJ258">
            <v>9530</v>
          </cell>
          <cell r="AK258">
            <v>3.0000000000000001E-3</v>
          </cell>
          <cell r="AM258" t="str">
            <v>dạng cuộn 1000m</v>
          </cell>
          <cell r="AN258">
            <v>440</v>
          </cell>
          <cell r="AO258" t="str">
            <v>Công ty Đức Giang</v>
          </cell>
          <cell r="AQ258" t="str">
            <v>18011037-1</v>
          </cell>
          <cell r="AR258" t="str">
            <v>18011037-2</v>
          </cell>
          <cell r="AS258" t="str">
            <v>19041182-3</v>
          </cell>
          <cell r="AT258" t="str">
            <v>18011037-4</v>
          </cell>
          <cell r="AU258" t="str">
            <v>18011037-5</v>
          </cell>
          <cell r="AV258" t="str">
            <v>18011037-6</v>
          </cell>
          <cell r="BA258" t="str">
            <v>544x1100</v>
          </cell>
          <cell r="BB258" t="str">
            <v>U1</v>
          </cell>
        </row>
        <row r="259">
          <cell r="A259" t="str">
            <v>sp 870</v>
          </cell>
          <cell r="B259" t="str">
            <v>Cuộn bột giặt cao cấp 2kg Đức Giang</v>
          </cell>
          <cell r="C259">
            <v>3.3000000000000003</v>
          </cell>
          <cell r="D259" t="str">
            <v>PET 12x590</v>
          </cell>
          <cell r="E259">
            <v>6</v>
          </cell>
          <cell r="F259">
            <v>6</v>
          </cell>
          <cell r="G259" t="str">
            <v>PET</v>
          </cell>
          <cell r="H259">
            <v>0.2</v>
          </cell>
          <cell r="J259">
            <v>0.4</v>
          </cell>
          <cell r="K259">
            <v>0.6</v>
          </cell>
          <cell r="L259">
            <v>0.8</v>
          </cell>
          <cell r="P259">
            <v>1.2</v>
          </cell>
          <cell r="R259">
            <v>0.1</v>
          </cell>
          <cell r="AE259" t="str">
            <v>PE sứ 90x590</v>
          </cell>
          <cell r="AG259">
            <v>5.9029499999999999E-2</v>
          </cell>
          <cell r="AH259">
            <v>1.5733333333333333</v>
          </cell>
          <cell r="AJ259">
            <v>9530</v>
          </cell>
          <cell r="AK259">
            <v>4.0000000000000001E-3</v>
          </cell>
          <cell r="AM259" t="str">
            <v>túi hàn lưng xếp hông</v>
          </cell>
          <cell r="AN259">
            <v>393</v>
          </cell>
          <cell r="AO259" t="str">
            <v>Công ty Đức Giang</v>
          </cell>
          <cell r="AQ259" t="str">
            <v>18011038-1</v>
          </cell>
          <cell r="AR259" t="str">
            <v>18011038-2</v>
          </cell>
          <cell r="AS259" t="str">
            <v>19041183-3</v>
          </cell>
          <cell r="AT259" t="str">
            <v>18011038-4</v>
          </cell>
          <cell r="AU259" t="str">
            <v>18011038-5</v>
          </cell>
          <cell r="AV259" t="str">
            <v>18011038-6</v>
          </cell>
          <cell r="BA259" t="str">
            <v>786x750</v>
          </cell>
          <cell r="BB259" t="str">
            <v>U1</v>
          </cell>
        </row>
        <row r="260">
          <cell r="A260" t="str">
            <v>sp 871</v>
          </cell>
          <cell r="B260" t="str">
            <v>Cuộn bột giặt cao cấp 2,5kg Đức Giang</v>
          </cell>
          <cell r="C260">
            <v>3.3000000000000003</v>
          </cell>
          <cell r="D260" t="str">
            <v>PET 12x630</v>
          </cell>
          <cell r="E260">
            <v>6</v>
          </cell>
          <cell r="F260">
            <v>6</v>
          </cell>
          <cell r="G260" t="str">
            <v>PET</v>
          </cell>
          <cell r="H260">
            <v>0.2</v>
          </cell>
          <cell r="J260">
            <v>0.3</v>
          </cell>
          <cell r="K260">
            <v>1</v>
          </cell>
          <cell r="L260">
            <v>0.7</v>
          </cell>
          <cell r="P260">
            <v>1</v>
          </cell>
          <cell r="R260">
            <v>0.1</v>
          </cell>
          <cell r="AE260" t="str">
            <v>PE sứ 90x630</v>
          </cell>
          <cell r="AG260">
            <v>6.3031500000000004E-2</v>
          </cell>
          <cell r="AH260">
            <v>1.6533333333333333</v>
          </cell>
          <cell r="AJ260">
            <v>9530</v>
          </cell>
          <cell r="AK260">
            <v>4.0000000000000001E-3</v>
          </cell>
          <cell r="AM260" t="str">
            <v>túi hàn lưng xếp hông</v>
          </cell>
          <cell r="AN260">
            <v>415</v>
          </cell>
          <cell r="AO260" t="str">
            <v>Công ty Đức Giang</v>
          </cell>
          <cell r="AQ260" t="str">
            <v>18011039-1</v>
          </cell>
          <cell r="AR260" t="str">
            <v>18011039-2</v>
          </cell>
          <cell r="AS260" t="str">
            <v>19041184-3</v>
          </cell>
          <cell r="AT260" t="str">
            <v>18011039-4</v>
          </cell>
          <cell r="AU260" t="str">
            <v>18011039-5</v>
          </cell>
          <cell r="AV260" t="str">
            <v>18011039-6</v>
          </cell>
          <cell r="BA260" t="str">
            <v>415x750</v>
          </cell>
          <cell r="BB260" t="str">
            <v>U1</v>
          </cell>
          <cell r="BC260" t="str">
            <v>in chung ĐC,nền,trắng với sp 874</v>
          </cell>
        </row>
        <row r="261">
          <cell r="A261" t="str">
            <v>sp 872</v>
          </cell>
          <cell r="B261" t="str">
            <v>Cuộn thuốc trừ cỏ lúa Sunriver 10WP loại 3.5gr</v>
          </cell>
          <cell r="C261">
            <v>3.3000000000000003</v>
          </cell>
          <cell r="D261" t="str">
            <v>PET 12x660</v>
          </cell>
          <cell r="E261">
            <v>5</v>
          </cell>
          <cell r="F261">
            <v>5</v>
          </cell>
          <cell r="G261" t="str">
            <v>PET</v>
          </cell>
          <cell r="H261">
            <v>0.1</v>
          </cell>
          <cell r="I261">
            <v>2.5</v>
          </cell>
          <cell r="O261">
            <v>0.2</v>
          </cell>
          <cell r="P261">
            <v>0.1</v>
          </cell>
          <cell r="R261">
            <v>0.4</v>
          </cell>
          <cell r="AE261" t="str">
            <v>Al 6x660</v>
          </cell>
          <cell r="AF261" t="str">
            <v>PE 75x670</v>
          </cell>
          <cell r="AG261">
            <v>6.7607100000000003E-2</v>
          </cell>
          <cell r="AH261">
            <v>0.99666666666666659</v>
          </cell>
          <cell r="AI261">
            <v>0.99666666666666659</v>
          </cell>
          <cell r="AJ261">
            <v>9530</v>
          </cell>
          <cell r="AK261" t="str">
            <v>0,0046(0,0023;0,0023)</v>
          </cell>
          <cell r="AM261" t="str">
            <v>dạng cuộn 700m</v>
          </cell>
          <cell r="AN261">
            <v>160</v>
          </cell>
          <cell r="AO261" t="str">
            <v>Công ty Việt Thắng</v>
          </cell>
          <cell r="AQ261" t="str">
            <v>21030745-1</v>
          </cell>
          <cell r="AR261" t="str">
            <v>1802001-2</v>
          </cell>
          <cell r="AS261" t="str">
            <v>1802001-3</v>
          </cell>
          <cell r="AT261" t="str">
            <v>1802001-4</v>
          </cell>
          <cell r="AU261" t="str">
            <v>21030745-5</v>
          </cell>
          <cell r="BA261" t="str">
            <v>440x750</v>
          </cell>
          <cell r="BB261" t="str">
            <v>D3</v>
          </cell>
          <cell r="BC261" t="str">
            <v>in chung ĐC,nền,trắng với sp 874</v>
          </cell>
        </row>
        <row r="262">
          <cell r="A262" t="str">
            <v>sp 873</v>
          </cell>
          <cell r="B262" t="str">
            <v>Túi miến đao Bản Xèo Thành Sơn 500gr</v>
          </cell>
          <cell r="C262">
            <v>6.2</v>
          </cell>
          <cell r="D262" t="str">
            <v>PA 15x570</v>
          </cell>
          <cell r="E262">
            <v>5</v>
          </cell>
          <cell r="F262">
            <v>5</v>
          </cell>
          <cell r="G262" t="str">
            <v>PET</v>
          </cell>
          <cell r="H262">
            <v>0.1</v>
          </cell>
          <cell r="I262">
            <v>3.2</v>
          </cell>
          <cell r="J262">
            <v>0.1</v>
          </cell>
          <cell r="K262">
            <v>0.5</v>
          </cell>
          <cell r="L262">
            <v>1.3</v>
          </cell>
          <cell r="M262">
            <v>1</v>
          </cell>
          <cell r="AE262" t="str">
            <v>PE 80x570</v>
          </cell>
          <cell r="AG262">
            <v>1.3786874999999997E-2</v>
          </cell>
          <cell r="AH262">
            <v>0.85866666666666669</v>
          </cell>
          <cell r="AJ262">
            <v>9530</v>
          </cell>
          <cell r="AK262">
            <v>2.3E-3</v>
          </cell>
          <cell r="AM262" t="str">
            <v>túi hàn lưng xếp hông</v>
          </cell>
          <cell r="AN262">
            <v>450</v>
          </cell>
          <cell r="AO262" t="str">
            <v>HTX Thành Sơn, Bản Xèo, Lào Cai</v>
          </cell>
          <cell r="AQ262" t="str">
            <v>1711339-1</v>
          </cell>
          <cell r="AR262" t="str">
            <v>1711339-2</v>
          </cell>
          <cell r="AS262" t="str">
            <v>1711339-3</v>
          </cell>
          <cell r="AT262" t="str">
            <v>1711339-4</v>
          </cell>
          <cell r="AU262" t="str">
            <v>1711339-5</v>
          </cell>
          <cell r="BA262" t="str">
            <v>450x750</v>
          </cell>
          <cell r="BB262" t="str">
            <v>P1</v>
          </cell>
        </row>
        <row r="263">
          <cell r="A263" t="str">
            <v>sp 878</v>
          </cell>
          <cell r="B263" t="str">
            <v>túi thuốc phân bón rau poly-feed 15.30.15 loại 50gr</v>
          </cell>
          <cell r="C263">
            <v>5</v>
          </cell>
          <cell r="D263" t="str">
            <v>PET 12x700</v>
          </cell>
          <cell r="E263">
            <v>5</v>
          </cell>
          <cell r="F263">
            <v>5</v>
          </cell>
          <cell r="G263" t="str">
            <v>PET</v>
          </cell>
          <cell r="H263">
            <v>0.1</v>
          </cell>
          <cell r="I263">
            <v>2.2999999999999998</v>
          </cell>
          <cell r="J263">
            <v>0.1</v>
          </cell>
          <cell r="K263">
            <v>0.3</v>
          </cell>
          <cell r="L263">
            <v>0.8</v>
          </cell>
          <cell r="M263">
            <v>1.4</v>
          </cell>
          <cell r="AE263" t="str">
            <v>Al 6x700</v>
          </cell>
          <cell r="AF263" t="str">
            <v>PE 75x710</v>
          </cell>
          <cell r="AG263">
            <v>7.170449999999999E-2</v>
          </cell>
          <cell r="AH263">
            <v>1.0579999999999998</v>
          </cell>
          <cell r="AI263">
            <v>1.0579999999999998</v>
          </cell>
          <cell r="AJ263">
            <v>9530</v>
          </cell>
          <cell r="AK263" t="str">
            <v>0,0046(0,0023;0,0023)</v>
          </cell>
          <cell r="AM263" t="str">
            <v>túi ba biên</v>
          </cell>
          <cell r="AN263">
            <v>110</v>
          </cell>
          <cell r="AO263" t="str">
            <v>Công ty Việt Thắng</v>
          </cell>
          <cell r="AQ263" t="str">
            <v>1802498-1</v>
          </cell>
          <cell r="AR263" t="str">
            <v>1802498-2</v>
          </cell>
          <cell r="AS263" t="str">
            <v>1802498-3</v>
          </cell>
          <cell r="AT263" t="str">
            <v>1802498-4</v>
          </cell>
          <cell r="AU263" t="str">
            <v>1802498-5</v>
          </cell>
          <cell r="BA263" t="str">
            <v>440x750</v>
          </cell>
          <cell r="BB263" t="str">
            <v>D3</v>
          </cell>
        </row>
        <row r="264">
          <cell r="A264" t="str">
            <v>sp 879</v>
          </cell>
          <cell r="B264" t="str">
            <v>Túi thuốc phân bón lúa poly-feed 15.15.30 loại 15gr</v>
          </cell>
          <cell r="C264">
            <v>5.4</v>
          </cell>
          <cell r="D264" t="str">
            <v>PET 12x740</v>
          </cell>
          <cell r="E264">
            <v>6</v>
          </cell>
          <cell r="F264">
            <v>6</v>
          </cell>
          <cell r="G264" t="str">
            <v>PET</v>
          </cell>
          <cell r="H264">
            <v>0.1</v>
          </cell>
          <cell r="I264">
            <v>2.5</v>
          </cell>
          <cell r="J264">
            <v>0.3</v>
          </cell>
          <cell r="K264">
            <v>0.1</v>
          </cell>
          <cell r="L264">
            <v>0.7</v>
          </cell>
          <cell r="M264">
            <v>1.6</v>
          </cell>
          <cell r="R264">
            <v>0.1</v>
          </cell>
          <cell r="AE264" t="str">
            <v>Al 6x740</v>
          </cell>
          <cell r="AF264" t="str">
            <v>PE 75x750</v>
          </cell>
          <cell r="AG264">
            <v>7.5801899999999992E-2</v>
          </cell>
          <cell r="AH264">
            <v>1.1193333333333333</v>
          </cell>
          <cell r="AI264">
            <v>1.1193333333333333</v>
          </cell>
          <cell r="AJ264">
            <v>9530</v>
          </cell>
          <cell r="AK264" t="str">
            <v>0,0046(0,0023;0,0023)</v>
          </cell>
          <cell r="AM264" t="str">
            <v>túi ba biên</v>
          </cell>
          <cell r="AN264">
            <v>80</v>
          </cell>
          <cell r="AO264" t="str">
            <v>Công ty Việt Thắng</v>
          </cell>
          <cell r="AQ264" t="str">
            <v>19051008-1</v>
          </cell>
          <cell r="AR264" t="str">
            <v>1802499-2</v>
          </cell>
          <cell r="AS264" t="str">
            <v>1802499-3</v>
          </cell>
          <cell r="AT264" t="str">
            <v>1802499-4</v>
          </cell>
          <cell r="AU264" t="str">
            <v>1802499-5</v>
          </cell>
          <cell r="AV264" t="str">
            <v>1802499-6</v>
          </cell>
          <cell r="BA264" t="str">
            <v>400x850</v>
          </cell>
          <cell r="BB264" t="str">
            <v>D3</v>
          </cell>
        </row>
        <row r="265">
          <cell r="A265" t="str">
            <v>sp 880</v>
          </cell>
          <cell r="B265" t="str">
            <v>Cuộn thuốc trị rầy lúa Anvoda 100WP thường loại 10gr</v>
          </cell>
          <cell r="C265">
            <v>4.3000000000000007</v>
          </cell>
          <cell r="D265" t="str">
            <v>PET 12x800</v>
          </cell>
          <cell r="E265">
            <v>6</v>
          </cell>
          <cell r="F265">
            <v>6</v>
          </cell>
          <cell r="G265" t="str">
            <v>PET</v>
          </cell>
          <cell r="H265">
            <v>0.1</v>
          </cell>
          <cell r="I265">
            <v>2.2999999999999998</v>
          </cell>
          <cell r="J265">
            <v>0.2</v>
          </cell>
          <cell r="K265">
            <v>0.1</v>
          </cell>
          <cell r="L265">
            <v>1.6</v>
          </cell>
          <cell r="AE265" t="str">
            <v>Al 6x800</v>
          </cell>
          <cell r="AF265" t="str">
            <v>PE 75x810</v>
          </cell>
          <cell r="AG265">
            <v>8.1948000000000007E-2</v>
          </cell>
          <cell r="AH265">
            <v>1.2113333333333334</v>
          </cell>
          <cell r="AI265">
            <v>1.2113333333333334</v>
          </cell>
          <cell r="AJ265">
            <v>9530</v>
          </cell>
          <cell r="AK265" t="str">
            <v>0,0046(0,0023;0,0023)</v>
          </cell>
          <cell r="AM265" t="str">
            <v>dạng cuộn 700m</v>
          </cell>
          <cell r="AN265">
            <v>260</v>
          </cell>
          <cell r="AO265" t="str">
            <v>Công ty Việt Thắng</v>
          </cell>
          <cell r="AQ265" t="str">
            <v>2002743-1</v>
          </cell>
          <cell r="AR265" t="str">
            <v>1802500-2</v>
          </cell>
          <cell r="AS265" t="str">
            <v>1802500-3</v>
          </cell>
          <cell r="AT265" t="str">
            <v>1802500-4</v>
          </cell>
          <cell r="AU265" t="str">
            <v>1802500-5</v>
          </cell>
          <cell r="AV265" t="str">
            <v>1802500-6</v>
          </cell>
          <cell r="BA265" t="str">
            <v>450x850</v>
          </cell>
          <cell r="BB265" t="str">
            <v>D3</v>
          </cell>
        </row>
        <row r="266">
          <cell r="A266" t="str">
            <v>sp 882</v>
          </cell>
          <cell r="B266" t="str">
            <v>Cuộn thuốc trừ cỏ lúa Arorax 17 WP loại 10gr</v>
          </cell>
          <cell r="C266">
            <v>4.75</v>
          </cell>
          <cell r="D266" t="str">
            <v>PET 12x800</v>
          </cell>
          <cell r="E266">
            <v>6</v>
          </cell>
          <cell r="F266">
            <v>6</v>
          </cell>
          <cell r="G266" t="str">
            <v>PET</v>
          </cell>
          <cell r="H266">
            <v>0.15</v>
          </cell>
          <cell r="I266">
            <v>2.6</v>
          </cell>
          <cell r="J266">
            <v>0.2</v>
          </cell>
          <cell r="K266">
            <v>0.2</v>
          </cell>
          <cell r="L266">
            <v>0.9</v>
          </cell>
          <cell r="M266">
            <v>0.6</v>
          </cell>
          <cell r="R266">
            <v>0.1</v>
          </cell>
          <cell r="AE266" t="str">
            <v>Al 6x800</v>
          </cell>
          <cell r="AF266" t="str">
            <v>PE 75x810</v>
          </cell>
          <cell r="AG266">
            <v>8.1948000000000007E-2</v>
          </cell>
          <cell r="AH266">
            <v>1.2113333333333334</v>
          </cell>
          <cell r="AI266">
            <v>1.2113333333333334</v>
          </cell>
          <cell r="AJ266">
            <v>9530</v>
          </cell>
          <cell r="AK266" t="str">
            <v>0,0046(0,0023;0,0023)</v>
          </cell>
          <cell r="AM266" t="str">
            <v>dạng cuộn 700m</v>
          </cell>
          <cell r="AN266">
            <v>260</v>
          </cell>
          <cell r="AO266" t="str">
            <v>Công ty Việt Thắng</v>
          </cell>
          <cell r="AQ266" t="str">
            <v>20110906-1</v>
          </cell>
          <cell r="AR266" t="str">
            <v>19070739-2</v>
          </cell>
          <cell r="AS266" t="str">
            <v>1803525-3</v>
          </cell>
          <cell r="AT266" t="str">
            <v>1803525-4</v>
          </cell>
          <cell r="AU266" t="str">
            <v>1803525-5</v>
          </cell>
          <cell r="AV266" t="str">
            <v>1803525-6</v>
          </cell>
          <cell r="BA266" t="str">
            <v>450x870</v>
          </cell>
          <cell r="BB266" t="str">
            <v>D3</v>
          </cell>
        </row>
        <row r="267">
          <cell r="A267" t="str">
            <v>sp 885</v>
          </cell>
          <cell r="B267" t="str">
            <v>Túi trà logo Tân Cương và Đặc Sản HTP 100gr loại 9</v>
          </cell>
          <cell r="C267">
            <v>3.5500000000000003</v>
          </cell>
          <cell r="D267" t="str">
            <v>PET 12x740</v>
          </cell>
          <cell r="E267">
            <v>2</v>
          </cell>
          <cell r="F267">
            <v>2</v>
          </cell>
          <cell r="G267" t="str">
            <v>PET</v>
          </cell>
          <cell r="J267">
            <v>0.3</v>
          </cell>
          <cell r="L267">
            <v>0.3</v>
          </cell>
          <cell r="M267">
            <v>0.35</v>
          </cell>
          <cell r="N267">
            <v>2.5</v>
          </cell>
          <cell r="P267">
            <v>0.1</v>
          </cell>
          <cell r="AE267" t="str">
            <v>MPET 12x740</v>
          </cell>
          <cell r="AF267" t="str">
            <v>PE 75x740</v>
          </cell>
          <cell r="AG267">
            <v>7.6201500000000005E-2</v>
          </cell>
          <cell r="AH267">
            <v>1.1193333333333333</v>
          </cell>
          <cell r="AI267">
            <v>1.46</v>
          </cell>
          <cell r="AJ267">
            <v>9530</v>
          </cell>
          <cell r="AK267" t="str">
            <v>0,0053(0,0023;0,003)</v>
          </cell>
          <cell r="AM267" t="str">
            <v>túi hàn lưng xếp hông</v>
          </cell>
          <cell r="AN267">
            <v>270</v>
          </cell>
          <cell r="AO267" t="str">
            <v>Bùi Văn Sỹ</v>
          </cell>
          <cell r="AQ267" t="str">
            <v>1803222-1</v>
          </cell>
          <cell r="AR267" t="str">
            <v>1803222-2</v>
          </cell>
          <cell r="BA267" t="str">
            <v>540x850</v>
          </cell>
          <cell r="BB267" t="str">
            <v>F2</v>
          </cell>
        </row>
        <row r="268">
          <cell r="A268" t="str">
            <v>sp 886</v>
          </cell>
          <cell r="B268" t="str">
            <v>Túi trà logo Tân Cương và Đặc Sản HTP 200gr loại 9</v>
          </cell>
          <cell r="C268">
            <v>3.4499999999999997</v>
          </cell>
          <cell r="D268" t="str">
            <v>PET 12x620</v>
          </cell>
          <cell r="E268">
            <v>2</v>
          </cell>
          <cell r="F268">
            <v>2</v>
          </cell>
          <cell r="G268" t="str">
            <v>PET</v>
          </cell>
          <cell r="J268">
            <v>0.4</v>
          </cell>
          <cell r="L268">
            <v>0.3</v>
          </cell>
          <cell r="M268">
            <v>0.35</v>
          </cell>
          <cell r="N268">
            <v>2.2999999999999998</v>
          </cell>
          <cell r="P268">
            <v>0.1</v>
          </cell>
          <cell r="AE268" t="str">
            <v>MPET 12x620</v>
          </cell>
          <cell r="AF268" t="str">
            <v>PE 75x620</v>
          </cell>
          <cell r="AG268">
            <v>6.3844500000000012E-2</v>
          </cell>
          <cell r="AH268">
            <v>0.93533333333333324</v>
          </cell>
          <cell r="AI268">
            <v>1.22</v>
          </cell>
          <cell r="AJ268">
            <v>9530</v>
          </cell>
          <cell r="AK268" t="str">
            <v>0,0053(0,0023;0,003)</v>
          </cell>
          <cell r="AM268" t="str">
            <v>túi hàn lưng xếp hông</v>
          </cell>
          <cell r="AN268">
            <v>340</v>
          </cell>
          <cell r="AO268" t="str">
            <v>Bùi Văn Sỹ</v>
          </cell>
          <cell r="AQ268" t="str">
            <v>1803223-1</v>
          </cell>
          <cell r="AR268" t="str">
            <v>1803223-2</v>
          </cell>
          <cell r="BA268" t="str">
            <v>420x850</v>
          </cell>
          <cell r="BB268" t="str">
            <v>F3</v>
          </cell>
        </row>
        <row r="269">
          <cell r="A269" t="str">
            <v>sp 887</v>
          </cell>
          <cell r="B269" t="str">
            <v>Túi trà logo Tân Cương 500gr loại 9</v>
          </cell>
          <cell r="C269">
            <v>0</v>
          </cell>
          <cell r="D269" t="str">
            <v>PET 12x760</v>
          </cell>
          <cell r="E269">
            <v>2</v>
          </cell>
          <cell r="F269">
            <v>2</v>
          </cell>
          <cell r="G269" t="str">
            <v>PET</v>
          </cell>
          <cell r="AE269" t="str">
            <v>MPET 12x760</v>
          </cell>
          <cell r="AF269" t="str">
            <v>PE 75x760</v>
          </cell>
          <cell r="AG269">
            <v>7.8261000000000011E-2</v>
          </cell>
          <cell r="AH269">
            <v>1.1499999999999999</v>
          </cell>
          <cell r="AI269">
            <v>1.5</v>
          </cell>
          <cell r="AJ269">
            <v>9530</v>
          </cell>
          <cell r="AK269" t="str">
            <v>0,0053(0,0023;0,003)</v>
          </cell>
          <cell r="AM269" t="str">
            <v>túi hàn lưng xếp hông</v>
          </cell>
          <cell r="AN269">
            <v>420</v>
          </cell>
          <cell r="AO269" t="str">
            <v>Bùi Văn Sỹ</v>
          </cell>
          <cell r="AQ269" t="str">
            <v>1803220-1</v>
          </cell>
          <cell r="AR269" t="str">
            <v>1803220-2</v>
          </cell>
          <cell r="BA269" t="str">
            <v>420x850</v>
          </cell>
          <cell r="BB269" t="str">
            <v>F3</v>
          </cell>
        </row>
        <row r="270">
          <cell r="A270" t="str">
            <v>sp 888</v>
          </cell>
          <cell r="B270" t="str">
            <v>Túi trà logo Đặc Sản 500gr loại 9</v>
          </cell>
          <cell r="E270">
            <v>2</v>
          </cell>
          <cell r="F270">
            <v>2</v>
          </cell>
          <cell r="AO270" t="str">
            <v>Bùi Văn Sỹ</v>
          </cell>
          <cell r="AQ270" t="str">
            <v>18030221-1</v>
          </cell>
          <cell r="AR270" t="str">
            <v>18030221-2</v>
          </cell>
          <cell r="BA270" t="str">
            <v>420x850</v>
          </cell>
          <cell r="BB270" t="str">
            <v>F3</v>
          </cell>
        </row>
        <row r="271">
          <cell r="A271" t="str">
            <v>sp 889</v>
          </cell>
          <cell r="B271" t="str">
            <v>Cuộn thuốc trừ cỏ lúa Arorax 17 WP loại 15gr</v>
          </cell>
          <cell r="C271">
            <v>4.75</v>
          </cell>
          <cell r="D271" t="str">
            <v>PET 12x800</v>
          </cell>
          <cell r="E271">
            <v>2</v>
          </cell>
          <cell r="F271">
            <v>6</v>
          </cell>
          <cell r="G271" t="str">
            <v>PET</v>
          </cell>
          <cell r="H271">
            <v>0.15</v>
          </cell>
          <cell r="I271">
            <v>2.6</v>
          </cell>
          <cell r="J271">
            <v>0.2</v>
          </cell>
          <cell r="K271">
            <v>0.2</v>
          </cell>
          <cell r="L271">
            <v>0.9</v>
          </cell>
          <cell r="M271">
            <v>0.6</v>
          </cell>
          <cell r="R271">
            <v>0.1</v>
          </cell>
          <cell r="AE271" t="str">
            <v>Al 6x800</v>
          </cell>
          <cell r="AF271" t="str">
            <v>PE 75x810</v>
          </cell>
          <cell r="AG271">
            <v>8.1948000000000007E-2</v>
          </cell>
          <cell r="AH271">
            <v>1.2113333333333334</v>
          </cell>
          <cell r="AI271">
            <v>1.2113333333333334</v>
          </cell>
          <cell r="AJ271">
            <v>9530</v>
          </cell>
          <cell r="AK271" t="str">
            <v>0,0046(0,0023;0,0023)</v>
          </cell>
          <cell r="AM271" t="str">
            <v>dạng cuộn 700m</v>
          </cell>
          <cell r="AN271">
            <v>260</v>
          </cell>
          <cell r="AO271" t="str">
            <v>Công ty Việt Thắng</v>
          </cell>
          <cell r="AQ271" t="str">
            <v>20110907-1</v>
          </cell>
          <cell r="AR271" t="str">
            <v>19070739-2</v>
          </cell>
          <cell r="AS271" t="str">
            <v>1803525-3</v>
          </cell>
          <cell r="AT271" t="str">
            <v>1803526-4</v>
          </cell>
          <cell r="AU271" t="str">
            <v>1803525-5</v>
          </cell>
          <cell r="AV271" t="str">
            <v>1803525-6</v>
          </cell>
          <cell r="BA271" t="str">
            <v>450x870</v>
          </cell>
          <cell r="BB271" t="str">
            <v>D3</v>
          </cell>
          <cell r="BC271" t="str">
            <v>in chung cây Tím,xd,vàng,trắng (2,3,5,6)với sp 882</v>
          </cell>
          <cell r="BD271" t="str">
            <v>in chung sp 882 trừ Đen,ĐS</v>
          </cell>
        </row>
        <row r="272">
          <cell r="A272" t="str">
            <v>sp 891</v>
          </cell>
          <cell r="B272" t="str">
            <v xml:space="preserve">Túi thuốc trừ bệnh Đồng cloruloxi 30 WP loại 100gr </v>
          </cell>
          <cell r="C272">
            <v>5.75</v>
          </cell>
          <cell r="E272">
            <v>6</v>
          </cell>
          <cell r="F272">
            <v>6</v>
          </cell>
          <cell r="G272" t="str">
            <v>OPP</v>
          </cell>
          <cell r="H272">
            <v>0.2</v>
          </cell>
          <cell r="I272">
            <v>1.8</v>
          </cell>
          <cell r="J272">
            <v>0.1</v>
          </cell>
          <cell r="K272">
            <v>0.1</v>
          </cell>
          <cell r="L272">
            <v>1.3</v>
          </cell>
          <cell r="M272">
            <v>2</v>
          </cell>
          <cell r="R272">
            <v>0.25</v>
          </cell>
          <cell r="AE272" t="str">
            <v>PE 60x760</v>
          </cell>
          <cell r="AG272">
            <v>5.6011999999999999E-2</v>
          </cell>
          <cell r="AH272">
            <v>1.1499999999999999</v>
          </cell>
          <cell r="AJ272">
            <v>9530</v>
          </cell>
          <cell r="AK272">
            <v>2.3E-3</v>
          </cell>
          <cell r="AM272" t="str">
            <v>túi ba biên</v>
          </cell>
          <cell r="AN272">
            <v>130</v>
          </cell>
          <cell r="AO272" t="str">
            <v>Công ty Việt Thắng</v>
          </cell>
          <cell r="AQ272" t="str">
            <v>X102601G1-1</v>
          </cell>
          <cell r="AR272" t="str">
            <v>X102601G1-2</v>
          </cell>
          <cell r="AS272" t="str">
            <v>X102601G1-3</v>
          </cell>
          <cell r="AT272" t="str">
            <v>X102601G1-4</v>
          </cell>
          <cell r="AU272" t="str">
            <v>X102601-5</v>
          </cell>
          <cell r="AV272" t="str">
            <v>X102601-6</v>
          </cell>
          <cell r="BA272" t="str">
            <v>520x870</v>
          </cell>
          <cell r="BB272" t="str">
            <v>D3</v>
          </cell>
        </row>
        <row r="273">
          <cell r="A273" t="str">
            <v>sp 892</v>
          </cell>
          <cell r="B273" t="str">
            <v>Cuộn thuốc đặc trị rầy Ba đăng 300WP loại 10gr</v>
          </cell>
          <cell r="C273">
            <v>4.75</v>
          </cell>
          <cell r="D273" t="str">
            <v>PET 12x800</v>
          </cell>
          <cell r="E273">
            <v>5</v>
          </cell>
          <cell r="F273">
            <v>5</v>
          </cell>
          <cell r="G273" t="str">
            <v>PET</v>
          </cell>
          <cell r="H273">
            <v>0.15</v>
          </cell>
          <cell r="I273">
            <v>2.6</v>
          </cell>
          <cell r="J273">
            <v>0.2</v>
          </cell>
          <cell r="K273">
            <v>0.2</v>
          </cell>
          <cell r="L273">
            <v>0.9</v>
          </cell>
          <cell r="M273">
            <v>0.6</v>
          </cell>
          <cell r="R273">
            <v>0.1</v>
          </cell>
          <cell r="AE273" t="str">
            <v>Al 6x800</v>
          </cell>
          <cell r="AF273" t="str">
            <v>PE 75x810</v>
          </cell>
          <cell r="AG273">
            <v>8.1948000000000007E-2</v>
          </cell>
          <cell r="AH273">
            <v>1.2113333333333334</v>
          </cell>
          <cell r="AI273">
            <v>1.2113333333333334</v>
          </cell>
          <cell r="AJ273">
            <v>9530</v>
          </cell>
          <cell r="AK273" t="str">
            <v>0,0046(0,0023;0,0023)</v>
          </cell>
          <cell r="AM273" t="str">
            <v>dạng cuộn 700m</v>
          </cell>
          <cell r="AN273">
            <v>260</v>
          </cell>
          <cell r="AO273" t="str">
            <v>Công ty Việt Thắng</v>
          </cell>
          <cell r="AQ273" t="str">
            <v>19060488-1</v>
          </cell>
          <cell r="AR273" t="str">
            <v>1803527-2</v>
          </cell>
          <cell r="AS273" t="str">
            <v>1803527-3</v>
          </cell>
          <cell r="AT273" t="str">
            <v>1803527-4</v>
          </cell>
          <cell r="AU273" t="str">
            <v>1803527-5</v>
          </cell>
          <cell r="BA273" t="str">
            <v>450x870</v>
          </cell>
          <cell r="BB273" t="str">
            <v>D4</v>
          </cell>
        </row>
        <row r="275">
          <cell r="A275" t="str">
            <v>sp 898</v>
          </cell>
          <cell r="B275" t="str">
            <v>Túi thuốc trừ sâu Wamtox 100EC 10ml x 10 gói</v>
          </cell>
          <cell r="C275">
            <v>8.0500000000000007</v>
          </cell>
          <cell r="D275" t="str">
            <v>OPP 20x800</v>
          </cell>
          <cell r="E275">
            <v>5</v>
          </cell>
          <cell r="F275">
            <v>5</v>
          </cell>
          <cell r="G275" t="str">
            <v>OPP</v>
          </cell>
          <cell r="H275">
            <v>0.2</v>
          </cell>
          <cell r="I275">
            <v>3.5</v>
          </cell>
          <cell r="J275">
            <v>0.25</v>
          </cell>
          <cell r="K275">
            <v>0.1</v>
          </cell>
          <cell r="L275">
            <v>2.5</v>
          </cell>
          <cell r="M275">
            <v>1.5</v>
          </cell>
          <cell r="AE275" t="str">
            <v>PE 60x800</v>
          </cell>
          <cell r="AG275">
            <v>5.8960000000000005E-2</v>
          </cell>
          <cell r="AH275">
            <v>1.2113333333333334</v>
          </cell>
          <cell r="AJ275">
            <v>9530</v>
          </cell>
          <cell r="AK275">
            <v>2.3E-3</v>
          </cell>
          <cell r="AM275" t="str">
            <v>túi hàn lưng xếp hông</v>
          </cell>
          <cell r="AN275">
            <v>170</v>
          </cell>
          <cell r="AO275" t="str">
            <v>Công ty Việt Thắng</v>
          </cell>
          <cell r="AQ275" t="str">
            <v>X102699-1</v>
          </cell>
          <cell r="AR275" t="str">
            <v>X102699-2</v>
          </cell>
          <cell r="AS275" t="str">
            <v>X102699-3</v>
          </cell>
          <cell r="AT275" t="str">
            <v>X102699-4</v>
          </cell>
          <cell r="AU275" t="str">
            <v>X102699-5</v>
          </cell>
          <cell r="BA275" t="str">
            <v>510x870</v>
          </cell>
          <cell r="BB275" t="str">
            <v>D4</v>
          </cell>
        </row>
        <row r="276">
          <cell r="A276" t="str">
            <v>sp 900</v>
          </cell>
          <cell r="B276" t="str">
            <v>Túi thuốc trừ sâu Shaling shuang 950WP hiệu xong 950 loại 100gr</v>
          </cell>
          <cell r="C276">
            <v>5.75</v>
          </cell>
          <cell r="D276" t="str">
            <v>PET 12x620</v>
          </cell>
          <cell r="E276">
            <v>6</v>
          </cell>
          <cell r="F276">
            <v>6</v>
          </cell>
          <cell r="G276" t="str">
            <v>PET</v>
          </cell>
          <cell r="H276">
            <v>0.1</v>
          </cell>
          <cell r="I276">
            <v>3.8</v>
          </cell>
          <cell r="J276">
            <v>0.25</v>
          </cell>
          <cell r="K276">
            <v>0.1</v>
          </cell>
          <cell r="L276">
            <v>1.4</v>
          </cell>
          <cell r="P276">
            <v>0.1</v>
          </cell>
          <cell r="AE276" t="str">
            <v>MPET 12x620</v>
          </cell>
          <cell r="AF276" t="str">
            <v>PE 75x620</v>
          </cell>
          <cell r="AG276">
            <v>6.3844500000000012E-2</v>
          </cell>
          <cell r="AH276">
            <v>0.93533333333333324</v>
          </cell>
          <cell r="AI276">
            <v>0.93533333333333324</v>
          </cell>
          <cell r="AJ276">
            <v>9530</v>
          </cell>
          <cell r="AK276" t="str">
            <v>0,0046(0,0023;0,0023)</v>
          </cell>
          <cell r="AM276" t="str">
            <v xml:space="preserve">túi ba biên </v>
          </cell>
          <cell r="AN276">
            <v>220</v>
          </cell>
          <cell r="AO276" t="str">
            <v>Công ty Quốc tế Hòa Bình</v>
          </cell>
          <cell r="AQ276" t="str">
            <v>18031110-1</v>
          </cell>
          <cell r="AR276" t="str">
            <v>18031110-2</v>
          </cell>
          <cell r="AS276" t="str">
            <v>18031110-3</v>
          </cell>
          <cell r="AT276" t="str">
            <v>18031110-4</v>
          </cell>
          <cell r="AU276" t="str">
            <v>18031110-5</v>
          </cell>
          <cell r="AV276" t="str">
            <v>18031110-6</v>
          </cell>
          <cell r="BA276" t="str">
            <v>440x750</v>
          </cell>
          <cell r="BB276" t="str">
            <v>T1</v>
          </cell>
        </row>
        <row r="278">
          <cell r="A278" t="str">
            <v>sp 903</v>
          </cell>
          <cell r="B278" t="str">
            <v>Túi trả chữ đỏ lá vàng in 4 màu Tân cương 200gr loại 10</v>
          </cell>
          <cell r="C278">
            <v>6.45</v>
          </cell>
          <cell r="D278" t="str">
            <v>PET 12x620</v>
          </cell>
          <cell r="E278">
            <v>4</v>
          </cell>
          <cell r="F278">
            <v>4</v>
          </cell>
          <cell r="G278" t="str">
            <v>PET</v>
          </cell>
          <cell r="H278">
            <v>0.1</v>
          </cell>
          <cell r="I278">
            <v>1</v>
          </cell>
          <cell r="J278">
            <v>0.2</v>
          </cell>
          <cell r="K278">
            <v>0.1</v>
          </cell>
          <cell r="L278">
            <v>0.7</v>
          </cell>
          <cell r="N278">
            <v>3.8</v>
          </cell>
          <cell r="O278">
            <v>0.05</v>
          </cell>
          <cell r="P278">
            <v>0.5</v>
          </cell>
          <cell r="AE278" t="str">
            <v>MPET 12x620</v>
          </cell>
          <cell r="AF278" t="str">
            <v>PE 75x620</v>
          </cell>
          <cell r="AG278">
            <v>6.3844500000000012E-2</v>
          </cell>
          <cell r="AH278">
            <v>0.93533333333333324</v>
          </cell>
          <cell r="AI278">
            <v>1.22</v>
          </cell>
          <cell r="AJ278">
            <v>9530</v>
          </cell>
          <cell r="AK278" t="str">
            <v>0,0053(0,0023;0,003)</v>
          </cell>
          <cell r="AM278" t="str">
            <v>túi hàn lưng xếp hông</v>
          </cell>
          <cell r="AN278">
            <v>340</v>
          </cell>
          <cell r="AO278" t="str">
            <v>Bùi Văn Sỹ</v>
          </cell>
          <cell r="AQ278" t="str">
            <v>1804138-1</v>
          </cell>
          <cell r="AR278" t="str">
            <v>1804138-2</v>
          </cell>
          <cell r="AS278" t="str">
            <v>1804138-3</v>
          </cell>
          <cell r="AT278" t="str">
            <v>1804138-4</v>
          </cell>
          <cell r="BA278" t="str">
            <v>680x750</v>
          </cell>
          <cell r="BB278" t="str">
            <v>F3</v>
          </cell>
        </row>
        <row r="279">
          <cell r="A279" t="str">
            <v>sp 904</v>
          </cell>
          <cell r="B279" t="str">
            <v>Túi trà chữ đỏ lá vàng in 4 màu Tân Cương 500gr loại 10</v>
          </cell>
          <cell r="C279">
            <v>5.1000000000000005</v>
          </cell>
          <cell r="D279" t="str">
            <v>PET 12x760</v>
          </cell>
          <cell r="E279">
            <v>4</v>
          </cell>
          <cell r="F279">
            <v>4</v>
          </cell>
          <cell r="G279" t="str">
            <v>PET</v>
          </cell>
          <cell r="I279">
            <v>1.1000000000000001</v>
          </cell>
          <cell r="K279">
            <v>0.25</v>
          </cell>
          <cell r="N279">
            <v>3.6</v>
          </cell>
          <cell r="O279">
            <v>0.15</v>
          </cell>
          <cell r="AE279" t="str">
            <v>MPET 12x760</v>
          </cell>
          <cell r="AF279" t="str">
            <v>PE 75x760</v>
          </cell>
          <cell r="AG279">
            <v>7.8261000000000011E-2</v>
          </cell>
          <cell r="AH279">
            <v>1.1499999999999999</v>
          </cell>
          <cell r="AI279">
            <v>1.5</v>
          </cell>
          <cell r="AJ279">
            <v>9530</v>
          </cell>
          <cell r="AK279" t="str">
            <v>0,0053(0,0023;0,003)</v>
          </cell>
          <cell r="AM279" t="str">
            <v>túi hàn lưng xếp hông</v>
          </cell>
          <cell r="AN279">
            <v>420</v>
          </cell>
          <cell r="AO279" t="str">
            <v>Bùi Văn Sỹ</v>
          </cell>
          <cell r="AQ279" t="str">
            <v>1806232-1</v>
          </cell>
          <cell r="AR279" t="str">
            <v>1806232-2</v>
          </cell>
          <cell r="AS279" t="str">
            <v>1806232-3</v>
          </cell>
          <cell r="AT279" t="str">
            <v>1806232-4</v>
          </cell>
          <cell r="BA279" t="str">
            <v>420x870</v>
          </cell>
          <cell r="BB279" t="str">
            <v>F3</v>
          </cell>
        </row>
        <row r="280">
          <cell r="A280" t="str">
            <v>sp 905</v>
          </cell>
          <cell r="B280" t="str">
            <v>Túi trà chữ đỏ lá vàng in 4 màu Đặc Sản 500gr loại 10</v>
          </cell>
          <cell r="C280">
            <v>5.1000000000000005</v>
          </cell>
          <cell r="D280" t="str">
            <v>PET 12x760</v>
          </cell>
          <cell r="E280">
            <v>4</v>
          </cell>
          <cell r="F280">
            <v>4</v>
          </cell>
          <cell r="G280" t="str">
            <v>PET</v>
          </cell>
          <cell r="I280">
            <v>1.1000000000000001</v>
          </cell>
          <cell r="K280">
            <v>0.25</v>
          </cell>
          <cell r="N280">
            <v>3.6</v>
          </cell>
          <cell r="O280">
            <v>0.15</v>
          </cell>
          <cell r="AE280" t="str">
            <v>MPET 12x760</v>
          </cell>
          <cell r="AF280" t="str">
            <v>PE 75x760</v>
          </cell>
          <cell r="AG280">
            <v>7.8261000000000011E-2</v>
          </cell>
          <cell r="AH280">
            <v>1.1499999999999999</v>
          </cell>
          <cell r="AI280">
            <v>1.5</v>
          </cell>
          <cell r="AJ280">
            <v>9530</v>
          </cell>
          <cell r="AK280" t="str">
            <v>0,0053(0,0023;0,003)</v>
          </cell>
          <cell r="AM280" t="str">
            <v>túi hàn lưng xếp hông</v>
          </cell>
          <cell r="AN280">
            <v>420</v>
          </cell>
          <cell r="AO280" t="str">
            <v>Bùi Văn Sỹ</v>
          </cell>
          <cell r="AQ280" t="str">
            <v>1806233-1</v>
          </cell>
          <cell r="AR280" t="str">
            <v>1806233-2</v>
          </cell>
          <cell r="AS280" t="str">
            <v>1806233-3</v>
          </cell>
          <cell r="AT280" t="str">
            <v>1806233-4</v>
          </cell>
          <cell r="BA280" t="str">
            <v>420x870</v>
          </cell>
          <cell r="BB280" t="str">
            <v>F3</v>
          </cell>
        </row>
        <row r="282">
          <cell r="A282" t="str">
            <v>sp 907</v>
          </cell>
          <cell r="B282" t="str">
            <v>Túi thuốc trừ cỏ Wamrin 800WP chuyên trừ cỏ cho ngô loại 100gr</v>
          </cell>
          <cell r="C282">
            <v>4</v>
          </cell>
          <cell r="D282" t="str">
            <v>PET 12x700</v>
          </cell>
          <cell r="E282">
            <v>6</v>
          </cell>
          <cell r="F282">
            <v>6</v>
          </cell>
          <cell r="G282" t="str">
            <v>PET</v>
          </cell>
          <cell r="H282">
            <v>0.1</v>
          </cell>
          <cell r="I282">
            <v>3</v>
          </cell>
          <cell r="J282">
            <v>0.2</v>
          </cell>
          <cell r="K282">
            <v>0.2</v>
          </cell>
          <cell r="L282">
            <v>0.3</v>
          </cell>
          <cell r="M282">
            <v>0.1</v>
          </cell>
          <cell r="R282">
            <v>0.1</v>
          </cell>
          <cell r="AE282" t="str">
            <v>Al 6x700</v>
          </cell>
          <cell r="AF282" t="str">
            <v>PE 75x710</v>
          </cell>
          <cell r="AG282">
            <v>7.170449999999999E-2</v>
          </cell>
          <cell r="AH282">
            <v>1.0579999999999998</v>
          </cell>
          <cell r="AI282">
            <v>1.0579999999999998</v>
          </cell>
          <cell r="AJ282">
            <v>9530</v>
          </cell>
          <cell r="AK282" t="str">
            <v>0,0046(0,0023;0,0023)</v>
          </cell>
          <cell r="AM282" t="str">
            <v>túi ba biên</v>
          </cell>
          <cell r="AN282">
            <v>240</v>
          </cell>
          <cell r="AO282" t="str">
            <v>Công ty Việt Thắng</v>
          </cell>
          <cell r="AQ282" t="str">
            <v>F120295G1-1</v>
          </cell>
          <cell r="AR282" t="str">
            <v>F120295G2-2</v>
          </cell>
          <cell r="AS282" t="str">
            <v>F120295-3</v>
          </cell>
          <cell r="AT282" t="str">
            <v>F120295-4</v>
          </cell>
          <cell r="AU282" t="str">
            <v>F120295-5</v>
          </cell>
          <cell r="AV282" t="str">
            <v>F120295-6</v>
          </cell>
          <cell r="BA282" t="str">
            <v>750x480</v>
          </cell>
          <cell r="BB282" t="str">
            <v>D4</v>
          </cell>
          <cell r="BC282" t="str">
            <v>in chung sp 910 trừ cây ĐC số 1</v>
          </cell>
        </row>
        <row r="283">
          <cell r="A283" t="str">
            <v>sp 915</v>
          </cell>
          <cell r="B283" t="str">
            <v>Túi thuốc trừ sâu Goldsai hiệu Metalaxyl 350WP loại 400gr USA</v>
          </cell>
          <cell r="C283">
            <v>0</v>
          </cell>
          <cell r="D283" t="str">
            <v>PET 12x660</v>
          </cell>
          <cell r="E283">
            <v>7</v>
          </cell>
          <cell r="F283">
            <v>7</v>
          </cell>
          <cell r="G283" t="str">
            <v>PET</v>
          </cell>
          <cell r="AE283" t="str">
            <v>MPET 12x660</v>
          </cell>
          <cell r="AF283" t="str">
            <v>PE 75x660</v>
          </cell>
          <cell r="AG283">
            <v>6.796350000000001E-2</v>
          </cell>
          <cell r="AH283">
            <v>0.99666666666666659</v>
          </cell>
          <cell r="AI283">
            <v>1.3</v>
          </cell>
          <cell r="AJ283">
            <v>9530</v>
          </cell>
          <cell r="AK283" t="str">
            <v>0,0053(0,0023;0,003)</v>
          </cell>
          <cell r="AM283" t="str">
            <v>túi ba biên</v>
          </cell>
          <cell r="AN283">
            <v>220</v>
          </cell>
          <cell r="AO283" t="str">
            <v>USA</v>
          </cell>
          <cell r="AQ283" t="str">
            <v>1804920-1</v>
          </cell>
          <cell r="AR283" t="str">
            <v>1804920-2</v>
          </cell>
          <cell r="AS283" t="str">
            <v>1804920-3</v>
          </cell>
          <cell r="AT283" t="str">
            <v>1804920-4</v>
          </cell>
          <cell r="AU283" t="str">
            <v>1804920-5</v>
          </cell>
          <cell r="AV283" t="str">
            <v>1804920-6</v>
          </cell>
          <cell r="AW283" t="str">
            <v>1804920-7</v>
          </cell>
          <cell r="BA283" t="str">
            <v>440x750</v>
          </cell>
          <cell r="BB283" t="str">
            <v>P2</v>
          </cell>
        </row>
        <row r="284">
          <cell r="A284" t="str">
            <v>sp 918</v>
          </cell>
          <cell r="B284" t="str">
            <v>Cuộn thuốc trị rầy Mã Lục 250WP siêu sạch rầy 12gr</v>
          </cell>
          <cell r="C284">
            <v>6.1999999999999993</v>
          </cell>
          <cell r="D284" t="str">
            <v>PET 12x600</v>
          </cell>
          <cell r="E284">
            <v>7</v>
          </cell>
          <cell r="F284">
            <v>7</v>
          </cell>
          <cell r="G284" t="str">
            <v>PET</v>
          </cell>
          <cell r="H284">
            <v>0.1</v>
          </cell>
          <cell r="I284">
            <v>3</v>
          </cell>
          <cell r="J284">
            <v>0.3</v>
          </cell>
          <cell r="K284">
            <v>0.1</v>
          </cell>
          <cell r="L284">
            <v>2.6</v>
          </cell>
          <cell r="R284">
            <v>0.1</v>
          </cell>
          <cell r="AE284" t="str">
            <v>Al 6x600</v>
          </cell>
          <cell r="AF284" t="str">
            <v>PEHD 75x610</v>
          </cell>
          <cell r="AG284">
            <v>6.1460999999999995E-2</v>
          </cell>
          <cell r="AH284">
            <v>0.90466666666666651</v>
          </cell>
          <cell r="AI284">
            <v>1.18</v>
          </cell>
          <cell r="AJ284">
            <v>9530</v>
          </cell>
          <cell r="AK284" t="str">
            <v>0,0053(0,0023;0,003)</v>
          </cell>
          <cell r="AM284" t="str">
            <v>dạng cuộn 700m</v>
          </cell>
          <cell r="AN284">
            <v>290</v>
          </cell>
          <cell r="AO284" t="str">
            <v>Công ty Việt Thắng</v>
          </cell>
          <cell r="AQ284" t="str">
            <v>20111111-1</v>
          </cell>
          <cell r="AR284" t="str">
            <v>18041053-2</v>
          </cell>
          <cell r="AS284" t="str">
            <v>18041053-3</v>
          </cell>
          <cell r="AT284" t="str">
            <v>18041053-4</v>
          </cell>
          <cell r="AU284" t="str">
            <v>20111111-5</v>
          </cell>
          <cell r="AV284" t="str">
            <v>18041053-6</v>
          </cell>
          <cell r="AW284" t="str">
            <v>18041053-7</v>
          </cell>
          <cell r="BA284" t="str">
            <v>450x750</v>
          </cell>
          <cell r="BB284" t="str">
            <v>D4</v>
          </cell>
        </row>
        <row r="285">
          <cell r="A285" t="str">
            <v>sp 919</v>
          </cell>
          <cell r="B285" t="str">
            <v>Túi PA in 1 màu hình con gà KT 265x410</v>
          </cell>
          <cell r="C285">
            <v>0</v>
          </cell>
          <cell r="D285" t="str">
            <v>PA 15x550</v>
          </cell>
          <cell r="E285">
            <v>1</v>
          </cell>
          <cell r="F285">
            <v>1</v>
          </cell>
          <cell r="G285" t="str">
            <v>PET</v>
          </cell>
          <cell r="AE285" t="str">
            <v>PE 65x550</v>
          </cell>
          <cell r="AG285">
            <v>4.2556250000000004E-2</v>
          </cell>
          <cell r="AH285">
            <v>0.82799999999999996</v>
          </cell>
          <cell r="AJ285">
            <v>9530</v>
          </cell>
          <cell r="AK285">
            <v>2.3E-3</v>
          </cell>
          <cell r="AM285" t="str">
            <v xml:space="preserve">túi ba biên </v>
          </cell>
          <cell r="AN285">
            <v>410</v>
          </cell>
          <cell r="AO285" t="str">
            <v>Công ty Bích Ngọc</v>
          </cell>
          <cell r="AQ285" t="str">
            <v>1805271-1</v>
          </cell>
          <cell r="BA285" t="str">
            <v>410x750</v>
          </cell>
          <cell r="BB285" t="str">
            <v>P2</v>
          </cell>
        </row>
        <row r="286">
          <cell r="A286" t="str">
            <v>sp 920</v>
          </cell>
          <cell r="B286" t="str">
            <v>Túi thuốc trừ sâu siêu rầy rệp hiệu Chest USA loại 18gr Hòa Bình</v>
          </cell>
          <cell r="C286">
            <v>5.9399999999999986</v>
          </cell>
          <cell r="D286" t="str">
            <v>PET 12x620</v>
          </cell>
          <cell r="E286">
            <v>6</v>
          </cell>
          <cell r="F286">
            <v>6</v>
          </cell>
          <cell r="G286" t="str">
            <v>PET</v>
          </cell>
          <cell r="H286">
            <v>0.48</v>
          </cell>
          <cell r="I286">
            <v>3.5</v>
          </cell>
          <cell r="J286">
            <v>0.35</v>
          </cell>
          <cell r="K286">
            <v>0.13</v>
          </cell>
          <cell r="L286">
            <v>0.6</v>
          </cell>
          <cell r="M286">
            <v>0.35</v>
          </cell>
          <cell r="P286">
            <v>0.1</v>
          </cell>
          <cell r="Q286">
            <v>0.43</v>
          </cell>
          <cell r="AE286" t="str">
            <v>MPET 12x620</v>
          </cell>
          <cell r="AF286" t="str">
            <v>PE 75x620</v>
          </cell>
          <cell r="AG286">
            <v>6.3844500000000012E-2</v>
          </cell>
          <cell r="AH286">
            <v>0.93533333333333324</v>
          </cell>
          <cell r="AI286">
            <v>0.93533333333333324</v>
          </cell>
          <cell r="AJ286">
            <v>9530</v>
          </cell>
          <cell r="AK286" t="str">
            <v>0,0046(0,0023;0,0023)</v>
          </cell>
          <cell r="AM286" t="str">
            <v xml:space="preserve">túi ba biên </v>
          </cell>
          <cell r="AN286">
            <v>110</v>
          </cell>
          <cell r="AO286" t="str">
            <v>Công ty Quốc tế Hòa Bình</v>
          </cell>
          <cell r="AQ286" t="str">
            <v>1805441-1</v>
          </cell>
          <cell r="AR286" t="str">
            <v>1805441-2</v>
          </cell>
          <cell r="AS286" t="str">
            <v>1805441-3</v>
          </cell>
          <cell r="AT286" t="str">
            <v>1805441-4</v>
          </cell>
          <cell r="AU286" t="str">
            <v>1805441-5</v>
          </cell>
          <cell r="AV286" t="str">
            <v>1805441-6</v>
          </cell>
          <cell r="BA286" t="str">
            <v>440x750</v>
          </cell>
          <cell r="BB286" t="str">
            <v>T1</v>
          </cell>
        </row>
        <row r="287">
          <cell r="A287" t="str">
            <v>sp 921</v>
          </cell>
          <cell r="B287" t="str">
            <v>Túi thuốc trừ sâu Apazin 450WP hiệu hết rầy loại 15gr American</v>
          </cell>
          <cell r="C287">
            <v>4.5999999999999996</v>
          </cell>
          <cell r="D287" t="str">
            <v>PET 12x740</v>
          </cell>
          <cell r="E287">
            <v>7</v>
          </cell>
          <cell r="F287">
            <v>7</v>
          </cell>
          <cell r="G287" t="str">
            <v>PET</v>
          </cell>
          <cell r="H287">
            <v>0.1</v>
          </cell>
          <cell r="I287">
            <v>2.4</v>
          </cell>
          <cell r="J287">
            <v>0.1</v>
          </cell>
          <cell r="K287">
            <v>0.6</v>
          </cell>
          <cell r="L287">
            <v>1</v>
          </cell>
          <cell r="M287">
            <v>0.3</v>
          </cell>
          <cell r="R287">
            <v>0.1</v>
          </cell>
          <cell r="AE287" t="str">
            <v>MPET 12x740</v>
          </cell>
          <cell r="AF287" t="str">
            <v>PE 75x740</v>
          </cell>
          <cell r="AG287">
            <v>7.6201500000000005E-2</v>
          </cell>
          <cell r="AH287">
            <v>1.1193333333333333</v>
          </cell>
          <cell r="AI287">
            <v>1.2166666666666668</v>
          </cell>
          <cell r="AJ287">
            <v>9530</v>
          </cell>
          <cell r="AK287" t="str">
            <v>0,0048(0,0023;0,0025)</v>
          </cell>
          <cell r="AM287" t="str">
            <v>túi ba biên</v>
          </cell>
          <cell r="AN287">
            <v>160</v>
          </cell>
          <cell r="AO287" t="str">
            <v>Công ty American</v>
          </cell>
          <cell r="AQ287" t="str">
            <v>1805789-1</v>
          </cell>
          <cell r="AR287" t="str">
            <v>1805789-2</v>
          </cell>
          <cell r="AS287" t="str">
            <v>1805789-3</v>
          </cell>
          <cell r="AT287" t="str">
            <v>1805789-4</v>
          </cell>
          <cell r="AU287" t="str">
            <v>1805789-5</v>
          </cell>
          <cell r="AV287" t="str">
            <v>1805789-6</v>
          </cell>
          <cell r="AW287" t="str">
            <v>1805789-7</v>
          </cell>
          <cell r="BA287" t="str">
            <v>480x870</v>
          </cell>
          <cell r="BB287" t="str">
            <v>P2</v>
          </cell>
        </row>
        <row r="289">
          <cell r="A289" t="str">
            <v>sp 924</v>
          </cell>
          <cell r="B289" t="str">
            <v>Cuộn màng PA in chữ Farina khổ 350</v>
          </cell>
          <cell r="C289">
            <v>0.8</v>
          </cell>
          <cell r="D289" t="str">
            <v>PA 15x720</v>
          </cell>
          <cell r="E289">
            <v>1</v>
          </cell>
          <cell r="F289">
            <v>1</v>
          </cell>
          <cell r="G289" t="str">
            <v>PET</v>
          </cell>
          <cell r="I289">
            <v>0.8</v>
          </cell>
          <cell r="AE289" t="str">
            <v>PE 75x720</v>
          </cell>
          <cell r="AG289">
            <v>6.2370000000000002E-2</v>
          </cell>
          <cell r="AH289">
            <v>1.0886666666666664</v>
          </cell>
          <cell r="AJ289">
            <v>9530</v>
          </cell>
          <cell r="AK289">
            <v>2.3E-3</v>
          </cell>
          <cell r="AM289" t="str">
            <v>dạng cuộn 900m</v>
          </cell>
          <cell r="AN289">
            <v>350</v>
          </cell>
          <cell r="AO289" t="str">
            <v>Công ty Farina</v>
          </cell>
          <cell r="AQ289" t="str">
            <v>18051397-1</v>
          </cell>
          <cell r="BA289" t="str">
            <v>445x870</v>
          </cell>
          <cell r="BB289" t="str">
            <v>P2</v>
          </cell>
        </row>
        <row r="290">
          <cell r="A290" t="str">
            <v>sp 935</v>
          </cell>
          <cell r="B290" t="str">
            <v>Túi lúa lai F1 MHC2 1 kg Mahyco</v>
          </cell>
          <cell r="E290">
            <v>7</v>
          </cell>
          <cell r="F290">
            <v>7</v>
          </cell>
          <cell r="AO290" t="str">
            <v>Công ty Mahyco</v>
          </cell>
          <cell r="AQ290" t="str">
            <v>18101258-1</v>
          </cell>
          <cell r="AR290" t="str">
            <v>18051213-2</v>
          </cell>
          <cell r="AS290" t="str">
            <v>18051213-3</v>
          </cell>
          <cell r="AT290" t="str">
            <v>18051213-4</v>
          </cell>
          <cell r="AU290" t="str">
            <v>18051213-5</v>
          </cell>
          <cell r="AV290" t="str">
            <v>18051213-6</v>
          </cell>
          <cell r="AW290" t="str">
            <v>18051213-7</v>
          </cell>
          <cell r="BA290" t="str">
            <v>620x1100</v>
          </cell>
          <cell r="BB290" t="str">
            <v>P2</v>
          </cell>
        </row>
        <row r="291">
          <cell r="A291" t="str">
            <v>sp 940</v>
          </cell>
          <cell r="B291" t="str">
            <v>Túi bánh trứng Tipo 115gr Hữu Nghị</v>
          </cell>
          <cell r="E291">
            <v>8</v>
          </cell>
          <cell r="F291">
            <v>8</v>
          </cell>
          <cell r="AO291" t="str">
            <v>Công ty Hữu Nghị</v>
          </cell>
          <cell r="AQ291" t="str">
            <v>X103086G1-1</v>
          </cell>
          <cell r="AR291" t="str">
            <v>X103086-2</v>
          </cell>
          <cell r="AS291" t="str">
            <v>X103086-3</v>
          </cell>
          <cell r="AT291" t="str">
            <v>X103086G1-4</v>
          </cell>
          <cell r="AU291" t="str">
            <v>X103086-5</v>
          </cell>
          <cell r="AV291" t="str">
            <v>X103086-6</v>
          </cell>
          <cell r="AW291" t="str">
            <v>X103086-7</v>
          </cell>
          <cell r="AX291" t="str">
            <v>X103086-8</v>
          </cell>
          <cell r="BA291" t="str">
            <v>520x1250</v>
          </cell>
          <cell r="BB291" t="str">
            <v>B1</v>
          </cell>
        </row>
        <row r="292">
          <cell r="A292" t="str">
            <v>sp 941</v>
          </cell>
          <cell r="B292" t="str">
            <v>Túi bánh trứng Tipo 220gr Hữu Nghị</v>
          </cell>
          <cell r="C292">
            <v>6.8999999999999995</v>
          </cell>
          <cell r="D292" t="str">
            <v>OPP 20x1120</v>
          </cell>
          <cell r="E292">
            <v>8</v>
          </cell>
          <cell r="F292">
            <v>8</v>
          </cell>
          <cell r="G292" t="str">
            <v>OPP</v>
          </cell>
          <cell r="H292">
            <v>0.1</v>
          </cell>
          <cell r="I292">
            <v>3.5</v>
          </cell>
          <cell r="J292">
            <v>0.1</v>
          </cell>
          <cell r="K292">
            <v>0.1</v>
          </cell>
          <cell r="L292">
            <v>0.8</v>
          </cell>
          <cell r="M292">
            <v>1</v>
          </cell>
          <cell r="O292">
            <v>0.1</v>
          </cell>
          <cell r="P292">
            <v>1</v>
          </cell>
          <cell r="Q292">
            <v>0.1</v>
          </cell>
          <cell r="R292">
            <v>0.1</v>
          </cell>
          <cell r="AE292" t="str">
            <v>PE HD 60x1120</v>
          </cell>
          <cell r="AG292">
            <v>7.4390400000000009E-2</v>
          </cell>
          <cell r="AH292">
            <v>1.702</v>
          </cell>
          <cell r="AJ292">
            <v>9530</v>
          </cell>
          <cell r="AK292">
            <v>2.3E-3</v>
          </cell>
          <cell r="AM292" t="str">
            <v>túi bốn biên</v>
          </cell>
          <cell r="AN292">
            <v>365</v>
          </cell>
          <cell r="AO292" t="str">
            <v>Công ty Hữu Nghị</v>
          </cell>
          <cell r="AQ292" t="str">
            <v>1807850-1</v>
          </cell>
          <cell r="AR292" t="str">
            <v>1807850-2</v>
          </cell>
          <cell r="AS292" t="str">
            <v>1807850-3</v>
          </cell>
          <cell r="AT292" t="str">
            <v>1808242-4</v>
          </cell>
          <cell r="AU292" t="str">
            <v>1807850-5</v>
          </cell>
          <cell r="AV292" t="str">
            <v>1807850-6</v>
          </cell>
          <cell r="AW292" t="str">
            <v>1808242-7</v>
          </cell>
          <cell r="AX292" t="str">
            <v>1807850-8</v>
          </cell>
          <cell r="BA292" t="str">
            <v>730x750</v>
          </cell>
          <cell r="BB292" t="str">
            <v>B1</v>
          </cell>
        </row>
        <row r="294">
          <cell r="A294" t="str">
            <v>sp 944</v>
          </cell>
          <cell r="B294" t="str">
            <v>Túi thuốc trừ sâu Jzomil 720WP đặc trị trên quả và lá loại 100gr USA</v>
          </cell>
          <cell r="C294">
            <v>4.32</v>
          </cell>
          <cell r="D294" t="str">
            <v>PET 12x640</v>
          </cell>
          <cell r="E294">
            <v>7</v>
          </cell>
          <cell r="F294">
            <v>7</v>
          </cell>
          <cell r="G294" t="str">
            <v>PET</v>
          </cell>
          <cell r="H294">
            <v>0.4</v>
          </cell>
          <cell r="I294">
            <v>1.8</v>
          </cell>
          <cell r="J294">
            <v>0.2</v>
          </cell>
          <cell r="K294">
            <v>0.02</v>
          </cell>
          <cell r="L294">
            <v>0.9</v>
          </cell>
          <cell r="M294">
            <v>0.5</v>
          </cell>
          <cell r="P294">
            <v>0.4</v>
          </cell>
          <cell r="R294">
            <v>0.1</v>
          </cell>
          <cell r="AE294" t="str">
            <v>MPET 12x640</v>
          </cell>
          <cell r="AF294" t="str">
            <v>PE75x640</v>
          </cell>
          <cell r="AG294">
            <v>6.5904000000000004E-2</v>
          </cell>
          <cell r="AH294">
            <v>0.96599999999999997</v>
          </cell>
          <cell r="AI294">
            <v>0.96599999999999997</v>
          </cell>
          <cell r="AJ294">
            <v>9530</v>
          </cell>
          <cell r="AK294" t="str">
            <v>0,0046(0,0023,0,0023)</v>
          </cell>
          <cell r="AM294" t="str">
            <v>túi ba biên</v>
          </cell>
          <cell r="AN294">
            <v>225</v>
          </cell>
          <cell r="AO294" t="str">
            <v xml:space="preserve"> USA</v>
          </cell>
          <cell r="AQ294" t="str">
            <v>1806007-1</v>
          </cell>
          <cell r="AR294" t="str">
            <v>1806007-2</v>
          </cell>
          <cell r="AS294" t="str">
            <v>1806007-3</v>
          </cell>
          <cell r="AT294" t="str">
            <v>1806007-4</v>
          </cell>
          <cell r="AU294" t="str">
            <v>1806007-5</v>
          </cell>
          <cell r="AV294" t="str">
            <v>1806007-6</v>
          </cell>
          <cell r="AW294" t="str">
            <v>1806007-7</v>
          </cell>
          <cell r="BA294" t="str">
            <v>450x750</v>
          </cell>
          <cell r="BB294" t="str">
            <v>P2</v>
          </cell>
        </row>
        <row r="295">
          <cell r="A295" t="str">
            <v>sp 947</v>
          </cell>
          <cell r="B295" t="str">
            <v>Túi muối sạch Formexim 200gr miền bắc</v>
          </cell>
          <cell r="C295">
            <v>0</v>
          </cell>
          <cell r="D295" t="str">
            <v>OPP 20x692</v>
          </cell>
          <cell r="E295">
            <v>7</v>
          </cell>
          <cell r="F295">
            <v>7</v>
          </cell>
          <cell r="G295" t="str">
            <v/>
          </cell>
          <cell r="AO295" t="str">
            <v xml:space="preserve">Công ty muối sạch miền Bắc </v>
          </cell>
          <cell r="AQ295" t="str">
            <v>1807050-1</v>
          </cell>
          <cell r="AR295" t="str">
            <v>1807050-2</v>
          </cell>
          <cell r="AS295" t="str">
            <v>1807050-3</v>
          </cell>
          <cell r="AT295" t="str">
            <v>1807050-4</v>
          </cell>
          <cell r="AU295" t="str">
            <v>1807050-5</v>
          </cell>
          <cell r="AV295" t="str">
            <v>1807050-6</v>
          </cell>
          <cell r="AW295" t="str">
            <v>1807050-7</v>
          </cell>
          <cell r="BA295" t="str">
            <v>483x750</v>
          </cell>
          <cell r="BB295" t="str">
            <v>P2</v>
          </cell>
        </row>
        <row r="296">
          <cell r="A296" t="str">
            <v>sp 948</v>
          </cell>
          <cell r="B296" t="str">
            <v>Túi muối sạch Formexim 450gr miền bắc</v>
          </cell>
          <cell r="D296" t="str">
            <v>OPP 20x640</v>
          </cell>
          <cell r="E296">
            <v>7</v>
          </cell>
          <cell r="F296">
            <v>7</v>
          </cell>
          <cell r="G296" t="str">
            <v/>
          </cell>
          <cell r="AO296" t="str">
            <v xml:space="preserve">Công ty muối sạch miền Bắc </v>
          </cell>
          <cell r="AQ296" t="str">
            <v>1807049-1</v>
          </cell>
          <cell r="AR296" t="str">
            <v>1807049-2</v>
          </cell>
          <cell r="AS296" t="str">
            <v>1807049-3</v>
          </cell>
          <cell r="AT296" t="str">
            <v>1807049-4</v>
          </cell>
          <cell r="AU296" t="str">
            <v>1807049-5</v>
          </cell>
          <cell r="AV296" t="str">
            <v>1807049-6</v>
          </cell>
          <cell r="AW296" t="str">
            <v>1807049-7</v>
          </cell>
          <cell r="BA296" t="str">
            <v>430x750</v>
          </cell>
          <cell r="BB296" t="str">
            <v>P2</v>
          </cell>
          <cell r="BC296" t="str">
            <v>in chung sp 927</v>
          </cell>
        </row>
        <row r="297">
          <cell r="A297" t="str">
            <v>sp 950</v>
          </cell>
          <cell r="B297" t="str">
            <v>Túi chè 1 màu 100gr Hùng An</v>
          </cell>
          <cell r="D297" t="str">
            <v>PET 12X740</v>
          </cell>
          <cell r="E297">
            <v>1</v>
          </cell>
          <cell r="F297">
            <v>1</v>
          </cell>
          <cell r="G297" t="str">
            <v/>
          </cell>
          <cell r="AO297" t="str">
            <v>Công ty Hùng An</v>
          </cell>
          <cell r="AQ297" t="str">
            <v>1807515-1</v>
          </cell>
          <cell r="BA297" t="str">
            <v>540x870</v>
          </cell>
          <cell r="BB297" t="str">
            <v>P2</v>
          </cell>
        </row>
        <row r="298">
          <cell r="A298" t="str">
            <v>sp 951</v>
          </cell>
          <cell r="B298" t="str">
            <v>Cuộn bánh xốp Kexo hương cốm 265gr Hữu Nghị</v>
          </cell>
          <cell r="D298" t="str">
            <v>opp 30x1000</v>
          </cell>
          <cell r="E298">
            <v>8</v>
          </cell>
          <cell r="F298">
            <v>8</v>
          </cell>
          <cell r="G298" t="str">
            <v/>
          </cell>
          <cell r="AO298" t="str">
            <v>Công ty Hữu Nghị</v>
          </cell>
          <cell r="AQ298" t="str">
            <v>F121026G1-1</v>
          </cell>
          <cell r="AR298" t="str">
            <v>F121026G1-2</v>
          </cell>
          <cell r="AS298" t="str">
            <v>F121026G1-3</v>
          </cell>
          <cell r="AT298" t="str">
            <v>F121026G1-4</v>
          </cell>
          <cell r="AU298" t="str">
            <v>F121026G1-5</v>
          </cell>
          <cell r="AV298" t="str">
            <v>F121026G1-6</v>
          </cell>
          <cell r="AW298" t="str">
            <v>F121026G1-7</v>
          </cell>
          <cell r="AX298" t="str">
            <v>F121026G2NG1-8</v>
          </cell>
          <cell r="BA298" t="str">
            <v>405x1100</v>
          </cell>
          <cell r="BB298" t="str">
            <v>B1</v>
          </cell>
        </row>
        <row r="299">
          <cell r="A299" t="str">
            <v>sp 959</v>
          </cell>
          <cell r="B299" t="str">
            <v>Cuộn bánh bao nhân thập cẩm 100gr khổ 310 Phú Mỹ</v>
          </cell>
          <cell r="E299">
            <v>7</v>
          </cell>
          <cell r="F299">
            <v>7</v>
          </cell>
          <cell r="G299" t="str">
            <v/>
          </cell>
          <cell r="AO299" t="str">
            <v>Công ty Phú Mỹ</v>
          </cell>
          <cell r="AQ299" t="str">
            <v>1808254-1</v>
          </cell>
          <cell r="AR299" t="str">
            <v>1808254-2</v>
          </cell>
          <cell r="AS299" t="str">
            <v>1808254-3</v>
          </cell>
          <cell r="AT299" t="str">
            <v>1808254-4</v>
          </cell>
          <cell r="AU299" t="str">
            <v>1808254-5</v>
          </cell>
          <cell r="AV299" t="str">
            <v>1808254-6</v>
          </cell>
          <cell r="AW299" t="str">
            <v>1808254-7</v>
          </cell>
          <cell r="BA299" t="str">
            <v>525x750</v>
          </cell>
          <cell r="BB299" t="str">
            <v>V2</v>
          </cell>
        </row>
        <row r="300">
          <cell r="A300" t="str">
            <v>sp 960</v>
          </cell>
          <cell r="B300" t="str">
            <v>Cuộn Tipo bánh trứng nướng hộp giấy loại 48g.80g.250g</v>
          </cell>
          <cell r="C300" t="e">
            <v>#N/A</v>
          </cell>
          <cell r="E300">
            <v>8</v>
          </cell>
          <cell r="F300">
            <v>8</v>
          </cell>
          <cell r="G300" t="e">
            <v>#N/A</v>
          </cell>
          <cell r="H300" t="e">
            <v>#N/A</v>
          </cell>
          <cell r="I300" t="e">
            <v>#N/A</v>
          </cell>
          <cell r="J300" t="e">
            <v>#N/A</v>
          </cell>
          <cell r="K300" t="e">
            <v>#N/A</v>
          </cell>
          <cell r="L300" t="e">
            <v>#N/A</v>
          </cell>
          <cell r="M300" t="e">
            <v>#N/A</v>
          </cell>
          <cell r="N300" t="e">
            <v>#N/A</v>
          </cell>
          <cell r="O300" t="e">
            <v>#N/A</v>
          </cell>
          <cell r="P300" t="e">
            <v>#N/A</v>
          </cell>
          <cell r="Q300" t="e">
            <v>#N/A</v>
          </cell>
          <cell r="R300" t="e">
            <v>#N/A</v>
          </cell>
          <cell r="S300" t="e">
            <v>#N/A</v>
          </cell>
          <cell r="T300" t="e">
            <v>#N/A</v>
          </cell>
          <cell r="U300" t="e">
            <v>#N/A</v>
          </cell>
          <cell r="V300" t="e">
            <v>#N/A</v>
          </cell>
          <cell r="W300" t="e">
            <v>#N/A</v>
          </cell>
          <cell r="X300" t="e">
            <v>#N/A</v>
          </cell>
          <cell r="Y300" t="e">
            <v>#N/A</v>
          </cell>
          <cell r="Z300" t="e">
            <v>#N/A</v>
          </cell>
          <cell r="AA300" t="e">
            <v>#N/A</v>
          </cell>
          <cell r="AB300" t="e">
            <v>#N/A</v>
          </cell>
          <cell r="AC300" t="e">
            <v>#N/A</v>
          </cell>
          <cell r="AD300" t="e">
            <v>#N/A</v>
          </cell>
          <cell r="AE300" t="e">
            <v>#N/A</v>
          </cell>
          <cell r="AF300" t="e">
            <v>#N/A</v>
          </cell>
          <cell r="AG300" t="e">
            <v>#N/A</v>
          </cell>
          <cell r="AH300" t="e">
            <v>#N/A</v>
          </cell>
          <cell r="AI300" t="e">
            <v>#N/A</v>
          </cell>
          <cell r="AJ300" t="e">
            <v>#N/A</v>
          </cell>
          <cell r="AK300" t="e">
            <v>#N/A</v>
          </cell>
          <cell r="AL300" t="e">
            <v>#N/A</v>
          </cell>
          <cell r="AM300" t="e">
            <v>#N/A</v>
          </cell>
          <cell r="AN300" t="e">
            <v>#N/A</v>
          </cell>
          <cell r="AO300" t="str">
            <v>Công ty Hữu Nghị</v>
          </cell>
          <cell r="AQ300" t="str">
            <v>F121164-1</v>
          </cell>
          <cell r="AR300" t="str">
            <v>F121164G5-2</v>
          </cell>
          <cell r="AS300" t="str">
            <v>F121164-3</v>
          </cell>
          <cell r="AT300" t="str">
            <v>F121164-4</v>
          </cell>
          <cell r="AU300" t="str">
            <v>F121164G4</v>
          </cell>
          <cell r="AV300" t="str">
            <v>F121164-6</v>
          </cell>
          <cell r="AW300" t="str">
            <v>F121164G3-7</v>
          </cell>
          <cell r="AX300" t="str">
            <v>F121164G1-0</v>
          </cell>
          <cell r="BA300" t="str">
            <v>500x870</v>
          </cell>
          <cell r="BB300" t="str">
            <v>B1</v>
          </cell>
          <cell r="BD300" t="str">
            <v>làm thêm cây Xanh lá số 0</v>
          </cell>
        </row>
        <row r="301">
          <cell r="A301" t="str">
            <v>sp 961</v>
          </cell>
          <cell r="B301" t="str">
            <v>Túi nem hải sản loại đặc biệt 400gr Hạ Long</v>
          </cell>
          <cell r="E301">
            <v>6</v>
          </cell>
          <cell r="F301">
            <v>6</v>
          </cell>
          <cell r="G301" t="str">
            <v/>
          </cell>
          <cell r="AO301" t="str">
            <v xml:space="preserve">Công ty Hạ Long </v>
          </cell>
          <cell r="AQ301" t="str">
            <v>X605472-1</v>
          </cell>
          <cell r="AR301" t="str">
            <v>X605472-2</v>
          </cell>
          <cell r="AS301" t="str">
            <v>X605472-3</v>
          </cell>
          <cell r="AT301" t="str">
            <v>X605472-4</v>
          </cell>
          <cell r="AU301" t="str">
            <v>X605472-5</v>
          </cell>
          <cell r="AV301" t="str">
            <v>X605472-6</v>
          </cell>
          <cell r="BA301" t="str">
            <v>410x750</v>
          </cell>
          <cell r="BB301" t="str">
            <v>P2</v>
          </cell>
        </row>
        <row r="302">
          <cell r="A302" t="str">
            <v>sp 964</v>
          </cell>
          <cell r="B302" t="str">
            <v>Túi trà chữ đỏ  lá vàng 4 màu 
đặc sản 200gr loại 10</v>
          </cell>
          <cell r="D302" t="str">
            <v>Pet 12x640</v>
          </cell>
          <cell r="E302">
            <v>4</v>
          </cell>
          <cell r="F302">
            <v>4</v>
          </cell>
          <cell r="AO302" t="str">
            <v>Bùi Văn Sỹ</v>
          </cell>
          <cell r="AQ302" t="str">
            <v>1808890-1</v>
          </cell>
          <cell r="AR302" t="str">
            <v>1808890-2</v>
          </cell>
          <cell r="AS302" t="str">
            <v>1808890-3</v>
          </cell>
          <cell r="AT302" t="str">
            <v>1808890-4</v>
          </cell>
          <cell r="BA302" t="str">
            <v>680x750</v>
          </cell>
          <cell r="BB302" t="str">
            <v>F3</v>
          </cell>
        </row>
        <row r="303">
          <cell r="A303" t="str">
            <v>sp 965</v>
          </cell>
          <cell r="B303" t="str">
            <v>Túi thức ăn cho heo Pig one 2kg BMC</v>
          </cell>
          <cell r="D303" t="str">
            <v>OPP 20x540</v>
          </cell>
          <cell r="E303">
            <v>5</v>
          </cell>
          <cell r="F303">
            <v>5</v>
          </cell>
          <cell r="AO303" t="str">
            <v>CTY BMC</v>
          </cell>
          <cell r="AQ303" t="str">
            <v>1808891-1</v>
          </cell>
          <cell r="AR303" t="str">
            <v>1808891-2</v>
          </cell>
          <cell r="AS303" t="str">
            <v>1808891-3</v>
          </cell>
          <cell r="AT303" t="str">
            <v>1808891-4</v>
          </cell>
          <cell r="AU303" t="str">
            <v>1808891-5</v>
          </cell>
          <cell r="BA303" t="str">
            <v>420x750</v>
          </cell>
          <cell r="BB303" t="str">
            <v>P2</v>
          </cell>
        </row>
        <row r="304">
          <cell r="A304" t="str">
            <v>sp 966</v>
          </cell>
          <cell r="B304" t="str">
            <v>Túi chè vàng trơn HTP 100gr loại 13</v>
          </cell>
          <cell r="D304" t="str">
            <v>Pet 12x740</v>
          </cell>
          <cell r="E304">
            <v>1</v>
          </cell>
          <cell r="F304">
            <v>1</v>
          </cell>
          <cell r="AO304" t="str">
            <v>Bùi Văn Sỹ</v>
          </cell>
          <cell r="AQ304" t="str">
            <v>18081040-1</v>
          </cell>
          <cell r="BA304" t="str">
            <v>840x870</v>
          </cell>
          <cell r="BB304" t="str">
            <v>F3</v>
          </cell>
        </row>
        <row r="305">
          <cell r="A305" t="str">
            <v>sp 967</v>
          </cell>
          <cell r="B305" t="str">
            <v>Túi chè vàng trơn HTP 200gr loại 13</v>
          </cell>
          <cell r="D305" t="str">
            <v>Pet 12x620</v>
          </cell>
          <cell r="E305">
            <v>1</v>
          </cell>
          <cell r="F305">
            <v>1</v>
          </cell>
          <cell r="AO305" t="str">
            <v>Bùi Văn Sỹ</v>
          </cell>
          <cell r="AQ305" t="str">
            <v>18081041-1</v>
          </cell>
          <cell r="BA305" t="str">
            <v>680x750</v>
          </cell>
          <cell r="BB305" t="str">
            <v>F3</v>
          </cell>
        </row>
        <row r="306">
          <cell r="A306" t="str">
            <v>sp 968</v>
          </cell>
          <cell r="B306" t="str">
            <v>Túi chè vàng trơn HTP 500gr loại 13</v>
          </cell>
          <cell r="D306" t="str">
            <v>Pet 12x760</v>
          </cell>
          <cell r="E306">
            <v>1</v>
          </cell>
          <cell r="F306">
            <v>1</v>
          </cell>
          <cell r="AO306" t="str">
            <v>Bùi Văn Sỹ</v>
          </cell>
          <cell r="AQ306" t="str">
            <v>18081042-1</v>
          </cell>
          <cell r="BA306" t="str">
            <v>420x870</v>
          </cell>
          <cell r="BB306" t="str">
            <v>F3</v>
          </cell>
        </row>
        <row r="307">
          <cell r="A307" t="str">
            <v>sp 969</v>
          </cell>
          <cell r="B307" t="str">
            <v>Túi trà bản đồ Tân Cương 100gr loại 14</v>
          </cell>
          <cell r="D307" t="str">
            <v>Pet 12x740</v>
          </cell>
          <cell r="E307">
            <v>6</v>
          </cell>
          <cell r="F307">
            <v>6</v>
          </cell>
          <cell r="AO307" t="str">
            <v>Bùi Văn Sỹ</v>
          </cell>
          <cell r="AQ307" t="str">
            <v>1809154-1</v>
          </cell>
          <cell r="AR307" t="str">
            <v>1809154-2</v>
          </cell>
          <cell r="AS307" t="str">
            <v>1809154-3</v>
          </cell>
          <cell r="AT307" t="str">
            <v>1809154-4</v>
          </cell>
          <cell r="AU307" t="str">
            <v>1809154-5</v>
          </cell>
          <cell r="AV307" t="str">
            <v>1809154-6</v>
          </cell>
          <cell r="BA307" t="str">
            <v>540x850</v>
          </cell>
          <cell r="BB307" t="str">
            <v>F4</v>
          </cell>
        </row>
        <row r="308">
          <cell r="A308" t="str">
            <v>sp 970</v>
          </cell>
          <cell r="B308" t="str">
            <v>Túi trà bản đồ Tân Cương 200gr loại 14</v>
          </cell>
          <cell r="D308" t="str">
            <v>Pet 12x620</v>
          </cell>
          <cell r="E308">
            <v>6</v>
          </cell>
          <cell r="F308">
            <v>6</v>
          </cell>
          <cell r="AO308" t="str">
            <v>Bùi Văn Sỹ</v>
          </cell>
          <cell r="AQ308" t="str">
            <v>1809155-1</v>
          </cell>
          <cell r="AR308" t="str">
            <v>1809155-2</v>
          </cell>
          <cell r="AS308" t="str">
            <v>1809155-3</v>
          </cell>
          <cell r="AT308" t="str">
            <v>1809155-4</v>
          </cell>
          <cell r="AU308" t="str">
            <v>1809155-5</v>
          </cell>
          <cell r="AV308" t="str">
            <v>1809155-6</v>
          </cell>
          <cell r="BA308" t="str">
            <v>680x750</v>
          </cell>
          <cell r="BB308" t="str">
            <v>F4</v>
          </cell>
        </row>
        <row r="309">
          <cell r="A309" t="str">
            <v>sp 971</v>
          </cell>
          <cell r="B309" t="str">
            <v>Túi trà bả đồ Đặc Sản 200gr loại 14</v>
          </cell>
          <cell r="D309" t="str">
            <v>Pet 12x620</v>
          </cell>
          <cell r="E309">
            <v>6</v>
          </cell>
          <cell r="F309">
            <v>6</v>
          </cell>
          <cell r="AO309" t="str">
            <v>Bùi Văn Sỹ</v>
          </cell>
          <cell r="AQ309" t="str">
            <v>1809156-1</v>
          </cell>
          <cell r="AR309" t="str">
            <v>1809156-2</v>
          </cell>
          <cell r="AS309" t="str">
            <v>1809156-3</v>
          </cell>
          <cell r="AT309" t="str">
            <v>1809156-4</v>
          </cell>
          <cell r="AU309" t="str">
            <v>1809156-5</v>
          </cell>
          <cell r="AV309" t="str">
            <v>1809156-6</v>
          </cell>
          <cell r="BA309" t="str">
            <v>540x750</v>
          </cell>
          <cell r="BB309" t="str">
            <v>F4</v>
          </cell>
        </row>
        <row r="310">
          <cell r="A310" t="str">
            <v>sp 972</v>
          </cell>
          <cell r="B310" t="str">
            <v>Túi trà bản đồ Tân Cương 500gr loại 14</v>
          </cell>
          <cell r="D310" t="str">
            <v>Pet 12x760</v>
          </cell>
          <cell r="E310">
            <v>6</v>
          </cell>
          <cell r="F310">
            <v>6</v>
          </cell>
          <cell r="AO310" t="str">
            <v>Bùi Văn Sỹ</v>
          </cell>
          <cell r="AQ310" t="str">
            <v>1809157-1</v>
          </cell>
          <cell r="AR310" t="str">
            <v>1809157-2</v>
          </cell>
          <cell r="AS310" t="str">
            <v>1809157-3</v>
          </cell>
          <cell r="AT310" t="str">
            <v>1809157-4</v>
          </cell>
          <cell r="AU310" t="str">
            <v>1809157-5</v>
          </cell>
          <cell r="AV310" t="str">
            <v>1809157-6</v>
          </cell>
          <cell r="BA310" t="str">
            <v>420x850</v>
          </cell>
          <cell r="BB310" t="str">
            <v>F4</v>
          </cell>
        </row>
        <row r="311">
          <cell r="A311" t="str">
            <v>sp 973</v>
          </cell>
          <cell r="B311" t="str">
            <v>Túi trà bản đồ Đặc Sản 500gr loại 14</v>
          </cell>
          <cell r="D311" t="str">
            <v>Pet 12x760</v>
          </cell>
          <cell r="E311">
            <v>6</v>
          </cell>
          <cell r="F311">
            <v>6</v>
          </cell>
          <cell r="AO311" t="str">
            <v>Bùi Văn Sỹ</v>
          </cell>
          <cell r="AQ311" t="str">
            <v>1809158-1</v>
          </cell>
          <cell r="AR311" t="str">
            <v>1809158-2</v>
          </cell>
          <cell r="AS311" t="str">
            <v>1809158-3</v>
          </cell>
          <cell r="AT311" t="str">
            <v>1809158-4</v>
          </cell>
          <cell r="AU311" t="str">
            <v>1809158-5</v>
          </cell>
          <cell r="AV311" t="str">
            <v>1809158-6</v>
          </cell>
          <cell r="BA311" t="str">
            <v>480x850</v>
          </cell>
          <cell r="BB311" t="str">
            <v>F4</v>
          </cell>
        </row>
        <row r="312">
          <cell r="A312" t="str">
            <v>sp 974</v>
          </cell>
          <cell r="B312" t="str">
            <v xml:space="preserve">Túi thuốc trừ sâu Usatabon 17,5WP vua trừ nhện loại 35gr American </v>
          </cell>
          <cell r="D312" t="str">
            <v>Pet 12x700</v>
          </cell>
          <cell r="E312">
            <v>7</v>
          </cell>
          <cell r="F312">
            <v>7</v>
          </cell>
          <cell r="AO312" t="str">
            <v>Công ty American</v>
          </cell>
          <cell r="AP312" t="str">
            <v>H019795</v>
          </cell>
          <cell r="AQ312" t="str">
            <v>1809454-1</v>
          </cell>
          <cell r="AR312" t="str">
            <v>1809454-2</v>
          </cell>
          <cell r="AS312" t="str">
            <v>1809454-3</v>
          </cell>
          <cell r="AT312" t="str">
            <v>1809454-4</v>
          </cell>
          <cell r="AU312" t="str">
            <v>1809454-5</v>
          </cell>
          <cell r="AV312" t="str">
            <v>1809454-6</v>
          </cell>
          <cell r="AW312" t="str">
            <v>1809454-7</v>
          </cell>
          <cell r="BA312" t="str">
            <v>500x870</v>
          </cell>
          <cell r="BB312" t="str">
            <v>P2</v>
          </cell>
        </row>
        <row r="313">
          <cell r="A313" t="str">
            <v>sp 975</v>
          </cell>
          <cell r="B313" t="str">
            <v xml:space="preserve">Túi thuốc trừ sâu New Zimvil 750WP vua trị vàng lá 1kg American </v>
          </cell>
          <cell r="D313" t="str">
            <v>Pet 12x760</v>
          </cell>
          <cell r="E313">
            <v>7</v>
          </cell>
          <cell r="F313">
            <v>7</v>
          </cell>
          <cell r="AO313" t="str">
            <v>Công ty American</v>
          </cell>
          <cell r="AP313" t="str">
            <v>H019796</v>
          </cell>
          <cell r="AQ313" t="str">
            <v>1809455-1</v>
          </cell>
          <cell r="AR313" t="str">
            <v>1809455-2</v>
          </cell>
          <cell r="AS313" t="str">
            <v>1809455-3</v>
          </cell>
          <cell r="AT313" t="str">
            <v>1809455-4</v>
          </cell>
          <cell r="AU313" t="str">
            <v>1809455-5</v>
          </cell>
          <cell r="AV313" t="str">
            <v>1809455-6</v>
          </cell>
          <cell r="AW313" t="str">
            <v>1809455-7</v>
          </cell>
          <cell r="BA313" t="str">
            <v>510x870</v>
          </cell>
          <cell r="BB313" t="str">
            <v>Q1</v>
          </cell>
        </row>
        <row r="314">
          <cell r="A314" t="str">
            <v>sp 987</v>
          </cell>
          <cell r="B314" t="str">
            <v>Cuộn bánh Merry khay 160gr Santa</v>
          </cell>
          <cell r="D314" t="str">
            <v>OPP 30x875</v>
          </cell>
          <cell r="E314">
            <v>1</v>
          </cell>
          <cell r="F314">
            <v>1</v>
          </cell>
          <cell r="AO314" t="str">
            <v>Công ty Santa</v>
          </cell>
          <cell r="AQ314" t="str">
            <v>F121418-1</v>
          </cell>
          <cell r="BA314" t="str">
            <v>620x1100</v>
          </cell>
          <cell r="BB314" t="str">
            <v>Q1</v>
          </cell>
        </row>
        <row r="315">
          <cell r="A315" t="str">
            <v>sp 988</v>
          </cell>
          <cell r="B315" t="str">
            <v>Cuộn bánh Merry khay 90gr Santa</v>
          </cell>
          <cell r="D315" t="str">
            <v>OPP30x910</v>
          </cell>
          <cell r="E315">
            <v>1</v>
          </cell>
          <cell r="F315">
            <v>1</v>
          </cell>
          <cell r="AO315" t="str">
            <v>Công ty Santa</v>
          </cell>
          <cell r="AQ315" t="str">
            <v>F121417-1</v>
          </cell>
          <cell r="BA315" t="str">
            <v>460x1100</v>
          </cell>
          <cell r="BB315" t="str">
            <v>Q1</v>
          </cell>
        </row>
        <row r="316">
          <cell r="A316" t="str">
            <v>sp 989</v>
          </cell>
          <cell r="B316" t="str">
            <v>Túi nem hải sản loại đặc biệt 500gr Hạ Long</v>
          </cell>
          <cell r="E316">
            <v>1</v>
          </cell>
          <cell r="F316">
            <v>6</v>
          </cell>
          <cell r="AO316" t="str">
            <v xml:space="preserve">Công ty Hạ Long </v>
          </cell>
          <cell r="AQ316" t="str">
            <v>X605472G2-1</v>
          </cell>
          <cell r="AR316" t="str">
            <v>X605472-2</v>
          </cell>
          <cell r="AS316" t="str">
            <v>X605472-3</v>
          </cell>
          <cell r="AT316" t="str">
            <v>X605472-4</v>
          </cell>
          <cell r="AU316" t="str">
            <v>X605472-5</v>
          </cell>
          <cell r="AV316" t="str">
            <v>X605472-6</v>
          </cell>
          <cell r="BA316" t="str">
            <v>410x750</v>
          </cell>
          <cell r="BB316" t="str">
            <v>Q1</v>
          </cell>
          <cell r="BC316" t="str">
            <v xml:space="preserve">in chung với bộ sp 961 : X605472 trừ cây đen số 1 </v>
          </cell>
        </row>
        <row r="317">
          <cell r="A317" t="str">
            <v>sp 990</v>
          </cell>
          <cell r="B317" t="str">
            <v>Cuộn bánh Merry khay 14gr Santa</v>
          </cell>
          <cell r="D317" t="str">
            <v>OPP 20x870</v>
          </cell>
          <cell r="E317">
            <v>1</v>
          </cell>
          <cell r="F317">
            <v>1</v>
          </cell>
          <cell r="AO317" t="str">
            <v>Công ty Santa</v>
          </cell>
          <cell r="AQ317" t="str">
            <v>F121592-1</v>
          </cell>
          <cell r="BA317" t="str">
            <v>490x1100</v>
          </cell>
          <cell r="BB317" t="str">
            <v>Q1</v>
          </cell>
        </row>
        <row r="318">
          <cell r="A318" t="str">
            <v>sp 991</v>
          </cell>
          <cell r="B318" t="str">
            <v>Cuộn bánh Merry khay 22gr Santa</v>
          </cell>
          <cell r="D318" t="str">
            <v>OPP 20x955</v>
          </cell>
          <cell r="E318">
            <v>1</v>
          </cell>
          <cell r="F318">
            <v>1</v>
          </cell>
          <cell r="AO318" t="str">
            <v>Công ty Santa</v>
          </cell>
          <cell r="AQ318" t="str">
            <v>F121596-1</v>
          </cell>
          <cell r="BA318" t="str">
            <v>428x1100</v>
          </cell>
          <cell r="BB318" t="str">
            <v>Q1</v>
          </cell>
        </row>
        <row r="319">
          <cell r="A319" t="str">
            <v>sp 992</v>
          </cell>
          <cell r="B319" t="str">
            <v xml:space="preserve">Cuộn bánh Merry khay 63gr Santa </v>
          </cell>
          <cell r="D319" t="str">
            <v>OPP 20x900</v>
          </cell>
          <cell r="E319">
            <v>1</v>
          </cell>
          <cell r="F319">
            <v>1</v>
          </cell>
          <cell r="AO319" t="str">
            <v>Công ty Santa</v>
          </cell>
          <cell r="AQ319" t="str">
            <v>F121597-1</v>
          </cell>
          <cell r="BA319" t="str">
            <v>474x1100</v>
          </cell>
          <cell r="BB319" t="str">
            <v>Q1</v>
          </cell>
        </row>
        <row r="320">
          <cell r="A320" t="str">
            <v>sp 995</v>
          </cell>
          <cell r="B320" t="str">
            <v xml:space="preserve">Túi lúa in chung 5kg 2018 Thái Bình </v>
          </cell>
          <cell r="E320">
            <v>7</v>
          </cell>
          <cell r="F320">
            <v>7</v>
          </cell>
          <cell r="AO320" t="str">
            <v>Công ty Thái Bình</v>
          </cell>
          <cell r="AP320" t="str">
            <v>H021675</v>
          </cell>
          <cell r="AQ320" t="str">
            <v>1811585-1</v>
          </cell>
          <cell r="AR320" t="str">
            <v>1811585-2</v>
          </cell>
          <cell r="AS320" t="str">
            <v>1811585-3</v>
          </cell>
          <cell r="AT320" t="str">
            <v>1811585-4</v>
          </cell>
          <cell r="AU320" t="str">
            <v>1811585-5</v>
          </cell>
          <cell r="AV320" t="str">
            <v>1811585-6</v>
          </cell>
          <cell r="AW320" t="str">
            <v>1811585-7</v>
          </cell>
          <cell r="BA320" t="str">
            <v>570x850</v>
          </cell>
          <cell r="BB320" t="str">
            <v>J1</v>
          </cell>
        </row>
        <row r="321">
          <cell r="A321" t="str">
            <v>sp 997</v>
          </cell>
          <cell r="B321" t="str">
            <v>Túi hạt giống lúa TBR279 XN1 1kg Thái Bình</v>
          </cell>
          <cell r="D321" t="str">
            <v>OPP 20x900</v>
          </cell>
          <cell r="E321">
            <v>3</v>
          </cell>
          <cell r="F321">
            <v>8</v>
          </cell>
          <cell r="AO321" t="str">
            <v>Công ty Thái Bình</v>
          </cell>
          <cell r="AQ321" t="str">
            <v>1811388-1</v>
          </cell>
          <cell r="AR321" t="str">
            <v>1609240-2</v>
          </cell>
          <cell r="AS321" t="str">
            <v>1609240-3</v>
          </cell>
          <cell r="AT321" t="str">
            <v>1609240-4</v>
          </cell>
          <cell r="AU321" t="str">
            <v>1811388-5</v>
          </cell>
          <cell r="AV321" t="str">
            <v>1811388-6</v>
          </cell>
          <cell r="AW321" t="str">
            <v>1710724-7</v>
          </cell>
          <cell r="AX321" t="str">
            <v>1807922-8</v>
          </cell>
          <cell r="BA321" t="str">
            <v>620x1100</v>
          </cell>
          <cell r="BB321" t="str">
            <v>I3</v>
          </cell>
          <cell r="BC321" t="str">
            <v>in chung (2;3;4) với sp 630; (7) với sp 834</v>
          </cell>
        </row>
        <row r="322">
          <cell r="A322" t="str">
            <v>sp 996</v>
          </cell>
          <cell r="B322" t="str">
            <v>Túi hạt giống lúa TBR279 XN1 40kg Thái Bình</v>
          </cell>
          <cell r="E322">
            <v>2</v>
          </cell>
          <cell r="F322">
            <v>6</v>
          </cell>
          <cell r="AO322" t="str">
            <v>Công ty Thái Bình</v>
          </cell>
          <cell r="AP322" t="str">
            <v>H009667C2</v>
          </cell>
          <cell r="AQ322" t="str">
            <v>17101029-1</v>
          </cell>
          <cell r="AR322" t="str">
            <v>1609242-2</v>
          </cell>
          <cell r="AS322" t="str">
            <v>17101029-3</v>
          </cell>
          <cell r="AT322" t="str">
            <v>1710745-4</v>
          </cell>
          <cell r="AU322" t="str">
            <v>1811640-5</v>
          </cell>
          <cell r="AV322" t="str">
            <v>1811640-6</v>
          </cell>
          <cell r="BA322" t="str">
            <v>1100x850</v>
          </cell>
          <cell r="BB322" t="str">
            <v>K4</v>
          </cell>
          <cell r="BC322" t="str">
            <v xml:space="preserve">in chung (1,2,3,4) với sp 634: 1602242(2);1710745(4);17101029(1,3) </v>
          </cell>
        </row>
        <row r="323">
          <cell r="A323" t="str">
            <v>sp 999</v>
          </cell>
          <cell r="B323" t="str">
            <v xml:space="preserve">Túi nem hải sản cung đình miền Hạ Long 350gr </v>
          </cell>
          <cell r="D323" t="str">
            <v>OPP 20x590</v>
          </cell>
          <cell r="E323">
            <v>6</v>
          </cell>
          <cell r="F323">
            <v>6</v>
          </cell>
          <cell r="AO323" t="str">
            <v xml:space="preserve">Công ty Hạ Long </v>
          </cell>
          <cell r="AQ323" t="str">
            <v>F417888-1</v>
          </cell>
          <cell r="AR323" t="str">
            <v>F417888-2</v>
          </cell>
          <cell r="AS323" t="str">
            <v>F417888-3</v>
          </cell>
          <cell r="AT323" t="str">
            <v>F417888-4</v>
          </cell>
          <cell r="AU323" t="str">
            <v>F417888-5</v>
          </cell>
          <cell r="AV323" t="str">
            <v>F417888-6</v>
          </cell>
          <cell r="BA323" t="str">
            <v>410x750</v>
          </cell>
          <cell r="BB323" t="str">
            <v>Q1</v>
          </cell>
        </row>
        <row r="324">
          <cell r="A324" t="str">
            <v>sp 1000</v>
          </cell>
          <cell r="B324" t="str">
            <v xml:space="preserve">Túi nem chay cung đình miền Hạ Long 400gr </v>
          </cell>
          <cell r="D324" t="str">
            <v>OPP 20x590</v>
          </cell>
          <cell r="E324">
            <v>6</v>
          </cell>
          <cell r="F324">
            <v>6</v>
          </cell>
          <cell r="AO324" t="str">
            <v xml:space="preserve">Công ty Hạ Long </v>
          </cell>
          <cell r="AQ324" t="str">
            <v>F417904-1</v>
          </cell>
          <cell r="AR324" t="str">
            <v>F417904-2</v>
          </cell>
          <cell r="AS324" t="str">
            <v>F417904-3</v>
          </cell>
          <cell r="AT324" t="str">
            <v>F417904-4</v>
          </cell>
          <cell r="AU324" t="str">
            <v>F417904-5</v>
          </cell>
          <cell r="AV324" t="str">
            <v>F417904-6</v>
          </cell>
          <cell r="BA324" t="str">
            <v>410x750</v>
          </cell>
          <cell r="BB324" t="str">
            <v>Q1</v>
          </cell>
        </row>
        <row r="325">
          <cell r="A325" t="str">
            <v>sp 1001</v>
          </cell>
          <cell r="B325" t="str">
            <v xml:space="preserve">Cuộn bột giặt Đức Giang 2kg </v>
          </cell>
          <cell r="D325" t="str">
            <v>PET 12x590</v>
          </cell>
          <cell r="E325">
            <v>6</v>
          </cell>
          <cell r="F325">
            <v>6</v>
          </cell>
          <cell r="AO325" t="str">
            <v xml:space="preserve">Công ty Đức Giang </v>
          </cell>
          <cell r="AQ325" t="str">
            <v>F122369-1</v>
          </cell>
          <cell r="AR325" t="str">
            <v>F122369-2</v>
          </cell>
          <cell r="AS325" t="str">
            <v>F122369G1-3</v>
          </cell>
          <cell r="AT325" t="str">
            <v>F122369-4</v>
          </cell>
          <cell r="AU325" t="str">
            <v>F122369-5</v>
          </cell>
          <cell r="AV325" t="str">
            <v>F122369-6</v>
          </cell>
          <cell r="BA325" t="str">
            <v>750x750</v>
          </cell>
          <cell r="BB325" t="str">
            <v>U1</v>
          </cell>
        </row>
        <row r="326">
          <cell r="A326" t="str">
            <v>sp 1002</v>
          </cell>
          <cell r="B326" t="str">
            <v xml:space="preserve">Cuộn bột giặt Đức Giang 2,5kg </v>
          </cell>
          <cell r="D326" t="str">
            <v>PET 12x630</v>
          </cell>
          <cell r="E326">
            <v>6</v>
          </cell>
          <cell r="F326">
            <v>6</v>
          </cell>
          <cell r="AO326" t="str">
            <v xml:space="preserve">Công ty Đức Giang </v>
          </cell>
          <cell r="AQ326" t="str">
            <v>F122370-1</v>
          </cell>
          <cell r="AR326" t="str">
            <v>F122370-2</v>
          </cell>
          <cell r="AS326" t="str">
            <v>F122370G1-3</v>
          </cell>
          <cell r="AT326" t="str">
            <v>F122370-4</v>
          </cell>
          <cell r="AU326" t="str">
            <v>F122370-5</v>
          </cell>
          <cell r="AV326" t="str">
            <v>F122370-6</v>
          </cell>
          <cell r="BA326" t="str">
            <v>780x750</v>
          </cell>
          <cell r="BB326" t="str">
            <v>U1</v>
          </cell>
        </row>
        <row r="327">
          <cell r="A327" t="str">
            <v>sp 1003</v>
          </cell>
          <cell r="B327" t="str">
            <v xml:space="preserve">Cuộn bột giặt Đức Giang 3kg </v>
          </cell>
          <cell r="D327" t="str">
            <v>PA 15x670</v>
          </cell>
          <cell r="E327">
            <v>6</v>
          </cell>
          <cell r="F327">
            <v>6</v>
          </cell>
          <cell r="AO327" t="str">
            <v xml:space="preserve">Công ty Đức Giang </v>
          </cell>
          <cell r="AQ327" t="str">
            <v>F122371-1</v>
          </cell>
          <cell r="AR327" t="str">
            <v>F122371-2</v>
          </cell>
          <cell r="AS327" t="str">
            <v>F122371G1-3</v>
          </cell>
          <cell r="AT327" t="str">
            <v>F122371-4</v>
          </cell>
          <cell r="AU327" t="str">
            <v>F122371-5</v>
          </cell>
          <cell r="AV327" t="str">
            <v>F122371-6</v>
          </cell>
          <cell r="BA327" t="str">
            <v>422x750</v>
          </cell>
          <cell r="BB327" t="str">
            <v>U1</v>
          </cell>
        </row>
        <row r="328">
          <cell r="A328" t="str">
            <v>sp 1004</v>
          </cell>
          <cell r="B328" t="str">
            <v xml:space="preserve">Cuộn bột giặt Đức Giang 4,2kg </v>
          </cell>
          <cell r="D328" t="str">
            <v>PA 15x745</v>
          </cell>
          <cell r="E328">
            <v>6</v>
          </cell>
          <cell r="F328">
            <v>6</v>
          </cell>
          <cell r="AO328" t="str">
            <v xml:space="preserve">Công ty Đức Giang </v>
          </cell>
          <cell r="AQ328" t="str">
            <v>F122372-1</v>
          </cell>
          <cell r="AR328" t="str">
            <v>F122372-2</v>
          </cell>
          <cell r="AS328" t="str">
            <v>F122372G1-3</v>
          </cell>
          <cell r="AT328" t="str">
            <v>F122372-4</v>
          </cell>
          <cell r="AU328" t="str">
            <v>F122372-5</v>
          </cell>
          <cell r="AV328" t="str">
            <v>F122372-6</v>
          </cell>
          <cell r="BA328" t="str">
            <v>480x860</v>
          </cell>
          <cell r="BB328" t="str">
            <v>U1</v>
          </cell>
        </row>
        <row r="329">
          <cell r="A329" t="str">
            <v>sp 1005</v>
          </cell>
          <cell r="B329" t="str">
            <v>Túi trà chữ đỏ lá vàng in 7 màu 10gr loại 10</v>
          </cell>
          <cell r="E329">
            <v>7</v>
          </cell>
          <cell r="F329">
            <v>7</v>
          </cell>
          <cell r="AO329" t="str">
            <v>Bùi Văn Sỹ</v>
          </cell>
          <cell r="AP329" t="str">
            <v>H024095</v>
          </cell>
          <cell r="AQ329" t="str">
            <v>1902346-1</v>
          </cell>
          <cell r="AR329" t="str">
            <v>1902346-2</v>
          </cell>
          <cell r="AS329" t="str">
            <v>1902346-3</v>
          </cell>
          <cell r="AT329" t="str">
            <v>1902346-4</v>
          </cell>
          <cell r="AU329" t="str">
            <v>1902346-5</v>
          </cell>
          <cell r="AV329" t="str">
            <v>1902346-6</v>
          </cell>
          <cell r="AW329" t="str">
            <v>1902346-7</v>
          </cell>
          <cell r="BA329" t="str">
            <v>460x860</v>
          </cell>
          <cell r="BB329" t="str">
            <v>F4</v>
          </cell>
        </row>
        <row r="330">
          <cell r="A330" t="str">
            <v>sp 1006</v>
          </cell>
          <cell r="B330" t="str">
            <v xml:space="preserve">Túi trà chữ đỏ thượng hạng tân cương và đặc sản 100gr loại 15 </v>
          </cell>
          <cell r="E330">
            <v>7</v>
          </cell>
          <cell r="F330">
            <v>7</v>
          </cell>
          <cell r="AO330" t="str">
            <v>Bùi Văn Sỹ</v>
          </cell>
          <cell r="AQ330" t="str">
            <v>20110752-1</v>
          </cell>
          <cell r="AR330" t="str">
            <v>17041138-2</v>
          </cell>
          <cell r="AS330" t="str">
            <v>17041138-3</v>
          </cell>
          <cell r="AT330" t="str">
            <v>17041138-4</v>
          </cell>
          <cell r="AU330" t="str">
            <v>17041138-5</v>
          </cell>
          <cell r="AV330" t="str">
            <v>17041138-6</v>
          </cell>
          <cell r="AW330" t="str">
            <v>17041138-7</v>
          </cell>
          <cell r="BA330" t="str">
            <v>540x850</v>
          </cell>
          <cell r="BB330" t="str">
            <v>F4</v>
          </cell>
        </row>
        <row r="331">
          <cell r="A331" t="str">
            <v>sp 1007</v>
          </cell>
          <cell r="B331" t="str">
            <v>Túi trà chữ đỏ búp xanh tân cương và đặc sản 100gr loại 16</v>
          </cell>
          <cell r="E331">
            <v>5</v>
          </cell>
          <cell r="F331">
            <v>5</v>
          </cell>
          <cell r="AO331" t="str">
            <v>Bùi Văn Sỹ</v>
          </cell>
          <cell r="AQ331" t="str">
            <v>F416317-1</v>
          </cell>
          <cell r="AR331" t="str">
            <v>F416317-2</v>
          </cell>
          <cell r="AS331" t="str">
            <v>F416317-3</v>
          </cell>
          <cell r="AT331" t="str">
            <v>F416317-4</v>
          </cell>
          <cell r="AU331" t="str">
            <v>F416317-5</v>
          </cell>
          <cell r="BA331" t="str">
            <v>540x840</v>
          </cell>
          <cell r="BB331" t="str">
            <v>G1</v>
          </cell>
        </row>
        <row r="332">
          <cell r="A332" t="str">
            <v>sp 1008</v>
          </cell>
          <cell r="B332" t="str">
            <v>Túi trà tân cương, đặc sản ấm nghiêng 100gr</v>
          </cell>
          <cell r="E332">
            <v>7</v>
          </cell>
          <cell r="F332">
            <v>7</v>
          </cell>
          <cell r="AO332" t="str">
            <v>Bùi Văn Sỹ</v>
          </cell>
          <cell r="AQ332" t="str">
            <v>F416431-1</v>
          </cell>
          <cell r="AR332" t="str">
            <v>F416431-2</v>
          </cell>
          <cell r="AS332" t="str">
            <v>F416431-3</v>
          </cell>
          <cell r="AT332" t="str">
            <v>F416431-4</v>
          </cell>
          <cell r="AU332" t="str">
            <v>F416431-5</v>
          </cell>
          <cell r="AV332" t="str">
            <v>F416431-6</v>
          </cell>
          <cell r="AW332" t="str">
            <v>F416431-7</v>
          </cell>
          <cell r="BA332" t="str">
            <v>540x840</v>
          </cell>
          <cell r="BB332" t="str">
            <v>G1</v>
          </cell>
        </row>
        <row r="333">
          <cell r="A333" t="str">
            <v>sp 1009</v>
          </cell>
          <cell r="B333" t="str">
            <v>Cuộn bột giặt Kwash 3 kg</v>
          </cell>
          <cell r="D333" t="str">
            <v>PA 15x670</v>
          </cell>
          <cell r="E333">
            <v>6</v>
          </cell>
          <cell r="F333">
            <v>6</v>
          </cell>
          <cell r="AO333" t="str">
            <v>Công ty Kwash</v>
          </cell>
          <cell r="AQ333" t="str">
            <v>F122380-1</v>
          </cell>
          <cell r="AR333" t="str">
            <v>F122380-2</v>
          </cell>
          <cell r="AS333" t="str">
            <v>F122380-3</v>
          </cell>
          <cell r="AT333" t="str">
            <v>F122380-4</v>
          </cell>
          <cell r="AU333" t="str">
            <v>F122380-5</v>
          </cell>
          <cell r="AV333" t="str">
            <v>F122380-6</v>
          </cell>
          <cell r="BA333" t="str">
            <v>432x750</v>
          </cell>
          <cell r="BB333" t="str">
            <v>Q1</v>
          </cell>
        </row>
        <row r="334">
          <cell r="A334" t="str">
            <v>sp 1010</v>
          </cell>
          <cell r="B334" t="str">
            <v>Túi trà ấm cây Tân cương 100gr loại 18</v>
          </cell>
          <cell r="D334" t="str">
            <v>Pet 12x740</v>
          </cell>
          <cell r="E334">
            <v>6</v>
          </cell>
          <cell r="F334">
            <v>6</v>
          </cell>
          <cell r="AO334" t="str">
            <v>Bùi Văn Sỹ</v>
          </cell>
          <cell r="AQ334" t="str">
            <v>1903135-1</v>
          </cell>
          <cell r="AR334" t="str">
            <v>1903135-2</v>
          </cell>
          <cell r="AS334" t="str">
            <v>1903135-3</v>
          </cell>
          <cell r="AT334" t="str">
            <v>1903135-4</v>
          </cell>
          <cell r="AU334" t="str">
            <v>1903135-5</v>
          </cell>
          <cell r="AV334" t="str">
            <v>1903135-6</v>
          </cell>
          <cell r="BA334" t="str">
            <v>540x850</v>
          </cell>
          <cell r="BB334" t="str">
            <v>G1</v>
          </cell>
        </row>
        <row r="335">
          <cell r="A335" t="str">
            <v>sp 1011</v>
          </cell>
          <cell r="B335" t="str">
            <v>Túi trà ấm cây Đặc sản 100gr loại 18</v>
          </cell>
          <cell r="D335" t="str">
            <v>Pet 12x740</v>
          </cell>
          <cell r="E335">
            <v>3</v>
          </cell>
          <cell r="F335">
            <v>6</v>
          </cell>
          <cell r="AO335" t="str">
            <v>Bùi Văn Sỹ</v>
          </cell>
          <cell r="AQ335" t="str">
            <v>1903136-1</v>
          </cell>
          <cell r="AR335" t="str">
            <v>1903135-2</v>
          </cell>
          <cell r="AS335" t="str">
            <v>1903135-3</v>
          </cell>
          <cell r="AT335" t="str">
            <v>1903135-4</v>
          </cell>
          <cell r="AU335" t="str">
            <v>1903136-5</v>
          </cell>
          <cell r="AV335" t="str">
            <v>1903136-6</v>
          </cell>
          <cell r="BA335" t="str">
            <v>540x850</v>
          </cell>
          <cell r="BB335" t="str">
            <v>G1</v>
          </cell>
          <cell r="BC335" t="str">
            <v>in chung cây 2,3,4 với sp 1010</v>
          </cell>
        </row>
        <row r="336">
          <cell r="A336" t="str">
            <v>sp 1012</v>
          </cell>
          <cell r="B336" t="str">
            <v>Túi trà ấm cây Tân cương 200gr loại 18</v>
          </cell>
          <cell r="D336" t="str">
            <v>Pet 12x620</v>
          </cell>
          <cell r="E336">
            <v>6</v>
          </cell>
          <cell r="F336">
            <v>6</v>
          </cell>
          <cell r="AO336" t="str">
            <v>Bùi Văn Sỹ</v>
          </cell>
          <cell r="AQ336" t="str">
            <v>1903137-1</v>
          </cell>
          <cell r="AR336" t="str">
            <v>1903137-2</v>
          </cell>
          <cell r="AS336" t="str">
            <v>1903137-3</v>
          </cell>
          <cell r="AT336" t="str">
            <v>1903137-4</v>
          </cell>
          <cell r="AU336" t="str">
            <v>1903137-5</v>
          </cell>
          <cell r="AV336" t="str">
            <v>1903137-6</v>
          </cell>
          <cell r="BA336" t="str">
            <v>680x860</v>
          </cell>
          <cell r="BB336" t="str">
            <v>G1</v>
          </cell>
        </row>
        <row r="337">
          <cell r="A337" t="str">
            <v>sp 1013</v>
          </cell>
          <cell r="B337" t="str">
            <v>Túi trà ấm cây Đặc sản 200gr loại 18</v>
          </cell>
          <cell r="D337" t="str">
            <v>pet 12x620</v>
          </cell>
          <cell r="E337">
            <v>3</v>
          </cell>
          <cell r="F337">
            <v>6</v>
          </cell>
          <cell r="AO337" t="str">
            <v>Bùi Văn Sỹ</v>
          </cell>
          <cell r="AQ337" t="str">
            <v>1903138-1</v>
          </cell>
          <cell r="AR337" t="str">
            <v>1903137-2</v>
          </cell>
          <cell r="AS337" t="str">
            <v>1903137-3</v>
          </cell>
          <cell r="AT337" t="str">
            <v>1903137-4</v>
          </cell>
          <cell r="AU337" t="str">
            <v>1903138-5</v>
          </cell>
          <cell r="AV337" t="str">
            <v>1903138-6</v>
          </cell>
          <cell r="BA337" t="str">
            <v>680x860</v>
          </cell>
          <cell r="BB337" t="str">
            <v>G1</v>
          </cell>
          <cell r="BC337" t="str">
            <v>in chung cây 2,3,4 với sp 1012</v>
          </cell>
        </row>
        <row r="338">
          <cell r="A338" t="str">
            <v>sp 1014</v>
          </cell>
          <cell r="B338" t="str">
            <v>Túi trà ấm cây Tân cương 500gr loại 18</v>
          </cell>
          <cell r="D338" t="str">
            <v>pet 12x760</v>
          </cell>
          <cell r="E338">
            <v>6</v>
          </cell>
          <cell r="F338">
            <v>6</v>
          </cell>
          <cell r="AO338" t="str">
            <v>Bùi Văn Sỹ</v>
          </cell>
          <cell r="AQ338" t="str">
            <v>1903139-1</v>
          </cell>
          <cell r="AR338" t="str">
            <v>1903139-2</v>
          </cell>
          <cell r="AS338" t="str">
            <v>1903139-3</v>
          </cell>
          <cell r="AT338" t="str">
            <v>1903139-4</v>
          </cell>
          <cell r="AU338" t="str">
            <v>1903139-5</v>
          </cell>
          <cell r="AV338" t="str">
            <v>1903139-6</v>
          </cell>
          <cell r="BA338" t="str">
            <v>420x860</v>
          </cell>
          <cell r="BB338" t="str">
            <v>G1</v>
          </cell>
        </row>
        <row r="339">
          <cell r="A339" t="str">
            <v>sp 1015</v>
          </cell>
          <cell r="B339" t="str">
            <v>Túi trà ấm cây Đặc sản 500gr loại 18</v>
          </cell>
          <cell r="D339" t="str">
            <v>pet 12x760</v>
          </cell>
          <cell r="E339">
            <v>3</v>
          </cell>
          <cell r="F339">
            <v>6</v>
          </cell>
          <cell r="AO339" t="str">
            <v>Bùi Văn Sỹ</v>
          </cell>
          <cell r="AQ339" t="str">
            <v>1903140-1</v>
          </cell>
          <cell r="AR339" t="str">
            <v>1903139-2</v>
          </cell>
          <cell r="AS339" t="str">
            <v>1903139-3</v>
          </cell>
          <cell r="AT339" t="str">
            <v>1903139-4</v>
          </cell>
          <cell r="AU339" t="str">
            <v>1903140-5</v>
          </cell>
          <cell r="AV339" t="str">
            <v>1903140-6</v>
          </cell>
          <cell r="BA339" t="str">
            <v>420x860</v>
          </cell>
          <cell r="BB339" t="str">
            <v>G1</v>
          </cell>
          <cell r="BC339" t="str">
            <v>in chung cây 2,3,4 với sp 1014</v>
          </cell>
        </row>
        <row r="340">
          <cell r="A340" t="str">
            <v>sp 1016</v>
          </cell>
          <cell r="B340" t="str">
            <v>Túi trà bát giác Tân cương 100gr loại 19</v>
          </cell>
          <cell r="D340" t="str">
            <v>Pet 12x740</v>
          </cell>
          <cell r="E340">
            <v>7</v>
          </cell>
          <cell r="F340">
            <v>7</v>
          </cell>
          <cell r="AO340" t="str">
            <v>Bùi Văn Sỹ</v>
          </cell>
          <cell r="AQ340" t="str">
            <v>X105137-1</v>
          </cell>
          <cell r="AR340" t="str">
            <v>X105137-2</v>
          </cell>
          <cell r="AS340" t="str">
            <v>X105137-3</v>
          </cell>
          <cell r="AT340" t="str">
            <v>X105137-4</v>
          </cell>
          <cell r="AU340" t="str">
            <v>X105137-5</v>
          </cell>
          <cell r="AV340" t="str">
            <v>X105137-6</v>
          </cell>
          <cell r="AW340" t="str">
            <v>X105137-7</v>
          </cell>
          <cell r="BA340" t="str">
            <v>420x860</v>
          </cell>
          <cell r="BB340" t="str">
            <v>G2</v>
          </cell>
        </row>
        <row r="341">
          <cell r="A341" t="str">
            <v>sp 1017</v>
          </cell>
          <cell r="B341" t="str">
            <v>Túi trà bát giác Đặc sản 100gr loại 19</v>
          </cell>
          <cell r="D341" t="str">
            <v>Pet 12x740</v>
          </cell>
          <cell r="E341">
            <v>4</v>
          </cell>
          <cell r="F341">
            <v>7</v>
          </cell>
          <cell r="AO341" t="str">
            <v>Bùi Văn Sỹ</v>
          </cell>
          <cell r="AQ341" t="str">
            <v>X105137-1</v>
          </cell>
          <cell r="AR341" t="str">
            <v>X105138-2</v>
          </cell>
          <cell r="AS341" t="str">
            <v>X105138-3</v>
          </cell>
          <cell r="AT341" t="str">
            <v>X105137-4</v>
          </cell>
          <cell r="AU341" t="str">
            <v>X105137-5</v>
          </cell>
          <cell r="AV341" t="str">
            <v>X105138-6</v>
          </cell>
          <cell r="AW341" t="str">
            <v>X105138-7</v>
          </cell>
          <cell r="BA341" t="str">
            <v>540x860</v>
          </cell>
          <cell r="BB341" t="str">
            <v>G2</v>
          </cell>
          <cell r="BC341" t="str">
            <v>in chung cây 1,4,5 với sp 1016</v>
          </cell>
        </row>
        <row r="342">
          <cell r="A342" t="str">
            <v>sp 1018</v>
          </cell>
          <cell r="B342" t="str">
            <v>Túi trà bát giác Tân cương 200gr loại 19</v>
          </cell>
          <cell r="D342" t="str">
            <v>Pet 12x620</v>
          </cell>
          <cell r="E342">
            <v>7</v>
          </cell>
          <cell r="F342">
            <v>7</v>
          </cell>
          <cell r="AO342" t="str">
            <v>Bùi Văn Sỹ</v>
          </cell>
          <cell r="AQ342" t="str">
            <v>X105139G1-1</v>
          </cell>
          <cell r="AR342" t="str">
            <v>X105139-2</v>
          </cell>
          <cell r="AS342" t="str">
            <v>X105139-3</v>
          </cell>
          <cell r="AT342" t="str">
            <v>X105139G1-4</v>
          </cell>
          <cell r="AU342" t="str">
            <v>X105139-5</v>
          </cell>
          <cell r="AV342" t="str">
            <v>X105139-6</v>
          </cell>
          <cell r="AW342" t="str">
            <v>X105139-7</v>
          </cell>
          <cell r="BA342" t="str">
            <v>680x860</v>
          </cell>
          <cell r="BB342" t="str">
            <v>G2</v>
          </cell>
        </row>
        <row r="343">
          <cell r="A343" t="str">
            <v>sp 1019</v>
          </cell>
          <cell r="B343" t="str">
            <v>Túi trà bát giác Đặc sản 200gr loại 19</v>
          </cell>
          <cell r="D343" t="str">
            <v>Pet 12x620</v>
          </cell>
          <cell r="E343">
            <v>4</v>
          </cell>
          <cell r="F343">
            <v>7</v>
          </cell>
          <cell r="AO343" t="str">
            <v>Bùi Văn Sỹ</v>
          </cell>
          <cell r="AQ343" t="str">
            <v>X105139-1</v>
          </cell>
          <cell r="AR343" t="str">
            <v>X105140-2</v>
          </cell>
          <cell r="AS343" t="str">
            <v>X105140-3</v>
          </cell>
          <cell r="AT343" t="str">
            <v>X105139-4</v>
          </cell>
          <cell r="AU343" t="str">
            <v>X105139-5</v>
          </cell>
          <cell r="AV343" t="str">
            <v>X105140-6</v>
          </cell>
          <cell r="AW343" t="str">
            <v>X105140-7</v>
          </cell>
          <cell r="BA343" t="str">
            <v>680x860</v>
          </cell>
          <cell r="BB343" t="str">
            <v>G2</v>
          </cell>
          <cell r="BC343" t="str">
            <v>in chung cây 1,4,5 với sp 1018</v>
          </cell>
        </row>
        <row r="344">
          <cell r="A344" t="str">
            <v>sp 1020</v>
          </cell>
          <cell r="B344" t="str">
            <v>Túi trà bát giác Tân cương 500gr loại 19</v>
          </cell>
          <cell r="D344" t="str">
            <v>Pet 12x760</v>
          </cell>
          <cell r="E344">
            <v>7</v>
          </cell>
          <cell r="F344">
            <v>7</v>
          </cell>
          <cell r="AO344" t="str">
            <v>Bùi Văn Sỹ</v>
          </cell>
          <cell r="AQ344" t="str">
            <v>X105141-1</v>
          </cell>
          <cell r="AR344" t="str">
            <v>X105141-2</v>
          </cell>
          <cell r="AS344" t="str">
            <v>X105141-3</v>
          </cell>
          <cell r="AT344" t="str">
            <v>X105141-4</v>
          </cell>
          <cell r="AU344" t="str">
            <v>X105141-5</v>
          </cell>
          <cell r="AV344" t="str">
            <v>X105141-6</v>
          </cell>
          <cell r="AW344" t="str">
            <v>X105141-7</v>
          </cell>
          <cell r="BA344" t="str">
            <v>420x860</v>
          </cell>
          <cell r="BB344" t="str">
            <v>G2</v>
          </cell>
        </row>
        <row r="345">
          <cell r="A345" t="str">
            <v>sp 1021</v>
          </cell>
          <cell r="B345" t="str">
            <v>Túi trà bát giác Đặc sản 500gr loại 19</v>
          </cell>
          <cell r="D345" t="str">
            <v>Pet 12x760</v>
          </cell>
          <cell r="E345">
            <v>4</v>
          </cell>
          <cell r="F345">
            <v>7</v>
          </cell>
          <cell r="AO345" t="str">
            <v>Bùi Văn Sỹ</v>
          </cell>
          <cell r="AQ345" t="str">
            <v>X105141-1</v>
          </cell>
          <cell r="AR345" t="str">
            <v>X105142-2</v>
          </cell>
          <cell r="AS345" t="str">
            <v>X105142-3</v>
          </cell>
          <cell r="AT345" t="str">
            <v>X105141-4</v>
          </cell>
          <cell r="AU345" t="str">
            <v>X105141-5</v>
          </cell>
          <cell r="AV345" t="str">
            <v>X105142-6</v>
          </cell>
          <cell r="AW345" t="str">
            <v>X105142-7</v>
          </cell>
          <cell r="BA345" t="str">
            <v>420x860</v>
          </cell>
          <cell r="BB345" t="str">
            <v>G2</v>
          </cell>
          <cell r="BC345" t="str">
            <v>in chung cây 1,4,5 với sp 1020</v>
          </cell>
        </row>
        <row r="346">
          <cell r="A346" t="str">
            <v>sp 1022</v>
          </cell>
          <cell r="B346" t="str">
            <v>Túi lúa mới TBR225 XN1 10kg Thái Bình</v>
          </cell>
          <cell r="D346" t="str">
            <v>OPP 20x900</v>
          </cell>
          <cell r="E346">
            <v>7</v>
          </cell>
          <cell r="F346">
            <v>7</v>
          </cell>
          <cell r="AO346" t="str">
            <v>Công ty Thái Bình</v>
          </cell>
          <cell r="AQ346" t="str">
            <v>19031031-1</v>
          </cell>
          <cell r="AR346" t="str">
            <v>19031031-2</v>
          </cell>
          <cell r="AS346" t="str">
            <v>19031031-3</v>
          </cell>
          <cell r="AT346" t="str">
            <v>19031031-4</v>
          </cell>
          <cell r="AU346" t="str">
            <v>19031031-5</v>
          </cell>
          <cell r="AV346" t="str">
            <v>19031031-6</v>
          </cell>
          <cell r="AW346" t="str">
            <v>19031031-7</v>
          </cell>
          <cell r="BA346" t="str">
            <v>670x1100</v>
          </cell>
          <cell r="BB346" t="str">
            <v>J2</v>
          </cell>
        </row>
        <row r="347">
          <cell r="A347" t="str">
            <v>sp 1023</v>
          </cell>
          <cell r="B347" t="str">
            <v xml:space="preserve">Túi lúa mới BC15 XN1 10kg Thái Bình </v>
          </cell>
          <cell r="D347" t="str">
            <v>OPP 20x900</v>
          </cell>
          <cell r="E347">
            <v>1</v>
          </cell>
          <cell r="F347">
            <v>7</v>
          </cell>
          <cell r="AO347" t="str">
            <v>Công ty Thái Bình</v>
          </cell>
          <cell r="AQ347" t="str">
            <v>19031031-1</v>
          </cell>
          <cell r="AR347" t="str">
            <v>19031031-2</v>
          </cell>
          <cell r="AS347" t="str">
            <v>19031031-3</v>
          </cell>
          <cell r="AT347" t="str">
            <v>19031031-4</v>
          </cell>
          <cell r="AU347" t="str">
            <v>19031031-5</v>
          </cell>
          <cell r="AV347" t="str">
            <v>19031033-6</v>
          </cell>
          <cell r="AW347" t="str">
            <v>19031031-7</v>
          </cell>
          <cell r="BA347" t="str">
            <v>670x1100</v>
          </cell>
          <cell r="BB347" t="str">
            <v>J2</v>
          </cell>
          <cell r="BC347" t="str">
            <v>in chung sp 1022 trừ cây Nâu</v>
          </cell>
        </row>
        <row r="348">
          <cell r="A348" t="str">
            <v>sp 1024</v>
          </cell>
          <cell r="B348" t="str">
            <v>Túi lúa mới TBR1 XN1 10kg Thái Bình</v>
          </cell>
          <cell r="D348" t="str">
            <v>OPP 20x900</v>
          </cell>
          <cell r="E348">
            <v>2</v>
          </cell>
          <cell r="F348">
            <v>7</v>
          </cell>
          <cell r="AO348" t="str">
            <v>Công ty Thái Bình</v>
          </cell>
          <cell r="AQ348" t="str">
            <v>19031031-1</v>
          </cell>
          <cell r="AR348" t="str">
            <v>19031031-2</v>
          </cell>
          <cell r="AS348" t="str">
            <v>19031031-3</v>
          </cell>
          <cell r="AT348" t="str">
            <v>19031031-4</v>
          </cell>
          <cell r="AU348" t="str">
            <v>19031032-5</v>
          </cell>
          <cell r="AV348" t="str">
            <v>19031032-6</v>
          </cell>
          <cell r="AW348" t="str">
            <v>19031031-7</v>
          </cell>
          <cell r="BA348" t="str">
            <v>670x1100</v>
          </cell>
          <cell r="BB348" t="str">
            <v>J2</v>
          </cell>
          <cell r="BC348" t="str">
            <v>in chung sp 1022 trừ cây XL,Nâu</v>
          </cell>
        </row>
        <row r="349">
          <cell r="A349" t="str">
            <v>sp 1025</v>
          </cell>
          <cell r="B349" t="str">
            <v>Túi lúa mới Khang dân 18 NC 2019 10kg Thái Bình</v>
          </cell>
          <cell r="D349" t="str">
            <v>OPP 20x900</v>
          </cell>
          <cell r="E349">
            <v>7</v>
          </cell>
          <cell r="F349">
            <v>7</v>
          </cell>
          <cell r="AO349" t="str">
            <v>Công ty Thái Bình</v>
          </cell>
          <cell r="AQ349" t="str">
            <v>1803915-1</v>
          </cell>
          <cell r="AR349" t="str">
            <v>16100638-2</v>
          </cell>
          <cell r="AS349" t="str">
            <v>1610638-3</v>
          </cell>
          <cell r="AT349" t="str">
            <v>1610638-4</v>
          </cell>
          <cell r="AU349" t="str">
            <v>19031029-5</v>
          </cell>
          <cell r="AV349" t="str">
            <v>19031029-6</v>
          </cell>
          <cell r="AW349" t="str">
            <v>19031031-7</v>
          </cell>
          <cell r="AX349" t="str">
            <v>19031029-1.2.3.4 mẫu cũ</v>
          </cell>
          <cell r="BA349" t="str">
            <v>670x1100</v>
          </cell>
          <cell r="BB349" t="str">
            <v>J2</v>
          </cell>
          <cell r="BC349" t="str">
            <v>in chung 1.2.3.4.(Đ,Xd,ĐS,V,)sp 662, cây 7 nền sp 1022</v>
          </cell>
        </row>
        <row r="350">
          <cell r="A350" t="str">
            <v>sp 1026</v>
          </cell>
          <cell r="B350" t="str">
            <v>Túi lúa mới Hương thơm 1 nguyên chủng 10kg 
Thái Bình</v>
          </cell>
          <cell r="D350" t="str">
            <v>OPP 20x900</v>
          </cell>
          <cell r="E350">
            <v>1</v>
          </cell>
          <cell r="F350">
            <v>7</v>
          </cell>
          <cell r="AO350" t="str">
            <v>Công ty Thái Bình</v>
          </cell>
          <cell r="AQ350" t="str">
            <v>1803915-1</v>
          </cell>
          <cell r="AR350" t="str">
            <v>16100638-2</v>
          </cell>
          <cell r="AS350" t="str">
            <v>1610638-3</v>
          </cell>
          <cell r="AT350" t="str">
            <v>1610638-4</v>
          </cell>
          <cell r="AU350" t="str">
            <v>19031029-5</v>
          </cell>
          <cell r="AV350" t="str">
            <v>19031030-6</v>
          </cell>
          <cell r="AW350" t="str">
            <v>19031031-7</v>
          </cell>
          <cell r="BA350" t="str">
            <v>670x1100</v>
          </cell>
          <cell r="BB350" t="str">
            <v>J2</v>
          </cell>
          <cell r="BC350" t="str">
            <v>in chung 1.2.3.4.(Đ,Xd,ĐS,V,)sp 662, cây 7 nền sp 1022, cây 5zxanh sp 1025</v>
          </cell>
        </row>
        <row r="351">
          <cell r="A351" t="str">
            <v>sp 1027</v>
          </cell>
          <cell r="B351" t="str">
            <v>Túi trà ấm nghiêng Tân cương và đặc sản 500gr loại 17</v>
          </cell>
          <cell r="E351">
            <v>7</v>
          </cell>
          <cell r="F351">
            <v>7</v>
          </cell>
          <cell r="AO351" t="str">
            <v>Bùi Văn Sỹ</v>
          </cell>
          <cell r="AQ351" t="str">
            <v>1707293-1</v>
          </cell>
          <cell r="AR351" t="str">
            <v>1707293-2</v>
          </cell>
          <cell r="AS351" t="str">
            <v>1707293-3</v>
          </cell>
          <cell r="AT351" t="str">
            <v>1707293-4</v>
          </cell>
          <cell r="AU351" t="str">
            <v>1707293-5</v>
          </cell>
          <cell r="AV351" t="str">
            <v>1707293-6</v>
          </cell>
          <cell r="AW351" t="str">
            <v>1707293-7</v>
          </cell>
          <cell r="BA351" t="str">
            <v>420x850</v>
          </cell>
          <cell r="BB351" t="str">
            <v>G2</v>
          </cell>
        </row>
        <row r="352">
          <cell r="A352" t="str">
            <v>sp 1028</v>
          </cell>
          <cell r="B352" t="str">
            <v>Túi trà bản đồ Đặc sản 100gr loại 14</v>
          </cell>
          <cell r="E352">
            <v>5</v>
          </cell>
          <cell r="F352">
            <v>6</v>
          </cell>
          <cell r="AO352" t="str">
            <v>Bùi Văn Sỹ</v>
          </cell>
          <cell r="AQ352" t="str">
            <v>1809154-1</v>
          </cell>
          <cell r="AR352" t="str">
            <v>1904089-2</v>
          </cell>
          <cell r="AS352" t="str">
            <v>1904089-3</v>
          </cell>
          <cell r="AT352" t="str">
            <v>1904089-4</v>
          </cell>
          <cell r="AU352" t="str">
            <v>1904089-5</v>
          </cell>
          <cell r="AV352" t="str">
            <v>1904089-6</v>
          </cell>
          <cell r="BA352" t="str">
            <v>540x850</v>
          </cell>
          <cell r="BB352" t="str">
            <v>G2</v>
          </cell>
          <cell r="BC352" t="str">
            <v xml:space="preserve">in chung cây Đen với sp 969 </v>
          </cell>
        </row>
        <row r="353">
          <cell r="A353" t="str">
            <v>sp 1029</v>
          </cell>
          <cell r="B353" t="str">
            <v>Túi trà chữ đỏ viền trắng 50gr loại 20</v>
          </cell>
          <cell r="E353">
            <v>6</v>
          </cell>
          <cell r="F353">
            <v>6</v>
          </cell>
          <cell r="AO353" t="str">
            <v>Bùi Văn Sỹ</v>
          </cell>
          <cell r="AQ353" t="str">
            <v>1904247-1</v>
          </cell>
          <cell r="AR353" t="str">
            <v>1904247-2</v>
          </cell>
          <cell r="AS353" t="str">
            <v>1904247-3</v>
          </cell>
          <cell r="AT353" t="str">
            <v>1904247-4</v>
          </cell>
          <cell r="AU353" t="str">
            <v>1904247-5</v>
          </cell>
          <cell r="AV353" t="str">
            <v>1904247-6</v>
          </cell>
          <cell r="BA353" t="str">
            <v>540x860</v>
          </cell>
          <cell r="BB353" t="str">
            <v>G2</v>
          </cell>
        </row>
        <row r="354">
          <cell r="A354" t="str">
            <v>sp 1030</v>
          </cell>
          <cell r="B354" t="str">
            <v>Túi thuốc trừ cỏ Avitor Combi 800WP loại 70gr bảo vệ thực vật</v>
          </cell>
          <cell r="E354">
            <v>7</v>
          </cell>
          <cell r="F354">
            <v>7</v>
          </cell>
          <cell r="AO354" t="str">
            <v>Công ty CP Bảo vệ thực vật Trung ương 1</v>
          </cell>
          <cell r="AQ354" t="str">
            <v>16111002-1</v>
          </cell>
          <cell r="AR354" t="str">
            <v>1204638-2</v>
          </cell>
          <cell r="AS354" t="str">
            <v>16111002-3</v>
          </cell>
          <cell r="AT354" t="str">
            <v>1204638-4</v>
          </cell>
          <cell r="AU354" t="str">
            <v>16111002-5</v>
          </cell>
          <cell r="AV354" t="str">
            <v>16111002-6</v>
          </cell>
          <cell r="AW354" t="str">
            <v>1204638-7</v>
          </cell>
          <cell r="BA354" t="str">
            <v>420x1000</v>
          </cell>
          <cell r="BB354" t="str">
            <v>Q1</v>
          </cell>
        </row>
        <row r="355">
          <cell r="A355" t="str">
            <v>sp 1031</v>
          </cell>
          <cell r="B355" t="str">
            <v>Túi trà quả cầu đỏ Tân cương 100gr loại 21</v>
          </cell>
          <cell r="D355" t="str">
            <v>pet 12x740</v>
          </cell>
          <cell r="E355">
            <v>5</v>
          </cell>
          <cell r="F355">
            <v>5</v>
          </cell>
          <cell r="AO355" t="str">
            <v>Bùi Văn Sỹ</v>
          </cell>
          <cell r="AQ355" t="str">
            <v>1904578-1</v>
          </cell>
          <cell r="AR355" t="str">
            <v>1904578-2</v>
          </cell>
          <cell r="AS355" t="str">
            <v>1904578-3</v>
          </cell>
          <cell r="AT355" t="str">
            <v>1904578-4</v>
          </cell>
          <cell r="AU355" t="str">
            <v>1904578-5</v>
          </cell>
          <cell r="BA355" t="str">
            <v>540x860</v>
          </cell>
          <cell r="BB355" t="str">
            <v>G2</v>
          </cell>
        </row>
        <row r="356">
          <cell r="A356" t="str">
            <v>sp 1032</v>
          </cell>
          <cell r="B356" t="str">
            <v>Túi trà quả cầu đỏ Đặc sản 100gr loại 21</v>
          </cell>
          <cell r="D356" t="str">
            <v>pet 12x740</v>
          </cell>
          <cell r="E356">
            <v>3</v>
          </cell>
          <cell r="F356">
            <v>5</v>
          </cell>
          <cell r="AO356" t="str">
            <v>Bùi Văn Sỹ</v>
          </cell>
          <cell r="AQ356" t="str">
            <v>1904579-1</v>
          </cell>
          <cell r="AR356" t="str">
            <v>1904578-2</v>
          </cell>
          <cell r="AS356" t="str">
            <v>1904578-3</v>
          </cell>
          <cell r="AT356" t="str">
            <v>1904579-4</v>
          </cell>
          <cell r="AU356" t="str">
            <v>1904579-5</v>
          </cell>
          <cell r="BA356" t="str">
            <v>540x860</v>
          </cell>
          <cell r="BB356" t="str">
            <v>G3</v>
          </cell>
          <cell r="BC356" t="str">
            <v>chung cây 2,3 với sp 1031</v>
          </cell>
        </row>
        <row r="357">
          <cell r="A357" t="str">
            <v>sp 1033</v>
          </cell>
          <cell r="B357" t="str">
            <v>Túi trà quả cầu đỏ Tân cương 200gr loại 21</v>
          </cell>
          <cell r="D357" t="str">
            <v>pet 12x620</v>
          </cell>
          <cell r="E357">
            <v>5</v>
          </cell>
          <cell r="F357">
            <v>5</v>
          </cell>
          <cell r="AO357" t="str">
            <v>Bùi Văn Sỹ</v>
          </cell>
          <cell r="AQ357" t="str">
            <v>1904580-1</v>
          </cell>
          <cell r="AR357" t="str">
            <v>1904580-2</v>
          </cell>
          <cell r="AS357" t="str">
            <v>1904580-3</v>
          </cell>
          <cell r="AT357" t="str">
            <v>1904580-4</v>
          </cell>
          <cell r="AU357" t="str">
            <v>1904580-5</v>
          </cell>
          <cell r="BA357" t="str">
            <v>680x860</v>
          </cell>
          <cell r="BB357" t="str">
            <v>G3</v>
          </cell>
        </row>
        <row r="358">
          <cell r="A358" t="str">
            <v>sp 1034</v>
          </cell>
          <cell r="B358" t="str">
            <v>Túi trà quả cầu đỏ Đặc sản 200gr loại 21</v>
          </cell>
          <cell r="D358" t="str">
            <v>pet 12x620</v>
          </cell>
          <cell r="E358">
            <v>3</v>
          </cell>
          <cell r="F358">
            <v>5</v>
          </cell>
          <cell r="AO358" t="str">
            <v>Bùi Văn Sỹ</v>
          </cell>
          <cell r="AQ358" t="str">
            <v>1904581-1</v>
          </cell>
          <cell r="AR358" t="str">
            <v>1904580-2</v>
          </cell>
          <cell r="AS358" t="str">
            <v>1904580-3</v>
          </cell>
          <cell r="AT358" t="str">
            <v>1904581-4</v>
          </cell>
          <cell r="AU358" t="str">
            <v>1904581-5</v>
          </cell>
          <cell r="BA358" t="str">
            <v>680x860</v>
          </cell>
          <cell r="BB358" t="str">
            <v>G3</v>
          </cell>
          <cell r="BC358" t="str">
            <v>in chung cây 2,3 với sp 1033</v>
          </cell>
        </row>
        <row r="359">
          <cell r="A359" t="str">
            <v>sp 1035</v>
          </cell>
          <cell r="B359" t="str">
            <v>Túi trà quả cầu đỏ Tân cương 500gr loại 21</v>
          </cell>
          <cell r="D359" t="str">
            <v>pet 12x760</v>
          </cell>
          <cell r="E359">
            <v>5</v>
          </cell>
          <cell r="F359">
            <v>5</v>
          </cell>
          <cell r="AO359" t="str">
            <v>Bùi Văn Sỹ</v>
          </cell>
          <cell r="AQ359" t="str">
            <v>1904582-1</v>
          </cell>
          <cell r="AR359" t="str">
            <v>1904582-2</v>
          </cell>
          <cell r="AS359" t="str">
            <v>1904582-3</v>
          </cell>
          <cell r="AT359" t="str">
            <v>1904582-4</v>
          </cell>
          <cell r="AU359" t="str">
            <v>1904582-5</v>
          </cell>
          <cell r="BA359" t="str">
            <v>420x850</v>
          </cell>
          <cell r="BB359" t="str">
            <v>G3</v>
          </cell>
        </row>
        <row r="360">
          <cell r="A360" t="str">
            <v>sp 1036</v>
          </cell>
          <cell r="B360" t="str">
            <v>Túi trà quả cầu đỏ Đặc sản 500gr loại 21</v>
          </cell>
          <cell r="D360" t="str">
            <v>pet 12x760</v>
          </cell>
          <cell r="E360">
            <v>4</v>
          </cell>
          <cell r="F360">
            <v>5</v>
          </cell>
          <cell r="AO360" t="str">
            <v>Bùi Văn Sỹ</v>
          </cell>
          <cell r="AQ360" t="str">
            <v>1904583-1</v>
          </cell>
          <cell r="AR360" t="str">
            <v>1904582-2</v>
          </cell>
          <cell r="AS360" t="str">
            <v>1904582-3</v>
          </cell>
          <cell r="AT360" t="str">
            <v>1904583-4</v>
          </cell>
          <cell r="AU360" t="str">
            <v>1904583-5</v>
          </cell>
          <cell r="AV360" t="str">
            <v>1904583X2-1</v>
          </cell>
          <cell r="BA360" t="str">
            <v>420x850</v>
          </cell>
          <cell r="BB360" t="str">
            <v>G3</v>
          </cell>
          <cell r="BC360" t="str">
            <v>in chung cây 2,3 với sp 1035</v>
          </cell>
          <cell r="BD360" t="str">
            <v>có làm thêm 1 cây XL mới số 1 (X2 nằm bên trong cây trục )</v>
          </cell>
        </row>
        <row r="361">
          <cell r="A361" t="str">
            <v>sp 1037</v>
          </cell>
          <cell r="B361" t="str">
            <v>Cuộn bột canh ngon I-ốt 190gr Hải Châu</v>
          </cell>
          <cell r="D361" t="str">
            <v>OPP 20x900</v>
          </cell>
          <cell r="E361">
            <v>8</v>
          </cell>
          <cell r="F361">
            <v>8</v>
          </cell>
          <cell r="AO361" t="str">
            <v xml:space="preserve">Cty Hải châu </v>
          </cell>
          <cell r="AQ361" t="str">
            <v>F125558-1</v>
          </cell>
          <cell r="AR361" t="str">
            <v>F125558-2</v>
          </cell>
          <cell r="AS361" t="str">
            <v>F125558-3</v>
          </cell>
          <cell r="AT361" t="str">
            <v>F125558-4</v>
          </cell>
          <cell r="AU361" t="str">
            <v>F125558-5</v>
          </cell>
          <cell r="AV361" t="str">
            <v>F125558-6</v>
          </cell>
          <cell r="AW361" t="str">
            <v>F125558-7</v>
          </cell>
          <cell r="AX361" t="str">
            <v>F125558-8</v>
          </cell>
          <cell r="BA361" t="str">
            <v>1100x525</v>
          </cell>
          <cell r="BB361" t="str">
            <v>Q2</v>
          </cell>
        </row>
        <row r="362">
          <cell r="A362" t="str">
            <v>sp 1038</v>
          </cell>
        </row>
        <row r="363">
          <cell r="A363" t="str">
            <v>sp 1039</v>
          </cell>
          <cell r="B363" t="str">
            <v>Túi trà logo Tân cương 100gr loại 9</v>
          </cell>
          <cell r="E363">
            <v>1</v>
          </cell>
          <cell r="F363">
            <v>2</v>
          </cell>
          <cell r="AO363" t="str">
            <v>Bùi Văn Sỹ</v>
          </cell>
          <cell r="AQ363" t="str">
            <v>1904747-1</v>
          </cell>
          <cell r="AR363" t="str">
            <v>1803222-2</v>
          </cell>
          <cell r="BA363" t="str">
            <v>540x850</v>
          </cell>
          <cell r="BB363" t="str">
            <v>G3</v>
          </cell>
          <cell r="BC363" t="str">
            <v>in chung cây Vàng số 2 vs sp 885</v>
          </cell>
        </row>
        <row r="364">
          <cell r="A364" t="str">
            <v>sp 1040</v>
          </cell>
          <cell r="B364" t="str">
            <v>Túi gạc răng miệng Dr.papie</v>
          </cell>
          <cell r="E364">
            <v>5</v>
          </cell>
          <cell r="F364">
            <v>5</v>
          </cell>
          <cell r="AO364" t="str">
            <v>Công ty dược phẩm Starmex</v>
          </cell>
          <cell r="AQ364" t="str">
            <v>F122657G16-1</v>
          </cell>
          <cell r="AR364" t="str">
            <v>F122657G21-2</v>
          </cell>
          <cell r="AS364" t="str">
            <v>F122657G15-3</v>
          </cell>
          <cell r="AT364" t="str">
            <v>F122657G17-4</v>
          </cell>
          <cell r="AU364" t="str">
            <v>F122657G19-0  date 062021</v>
          </cell>
          <cell r="AV364" t="str">
            <v>F122657G18-0  date 052021</v>
          </cell>
          <cell r="BA364" t="str">
            <v xml:space="preserve">440x750 </v>
          </cell>
          <cell r="BB364" t="str">
            <v>Q2</v>
          </cell>
          <cell r="BD364" t="str">
            <v>thêm cây đen số 0 , THÊM CÂY G9 MỚI</v>
          </cell>
        </row>
        <row r="365">
          <cell r="A365" t="str">
            <v>sp 1044</v>
          </cell>
          <cell r="B365" t="str">
            <v>Túi thuốc trừ sâu Neretox 95WP loại 20gr - BVTV</v>
          </cell>
          <cell r="D365" t="str">
            <v>PET 12x740</v>
          </cell>
          <cell r="E365">
            <v>7</v>
          </cell>
          <cell r="F365">
            <v>7</v>
          </cell>
          <cell r="AO365" t="str">
            <v>Công ty CP Bảo vệ thực vật Trung ương 1</v>
          </cell>
          <cell r="AQ365" t="str">
            <v>F122579G1-1</v>
          </cell>
          <cell r="AR365" t="str">
            <v>F122579-2</v>
          </cell>
          <cell r="AS365" t="str">
            <v>F122579-3</v>
          </cell>
          <cell r="AT365" t="str">
            <v>F122579-4</v>
          </cell>
          <cell r="AU365" t="str">
            <v>F122579-5</v>
          </cell>
          <cell r="AV365" t="str">
            <v>F122579-6</v>
          </cell>
          <cell r="AW365" t="str">
            <v>F122579-7</v>
          </cell>
          <cell r="BA365" t="str">
            <v>480x820</v>
          </cell>
          <cell r="BB365" t="str">
            <v>Q2</v>
          </cell>
        </row>
        <row r="366">
          <cell r="A366" t="str">
            <v>sp 1045</v>
          </cell>
          <cell r="B366" t="str">
            <v>Túi quả cầu xanh Tân cương 500gr loại 21</v>
          </cell>
          <cell r="E366" t="str">
            <v>sp 1035</v>
          </cell>
          <cell r="F366">
            <v>5</v>
          </cell>
          <cell r="AO366" t="str">
            <v>Bùi Văn Sỹ</v>
          </cell>
          <cell r="AQ366" t="str">
            <v>1904582-1</v>
          </cell>
          <cell r="AR366" t="str">
            <v>1904582-2</v>
          </cell>
          <cell r="AS366" t="str">
            <v>1904582-3</v>
          </cell>
          <cell r="AT366" t="str">
            <v>1904582-4</v>
          </cell>
          <cell r="AU366" t="str">
            <v>1904582-5</v>
          </cell>
          <cell r="BA366" t="str">
            <v>420x850</v>
          </cell>
          <cell r="BB366" t="str">
            <v>G3</v>
          </cell>
          <cell r="BC366" t="str">
            <v>in chung bộ sp 1035</v>
          </cell>
        </row>
        <row r="368">
          <cell r="A368" t="str">
            <v>sp 1048</v>
          </cell>
          <cell r="B368" t="str">
            <v xml:space="preserve">Túi gạo làng sen 3kg sen quê bác </v>
          </cell>
          <cell r="D368" t="str">
            <v>PET 12x560</v>
          </cell>
          <cell r="E368">
            <v>6</v>
          </cell>
          <cell r="F368">
            <v>6</v>
          </cell>
          <cell r="AO368" t="str">
            <v>HTX nông nghiệp làng sen quê bác</v>
          </cell>
          <cell r="AQ368" t="str">
            <v>1905761-1</v>
          </cell>
          <cell r="AR368" t="str">
            <v>1905761-2</v>
          </cell>
          <cell r="AS368" t="str">
            <v>1905761-3</v>
          </cell>
          <cell r="AT368" t="str">
            <v>1905761-4</v>
          </cell>
          <cell r="AU368" t="str">
            <v>1905761-5</v>
          </cell>
          <cell r="AV368" t="str">
            <v>1905761-6</v>
          </cell>
          <cell r="BA368" t="str">
            <v>410x860</v>
          </cell>
          <cell r="BB368" t="str">
            <v>Q2</v>
          </cell>
        </row>
        <row r="369">
          <cell r="A369" t="str">
            <v>sp 1049</v>
          </cell>
          <cell r="B369" t="str">
            <v>Túi trà chữ đỏ thượng hạng tân cương và đặc sản 200gr loại loại 15</v>
          </cell>
          <cell r="D369" t="str">
            <v>PET 12x620</v>
          </cell>
          <cell r="E369">
            <v>7</v>
          </cell>
          <cell r="F369">
            <v>7</v>
          </cell>
          <cell r="AO369" t="str">
            <v>Bùi Văn Sỹ</v>
          </cell>
          <cell r="AQ369" t="str">
            <v>1704680-1</v>
          </cell>
          <cell r="AR369" t="str">
            <v>1704680-2</v>
          </cell>
          <cell r="AS369" t="str">
            <v>1704680-3</v>
          </cell>
          <cell r="AT369" t="str">
            <v>1704680-4</v>
          </cell>
          <cell r="AU369" t="str">
            <v>1704680-5</v>
          </cell>
          <cell r="AV369" t="str">
            <v>1704680-6</v>
          </cell>
          <cell r="AW369" t="str">
            <v>1704680-7</v>
          </cell>
          <cell r="BA369" t="str">
            <v>680x680</v>
          </cell>
          <cell r="BB369" t="str">
            <v>G3</v>
          </cell>
        </row>
        <row r="370">
          <cell r="A370" t="str">
            <v>sp 1050</v>
          </cell>
          <cell r="B370" t="str">
            <v xml:space="preserve">Túi trà tan Cozy ice tea hương chanh dây 400gr Vĩnh Phúc </v>
          </cell>
          <cell r="D370" t="str">
            <v>PET 12x620</v>
          </cell>
          <cell r="E370">
            <v>7</v>
          </cell>
          <cell r="F370">
            <v>7</v>
          </cell>
          <cell r="AO370" t="str">
            <v>Công ty Vĩnh Phúc</v>
          </cell>
          <cell r="AQ370" t="str">
            <v>X105890-1</v>
          </cell>
          <cell r="AR370" t="str">
            <v>X105890-2</v>
          </cell>
          <cell r="AS370" t="str">
            <v>X105890-3</v>
          </cell>
          <cell r="AT370" t="str">
            <v>X105890-4</v>
          </cell>
          <cell r="AU370" t="str">
            <v>X105890-5</v>
          </cell>
          <cell r="AV370" t="str">
            <v>X105890-6</v>
          </cell>
          <cell r="AW370" t="str">
            <v>X105890G1-0 cam</v>
          </cell>
          <cell r="BA370" t="str">
            <v>500x860</v>
          </cell>
          <cell r="BB370" t="str">
            <v>A2</v>
          </cell>
          <cell r="BC370" t="str">
            <v>In chung zcam số 0 với sp 1055</v>
          </cell>
        </row>
        <row r="371">
          <cell r="A371" t="str">
            <v>sp 1051</v>
          </cell>
          <cell r="B371" t="str">
            <v xml:space="preserve">Túi trà tan Cozy ice tea hương bí đao 400gr Vĩnh Phúc </v>
          </cell>
          <cell r="D371" t="str">
            <v>PET 12x620</v>
          </cell>
          <cell r="E371">
            <v>6</v>
          </cell>
          <cell r="F371">
            <v>7</v>
          </cell>
          <cell r="AO371" t="str">
            <v>Công ty Vĩnh Phúc</v>
          </cell>
          <cell r="AQ371" t="str">
            <v>X105892-1</v>
          </cell>
          <cell r="AR371" t="str">
            <v>X105892-2</v>
          </cell>
          <cell r="AS371" t="str">
            <v>X105892-3</v>
          </cell>
          <cell r="AT371" t="str">
            <v>X105892-4</v>
          </cell>
          <cell r="AU371" t="str">
            <v>X105892-5</v>
          </cell>
          <cell r="AV371" t="str">
            <v>X105890-6</v>
          </cell>
          <cell r="AW371" t="str">
            <v>X105892G1- 0 cam</v>
          </cell>
          <cell r="BA371" t="str">
            <v>500x860</v>
          </cell>
          <cell r="BB371" t="str">
            <v>A2</v>
          </cell>
          <cell r="BC371" t="str">
            <v>in chung cây Trắng số 6 vs sp 1050</v>
          </cell>
        </row>
        <row r="372">
          <cell r="A372" t="str">
            <v>sp 1052</v>
          </cell>
          <cell r="B372" t="str">
            <v>Cuộn bột canh I-ốt 190gr Hải Châu</v>
          </cell>
          <cell r="D372" t="str">
            <v>OPP 20x900</v>
          </cell>
          <cell r="E372">
            <v>8</v>
          </cell>
          <cell r="F372">
            <v>8</v>
          </cell>
          <cell r="AO372" t="str">
            <v>Công ty Hải châu</v>
          </cell>
          <cell r="AQ372" t="str">
            <v>F125814G2-1</v>
          </cell>
          <cell r="AR372" t="str">
            <v>F125814G2-2</v>
          </cell>
          <cell r="AS372" t="str">
            <v>F125814-3</v>
          </cell>
          <cell r="AT372" t="str">
            <v>F125814-4</v>
          </cell>
          <cell r="AU372" t="str">
            <v>F125814-5</v>
          </cell>
          <cell r="AV372" t="str">
            <v>F125814-6</v>
          </cell>
          <cell r="AW372" t="str">
            <v>F125814-7</v>
          </cell>
          <cell r="AX372" t="str">
            <v>F125814G1-8</v>
          </cell>
          <cell r="BA372" t="str">
            <v>525x1100</v>
          </cell>
          <cell r="BB372" t="str">
            <v>Q2</v>
          </cell>
          <cell r="BD372" t="str">
            <v>Thêm cây zDo</v>
          </cell>
        </row>
        <row r="373">
          <cell r="A373" t="str">
            <v>sp 1053</v>
          </cell>
          <cell r="B373" t="str">
            <v>Túi trà  ấm nghiêng tân cương, đặc sản 200gr loại 21</v>
          </cell>
          <cell r="D373" t="str">
            <v>PET 12x620</v>
          </cell>
          <cell r="E373">
            <v>7</v>
          </cell>
          <cell r="F373">
            <v>7</v>
          </cell>
          <cell r="AO373" t="str">
            <v>Bùi Văn Sỹ</v>
          </cell>
          <cell r="AQ373" t="str">
            <v>1707292-1</v>
          </cell>
          <cell r="AR373" t="str">
            <v>1707292-2</v>
          </cell>
          <cell r="AS373" t="str">
            <v>1707292-3</v>
          </cell>
          <cell r="AT373" t="str">
            <v>1707292-4</v>
          </cell>
          <cell r="AU373" t="str">
            <v>1707292-5</v>
          </cell>
          <cell r="AV373" t="str">
            <v>1707292-6</v>
          </cell>
          <cell r="AW373" t="str">
            <v>1707292-7</v>
          </cell>
          <cell r="BA373" t="str">
            <v>680x680</v>
          </cell>
          <cell r="BB373" t="str">
            <v>G3</v>
          </cell>
        </row>
        <row r="374">
          <cell r="A374" t="str">
            <v>sp 1055</v>
          </cell>
          <cell r="B374" t="str">
            <v xml:space="preserve">Túi trà tan cozy ice tea hương đào 400gr vĩnh phúc </v>
          </cell>
          <cell r="D374" t="str">
            <v>Pet 12x620</v>
          </cell>
          <cell r="E374">
            <v>6</v>
          </cell>
          <cell r="F374">
            <v>7</v>
          </cell>
          <cell r="AO374" t="str">
            <v>Công ty Vĩnh Phúc</v>
          </cell>
          <cell r="AQ374" t="str">
            <v>X106021-1</v>
          </cell>
          <cell r="AR374" t="str">
            <v>X106021-2</v>
          </cell>
          <cell r="AS374" t="str">
            <v>X106021-3</v>
          </cell>
          <cell r="AT374" t="str">
            <v>X106021-4</v>
          </cell>
          <cell r="AU374" t="str">
            <v>X106021-5</v>
          </cell>
          <cell r="AV374" t="str">
            <v>X105890-6</v>
          </cell>
          <cell r="AW374" t="str">
            <v>X106021G1-0 cam</v>
          </cell>
          <cell r="BA374" t="str">
            <v>500x860</v>
          </cell>
          <cell r="BB374" t="str">
            <v>A2</v>
          </cell>
          <cell r="BC374" t="str">
            <v>in chung cây Trắng số 6 vs sp 1050</v>
          </cell>
        </row>
        <row r="375">
          <cell r="A375" t="str">
            <v>sp 1056</v>
          </cell>
          <cell r="B375" t="str">
            <v xml:space="preserve">Cuộn giấy gói Tipo túi nội địa 220g và 115g </v>
          </cell>
          <cell r="D375" t="str">
            <v>OPP 20x700</v>
          </cell>
          <cell r="E375">
            <v>1</v>
          </cell>
          <cell r="F375">
            <v>8</v>
          </cell>
          <cell r="AO375" t="str">
            <v>Công ty Hữu Nghị</v>
          </cell>
          <cell r="AQ375" t="str">
            <v>F121164-1</v>
          </cell>
          <cell r="AR375" t="str">
            <v>F121164-2</v>
          </cell>
          <cell r="AS375" t="str">
            <v>F121164G4NG2-3</v>
          </cell>
          <cell r="AT375" t="str">
            <v>F121164-4</v>
          </cell>
          <cell r="AU375" t="str">
            <v>F121164G4-5</v>
          </cell>
          <cell r="AV375" t="str">
            <v>F121164-6</v>
          </cell>
          <cell r="AW375" t="str">
            <v>F121164G3-7</v>
          </cell>
          <cell r="AX375" t="str">
            <v>F121164G1-0</v>
          </cell>
          <cell r="BA375" t="str">
            <v>500x870</v>
          </cell>
          <cell r="BB375" t="str">
            <v>B1</v>
          </cell>
          <cell r="BC375" t="str">
            <v>in chung với bộ trục 960 khác cây đỏ cờ số 3</v>
          </cell>
          <cell r="BD375" t="str">
            <v>cây Z đỏ cờ vị trí số 3</v>
          </cell>
        </row>
        <row r="376">
          <cell r="A376" t="str">
            <v>sp 1057</v>
          </cell>
          <cell r="B376" t="str">
            <v>Túi trà tam mã hương lài Vĩnh Phúc 500gr Vĩnh Phúc</v>
          </cell>
          <cell r="D376" t="str">
            <v>OPP 20x960</v>
          </cell>
          <cell r="E376">
            <v>6</v>
          </cell>
          <cell r="F376">
            <v>7</v>
          </cell>
          <cell r="AO376" t="str">
            <v>Công ty Vĩnh Phúc</v>
          </cell>
          <cell r="AQ376" t="str">
            <v>F123477-1</v>
          </cell>
          <cell r="AR376" t="str">
            <v>F123477-2</v>
          </cell>
          <cell r="AS376" t="str">
            <v>F123477-3</v>
          </cell>
          <cell r="AT376" t="str">
            <v>F123477-4</v>
          </cell>
          <cell r="AU376" t="str">
            <v>F123477-5</v>
          </cell>
          <cell r="AV376" t="str">
            <v>F123477-6</v>
          </cell>
          <cell r="AW376" t="str">
            <v>F122947-7</v>
          </cell>
          <cell r="BA376" t="str">
            <v>680x1100</v>
          </cell>
          <cell r="BB376" t="str">
            <v>A2</v>
          </cell>
          <cell r="BC376" t="str">
            <v>in chung cây trắng số 7 của sp 1059</v>
          </cell>
          <cell r="BE376" t="str">
            <v>Đ, XD, ĐS, V, ZX,N, T</v>
          </cell>
        </row>
        <row r="377">
          <cell r="A377" t="str">
            <v>sp 1058</v>
          </cell>
          <cell r="B377" t="str">
            <v>Túi trà tam mã hương sâm dứa 500gr Vĩnh Phúc</v>
          </cell>
          <cell r="D377" t="str">
            <v>OPP 20x960</v>
          </cell>
          <cell r="E377">
            <v>6</v>
          </cell>
          <cell r="F377">
            <v>7</v>
          </cell>
          <cell r="AO377" t="str">
            <v>Công ty Vĩnh Phúc</v>
          </cell>
          <cell r="AQ377" t="str">
            <v>F123473-1</v>
          </cell>
          <cell r="AR377" t="str">
            <v>F123473-2</v>
          </cell>
          <cell r="AS377" t="str">
            <v>F123473-3</v>
          </cell>
          <cell r="AT377" t="str">
            <v>F123473-4</v>
          </cell>
          <cell r="AU377" t="str">
            <v>F123473-5</v>
          </cell>
          <cell r="AV377" t="str">
            <v>F123473-6</v>
          </cell>
          <cell r="AW377" t="str">
            <v>F122947-7</v>
          </cell>
          <cell r="BA377" t="str">
            <v>680x1100</v>
          </cell>
          <cell r="BB377" t="str">
            <v>A2</v>
          </cell>
          <cell r="BC377" t="str">
            <v>in chung cây trắng 7 của sp 1059</v>
          </cell>
          <cell r="BE377" t="str">
            <v>Đ,XD,DS,V,ZX,N</v>
          </cell>
        </row>
        <row r="378">
          <cell r="A378" t="str">
            <v>sp 1059</v>
          </cell>
          <cell r="B378" t="str">
            <v>Túi trà tam mã hương hồng trà 500gr Vĩnh Phúc</v>
          </cell>
          <cell r="D378" t="str">
            <v>OPP 20x960</v>
          </cell>
          <cell r="E378">
            <v>6</v>
          </cell>
          <cell r="F378">
            <v>6</v>
          </cell>
          <cell r="AO378" t="str">
            <v>Công ty Vĩnh Phúc</v>
          </cell>
          <cell r="AR378" t="str">
            <v>F122947-2</v>
          </cell>
          <cell r="AS378" t="str">
            <v>F122947-3</v>
          </cell>
          <cell r="AT378" t="str">
            <v>F122947-4</v>
          </cell>
          <cell r="AU378" t="str">
            <v>F122947-5</v>
          </cell>
          <cell r="AV378" t="str">
            <v>F122947-6</v>
          </cell>
          <cell r="AW378" t="str">
            <v>F122947-7</v>
          </cell>
          <cell r="BA378" t="str">
            <v>680x1100</v>
          </cell>
          <cell r="BB378" t="str">
            <v>A2</v>
          </cell>
          <cell r="BD378" t="str">
            <v>cây đen ở vị trí số 2</v>
          </cell>
          <cell r="BE378" t="str">
            <v>Đ, XD,DS,V,ZN</v>
          </cell>
        </row>
        <row r="379">
          <cell r="A379" t="str">
            <v>sp 1060</v>
          </cell>
          <cell r="B379" t="str">
            <v>Túi trà quả cầu xanh đặc sản 500g loại 21</v>
          </cell>
          <cell r="D379" t="str">
            <v>Pet 12x760</v>
          </cell>
          <cell r="E379" t="str">
            <v xml:space="preserve"> sp 1036</v>
          </cell>
          <cell r="F379">
            <v>5</v>
          </cell>
          <cell r="AO379" t="str">
            <v>Bùi Văn Sỹ</v>
          </cell>
          <cell r="AQ379" t="str">
            <v>1904583-1</v>
          </cell>
          <cell r="AR379" t="str">
            <v>1904582-2</v>
          </cell>
          <cell r="AS379" t="str">
            <v>1904582-3</v>
          </cell>
          <cell r="AT379" t="str">
            <v>1904583-4</v>
          </cell>
          <cell r="AU379" t="str">
            <v>1904583-5</v>
          </cell>
          <cell r="AV379" t="str">
            <v>1904583X2-1</v>
          </cell>
          <cell r="BA379" t="str">
            <v>420x850</v>
          </cell>
          <cell r="BB379" t="str">
            <v>G3</v>
          </cell>
          <cell r="BC379" t="str">
            <v>in giống sp 1036</v>
          </cell>
        </row>
        <row r="380">
          <cell r="A380" t="str">
            <v>sp 1061</v>
          </cell>
          <cell r="B380" t="str">
            <v>Cuộn tipo bánh trứng sữa 300gr
,250gr dẹt,153 dẹt xuất khẩu hữu nghị</v>
          </cell>
          <cell r="E380">
            <v>8</v>
          </cell>
          <cell r="F380">
            <v>8</v>
          </cell>
          <cell r="AO380" t="str">
            <v>Công ty Hữu Nghị</v>
          </cell>
          <cell r="AQ380" t="str">
            <v>F123985-1</v>
          </cell>
          <cell r="AR380" t="str">
            <v>F123985-2</v>
          </cell>
          <cell r="AS380" t="str">
            <v>F123985-3</v>
          </cell>
          <cell r="AT380" t="str">
            <v>F123985-4</v>
          </cell>
          <cell r="AU380" t="str">
            <v>F123985-5</v>
          </cell>
          <cell r="AV380" t="str">
            <v>F123985-6</v>
          </cell>
          <cell r="AW380" t="str">
            <v>F123985-7</v>
          </cell>
          <cell r="AX380" t="str">
            <v>F123985-8</v>
          </cell>
          <cell r="BA380" t="str">
            <v>500x1100</v>
          </cell>
          <cell r="BB380" t="str">
            <v>B1</v>
          </cell>
        </row>
        <row r="381">
          <cell r="A381" t="str">
            <v>sp 1062</v>
          </cell>
          <cell r="B381" t="str">
            <v>Cuộn trà cozy tan loại que ice tea hương chanh dây</v>
          </cell>
          <cell r="D381" t="str">
            <v xml:space="preserve">PET </v>
          </cell>
          <cell r="E381">
            <v>7</v>
          </cell>
          <cell r="F381">
            <v>7</v>
          </cell>
          <cell r="AO381" t="str">
            <v>Công ty Vĩnh Phúc</v>
          </cell>
          <cell r="AQ381" t="str">
            <v xml:space="preserve">F123486-1 </v>
          </cell>
          <cell r="AR381" t="str">
            <v xml:space="preserve">F123486-2 </v>
          </cell>
          <cell r="AS381" t="str">
            <v xml:space="preserve">F123486-3 </v>
          </cell>
          <cell r="AT381" t="str">
            <v>F123486-4</v>
          </cell>
          <cell r="AU381" t="str">
            <v>F123486-5</v>
          </cell>
          <cell r="AV381" t="str">
            <v>F123486-6</v>
          </cell>
          <cell r="AW381" t="str">
            <v>F123486-7</v>
          </cell>
          <cell r="BA381" t="str">
            <v>450x1100</v>
          </cell>
          <cell r="BB381" t="str">
            <v>A2</v>
          </cell>
          <cell r="BE381" t="str">
            <v>Đ, ZX,XD,ĐS,V,ZN, W</v>
          </cell>
        </row>
        <row r="382">
          <cell r="A382" t="str">
            <v>sp 1063</v>
          </cell>
        </row>
        <row r="383">
          <cell r="A383" t="str">
            <v>sp 1064</v>
          </cell>
        </row>
        <row r="384">
          <cell r="A384" t="str">
            <v>sp 1065</v>
          </cell>
          <cell r="B384" t="str">
            <v>Cuộn bánh quẩy lộc phát vị mật ong 135gr Anko</v>
          </cell>
          <cell r="D384" t="str">
            <v>OPP 20x860</v>
          </cell>
          <cell r="E384">
            <v>7</v>
          </cell>
          <cell r="F384">
            <v>7</v>
          </cell>
          <cell r="AO384" t="str">
            <v>Công ty sx và TM asi Miền Bắc</v>
          </cell>
          <cell r="AQ384" t="str">
            <v>F124018G1-1</v>
          </cell>
          <cell r="AR384" t="str">
            <v>F124018-2</v>
          </cell>
          <cell r="AS384" t="str">
            <v>F124018-3</v>
          </cell>
          <cell r="AT384" t="str">
            <v>F124018-4</v>
          </cell>
          <cell r="AU384" t="str">
            <v>F124018G2-5</v>
          </cell>
          <cell r="AV384" t="str">
            <v>F124018G1-6</v>
          </cell>
          <cell r="AW384" t="str">
            <v>F124018-7</v>
          </cell>
          <cell r="BA384" t="str">
            <v>530x1100</v>
          </cell>
          <cell r="BB384" t="str">
            <v>Q2</v>
          </cell>
        </row>
        <row r="385">
          <cell r="A385" t="str">
            <v>sp 1066</v>
          </cell>
          <cell r="B385" t="str">
            <v xml:space="preserve">Túi hương trầm cao cấp Liên Đức </v>
          </cell>
          <cell r="E385">
            <v>5</v>
          </cell>
          <cell r="F385">
            <v>5</v>
          </cell>
          <cell r="AO385" t="str">
            <v>DNTN Bảy lương (Tâm Đức)</v>
          </cell>
          <cell r="AQ385" t="str">
            <v>1908189-1</v>
          </cell>
          <cell r="AR385" t="str">
            <v>1908189-2</v>
          </cell>
          <cell r="AS385" t="str">
            <v>1908189-3</v>
          </cell>
          <cell r="AT385" t="str">
            <v>1908189-4</v>
          </cell>
          <cell r="AU385" t="str">
            <v>1908189-5</v>
          </cell>
          <cell r="BA385" t="str">
            <v>465x850</v>
          </cell>
          <cell r="BB385" t="str">
            <v>Q2</v>
          </cell>
        </row>
        <row r="386">
          <cell r="A386" t="str">
            <v>sp 1067</v>
          </cell>
          <cell r="B386" t="str">
            <v>Cuộn bột giặt Kwash 3000gr</v>
          </cell>
          <cell r="D386" t="str">
            <v>PA 15x760</v>
          </cell>
          <cell r="E386">
            <v>6</v>
          </cell>
          <cell r="F386">
            <v>6</v>
          </cell>
          <cell r="AO386" t="str">
            <v>Công ty Đức giang</v>
          </cell>
          <cell r="AQ386" t="str">
            <v>F124026-1</v>
          </cell>
          <cell r="AR386" t="str">
            <v>F124026-2</v>
          </cell>
          <cell r="AS386" t="str">
            <v>F124026-3</v>
          </cell>
          <cell r="AT386" t="str">
            <v>F124026-4</v>
          </cell>
          <cell r="AU386" t="str">
            <v>F124026-5</v>
          </cell>
          <cell r="AV386" t="str">
            <v>F124026-6</v>
          </cell>
          <cell r="BA386" t="str">
            <v>860x432</v>
          </cell>
          <cell r="BB386" t="str">
            <v>Q2</v>
          </cell>
        </row>
        <row r="387">
          <cell r="A387" t="str">
            <v>sp 1068</v>
          </cell>
          <cell r="B387" t="str">
            <v xml:space="preserve">Cuộn bột giặt chất lượng cao will 2.5kg </v>
          </cell>
          <cell r="E387">
            <v>6</v>
          </cell>
          <cell r="F387">
            <v>6</v>
          </cell>
          <cell r="AO387" t="str">
            <v>Công ty Đức giang</v>
          </cell>
          <cell r="AQ387" t="str">
            <v>F124130-1</v>
          </cell>
          <cell r="AR387" t="str">
            <v>F124130-2</v>
          </cell>
          <cell r="AS387" t="str">
            <v>F124130-3</v>
          </cell>
          <cell r="AT387" t="str">
            <v>F124130-4</v>
          </cell>
          <cell r="AU387" t="str">
            <v>F124130-5</v>
          </cell>
          <cell r="AV387" t="str">
            <v>F124130-6</v>
          </cell>
          <cell r="BA387" t="str">
            <v>780x860</v>
          </cell>
          <cell r="BB387" t="str">
            <v>U2</v>
          </cell>
        </row>
        <row r="388">
          <cell r="A388" t="str">
            <v>sp 1069</v>
          </cell>
          <cell r="B388" t="str">
            <v>Cuộn bột giặt nano hương hoa thiên nhiên 3kg- alo sun</v>
          </cell>
          <cell r="E388">
            <v>7</v>
          </cell>
          <cell r="F388">
            <v>7</v>
          </cell>
          <cell r="AO388" t="str">
            <v>Cty alo sun</v>
          </cell>
          <cell r="AQ388" t="str">
            <v>F124164-1</v>
          </cell>
          <cell r="AR388" t="str">
            <v>F124164-2</v>
          </cell>
          <cell r="AS388" t="str">
            <v>F124164-3</v>
          </cell>
          <cell r="AT388" t="str">
            <v>F124164-4</v>
          </cell>
          <cell r="AU388" t="str">
            <v>F124164-5</v>
          </cell>
          <cell r="AV388" t="str">
            <v>F124164-6</v>
          </cell>
          <cell r="AW388" t="str">
            <v>F124164-7</v>
          </cell>
          <cell r="BA388" t="str">
            <v>422x870</v>
          </cell>
          <cell r="BB388" t="str">
            <v>Q2</v>
          </cell>
        </row>
        <row r="389">
          <cell r="A389" t="str">
            <v>sp 1070</v>
          </cell>
          <cell r="B389" t="str">
            <v xml:space="preserve">Túi trà tan cozy ice tea hương chanh 400gr </v>
          </cell>
          <cell r="E389">
            <v>6</v>
          </cell>
          <cell r="F389">
            <v>7</v>
          </cell>
          <cell r="AO389" t="str">
            <v>Công ty Vĩnh Phúc</v>
          </cell>
          <cell r="AQ389" t="str">
            <v>X106818-1</v>
          </cell>
          <cell r="AR389" t="str">
            <v>X106818-2</v>
          </cell>
          <cell r="AS389" t="str">
            <v>X106818-3</v>
          </cell>
          <cell r="AT389" t="str">
            <v>X106818-4</v>
          </cell>
          <cell r="AU389" t="str">
            <v>X106818-5</v>
          </cell>
          <cell r="AV389" t="str">
            <v>X106818-6</v>
          </cell>
          <cell r="AW389" t="str">
            <v>X105890-7</v>
          </cell>
          <cell r="BA389" t="str">
            <v>500x860</v>
          </cell>
          <cell r="BB389" t="str">
            <v>A3</v>
          </cell>
          <cell r="BC389" t="str">
            <v xml:space="preserve">in chung cây trắng sp 1050 </v>
          </cell>
        </row>
        <row r="390">
          <cell r="A390" t="str">
            <v>sp 1071</v>
          </cell>
          <cell r="B390" t="str">
            <v>Túi thuốc SIFATA 10gr 36wp/sp</v>
          </cell>
          <cell r="E390">
            <v>6</v>
          </cell>
          <cell r="F390">
            <v>6</v>
          </cell>
          <cell r="AO390" t="str">
            <v>Công ty Việt Thắng</v>
          </cell>
          <cell r="AQ390" t="str">
            <v>19081114-1</v>
          </cell>
          <cell r="AR390" t="str">
            <v>19081114-2</v>
          </cell>
          <cell r="AS390" t="str">
            <v>19081114-3</v>
          </cell>
          <cell r="AT390" t="str">
            <v>19081114-4</v>
          </cell>
          <cell r="AU390" t="str">
            <v>19081114-5</v>
          </cell>
          <cell r="AV390" t="str">
            <v>19081114-6</v>
          </cell>
          <cell r="BA390" t="str">
            <v>450x870</v>
          </cell>
          <cell r="BB390" t="str">
            <v>D4</v>
          </cell>
        </row>
        <row r="391">
          <cell r="A391" t="str">
            <v>sp 1072</v>
          </cell>
          <cell r="B391" t="str">
            <v>Túi thuốc sâu VT- DAX 12g</v>
          </cell>
          <cell r="E391">
            <v>6</v>
          </cell>
          <cell r="F391">
            <v>6</v>
          </cell>
          <cell r="AO391" t="str">
            <v>Công ty Việt Thắng</v>
          </cell>
          <cell r="AQ391" t="str">
            <v>21050947-1</v>
          </cell>
          <cell r="AR391" t="str">
            <v>21050947-2</v>
          </cell>
          <cell r="AS391" t="str">
            <v>21050947-3</v>
          </cell>
          <cell r="AT391" t="str">
            <v>19081115-4</v>
          </cell>
          <cell r="AU391" t="str">
            <v>21050947-5</v>
          </cell>
          <cell r="AV391" t="str">
            <v>19081115-6</v>
          </cell>
          <cell r="BA391" t="str">
            <v>450x870</v>
          </cell>
          <cell r="BB391" t="str">
            <v>D4</v>
          </cell>
        </row>
        <row r="392">
          <cell r="A392" t="str">
            <v>sp 1073</v>
          </cell>
          <cell r="B392" t="str">
            <v xml:space="preserve">Túi trân châu 3Q Green jelly </v>
          </cell>
          <cell r="E392">
            <v>7</v>
          </cell>
          <cell r="F392">
            <v>7</v>
          </cell>
          <cell r="AO392" t="str">
            <v>Công ty Salafood</v>
          </cell>
          <cell r="AQ392" t="str">
            <v>F124439-1</v>
          </cell>
          <cell r="AR392" t="str">
            <v>F124439-2</v>
          </cell>
          <cell r="AS392" t="str">
            <v>F124439-3</v>
          </cell>
          <cell r="AT392" t="str">
            <v>F124439-4</v>
          </cell>
          <cell r="AU392" t="str">
            <v>F124439-5</v>
          </cell>
          <cell r="AV392" t="str">
            <v>F124439-6</v>
          </cell>
          <cell r="AW392" t="str">
            <v>F124439-7</v>
          </cell>
          <cell r="BA392" t="str">
            <v>440x870</v>
          </cell>
          <cell r="BB392" t="str">
            <v>Q2</v>
          </cell>
        </row>
        <row r="393">
          <cell r="A393" t="str">
            <v>sp 1074</v>
          </cell>
          <cell r="B393" t="str">
            <v xml:space="preserve">Túi men rượu nếp cái hoa vàng trung tiến 500gr </v>
          </cell>
          <cell r="E393">
            <v>7</v>
          </cell>
          <cell r="F393">
            <v>7</v>
          </cell>
          <cell r="AO393" t="str">
            <v>Công ty Trung Tiến</v>
          </cell>
          <cell r="AQ393" t="str">
            <v>F124247-1</v>
          </cell>
          <cell r="AR393" t="str">
            <v>F124247-2</v>
          </cell>
          <cell r="AS393" t="str">
            <v>F124247-3</v>
          </cell>
          <cell r="AT393" t="str">
            <v>F124247-4</v>
          </cell>
          <cell r="AU393" t="str">
            <v>F124247-5</v>
          </cell>
          <cell r="AV393" t="str">
            <v>F124247-6</v>
          </cell>
          <cell r="AW393" t="str">
            <v>F124247-7</v>
          </cell>
          <cell r="BA393" t="str">
            <v>540x870</v>
          </cell>
          <cell r="BB393" t="str">
            <v>Q2</v>
          </cell>
          <cell r="BC393" t="str">
            <v>Bỏ cây trắng do chạy PE sứ</v>
          </cell>
        </row>
        <row r="394">
          <cell r="A394" t="str">
            <v>sp 1075</v>
          </cell>
          <cell r="B394" t="str">
            <v>Túi  giống lúa lai 838 cấp giống hạt lai F1 tiếng trung 1kg Thái Bình</v>
          </cell>
          <cell r="E394">
            <v>6</v>
          </cell>
          <cell r="F394">
            <v>7</v>
          </cell>
          <cell r="AO394" t="str">
            <v>Công ty Thái Bình</v>
          </cell>
          <cell r="AQ394" t="str">
            <v>1909337-1</v>
          </cell>
          <cell r="AR394" t="str">
            <v>1909337-2</v>
          </cell>
          <cell r="AS394" t="str">
            <v>1909337-3</v>
          </cell>
          <cell r="AT394" t="str">
            <v>1909337-4</v>
          </cell>
          <cell r="AU394" t="str">
            <v>1909337-5</v>
          </cell>
          <cell r="AV394" t="str">
            <v>1909337-6</v>
          </cell>
          <cell r="AX394" t="str">
            <v>20110138-8</v>
          </cell>
          <cell r="BA394" t="str">
            <v>620x1100</v>
          </cell>
          <cell r="BB394" t="str">
            <v>I3</v>
          </cell>
        </row>
        <row r="395">
          <cell r="A395" t="str">
            <v>sp 1076</v>
          </cell>
          <cell r="B395" t="str">
            <v>Túi  giống lúa lai 838 cấp giống hạt lai F1 tiếng trung 40kg Thái Bình</v>
          </cell>
          <cell r="D395" t="str">
            <v>opp</v>
          </cell>
          <cell r="E395">
            <v>5</v>
          </cell>
          <cell r="F395">
            <v>5</v>
          </cell>
          <cell r="AO395" t="str">
            <v>Công ty Thái Bình</v>
          </cell>
          <cell r="AQ395" t="str">
            <v>1909336-1</v>
          </cell>
          <cell r="AR395" t="str">
            <v>1909336-2</v>
          </cell>
          <cell r="AS395" t="str">
            <v>1909336-3</v>
          </cell>
          <cell r="AT395" t="str">
            <v>1909336-4</v>
          </cell>
          <cell r="AU395" t="str">
            <v>1909336-5</v>
          </cell>
          <cell r="BA395" t="str">
            <v>1100x850</v>
          </cell>
          <cell r="BB395" t="str">
            <v>L1</v>
          </cell>
        </row>
        <row r="396">
          <cell r="A396" t="str">
            <v>sp 1077</v>
          </cell>
          <cell r="B396" t="str">
            <v>Cuộn bột giặt Won 1kg Đức Giang</v>
          </cell>
          <cell r="D396" t="str">
            <v>pet 12x</v>
          </cell>
          <cell r="E396">
            <v>7</v>
          </cell>
          <cell r="F396">
            <v>7</v>
          </cell>
          <cell r="AO396" t="str">
            <v>Công ty Đức Giang</v>
          </cell>
          <cell r="AQ396" t="str">
            <v>1506971-1</v>
          </cell>
          <cell r="AR396" t="str">
            <v>1506971-2</v>
          </cell>
          <cell r="AS396" t="str">
            <v>1506971-3</v>
          </cell>
          <cell r="AT396" t="str">
            <v>1506971-4</v>
          </cell>
          <cell r="AU396" t="str">
            <v>1506971-5</v>
          </cell>
          <cell r="AV396" t="str">
            <v>1506971-6</v>
          </cell>
          <cell r="AW396" t="str">
            <v>1506971-7</v>
          </cell>
          <cell r="BA396" t="str">
            <v>590x720</v>
          </cell>
          <cell r="BB396" t="str">
            <v>U2</v>
          </cell>
        </row>
        <row r="397">
          <cell r="A397" t="str">
            <v>sp 1078</v>
          </cell>
          <cell r="B397" t="str">
            <v>Túi trà quả cầu xanh tân cương 200gr loại 21</v>
          </cell>
          <cell r="E397" t="str">
            <v>sp 1033</v>
          </cell>
          <cell r="F397">
            <v>5</v>
          </cell>
          <cell r="AO397" t="str">
            <v>Bùi Văn Sỹ</v>
          </cell>
          <cell r="AQ397" t="str">
            <v>1904580-1</v>
          </cell>
          <cell r="AR397" t="str">
            <v>1904580-2</v>
          </cell>
          <cell r="AS397" t="str">
            <v>1904580-3</v>
          </cell>
          <cell r="AT397" t="str">
            <v>1904580-4</v>
          </cell>
          <cell r="AU397" t="str">
            <v>1904580-5</v>
          </cell>
          <cell r="BA397" t="str">
            <v>680x860</v>
          </cell>
          <cell r="BB397" t="str">
            <v>G3</v>
          </cell>
          <cell r="BC397" t="str">
            <v>in chung sp 1033</v>
          </cell>
        </row>
        <row r="398">
          <cell r="A398" t="str">
            <v>sp 1079</v>
          </cell>
          <cell r="B398" t="str">
            <v>Túi trà quả cầu xanh đặc sản 200gr loại 21</v>
          </cell>
          <cell r="E398" t="str">
            <v>sp 1034</v>
          </cell>
          <cell r="F398">
            <v>5</v>
          </cell>
          <cell r="AO398" t="str">
            <v>Bùi Văn Sỹ</v>
          </cell>
          <cell r="AQ398" t="str">
            <v>1904581-1</v>
          </cell>
          <cell r="AR398" t="str">
            <v>1904580-2</v>
          </cell>
          <cell r="AS398" t="str">
            <v>1904580-3</v>
          </cell>
          <cell r="AT398" t="str">
            <v>1904581-4</v>
          </cell>
          <cell r="AU398" t="str">
            <v>1904581-5</v>
          </cell>
          <cell r="BA398" t="str">
            <v>680x860</v>
          </cell>
          <cell r="BB398" t="str">
            <v>G3</v>
          </cell>
          <cell r="BC398" t="str">
            <v>in chung sp 1034</v>
          </cell>
        </row>
        <row r="399">
          <cell r="A399" t="str">
            <v>sp 1080</v>
          </cell>
          <cell r="B399" t="str">
            <v>Túi trà ấm nghiêng Tân cương 100g</v>
          </cell>
          <cell r="E399">
            <v>7</v>
          </cell>
          <cell r="F399">
            <v>7</v>
          </cell>
          <cell r="AO399" t="str">
            <v>Bùi Văn Sỹ</v>
          </cell>
          <cell r="AQ399" t="str">
            <v>1909998-1</v>
          </cell>
          <cell r="AR399" t="str">
            <v>1909998-2</v>
          </cell>
          <cell r="AS399" t="str">
            <v>1909998-3</v>
          </cell>
          <cell r="AT399" t="str">
            <v>1909998-4</v>
          </cell>
          <cell r="AU399" t="str">
            <v>1909998-5</v>
          </cell>
          <cell r="AV399" t="str">
            <v>1909998-6</v>
          </cell>
          <cell r="AW399" t="str">
            <v>1909998-7</v>
          </cell>
          <cell r="BA399" t="str">
            <v>540x860</v>
          </cell>
          <cell r="BB399" t="str">
            <v>G4</v>
          </cell>
        </row>
        <row r="400">
          <cell r="A400" t="str">
            <v>sp 1081</v>
          </cell>
          <cell r="B400" t="str">
            <v>Túi trà ấm nghiêng đặc sản 100g</v>
          </cell>
          <cell r="E400">
            <v>3</v>
          </cell>
          <cell r="F400">
            <v>7</v>
          </cell>
          <cell r="AO400" t="str">
            <v>Bùi Văn Sỹ</v>
          </cell>
          <cell r="AQ400" t="str">
            <v>1909998-1</v>
          </cell>
          <cell r="AR400" t="str">
            <v>1909999-2</v>
          </cell>
          <cell r="AS400" t="str">
            <v>1909998-3</v>
          </cell>
          <cell r="AT400" t="str">
            <v>1909998-4</v>
          </cell>
          <cell r="AU400" t="str">
            <v>1909999-5</v>
          </cell>
          <cell r="AV400" t="str">
            <v>1909999-6</v>
          </cell>
          <cell r="AW400" t="str">
            <v>1909999-7</v>
          </cell>
          <cell r="BA400" t="str">
            <v>540x860</v>
          </cell>
          <cell r="BB400" t="str">
            <v>G4</v>
          </cell>
          <cell r="BC400" t="str">
            <v>in chung cây 1,3,4,5 với sp 1080</v>
          </cell>
        </row>
        <row r="401">
          <cell r="A401" t="str">
            <v>sp 1082</v>
          </cell>
          <cell r="B401" t="str">
            <v>Túi trà lụa tân cương 200gr loại 5</v>
          </cell>
          <cell r="E401">
            <v>7</v>
          </cell>
          <cell r="F401">
            <v>7</v>
          </cell>
          <cell r="AO401" t="str">
            <v>Bùi Văn Sỹ</v>
          </cell>
          <cell r="AQ401" t="str">
            <v>1909995-1</v>
          </cell>
          <cell r="AR401" t="str">
            <v>1909995-2</v>
          </cell>
          <cell r="AS401" t="str">
            <v>1909995-3</v>
          </cell>
          <cell r="AT401" t="str">
            <v>1909995-4</v>
          </cell>
          <cell r="AU401" t="str">
            <v>1909995-5</v>
          </cell>
          <cell r="AV401" t="str">
            <v>1909995-6</v>
          </cell>
          <cell r="AW401" t="str">
            <v>1909995-7</v>
          </cell>
          <cell r="BA401" t="str">
            <v>680x860</v>
          </cell>
          <cell r="BB401" t="str">
            <v>G4</v>
          </cell>
        </row>
        <row r="402">
          <cell r="A402" t="str">
            <v>sp 1083</v>
          </cell>
          <cell r="B402" t="str">
            <v>Tuí trà thượng hạng tân cương 200gr loại 15</v>
          </cell>
          <cell r="E402">
            <v>6</v>
          </cell>
          <cell r="F402">
            <v>6</v>
          </cell>
          <cell r="AO402" t="str">
            <v>Bùi Văn Sỹ</v>
          </cell>
          <cell r="AQ402" t="str">
            <v>1909996-1</v>
          </cell>
          <cell r="AR402" t="str">
            <v>1909996-2</v>
          </cell>
          <cell r="AS402" t="str">
            <v>1909996-3</v>
          </cell>
          <cell r="AT402" t="str">
            <v>1909996-4</v>
          </cell>
          <cell r="AU402" t="str">
            <v>1909996-5</v>
          </cell>
          <cell r="AV402" t="str">
            <v>1909996-6</v>
          </cell>
          <cell r="BA402" t="str">
            <v>680x680</v>
          </cell>
          <cell r="BB402" t="str">
            <v>G4</v>
          </cell>
        </row>
        <row r="403">
          <cell r="A403" t="str">
            <v>sp 1084</v>
          </cell>
          <cell r="B403" t="str">
            <v>Tuí trà thượng hạng đặc sản tân cương 200g</v>
          </cell>
          <cell r="E403">
            <v>4</v>
          </cell>
          <cell r="F403">
            <v>6</v>
          </cell>
          <cell r="AO403" t="str">
            <v>Bùi Văn Sỹ</v>
          </cell>
          <cell r="AQ403" t="str">
            <v>1909997-1</v>
          </cell>
          <cell r="AR403" t="str">
            <v>1909996-2</v>
          </cell>
          <cell r="AS403" t="str">
            <v>1909997-3</v>
          </cell>
          <cell r="AT403" t="str">
            <v>1909997-4</v>
          </cell>
          <cell r="AU403" t="str">
            <v>1909997-5</v>
          </cell>
          <cell r="AV403" t="str">
            <v>1909996-6</v>
          </cell>
          <cell r="BA403" t="str">
            <v>680x680</v>
          </cell>
          <cell r="BB403" t="str">
            <v>G4</v>
          </cell>
          <cell r="BC403" t="str">
            <v>dùng chung cây zdo số 2, và cây trắng số 6 sp 1083</v>
          </cell>
        </row>
        <row r="405">
          <cell r="A405" t="str">
            <v>sp 1086</v>
          </cell>
        </row>
        <row r="406">
          <cell r="A406" t="str">
            <v>sp 1087</v>
          </cell>
          <cell r="B406" t="str">
            <v>Túi lúa BC15 XN2 mới 2020 1 kg Thái Bình</v>
          </cell>
          <cell r="E406">
            <v>7</v>
          </cell>
          <cell r="F406">
            <v>8</v>
          </cell>
          <cell r="AO406" t="str">
            <v>Công ty Thái Bình</v>
          </cell>
          <cell r="AQ406" t="str">
            <v>19101037-7</v>
          </cell>
          <cell r="AR406" t="str">
            <v>19101037-2</v>
          </cell>
          <cell r="AS406" t="str">
            <v>19101037-3</v>
          </cell>
          <cell r="AT406" t="str">
            <v>19101037-4</v>
          </cell>
          <cell r="AU406" t="str">
            <v>19101037-5</v>
          </cell>
          <cell r="AV406" t="str">
            <v>19101037-6</v>
          </cell>
          <cell r="AW406" t="str">
            <v>19110566-7</v>
          </cell>
          <cell r="AX406" t="str">
            <v>20110138-8</v>
          </cell>
          <cell r="BA406" t="str">
            <v>620x1100</v>
          </cell>
          <cell r="BB406" t="str">
            <v>L1</v>
          </cell>
          <cell r="BC406" t="str">
            <v>Dùng chung cây trắng cuả  sp 630 ,không có cây số 1</v>
          </cell>
        </row>
        <row r="407">
          <cell r="A407" t="str">
            <v>sp 1088</v>
          </cell>
          <cell r="B407" t="str">
            <v>Túi lúa BC15 XN2 mới 2020 40 kg Thái Bình</v>
          </cell>
          <cell r="E407">
            <v>6</v>
          </cell>
          <cell r="F407">
            <v>6</v>
          </cell>
          <cell r="AO407" t="str">
            <v>Công ty Thái Bình</v>
          </cell>
          <cell r="AQ407" t="str">
            <v>19101038-1</v>
          </cell>
          <cell r="AR407" t="str">
            <v>19101038-2</v>
          </cell>
          <cell r="AS407" t="str">
            <v>19101038-3</v>
          </cell>
          <cell r="AT407" t="str">
            <v>19101038-4</v>
          </cell>
          <cell r="AU407" t="str">
            <v>19101038-5</v>
          </cell>
          <cell r="AV407" t="str">
            <v>19101038-6</v>
          </cell>
          <cell r="BA407" t="str">
            <v>1100x850</v>
          </cell>
          <cell r="BB407" t="str">
            <v>L1</v>
          </cell>
        </row>
        <row r="408">
          <cell r="A408" t="str">
            <v>sp 1089</v>
          </cell>
          <cell r="B408" t="str">
            <v>Túi kẹo lạc vừng 250gr Đình Mạnh</v>
          </cell>
          <cell r="E408">
            <v>6</v>
          </cell>
          <cell r="F408">
            <v>6</v>
          </cell>
          <cell r="AO408" t="str">
            <v>Cơ sở bánh kẹo Đình Mạnh</v>
          </cell>
          <cell r="AQ408" t="str">
            <v>19101040-1</v>
          </cell>
          <cell r="AR408" t="str">
            <v>19101040-2</v>
          </cell>
          <cell r="AS408" t="str">
            <v>19101040-3</v>
          </cell>
          <cell r="AT408" t="str">
            <v>19101040-4</v>
          </cell>
          <cell r="AU408" t="str">
            <v>19101040-5</v>
          </cell>
          <cell r="AV408" t="str">
            <v>19101040-6</v>
          </cell>
          <cell r="BA408" t="str">
            <v>470x870</v>
          </cell>
          <cell r="BB408" t="str">
            <v>Q2</v>
          </cell>
        </row>
        <row r="409">
          <cell r="A409" t="str">
            <v>sp 1090</v>
          </cell>
          <cell r="B409" t="str">
            <v>Túi trà tân cương 500g L9</v>
          </cell>
          <cell r="E409">
            <v>2</v>
          </cell>
          <cell r="F409">
            <v>2</v>
          </cell>
          <cell r="AO409" t="str">
            <v>Bùi Văn Sỹ</v>
          </cell>
          <cell r="AQ409" t="str">
            <v>20030161-1</v>
          </cell>
          <cell r="AR409" t="str">
            <v>20030161-2</v>
          </cell>
          <cell r="BA409" t="str">
            <v>420x870</v>
          </cell>
          <cell r="BB409" t="str">
            <v>G4</v>
          </cell>
        </row>
        <row r="410">
          <cell r="A410" t="str">
            <v>sp 1091</v>
          </cell>
          <cell r="B410" t="str">
            <v>Túi trà logo tân cương in màu 200gr loại 9</v>
          </cell>
          <cell r="E410">
            <v>2</v>
          </cell>
          <cell r="F410">
            <v>2</v>
          </cell>
          <cell r="AO410" t="str">
            <v>Bùi Văn Sỹ</v>
          </cell>
          <cell r="AR410" t="str">
            <v>19101198-2</v>
          </cell>
          <cell r="AV410" t="str">
            <v>19101198-6</v>
          </cell>
          <cell r="BA410" t="str">
            <v>680x860</v>
          </cell>
          <cell r="BB410" t="str">
            <v>G4</v>
          </cell>
        </row>
        <row r="411">
          <cell r="A411" t="str">
            <v>sp 1092</v>
          </cell>
          <cell r="B411" t="str">
            <v>Túi bột giặt Nif 6kg MKL</v>
          </cell>
          <cell r="E411">
            <v>6</v>
          </cell>
          <cell r="F411">
            <v>6</v>
          </cell>
          <cell r="AO411" t="str">
            <v>Công ty CP PKL</v>
          </cell>
          <cell r="AQ411" t="str">
            <v>F124654-1</v>
          </cell>
          <cell r="AR411" t="str">
            <v>F124654-2</v>
          </cell>
          <cell r="AS411" t="str">
            <v>F124654-3</v>
          </cell>
          <cell r="AT411" t="str">
            <v>F124654-4</v>
          </cell>
          <cell r="AU411" t="str">
            <v>F124654-5</v>
          </cell>
          <cell r="AV411" t="str">
            <v>F124654-6</v>
          </cell>
          <cell r="BA411" t="str">
            <v>535x870</v>
          </cell>
          <cell r="BB411" t="str">
            <v>Q2</v>
          </cell>
        </row>
        <row r="412">
          <cell r="A412" t="str">
            <v>sp 1093</v>
          </cell>
          <cell r="B412" t="str">
            <v>Tuí trà quả cầu xanh TC 100gr loại 21</v>
          </cell>
          <cell r="E412" t="str">
            <v>sp 1031</v>
          </cell>
          <cell r="F412">
            <v>5</v>
          </cell>
          <cell r="AO412" t="str">
            <v>Bùi Văn Sỹ</v>
          </cell>
          <cell r="AQ412" t="str">
            <v>1904578-1</v>
          </cell>
          <cell r="AR412" t="str">
            <v>1904578-2</v>
          </cell>
          <cell r="AS412" t="str">
            <v>1904578-3</v>
          </cell>
          <cell r="AT412" t="str">
            <v>1904578-4</v>
          </cell>
          <cell r="AU412" t="str">
            <v>1904578-5</v>
          </cell>
          <cell r="BA412" t="str">
            <v>540x860</v>
          </cell>
          <cell r="BB412" t="str">
            <v>G2</v>
          </cell>
        </row>
        <row r="413">
          <cell r="A413" t="str">
            <v>sp 1094</v>
          </cell>
          <cell r="B413" t="str">
            <v>Túi trà quả cầu xanh ĐS 100gr loại 21</v>
          </cell>
          <cell r="E413" t="str">
            <v>sp 1032</v>
          </cell>
          <cell r="F413">
            <v>5</v>
          </cell>
          <cell r="AO413" t="str">
            <v>Bùi Văn Sỹ</v>
          </cell>
          <cell r="AQ413" t="str">
            <v>1904579-1</v>
          </cell>
          <cell r="AR413" t="str">
            <v>1904578-2</v>
          </cell>
          <cell r="AS413" t="str">
            <v>1904578-3</v>
          </cell>
          <cell r="AT413" t="str">
            <v>1904579-4</v>
          </cell>
          <cell r="AU413" t="str">
            <v>1904579-5</v>
          </cell>
          <cell r="BA413" t="str">
            <v>540x860</v>
          </cell>
          <cell r="BB413" t="str">
            <v>G3</v>
          </cell>
        </row>
        <row r="414">
          <cell r="A414" t="str">
            <v>sp 1095</v>
          </cell>
          <cell r="B414" t="str">
            <v>Túi bánh Pingo hương sữa 525gr Libra</v>
          </cell>
          <cell r="E414">
            <v>7</v>
          </cell>
          <cell r="F414">
            <v>7</v>
          </cell>
          <cell r="AO414" t="str">
            <v>Công ty Libra</v>
          </cell>
          <cell r="AQ414" t="str">
            <v>F124789G1-1</v>
          </cell>
          <cell r="AR414" t="str">
            <v>F124789-2</v>
          </cell>
          <cell r="AS414" t="str">
            <v>F124789-3</v>
          </cell>
          <cell r="AT414" t="str">
            <v>F124789-4</v>
          </cell>
          <cell r="AU414" t="str">
            <v>F124789-5</v>
          </cell>
          <cell r="AV414" t="str">
            <v>F124789-6</v>
          </cell>
          <cell r="AW414" t="str">
            <v>F124789-7</v>
          </cell>
          <cell r="BA414" t="str">
            <v>560*870</v>
          </cell>
          <cell r="BB414" t="str">
            <v>Q2</v>
          </cell>
        </row>
        <row r="415">
          <cell r="A415" t="str">
            <v>sp 1096</v>
          </cell>
          <cell r="B415" t="str">
            <v>Cuộn trà hương táo bigtea Vĩnh Phúc</v>
          </cell>
          <cell r="E415">
            <v>7</v>
          </cell>
          <cell r="F415">
            <v>7</v>
          </cell>
          <cell r="AO415" t="str">
            <v>Công ty Vĩnh Phúc</v>
          </cell>
          <cell r="AQ415" t="str">
            <v>F124739-1</v>
          </cell>
          <cell r="AR415" t="str">
            <v>F124739-2</v>
          </cell>
          <cell r="AS415" t="str">
            <v>F124739-3</v>
          </cell>
          <cell r="AT415" t="str">
            <v>F124739-4</v>
          </cell>
          <cell r="AU415" t="str">
            <v>F124739-5</v>
          </cell>
          <cell r="AV415" t="str">
            <v>F124739-6</v>
          </cell>
          <cell r="AW415" t="str">
            <v>F124739-7</v>
          </cell>
          <cell r="BA415" t="str">
            <v>462x870</v>
          </cell>
          <cell r="BB415" t="str">
            <v>A3</v>
          </cell>
        </row>
        <row r="416">
          <cell r="A416" t="str">
            <v>sp 1097</v>
          </cell>
          <cell r="B416" t="str">
            <v>Cuộn trà hương xoài bigtea Vĩnh Phúc</v>
          </cell>
          <cell r="E416">
            <v>5</v>
          </cell>
          <cell r="F416">
            <v>7</v>
          </cell>
          <cell r="AO416" t="str">
            <v>Công ty Vĩnh Phúc</v>
          </cell>
          <cell r="AQ416" t="str">
            <v>F124740-1</v>
          </cell>
          <cell r="AR416" t="str">
            <v>F124739-2</v>
          </cell>
          <cell r="AS416" t="str">
            <v>F124740-3</v>
          </cell>
          <cell r="AT416" t="str">
            <v>F124740-4</v>
          </cell>
          <cell r="AU416" t="str">
            <v>F124740-5</v>
          </cell>
          <cell r="AV416" t="str">
            <v>F124740-6</v>
          </cell>
          <cell r="AW416" t="str">
            <v>F124739-7</v>
          </cell>
          <cell r="BA416" t="str">
            <v>462x870</v>
          </cell>
          <cell r="BB416" t="str">
            <v>A3</v>
          </cell>
          <cell r="BC416" t="str">
            <v>Dùng chung cây zxanh(2),trắng(7) với sp 1096</v>
          </cell>
        </row>
        <row r="417">
          <cell r="A417" t="str">
            <v>sp 1098</v>
          </cell>
          <cell r="B417" t="str">
            <v>Cuộn trà hương dâu bigtea Vĩnh Phúc</v>
          </cell>
          <cell r="E417">
            <v>5</v>
          </cell>
          <cell r="F417">
            <v>7</v>
          </cell>
          <cell r="AO417" t="str">
            <v>Công ty Vĩnh Phúc</v>
          </cell>
          <cell r="AQ417" t="str">
            <v>F124741-1</v>
          </cell>
          <cell r="AR417" t="str">
            <v>F124739-2</v>
          </cell>
          <cell r="AS417" t="str">
            <v>F124741-3</v>
          </cell>
          <cell r="AT417" t="str">
            <v>F124741-4</v>
          </cell>
          <cell r="AU417" t="str">
            <v>F124741-5</v>
          </cell>
          <cell r="AV417" t="str">
            <v>F124741-6</v>
          </cell>
          <cell r="AW417" t="str">
            <v>F124739-7</v>
          </cell>
          <cell r="BA417" t="str">
            <v>462x870</v>
          </cell>
          <cell r="BB417" t="str">
            <v>A3</v>
          </cell>
          <cell r="BC417" t="str">
            <v>Dùng chung cây zxanh(2),trắng(7) với sp 1096</v>
          </cell>
        </row>
        <row r="418">
          <cell r="A418" t="str">
            <v>sp 1099</v>
          </cell>
          <cell r="B418" t="str">
            <v>Cuộn trà hương đào bigtea Vĩnh Phúc</v>
          </cell>
          <cell r="E418">
            <v>5</v>
          </cell>
          <cell r="F418">
            <v>7</v>
          </cell>
          <cell r="AO418" t="str">
            <v>Công ty Vĩnh Phúc</v>
          </cell>
          <cell r="AQ418" t="str">
            <v>F124742-1</v>
          </cell>
          <cell r="AR418" t="str">
            <v>F124739-2</v>
          </cell>
          <cell r="AS418" t="str">
            <v>F124742-3</v>
          </cell>
          <cell r="AT418" t="str">
            <v>F124742-4</v>
          </cell>
          <cell r="AU418" t="str">
            <v>F124742-5</v>
          </cell>
          <cell r="AV418" t="str">
            <v>F124742-6</v>
          </cell>
          <cell r="AW418" t="str">
            <v>F124739-7</v>
          </cell>
          <cell r="BA418" t="str">
            <v>462x870</v>
          </cell>
          <cell r="BB418" t="str">
            <v>A3</v>
          </cell>
          <cell r="BC418" t="str">
            <v>Dùng chung cây zxanh(2),trắng(7) với sp 1096</v>
          </cell>
        </row>
        <row r="419">
          <cell r="A419" t="str">
            <v>sp 1100</v>
          </cell>
          <cell r="B419" t="str">
            <v>Cuộn trà hương trà xanh bigtea Vĩnh Phúc</v>
          </cell>
          <cell r="E419">
            <v>5</v>
          </cell>
          <cell r="F419">
            <v>7</v>
          </cell>
          <cell r="AO419" t="str">
            <v>Công ty Vĩnh Phúc</v>
          </cell>
          <cell r="AQ419" t="str">
            <v>F124744-1</v>
          </cell>
          <cell r="AR419" t="str">
            <v>F124739-2</v>
          </cell>
          <cell r="AS419" t="str">
            <v>F124744-3</v>
          </cell>
          <cell r="AT419" t="str">
            <v>F124744-4</v>
          </cell>
          <cell r="AU419" t="str">
            <v>F124744-5</v>
          </cell>
          <cell r="AV419" t="str">
            <v>F124744-6</v>
          </cell>
          <cell r="AW419" t="str">
            <v>F124739-7</v>
          </cell>
          <cell r="BA419" t="str">
            <v>462x870</v>
          </cell>
          <cell r="BB419" t="str">
            <v>A3</v>
          </cell>
          <cell r="BC419" t="str">
            <v>Dùng chung cây zxanh(2),trắng(7) với sp 1096</v>
          </cell>
        </row>
        <row r="420">
          <cell r="A420" t="str">
            <v>sp 1101</v>
          </cell>
          <cell r="B420" t="str">
            <v>Cuộn bánh hương sữa pingo 44 gr</v>
          </cell>
          <cell r="E420">
            <v>7</v>
          </cell>
          <cell r="F420">
            <v>7</v>
          </cell>
          <cell r="AO420" t="str">
            <v>Công ty Libra</v>
          </cell>
          <cell r="AQ420" t="str">
            <v>F124923G1-1</v>
          </cell>
          <cell r="AR420" t="str">
            <v>F124923-2</v>
          </cell>
          <cell r="AS420" t="str">
            <v>F124923-3</v>
          </cell>
          <cell r="AT420" t="str">
            <v>F124923-4</v>
          </cell>
          <cell r="AU420" t="str">
            <v>F124923-5</v>
          </cell>
          <cell r="AV420" t="str">
            <v>F124923-6</v>
          </cell>
          <cell r="AW420" t="str">
            <v>F124923-7</v>
          </cell>
          <cell r="BA420" t="str">
            <v>525x870</v>
          </cell>
          <cell r="BB420" t="str">
            <v>Q3</v>
          </cell>
        </row>
        <row r="421">
          <cell r="A421" t="str">
            <v>sp 1102</v>
          </cell>
          <cell r="B421" t="str">
            <v>Cuộn men rượu hương nếp trung tiến</v>
          </cell>
          <cell r="E421">
            <v>3</v>
          </cell>
          <cell r="F421">
            <v>3</v>
          </cell>
          <cell r="AO421" t="str">
            <v>Công ty Trung Tiến</v>
          </cell>
          <cell r="AQ421" t="str">
            <v>F124728G1-1</v>
          </cell>
          <cell r="AR421" t="str">
            <v>F124728-2</v>
          </cell>
          <cell r="AS421" t="str">
            <v>F124728-3</v>
          </cell>
          <cell r="BA421" t="str">
            <v>465x1100</v>
          </cell>
          <cell r="BB421" t="str">
            <v>Q3</v>
          </cell>
        </row>
        <row r="422">
          <cell r="A422" t="str">
            <v>sp 1103</v>
          </cell>
          <cell r="B422" t="str">
            <v>Túi kẹo mềm cao cấp suri 330gr Hữu Nghị</v>
          </cell>
          <cell r="E422">
            <v>8</v>
          </cell>
          <cell r="F422">
            <v>8</v>
          </cell>
          <cell r="AO422" t="str">
            <v>Công ty Hữu Nghị</v>
          </cell>
          <cell r="AQ422" t="str">
            <v>X106474-1</v>
          </cell>
          <cell r="AR422" t="str">
            <v>X106474-2</v>
          </cell>
          <cell r="AS422" t="str">
            <v>X106474-3</v>
          </cell>
          <cell r="AT422" t="str">
            <v>X106474-4</v>
          </cell>
          <cell r="AU422" t="str">
            <v>X106474-5</v>
          </cell>
          <cell r="AV422" t="str">
            <v>X106474-6</v>
          </cell>
          <cell r="AW422" t="str">
            <v>X106474-7</v>
          </cell>
          <cell r="AX422" t="str">
            <v>X106474-8</v>
          </cell>
          <cell r="BA422" t="str">
            <v>560x1100</v>
          </cell>
          <cell r="BB422" t="str">
            <v>B2</v>
          </cell>
        </row>
        <row r="423">
          <cell r="A423" t="str">
            <v>sp 1104</v>
          </cell>
          <cell r="B423" t="str">
            <v>Túi trà bát giác tân cương không khối lượng loại 22</v>
          </cell>
          <cell r="E423">
            <v>7</v>
          </cell>
          <cell r="F423">
            <v>7</v>
          </cell>
          <cell r="AO423" t="str">
            <v>Bùi Văn Sỹ</v>
          </cell>
          <cell r="AQ423" t="str">
            <v>X107447-1</v>
          </cell>
          <cell r="AR423" t="str">
            <v>X107447-2</v>
          </cell>
          <cell r="AS423" t="str">
            <v>X107447-3</v>
          </cell>
          <cell r="AT423" t="str">
            <v>X107447-4</v>
          </cell>
          <cell r="AU423" t="str">
            <v>X107447-5</v>
          </cell>
          <cell r="AV423" t="str">
            <v>X107447-6</v>
          </cell>
          <cell r="AW423" t="str">
            <v>X107447-7</v>
          </cell>
          <cell r="BA423" t="str">
            <v>760x860</v>
          </cell>
          <cell r="BB423" t="str">
            <v>G3</v>
          </cell>
        </row>
        <row r="424">
          <cell r="A424" t="str">
            <v>sp 1105</v>
          </cell>
          <cell r="B424" t="str">
            <v xml:space="preserve">Cuộn đường kính trắng chúc mừng năm mới 1 kg </v>
          </cell>
          <cell r="E424">
            <v>8</v>
          </cell>
          <cell r="F424">
            <v>8</v>
          </cell>
          <cell r="AO424" t="str">
            <v>Công ty VILITAS</v>
          </cell>
          <cell r="AQ424" t="str">
            <v>1911228-1</v>
          </cell>
          <cell r="AR424" t="str">
            <v>1911228-2</v>
          </cell>
          <cell r="AS424" t="str">
            <v>1911228-3</v>
          </cell>
          <cell r="AT424" t="str">
            <v>1911228-4</v>
          </cell>
          <cell r="AU424" t="str">
            <v>1911228-5</v>
          </cell>
          <cell r="AV424" t="str">
            <v>1911228-6</v>
          </cell>
          <cell r="AW424" t="str">
            <v>1911228-7</v>
          </cell>
          <cell r="AX424" t="str">
            <v>1911228-8</v>
          </cell>
          <cell r="BA424" t="str">
            <v>490x870</v>
          </cell>
          <cell r="BB424" t="str">
            <v>Q3</v>
          </cell>
        </row>
        <row r="425">
          <cell r="A425" t="str">
            <v>sp 1106</v>
          </cell>
          <cell r="B425" t="str">
            <v>Cuộn thuốc thú y Sutrim 100gr Nam Thái</v>
          </cell>
          <cell r="E425">
            <v>6</v>
          </cell>
          <cell r="F425">
            <v>6</v>
          </cell>
          <cell r="AO425" t="str">
            <v>Công ty Nam Thái</v>
          </cell>
          <cell r="AQ425" t="str">
            <v>F124859-1</v>
          </cell>
          <cell r="AR425" t="str">
            <v>F124859-2</v>
          </cell>
          <cell r="AS425" t="str">
            <v>F124859-3</v>
          </cell>
          <cell r="AT425" t="str">
            <v>F124859-4</v>
          </cell>
          <cell r="AU425" t="str">
            <v>F124859-5</v>
          </cell>
          <cell r="AV425" t="str">
            <v>F124859-6</v>
          </cell>
          <cell r="BA425" t="str">
            <v>570x750</v>
          </cell>
          <cell r="BB425" t="str">
            <v>Q3</v>
          </cell>
        </row>
        <row r="426">
          <cell r="A426" t="str">
            <v>sp 1107</v>
          </cell>
          <cell r="B426" t="str">
            <v>Túi bánh pingo hương sữa 198gr libra</v>
          </cell>
          <cell r="E426">
            <v>7</v>
          </cell>
          <cell r="F426">
            <v>7</v>
          </cell>
          <cell r="AO426" t="str">
            <v>Công ty Libra</v>
          </cell>
          <cell r="AQ426" t="str">
            <v>F124871G1-1</v>
          </cell>
          <cell r="AR426" t="str">
            <v>F124871-2</v>
          </cell>
          <cell r="AS426" t="str">
            <v>F124871-3</v>
          </cell>
          <cell r="AT426" t="str">
            <v>F124871G1-4</v>
          </cell>
          <cell r="AU426" t="str">
            <v>F124871-5</v>
          </cell>
          <cell r="AV426" t="str">
            <v>F124871-6</v>
          </cell>
          <cell r="AW426" t="str">
            <v>F124871-7</v>
          </cell>
          <cell r="BA426" t="str">
            <v>480x870</v>
          </cell>
          <cell r="BB426" t="str">
            <v>Q3</v>
          </cell>
        </row>
        <row r="427">
          <cell r="A427" t="str">
            <v>sp 1108</v>
          </cell>
          <cell r="B427" t="str">
            <v xml:space="preserve"> Cuộn bánh quẩy Hải Sản Cay 100gr - Anko</v>
          </cell>
          <cell r="E427">
            <v>7</v>
          </cell>
          <cell r="F427">
            <v>7</v>
          </cell>
          <cell r="AO427" t="str">
            <v>Công ty ASI</v>
          </cell>
          <cell r="AQ427" t="str">
            <v>F124868G1-1</v>
          </cell>
          <cell r="AR427" t="str">
            <v>F124868-2</v>
          </cell>
          <cell r="AS427" t="str">
            <v>F124868-3</v>
          </cell>
          <cell r="AT427" t="str">
            <v>F124868-4</v>
          </cell>
          <cell r="AU427" t="str">
            <v>F124868-5</v>
          </cell>
          <cell r="AV427" t="str">
            <v>F124868-6</v>
          </cell>
          <cell r="AW427" t="str">
            <v>F124868-7</v>
          </cell>
          <cell r="BA427" t="str">
            <v>540x860</v>
          </cell>
          <cell r="BB427" t="str">
            <v>Q3</v>
          </cell>
        </row>
        <row r="428">
          <cell r="A428" t="str">
            <v>sp 1109</v>
          </cell>
          <cell r="B428" t="str">
            <v>Cuộn kẹo lạc vừng 300gr Đình Mạnh</v>
          </cell>
          <cell r="E428">
            <v>6</v>
          </cell>
          <cell r="F428">
            <v>6</v>
          </cell>
          <cell r="AO428" t="str">
            <v>Cơ sở bánh kẹo Đình Mạnh</v>
          </cell>
          <cell r="AQ428" t="str">
            <v>F124861-1</v>
          </cell>
          <cell r="AR428" t="str">
            <v>F124861-2</v>
          </cell>
          <cell r="AS428" t="str">
            <v>F124861-3</v>
          </cell>
          <cell r="AT428" t="str">
            <v>F124861-4</v>
          </cell>
          <cell r="AU428" t="str">
            <v>F124861-5</v>
          </cell>
          <cell r="AV428" t="str">
            <v>F124861-6</v>
          </cell>
          <cell r="BA428" t="str">
            <v>615x1100</v>
          </cell>
          <cell r="BB428" t="str">
            <v>Q3</v>
          </cell>
        </row>
        <row r="429">
          <cell r="A429" t="str">
            <v>sp 1110</v>
          </cell>
          <cell r="B429" t="str">
            <v>Túi kẹo lạc dồi 320gr Đình  Mạnh</v>
          </cell>
          <cell r="E429">
            <v>6</v>
          </cell>
          <cell r="F429">
            <v>6</v>
          </cell>
          <cell r="AO429" t="str">
            <v>Cơ sở bánh kẹo Đình Mạnh</v>
          </cell>
          <cell r="AQ429" t="str">
            <v>F124869-1</v>
          </cell>
          <cell r="AR429" t="str">
            <v>F124869-2</v>
          </cell>
          <cell r="AS429" t="str">
            <v>F124869-3</v>
          </cell>
          <cell r="AT429" t="str">
            <v>F124869-4</v>
          </cell>
          <cell r="AU429" t="str">
            <v>F124869-5</v>
          </cell>
          <cell r="AV429" t="str">
            <v>F124869-6</v>
          </cell>
          <cell r="BA429" t="str">
            <v>1100x580</v>
          </cell>
          <cell r="BB429" t="str">
            <v>Q3</v>
          </cell>
        </row>
        <row r="430">
          <cell r="A430" t="str">
            <v>sp 1111</v>
          </cell>
          <cell r="B430" t="str">
            <v>Túi trà chữ đỏ lá vàng  4 màu Tân Cương 100g loại 10</v>
          </cell>
          <cell r="E430">
            <v>4</v>
          </cell>
          <cell r="F430">
            <v>4</v>
          </cell>
          <cell r="AO430" t="str">
            <v>Bùi Văn Sỹ</v>
          </cell>
          <cell r="AQ430" t="str">
            <v>1911696-1</v>
          </cell>
          <cell r="AR430" t="str">
            <v>1911696-2</v>
          </cell>
          <cell r="AS430" t="str">
            <v>1911696-3</v>
          </cell>
          <cell r="AT430" t="str">
            <v>1911696-4</v>
          </cell>
          <cell r="BA430" t="str">
            <v>680x860</v>
          </cell>
          <cell r="BB430" t="str">
            <v>G3</v>
          </cell>
        </row>
        <row r="431">
          <cell r="A431" t="str">
            <v>sp 1112</v>
          </cell>
          <cell r="B431" t="str">
            <v>Túi trà ấm nghiêng Tân Cương và đặc sản 200g loại 17</v>
          </cell>
          <cell r="E431">
            <v>7</v>
          </cell>
          <cell r="F431">
            <v>7</v>
          </cell>
          <cell r="AO431" t="str">
            <v>Bùi Văn Sỹ</v>
          </cell>
          <cell r="AQ431" t="str">
            <v>1911697-1</v>
          </cell>
          <cell r="AR431" t="str">
            <v>1911697-2</v>
          </cell>
          <cell r="AS431" t="str">
            <v>1911697-3</v>
          </cell>
          <cell r="AT431" t="str">
            <v>1911697-4</v>
          </cell>
          <cell r="AU431" t="str">
            <v>1911697-5</v>
          </cell>
          <cell r="AV431" t="str">
            <v>1911697-6</v>
          </cell>
          <cell r="AW431" t="str">
            <v>1911697-7</v>
          </cell>
          <cell r="BA431" t="str">
            <v>500x870</v>
          </cell>
          <cell r="BB431" t="str">
            <v>G3</v>
          </cell>
        </row>
        <row r="432">
          <cell r="A432" t="str">
            <v>sp 1113</v>
          </cell>
          <cell r="B432" t="str">
            <v>Túi bánh nhân sữa chua doll doll 120gr - Châu Á</v>
          </cell>
          <cell r="E432">
            <v>4</v>
          </cell>
          <cell r="F432">
            <v>4</v>
          </cell>
          <cell r="AO432" t="str">
            <v>Công ty Châu Á</v>
          </cell>
          <cell r="AQ432" t="str">
            <v>F124870-1</v>
          </cell>
          <cell r="AR432" t="str">
            <v>F124870-2</v>
          </cell>
          <cell r="AS432" t="str">
            <v>F124870-3</v>
          </cell>
          <cell r="AT432" t="str">
            <v>F124870-4</v>
          </cell>
          <cell r="BA432" t="str">
            <v>500x870</v>
          </cell>
          <cell r="BB432" t="str">
            <v>Q3</v>
          </cell>
        </row>
        <row r="433">
          <cell r="A433" t="str">
            <v>sp 1113A</v>
          </cell>
          <cell r="B433" t="str">
            <v>Túi bánh nhân sữa chua doll doll 132gr - Châu Á</v>
          </cell>
          <cell r="E433">
            <v>1</v>
          </cell>
          <cell r="F433">
            <v>4</v>
          </cell>
          <cell r="AO433" t="str">
            <v>Công ty Châu Á</v>
          </cell>
          <cell r="AQ433" t="str">
            <v>F124870G2-1</v>
          </cell>
          <cell r="AR433" t="str">
            <v>F124870-2</v>
          </cell>
          <cell r="AS433" t="str">
            <v>F124870-3</v>
          </cell>
          <cell r="AT433" t="str">
            <v>F124870-4</v>
          </cell>
          <cell r="BA433" t="str">
            <v>500x870</v>
          </cell>
          <cell r="BB433" t="str">
            <v>Q3</v>
          </cell>
          <cell r="BC433" t="str">
            <v>in chung sp 1113 trừ cây số 1</v>
          </cell>
        </row>
        <row r="434">
          <cell r="A434" t="str">
            <v>sp 1114</v>
          </cell>
          <cell r="B434" t="str">
            <v>Túi trà hương lài Tam Mã 70gr</v>
          </cell>
          <cell r="E434">
            <v>7</v>
          </cell>
          <cell r="F434">
            <v>7</v>
          </cell>
          <cell r="AO434" t="str">
            <v>Công ty Vĩnh Phúc</v>
          </cell>
          <cell r="AQ434" t="str">
            <v>1911889-1</v>
          </cell>
          <cell r="AR434" t="str">
            <v>1911889-2</v>
          </cell>
          <cell r="AS434" t="str">
            <v>1911889-3</v>
          </cell>
          <cell r="AT434" t="str">
            <v>1911889-4</v>
          </cell>
          <cell r="AU434" t="str">
            <v>1911889-5</v>
          </cell>
          <cell r="AV434" t="str">
            <v>1911889-6</v>
          </cell>
          <cell r="AW434" t="str">
            <v>1911889-7</v>
          </cell>
          <cell r="BA434" t="str">
            <v>600x870</v>
          </cell>
          <cell r="BB434" t="str">
            <v>R1</v>
          </cell>
        </row>
        <row r="435">
          <cell r="A435" t="str">
            <v>sp 1115</v>
          </cell>
          <cell r="B435" t="str">
            <v>Cuộn đường kinh trắng Lam Sơn White sugar 1KG</v>
          </cell>
          <cell r="E435">
            <v>8</v>
          </cell>
          <cell r="F435">
            <v>8</v>
          </cell>
          <cell r="AO435" t="str">
            <v>Công ty mía đường Lam Sơn</v>
          </cell>
          <cell r="AQ435" t="str">
            <v>21010535-1</v>
          </cell>
          <cell r="AR435" t="str">
            <v>19110723-2</v>
          </cell>
          <cell r="AS435" t="str">
            <v>21090264-3</v>
          </cell>
          <cell r="AT435" t="str">
            <v>21090264-4</v>
          </cell>
          <cell r="AU435" t="str">
            <v>19110723-5</v>
          </cell>
          <cell r="AV435" t="str">
            <v>21101092-6</v>
          </cell>
          <cell r="AW435" t="str">
            <v>19110723-7</v>
          </cell>
          <cell r="AX435" t="str">
            <v>21010535-8</v>
          </cell>
          <cell r="BA435" t="str">
            <v>500x870</v>
          </cell>
          <cell r="BB435" t="str">
            <v>R1</v>
          </cell>
        </row>
        <row r="436">
          <cell r="A436" t="str">
            <v>sp 1116</v>
          </cell>
          <cell r="B436" t="str">
            <v xml:space="preserve"> Cuộn đường vàng tinh khiết Lam Sơn 1kg-LASUCO</v>
          </cell>
          <cell r="E436">
            <v>8</v>
          </cell>
          <cell r="F436">
            <v>8</v>
          </cell>
          <cell r="AO436" t="str">
            <v>Công ty mía đường Lam Sơn</v>
          </cell>
          <cell r="AQ436" t="str">
            <v>X109484G3-1</v>
          </cell>
          <cell r="AR436" t="str">
            <v>X109484-2</v>
          </cell>
          <cell r="AS436" t="str">
            <v>X109484-3</v>
          </cell>
          <cell r="AT436" t="str">
            <v>X109484-4</v>
          </cell>
          <cell r="AU436" t="str">
            <v>X109484-5</v>
          </cell>
          <cell r="AV436" t="str">
            <v>X109484G3-6</v>
          </cell>
          <cell r="AW436" t="str">
            <v>X109484G3-7</v>
          </cell>
          <cell r="AX436" t="str">
            <v>X109484F1-8</v>
          </cell>
          <cell r="BA436" t="str">
            <v>520x870</v>
          </cell>
          <cell r="BB436" t="str">
            <v>R1</v>
          </cell>
        </row>
        <row r="437">
          <cell r="A437" t="str">
            <v>sp 1117</v>
          </cell>
          <cell r="B437" t="str">
            <v>Túi bánh mì Sandwich 275gr</v>
          </cell>
          <cell r="E437">
            <v>7</v>
          </cell>
          <cell r="F437">
            <v>7</v>
          </cell>
          <cell r="AO437" t="str">
            <v>Công ty Bảo Ngọc</v>
          </cell>
          <cell r="AQ437" t="str">
            <v>F124949G1-1</v>
          </cell>
          <cell r="AR437" t="str">
            <v>F124949G2-2</v>
          </cell>
          <cell r="AS437" t="str">
            <v>F124949-3</v>
          </cell>
          <cell r="AT437" t="str">
            <v>F124949-4</v>
          </cell>
          <cell r="AU437" t="str">
            <v>F124949-5</v>
          </cell>
          <cell r="AV437" t="str">
            <v>F124949-6</v>
          </cell>
          <cell r="AW437" t="str">
            <v>F124949-7</v>
          </cell>
          <cell r="BA437" t="str">
            <v>1100x680</v>
          </cell>
          <cell r="BB437" t="str">
            <v>R1</v>
          </cell>
        </row>
        <row r="438">
          <cell r="A438" t="str">
            <v>sp 1118</v>
          </cell>
          <cell r="B438" t="str">
            <v>Thuốc trừ bệnh Mancozed xanh 80wp</v>
          </cell>
          <cell r="E438">
            <v>6</v>
          </cell>
          <cell r="F438">
            <v>6</v>
          </cell>
          <cell r="AO438" t="str">
            <v>Công ty TNHH  Real Chemical</v>
          </cell>
          <cell r="AQ438" t="str">
            <v>1912271-1</v>
          </cell>
          <cell r="AR438" t="str">
            <v>1912271-2</v>
          </cell>
          <cell r="AS438" t="str">
            <v>1912271-3</v>
          </cell>
          <cell r="AT438" t="str">
            <v>1912271-4</v>
          </cell>
          <cell r="AU438" t="str">
            <v>1912271-5</v>
          </cell>
          <cell r="AV438" t="str">
            <v>1912271-6</v>
          </cell>
          <cell r="BA438" t="str">
            <v>420x870</v>
          </cell>
          <cell r="BB438" t="str">
            <v>R1</v>
          </cell>
        </row>
        <row r="439">
          <cell r="A439" t="str">
            <v>sp 1119</v>
          </cell>
          <cell r="B439" t="str">
            <v>Túi đựng hóa chất 1kg</v>
          </cell>
          <cell r="E439">
            <v>1</v>
          </cell>
          <cell r="F439">
            <v>1</v>
          </cell>
          <cell r="AO439" t="str">
            <v>Công ty Đức giang</v>
          </cell>
          <cell r="AQ439" t="str">
            <v>F125042-1</v>
          </cell>
          <cell r="BA439" t="str">
            <v>480x870</v>
          </cell>
          <cell r="BB439" t="str">
            <v>R1</v>
          </cell>
        </row>
        <row r="440">
          <cell r="A440" t="str">
            <v>sp 1120</v>
          </cell>
          <cell r="B440" t="str">
            <v>Túi hoạt huyết dưỡng não 5 vỉ Traphaco</v>
          </cell>
          <cell r="E440">
            <v>2</v>
          </cell>
          <cell r="F440">
            <v>2</v>
          </cell>
          <cell r="AO440" t="str">
            <v>Công ty Traphaco</v>
          </cell>
          <cell r="AQ440" t="str">
            <v>1912540-1</v>
          </cell>
          <cell r="AR440" t="str">
            <v>1912540-2</v>
          </cell>
          <cell r="BA440" t="str">
            <v>540x870</v>
          </cell>
          <cell r="BB440" t="str">
            <v>R1</v>
          </cell>
        </row>
        <row r="441">
          <cell r="A441" t="str">
            <v>sp 1121</v>
          </cell>
          <cell r="B441" t="str">
            <v>Túi boganic Forte 5 vỉ nang mềm Traphaco</v>
          </cell>
          <cell r="E441">
            <v>2</v>
          </cell>
          <cell r="F441">
            <v>2</v>
          </cell>
          <cell r="AO441" t="str">
            <v>Công ty Traphaco</v>
          </cell>
          <cell r="AQ441" t="str">
            <v>21070492-1</v>
          </cell>
          <cell r="AR441" t="str">
            <v>21070492-2</v>
          </cell>
          <cell r="BA441" t="str">
            <v>420x1100</v>
          </cell>
          <cell r="BB441" t="str">
            <v>R1</v>
          </cell>
        </row>
        <row r="442">
          <cell r="A442" t="str">
            <v>sp 1122</v>
          </cell>
          <cell r="B442" t="str">
            <v>Túi Cebraton 5 vỉ nang mềm Traphaco</v>
          </cell>
          <cell r="E442">
            <v>2</v>
          </cell>
          <cell r="F442">
            <v>2</v>
          </cell>
          <cell r="AO442" t="str">
            <v>Công ty Traphaco</v>
          </cell>
          <cell r="AQ442" t="str">
            <v>1912542-1</v>
          </cell>
          <cell r="AR442" t="str">
            <v>1912542-2</v>
          </cell>
          <cell r="BA442" t="str">
            <v>414x870</v>
          </cell>
          <cell r="BB442" t="str">
            <v>R1</v>
          </cell>
        </row>
        <row r="443">
          <cell r="A443" t="str">
            <v>sp 1123</v>
          </cell>
          <cell r="B443" t="str">
            <v>Túi bột giặt hương hoa tự nhiên NIF 1.5kg</v>
          </cell>
          <cell r="E443">
            <v>7</v>
          </cell>
          <cell r="F443">
            <v>7</v>
          </cell>
          <cell r="AO443" t="str">
            <v>Công ty MKL</v>
          </cell>
          <cell r="AQ443" t="str">
            <v>F125084-1</v>
          </cell>
          <cell r="AR443" t="str">
            <v>F125084-2</v>
          </cell>
          <cell r="AS443" t="str">
            <v>F125084-3</v>
          </cell>
          <cell r="AT443" t="str">
            <v>F125084-4</v>
          </cell>
          <cell r="AU443" t="str">
            <v>F125084-5</v>
          </cell>
          <cell r="AV443" t="str">
            <v>F125084-6</v>
          </cell>
          <cell r="AW443" t="str">
            <v>F125084-7</v>
          </cell>
          <cell r="BA443" t="str">
            <v>760x870</v>
          </cell>
          <cell r="BB443" t="str">
            <v>R1</v>
          </cell>
        </row>
        <row r="444">
          <cell r="A444" t="str">
            <v>sp 1124</v>
          </cell>
          <cell r="B444" t="str">
            <v>Cuộn màng tấm ốp văn hoa cơ điện</v>
          </cell>
          <cell r="E444">
            <v>1</v>
          </cell>
          <cell r="F444">
            <v>1</v>
          </cell>
          <cell r="AO444" t="str">
            <v>Công ty Cơ điện Hà Nội</v>
          </cell>
          <cell r="AQ444" t="str">
            <v>X403403-1</v>
          </cell>
          <cell r="BA444" t="str">
            <v>1300x831</v>
          </cell>
        </row>
        <row r="445">
          <cell r="A445" t="str">
            <v>sp 1125</v>
          </cell>
          <cell r="B445" t="str">
            <v>Túi men rượu hương nếp Trung Tiến 500gr</v>
          </cell>
          <cell r="E445">
            <v>8</v>
          </cell>
          <cell r="F445">
            <v>8</v>
          </cell>
          <cell r="AO445" t="str">
            <v>Công ty Trung Tiến</v>
          </cell>
          <cell r="AQ445" t="str">
            <v>F125145-1</v>
          </cell>
          <cell r="AR445" t="str">
            <v>F125145-2</v>
          </cell>
          <cell r="AS445" t="str">
            <v>F125145NG1-3</v>
          </cell>
          <cell r="AT445" t="str">
            <v>F125145-4</v>
          </cell>
          <cell r="AU445" t="str">
            <v>F125145-5</v>
          </cell>
          <cell r="AV445" t="str">
            <v>F125145NG1-6</v>
          </cell>
          <cell r="AW445" t="str">
            <v>F125145-7</v>
          </cell>
          <cell r="AX445" t="str">
            <v>F125145-8</v>
          </cell>
          <cell r="BA445" t="str">
            <v>860x540</v>
          </cell>
          <cell r="BB445" t="str">
            <v>R2</v>
          </cell>
        </row>
        <row r="446">
          <cell r="A446" t="str">
            <v>sp 1126</v>
          </cell>
          <cell r="B446" t="str">
            <v>Cuộn màng HS cozy hương đào túi nhúng T4 Vĩnh Phúc</v>
          </cell>
          <cell r="E446" t="str">
            <v>sp 319</v>
          </cell>
          <cell r="F446">
            <v>6</v>
          </cell>
          <cell r="AO446" t="str">
            <v>Công ty Vĩnh Phúc</v>
          </cell>
          <cell r="AQ446" t="str">
            <v>1803378-1</v>
          </cell>
          <cell r="AR446" t="str">
            <v>1908187-2</v>
          </cell>
          <cell r="AS446" t="str">
            <v>1908187-3</v>
          </cell>
          <cell r="AT446" t="str">
            <v>1803378-4</v>
          </cell>
          <cell r="AU446" t="str">
            <v>1803378-5</v>
          </cell>
          <cell r="AV446" t="str">
            <v>1908217-6</v>
          </cell>
          <cell r="BA446" t="str">
            <v>462x750</v>
          </cell>
          <cell r="BB446" t="str">
            <v>A1</v>
          </cell>
          <cell r="BC446" t="str">
            <v>in chung với bộ 319</v>
          </cell>
        </row>
        <row r="447">
          <cell r="A447" t="str">
            <v>sp 1127</v>
          </cell>
          <cell r="B447" t="str">
            <v>Cuộn thuốc thú y T.eimerin Cầu Trùng</v>
          </cell>
          <cell r="E447">
            <v>1</v>
          </cell>
          <cell r="F447">
            <v>1</v>
          </cell>
          <cell r="AO447" t="str">
            <v>Công ty Năm Thái</v>
          </cell>
          <cell r="AQ447" t="str">
            <v>2001174-1</v>
          </cell>
          <cell r="BA447" t="str">
            <v>495x870</v>
          </cell>
          <cell r="BB447" t="str">
            <v>R1</v>
          </cell>
        </row>
        <row r="448">
          <cell r="A448" t="str">
            <v>sp 1128</v>
          </cell>
          <cell r="B448" t="str">
            <v>Cuộn thuốc T.I.C 100g</v>
          </cell>
          <cell r="E448">
            <v>1</v>
          </cell>
          <cell r="F448">
            <v>1</v>
          </cell>
          <cell r="AO448" t="str">
            <v>Công ty Năm Thái</v>
          </cell>
          <cell r="AQ448" t="str">
            <v>2001175-1</v>
          </cell>
          <cell r="BA448" t="str">
            <v>495x870</v>
          </cell>
          <cell r="BB448" t="str">
            <v>R1</v>
          </cell>
        </row>
        <row r="449">
          <cell r="A449" t="str">
            <v>sp 1129</v>
          </cell>
          <cell r="B449" t="str">
            <v>Cuộn thuốc Doxyvit Thái 100g</v>
          </cell>
          <cell r="E449">
            <v>1</v>
          </cell>
          <cell r="F449">
            <v>1</v>
          </cell>
          <cell r="AO449" t="str">
            <v>Công ty Năm Thái</v>
          </cell>
          <cell r="AQ449" t="str">
            <v>2001176-1</v>
          </cell>
          <cell r="BA449" t="str">
            <v>495x870</v>
          </cell>
          <cell r="BB449" t="str">
            <v>R1</v>
          </cell>
        </row>
        <row r="450">
          <cell r="A450" t="str">
            <v>sp 1130</v>
          </cell>
          <cell r="B450" t="str">
            <v>Cuộn thuốc thú y Costop TA 100g</v>
          </cell>
          <cell r="E450">
            <v>1</v>
          </cell>
          <cell r="F450">
            <v>1</v>
          </cell>
          <cell r="AO450" t="str">
            <v>Công ty Năm Thái</v>
          </cell>
          <cell r="AQ450" t="str">
            <v>2001177-1</v>
          </cell>
          <cell r="BA450" t="str">
            <v>495x870</v>
          </cell>
          <cell r="BB450" t="str">
            <v>R1</v>
          </cell>
        </row>
        <row r="451">
          <cell r="A451" t="str">
            <v>sp 1131</v>
          </cell>
          <cell r="B451" t="str">
            <v>Cuộn thuốc thú y giải độc gan 100g</v>
          </cell>
          <cell r="E451">
            <v>1</v>
          </cell>
          <cell r="F451">
            <v>1</v>
          </cell>
          <cell r="AO451" t="str">
            <v>Công ty Năm Thái</v>
          </cell>
          <cell r="AQ451" t="str">
            <v>2001178-1</v>
          </cell>
          <cell r="BA451" t="str">
            <v>495x870</v>
          </cell>
          <cell r="BB451" t="str">
            <v>R1</v>
          </cell>
        </row>
        <row r="452">
          <cell r="A452" t="str">
            <v>sp 1132</v>
          </cell>
          <cell r="B452" t="str">
            <v>Cuộn thuốc thú y Embrio Stimulan 100g</v>
          </cell>
          <cell r="E452">
            <v>1</v>
          </cell>
          <cell r="F452">
            <v>1</v>
          </cell>
          <cell r="AO452" t="str">
            <v>Công ty Năm Thái</v>
          </cell>
          <cell r="AQ452" t="str">
            <v>2001179-1</v>
          </cell>
          <cell r="BA452" t="str">
            <v>495x870</v>
          </cell>
          <cell r="BB452" t="str">
            <v>R1</v>
          </cell>
        </row>
        <row r="453">
          <cell r="A453" t="str">
            <v>sp 1133</v>
          </cell>
          <cell r="B453" t="str">
            <v>Cuộn thuốc thú y giải độc lách T.A 100g</v>
          </cell>
          <cell r="E453">
            <v>1</v>
          </cell>
          <cell r="F453">
            <v>1</v>
          </cell>
          <cell r="AO453" t="str">
            <v>Công ty Năm Thái</v>
          </cell>
          <cell r="AQ453" t="str">
            <v>2001180-1</v>
          </cell>
          <cell r="BA453" t="str">
            <v>495x870</v>
          </cell>
          <cell r="BB453" t="str">
            <v>R1</v>
          </cell>
        </row>
        <row r="454">
          <cell r="A454" t="str">
            <v>sp 1134</v>
          </cell>
          <cell r="B454" t="str">
            <v>Cuộn thuốc Super Vitamin S 100g</v>
          </cell>
          <cell r="E454">
            <v>1</v>
          </cell>
          <cell r="F454">
            <v>1</v>
          </cell>
          <cell r="AO454" t="str">
            <v>Công ty Năm Thái</v>
          </cell>
          <cell r="AQ454" t="str">
            <v>2001181-1</v>
          </cell>
          <cell r="BA454" t="str">
            <v>495x870</v>
          </cell>
          <cell r="BB454" t="str">
            <v>R1</v>
          </cell>
        </row>
        <row r="455">
          <cell r="A455" t="str">
            <v>sp 1135</v>
          </cell>
          <cell r="B455" t="str">
            <v>Cuộn thuốc Super Vitamin 100g</v>
          </cell>
          <cell r="E455">
            <v>1</v>
          </cell>
          <cell r="F455">
            <v>1</v>
          </cell>
          <cell r="AO455" t="str">
            <v>Công ty Năm Thái</v>
          </cell>
          <cell r="AQ455" t="str">
            <v>2001182-1</v>
          </cell>
          <cell r="BA455" t="str">
            <v>495x870</v>
          </cell>
          <cell r="BB455" t="str">
            <v>R1</v>
          </cell>
        </row>
        <row r="456">
          <cell r="A456" t="str">
            <v>sp 1136</v>
          </cell>
          <cell r="B456" t="str">
            <v>Khăn hạ sốt Dr.Papie Starmed mv082 5 chiếc</v>
          </cell>
          <cell r="E456">
            <v>6</v>
          </cell>
          <cell r="F456">
            <v>4</v>
          </cell>
          <cell r="AO456" t="str">
            <v>Công ty dược phẩm Starmed</v>
          </cell>
          <cell r="AQ456" t="str">
            <v>2001258-1</v>
          </cell>
          <cell r="AR456" t="str">
            <v>2001258-2</v>
          </cell>
          <cell r="AS456" t="str">
            <v>2001258-3</v>
          </cell>
          <cell r="AT456" t="str">
            <v>2001258-4</v>
          </cell>
          <cell r="AU456" t="str">
            <v>2003728-2</v>
          </cell>
          <cell r="AV456" t="str">
            <v>20071067-0</v>
          </cell>
          <cell r="BA456" t="str">
            <v>438x870</v>
          </cell>
          <cell r="BB456" t="str">
            <v>R1</v>
          </cell>
          <cell r="BD456" t="str">
            <v>Làm thêm cây số 2 sửa date, làm thêm cây K</v>
          </cell>
        </row>
        <row r="457">
          <cell r="A457" t="str">
            <v>sp 1137</v>
          </cell>
          <cell r="B457" t="str">
            <v>Khăn hạ sốt Dr.Papie Starmed mv099 5 chiếc</v>
          </cell>
          <cell r="E457">
            <v>1</v>
          </cell>
          <cell r="F457">
            <v>4</v>
          </cell>
          <cell r="AO457" t="str">
            <v>Công ty dược phẩm Starmed</v>
          </cell>
          <cell r="AQ457" t="str">
            <v>2001259-1</v>
          </cell>
          <cell r="AR457" t="str">
            <v>2001259-2</v>
          </cell>
          <cell r="AS457" t="str">
            <v>2001259-3</v>
          </cell>
          <cell r="AT457" t="str">
            <v>2001259-4</v>
          </cell>
          <cell r="BA457" t="str">
            <v>438x870</v>
          </cell>
          <cell r="BB457" t="str">
            <v>R2</v>
          </cell>
          <cell r="BC457" t="str">
            <v>in chung bộ 1136 trừ cây đen</v>
          </cell>
        </row>
        <row r="458">
          <cell r="A458" t="str">
            <v>sp 1138</v>
          </cell>
          <cell r="B458" t="str">
            <v>Cuộn bánh kẹp kem sữa Arita 270gr Hữu Nghị</v>
          </cell>
          <cell r="AO458" t="str">
            <v>Công ty Hữu Nghị</v>
          </cell>
          <cell r="AQ458" t="str">
            <v>X108222-1</v>
          </cell>
          <cell r="BA458" t="str">
            <v>1100x498</v>
          </cell>
          <cell r="BB458" t="str">
            <v>B2</v>
          </cell>
        </row>
        <row r="459">
          <cell r="A459" t="str">
            <v>sp 1139</v>
          </cell>
          <cell r="B459" t="str">
            <v>Xingfa 3 màu cơ điện</v>
          </cell>
          <cell r="E459">
            <v>3</v>
          </cell>
          <cell r="F459">
            <v>3</v>
          </cell>
          <cell r="AO459" t="str">
            <v>Công ty Cơ điện Hà Nội</v>
          </cell>
          <cell r="AQ459" t="str">
            <v>1902798-1</v>
          </cell>
          <cell r="AR459" t="str">
            <v>1902798-2</v>
          </cell>
          <cell r="AS459" t="str">
            <v>1902798-3</v>
          </cell>
          <cell r="BA459" t="str">
            <v>906x1300</v>
          </cell>
          <cell r="BD459" t="str">
            <v>Trục của công ty Cơ điện</v>
          </cell>
        </row>
        <row r="460">
          <cell r="A460" t="str">
            <v>sp 1140</v>
          </cell>
          <cell r="B460" t="str">
            <v>Túi bánh kẹp kem sữa Arita 270gr Hữu Nghị</v>
          </cell>
          <cell r="E460">
            <v>6</v>
          </cell>
          <cell r="F460">
            <v>6</v>
          </cell>
          <cell r="AO460" t="str">
            <v>Công ty Hữu Nghị</v>
          </cell>
          <cell r="AQ460" t="str">
            <v>X108061F1-1</v>
          </cell>
          <cell r="AR460" t="str">
            <v>X108061F1-2</v>
          </cell>
          <cell r="AS460" t="str">
            <v>X108061F1-3</v>
          </cell>
          <cell r="AT460" t="str">
            <v>X108061F1-4</v>
          </cell>
          <cell r="AU460" t="str">
            <v>X108061F1-5</v>
          </cell>
          <cell r="AV460" t="str">
            <v>X108061F1-6</v>
          </cell>
          <cell r="BA460" t="str">
            <v>1100x640</v>
          </cell>
          <cell r="BB460" t="str">
            <v>B2</v>
          </cell>
        </row>
        <row r="461">
          <cell r="A461" t="str">
            <v>sp 1141</v>
          </cell>
          <cell r="B461" t="str">
            <v>Túi thuốc thú y 2 màu Năm Thái 1kg</v>
          </cell>
          <cell r="E461">
            <v>2</v>
          </cell>
          <cell r="F461">
            <v>2</v>
          </cell>
          <cell r="AO461" t="str">
            <v>Công ty Năm Thái</v>
          </cell>
          <cell r="AQ461" t="str">
            <v>F125351-1</v>
          </cell>
          <cell r="AR461" t="str">
            <v>F125351-2</v>
          </cell>
          <cell r="BA461" t="str">
            <v>870x480</v>
          </cell>
          <cell r="BB461" t="str">
            <v>R2</v>
          </cell>
        </row>
        <row r="462">
          <cell r="A462" t="str">
            <v>sp 1142</v>
          </cell>
          <cell r="B462" t="str">
            <v>Cuộn thuốc thú y Tydox - TA 100g</v>
          </cell>
          <cell r="E462">
            <v>1</v>
          </cell>
          <cell r="F462">
            <v>1</v>
          </cell>
          <cell r="AO462" t="str">
            <v>Công ty Năm Thái</v>
          </cell>
          <cell r="AQ462" t="str">
            <v>2002252-1</v>
          </cell>
          <cell r="BA462" t="str">
            <v>495x870</v>
          </cell>
          <cell r="BB462" t="str">
            <v>R2</v>
          </cell>
        </row>
        <row r="463">
          <cell r="A463" t="str">
            <v>sp 1143</v>
          </cell>
          <cell r="B463" t="str">
            <v>Cuộn thuốc thú y Hepaton 100g</v>
          </cell>
          <cell r="E463">
            <v>1</v>
          </cell>
          <cell r="F463">
            <v>1</v>
          </cell>
          <cell r="AO463" t="str">
            <v>Công ty Năm Thái</v>
          </cell>
          <cell r="AQ463" t="str">
            <v>2002253-1</v>
          </cell>
          <cell r="BA463" t="str">
            <v>495x870</v>
          </cell>
          <cell r="BB463" t="str">
            <v>R2</v>
          </cell>
        </row>
        <row r="464">
          <cell r="A464" t="str">
            <v>sp 1144</v>
          </cell>
          <cell r="B464" t="str">
            <v>Cuộn thuốc thú y CCRD - Năm Thái 100g</v>
          </cell>
          <cell r="E464">
            <v>1</v>
          </cell>
          <cell r="F464">
            <v>1</v>
          </cell>
          <cell r="AO464" t="str">
            <v>Công ty Năm Thái</v>
          </cell>
          <cell r="AQ464" t="str">
            <v>2002254-1</v>
          </cell>
          <cell r="BA464" t="str">
            <v>495x870</v>
          </cell>
          <cell r="BB464" t="str">
            <v>R2</v>
          </cell>
        </row>
        <row r="465">
          <cell r="A465" t="str">
            <v>sp 1145</v>
          </cell>
          <cell r="B465" t="str">
            <v>Cuộn thuốc thú y T.Coryzine 100g</v>
          </cell>
          <cell r="E465">
            <v>1</v>
          </cell>
          <cell r="F465">
            <v>1</v>
          </cell>
          <cell r="AO465" t="str">
            <v>Công ty Năm Thái</v>
          </cell>
          <cell r="AQ465" t="str">
            <v>2002255-1</v>
          </cell>
          <cell r="BA465" t="str">
            <v>525x870</v>
          </cell>
          <cell r="BB465" t="str">
            <v>R2</v>
          </cell>
        </row>
        <row r="466">
          <cell r="A466" t="str">
            <v>sp 1146</v>
          </cell>
          <cell r="B466" t="str">
            <v>Cuộn thuốc thú y T.cúm gia súc</v>
          </cell>
          <cell r="E466">
            <v>1</v>
          </cell>
          <cell r="F466">
            <v>1</v>
          </cell>
          <cell r="AO466" t="str">
            <v>Công ty Năm Thái</v>
          </cell>
          <cell r="AQ466" t="str">
            <v>2002256-1</v>
          </cell>
          <cell r="BA466" t="str">
            <v>525x870</v>
          </cell>
          <cell r="BB466" t="str">
            <v>R2</v>
          </cell>
        </row>
        <row r="467">
          <cell r="A467" t="str">
            <v>sp 1147</v>
          </cell>
          <cell r="B467" t="str">
            <v>Cuộn thuốc thú y Gentafam-1 100g</v>
          </cell>
          <cell r="E467">
            <v>1</v>
          </cell>
          <cell r="F467">
            <v>1</v>
          </cell>
          <cell r="AO467" t="str">
            <v>Công ty Năm Thái</v>
          </cell>
          <cell r="AQ467" t="str">
            <v>2002257-1</v>
          </cell>
          <cell r="BA467" t="str">
            <v>525x870</v>
          </cell>
          <cell r="BB467" t="str">
            <v>R2</v>
          </cell>
        </row>
        <row r="468">
          <cell r="A468" t="str">
            <v>sp 1148</v>
          </cell>
          <cell r="B468" t="str">
            <v>Cuộn thuốc thú y Super-Cox 100g</v>
          </cell>
          <cell r="E468">
            <v>1</v>
          </cell>
          <cell r="F468">
            <v>1</v>
          </cell>
          <cell r="AO468" t="str">
            <v>Công ty Năm Thái</v>
          </cell>
          <cell r="AQ468" t="str">
            <v>2002258-1</v>
          </cell>
          <cell r="BA468" t="str">
            <v>525x870</v>
          </cell>
          <cell r="BB468" t="str">
            <v>R2</v>
          </cell>
        </row>
        <row r="469">
          <cell r="A469" t="str">
            <v>sp 1149</v>
          </cell>
          <cell r="B469" t="str">
            <v>Cuộn thuốc thú y Anti-Gum 100g</v>
          </cell>
          <cell r="E469">
            <v>1</v>
          </cell>
          <cell r="F469">
            <v>1</v>
          </cell>
          <cell r="AO469" t="str">
            <v>Công ty Năm Thái</v>
          </cell>
          <cell r="AQ469" t="str">
            <v>2002259-1</v>
          </cell>
          <cell r="BA469" t="str">
            <v>525x870</v>
          </cell>
          <cell r="BB469" t="str">
            <v>R2</v>
          </cell>
        </row>
        <row r="470">
          <cell r="A470" t="str">
            <v>sp 1150</v>
          </cell>
          <cell r="B470" t="str">
            <v>Cuộn thuốc thú y T.Colivit 100g</v>
          </cell>
          <cell r="E470">
            <v>1</v>
          </cell>
          <cell r="F470">
            <v>1</v>
          </cell>
          <cell r="AO470" t="str">
            <v>Công ty Năm Thái</v>
          </cell>
          <cell r="AQ470" t="str">
            <v>2002260-1</v>
          </cell>
          <cell r="BA470" t="str">
            <v>495x870</v>
          </cell>
          <cell r="BB470" t="str">
            <v>R2</v>
          </cell>
        </row>
        <row r="471">
          <cell r="A471" t="str">
            <v>sp 1151</v>
          </cell>
          <cell r="B471" t="str">
            <v>Cuộn thuốc thú y T.Umgiaca 100g</v>
          </cell>
          <cell r="E471">
            <v>1</v>
          </cell>
          <cell r="F471">
            <v>1</v>
          </cell>
          <cell r="AO471" t="str">
            <v>Công ty Năm Thái</v>
          </cell>
          <cell r="AQ471" t="str">
            <v>2002322-1</v>
          </cell>
          <cell r="BA471" t="str">
            <v>495x870</v>
          </cell>
          <cell r="BB471" t="str">
            <v>R2</v>
          </cell>
        </row>
        <row r="472">
          <cell r="A472" t="str">
            <v>sp 1152</v>
          </cell>
          <cell r="B472" t="str">
            <v>Cuộn màng nhôm Xingfa PPTD asa cơ điện</v>
          </cell>
          <cell r="E472">
            <v>3</v>
          </cell>
          <cell r="F472">
            <v>3</v>
          </cell>
          <cell r="AO472" t="str">
            <v>Công ty Cơ điện Hà Nội</v>
          </cell>
          <cell r="AQ472" t="str">
            <v>1806095-1</v>
          </cell>
          <cell r="AR472" t="str">
            <v>1806095-2</v>
          </cell>
          <cell r="AS472" t="str">
            <v>1806095-3</v>
          </cell>
          <cell r="BA472" t="str">
            <v>455x1300</v>
          </cell>
          <cell r="BD472" t="str">
            <v>Trục của công ty Cơ điện</v>
          </cell>
        </row>
        <row r="473">
          <cell r="A473" t="str">
            <v>sp 1153</v>
          </cell>
          <cell r="B473" t="str">
            <v>Cuộn thuốc thú y Anti.crd LA 100g</v>
          </cell>
          <cell r="E473">
            <v>1</v>
          </cell>
          <cell r="F473">
            <v>1</v>
          </cell>
          <cell r="AO473" t="str">
            <v>Công ty Năm Thái</v>
          </cell>
          <cell r="AQ473" t="str">
            <v>2002433-1</v>
          </cell>
          <cell r="BA473" t="str">
            <v>495x870</v>
          </cell>
          <cell r="BB473" t="str">
            <v>R2</v>
          </cell>
        </row>
        <row r="474">
          <cell r="A474" t="str">
            <v>sp 1154</v>
          </cell>
          <cell r="B474" t="str">
            <v>Cuộn thuốc thú y Fungicid 100g</v>
          </cell>
          <cell r="E474">
            <v>1</v>
          </cell>
          <cell r="F474">
            <v>1</v>
          </cell>
          <cell r="AO474" t="str">
            <v>Công ty Năm Thái</v>
          </cell>
          <cell r="AQ474" t="str">
            <v>2002434-1</v>
          </cell>
          <cell r="BA474" t="str">
            <v>495x870</v>
          </cell>
          <cell r="BB474" t="str">
            <v>R2</v>
          </cell>
        </row>
        <row r="475">
          <cell r="A475" t="str">
            <v>sp 1155</v>
          </cell>
          <cell r="B475" t="str">
            <v>Cuộn bánh gạo Nhật Nakki hương vị bò Okifood</v>
          </cell>
          <cell r="E475">
            <v>7</v>
          </cell>
          <cell r="F475">
            <v>7</v>
          </cell>
          <cell r="AO475" t="str">
            <v>Công ty Okifood</v>
          </cell>
          <cell r="AQ475" t="str">
            <v>2002955-1</v>
          </cell>
          <cell r="AR475" t="str">
            <v>2002955-2</v>
          </cell>
          <cell r="AS475" t="str">
            <v>2002955-3</v>
          </cell>
          <cell r="AT475" t="str">
            <v>2002955-4</v>
          </cell>
          <cell r="AU475" t="str">
            <v>2002955-5</v>
          </cell>
          <cell r="AV475" t="str">
            <v>2002955-6</v>
          </cell>
          <cell r="AW475" t="str">
            <v>2002955-7</v>
          </cell>
          <cell r="BA475" t="str">
            <v>468x1150</v>
          </cell>
          <cell r="BB475" t="str">
            <v>R2</v>
          </cell>
        </row>
        <row r="476">
          <cell r="A476" t="str">
            <v>sp 1156</v>
          </cell>
          <cell r="B476" t="str">
            <v>Túi bánh gạo nhật nakki màu đỏ hương vị bò loại mặn 150gr Okifood</v>
          </cell>
          <cell r="E476">
            <v>7</v>
          </cell>
          <cell r="F476">
            <v>7</v>
          </cell>
          <cell r="AO476" t="str">
            <v>Công ty Okifood</v>
          </cell>
          <cell r="AQ476" t="str">
            <v>2002956-1</v>
          </cell>
          <cell r="AR476" t="str">
            <v>2002956-2</v>
          </cell>
          <cell r="AS476" t="str">
            <v>2002956-3</v>
          </cell>
          <cell r="AT476" t="str">
            <v>2002956-4</v>
          </cell>
          <cell r="AU476" t="str">
            <v>2002956-5</v>
          </cell>
          <cell r="AV476" t="str">
            <v>2002956-6</v>
          </cell>
          <cell r="AW476" t="str">
            <v>2002956-7</v>
          </cell>
          <cell r="BA476" t="str">
            <v>680x1100</v>
          </cell>
          <cell r="BB476" t="str">
            <v>R2</v>
          </cell>
        </row>
        <row r="477">
          <cell r="A477" t="str">
            <v>sp 1157</v>
          </cell>
          <cell r="B477" t="str">
            <v>Túi thuốc thú y Zipper 1kg Hùng Nguyên</v>
          </cell>
          <cell r="E477">
            <v>4</v>
          </cell>
          <cell r="F477">
            <v>4</v>
          </cell>
          <cell r="AO477" t="str">
            <v>Công ty Hùng Nguyên</v>
          </cell>
          <cell r="AQ477" t="str">
            <v>F125531-1</v>
          </cell>
          <cell r="AR477" t="str">
            <v>F125531-2</v>
          </cell>
          <cell r="AS477" t="str">
            <v>F125531-3</v>
          </cell>
          <cell r="AT477" t="str">
            <v>F125531-4</v>
          </cell>
          <cell r="BA477" t="str">
            <v>870x516</v>
          </cell>
          <cell r="BB477" t="str">
            <v>R2</v>
          </cell>
        </row>
        <row r="478">
          <cell r="A478" t="str">
            <v>sp 1158</v>
          </cell>
          <cell r="B478" t="str">
            <v>Cuộn bánh snacks ocean fish vị tôm nướng 25gr libra</v>
          </cell>
          <cell r="E478">
            <v>8</v>
          </cell>
          <cell r="F478">
            <v>8</v>
          </cell>
          <cell r="AO478" t="str">
            <v>Công ty Libra</v>
          </cell>
          <cell r="AQ478" t="str">
            <v>F125535-1</v>
          </cell>
          <cell r="AR478" t="str">
            <v>F125535-2</v>
          </cell>
          <cell r="AS478" t="str">
            <v>F125535-3</v>
          </cell>
          <cell r="AT478" t="str">
            <v>F125535-4</v>
          </cell>
          <cell r="AU478" t="str">
            <v>F125535-5</v>
          </cell>
          <cell r="AV478" t="str">
            <v>F125535-6</v>
          </cell>
          <cell r="AW478" t="str">
            <v>F125535-7</v>
          </cell>
          <cell r="AX478" t="str">
            <v>F125535-8</v>
          </cell>
          <cell r="BA478" t="str">
            <v>870x432</v>
          </cell>
          <cell r="BB478" t="str">
            <v>R2</v>
          </cell>
        </row>
        <row r="479">
          <cell r="A479" t="str">
            <v>sp 1159</v>
          </cell>
          <cell r="B479" t="str">
            <v>Cuộn thuốc thú y TĐG Năm Thái</v>
          </cell>
          <cell r="E479">
            <v>1</v>
          </cell>
          <cell r="F479">
            <v>1</v>
          </cell>
          <cell r="AO479" t="str">
            <v>Công ty Năm Thái</v>
          </cell>
          <cell r="AQ479" t="str">
            <v>20021185-1</v>
          </cell>
          <cell r="BA479" t="str">
            <v>495x870</v>
          </cell>
          <cell r="BB479" t="str">
            <v>R2</v>
          </cell>
        </row>
        <row r="480">
          <cell r="A480" t="str">
            <v>sp 1160</v>
          </cell>
          <cell r="B480" t="str">
            <v>Cuộn thuốc thú y Sutrim 100gr Năm Thái khổ 250x175</v>
          </cell>
          <cell r="E480">
            <v>1</v>
          </cell>
          <cell r="F480">
            <v>1</v>
          </cell>
          <cell r="AO480" t="str">
            <v>Công ty Năm Thái</v>
          </cell>
          <cell r="AQ480" t="str">
            <v>20021186-1</v>
          </cell>
          <cell r="BA480" t="str">
            <v>525x870</v>
          </cell>
          <cell r="BB480" t="str">
            <v>R2</v>
          </cell>
        </row>
        <row r="481">
          <cell r="A481" t="str">
            <v>sp 1161</v>
          </cell>
          <cell r="B481" t="str">
            <v>Túi viên nang cứng ích mẫu 67x150x16 Trapaco cnc</v>
          </cell>
          <cell r="E481">
            <v>2</v>
          </cell>
          <cell r="F481">
            <v>2</v>
          </cell>
          <cell r="AO481" t="str">
            <v>Công ty công nghệ cao Traphaco</v>
          </cell>
          <cell r="AQ481" t="str">
            <v>20021215-1</v>
          </cell>
          <cell r="AR481" t="str">
            <v>20021215-2</v>
          </cell>
          <cell r="BA481" t="str">
            <v>420x870</v>
          </cell>
          <cell r="BB481" t="str">
            <v>R2</v>
          </cell>
        </row>
        <row r="482">
          <cell r="A482" t="str">
            <v>sp 1162</v>
          </cell>
          <cell r="B482" t="str">
            <v>Cuộn đựng khăn ướt in một màu hở màng 13mm Phúc Tín</v>
          </cell>
          <cell r="E482">
            <v>1</v>
          </cell>
          <cell r="F482">
            <v>1</v>
          </cell>
          <cell r="AO482" t="str">
            <v>Công ty Phúc Tín</v>
          </cell>
          <cell r="AQ482" t="str">
            <v>F125556-1</v>
          </cell>
          <cell r="BA482" t="str">
            <v>860x462</v>
          </cell>
          <cell r="BB482" t="str">
            <v>R2</v>
          </cell>
        </row>
        <row r="483">
          <cell r="A483" t="str">
            <v>sp 1163</v>
          </cell>
          <cell r="B483" t="str">
            <v>Cuộn thuốc thú y TA.GLUCO.K.C 100g</v>
          </cell>
          <cell r="E483">
            <v>1</v>
          </cell>
          <cell r="F483">
            <v>1</v>
          </cell>
          <cell r="AO483" t="str">
            <v>Công ty Năm Thái</v>
          </cell>
          <cell r="AQ483" t="str">
            <v>20030584-1</v>
          </cell>
          <cell r="BA483" t="str">
            <v>495x870</v>
          </cell>
          <cell r="BB483" t="str">
            <v>R2</v>
          </cell>
        </row>
        <row r="484">
          <cell r="A484" t="str">
            <v>sp 1164</v>
          </cell>
          <cell r="B484" t="str">
            <v>Cuộn thuốc thú y Gluco.K.C.B2 100g</v>
          </cell>
          <cell r="E484">
            <v>1</v>
          </cell>
          <cell r="F484">
            <v>1</v>
          </cell>
          <cell r="AO484" t="str">
            <v>Công ty Năm Thái</v>
          </cell>
          <cell r="AQ484" t="str">
            <v>20030583-1</v>
          </cell>
          <cell r="BA484" t="str">
            <v>495x870</v>
          </cell>
          <cell r="BB484" t="str">
            <v>R2</v>
          </cell>
        </row>
        <row r="485">
          <cell r="A485" t="str">
            <v>sp 1165</v>
          </cell>
          <cell r="B485" t="str">
            <v>Cuộn màng dán khay thịt Nhật Nguyên</v>
          </cell>
          <cell r="E485" t="str">
            <v>sp 857</v>
          </cell>
          <cell r="F485">
            <v>1</v>
          </cell>
          <cell r="AO485" t="str">
            <v>Công ty Nhật Nguyên</v>
          </cell>
          <cell r="AQ485" t="str">
            <v>X102176-1</v>
          </cell>
          <cell r="BA485" t="str">
            <v>520x850</v>
          </cell>
          <cell r="BB485" t="str">
            <v>P1</v>
          </cell>
          <cell r="BC485" t="str">
            <v>In chung sp 857</v>
          </cell>
        </row>
        <row r="487">
          <cell r="A487" t="str">
            <v>sp 1167</v>
          </cell>
          <cell r="B487" t="str">
            <v>Túi ngô nếp TBM18 100g</v>
          </cell>
          <cell r="E487">
            <v>7</v>
          </cell>
          <cell r="F487">
            <v>7</v>
          </cell>
          <cell r="AO487" t="str">
            <v>Công ty Thái Bình</v>
          </cell>
          <cell r="AQ487" t="str">
            <v>20030258-1</v>
          </cell>
          <cell r="AR487" t="str">
            <v>20030258-2</v>
          </cell>
          <cell r="AS487" t="str">
            <v>20030258-3</v>
          </cell>
          <cell r="AT487" t="str">
            <v>20030258-4</v>
          </cell>
          <cell r="AU487" t="str">
            <v>20030258-5</v>
          </cell>
          <cell r="AV487" t="str">
            <v>20030258-6</v>
          </cell>
          <cell r="AW487" t="str">
            <v>20030258-7</v>
          </cell>
          <cell r="BA487" t="str">
            <v>510x870</v>
          </cell>
          <cell r="BB487" t="str">
            <v>R2</v>
          </cell>
        </row>
        <row r="488">
          <cell r="A488" t="str">
            <v>sp 1168</v>
          </cell>
          <cell r="B488" t="str">
            <v>Túi ngô nếp TBM18 500g</v>
          </cell>
          <cell r="E488">
            <v>7</v>
          </cell>
          <cell r="F488">
            <v>7</v>
          </cell>
          <cell r="AO488" t="str">
            <v>Công ty Thái Bình</v>
          </cell>
          <cell r="AQ488" t="str">
            <v>20030259-1</v>
          </cell>
          <cell r="AR488" t="str">
            <v>20030259-2</v>
          </cell>
          <cell r="AS488" t="str">
            <v>20030259-3</v>
          </cell>
          <cell r="AT488" t="str">
            <v>20030259-4</v>
          </cell>
          <cell r="AU488" t="str">
            <v>20030259-5</v>
          </cell>
          <cell r="AV488" t="str">
            <v>20030259-6</v>
          </cell>
          <cell r="AW488" t="str">
            <v>20030259-7</v>
          </cell>
          <cell r="BA488" t="str">
            <v>480x870</v>
          </cell>
          <cell r="BB488" t="str">
            <v>R2</v>
          </cell>
        </row>
        <row r="489">
          <cell r="A489" t="str">
            <v>sp 1169</v>
          </cell>
          <cell r="B489" t="str">
            <v>Cuộn thuốc thú y T.Flox C 100g</v>
          </cell>
          <cell r="E489">
            <v>1</v>
          </cell>
          <cell r="F489">
            <v>1</v>
          </cell>
          <cell r="AO489" t="str">
            <v>Công ty Năm Thái</v>
          </cell>
          <cell r="AQ489" t="str">
            <v>20030582-1</v>
          </cell>
          <cell r="BA489" t="str">
            <v>495x870</v>
          </cell>
          <cell r="BB489" t="str">
            <v>R2</v>
          </cell>
        </row>
        <row r="490">
          <cell r="A490" t="str">
            <v>sp 1170</v>
          </cell>
          <cell r="B490" t="str">
            <v>Túi trà lụa đỏ TC VÀ ĐS thượng hạng 100gr loại 23</v>
          </cell>
          <cell r="E490" t="str">
            <v>sp 1006</v>
          </cell>
          <cell r="F490">
            <v>7</v>
          </cell>
          <cell r="AO490" t="str">
            <v>Bùi Văn Sỹ</v>
          </cell>
          <cell r="AQ490" t="str">
            <v>17041138-1</v>
          </cell>
          <cell r="AR490" t="str">
            <v>17041138-2</v>
          </cell>
          <cell r="AS490" t="str">
            <v>17041138-3</v>
          </cell>
          <cell r="AT490" t="str">
            <v>17041138-4</v>
          </cell>
          <cell r="AU490" t="str">
            <v>17041138-5</v>
          </cell>
          <cell r="AV490" t="str">
            <v>17041138-6</v>
          </cell>
          <cell r="AW490" t="str">
            <v>17041138-7</v>
          </cell>
          <cell r="BA490" t="str">
            <v>540x850</v>
          </cell>
          <cell r="BB490" t="str">
            <v>F4</v>
          </cell>
          <cell r="BC490" t="str">
            <v>in chung sản phầm 1006</v>
          </cell>
        </row>
        <row r="491">
          <cell r="A491" t="str">
            <v>sp 1171</v>
          </cell>
          <cell r="B491" t="str">
            <v>Túi bánh Sapie Chocolate Pie phủ socola 180g</v>
          </cell>
          <cell r="E491">
            <v>8</v>
          </cell>
          <cell r="F491">
            <v>8</v>
          </cell>
          <cell r="AO491" t="str">
            <v>Công ty ASI</v>
          </cell>
          <cell r="AQ491" t="str">
            <v>21061221-1</v>
          </cell>
          <cell r="AR491" t="str">
            <v>21061221-2</v>
          </cell>
          <cell r="AS491" t="str">
            <v>21090188-3</v>
          </cell>
          <cell r="AT491" t="str">
            <v>21100379-4</v>
          </cell>
          <cell r="AU491" t="str">
            <v>20030890-5</v>
          </cell>
          <cell r="AV491" t="str">
            <v>21100379-6</v>
          </cell>
          <cell r="AW491" t="str">
            <v>20030890-7</v>
          </cell>
          <cell r="AX491" t="str">
            <v>21090188-8</v>
          </cell>
          <cell r="BA491" t="str">
            <v xml:space="preserve"> 530x870</v>
          </cell>
          <cell r="BB491" t="str">
            <v>R3</v>
          </cell>
        </row>
        <row r="492">
          <cell r="A492" t="str">
            <v>sp 1172</v>
          </cell>
          <cell r="B492" t="str">
            <v>Túi gạo nhất hương 10kg 2020 Thái Bình</v>
          </cell>
          <cell r="E492">
            <v>7</v>
          </cell>
          <cell r="F492">
            <v>7</v>
          </cell>
          <cell r="AO492" t="str">
            <v>Công ty Thái Bình</v>
          </cell>
          <cell r="AQ492" t="str">
            <v>20030971-1</v>
          </cell>
          <cell r="AR492" t="str">
            <v>20030971-2</v>
          </cell>
          <cell r="AS492" t="str">
            <v>20030971-3</v>
          </cell>
          <cell r="AT492" t="str">
            <v>20030971-4</v>
          </cell>
          <cell r="AU492" t="str">
            <v>20030971-5</v>
          </cell>
          <cell r="AV492" t="str">
            <v>20030971-6</v>
          </cell>
          <cell r="AW492" t="str">
            <v>20030971-7</v>
          </cell>
          <cell r="BA492" t="str">
            <v>600x870</v>
          </cell>
          <cell r="BB492" t="str">
            <v>R3</v>
          </cell>
        </row>
        <row r="493">
          <cell r="A493" t="str">
            <v>sp 1173</v>
          </cell>
          <cell r="B493" t="str">
            <v>Cuộn bánh gạo NAKKI vị phô mai ngô</v>
          </cell>
          <cell r="E493">
            <v>4</v>
          </cell>
          <cell r="F493">
            <v>4</v>
          </cell>
          <cell r="AO493" t="str">
            <v>Công ty Okifood</v>
          </cell>
          <cell r="AQ493" t="str">
            <v>X108725-1</v>
          </cell>
          <cell r="AR493" t="str">
            <v>X108725-2</v>
          </cell>
          <cell r="AS493" t="str">
            <v>X108725-3</v>
          </cell>
          <cell r="AT493" t="str">
            <v>X108725-4</v>
          </cell>
          <cell r="BA493" t="str">
            <v>1150x500</v>
          </cell>
          <cell r="BB493" t="str">
            <v>R3</v>
          </cell>
        </row>
        <row r="494">
          <cell r="A494" t="str">
            <v>sp 1174</v>
          </cell>
          <cell r="B494" t="str">
            <v>Cuộn thuốc thú y TA-Neo.40 100g</v>
          </cell>
          <cell r="E494">
            <v>1</v>
          </cell>
          <cell r="F494">
            <v>1</v>
          </cell>
          <cell r="AO494" t="str">
            <v>Công ty Năm Thái</v>
          </cell>
          <cell r="AQ494" t="str">
            <v>20031171-1</v>
          </cell>
          <cell r="BA494" t="str">
            <v>495x870</v>
          </cell>
          <cell r="BB494" t="str">
            <v>R3</v>
          </cell>
        </row>
        <row r="495">
          <cell r="A495" t="str">
            <v>sp 1175</v>
          </cell>
          <cell r="B495" t="str">
            <v>Cuộn thuốc thú y 1 màu trắng khổ 260 100g Bắc Việt</v>
          </cell>
          <cell r="E495" t="str">
            <v>sp 1062</v>
          </cell>
          <cell r="F495">
            <v>1</v>
          </cell>
          <cell r="AO495" t="str">
            <v>Công ty Bắc Việt</v>
          </cell>
          <cell r="AW495" t="str">
            <v>F123486-7</v>
          </cell>
          <cell r="BA495" t="str">
            <v>450x1100</v>
          </cell>
          <cell r="BB495" t="str">
            <v>A2</v>
          </cell>
          <cell r="BC495" t="str">
            <v>in chung cây số 7 của sp 1062</v>
          </cell>
        </row>
        <row r="496">
          <cell r="A496" t="str">
            <v>sp 1176</v>
          </cell>
          <cell r="B496" t="str">
            <v>Cuộn màng Xinfa Lion 4 màu Cơ điện Hà Nội</v>
          </cell>
          <cell r="E496">
            <v>4</v>
          </cell>
          <cell r="F496">
            <v>4</v>
          </cell>
          <cell r="AO496" t="str">
            <v>Công ty Cơ điện Hà Nội</v>
          </cell>
          <cell r="AQ496" t="str">
            <v>1803432-1</v>
          </cell>
          <cell r="AR496" t="str">
            <v>1803432-2</v>
          </cell>
          <cell r="AS496" t="str">
            <v>1803432-3</v>
          </cell>
          <cell r="AT496" t="str">
            <v>1803432-4</v>
          </cell>
          <cell r="BA496" t="str">
            <v>560x1300</v>
          </cell>
        </row>
        <row r="497">
          <cell r="A497" t="str">
            <v>sp 1177</v>
          </cell>
          <cell r="B497" t="str">
            <v>Túi viên hà thủ ô CNC Traphaco</v>
          </cell>
          <cell r="E497">
            <v>2</v>
          </cell>
          <cell r="F497">
            <v>2</v>
          </cell>
          <cell r="AO497" t="str">
            <v>Công ty công nghệ cao Traphaco</v>
          </cell>
          <cell r="AQ497" t="str">
            <v>20031376-1</v>
          </cell>
          <cell r="AR497" t="str">
            <v>20031376-2</v>
          </cell>
          <cell r="BA497" t="str">
            <v>410x870</v>
          </cell>
          <cell r="BB497" t="str">
            <v>R3</v>
          </cell>
        </row>
        <row r="498">
          <cell r="A498" t="str">
            <v>sp 1178</v>
          </cell>
          <cell r="B498" t="str">
            <v>Cuộn màng in logo hunter TH Việt</v>
          </cell>
          <cell r="E498">
            <v>1</v>
          </cell>
          <cell r="F498">
            <v>1</v>
          </cell>
          <cell r="AO498" t="str">
            <v>Công ty TH Việt</v>
          </cell>
          <cell r="AQ498" t="str">
            <v>1903096-1</v>
          </cell>
          <cell r="BA498" t="str">
            <v>600x1320</v>
          </cell>
          <cell r="BB498" t="str">
            <v>R3</v>
          </cell>
        </row>
        <row r="499">
          <cell r="A499" t="str">
            <v>sp 1179</v>
          </cell>
          <cell r="B499" t="str">
            <v>Túi gạo nhật Japonica 50kg</v>
          </cell>
          <cell r="E499">
            <v>8</v>
          </cell>
          <cell r="F499">
            <v>8</v>
          </cell>
          <cell r="AO499" t="str">
            <v>Công ty RICHY MB</v>
          </cell>
          <cell r="AQ499" t="str">
            <v>20040180-1</v>
          </cell>
          <cell r="AR499" t="str">
            <v>20040180-2</v>
          </cell>
          <cell r="AS499" t="str">
            <v>20040180-3</v>
          </cell>
          <cell r="AT499" t="str">
            <v>20040180-4</v>
          </cell>
          <cell r="AU499" t="str">
            <v>20040180-5</v>
          </cell>
          <cell r="AV499" t="str">
            <v>20040180-6</v>
          </cell>
          <cell r="AW499" t="str">
            <v>20040180-7</v>
          </cell>
          <cell r="AX499" t="str">
            <v>20040180-8</v>
          </cell>
          <cell r="BA499" t="str">
            <v>460x870</v>
          </cell>
          <cell r="BB499" t="str">
            <v>R3</v>
          </cell>
        </row>
        <row r="500">
          <cell r="A500" t="str">
            <v>sp 1180</v>
          </cell>
          <cell r="B500" t="str">
            <v xml:space="preserve"> Túi bánh gạo nhật Nakki ngọt dịu hương cốm 135gr</v>
          </cell>
          <cell r="E500">
            <v>8</v>
          </cell>
          <cell r="F500">
            <v>8</v>
          </cell>
          <cell r="AO500" t="str">
            <v>Công ty Okifood</v>
          </cell>
          <cell r="AQ500" t="str">
            <v>X108779-1</v>
          </cell>
          <cell r="AR500" t="str">
            <v>X108779-2</v>
          </cell>
          <cell r="AS500" t="str">
            <v>X108779-3</v>
          </cell>
          <cell r="AT500" t="str">
            <v>X108779-4</v>
          </cell>
          <cell r="AU500" t="str">
            <v>X108779-5</v>
          </cell>
          <cell r="AV500" t="str">
            <v>X108779-6</v>
          </cell>
          <cell r="AW500" t="str">
            <v>X108779-7</v>
          </cell>
          <cell r="AX500" t="str">
            <v>X108779-8</v>
          </cell>
          <cell r="BA500" t="str">
            <v>1100x600</v>
          </cell>
          <cell r="BB500" t="str">
            <v>R3</v>
          </cell>
        </row>
        <row r="501">
          <cell r="A501" t="str">
            <v>sp 1181</v>
          </cell>
          <cell r="B501" t="str">
            <v>Cuộn màng PE trong in chữ Suncopanel TH Việt</v>
          </cell>
          <cell r="E501">
            <v>1</v>
          </cell>
          <cell r="F501">
            <v>2</v>
          </cell>
          <cell r="AO501" t="str">
            <v>Công ty TH Việt</v>
          </cell>
          <cell r="AQ501" t="str">
            <v>2004179-1</v>
          </cell>
          <cell r="AR501" t="str">
            <v>20040436-1</v>
          </cell>
          <cell r="BA501" t="str">
            <v>500x1300</v>
          </cell>
          <cell r="BB501" t="str">
            <v>R3</v>
          </cell>
          <cell r="BC501" t="str">
            <v>Chạy cùng cây trục in phủ</v>
          </cell>
        </row>
        <row r="502">
          <cell r="A502" t="str">
            <v>sp 1182</v>
          </cell>
          <cell r="B502" t="str">
            <v>Cuộn màng PE đen trắng in chữ TPG TH Việt</v>
          </cell>
          <cell r="E502">
            <v>2</v>
          </cell>
          <cell r="F502">
            <v>2</v>
          </cell>
          <cell r="AO502" t="str">
            <v>Công ty TH Việt</v>
          </cell>
          <cell r="AQ502" t="str">
            <v>2004097-1</v>
          </cell>
          <cell r="AR502" t="str">
            <v>2004097-2</v>
          </cell>
          <cell r="BA502" t="str">
            <v>440x1310</v>
          </cell>
          <cell r="BB502" t="str">
            <v>R3</v>
          </cell>
        </row>
        <row r="503">
          <cell r="A503" t="str">
            <v>sp 1183</v>
          </cell>
          <cell r="B503" t="str">
            <v>Túi hạt giống cải cúc ta và cải cục tẻ chọn lọc</v>
          </cell>
          <cell r="E503">
            <v>8</v>
          </cell>
          <cell r="F503">
            <v>8</v>
          </cell>
          <cell r="AO503" t="str">
            <v>Công ty Việt Nhật</v>
          </cell>
          <cell r="AQ503" t="str">
            <v>20110209-1</v>
          </cell>
          <cell r="AR503" t="str">
            <v>20110209-2</v>
          </cell>
          <cell r="AS503" t="str">
            <v>20110209-3</v>
          </cell>
          <cell r="AT503" t="str">
            <v>20110209-4</v>
          </cell>
          <cell r="AU503" t="str">
            <v>20110209-5</v>
          </cell>
          <cell r="AV503" t="str">
            <v>20110209-6</v>
          </cell>
          <cell r="AW503" t="str">
            <v>20110209-7</v>
          </cell>
          <cell r="AX503" t="str">
            <v>20110209-8</v>
          </cell>
          <cell r="BA503" t="str">
            <v>540x870</v>
          </cell>
          <cell r="BB503" t="str">
            <v>S1</v>
          </cell>
        </row>
        <row r="504">
          <cell r="A504" t="str">
            <v>sp 1184</v>
          </cell>
          <cell r="B504" t="str">
            <v>Cuộn hạt giống đậu bụi cove và cải cúc nếp chọn lọc Việt Nhật</v>
          </cell>
          <cell r="E504">
            <v>7</v>
          </cell>
          <cell r="F504">
            <v>7</v>
          </cell>
          <cell r="AO504" t="str">
            <v>Công ty Việt Nhật</v>
          </cell>
          <cell r="AQ504" t="str">
            <v>20040559-1</v>
          </cell>
          <cell r="AR504" t="str">
            <v>20040559-2</v>
          </cell>
          <cell r="AS504" t="str">
            <v>20040559-3</v>
          </cell>
          <cell r="AT504" t="str">
            <v>20040559-4</v>
          </cell>
          <cell r="AU504" t="str">
            <v>20040559-5</v>
          </cell>
          <cell r="AV504" t="str">
            <v>20040559-6</v>
          </cell>
          <cell r="AW504" t="str">
            <v>20040559-7</v>
          </cell>
          <cell r="BA504" t="str">
            <v>540x870</v>
          </cell>
          <cell r="BB504" t="str">
            <v>S1</v>
          </cell>
        </row>
        <row r="505">
          <cell r="A505" t="str">
            <v>sp 1185</v>
          </cell>
          <cell r="B505" t="str">
            <v>Cuộn thuốc thú y Oxytetra-sul 100g</v>
          </cell>
          <cell r="E505">
            <v>4</v>
          </cell>
          <cell r="F505">
            <v>4</v>
          </cell>
          <cell r="AO505" t="str">
            <v>Công ty Hùng Nguyên</v>
          </cell>
          <cell r="AQ505" t="str">
            <v>20040886-1</v>
          </cell>
          <cell r="AR505" t="str">
            <v>20040886-2</v>
          </cell>
          <cell r="AS505" t="str">
            <v>20040886-3</v>
          </cell>
          <cell r="AT505" t="str">
            <v>20040886-4</v>
          </cell>
          <cell r="BA505" t="str">
            <v>570x750</v>
          </cell>
          <cell r="BB505" t="str">
            <v>S1</v>
          </cell>
        </row>
        <row r="506">
          <cell r="A506" t="str">
            <v>sp 1186</v>
          </cell>
          <cell r="B506" t="str">
            <v>Cuộn thuốc đặc trị Cầu Trùng Cấp 50g</v>
          </cell>
          <cell r="E506">
            <v>3</v>
          </cell>
          <cell r="F506">
            <v>3</v>
          </cell>
          <cell r="AO506" t="str">
            <v>Công ty Hùng Nguyên</v>
          </cell>
          <cell r="AQ506" t="str">
            <v>20040887-1</v>
          </cell>
          <cell r="AR506" t="str">
            <v>20040887-2</v>
          </cell>
          <cell r="AS506" t="str">
            <v>20040887-3</v>
          </cell>
          <cell r="BA506" t="str">
            <v>480x820</v>
          </cell>
          <cell r="BB506" t="str">
            <v>S1</v>
          </cell>
        </row>
        <row r="507">
          <cell r="A507" t="str">
            <v>sp 1187</v>
          </cell>
          <cell r="B507" t="str">
            <v>Cuộn màng PE đen trắng in không ghép chữ BNV nhôm Việt Nhật</v>
          </cell>
          <cell r="E507">
            <v>2</v>
          </cell>
          <cell r="F507">
            <v>1</v>
          </cell>
          <cell r="AO507" t="str">
            <v>Công ty Việt Nhật</v>
          </cell>
          <cell r="AQ507" t="str">
            <v>20040810-1</v>
          </cell>
          <cell r="AR507" t="str">
            <v>20040436-1</v>
          </cell>
          <cell r="BA507" t="str">
            <v>500x1350</v>
          </cell>
          <cell r="BB507" t="str">
            <v>S1</v>
          </cell>
          <cell r="BC507" t="str">
            <v>trục in phủ 1188</v>
          </cell>
        </row>
        <row r="508">
          <cell r="A508" t="str">
            <v>sp 1188</v>
          </cell>
          <cell r="B508" t="str">
            <v>Trục in Phủ 520x1350 in cho sản phẩm mặt ngoài</v>
          </cell>
          <cell r="E508">
            <v>1</v>
          </cell>
          <cell r="F508">
            <v>1</v>
          </cell>
          <cell r="AO508" t="str">
            <v>Công ty A</v>
          </cell>
          <cell r="AQ508" t="str">
            <v>20040436-1</v>
          </cell>
          <cell r="BA508" t="str">
            <v>520x1350</v>
          </cell>
          <cell r="BB508" t="str">
            <v>S1</v>
          </cell>
        </row>
        <row r="510">
          <cell r="A510" t="str">
            <v>sp 1190</v>
          </cell>
          <cell r="B510" t="str">
            <v>Túi TRADIN Extra 2 vỉ 10 viên</v>
          </cell>
          <cell r="E510">
            <v>2</v>
          </cell>
          <cell r="F510">
            <v>2</v>
          </cell>
          <cell r="AO510" t="str">
            <v>Công ty công nghệ cao Traphaco</v>
          </cell>
          <cell r="AQ510" t="str">
            <v>21040596-1</v>
          </cell>
          <cell r="AR510" t="str">
            <v>20050185-2</v>
          </cell>
          <cell r="BA510" t="str">
            <v>450x870</v>
          </cell>
          <cell r="BB510" t="str">
            <v>S1</v>
          </cell>
        </row>
        <row r="511">
          <cell r="A511" t="str">
            <v>sp 1191</v>
          </cell>
          <cell r="B511" t="str">
            <v xml:space="preserve">Cuộn màng PE đen trắng in không ghép chữ BVN nhôm Việt Nhật VT63 vip TH Việt </v>
          </cell>
          <cell r="E511">
            <v>1</v>
          </cell>
          <cell r="F511">
            <v>1</v>
          </cell>
          <cell r="AO511" t="str">
            <v>Công ty TH Việt</v>
          </cell>
          <cell r="AQ511" t="str">
            <v>20050254-1</v>
          </cell>
          <cell r="BA511" t="str">
            <v>450x1300</v>
          </cell>
          <cell r="BB511" t="str">
            <v>S1</v>
          </cell>
        </row>
        <row r="512">
          <cell r="A512" t="str">
            <v>sp 1192</v>
          </cell>
          <cell r="B512" t="str">
            <v>Túi PA in hình con gà đỏ 300x450</v>
          </cell>
          <cell r="E512">
            <v>1</v>
          </cell>
          <cell r="F512">
            <v>1</v>
          </cell>
          <cell r="AO512" t="str">
            <v>Công ty Bao Bì Việt</v>
          </cell>
          <cell r="AQ512" t="str">
            <v>20050352-1</v>
          </cell>
          <cell r="BA512" t="str">
            <v>450x870</v>
          </cell>
          <cell r="BB512" t="str">
            <v>S1</v>
          </cell>
        </row>
        <row r="513">
          <cell r="A513" t="str">
            <v>sp 1193</v>
          </cell>
          <cell r="B513" t="str">
            <v>Túi bánh trứng chà bông không in karo 26gr x 24 RICHY</v>
          </cell>
          <cell r="AO513" t="str">
            <v>Công ty RICHY MB</v>
          </cell>
          <cell r="BB513" t="str">
            <v>S1</v>
          </cell>
        </row>
        <row r="514">
          <cell r="A514" t="str">
            <v>sp 1194</v>
          </cell>
          <cell r="B514" t="str">
            <v>Cuộn màng bánh HCT Cookies-Hoàng Chiến Thắng</v>
          </cell>
          <cell r="E514">
            <v>3</v>
          </cell>
          <cell r="F514">
            <v>3</v>
          </cell>
          <cell r="AO514" t="str">
            <v>Công ty HCT</v>
          </cell>
          <cell r="AQ514" t="str">
            <v>X108968-1</v>
          </cell>
          <cell r="AR514" t="str">
            <v>X108968-2</v>
          </cell>
          <cell r="AS514" t="str">
            <v>X108968-3</v>
          </cell>
          <cell r="BA514" t="str">
            <v>870x475</v>
          </cell>
          <cell r="BB514" t="str">
            <v>S1</v>
          </cell>
        </row>
        <row r="515">
          <cell r="A515" t="str">
            <v>sp 1195</v>
          </cell>
          <cell r="B515" t="str">
            <v>Cuộn bánh kẹp kem xoài Mango Diamond Food</v>
          </cell>
          <cell r="E515">
            <v>6</v>
          </cell>
          <cell r="F515">
            <v>6</v>
          </cell>
          <cell r="AO515" t="str">
            <v>Công ty Diamond Food</v>
          </cell>
          <cell r="AQ515" t="str">
            <v>F126122-1</v>
          </cell>
          <cell r="AR515" t="str">
            <v>F126122-2</v>
          </cell>
          <cell r="AS515" t="str">
            <v>F126122-3</v>
          </cell>
          <cell r="AT515" t="str">
            <v>F126122-4</v>
          </cell>
          <cell r="AU515" t="str">
            <v>F126122-5</v>
          </cell>
          <cell r="AV515" t="str">
            <v>F126122-6</v>
          </cell>
          <cell r="BA515" t="str">
            <v>780x410</v>
          </cell>
          <cell r="BB515" t="str">
            <v>S1</v>
          </cell>
        </row>
        <row r="516">
          <cell r="A516" t="str">
            <v>sp 1196</v>
          </cell>
          <cell r="B516" t="str">
            <v>Túi hương trầm Liên Đức hương thơm đậu tàn</v>
          </cell>
          <cell r="E516">
            <v>6</v>
          </cell>
          <cell r="F516">
            <v>6</v>
          </cell>
          <cell r="AO516" t="str">
            <v>Công ty hương Bảy Lương</v>
          </cell>
          <cell r="AQ516" t="str">
            <v>20051246-1</v>
          </cell>
          <cell r="AR516" t="str">
            <v>20051246-2</v>
          </cell>
          <cell r="AS516" t="str">
            <v>20051246-3</v>
          </cell>
          <cell r="AT516" t="str">
            <v>20051246-4</v>
          </cell>
          <cell r="AU516" t="str">
            <v>20051246-5</v>
          </cell>
          <cell r="AV516" t="str">
            <v>20051246-6</v>
          </cell>
          <cell r="BA516" t="str">
            <v>465x870</v>
          </cell>
          <cell r="BB516" t="str">
            <v>S1</v>
          </cell>
        </row>
        <row r="517">
          <cell r="A517" t="str">
            <v>sp 1197</v>
          </cell>
        </row>
        <row r="518">
          <cell r="A518" t="str">
            <v>sp 1198</v>
          </cell>
          <cell r="B518" t="str">
            <v>Bột giặt O'well 4,1kg Hải Phong</v>
          </cell>
          <cell r="E518">
            <v>7</v>
          </cell>
          <cell r="F518">
            <v>7</v>
          </cell>
          <cell r="AO518" t="str">
            <v>Công ty Hải Phong</v>
          </cell>
          <cell r="AQ518" t="str">
            <v>1809279-1</v>
          </cell>
          <cell r="AR518" t="str">
            <v>20051157-2</v>
          </cell>
          <cell r="AS518" t="str">
            <v>1809279-3</v>
          </cell>
          <cell r="AT518" t="str">
            <v>1809279-4</v>
          </cell>
          <cell r="AU518" t="str">
            <v>1809279-5</v>
          </cell>
          <cell r="AV518" t="str">
            <v>1809279-6</v>
          </cell>
          <cell r="AW518" t="str">
            <v>1809279-7</v>
          </cell>
          <cell r="BA518" t="str">
            <v>480x810</v>
          </cell>
          <cell r="BB518" t="str">
            <v>S1</v>
          </cell>
          <cell r="BD518" t="str">
            <v>Trục bên Hải Phong gửi sang</v>
          </cell>
        </row>
        <row r="519">
          <cell r="A519" t="str">
            <v>sp 1199</v>
          </cell>
        </row>
        <row r="520">
          <cell r="A520" t="str">
            <v>sp 1200</v>
          </cell>
        </row>
        <row r="521">
          <cell r="A521" t="str">
            <v>sp 1201</v>
          </cell>
          <cell r="B521" t="str">
            <v>Túi nhôm ANDIABET 5 vỉ x 10 viên nang cứng Traphaco</v>
          </cell>
          <cell r="E521">
            <v>2</v>
          </cell>
          <cell r="F521">
            <v>2</v>
          </cell>
          <cell r="AO521" t="str">
            <v>Công ty Traphaco</v>
          </cell>
          <cell r="AQ521" t="str">
            <v>20051349-1</v>
          </cell>
          <cell r="AR521" t="str">
            <v>20051349-2</v>
          </cell>
          <cell r="BA521" t="str">
            <v>540x870</v>
          </cell>
          <cell r="BB521" t="str">
            <v>S1</v>
          </cell>
        </row>
        <row r="522">
          <cell r="A522" t="str">
            <v>sp 1202</v>
          </cell>
          <cell r="B522" t="str">
            <v>Túi nhôm Lubrex Gold 6 vỉ x 10 viên nang cứng Traphaco</v>
          </cell>
          <cell r="E522">
            <v>2</v>
          </cell>
          <cell r="F522">
            <v>2</v>
          </cell>
          <cell r="AO522" t="str">
            <v>Công ty Traphaco</v>
          </cell>
          <cell r="AQ522" t="str">
            <v>20051371-1</v>
          </cell>
          <cell r="AR522" t="str">
            <v>20051371-2</v>
          </cell>
          <cell r="BA522" t="str">
            <v>594x870</v>
          </cell>
          <cell r="BB522" t="str">
            <v>S1</v>
          </cell>
        </row>
        <row r="523">
          <cell r="A523" t="str">
            <v>sp 1203</v>
          </cell>
          <cell r="B523" t="str">
            <v>Túi nhôm Boganic Forte 10 vỉ x 10 viên nang mềm Traphaco</v>
          </cell>
          <cell r="E523">
            <v>2</v>
          </cell>
          <cell r="F523">
            <v>2</v>
          </cell>
          <cell r="AO523" t="str">
            <v>Công ty Traphaco</v>
          </cell>
          <cell r="AQ523" t="str">
            <v>20051370-1</v>
          </cell>
          <cell r="AR523" t="str">
            <v>20051370-2</v>
          </cell>
          <cell r="BA523" t="str">
            <v>440x1100</v>
          </cell>
          <cell r="BB523" t="str">
            <v>S1</v>
          </cell>
        </row>
        <row r="524">
          <cell r="A524" t="str">
            <v>sp 1204</v>
          </cell>
          <cell r="B524" t="str">
            <v>Cuộn thuốc thú y T.Colivit in 4 màu 100g khổ 280 Năm Thái</v>
          </cell>
          <cell r="E524">
            <v>4</v>
          </cell>
          <cell r="F524">
            <v>4</v>
          </cell>
          <cell r="AO524" t="str">
            <v>Công ty Năm Thái</v>
          </cell>
          <cell r="AQ524" t="str">
            <v>20060514-1</v>
          </cell>
          <cell r="AR524" t="str">
            <v>20060514-2</v>
          </cell>
          <cell r="AS524" t="str">
            <v>20060514-3</v>
          </cell>
          <cell r="AT524" t="str">
            <v>20060514-4</v>
          </cell>
          <cell r="BA524" t="str">
            <v>570x1100</v>
          </cell>
          <cell r="BB524" t="str">
            <v>S1</v>
          </cell>
        </row>
        <row r="525">
          <cell r="A525" t="str">
            <v>sp 1205</v>
          </cell>
        </row>
        <row r="526">
          <cell r="A526" t="str">
            <v>sp 1206</v>
          </cell>
          <cell r="B526" t="str">
            <v>Túi nhôm sáng mắt 3 vỉ x 10 viên nang mềm Traphaco</v>
          </cell>
          <cell r="E526">
            <v>2</v>
          </cell>
          <cell r="F526">
            <v>2</v>
          </cell>
          <cell r="AO526" t="str">
            <v>Công ty Traphaco</v>
          </cell>
          <cell r="AQ526" t="str">
            <v>20060182-1</v>
          </cell>
          <cell r="AR526" t="str">
            <v>20060182-2</v>
          </cell>
          <cell r="BA526" t="str">
            <v>570x870</v>
          </cell>
          <cell r="BB526" t="str">
            <v>S1</v>
          </cell>
        </row>
        <row r="527">
          <cell r="A527" t="str">
            <v>sp 1207</v>
          </cell>
        </row>
        <row r="528">
          <cell r="A528" t="str">
            <v>sp 1208</v>
          </cell>
          <cell r="B528" t="str">
            <v>Túi bánh gạo lứt HCT 180gr</v>
          </cell>
          <cell r="E528">
            <v>4</v>
          </cell>
          <cell r="F528">
            <v>4</v>
          </cell>
          <cell r="AO528" t="str">
            <v>Công ty HCT</v>
          </cell>
          <cell r="AQ528" t="str">
            <v>X109140-1</v>
          </cell>
          <cell r="AR528" t="str">
            <v>X109140-2</v>
          </cell>
          <cell r="AS528" t="str">
            <v>X109140-3</v>
          </cell>
          <cell r="AT528" t="str">
            <v>X109140-4</v>
          </cell>
          <cell r="BA528" t="str">
            <v>1100x520</v>
          </cell>
          <cell r="BB528" t="str">
            <v>S2</v>
          </cell>
        </row>
        <row r="529">
          <cell r="A529" t="str">
            <v>sp 1209</v>
          </cell>
          <cell r="B529" t="str">
            <v>Túi thuốc thú y 1kg Nasavet</v>
          </cell>
          <cell r="E529">
            <v>1</v>
          </cell>
          <cell r="F529">
            <v>1</v>
          </cell>
          <cell r="AO529" t="str">
            <v>Công ty Nasavet</v>
          </cell>
          <cell r="AQ529" t="str">
            <v>20060348-1</v>
          </cell>
          <cell r="BA529" t="str">
            <v>480x870</v>
          </cell>
          <cell r="BB529" t="str">
            <v>S2</v>
          </cell>
        </row>
        <row r="530">
          <cell r="A530" t="str">
            <v>sp 1210</v>
          </cell>
          <cell r="B530" t="str">
            <v>Cuộn bánh Snack Ocean fish - vị cà chua 25gr Libra</v>
          </cell>
          <cell r="E530">
            <v>1</v>
          </cell>
          <cell r="F530">
            <v>8</v>
          </cell>
          <cell r="AO530" t="str">
            <v>Công ty Libra</v>
          </cell>
          <cell r="AQ530" t="str">
            <v>F125535-1</v>
          </cell>
          <cell r="AR530" t="str">
            <v>F126128-2</v>
          </cell>
          <cell r="AS530" t="str">
            <v>F125535-3</v>
          </cell>
          <cell r="AT530" t="str">
            <v>F125535-4</v>
          </cell>
          <cell r="AU530" t="str">
            <v>F125535-5</v>
          </cell>
          <cell r="AV530" t="str">
            <v>F125535-6</v>
          </cell>
          <cell r="AW530" t="str">
            <v>F125535-7</v>
          </cell>
          <cell r="AX530" t="str">
            <v>F125535-8</v>
          </cell>
          <cell r="BA530" t="str">
            <v>432x870</v>
          </cell>
          <cell r="BB530" t="str">
            <v>S2</v>
          </cell>
          <cell r="BC530" t="str">
            <v>Chạy chung sp 1158 trừ cây số 2</v>
          </cell>
        </row>
        <row r="531">
          <cell r="A531" t="str">
            <v>sp 1211</v>
          </cell>
          <cell r="B531" t="str">
            <v>Túi bánh gạo nhật NAKKI vị ngọt dịu hương cốm 200gr</v>
          </cell>
          <cell r="E531">
            <v>7</v>
          </cell>
          <cell r="F531">
            <v>7</v>
          </cell>
          <cell r="AO531" t="str">
            <v>Công ty Okifood</v>
          </cell>
          <cell r="AQ531" t="str">
            <v>X109172-1</v>
          </cell>
          <cell r="AR531" t="str">
            <v>X109172-2</v>
          </cell>
          <cell r="AS531" t="str">
            <v>X109172-3</v>
          </cell>
          <cell r="AT531" t="str">
            <v>X109172-4</v>
          </cell>
          <cell r="AU531" t="str">
            <v>X109172-5</v>
          </cell>
          <cell r="AV531" t="str">
            <v>X109172-6</v>
          </cell>
          <cell r="AW531" t="str">
            <v>X109172-7</v>
          </cell>
          <cell r="BA531" t="str">
            <v>870x600</v>
          </cell>
          <cell r="BB531" t="str">
            <v>S2</v>
          </cell>
        </row>
        <row r="532">
          <cell r="A532" t="str">
            <v>sp 1212</v>
          </cell>
          <cell r="B532" t="str">
            <v xml:space="preserve">Cuộn bánh gạo nhật NAKKI hương cốm vị ngọt dịu </v>
          </cell>
          <cell r="E532">
            <v>4</v>
          </cell>
          <cell r="F532">
            <v>4</v>
          </cell>
          <cell r="AO532" t="str">
            <v>Công ty Okifood</v>
          </cell>
          <cell r="AQ532" t="str">
            <v>F126299-1</v>
          </cell>
          <cell r="AR532" t="str">
            <v>F126299-2</v>
          </cell>
          <cell r="AS532" t="str">
            <v>F126299-3</v>
          </cell>
          <cell r="AT532" t="str">
            <v>F126299-4</v>
          </cell>
          <cell r="BA532" t="str">
            <v>1200x460</v>
          </cell>
          <cell r="BB532" t="str">
            <v>S2</v>
          </cell>
        </row>
        <row r="533">
          <cell r="A533" t="str">
            <v>sp 1213</v>
          </cell>
          <cell r="B533" t="str">
            <v>Cuộn bánh gjao nhật NAKKI vị mặn hương vị bò cũ</v>
          </cell>
          <cell r="E533">
            <v>5</v>
          </cell>
          <cell r="F533">
            <v>5</v>
          </cell>
          <cell r="AO533" t="str">
            <v>Công ty Okifood</v>
          </cell>
          <cell r="AQ533" t="str">
            <v>X109188-1</v>
          </cell>
          <cell r="AR533" t="str">
            <v>X109188-2</v>
          </cell>
          <cell r="AS533" t="str">
            <v>X109188-3</v>
          </cell>
          <cell r="AT533" t="str">
            <v>X109188-4</v>
          </cell>
          <cell r="AU533" t="str">
            <v>X109188G1-5</v>
          </cell>
          <cell r="BA533" t="str">
            <v>1200x468</v>
          </cell>
          <cell r="BB533" t="str">
            <v>S2</v>
          </cell>
        </row>
        <row r="534">
          <cell r="A534" t="str">
            <v>sp 1214</v>
          </cell>
          <cell r="B534" t="str">
            <v>Túi bánh gạo nhật NAKKI màu vàng hương vị bò loại mặn( cũ) 150gr</v>
          </cell>
          <cell r="E534">
            <v>7</v>
          </cell>
          <cell r="F534">
            <v>7</v>
          </cell>
          <cell r="AO534" t="str">
            <v>Công ty Okifood</v>
          </cell>
          <cell r="AQ534" t="str">
            <v>X109189-1</v>
          </cell>
          <cell r="AR534" t="str">
            <v>X109189-2</v>
          </cell>
          <cell r="AS534" t="str">
            <v>X109189-3</v>
          </cell>
          <cell r="AT534" t="str">
            <v>X109189-4</v>
          </cell>
          <cell r="AU534" t="str">
            <v>X109189-5</v>
          </cell>
          <cell r="AV534" t="str">
            <v>X109189-6</v>
          </cell>
          <cell r="AW534" t="str">
            <v>X109189-7</v>
          </cell>
          <cell r="BA534" t="str">
            <v>1100x680</v>
          </cell>
          <cell r="BB534" t="str">
            <v>S2</v>
          </cell>
        </row>
        <row r="535">
          <cell r="A535" t="str">
            <v>sp 1215</v>
          </cell>
          <cell r="B535" t="str">
            <v>Cuộn thuốc thú y in 1 màu trắng 100gr khổ 250 Năm Thái</v>
          </cell>
          <cell r="E535">
            <v>1</v>
          </cell>
          <cell r="F535">
            <v>1</v>
          </cell>
          <cell r="AO535" t="str">
            <v>Công ty Năm Thái</v>
          </cell>
          <cell r="AW535" t="str">
            <v>1507601-7</v>
          </cell>
          <cell r="BA535" t="str">
            <v>480x850</v>
          </cell>
          <cell r="BB535" t="str">
            <v>N2</v>
          </cell>
          <cell r="BC535" t="str">
            <v>in chung cây trắng sp 367</v>
          </cell>
        </row>
        <row r="536">
          <cell r="A536" t="str">
            <v>sp 1216</v>
          </cell>
          <cell r="B536" t="str">
            <v>Cuộn thuốc thú y Winvet 100g winvet</v>
          </cell>
          <cell r="E536">
            <v>3</v>
          </cell>
          <cell r="F536">
            <v>3</v>
          </cell>
          <cell r="AO536" t="str">
            <v>Công ty Winvet</v>
          </cell>
          <cell r="AQ536" t="str">
            <v>20060667-1</v>
          </cell>
          <cell r="AR536" t="str">
            <v>20060667-2</v>
          </cell>
          <cell r="AS536" t="str">
            <v>20060667-3</v>
          </cell>
          <cell r="BA536" t="str">
            <v>540x870</v>
          </cell>
          <cell r="BB536" t="str">
            <v>S2</v>
          </cell>
        </row>
        <row r="537">
          <cell r="A537" t="str">
            <v>sp 1217</v>
          </cell>
          <cell r="B537" t="str">
            <v>Túi thuốc thú y Winvet 1kg Bắc winvet</v>
          </cell>
          <cell r="E537">
            <v>3</v>
          </cell>
          <cell r="F537">
            <v>3</v>
          </cell>
          <cell r="AO537" t="str">
            <v>Công ty Winvet</v>
          </cell>
          <cell r="AQ537" t="str">
            <v>21030387-1</v>
          </cell>
          <cell r="AR537" t="str">
            <v>21030387-2</v>
          </cell>
          <cell r="AS537" t="str">
            <v>21030387-3</v>
          </cell>
          <cell r="BA537" t="str">
            <v>480x870</v>
          </cell>
          <cell r="BB537" t="str">
            <v>S2</v>
          </cell>
        </row>
        <row r="538">
          <cell r="A538" t="str">
            <v>sp 1218</v>
          </cell>
          <cell r="B538" t="str">
            <v>Cuộn hạt giống cải bẹ mào gà 09 chọn lọc và cải xanh lùn thanh giang Việt Nhật</v>
          </cell>
          <cell r="E538">
            <v>7</v>
          </cell>
          <cell r="F538">
            <v>7</v>
          </cell>
          <cell r="AO538" t="str">
            <v>Công ty Việt Nhật</v>
          </cell>
          <cell r="AQ538" t="str">
            <v>20060705-1</v>
          </cell>
          <cell r="AR538" t="str">
            <v>20060705-2</v>
          </cell>
          <cell r="AS538" t="str">
            <v>20060705-3</v>
          </cell>
          <cell r="AT538" t="str">
            <v>20060705-4</v>
          </cell>
          <cell r="AU538" t="str">
            <v>20060705-5</v>
          </cell>
          <cell r="AV538" t="str">
            <v>20060705-6</v>
          </cell>
          <cell r="AW538" t="str">
            <v>20060705-7</v>
          </cell>
          <cell r="BA538" t="str">
            <v>540x870</v>
          </cell>
          <cell r="BB538" t="str">
            <v>S2</v>
          </cell>
        </row>
        <row r="539">
          <cell r="A539" t="str">
            <v>sp 1219</v>
          </cell>
          <cell r="B539" t="str">
            <v>Túi đựng vỉ thuốc Nhân Hưng kt 58x150x28</v>
          </cell>
          <cell r="E539">
            <v>2</v>
          </cell>
          <cell r="F539">
            <v>2</v>
          </cell>
          <cell r="AO539" t="str">
            <v>Công ty Cát Hưng</v>
          </cell>
          <cell r="AQ539" t="str">
            <v>X109176-1</v>
          </cell>
          <cell r="AR539" t="str">
            <v>X109176-2</v>
          </cell>
          <cell r="BA539" t="str">
            <v>870x450</v>
          </cell>
          <cell r="BB539" t="str">
            <v>S2</v>
          </cell>
        </row>
        <row r="540">
          <cell r="A540" t="str">
            <v>sp 1220</v>
          </cell>
          <cell r="B540" t="str">
            <v>Cuộn kem sữa tươi vị cam 40gr Love Milk</v>
          </cell>
          <cell r="E540">
            <v>6</v>
          </cell>
          <cell r="F540">
            <v>6</v>
          </cell>
          <cell r="AO540" t="str">
            <v>Công ty Okifood</v>
          </cell>
          <cell r="AQ540" t="str">
            <v>X109178-1</v>
          </cell>
          <cell r="AR540" t="str">
            <v>X109178-2</v>
          </cell>
          <cell r="AS540" t="str">
            <v>X109178-3</v>
          </cell>
          <cell r="AT540" t="str">
            <v>X109178-4</v>
          </cell>
          <cell r="AU540" t="str">
            <v>X109178-5</v>
          </cell>
          <cell r="AV540" t="str">
            <v>X109178-6</v>
          </cell>
          <cell r="BA540" t="str">
            <v>870x540</v>
          </cell>
          <cell r="BB540" t="str">
            <v>S2</v>
          </cell>
        </row>
        <row r="541">
          <cell r="A541" t="str">
            <v>sp 1221</v>
          </cell>
          <cell r="B541" t="str">
            <v>Cuộn kem sữa chua tươi vị sữa chua 40gr Love Milk</v>
          </cell>
          <cell r="E541">
            <v>1</v>
          </cell>
          <cell r="F541">
            <v>6</v>
          </cell>
          <cell r="AO541" t="str">
            <v>Công ty Okifood</v>
          </cell>
          <cell r="AQ541" t="str">
            <v>X109180-1</v>
          </cell>
          <cell r="AR541" t="str">
            <v>X109178-2</v>
          </cell>
          <cell r="AS541" t="str">
            <v>X109178-3</v>
          </cell>
          <cell r="AT541" t="str">
            <v>X109178-4</v>
          </cell>
          <cell r="AU541" t="str">
            <v>X109178-5</v>
          </cell>
          <cell r="AV541" t="str">
            <v>X109178-6</v>
          </cell>
          <cell r="BA541" t="str">
            <v>870x540</v>
          </cell>
          <cell r="BB541" t="str">
            <v>S2</v>
          </cell>
        </row>
        <row r="542">
          <cell r="A542" t="str">
            <v>sp 1222</v>
          </cell>
          <cell r="B542" t="str">
            <v>Cuộn kem sữa chua tươi vị dâu chua 40gr Love Milk</v>
          </cell>
          <cell r="E542">
            <v>1</v>
          </cell>
          <cell r="F542">
            <v>6</v>
          </cell>
          <cell r="AO542" t="str">
            <v>Công ty Okifood</v>
          </cell>
          <cell r="AQ542" t="str">
            <v>X109181-1</v>
          </cell>
          <cell r="AR542" t="str">
            <v>X109178-2</v>
          </cell>
          <cell r="AS542" t="str">
            <v>X109178-3</v>
          </cell>
          <cell r="AT542" t="str">
            <v>X109178-4</v>
          </cell>
          <cell r="AU542" t="str">
            <v>X109178-5</v>
          </cell>
          <cell r="AV542" t="str">
            <v>X109178-6</v>
          </cell>
          <cell r="BA542" t="str">
            <v>870x540</v>
          </cell>
          <cell r="BB542" t="str">
            <v>S2</v>
          </cell>
        </row>
        <row r="543">
          <cell r="A543" t="str">
            <v>sp 1223</v>
          </cell>
          <cell r="B543" t="str">
            <v>Túi thuốc thú y Coli 102 10g</v>
          </cell>
          <cell r="E543">
            <v>4</v>
          </cell>
          <cell r="F543">
            <v>4</v>
          </cell>
          <cell r="AO543" t="str">
            <v>Công ty Đức Hạnh</v>
          </cell>
          <cell r="AQ543" t="str">
            <v>20060828-1</v>
          </cell>
          <cell r="AR543" t="str">
            <v>20060828-2</v>
          </cell>
          <cell r="AS543" t="str">
            <v>20060828-3</v>
          </cell>
          <cell r="AT543" t="str">
            <v>20060828-4</v>
          </cell>
          <cell r="BA543" t="str">
            <v>500x870</v>
          </cell>
          <cell r="BB543" t="str">
            <v>S2</v>
          </cell>
        </row>
        <row r="544">
          <cell r="A544" t="str">
            <v>sp 1224</v>
          </cell>
        </row>
        <row r="545">
          <cell r="A545" t="str">
            <v>sp 1125</v>
          </cell>
          <cell r="B545" t="str">
            <v>Cuộn hạt giống mào gà 92 cải chíp 86 bẹ dưa 94</v>
          </cell>
          <cell r="AO545" t="str">
            <v>Công ty giống Lucky</v>
          </cell>
        </row>
        <row r="546">
          <cell r="A546" t="str">
            <v>sp 1226</v>
          </cell>
          <cell r="B546" t="str">
            <v>Cuộn bánh Coffee Braka xuất khẩu Libra</v>
          </cell>
          <cell r="E546">
            <v>8</v>
          </cell>
          <cell r="F546">
            <v>8</v>
          </cell>
          <cell r="AO546" t="str">
            <v>Công ty Libra</v>
          </cell>
          <cell r="AQ546" t="str">
            <v>F812232-1</v>
          </cell>
          <cell r="AR546" t="str">
            <v>F812232-2</v>
          </cell>
          <cell r="AS546" t="str">
            <v>F812232-3</v>
          </cell>
          <cell r="AT546" t="str">
            <v>F812232-4</v>
          </cell>
          <cell r="AU546" t="str">
            <v>F812232-5</v>
          </cell>
          <cell r="AV546" t="str">
            <v>F812232-6</v>
          </cell>
          <cell r="AW546" t="str">
            <v>F812232-7</v>
          </cell>
          <cell r="AX546" t="str">
            <v>F812232-8</v>
          </cell>
          <cell r="BA546" t="str">
            <v>1100x438</v>
          </cell>
          <cell r="BB546" t="str">
            <v>S2</v>
          </cell>
          <cell r="BD546" t="str">
            <v>Chuyển sang kho tận dụng</v>
          </cell>
        </row>
        <row r="547">
          <cell r="A547" t="str">
            <v>sp 1227</v>
          </cell>
          <cell r="B547" t="str">
            <v>Cuộn bánh Coffee Braka nội địa Libra</v>
          </cell>
          <cell r="E547">
            <v>1</v>
          </cell>
          <cell r="F547">
            <v>8</v>
          </cell>
          <cell r="AO547" t="str">
            <v>Công ty Libra</v>
          </cell>
          <cell r="AQ547" t="str">
            <v>F812232G1-1</v>
          </cell>
          <cell r="AR547" t="str">
            <v>F812232-2</v>
          </cell>
          <cell r="AS547" t="str">
            <v>F812232-3</v>
          </cell>
          <cell r="AT547" t="str">
            <v>F812232-4</v>
          </cell>
          <cell r="AU547" t="str">
            <v>F812232-5</v>
          </cell>
          <cell r="AV547" t="str">
            <v>F812232-6</v>
          </cell>
          <cell r="AW547" t="str">
            <v>F812232-7</v>
          </cell>
          <cell r="AX547" t="str">
            <v>F812232-8</v>
          </cell>
          <cell r="BA547" t="str">
            <v>1100x438</v>
          </cell>
          <cell r="BB547" t="str">
            <v>S2</v>
          </cell>
          <cell r="BC547" t="str">
            <v>Chạy chung sp 1226 trừ cây Nâu nền</v>
          </cell>
          <cell r="BD547" t="str">
            <v>Chuyển sang kho tận dụng</v>
          </cell>
        </row>
        <row r="548">
          <cell r="A548" t="str">
            <v>sp 1228</v>
          </cell>
          <cell r="B548" t="str">
            <v>Màng nhôm MHTTITAN</v>
          </cell>
          <cell r="E548">
            <v>3</v>
          </cell>
          <cell r="F548">
            <v>3</v>
          </cell>
          <cell r="AO548" t="str">
            <v>Công ty Tân Trang</v>
          </cell>
          <cell r="AQ548" t="str">
            <v>20070555-1</v>
          </cell>
          <cell r="AR548" t="str">
            <v>20070555-2</v>
          </cell>
          <cell r="AS548" t="str">
            <v>20070555-3</v>
          </cell>
          <cell r="BA548" t="str">
            <v>796x1300</v>
          </cell>
          <cell r="BD548" t="str">
            <v>Trục khách gửi sang</v>
          </cell>
        </row>
        <row r="549">
          <cell r="A549" t="str">
            <v>sp 1229</v>
          </cell>
          <cell r="B549" t="str">
            <v>Cuộn trà tan loại que Ice Tea hương đào Vĩnh Phúc</v>
          </cell>
          <cell r="E549">
            <v>7</v>
          </cell>
          <cell r="F549">
            <v>7</v>
          </cell>
          <cell r="AO549" t="str">
            <v>Công ty Vĩnh Phúc</v>
          </cell>
          <cell r="AQ549" t="str">
            <v>F126602-1</v>
          </cell>
          <cell r="AR549" t="str">
            <v>F126602-2</v>
          </cell>
          <cell r="AS549" t="str">
            <v>F126602-3</v>
          </cell>
          <cell r="AT549" t="str">
            <v>F126602-4</v>
          </cell>
          <cell r="AU549" t="str">
            <v>F126602-5</v>
          </cell>
          <cell r="AV549" t="str">
            <v>F126602-6</v>
          </cell>
          <cell r="AW549" t="str">
            <v>F126602-7</v>
          </cell>
          <cell r="BA549" t="str">
            <v>1100x450</v>
          </cell>
          <cell r="BB549" t="str">
            <v>A2</v>
          </cell>
        </row>
        <row r="550">
          <cell r="A550" t="str">
            <v>sp 1230</v>
          </cell>
        </row>
        <row r="551">
          <cell r="A551" t="str">
            <v>sp 1231</v>
          </cell>
          <cell r="B551" t="str">
            <v>Cuộn đường kính trắng thượng hạng Lam Sơn 1kg-LASUCO</v>
          </cell>
          <cell r="E551">
            <v>8</v>
          </cell>
          <cell r="F551">
            <v>8</v>
          </cell>
          <cell r="AO551" t="str">
            <v>Công ty mía đường Lam Sơn</v>
          </cell>
          <cell r="AQ551" t="str">
            <v>X109482G2-1</v>
          </cell>
          <cell r="AR551" t="str">
            <v>X109482-2</v>
          </cell>
          <cell r="AS551" t="str">
            <v>X109482-3</v>
          </cell>
          <cell r="AT551" t="str">
            <v>X109482G2-4</v>
          </cell>
          <cell r="AU551" t="str">
            <v>X109482-5</v>
          </cell>
          <cell r="AV551" t="str">
            <v>X109482-6</v>
          </cell>
          <cell r="AW551" t="str">
            <v>X109482-7</v>
          </cell>
          <cell r="AX551" t="str">
            <v>X109482G2-8</v>
          </cell>
          <cell r="BA551" t="str">
            <v>520x870</v>
          </cell>
          <cell r="BB551" t="str">
            <v>S2</v>
          </cell>
          <cell r="BD551" t="str">
            <v>Chuyển 3 trục 1-4-7 cũ về kho tận dụng</v>
          </cell>
        </row>
        <row r="552">
          <cell r="A552" t="str">
            <v>sp 1232</v>
          </cell>
          <cell r="B552" t="str">
            <v>Cuộn bánh trung thu khổ 320mm Nhật Nguyệt</v>
          </cell>
          <cell r="E552">
            <v>1</v>
          </cell>
          <cell r="F552">
            <v>1</v>
          </cell>
          <cell r="AO552" t="str">
            <v>Công ty Nhật Nguyệt</v>
          </cell>
          <cell r="AQ552" t="str">
            <v>X109439-1</v>
          </cell>
          <cell r="BA552" t="str">
            <v>750x540</v>
          </cell>
          <cell r="BB552" t="str">
            <v>S2</v>
          </cell>
        </row>
        <row r="553">
          <cell r="A553" t="str">
            <v>sp 1233</v>
          </cell>
          <cell r="B553" t="str">
            <v>Túi PA in hình con gà xanh</v>
          </cell>
          <cell r="E553">
            <v>1</v>
          </cell>
          <cell r="F553">
            <v>1</v>
          </cell>
          <cell r="AO553" t="str">
            <v>Công ty Bao Bì Việt</v>
          </cell>
          <cell r="AQ553" t="str">
            <v>20070965-1</v>
          </cell>
          <cell r="BA553" t="str">
            <v>540x870</v>
          </cell>
          <cell r="BB553" t="str">
            <v>S3</v>
          </cell>
          <cell r="BD553" t="str">
            <v>Làm cây mới thay cho bên Bao Bì Việt</v>
          </cell>
        </row>
        <row r="554">
          <cell r="A554" t="str">
            <v>sp 1234</v>
          </cell>
          <cell r="B554" t="str">
            <v>Cuộn màng PE trong in chữ TungWang</v>
          </cell>
          <cell r="E554">
            <v>2</v>
          </cell>
          <cell r="F554">
            <v>2</v>
          </cell>
          <cell r="AO554" t="str">
            <v>Trục in bên THV</v>
          </cell>
          <cell r="AQ554" t="str">
            <v>19031361-0</v>
          </cell>
          <cell r="AR554" t="str">
            <v>19031159-1</v>
          </cell>
          <cell r="BA554" t="str">
            <v>500x1320</v>
          </cell>
        </row>
        <row r="555">
          <cell r="A555" t="str">
            <v>sp 1235</v>
          </cell>
          <cell r="B555" t="str">
            <v>Cuộn hạt giống cải ngọt cọng xanh A1 việt nhật và japan việt nhật (3 SP)</v>
          </cell>
          <cell r="E555">
            <v>5</v>
          </cell>
          <cell r="F555">
            <v>5</v>
          </cell>
          <cell r="AO555" t="str">
            <v>Công ty Việt Nhật</v>
          </cell>
          <cell r="AQ555" t="str">
            <v>1908564-1</v>
          </cell>
          <cell r="AR555" t="str">
            <v>1908564-2</v>
          </cell>
          <cell r="AS555" t="str">
            <v>1908564-3</v>
          </cell>
          <cell r="AT555" t="str">
            <v>1908564-4</v>
          </cell>
          <cell r="AU555" t="str">
            <v>1905368-5</v>
          </cell>
          <cell r="BA555" t="str">
            <v>510x800</v>
          </cell>
          <cell r="BB555" t="str">
            <v>S3</v>
          </cell>
          <cell r="BD555" t="str">
            <v>Trục bên Đức Hiếu gửi sang</v>
          </cell>
        </row>
        <row r="556">
          <cell r="A556" t="str">
            <v>sp 1236</v>
          </cell>
          <cell r="B556" t="str">
            <v>Túi thuốc trừ sâu tasieu 5WG Tôn Ngộ Không 88.5 loại 25.5g Việt Thắng</v>
          </cell>
          <cell r="E556">
            <v>7</v>
          </cell>
          <cell r="F556">
            <v>7</v>
          </cell>
          <cell r="AO556" t="str">
            <v>Công ty Việt Thắng</v>
          </cell>
          <cell r="AQ556" t="str">
            <v>X109473-1</v>
          </cell>
          <cell r="AR556" t="str">
            <v>X109473-2</v>
          </cell>
          <cell r="AS556" t="str">
            <v>X109473-3</v>
          </cell>
          <cell r="AT556" t="str">
            <v>X109473-4</v>
          </cell>
          <cell r="AU556" t="str">
            <v>X109473-5</v>
          </cell>
          <cell r="AV556" t="str">
            <v>X109473-6</v>
          </cell>
          <cell r="AW556" t="str">
            <v>X109473-7</v>
          </cell>
          <cell r="BA556" t="str">
            <v>480x870</v>
          </cell>
          <cell r="BB556" t="str">
            <v>D4</v>
          </cell>
        </row>
        <row r="558">
          <cell r="A558" t="str">
            <v>sp 1238</v>
          </cell>
          <cell r="B558" t="str">
            <v>Túi trà lụa ấm nghiêng TC và ĐS 200g loại 24</v>
          </cell>
          <cell r="BB558" t="str">
            <v>H1</v>
          </cell>
        </row>
        <row r="559">
          <cell r="A559" t="str">
            <v>sp 1239</v>
          </cell>
          <cell r="B559" t="str">
            <v>Túi trà lụa ấm nghiêng TC và ĐS 500g loại 24</v>
          </cell>
          <cell r="BB559" t="str">
            <v>H1</v>
          </cell>
        </row>
        <row r="560">
          <cell r="A560" t="str">
            <v>sp 1240</v>
          </cell>
          <cell r="B560" t="str">
            <v>Túi trà bóng cao cấp Tân Cương 100gr loại 25</v>
          </cell>
          <cell r="E560">
            <v>7</v>
          </cell>
          <cell r="F560">
            <v>7</v>
          </cell>
          <cell r="AO560" t="str">
            <v>Bùi Văn Sĩ</v>
          </cell>
          <cell r="AQ560" t="str">
            <v>HD32008017-1</v>
          </cell>
          <cell r="AR560" t="str">
            <v>HD32008017-2</v>
          </cell>
          <cell r="AS560" t="str">
            <v>HD32008017-3</v>
          </cell>
          <cell r="AT560" t="str">
            <v>HD32008017-4</v>
          </cell>
          <cell r="AU560" t="str">
            <v>HD32008017-5</v>
          </cell>
          <cell r="AV560" t="str">
            <v>HD32008017-6</v>
          </cell>
          <cell r="AW560" t="str">
            <v>HD32008017-7</v>
          </cell>
          <cell r="BA560" t="str">
            <v>540x870</v>
          </cell>
          <cell r="BB560" t="str">
            <v>H1</v>
          </cell>
        </row>
        <row r="561">
          <cell r="A561" t="str">
            <v>sp 1241</v>
          </cell>
          <cell r="B561" t="str">
            <v>Túi trà bóng cao cấp Đặc Sản 100gr loại 25</v>
          </cell>
          <cell r="E561">
            <v>1</v>
          </cell>
          <cell r="F561">
            <v>7</v>
          </cell>
          <cell r="AO561" t="str">
            <v>Bùi Văn Sĩ</v>
          </cell>
          <cell r="AQ561" t="str">
            <v>HD32008017-1</v>
          </cell>
          <cell r="AR561" t="str">
            <v>HD32008017-2</v>
          </cell>
          <cell r="AS561" t="str">
            <v>HD32008017J1-1</v>
          </cell>
          <cell r="AT561" t="str">
            <v>HD32008017-4</v>
          </cell>
          <cell r="AU561" t="str">
            <v>HD32008017-5</v>
          </cell>
          <cell r="AV561" t="str">
            <v>HD32008017-6</v>
          </cell>
          <cell r="AW561" t="str">
            <v>HD32008017-7</v>
          </cell>
          <cell r="BA561" t="str">
            <v>540x870</v>
          </cell>
          <cell r="BB561" t="str">
            <v>H1</v>
          </cell>
          <cell r="BC561" t="str">
            <v>Chạy chung sản phẩm 1240</v>
          </cell>
        </row>
        <row r="562">
          <cell r="A562" t="str">
            <v>sp 1242</v>
          </cell>
          <cell r="B562" t="str">
            <v>Túi nhôm EVITA 3 vỉ x 10 viên nang mềm traphaco</v>
          </cell>
          <cell r="E562">
            <v>2</v>
          </cell>
          <cell r="F562">
            <v>2</v>
          </cell>
          <cell r="AO562" t="str">
            <v>Công ty Traphaco</v>
          </cell>
          <cell r="AQ562" t="str">
            <v>20080566-1</v>
          </cell>
          <cell r="AR562" t="str">
            <v>20080566-2</v>
          </cell>
          <cell r="BA562" t="str">
            <v>540x870</v>
          </cell>
          <cell r="BB562" t="str">
            <v>S3</v>
          </cell>
        </row>
        <row r="563">
          <cell r="A563" t="str">
            <v>sp 1243</v>
          </cell>
          <cell r="B563" t="str">
            <v>Túi hạt giống đậu bắp xanh Việt Nhật Japan và xà lách cuộn đăm Việt Nhật (12 SP)</v>
          </cell>
          <cell r="E563">
            <v>7</v>
          </cell>
          <cell r="F563">
            <v>7</v>
          </cell>
          <cell r="AO563" t="str">
            <v>Công ty Việt Nhật</v>
          </cell>
          <cell r="AQ563" t="str">
            <v>20080341-1</v>
          </cell>
          <cell r="AR563" t="str">
            <v>20080341-2</v>
          </cell>
          <cell r="AS563" t="str">
            <v>20080341-3</v>
          </cell>
          <cell r="AT563" t="str">
            <v>20080341-4</v>
          </cell>
          <cell r="AU563" t="str">
            <v>20080341-5</v>
          </cell>
          <cell r="AV563" t="str">
            <v>20080341-6</v>
          </cell>
          <cell r="AW563" t="str">
            <v>20080341-7</v>
          </cell>
          <cell r="BA563" t="str">
            <v>720x870</v>
          </cell>
          <cell r="BB563" t="str">
            <v>S3</v>
          </cell>
        </row>
        <row r="564">
          <cell r="A564" t="str">
            <v>sp 1244</v>
          </cell>
          <cell r="B564" t="str">
            <v>Cuộn bánh Coffee Braka xuất khẩu 45gr kt 215x138</v>
          </cell>
          <cell r="E564">
            <v>8</v>
          </cell>
          <cell r="F564">
            <v>8</v>
          </cell>
          <cell r="AO564" t="str">
            <v>Công ty Libra</v>
          </cell>
          <cell r="AQ564" t="str">
            <v>F126665-1</v>
          </cell>
          <cell r="AR564" t="str">
            <v>F126665-2</v>
          </cell>
          <cell r="AS564" t="str">
            <v>F126665-3</v>
          </cell>
          <cell r="AT564" t="str">
            <v>F126665-4</v>
          </cell>
          <cell r="AU564" t="str">
            <v>F126665-5</v>
          </cell>
          <cell r="AV564" t="str">
            <v>F126665-6</v>
          </cell>
          <cell r="AW564" t="str">
            <v>F126665-7</v>
          </cell>
          <cell r="AX564" t="str">
            <v>F126665-8</v>
          </cell>
          <cell r="BA564" t="str">
            <v>552x1100</v>
          </cell>
          <cell r="BB564" t="str">
            <v>S3</v>
          </cell>
        </row>
        <row r="565">
          <cell r="A565" t="str">
            <v>sp 1245</v>
          </cell>
          <cell r="B565" t="str">
            <v>Cuộn bánh Coffee Braka nội địa 45gr kt 215x138</v>
          </cell>
          <cell r="E565">
            <v>1</v>
          </cell>
          <cell r="F565">
            <v>8</v>
          </cell>
          <cell r="AO565" t="str">
            <v>Công ty Libra</v>
          </cell>
          <cell r="AQ565" t="str">
            <v>F126666G2-1</v>
          </cell>
          <cell r="AR565" t="str">
            <v>F126665-2</v>
          </cell>
          <cell r="AS565" t="str">
            <v>F126665-3</v>
          </cell>
          <cell r="AT565" t="str">
            <v>F126665-4</v>
          </cell>
          <cell r="AU565" t="str">
            <v>F126665-5</v>
          </cell>
          <cell r="AV565" t="str">
            <v>F126665-6</v>
          </cell>
          <cell r="AW565" t="str">
            <v>F126665-7</v>
          </cell>
          <cell r="AX565" t="str">
            <v>F126665-8</v>
          </cell>
          <cell r="BA565" t="str">
            <v>552x1100</v>
          </cell>
          <cell r="BB565" t="str">
            <v>S3</v>
          </cell>
          <cell r="BC565" t="str">
            <v>Chạy chung sản phẩm 1244 trừ cây số 1</v>
          </cell>
        </row>
        <row r="566">
          <cell r="A566" t="str">
            <v>sp 1246</v>
          </cell>
          <cell r="B566" t="str">
            <v>Cuộn men rượu nếp hoa vàng Trung Tiến</v>
          </cell>
          <cell r="E566">
            <v>2</v>
          </cell>
          <cell r="F566">
            <v>2</v>
          </cell>
          <cell r="AO566" t="str">
            <v>Công ty Trung Tiến</v>
          </cell>
          <cell r="AQ566" t="str">
            <v>F126667-1</v>
          </cell>
          <cell r="AR566" t="str">
            <v>F126667-2</v>
          </cell>
          <cell r="BA566" t="str">
            <v>465x1100</v>
          </cell>
          <cell r="BB566" t="str">
            <v>S3</v>
          </cell>
        </row>
        <row r="569">
          <cell r="A569" t="str">
            <v>sp 1249</v>
          </cell>
          <cell r="B569" t="str">
            <v>Cuốn thuốc thú y Bcomplex +K3+C 100gr Trường Hằng</v>
          </cell>
          <cell r="E569">
            <v>2</v>
          </cell>
          <cell r="F569">
            <v>2</v>
          </cell>
          <cell r="AO569" t="str">
            <v>Công ty Trường Hằng</v>
          </cell>
          <cell r="AQ569" t="str">
            <v>20080603-1</v>
          </cell>
          <cell r="AR569" t="str">
            <v>20080603-2</v>
          </cell>
          <cell r="BA569" t="str">
            <v>510x870</v>
          </cell>
          <cell r="BB569" t="str">
            <v>S3</v>
          </cell>
        </row>
        <row r="570">
          <cell r="A570" t="str">
            <v>sp 1250</v>
          </cell>
          <cell r="B570" t="str">
            <v>Cuộn hạt giống cải ngọt cọng xanh A1 JP- cải bẹ vàng ngọt JP-VN</v>
          </cell>
          <cell r="E570">
            <v>8</v>
          </cell>
          <cell r="F570">
            <v>8</v>
          </cell>
          <cell r="AO570" t="str">
            <v>Công ty Việt Nhật</v>
          </cell>
          <cell r="AQ570" t="str">
            <v>20080652-1</v>
          </cell>
          <cell r="AR570" t="str">
            <v>20080652-2</v>
          </cell>
          <cell r="AS570" t="str">
            <v>20080652-3</v>
          </cell>
          <cell r="AT570" t="str">
            <v>20080652-4</v>
          </cell>
          <cell r="AU570" t="str">
            <v>20080652-5</v>
          </cell>
          <cell r="AV570" t="str">
            <v>20080652-6</v>
          </cell>
          <cell r="AW570" t="str">
            <v>20080652-7</v>
          </cell>
          <cell r="AX570" t="str">
            <v>20080652-8</v>
          </cell>
          <cell r="BA570" t="str">
            <v>540x870</v>
          </cell>
          <cell r="BB570" t="str">
            <v>S3</v>
          </cell>
        </row>
        <row r="571">
          <cell r="A571" t="str">
            <v>sp 1251</v>
          </cell>
          <cell r="B571" t="str">
            <v>Túi trà ấm cây TC loại đặc biệt 100gr 26</v>
          </cell>
          <cell r="E571">
            <v>6</v>
          </cell>
          <cell r="F571">
            <v>6</v>
          </cell>
          <cell r="AO571" t="str">
            <v>Bùi Văn Sĩ</v>
          </cell>
          <cell r="AQ571" t="str">
            <v>20080653-1</v>
          </cell>
          <cell r="AR571" t="str">
            <v>20080653-2</v>
          </cell>
          <cell r="AS571" t="str">
            <v>20080653-3</v>
          </cell>
          <cell r="AT571" t="str">
            <v>20080653-4</v>
          </cell>
          <cell r="AU571" t="str">
            <v>20080653-5</v>
          </cell>
          <cell r="AV571" t="str">
            <v>20080653-6</v>
          </cell>
          <cell r="BA571" t="str">
            <v>540x870</v>
          </cell>
          <cell r="BB571" t="str">
            <v>H1</v>
          </cell>
        </row>
        <row r="572">
          <cell r="A572" t="str">
            <v>sp 1252</v>
          </cell>
          <cell r="B572" t="str">
            <v>Túi trà ấm cây ĐS loại đặc biệt 100gr 26</v>
          </cell>
          <cell r="E572">
            <v>1</v>
          </cell>
          <cell r="F572">
            <v>6</v>
          </cell>
          <cell r="AO572" t="str">
            <v>Bùi Văn Sĩ</v>
          </cell>
          <cell r="AQ572" t="str">
            <v>20080654-1</v>
          </cell>
          <cell r="AR572" t="str">
            <v>20080653-2</v>
          </cell>
          <cell r="AS572" t="str">
            <v>20080653-3</v>
          </cell>
          <cell r="AT572" t="str">
            <v>20080653-4</v>
          </cell>
          <cell r="AU572" t="str">
            <v>20080653-5</v>
          </cell>
          <cell r="AV572" t="str">
            <v>20080653-6</v>
          </cell>
          <cell r="BA572" t="str">
            <v>540x870</v>
          </cell>
          <cell r="BB572" t="str">
            <v>H1</v>
          </cell>
        </row>
        <row r="573">
          <cell r="A573" t="str">
            <v>sp 1253</v>
          </cell>
        </row>
        <row r="574">
          <cell r="A574" t="str">
            <v>sp 1254</v>
          </cell>
        </row>
        <row r="575">
          <cell r="A575" t="str">
            <v>sp 1255</v>
          </cell>
          <cell r="B575" t="str">
            <v>Cuộn hạt giống mào gà 92,cải chíp 86,bẹ dưa 94 lucky</v>
          </cell>
          <cell r="E575">
            <v>6</v>
          </cell>
          <cell r="F575">
            <v>6</v>
          </cell>
          <cell r="AO575" t="str">
            <v>Công ty giống Lucky</v>
          </cell>
          <cell r="AQ575" t="str">
            <v>20081014-1</v>
          </cell>
          <cell r="AR575" t="str">
            <v>20081014-2</v>
          </cell>
          <cell r="AS575" t="str">
            <v>20081014-3</v>
          </cell>
          <cell r="AT575" t="str">
            <v>20081014-4</v>
          </cell>
          <cell r="AU575" t="str">
            <v>20081014-5</v>
          </cell>
          <cell r="AV575" t="str">
            <v>20081014-6</v>
          </cell>
          <cell r="BA575" t="str">
            <v>570x870</v>
          </cell>
          <cell r="BB575" t="str">
            <v>S3</v>
          </cell>
        </row>
        <row r="576">
          <cell r="A576" t="str">
            <v>sp 1256</v>
          </cell>
          <cell r="B576" t="str">
            <v>Cuộn hạt giống mào gà 1092,cải chip 1086,bẹ dưa 1094 sao việt</v>
          </cell>
          <cell r="E576">
            <v>5</v>
          </cell>
          <cell r="F576">
            <v>6</v>
          </cell>
          <cell r="AO576" t="str">
            <v>Công ty giống Lucky</v>
          </cell>
          <cell r="AQ576" t="str">
            <v>21070327-1</v>
          </cell>
          <cell r="AR576" t="str">
            <v>21070327-2</v>
          </cell>
          <cell r="AS576" t="str">
            <v>21070327-3</v>
          </cell>
          <cell r="AT576" t="str">
            <v>21070327-4</v>
          </cell>
          <cell r="AU576" t="str">
            <v>21070327-5</v>
          </cell>
          <cell r="AV576" t="str">
            <v>20081014-6</v>
          </cell>
          <cell r="BA576" t="str">
            <v>570x870</v>
          </cell>
          <cell r="BB576" t="str">
            <v>S3</v>
          </cell>
          <cell r="BC576" t="str">
            <v>Dùng chung cây trắng với sp 1255</v>
          </cell>
        </row>
        <row r="577">
          <cell r="A577" t="str">
            <v>sp 1257</v>
          </cell>
          <cell r="B577" t="str">
            <v>Cuộn bột giặt nano hương hoa thiên nhiên 350gr</v>
          </cell>
          <cell r="E577">
            <v>5</v>
          </cell>
          <cell r="F577">
            <v>5</v>
          </cell>
          <cell r="AO577" t="str">
            <v>Công ty Alo Sun</v>
          </cell>
          <cell r="AQ577" t="str">
            <v>F126752-1</v>
          </cell>
          <cell r="AR577" t="str">
            <v>F126752-2</v>
          </cell>
          <cell r="AS577" t="str">
            <v>F126752-3</v>
          </cell>
          <cell r="AT577" t="str">
            <v>F126752-4</v>
          </cell>
          <cell r="AU577" t="str">
            <v>F126752-5</v>
          </cell>
          <cell r="BA577" t="str">
            <v>470x870</v>
          </cell>
          <cell r="BB577" t="str">
            <v>S3</v>
          </cell>
        </row>
        <row r="578">
          <cell r="A578" t="str">
            <v>sp 1258</v>
          </cell>
          <cell r="B578" t="str">
            <v>Cuộn thuốc thú y Amoxil-100 loại 100gr</v>
          </cell>
          <cell r="E578">
            <v>3</v>
          </cell>
          <cell r="F578">
            <v>3</v>
          </cell>
          <cell r="AO578" t="str">
            <v>Công ty Hùng Nguyên</v>
          </cell>
          <cell r="AQ578" t="str">
            <v>F126749-1</v>
          </cell>
          <cell r="AR578" t="str">
            <v>F126749-2</v>
          </cell>
          <cell r="AS578" t="str">
            <v>F126749-3</v>
          </cell>
          <cell r="BA578" t="str">
            <v>570x870</v>
          </cell>
          <cell r="BB578" t="str">
            <v>S3</v>
          </cell>
        </row>
        <row r="579">
          <cell r="A579" t="str">
            <v>sp 1259</v>
          </cell>
        </row>
        <row r="580">
          <cell r="A580" t="str">
            <v>sp 1260</v>
          </cell>
          <cell r="B580" t="str">
            <v>Túi xúc xích ND 500gr HCK</v>
          </cell>
          <cell r="E580">
            <v>3</v>
          </cell>
          <cell r="F580">
            <v>3</v>
          </cell>
          <cell r="AO580" t="str">
            <v>Công ty HCK</v>
          </cell>
          <cell r="AQ580" t="str">
            <v>F126735NG2-1</v>
          </cell>
          <cell r="AR580" t="str">
            <v>F126735-2</v>
          </cell>
          <cell r="AS580" t="str">
            <v>F126735-3</v>
          </cell>
          <cell r="BA580" t="str">
            <v>490x870</v>
          </cell>
          <cell r="BB580" t="str">
            <v>S3</v>
          </cell>
        </row>
        <row r="581">
          <cell r="A581" t="str">
            <v>sp 1261</v>
          </cell>
          <cell r="B581" t="str">
            <v>Cuộn giấy trà hương sen Kim Anh</v>
          </cell>
          <cell r="E581">
            <v>4</v>
          </cell>
          <cell r="F581">
            <v>4</v>
          </cell>
          <cell r="AO581" t="str">
            <v>Công ty Kim Anh</v>
          </cell>
          <cell r="AQ581" t="str">
            <v>X109684-1</v>
          </cell>
          <cell r="AR581" t="str">
            <v>X109684-2</v>
          </cell>
          <cell r="AS581" t="str">
            <v>X109684-3</v>
          </cell>
          <cell r="AT581" t="str">
            <v>X109684-4</v>
          </cell>
          <cell r="BA581" t="str">
            <v>462x870</v>
          </cell>
        </row>
        <row r="582">
          <cell r="A582" t="str">
            <v>sp 1262</v>
          </cell>
          <cell r="B582" t="str">
            <v>Cuộn giấy trà hương nhài Kim Anh</v>
          </cell>
          <cell r="E582">
            <v>1</v>
          </cell>
          <cell r="F582">
            <v>4</v>
          </cell>
          <cell r="AO582" t="str">
            <v>Công ty Kim Anh</v>
          </cell>
          <cell r="AQ582" t="str">
            <v>X109685-1</v>
          </cell>
          <cell r="AR582" t="str">
            <v>X109684-2</v>
          </cell>
          <cell r="AS582" t="str">
            <v>X109684-3</v>
          </cell>
          <cell r="AT582" t="str">
            <v>X109684-4</v>
          </cell>
          <cell r="BA582" t="str">
            <v>462x870</v>
          </cell>
        </row>
        <row r="583">
          <cell r="A583" t="str">
            <v>sp 1263</v>
          </cell>
          <cell r="B583" t="str">
            <v>Cuộn giấy trà hương cúc Kim Anh</v>
          </cell>
          <cell r="E583">
            <v>1</v>
          </cell>
          <cell r="F583">
            <v>4</v>
          </cell>
          <cell r="AO583" t="str">
            <v>Công ty Kim Anh</v>
          </cell>
          <cell r="AQ583" t="str">
            <v>X109686-1</v>
          </cell>
          <cell r="AR583" t="str">
            <v>X109684-2</v>
          </cell>
          <cell r="AS583" t="str">
            <v>X109684-3</v>
          </cell>
          <cell r="AT583" t="str">
            <v>X109684-4</v>
          </cell>
          <cell r="BA583" t="str">
            <v>462x870</v>
          </cell>
        </row>
        <row r="584">
          <cell r="A584" t="str">
            <v>sp 1264</v>
          </cell>
          <cell r="B584" t="str">
            <v>Cuộn giấy trà hương dâu Kim Anh</v>
          </cell>
          <cell r="E584">
            <v>1</v>
          </cell>
          <cell r="F584">
            <v>4</v>
          </cell>
          <cell r="AO584" t="str">
            <v>Công ty Kim Anh</v>
          </cell>
          <cell r="AQ584" t="str">
            <v>X109687-1</v>
          </cell>
          <cell r="AR584" t="str">
            <v>X109684-2</v>
          </cell>
          <cell r="AS584" t="str">
            <v>X109684-3</v>
          </cell>
          <cell r="AT584" t="str">
            <v>X109684-4</v>
          </cell>
          <cell r="BA584" t="str">
            <v>462x870</v>
          </cell>
        </row>
        <row r="585">
          <cell r="A585" t="str">
            <v>sp 1265</v>
          </cell>
          <cell r="B585" t="str">
            <v>Cuộn giấy trà hương đào Kim Anh</v>
          </cell>
          <cell r="E585">
            <v>1</v>
          </cell>
          <cell r="F585">
            <v>4</v>
          </cell>
          <cell r="AO585" t="str">
            <v>Công ty Kim Anh</v>
          </cell>
          <cell r="AQ585" t="str">
            <v>X109688-1</v>
          </cell>
          <cell r="AR585" t="str">
            <v>X109684-2</v>
          </cell>
          <cell r="AS585" t="str">
            <v>X109684-3</v>
          </cell>
          <cell r="AT585" t="str">
            <v>X109684-4</v>
          </cell>
          <cell r="BA585" t="str">
            <v>462x870</v>
          </cell>
        </row>
        <row r="586">
          <cell r="A586" t="str">
            <v>sp 1266</v>
          </cell>
          <cell r="B586" t="str">
            <v>Cuộn giấy chè thảo mộc Kim Anh</v>
          </cell>
          <cell r="E586">
            <v>1</v>
          </cell>
          <cell r="F586">
            <v>4</v>
          </cell>
          <cell r="AO586" t="str">
            <v>Công ty Kim Anh</v>
          </cell>
          <cell r="AQ586" t="str">
            <v>X109689-1</v>
          </cell>
          <cell r="AR586" t="str">
            <v>X109684-2</v>
          </cell>
          <cell r="AS586" t="str">
            <v>X109684-3</v>
          </cell>
          <cell r="AT586" t="str">
            <v>X109684-4</v>
          </cell>
          <cell r="BA586" t="str">
            <v>462x870</v>
          </cell>
        </row>
        <row r="587">
          <cell r="A587" t="str">
            <v>sp 1267</v>
          </cell>
          <cell r="B587" t="str">
            <v>Cuộn giấy chè thảo đen Kim Anh</v>
          </cell>
          <cell r="E587">
            <v>1</v>
          </cell>
          <cell r="F587">
            <v>4</v>
          </cell>
          <cell r="AO587" t="str">
            <v>Công ty Kim Anh</v>
          </cell>
          <cell r="AQ587" t="str">
            <v>X109690-1</v>
          </cell>
          <cell r="AR587" t="str">
            <v>X109684-2</v>
          </cell>
          <cell r="AS587" t="str">
            <v>X109684-3</v>
          </cell>
          <cell r="AT587" t="str">
            <v>X109684-4</v>
          </cell>
          <cell r="BA587" t="str">
            <v>462x870</v>
          </cell>
        </row>
        <row r="588">
          <cell r="A588" t="str">
            <v>sp 1268</v>
          </cell>
          <cell r="B588" t="str">
            <v>Cuộn giấy chè Giao Cổ Lam Kim Anh</v>
          </cell>
          <cell r="E588">
            <v>1</v>
          </cell>
          <cell r="F588">
            <v>4</v>
          </cell>
          <cell r="AO588" t="str">
            <v>Công ty Kim Anh</v>
          </cell>
          <cell r="AQ588" t="str">
            <v>X109691-1</v>
          </cell>
          <cell r="AR588" t="str">
            <v>X109684-2</v>
          </cell>
          <cell r="AS588" t="str">
            <v>X109684-3</v>
          </cell>
          <cell r="AT588" t="str">
            <v>X109684-4</v>
          </cell>
          <cell r="BA588" t="str">
            <v>462x870</v>
          </cell>
        </row>
        <row r="589">
          <cell r="A589" t="str">
            <v>sp 1269</v>
          </cell>
          <cell r="B589" t="str">
            <v>Cuộn giấy chè cà gai leo Kim Anh</v>
          </cell>
          <cell r="E589">
            <v>1</v>
          </cell>
          <cell r="F589">
            <v>4</v>
          </cell>
          <cell r="AO589" t="str">
            <v>Công ty Kim Anh</v>
          </cell>
          <cell r="AQ589" t="str">
            <v>X109692-1</v>
          </cell>
          <cell r="AR589" t="str">
            <v>X109684-2</v>
          </cell>
          <cell r="AS589" t="str">
            <v>X109684-3</v>
          </cell>
          <cell r="AT589" t="str">
            <v>X109684-4</v>
          </cell>
          <cell r="BA589" t="str">
            <v>462x870</v>
          </cell>
        </row>
        <row r="590">
          <cell r="A590" t="str">
            <v>sp 1270</v>
          </cell>
          <cell r="B590" t="str">
            <v>Túi trà hương nhài 100gr Zipper  Kim Anh</v>
          </cell>
          <cell r="E590">
            <v>8</v>
          </cell>
          <cell r="F590">
            <v>8</v>
          </cell>
          <cell r="AO590" t="str">
            <v>Công ty Kim Anh</v>
          </cell>
          <cell r="AQ590" t="str">
            <v>X109701-1</v>
          </cell>
          <cell r="AR590" t="str">
            <v>X109701-2</v>
          </cell>
          <cell r="AS590" t="str">
            <v>X109701-3</v>
          </cell>
          <cell r="AT590" t="str">
            <v>X109701-4</v>
          </cell>
          <cell r="AU590" t="str">
            <v>X109701-5</v>
          </cell>
          <cell r="AV590" t="str">
            <v>X109701-6</v>
          </cell>
          <cell r="AW590" t="str">
            <v>X109701-7</v>
          </cell>
          <cell r="AX590" t="str">
            <v>X109701-8</v>
          </cell>
          <cell r="BA590" t="str">
            <v>450x870</v>
          </cell>
        </row>
        <row r="591">
          <cell r="A591" t="str">
            <v>sp 1271</v>
          </cell>
          <cell r="B591" t="str">
            <v>Túi trà hương sen 100gr Zipper  Kim Anh</v>
          </cell>
          <cell r="E591">
            <v>5</v>
          </cell>
          <cell r="F591">
            <v>7</v>
          </cell>
          <cell r="AO591" t="str">
            <v>Công ty Kim Anh</v>
          </cell>
          <cell r="AQ591" t="str">
            <v>X109702-1</v>
          </cell>
          <cell r="AR591" t="str">
            <v>X109701-2</v>
          </cell>
          <cell r="AS591" t="str">
            <v>X109702-3</v>
          </cell>
          <cell r="AT591" t="str">
            <v>X109702-4</v>
          </cell>
          <cell r="AU591" t="str">
            <v>X109702-5</v>
          </cell>
          <cell r="AV591" t="str">
            <v>X109702-6</v>
          </cell>
          <cell r="AW591" t="str">
            <v>X109701-8</v>
          </cell>
          <cell r="BA591" t="str">
            <v>450x870</v>
          </cell>
          <cell r="BC591" t="str">
            <v>Chạy chung cây đỏ , trắng bộ 1270</v>
          </cell>
        </row>
        <row r="592">
          <cell r="A592" t="str">
            <v>sp 1272</v>
          </cell>
          <cell r="B592" t="str">
            <v>Túi trà xanh 100gr Zipper Kim Anh</v>
          </cell>
          <cell r="E592">
            <v>5</v>
          </cell>
          <cell r="F592">
            <v>8</v>
          </cell>
          <cell r="AO592" t="str">
            <v>Công ty Kim Anh</v>
          </cell>
          <cell r="AQ592" t="str">
            <v>X109701-1</v>
          </cell>
          <cell r="AR592" t="str">
            <v>X109704-2</v>
          </cell>
          <cell r="AS592" t="str">
            <v>X109701-3</v>
          </cell>
          <cell r="AT592" t="str">
            <v>X109704--4</v>
          </cell>
          <cell r="AU592" t="str">
            <v>X109704--5</v>
          </cell>
          <cell r="AV592" t="str">
            <v>X109704--6</v>
          </cell>
          <cell r="AW592" t="str">
            <v>X109704--7</v>
          </cell>
          <cell r="AX592" t="str">
            <v>X109701-8</v>
          </cell>
          <cell r="BA592" t="str">
            <v>450x870</v>
          </cell>
          <cell r="BC592" t="str">
            <v>Chạy chung cây nâu , đỏ , trắng bộ 1270</v>
          </cell>
        </row>
        <row r="593">
          <cell r="A593" t="str">
            <v>sp 1273</v>
          </cell>
          <cell r="B593" t="str">
            <v>Túi muối tinh I ốt 9999 250gr Hằng Hải</v>
          </cell>
          <cell r="E593">
            <v>7</v>
          </cell>
          <cell r="F593">
            <v>7</v>
          </cell>
          <cell r="AO593" t="str">
            <v>Công ty Hằng Hải</v>
          </cell>
          <cell r="AQ593" t="str">
            <v>1803797-1</v>
          </cell>
          <cell r="AR593" t="str">
            <v>1803797-2</v>
          </cell>
          <cell r="AS593" t="str">
            <v>1803797-3</v>
          </cell>
          <cell r="AT593" t="str">
            <v>1803797-4</v>
          </cell>
          <cell r="AU593" t="str">
            <v>1803797-5</v>
          </cell>
          <cell r="AV593" t="str">
            <v>1803797-6</v>
          </cell>
          <cell r="AW593" t="str">
            <v>1803797-7</v>
          </cell>
          <cell r="BA593" t="str">
            <v>477x770</v>
          </cell>
          <cell r="BD593" t="str">
            <v>Trục gia công</v>
          </cell>
        </row>
        <row r="595">
          <cell r="A595" t="str">
            <v>sp 1275</v>
          </cell>
          <cell r="B595" t="str">
            <v>Cuộn bánh Marika in 3 màu</v>
          </cell>
          <cell r="E595">
            <v>3</v>
          </cell>
          <cell r="F595">
            <v>3</v>
          </cell>
          <cell r="AO595" t="str">
            <v>Công ty Marika</v>
          </cell>
          <cell r="AQ595" t="str">
            <v>20091119-1</v>
          </cell>
          <cell r="AR595" t="str">
            <v>20091119-2</v>
          </cell>
          <cell r="AS595" t="str">
            <v>20091119-3</v>
          </cell>
          <cell r="BA595" t="str">
            <v>455x850</v>
          </cell>
        </row>
        <row r="596">
          <cell r="A596" t="str">
            <v>sp 1276</v>
          </cell>
          <cell r="B596" t="str">
            <v>Cuộn hạt giống cải xanh lá to 22,củ cải ngắn lai 13,cải cúc tẻ 07 lucky</v>
          </cell>
          <cell r="E596">
            <v>5</v>
          </cell>
          <cell r="F596">
            <v>6</v>
          </cell>
          <cell r="AO596" t="str">
            <v>Công ty giống Lucky</v>
          </cell>
          <cell r="AQ596" t="str">
            <v>20090095-1</v>
          </cell>
          <cell r="AR596" t="str">
            <v>20090095-2</v>
          </cell>
          <cell r="AS596" t="str">
            <v>20090095-3</v>
          </cell>
          <cell r="AT596" t="str">
            <v>20090095-4</v>
          </cell>
          <cell r="AU596" t="str">
            <v>20090095-5</v>
          </cell>
          <cell r="AV596" t="str">
            <v>20081014-6</v>
          </cell>
          <cell r="BA596" t="str">
            <v>570x870</v>
          </cell>
          <cell r="BC596" t="str">
            <v>Dùng chung trục trắng sp 1255</v>
          </cell>
        </row>
        <row r="597">
          <cell r="A597" t="str">
            <v>sp 1277</v>
          </cell>
          <cell r="B597" t="str">
            <v>Cuộn hạt giống cải xanh lá to 1022, củ cải ngắn lại 1013,cải cúc tẻ 1007 Sao Việt</v>
          </cell>
          <cell r="E597">
            <v>5</v>
          </cell>
          <cell r="F597">
            <v>6</v>
          </cell>
          <cell r="AO597" t="str">
            <v>Công ty giống Lucky</v>
          </cell>
          <cell r="AQ597" t="str">
            <v>21070327-1</v>
          </cell>
          <cell r="AR597" t="str">
            <v>21070327-2</v>
          </cell>
          <cell r="AS597" t="str">
            <v>21070327-3</v>
          </cell>
          <cell r="AT597" t="str">
            <v>21070327-4</v>
          </cell>
          <cell r="AU597" t="str">
            <v>21070327-5</v>
          </cell>
          <cell r="AV597" t="str">
            <v>20081014-6</v>
          </cell>
          <cell r="BA597" t="str">
            <v>570x870</v>
          </cell>
          <cell r="BC597" t="str">
            <v>Dùng chung trục trắng sp 1255</v>
          </cell>
        </row>
        <row r="598">
          <cell r="A598" t="str">
            <v>sp 1278</v>
          </cell>
        </row>
        <row r="599">
          <cell r="A599" t="str">
            <v>sp 1279</v>
          </cell>
        </row>
        <row r="600">
          <cell r="A600" t="str">
            <v>sp 1280</v>
          </cell>
          <cell r="B600" t="str">
            <v>Túi nhôm LIVBILNIC 2 vỉ x 20 viên nền bao phim</v>
          </cell>
          <cell r="E600">
            <v>1</v>
          </cell>
          <cell r="F600">
            <v>1</v>
          </cell>
          <cell r="AO600" t="str">
            <v>Công ty Traphaco</v>
          </cell>
          <cell r="AQ600" t="str">
            <v>20090313-1</v>
          </cell>
          <cell r="BA600" t="str">
            <v>480x870</v>
          </cell>
        </row>
        <row r="601">
          <cell r="A601" t="str">
            <v>sp 1281</v>
          </cell>
        </row>
        <row r="602">
          <cell r="A602" t="str">
            <v>sp 1282</v>
          </cell>
        </row>
        <row r="603">
          <cell r="A603" t="str">
            <v>sp 1283</v>
          </cell>
          <cell r="B603" t="str">
            <v>Túi hạt giống cải làn hoa vàng Japan và Việt Nhật</v>
          </cell>
          <cell r="E603">
            <v>5</v>
          </cell>
          <cell r="F603">
            <v>5</v>
          </cell>
          <cell r="AO603" t="str">
            <v>Công ty giống Lucky</v>
          </cell>
          <cell r="AQ603" t="str">
            <v>19061016-1</v>
          </cell>
          <cell r="AR603" t="str">
            <v>19061016-2</v>
          </cell>
          <cell r="AS603" t="str">
            <v>19061016-3</v>
          </cell>
          <cell r="AT603" t="str">
            <v>19061016-4</v>
          </cell>
          <cell r="AU603" t="str">
            <v>19061016-5</v>
          </cell>
          <cell r="BA603" t="str">
            <v>720x800</v>
          </cell>
        </row>
        <row r="604">
          <cell r="A604" t="str">
            <v>sp 1284</v>
          </cell>
        </row>
        <row r="605">
          <cell r="A605" t="str">
            <v>sp 1286</v>
          </cell>
          <cell r="B605" t="str">
            <v>Túi bánh Crackers khoai tây 230g</v>
          </cell>
          <cell r="E605">
            <v>5</v>
          </cell>
          <cell r="F605">
            <v>5</v>
          </cell>
          <cell r="AO605" t="str">
            <v>Công ty Libra</v>
          </cell>
          <cell r="AQ605" t="str">
            <v>20090976-1</v>
          </cell>
          <cell r="AR605" t="str">
            <v>20090976-2</v>
          </cell>
          <cell r="AS605" t="str">
            <v>20090976-3</v>
          </cell>
          <cell r="AT605" t="str">
            <v>20090976-4</v>
          </cell>
          <cell r="AU605" t="str">
            <v>20090976-5</v>
          </cell>
          <cell r="AV605" t="str">
            <v>20100259-6</v>
          </cell>
          <cell r="BA605" t="str">
            <v>712x1200</v>
          </cell>
        </row>
        <row r="606">
          <cell r="A606" t="str">
            <v>sp 1285</v>
          </cell>
          <cell r="B606" t="str">
            <v>Túi bánh Crackers ngô 230g</v>
          </cell>
          <cell r="E606">
            <v>6</v>
          </cell>
          <cell r="F606">
            <v>6</v>
          </cell>
          <cell r="AO606" t="str">
            <v>Công ty Libra</v>
          </cell>
          <cell r="AQ606" t="str">
            <v>20090977-1</v>
          </cell>
          <cell r="AR606" t="str">
            <v>20090977-2</v>
          </cell>
          <cell r="AS606" t="str">
            <v>20090977-3</v>
          </cell>
          <cell r="AT606" t="str">
            <v>20090977-4</v>
          </cell>
          <cell r="AU606" t="str">
            <v>20090977-5</v>
          </cell>
          <cell r="AV606" t="str">
            <v>20090977-6</v>
          </cell>
          <cell r="BA606" t="str">
            <v>712x1200</v>
          </cell>
        </row>
        <row r="608">
          <cell r="A608" t="str">
            <v>sp 1288</v>
          </cell>
          <cell r="B608" t="str">
            <v>Cuộn bánh Braka Coffee 134x103</v>
          </cell>
          <cell r="E608">
            <v>8</v>
          </cell>
          <cell r="F608">
            <v>8</v>
          </cell>
          <cell r="AO608" t="str">
            <v>Công ty Libra</v>
          </cell>
          <cell r="AQ608" t="str">
            <v>F126903-1</v>
          </cell>
          <cell r="AR608" t="str">
            <v>F126903-2</v>
          </cell>
          <cell r="AS608" t="str">
            <v>F126903-3</v>
          </cell>
          <cell r="AT608" t="str">
            <v>F126903-4</v>
          </cell>
          <cell r="AU608" t="str">
            <v>F126903-5</v>
          </cell>
          <cell r="AV608" t="str">
            <v>F126903-6</v>
          </cell>
          <cell r="AW608" t="str">
            <v>F126903-7</v>
          </cell>
          <cell r="AX608" t="str">
            <v>F126903-8</v>
          </cell>
          <cell r="BA608" t="str">
            <v>515x870</v>
          </cell>
        </row>
        <row r="609">
          <cell r="A609" t="str">
            <v>sp 1289</v>
          </cell>
          <cell r="B609" t="str">
            <v>Cuộn hạt giống cô ve leo hạt trắng,hạt đen tứ quý Lucky</v>
          </cell>
          <cell r="E609">
            <v>5</v>
          </cell>
          <cell r="F609">
            <v>5</v>
          </cell>
          <cell r="AO609" t="str">
            <v>Công ty giống Lucky</v>
          </cell>
          <cell r="AQ609" t="str">
            <v>20090847-1</v>
          </cell>
          <cell r="AR609" t="str">
            <v>20090847-2</v>
          </cell>
          <cell r="AS609" t="str">
            <v>20090847-3</v>
          </cell>
          <cell r="AT609" t="str">
            <v>20090847-4</v>
          </cell>
          <cell r="AU609" t="str">
            <v>20090847-5</v>
          </cell>
          <cell r="AV609" t="str">
            <v>20081014-6</v>
          </cell>
          <cell r="BA609" t="str">
            <v>570x870</v>
          </cell>
          <cell r="BC609" t="str">
            <v>Dùng chung cây trắng với sp 1255</v>
          </cell>
        </row>
        <row r="610">
          <cell r="A610" t="str">
            <v>sp 1290</v>
          </cell>
          <cell r="B610" t="str">
            <v>Cuộn hạt giống cô ve leo hạt trắng,hạt đen tứ quý Sao Việt</v>
          </cell>
          <cell r="E610">
            <v>5</v>
          </cell>
          <cell r="F610">
            <v>5</v>
          </cell>
          <cell r="AO610" t="str">
            <v>Công ty giống Lucky</v>
          </cell>
          <cell r="AQ610" t="str">
            <v>21070442-1</v>
          </cell>
          <cell r="AR610" t="str">
            <v>21070442-2</v>
          </cell>
          <cell r="AS610" t="str">
            <v>21070442-3</v>
          </cell>
          <cell r="AT610" t="str">
            <v>21070442-4</v>
          </cell>
          <cell r="AU610" t="str">
            <v>21070442-5</v>
          </cell>
          <cell r="AV610" t="str">
            <v>20081014-6</v>
          </cell>
          <cell r="BA610" t="str">
            <v>570x870</v>
          </cell>
          <cell r="BC610" t="str">
            <v>Dùng chung cây trắng với sp 1255</v>
          </cell>
        </row>
        <row r="611">
          <cell r="A611" t="str">
            <v>sp 1291</v>
          </cell>
          <cell r="B611" t="str">
            <v>Túi thuốc thú y 1kg mã CD2121</v>
          </cell>
          <cell r="E611">
            <v>3</v>
          </cell>
          <cell r="F611">
            <v>3</v>
          </cell>
          <cell r="AO611" t="str">
            <v>Công ty Năm Thái</v>
          </cell>
          <cell r="AQ611" t="str">
            <v>20091059-1</v>
          </cell>
          <cell r="AR611" t="str">
            <v>20091059-2</v>
          </cell>
          <cell r="AS611" t="str">
            <v>20091059-3</v>
          </cell>
          <cell r="BA611" t="str">
            <v>480x870</v>
          </cell>
        </row>
        <row r="613">
          <cell r="A613" t="str">
            <v>sp 1293</v>
          </cell>
          <cell r="B613" t="str">
            <v>Túi bột giặt đựng nước Okashi 200ml-Hòa Hợp</v>
          </cell>
          <cell r="E613">
            <v>8</v>
          </cell>
          <cell r="F613">
            <v>8</v>
          </cell>
          <cell r="AO613" t="str">
            <v>Công ty Hòa Hợp</v>
          </cell>
          <cell r="AQ613" t="str">
            <v>F126819-1</v>
          </cell>
          <cell r="AR613" t="str">
            <v>F126819-2</v>
          </cell>
          <cell r="AS613" t="str">
            <v>F126819-3</v>
          </cell>
          <cell r="AT613" t="str">
            <v>F126819-4</v>
          </cell>
          <cell r="AU613" t="str">
            <v>F126819-5</v>
          </cell>
          <cell r="AV613" t="str">
            <v>F126819-6</v>
          </cell>
          <cell r="AW613" t="str">
            <v>F126819-7</v>
          </cell>
          <cell r="AX613" t="str">
            <v>F126819-8</v>
          </cell>
          <cell r="BA613" t="str">
            <v>458x880</v>
          </cell>
        </row>
        <row r="614">
          <cell r="A614" t="str">
            <v>sp 1294</v>
          </cell>
          <cell r="B614" t="str">
            <v>Túi thuốc thú y Canxi Poly vit 200g</v>
          </cell>
          <cell r="E614">
            <v>2</v>
          </cell>
          <cell r="F614">
            <v>2</v>
          </cell>
          <cell r="AO614" t="str">
            <v>Công ty Trường Hằng</v>
          </cell>
          <cell r="AQ614" t="str">
            <v>20100218-1</v>
          </cell>
          <cell r="AR614" t="str">
            <v>20100218-2</v>
          </cell>
        </row>
        <row r="615">
          <cell r="A615" t="str">
            <v>sp 1295</v>
          </cell>
          <cell r="B615" t="str">
            <v>Cuộn trà Mokhtar Tea Mint Vĩnh Phúc</v>
          </cell>
          <cell r="E615">
            <v>6</v>
          </cell>
          <cell r="F615">
            <v>6</v>
          </cell>
          <cell r="AO615" t="str">
            <v>Công ty Vĩnh Phúc</v>
          </cell>
          <cell r="AQ615" t="str">
            <v>F127056-1</v>
          </cell>
          <cell r="AR615" t="str">
            <v>F127056-2</v>
          </cell>
          <cell r="AS615" t="str">
            <v>F127056-3</v>
          </cell>
          <cell r="AT615" t="str">
            <v>F127056-4</v>
          </cell>
          <cell r="AU615" t="str">
            <v>F127056-5</v>
          </cell>
          <cell r="AV615" t="str">
            <v>F127056-6</v>
          </cell>
          <cell r="BA615" t="str">
            <v>462x870</v>
          </cell>
        </row>
        <row r="616">
          <cell r="A616" t="str">
            <v>sp 1296</v>
          </cell>
          <cell r="B616" t="str">
            <v>Cuộn trà Mokhtar Tea Cardamon Vĩnh Phúc</v>
          </cell>
          <cell r="E616">
            <v>5</v>
          </cell>
          <cell r="F616">
            <v>6</v>
          </cell>
          <cell r="AO616" t="str">
            <v>Công ty Vĩnh Phúc</v>
          </cell>
          <cell r="AQ616" t="str">
            <v>F127058-1</v>
          </cell>
          <cell r="AR616" t="str">
            <v>F127058-2</v>
          </cell>
          <cell r="AS616" t="str">
            <v>F127058-3</v>
          </cell>
          <cell r="AT616" t="str">
            <v>F127058-4</v>
          </cell>
          <cell r="AU616" t="str">
            <v>F127058-5</v>
          </cell>
          <cell r="AV616" t="str">
            <v>F127056-6</v>
          </cell>
          <cell r="BA616" t="str">
            <v>462x870</v>
          </cell>
          <cell r="BC616" t="str">
            <v>Dùng chung trục trắng sp 1295</v>
          </cell>
        </row>
        <row r="617">
          <cell r="A617" t="str">
            <v>sp 1297</v>
          </cell>
          <cell r="B617" t="str">
            <v>Cuộn trà Mokhtar Tea Lemon Vĩnh Phúc</v>
          </cell>
          <cell r="E617">
            <v>5</v>
          </cell>
          <cell r="F617">
            <v>6</v>
          </cell>
          <cell r="AO617" t="str">
            <v>Công ty Vĩnh Phúc</v>
          </cell>
          <cell r="AQ617" t="str">
            <v>F127059-1</v>
          </cell>
          <cell r="AR617" t="str">
            <v>F127059-2</v>
          </cell>
          <cell r="AS617" t="str">
            <v>F127059-3</v>
          </cell>
          <cell r="AT617" t="str">
            <v>F127059-4</v>
          </cell>
          <cell r="AU617" t="str">
            <v>F127059-5</v>
          </cell>
          <cell r="AV617" t="str">
            <v>F127056-6</v>
          </cell>
          <cell r="BA617" t="str">
            <v>462x870</v>
          </cell>
          <cell r="BC617" t="str">
            <v>Dùng chung trục trắng sp 1295</v>
          </cell>
        </row>
        <row r="618">
          <cell r="A618" t="str">
            <v>sp 1298</v>
          </cell>
          <cell r="B618" t="str">
            <v>Cuộn trà Mokhtar Tea Jasmine Vĩnh Phúc</v>
          </cell>
          <cell r="E618">
            <v>5</v>
          </cell>
          <cell r="F618">
            <v>6</v>
          </cell>
          <cell r="AO618" t="str">
            <v>Công ty Vĩnh Phúc</v>
          </cell>
          <cell r="AQ618" t="str">
            <v>F127061-1</v>
          </cell>
          <cell r="AR618" t="str">
            <v>F127061-2</v>
          </cell>
          <cell r="AS618" t="str">
            <v>F127061-3</v>
          </cell>
          <cell r="AT618" t="str">
            <v>F127061-4</v>
          </cell>
          <cell r="AU618" t="str">
            <v>F127061-5</v>
          </cell>
          <cell r="AV618" t="str">
            <v>F127056-6</v>
          </cell>
          <cell r="BA618" t="str">
            <v>462x870</v>
          </cell>
          <cell r="BC618" t="str">
            <v>Dùng chung trục trắng sp 1295</v>
          </cell>
        </row>
        <row r="619">
          <cell r="A619" t="str">
            <v>sp 1299</v>
          </cell>
          <cell r="B619" t="str">
            <v>Túi men rượu hương nếp Bắc Việt 500gr</v>
          </cell>
          <cell r="E619">
            <v>8</v>
          </cell>
          <cell r="F619">
            <v>8</v>
          </cell>
          <cell r="AO619" t="str">
            <v>Công ty Trung Tiến</v>
          </cell>
          <cell r="AQ619" t="str">
            <v>F127089-1</v>
          </cell>
          <cell r="AR619" t="str">
            <v>F127089-2</v>
          </cell>
          <cell r="AS619" t="str">
            <v>F127089-3</v>
          </cell>
          <cell r="AT619" t="str">
            <v>F127089-4</v>
          </cell>
          <cell r="AU619" t="str">
            <v>F127089-5</v>
          </cell>
          <cell r="AV619" t="str">
            <v>F127089-6</v>
          </cell>
          <cell r="AW619" t="str">
            <v>F127089-7</v>
          </cell>
          <cell r="AX619" t="str">
            <v>F127089-8</v>
          </cell>
          <cell r="BA619" t="str">
            <v>540x860</v>
          </cell>
        </row>
        <row r="620">
          <cell r="A620" t="str">
            <v>sp 1300</v>
          </cell>
          <cell r="B620" t="str">
            <v>Túi hạt giống bí mật đỏ và cải bẹ xanh mỡ Việt Nhật</v>
          </cell>
          <cell r="E620">
            <v>5</v>
          </cell>
          <cell r="F620">
            <v>5</v>
          </cell>
          <cell r="AO620" t="str">
            <v>Công ty Việt Nhật</v>
          </cell>
          <cell r="AQ620" t="str">
            <v>19071143-1</v>
          </cell>
          <cell r="AR620" t="str">
            <v>19071143-2</v>
          </cell>
          <cell r="AS620" t="str">
            <v>19071143-3</v>
          </cell>
          <cell r="AT620" t="str">
            <v>19071143-4</v>
          </cell>
          <cell r="AU620" t="str">
            <v>19071143-5</v>
          </cell>
          <cell r="BA620" t="str">
            <v>720x800</v>
          </cell>
        </row>
        <row r="621">
          <cell r="A621" t="str">
            <v>sp 1301</v>
          </cell>
        </row>
        <row r="622">
          <cell r="A622" t="str">
            <v>sp 1302</v>
          </cell>
        </row>
        <row r="623">
          <cell r="A623" t="str">
            <v>sp 1303</v>
          </cell>
          <cell r="B623" t="str">
            <v>Túi cát linh in 1 màu kt 65x180x50</v>
          </cell>
          <cell r="E623">
            <v>1</v>
          </cell>
          <cell r="F623">
            <v>1</v>
          </cell>
          <cell r="AO623" t="str">
            <v>Công ty Cát Linh</v>
          </cell>
          <cell r="AQ623" t="str">
            <v>X110029-1</v>
          </cell>
          <cell r="BA623" t="str">
            <v>540x870</v>
          </cell>
        </row>
        <row r="624">
          <cell r="A624" t="str">
            <v>sp 1304</v>
          </cell>
          <cell r="B624" t="str">
            <v>Túi nước giặt xả remix nền xanh 3,6l</v>
          </cell>
          <cell r="E624">
            <v>7</v>
          </cell>
          <cell r="F624">
            <v>7</v>
          </cell>
          <cell r="AO624" t="str">
            <v>Công ty Hóa Mỹ Phẩm</v>
          </cell>
          <cell r="AQ624" t="str">
            <v>F127181-1</v>
          </cell>
          <cell r="AR624" t="str">
            <v>F127181-2</v>
          </cell>
          <cell r="AS624" t="str">
            <v>F127181-3</v>
          </cell>
          <cell r="AT624" t="str">
            <v>F127181-4</v>
          </cell>
          <cell r="AU624" t="str">
            <v>F127181-5</v>
          </cell>
          <cell r="AV624" t="str">
            <v>F127181-6</v>
          </cell>
          <cell r="AW624" t="str">
            <v>F127181-7</v>
          </cell>
          <cell r="BA624" t="str">
            <v>540x1100</v>
          </cell>
        </row>
        <row r="625">
          <cell r="A625" t="str">
            <v>sp 1305</v>
          </cell>
          <cell r="B625" t="str">
            <v>Túi nước giặt xả remix nền đỏ 3,6l</v>
          </cell>
          <cell r="E625">
            <v>7</v>
          </cell>
          <cell r="F625">
            <v>7</v>
          </cell>
          <cell r="AO625" t="str">
            <v>Công ty Hóa Mỹ Phẩm</v>
          </cell>
          <cell r="AQ625" t="str">
            <v>F127181-1</v>
          </cell>
          <cell r="AR625" t="str">
            <v>F127181-2</v>
          </cell>
          <cell r="AS625" t="str">
            <v>F127181-3</v>
          </cell>
          <cell r="AT625" t="str">
            <v>F127181-4</v>
          </cell>
          <cell r="AU625" t="str">
            <v>F127181-5</v>
          </cell>
          <cell r="AV625" t="str">
            <v>F127181-6</v>
          </cell>
          <cell r="AW625" t="str">
            <v>F127181-7</v>
          </cell>
          <cell r="BA625" t="str">
            <v>540x1100</v>
          </cell>
          <cell r="BC625" t="str">
            <v>SỬ DỤNG BỘ 1304</v>
          </cell>
        </row>
        <row r="626">
          <cell r="A626" t="str">
            <v>sp 1306</v>
          </cell>
          <cell r="B626" t="str">
            <v>Túi trà lụa Tân Cương 100g loại 5</v>
          </cell>
          <cell r="E626">
            <v>6</v>
          </cell>
          <cell r="F626">
            <v>7</v>
          </cell>
          <cell r="AO626" t="str">
            <v>Bùi Văn Sỹ</v>
          </cell>
          <cell r="AQ626" t="str">
            <v>20101231-1</v>
          </cell>
          <cell r="AR626" t="str">
            <v>20101231-2</v>
          </cell>
          <cell r="AS626" t="str">
            <v>20101231-3</v>
          </cell>
          <cell r="AT626" t="str">
            <v>20101231-4</v>
          </cell>
          <cell r="AU626" t="str">
            <v>20101231-5</v>
          </cell>
          <cell r="AV626" t="str">
            <v>20101231-6</v>
          </cell>
          <cell r="AW626" t="str">
            <v>1607495-7</v>
          </cell>
          <cell r="BA626" t="str">
            <v>540x850</v>
          </cell>
        </row>
        <row r="627">
          <cell r="A627" t="str">
            <v>sp 1307</v>
          </cell>
          <cell r="B627" t="str">
            <v>Túi bánh bao chay vừng 180g</v>
          </cell>
          <cell r="E627">
            <v>6</v>
          </cell>
          <cell r="F627">
            <v>6</v>
          </cell>
          <cell r="AO627" t="str">
            <v>Công ty Phú Mỹ</v>
          </cell>
          <cell r="AQ627" t="str">
            <v>20110326-1</v>
          </cell>
          <cell r="AR627" t="str">
            <v>20110326-2</v>
          </cell>
          <cell r="AS627" t="str">
            <v>20110326-3</v>
          </cell>
          <cell r="AT627" t="str">
            <v>20110326-4</v>
          </cell>
          <cell r="AU627" t="str">
            <v>20110326-5</v>
          </cell>
          <cell r="AV627" t="str">
            <v>20110326-6</v>
          </cell>
          <cell r="BA627" t="str">
            <v>532x870</v>
          </cell>
        </row>
        <row r="628">
          <cell r="A628" t="str">
            <v>sp 1308</v>
          </cell>
        </row>
        <row r="629">
          <cell r="A629" t="str">
            <v>sp 1309</v>
          </cell>
        </row>
        <row r="630">
          <cell r="A630" t="str">
            <v>sp 1310</v>
          </cell>
          <cell r="B630" t="str">
            <v>Túi trà xanh TC Thái Nguyên 200gr loại 25</v>
          </cell>
          <cell r="E630">
            <v>7</v>
          </cell>
          <cell r="F630">
            <v>7</v>
          </cell>
          <cell r="AO630" t="str">
            <v>Bùi Văn Sỹ</v>
          </cell>
          <cell r="AQ630" t="str">
            <v>HD32011018-1</v>
          </cell>
          <cell r="AR630" t="str">
            <v>HD32011018-2</v>
          </cell>
          <cell r="AS630" t="str">
            <v>HD32011018-3</v>
          </cell>
          <cell r="AT630" t="str">
            <v>HD32011018-4</v>
          </cell>
          <cell r="AU630" t="str">
            <v>HD32011018-5</v>
          </cell>
          <cell r="AV630" t="str">
            <v>HD32011018-6</v>
          </cell>
          <cell r="AW630" t="str">
            <v>HD32011018-7</v>
          </cell>
          <cell r="BA630" t="str">
            <v>680x870</v>
          </cell>
        </row>
        <row r="631">
          <cell r="A631" t="str">
            <v>sp 1311</v>
          </cell>
          <cell r="B631" t="str">
            <v>Túi trà xanh ĐS Thái Nguyên 200gr loại 25</v>
          </cell>
          <cell r="E631">
            <v>1</v>
          </cell>
          <cell r="F631">
            <v>7</v>
          </cell>
          <cell r="AO631" t="str">
            <v>Bùi Văn Sỹ</v>
          </cell>
          <cell r="AQ631" t="str">
            <v>HD32011018-1</v>
          </cell>
          <cell r="AR631" t="str">
            <v>HD32011018-2</v>
          </cell>
          <cell r="AS631" t="str">
            <v>HD32011018J1-3</v>
          </cell>
          <cell r="AT631" t="str">
            <v>HD32011018-4</v>
          </cell>
          <cell r="AU631" t="str">
            <v>HD32011018-5</v>
          </cell>
          <cell r="AV631" t="str">
            <v>HD32011018-6</v>
          </cell>
          <cell r="AW631" t="str">
            <v>HD32011018-7</v>
          </cell>
          <cell r="BA631" t="str">
            <v>680x870</v>
          </cell>
          <cell r="BC631" t="str">
            <v>Chạy chung sp 1310 trừ cây số 3</v>
          </cell>
        </row>
        <row r="632">
          <cell r="A632" t="str">
            <v>sp 1312</v>
          </cell>
          <cell r="B632" t="str">
            <v>Túi trà xanh TC Thái Nguyên 500gr loại 25</v>
          </cell>
          <cell r="E632">
            <v>7</v>
          </cell>
          <cell r="F632">
            <v>7</v>
          </cell>
          <cell r="AO632" t="str">
            <v>Bùi Văn Sỹ</v>
          </cell>
          <cell r="AQ632" t="str">
            <v>HD32011019-1</v>
          </cell>
          <cell r="AR632" t="str">
            <v>HD32011019-2</v>
          </cell>
          <cell r="AS632" t="str">
            <v>HD32011019-3</v>
          </cell>
          <cell r="AT632" t="str">
            <v>HD32011019-4</v>
          </cell>
          <cell r="AU632" t="str">
            <v>HD32011019-5</v>
          </cell>
          <cell r="AV632" t="str">
            <v>HD32011019-6</v>
          </cell>
          <cell r="AW632" t="str">
            <v>HD32011019-7</v>
          </cell>
          <cell r="BA632" t="str">
            <v>420x870</v>
          </cell>
        </row>
        <row r="633">
          <cell r="A633" t="str">
            <v>sp 1313</v>
          </cell>
          <cell r="B633" t="str">
            <v>Túi trà xanh ĐS Thái Nguyên 500gr loại 25</v>
          </cell>
          <cell r="E633">
            <v>1</v>
          </cell>
          <cell r="F633">
            <v>7</v>
          </cell>
          <cell r="AO633" t="str">
            <v>Bùi Văn Sỹ</v>
          </cell>
          <cell r="AQ633" t="str">
            <v>HD32011019-1</v>
          </cell>
          <cell r="AR633" t="str">
            <v>HD32011019-2</v>
          </cell>
          <cell r="AS633" t="str">
            <v>HD32011019J1-3</v>
          </cell>
          <cell r="AT633" t="str">
            <v>HD32011019-4</v>
          </cell>
          <cell r="AU633" t="str">
            <v>HD32011019-5</v>
          </cell>
          <cell r="AV633" t="str">
            <v>HD32011019-6</v>
          </cell>
          <cell r="AW633" t="str">
            <v>HD32011019-7</v>
          </cell>
          <cell r="BA633" t="str">
            <v>420x870</v>
          </cell>
          <cell r="BC633" t="str">
            <v>Chạy chung sp 1312 trừ cây số 3</v>
          </cell>
        </row>
        <row r="634">
          <cell r="A634" t="str">
            <v>sp 1314</v>
          </cell>
          <cell r="B634" t="str">
            <v>Cuộn men rượu hương nếp Bắc Việt</v>
          </cell>
          <cell r="E634">
            <v>2</v>
          </cell>
          <cell r="F634">
            <v>2</v>
          </cell>
          <cell r="AO634" t="str">
            <v>Công ty Trung Tiến</v>
          </cell>
          <cell r="AQ634" t="str">
            <v>F127211-1</v>
          </cell>
          <cell r="AR634" t="str">
            <v>F127211-2</v>
          </cell>
          <cell r="BA634" t="str">
            <v>465x1100</v>
          </cell>
        </row>
        <row r="635">
          <cell r="A635" t="str">
            <v>sp 1315</v>
          </cell>
          <cell r="B635" t="str">
            <v>Túi Hanato- Denzen</v>
          </cell>
          <cell r="E635">
            <v>4</v>
          </cell>
          <cell r="F635">
            <v>4</v>
          </cell>
          <cell r="AO635" t="str">
            <v>Công ty Đức Hiếu</v>
          </cell>
          <cell r="AQ635" t="str">
            <v>X110189-1</v>
          </cell>
          <cell r="AR635" t="str">
            <v>X110189-2</v>
          </cell>
          <cell r="AS635" t="str">
            <v>X110189-3</v>
          </cell>
          <cell r="AT635" t="str">
            <v>X110189-4</v>
          </cell>
          <cell r="BA635" t="str">
            <v>560x1100</v>
          </cell>
        </row>
        <row r="636">
          <cell r="A636" t="str">
            <v>sp 1316</v>
          </cell>
          <cell r="B636" t="str">
            <v>Túi nước rửa chén Lalaulau 500ml</v>
          </cell>
          <cell r="E636">
            <v>3</v>
          </cell>
          <cell r="F636">
            <v>3</v>
          </cell>
          <cell r="AO636" t="str">
            <v>Công ty Dương Hoàng Hoa</v>
          </cell>
          <cell r="AQ636" t="str">
            <v>20110654-1</v>
          </cell>
          <cell r="AR636" t="str">
            <v>20110654-2</v>
          </cell>
          <cell r="AS636" t="str">
            <v>20110654-3</v>
          </cell>
          <cell r="BA636" t="str">
            <v>420x870</v>
          </cell>
        </row>
        <row r="637">
          <cell r="A637" t="str">
            <v>sp 1317</v>
          </cell>
          <cell r="B637" t="str">
            <v>Cuộn thuốc thú y Genta- Tylota 100g</v>
          </cell>
          <cell r="E637">
            <v>6</v>
          </cell>
          <cell r="F637">
            <v>6</v>
          </cell>
          <cell r="AO637" t="str">
            <v>Công ty Năm Thái</v>
          </cell>
          <cell r="AQ637" t="str">
            <v>20110917-1</v>
          </cell>
          <cell r="AR637" t="str">
            <v>20110917-2</v>
          </cell>
          <cell r="AS637" t="str">
            <v>20110917-3</v>
          </cell>
          <cell r="AT637" t="str">
            <v>20110917-4</v>
          </cell>
          <cell r="AU637" t="str">
            <v>20110917-5</v>
          </cell>
          <cell r="AV637" t="str">
            <v>20110917-6</v>
          </cell>
          <cell r="BA637" t="str">
            <v>495x870</v>
          </cell>
        </row>
        <row r="638">
          <cell r="A638" t="str">
            <v>sp 1318</v>
          </cell>
          <cell r="B638" t="str">
            <v>Cuộn thuốc thú y TA-ADE 100g</v>
          </cell>
          <cell r="E638">
            <v>5</v>
          </cell>
          <cell r="F638">
            <v>5</v>
          </cell>
          <cell r="AO638" t="str">
            <v>Công ty Năm Thái</v>
          </cell>
          <cell r="AQ638" t="str">
            <v>20110920-1</v>
          </cell>
          <cell r="AR638" t="str">
            <v>20110920-2</v>
          </cell>
          <cell r="AS638" t="str">
            <v>20110920-3</v>
          </cell>
          <cell r="AT638" t="str">
            <v>20110920-4</v>
          </cell>
          <cell r="AU638" t="str">
            <v>20110920-5</v>
          </cell>
          <cell r="AV638" t="str">
            <v>20110917-6</v>
          </cell>
          <cell r="BA638" t="str">
            <v>495x870</v>
          </cell>
        </row>
        <row r="639">
          <cell r="A639" t="str">
            <v>sp 1319</v>
          </cell>
          <cell r="B639" t="str">
            <v>Cuộn thuốc thú y tiêu chảy heo 100g Năm Thái mới</v>
          </cell>
          <cell r="E639">
            <v>2</v>
          </cell>
          <cell r="F639">
            <v>4</v>
          </cell>
          <cell r="AO639" t="str">
            <v>Công ty Năm Thái</v>
          </cell>
          <cell r="AQ639" t="str">
            <v>20110919-1</v>
          </cell>
          <cell r="AR639" t="str">
            <v>20110917-2</v>
          </cell>
          <cell r="AS639" t="str">
            <v>20110919-3</v>
          </cell>
          <cell r="AV639" t="str">
            <v>20110717-6</v>
          </cell>
          <cell r="BA639" t="str">
            <v>495x870</v>
          </cell>
          <cell r="BC639" t="str">
            <v>In chung cây số 2 và 6 bộ 1317</v>
          </cell>
        </row>
        <row r="640">
          <cell r="A640" t="str">
            <v>sp 1320</v>
          </cell>
          <cell r="B640" t="str">
            <v>Cuộn thuốc thú y Tilmico 100g</v>
          </cell>
          <cell r="E640">
            <v>3</v>
          </cell>
          <cell r="F640">
            <v>3</v>
          </cell>
          <cell r="AO640" t="str">
            <v>Công ty Năm Thái</v>
          </cell>
          <cell r="AQ640" t="str">
            <v>20110918-1</v>
          </cell>
          <cell r="AR640" t="str">
            <v>20110918-2</v>
          </cell>
          <cell r="AS640" t="str">
            <v>20110918-3</v>
          </cell>
          <cell r="AV640" t="str">
            <v>20110717-6</v>
          </cell>
          <cell r="BA640" t="str">
            <v>495x870</v>
          </cell>
        </row>
        <row r="641">
          <cell r="A641" t="str">
            <v>sp 1321</v>
          </cell>
          <cell r="B641" t="str">
            <v>Cuộn hạt giống cải mèo Hà Giang + cải bó xôi Sao Việt</v>
          </cell>
          <cell r="E641">
            <v>4</v>
          </cell>
          <cell r="F641">
            <v>5</v>
          </cell>
          <cell r="AO641" t="str">
            <v>Công ty giống LucKy</v>
          </cell>
          <cell r="AQ641" t="str">
            <v>20120379-1</v>
          </cell>
          <cell r="AR641" t="str">
            <v>20120379-2</v>
          </cell>
          <cell r="AS641" t="str">
            <v>20120379-3</v>
          </cell>
          <cell r="AT641" t="str">
            <v>20120379-4</v>
          </cell>
          <cell r="AU641" t="str">
            <v>20120064-5</v>
          </cell>
          <cell r="BA641" t="str">
            <v>570x870</v>
          </cell>
          <cell r="BC641" t="str">
            <v>Dùng chung cây trắng sp 1330</v>
          </cell>
        </row>
        <row r="642">
          <cell r="A642" t="str">
            <v>sp 1322</v>
          </cell>
          <cell r="B642" t="str">
            <v>Túi hạt giống cái cúc nếp , cải bẹ vàng Hà Giang , cải bẹ dưa Phú Điền</v>
          </cell>
          <cell r="E642">
            <v>6</v>
          </cell>
          <cell r="F642">
            <v>6</v>
          </cell>
          <cell r="AO642" t="str">
            <v>Công ty Phú Điền</v>
          </cell>
          <cell r="AQ642" t="str">
            <v>20110976-1</v>
          </cell>
          <cell r="AR642" t="str">
            <v>20110976-2</v>
          </cell>
          <cell r="AS642" t="str">
            <v>20110976-3</v>
          </cell>
          <cell r="AT642" t="str">
            <v>20110976-4</v>
          </cell>
          <cell r="AU642" t="str">
            <v>20110976-5</v>
          </cell>
          <cell r="AV642" t="str">
            <v>20110976-6</v>
          </cell>
          <cell r="BA642" t="str">
            <v>540x870</v>
          </cell>
        </row>
        <row r="643">
          <cell r="A643" t="str">
            <v>sp 1323</v>
          </cell>
          <cell r="B643" t="str">
            <v>Túi hạt giống cải mèo Hà Giang , cải canh  Hồng Kông đặc biệt F1 Phú Điền</v>
          </cell>
          <cell r="E643">
            <v>6</v>
          </cell>
          <cell r="F643">
            <v>6</v>
          </cell>
          <cell r="AO643" t="str">
            <v>Công ty Phú Điền</v>
          </cell>
          <cell r="AQ643" t="str">
            <v>20110982-1</v>
          </cell>
          <cell r="AR643" t="str">
            <v>20110982-2</v>
          </cell>
          <cell r="AS643" t="str">
            <v>20110982-3</v>
          </cell>
          <cell r="AT643" t="str">
            <v>20110982-4</v>
          </cell>
          <cell r="AU643" t="str">
            <v>20110982-5</v>
          </cell>
          <cell r="AV643" t="str">
            <v>20110982-6</v>
          </cell>
          <cell r="BA643" t="str">
            <v>540x870</v>
          </cell>
        </row>
        <row r="644">
          <cell r="A644" t="str">
            <v>sp 1324</v>
          </cell>
          <cell r="B644" t="str">
            <v>Cuộn thuốc thú y Gentafam-2 100g</v>
          </cell>
          <cell r="E644">
            <v>4</v>
          </cell>
          <cell r="F644">
            <v>4</v>
          </cell>
          <cell r="AO644" t="str">
            <v>Công ty Năm Thái</v>
          </cell>
          <cell r="AQ644" t="str">
            <v>20111151-1</v>
          </cell>
          <cell r="AR644" t="str">
            <v>20111151-2</v>
          </cell>
          <cell r="AS644" t="str">
            <v>20111151-3</v>
          </cell>
          <cell r="AT644" t="str">
            <v>20111151-4</v>
          </cell>
          <cell r="AU644" t="str">
            <v>20110917-2</v>
          </cell>
          <cell r="AV644" t="str">
            <v>20110717-6</v>
          </cell>
          <cell r="BA644" t="str">
            <v>495x870</v>
          </cell>
        </row>
        <row r="645">
          <cell r="A645" t="str">
            <v>sp 1325</v>
          </cell>
        </row>
        <row r="646">
          <cell r="A646" t="str">
            <v>sp 1326</v>
          </cell>
        </row>
        <row r="647">
          <cell r="A647" t="str">
            <v>sp 1327</v>
          </cell>
          <cell r="B647" t="str">
            <v>Cuộn khẩu trang in 1 màu Royal Việt Nam</v>
          </cell>
          <cell r="E647">
            <v>1</v>
          </cell>
          <cell r="F647">
            <v>1</v>
          </cell>
          <cell r="AO647" t="str">
            <v>Việt Nam Royal</v>
          </cell>
          <cell r="AQ647" t="str">
            <v>X110340-1</v>
          </cell>
          <cell r="BA647" t="str">
            <v>525x1150</v>
          </cell>
        </row>
        <row r="648">
          <cell r="A648" t="str">
            <v>sp 1328</v>
          </cell>
          <cell r="B648" t="str">
            <v>Túi đựng nước giặt blue gold 6in1 1.6kg</v>
          </cell>
          <cell r="AO648" t="str">
            <v>Công ty Nasa Group</v>
          </cell>
          <cell r="AQ648" t="str">
            <v>X110367-1</v>
          </cell>
          <cell r="AR648" t="str">
            <v>X110367-2</v>
          </cell>
          <cell r="AS648" t="str">
            <v>X110367-3</v>
          </cell>
          <cell r="AT648" t="str">
            <v>X110367-4</v>
          </cell>
          <cell r="AU648" t="str">
            <v>X110367-5</v>
          </cell>
          <cell r="AV648" t="str">
            <v>X110367-6</v>
          </cell>
          <cell r="BA648" t="str">
            <v>420x870</v>
          </cell>
        </row>
        <row r="649">
          <cell r="A649" t="str">
            <v>sp 1329</v>
          </cell>
          <cell r="B649" t="str">
            <v>Cuộn bánh bao nhân thập cẩm trứng cút 280gr</v>
          </cell>
          <cell r="E649">
            <v>6</v>
          </cell>
          <cell r="F649">
            <v>6</v>
          </cell>
          <cell r="AO649" t="str">
            <v>Công ty Phú Mỹ</v>
          </cell>
          <cell r="AQ649" t="str">
            <v>F127418-1</v>
          </cell>
          <cell r="AR649" t="str">
            <v>F127418-2</v>
          </cell>
          <cell r="AS649" t="str">
            <v>F127418-3</v>
          </cell>
          <cell r="AT649" t="str">
            <v>F127418-4</v>
          </cell>
          <cell r="AU649" t="str">
            <v>F127418-5</v>
          </cell>
          <cell r="AV649" t="str">
            <v>F127418-6</v>
          </cell>
          <cell r="BA649" t="str">
            <v>474x1100</v>
          </cell>
        </row>
        <row r="650">
          <cell r="A650" t="str">
            <v>sp 1330</v>
          </cell>
          <cell r="B650" t="str">
            <v>Cuộn hạt giống dền đỏ lucky sao việt đậu đũa lucky</v>
          </cell>
          <cell r="E650">
            <v>5</v>
          </cell>
          <cell r="F650">
            <v>5</v>
          </cell>
          <cell r="AO650" t="str">
            <v>Công ty giống Lucky</v>
          </cell>
          <cell r="AQ650" t="str">
            <v>20120064-1</v>
          </cell>
          <cell r="AR650" t="str">
            <v>20120064-2</v>
          </cell>
          <cell r="AS650" t="str">
            <v>20120064-3</v>
          </cell>
          <cell r="AT650" t="str">
            <v>20120064-4</v>
          </cell>
          <cell r="AU650" t="str">
            <v>20120064-5</v>
          </cell>
          <cell r="BA650" t="str">
            <v>570x870</v>
          </cell>
        </row>
        <row r="651">
          <cell r="A651" t="str">
            <v>sp 1331</v>
          </cell>
          <cell r="B651" t="str">
            <v>Cuộn hạt giống đậu đũa, muống, mùng tơi sao việt</v>
          </cell>
          <cell r="E651">
            <v>4</v>
          </cell>
          <cell r="F651">
            <v>5</v>
          </cell>
          <cell r="AO651" t="str">
            <v>Công ty giống Lucky</v>
          </cell>
          <cell r="AQ651" t="str">
            <v>20120065-1</v>
          </cell>
          <cell r="AR651" t="str">
            <v>20120065-2</v>
          </cell>
          <cell r="AS651" t="str">
            <v>20120065-3</v>
          </cell>
          <cell r="AT651" t="str">
            <v>20120065-4</v>
          </cell>
          <cell r="AU651" t="str">
            <v>20120064-5</v>
          </cell>
          <cell r="BA651" t="str">
            <v>570x870</v>
          </cell>
          <cell r="BC651" t="str">
            <v>Dùng chung cây trắng với sp 1330</v>
          </cell>
        </row>
        <row r="652">
          <cell r="A652" t="str">
            <v>sp 1332</v>
          </cell>
          <cell r="B652" t="str">
            <v>Túi không in Vinmate kt 170x380x70 Vĩnh Phúc</v>
          </cell>
          <cell r="AO652" t="str">
            <v>Công ty Vĩnh Phúc</v>
          </cell>
        </row>
        <row r="653">
          <cell r="A653" t="str">
            <v>sp 1333</v>
          </cell>
          <cell r="B653" t="str">
            <v>Cuộn men rượu Trường Vũ</v>
          </cell>
          <cell r="E653">
            <v>3</v>
          </cell>
          <cell r="F653">
            <v>3</v>
          </cell>
          <cell r="AO653" t="str">
            <v>Công ty Trung Tiến</v>
          </cell>
          <cell r="AQ653" t="str">
            <v>F127406-1</v>
          </cell>
          <cell r="AR653" t="str">
            <v>F127406-2</v>
          </cell>
          <cell r="AS653" t="str">
            <v>F127406-3</v>
          </cell>
          <cell r="BA653" t="str">
            <v>510x1100</v>
          </cell>
        </row>
        <row r="654">
          <cell r="A654" t="str">
            <v>sp 1334</v>
          </cell>
          <cell r="B654" t="str">
            <v>Túi gạc răng miệng Tottee-Starned</v>
          </cell>
          <cell r="E654">
            <v>5</v>
          </cell>
          <cell r="F654">
            <v>5</v>
          </cell>
          <cell r="AO654" t="str">
            <v>Công ty dược phẩm Starmex</v>
          </cell>
          <cell r="AQ654" t="str">
            <v>F127428-1</v>
          </cell>
          <cell r="AR654" t="str">
            <v>F127428G1-2</v>
          </cell>
          <cell r="AS654" t="str">
            <v>F127428G1-3</v>
          </cell>
          <cell r="AT654" t="str">
            <v>F127428-4</v>
          </cell>
          <cell r="AU654" t="str">
            <v>F127428-5</v>
          </cell>
          <cell r="BA654" t="str">
            <v>440x870</v>
          </cell>
        </row>
        <row r="655">
          <cell r="A655" t="str">
            <v>sp 1335</v>
          </cell>
          <cell r="B655" t="str">
            <v xml:space="preserve"> Túi nước giặt family Eco hương nước hoa 2.15l</v>
          </cell>
          <cell r="E655">
            <v>5</v>
          </cell>
          <cell r="F655">
            <v>5</v>
          </cell>
          <cell r="AO655" t="str">
            <v>Công ty DLC</v>
          </cell>
          <cell r="AQ655" t="str">
            <v>20120903-1</v>
          </cell>
          <cell r="AR655" t="str">
            <v>20120903-2</v>
          </cell>
          <cell r="AS655" t="str">
            <v>20120903-3</v>
          </cell>
          <cell r="AT655" t="str">
            <v>20120903-4</v>
          </cell>
          <cell r="AU655" t="str">
            <v>20120903-5</v>
          </cell>
          <cell r="BA655" t="str">
            <v>450x870</v>
          </cell>
        </row>
        <row r="656">
          <cell r="A656" t="str">
            <v>sp 1336</v>
          </cell>
          <cell r="B656" t="str">
            <v xml:space="preserve"> Túi nước giặt family Eco hương ngàn hoa 2.15l</v>
          </cell>
          <cell r="E656">
            <v>1</v>
          </cell>
          <cell r="F656">
            <v>5</v>
          </cell>
          <cell r="AO656" t="str">
            <v>Công ty DLC</v>
          </cell>
          <cell r="AQ656" t="str">
            <v>20120903-1</v>
          </cell>
          <cell r="AR656" t="str">
            <v>20120904-2</v>
          </cell>
          <cell r="AS656" t="str">
            <v>20120903-3</v>
          </cell>
          <cell r="AT656" t="str">
            <v>20120903-4</v>
          </cell>
          <cell r="AU656" t="str">
            <v>20120903-5</v>
          </cell>
          <cell r="BA656" t="str">
            <v>450x870</v>
          </cell>
          <cell r="BC656" t="str">
            <v>Chạy chung cây 1-3-4-5 với sp 1335</v>
          </cell>
        </row>
        <row r="657">
          <cell r="A657" t="str">
            <v>sp 1337</v>
          </cell>
          <cell r="B657" t="str">
            <v>Túi haạt giống rau dền và bí siêu ngọt Việt Nhật và Japan</v>
          </cell>
          <cell r="E657">
            <v>5</v>
          </cell>
          <cell r="F657">
            <v>5</v>
          </cell>
          <cell r="AO657" t="str">
            <v>Công ty giống Việt Nhật</v>
          </cell>
          <cell r="AQ657" t="str">
            <v>1903205-1</v>
          </cell>
          <cell r="AR657" t="str">
            <v>1903205-2</v>
          </cell>
          <cell r="AS657" t="str">
            <v>1903205-3</v>
          </cell>
          <cell r="AT657" t="str">
            <v>1903205-4</v>
          </cell>
          <cell r="AU657" t="str">
            <v>1903205-5</v>
          </cell>
          <cell r="BA657" t="str">
            <v>680x800</v>
          </cell>
          <cell r="BD657" t="str">
            <v>Trục bên Đức Hiếu gửi sang</v>
          </cell>
        </row>
        <row r="658">
          <cell r="A658" t="str">
            <v>sp 1338</v>
          </cell>
          <cell r="B658" t="str">
            <v>Túi HCK kt 340x235 mã 3071 CP</v>
          </cell>
          <cell r="E658">
            <v>6</v>
          </cell>
          <cell r="F658">
            <v>6</v>
          </cell>
          <cell r="AO658" t="str">
            <v>Công ty CP chăn nuôi Việt Nam</v>
          </cell>
          <cell r="AQ658" t="str">
            <v>21020173-1</v>
          </cell>
          <cell r="AR658" t="str">
            <v>21020173-2</v>
          </cell>
          <cell r="AS658" t="str">
            <v>21020173-3</v>
          </cell>
          <cell r="AT658" t="str">
            <v>21020173-4</v>
          </cell>
          <cell r="AU658" t="str">
            <v>21020173-5</v>
          </cell>
          <cell r="AV658" t="str">
            <v>21020173-6</v>
          </cell>
          <cell r="BA658" t="str">
            <v>470x870</v>
          </cell>
        </row>
        <row r="659">
          <cell r="A659" t="str">
            <v>sp 1339</v>
          </cell>
        </row>
        <row r="660">
          <cell r="A660" t="str">
            <v>sp 1340</v>
          </cell>
          <cell r="B660" t="str">
            <v>Cuộn bánh nhân kem sữa chua DollDoll 22gr-Châu á</v>
          </cell>
          <cell r="E660">
            <v>3</v>
          </cell>
          <cell r="F660">
            <v>3</v>
          </cell>
          <cell r="AO660" t="str">
            <v>Công ty Châu á</v>
          </cell>
          <cell r="AQ660" t="str">
            <v>F127517-1</v>
          </cell>
          <cell r="AR660" t="str">
            <v>F127517-2</v>
          </cell>
          <cell r="AS660" t="str">
            <v>F127517-3</v>
          </cell>
          <cell r="BA660" t="str">
            <v>435x870</v>
          </cell>
        </row>
        <row r="661">
          <cell r="A661" t="str">
            <v>sp 1341</v>
          </cell>
          <cell r="B661" t="str">
            <v>Túi nước giạt Susino 5in1</v>
          </cell>
          <cell r="E661">
            <v>6</v>
          </cell>
          <cell r="F661">
            <v>6</v>
          </cell>
          <cell r="AO661" t="str">
            <v>Công ty Hòa Hợp</v>
          </cell>
          <cell r="AQ661" t="str">
            <v>F127532-1</v>
          </cell>
          <cell r="AR661" t="str">
            <v>F127532-2</v>
          </cell>
          <cell r="AS661" t="str">
            <v>F127532-3</v>
          </cell>
          <cell r="AT661" t="str">
            <v>F127532-4</v>
          </cell>
          <cell r="AU661" t="str">
            <v>F127532-5</v>
          </cell>
          <cell r="AV661" t="str">
            <v>F127532-6</v>
          </cell>
          <cell r="BA661" t="str">
            <v>450x870</v>
          </cell>
        </row>
        <row r="662">
          <cell r="A662" t="str">
            <v>sp 1342</v>
          </cell>
          <cell r="B662" t="str">
            <v>Cuộn hạt giống cải ngọt cọng xanh A1 và cải cúc nếp lucky sao việt</v>
          </cell>
          <cell r="E662">
            <v>4</v>
          </cell>
          <cell r="F662">
            <v>5</v>
          </cell>
          <cell r="AO662" t="str">
            <v>Công ty giống Lucky</v>
          </cell>
          <cell r="AQ662" t="str">
            <v>21010139-1</v>
          </cell>
          <cell r="AR662" t="str">
            <v>21010139-2</v>
          </cell>
          <cell r="AS662" t="str">
            <v>21010139-3</v>
          </cell>
          <cell r="AT662" t="str">
            <v>21010139-4</v>
          </cell>
          <cell r="AU662" t="str">
            <v>20120064-5</v>
          </cell>
          <cell r="BA662" t="str">
            <v>570x870</v>
          </cell>
          <cell r="BC662" t="str">
            <v>Dùng chung trục trắng với sp 1330</v>
          </cell>
        </row>
        <row r="663">
          <cell r="A663" t="str">
            <v>sp 1343</v>
          </cell>
        </row>
        <row r="664">
          <cell r="A664" t="str">
            <v>sp 1344</v>
          </cell>
          <cell r="B664" t="str">
            <v>Túi giống ngô lai F1 VS6939 1kg</v>
          </cell>
          <cell r="E664">
            <v>6</v>
          </cell>
          <cell r="F664">
            <v>6</v>
          </cell>
          <cell r="AO664" t="str">
            <v>Công ty Việt Trung</v>
          </cell>
          <cell r="AQ664" t="str">
            <v>21010278-1</v>
          </cell>
          <cell r="AR664" t="str">
            <v>21010278-2</v>
          </cell>
          <cell r="AS664" t="str">
            <v>21010278-3</v>
          </cell>
          <cell r="AT664" t="str">
            <v>21010278-4</v>
          </cell>
          <cell r="AU664" t="str">
            <v>21010278-5</v>
          </cell>
          <cell r="AV664" t="str">
            <v>21010278-6</v>
          </cell>
          <cell r="BA664" t="str">
            <v>570x870</v>
          </cell>
        </row>
        <row r="665">
          <cell r="A665" t="str">
            <v>sp 1345</v>
          </cell>
          <cell r="B665" t="str">
            <v>Túi giống ngô lai F1 VS6939 20kg</v>
          </cell>
          <cell r="E665">
            <v>7</v>
          </cell>
          <cell r="F665">
            <v>7</v>
          </cell>
          <cell r="AO665" t="str">
            <v>Công ty Việt Trung</v>
          </cell>
          <cell r="AQ665" t="str">
            <v>21010279-1</v>
          </cell>
          <cell r="AR665" t="str">
            <v>21010279-2</v>
          </cell>
          <cell r="AS665" t="str">
            <v>21010279-3</v>
          </cell>
          <cell r="AT665" t="str">
            <v>21010279-4</v>
          </cell>
          <cell r="AU665" t="str">
            <v>21010279-5</v>
          </cell>
          <cell r="AV665" t="str">
            <v>21010279-6</v>
          </cell>
          <cell r="AW665" t="str">
            <v>21010279-7</v>
          </cell>
          <cell r="BA665" t="str">
            <v>750x810</v>
          </cell>
        </row>
        <row r="666">
          <cell r="A666" t="str">
            <v>sp 1346</v>
          </cell>
          <cell r="B666" t="str">
            <v>Cuộn keo nhỏ matcha sữa Eikodo</v>
          </cell>
          <cell r="E666">
            <v>3</v>
          </cell>
          <cell r="F666">
            <v>3</v>
          </cell>
          <cell r="AO666" t="str">
            <v>Công ty Eikodo</v>
          </cell>
          <cell r="AQ666" t="str">
            <v>X112061F1-1</v>
          </cell>
          <cell r="AR666" t="str">
            <v>X112061F1-2</v>
          </cell>
          <cell r="AS666" t="str">
            <v>X111040-3</v>
          </cell>
          <cell r="BA666" t="str">
            <v>440x780</v>
          </cell>
        </row>
        <row r="667">
          <cell r="A667" t="str">
            <v>sp 1347</v>
          </cell>
          <cell r="B667" t="str">
            <v>Cuộn giấy thuốc trừ cỏ Alyaly Aic 200WG 1.5gr Rainbow</v>
          </cell>
          <cell r="E667">
            <v>6</v>
          </cell>
          <cell r="F667">
            <v>6</v>
          </cell>
          <cell r="AO667" t="str">
            <v>Công ty Rainbow</v>
          </cell>
          <cell r="AQ667" t="str">
            <v>X405359-1</v>
          </cell>
          <cell r="AR667" t="str">
            <v>X405359-2</v>
          </cell>
          <cell r="AS667" t="str">
            <v>X405359-3</v>
          </cell>
          <cell r="AT667" t="str">
            <v>X405359-4</v>
          </cell>
          <cell r="AU667" t="str">
            <v>X405359-5</v>
          </cell>
          <cell r="AV667" t="str">
            <v>X405359-6</v>
          </cell>
          <cell r="BA667" t="str">
            <v>490x870</v>
          </cell>
        </row>
        <row r="668">
          <cell r="A668" t="str">
            <v>sp 1348</v>
          </cell>
          <cell r="B668" t="str">
            <v>Cuộn hạt giống ngồng cải thân mập và đậu đũa japan việt nhật</v>
          </cell>
          <cell r="E668">
            <v>8</v>
          </cell>
          <cell r="F668">
            <v>8</v>
          </cell>
          <cell r="AO668" t="str">
            <v>Công ty giống Việt Nhật</v>
          </cell>
          <cell r="AQ668" t="str">
            <v>21010590-1</v>
          </cell>
          <cell r="AR668" t="str">
            <v>21010590-2</v>
          </cell>
          <cell r="AS668" t="str">
            <v>21010590-3</v>
          </cell>
          <cell r="AT668" t="str">
            <v>21010590-4</v>
          </cell>
          <cell r="AU668" t="str">
            <v>21010590-5</v>
          </cell>
          <cell r="AV668" t="str">
            <v>21010590-6</v>
          </cell>
          <cell r="AW668" t="str">
            <v>21010590-7</v>
          </cell>
          <cell r="AX668" t="str">
            <v>21010590-8</v>
          </cell>
          <cell r="BA668" t="str">
            <v>540x870</v>
          </cell>
        </row>
        <row r="669">
          <cell r="A669" t="str">
            <v>sp 1349</v>
          </cell>
        </row>
        <row r="670">
          <cell r="A670" t="str">
            <v>sp 1350</v>
          </cell>
        </row>
        <row r="671">
          <cell r="A671" t="str">
            <v>sp 1351</v>
          </cell>
          <cell r="B671" t="str">
            <v>Cuộn đường vàng tinh khiết Lam Sơn  1kg mã 014</v>
          </cell>
          <cell r="E671">
            <v>8</v>
          </cell>
          <cell r="F671">
            <v>8</v>
          </cell>
          <cell r="AO671" t="str">
            <v>Công ty mía đường Lam Sơn</v>
          </cell>
          <cell r="AQ671" t="str">
            <v>21010765-1</v>
          </cell>
          <cell r="AR671" t="str">
            <v>21090265-2</v>
          </cell>
          <cell r="AS671" t="str">
            <v>21010765-3</v>
          </cell>
          <cell r="AT671" t="str">
            <v>21010765-4</v>
          </cell>
          <cell r="AU671" t="str">
            <v>21010765-5</v>
          </cell>
          <cell r="AV671" t="str">
            <v>21090265-6</v>
          </cell>
          <cell r="AW671" t="str">
            <v>21010765-7</v>
          </cell>
          <cell r="AX671" t="str">
            <v>21090265-8</v>
          </cell>
          <cell r="BA671" t="str">
            <v>500x870</v>
          </cell>
        </row>
        <row r="672">
          <cell r="A672" t="str">
            <v>sp 1352</v>
          </cell>
          <cell r="B672" t="str">
            <v>Túi HCK super chef mã 3073 CP</v>
          </cell>
          <cell r="E672">
            <v>3</v>
          </cell>
          <cell r="F672">
            <v>3</v>
          </cell>
          <cell r="AO672" t="str">
            <v>Công ty CP chăn nuôi Việt Nam</v>
          </cell>
          <cell r="AQ672" t="str">
            <v>21020567-1</v>
          </cell>
          <cell r="AR672" t="str">
            <v>21020567-2</v>
          </cell>
          <cell r="AS672" t="str">
            <v>21020567-3</v>
          </cell>
          <cell r="BA672" t="str">
            <v>520x1100</v>
          </cell>
        </row>
        <row r="673">
          <cell r="A673" t="str">
            <v>sp 1353</v>
          </cell>
          <cell r="B673" t="str">
            <v>Túi HCK xúc xích winner 500gr KT 370x345 mã 3179 CP</v>
          </cell>
          <cell r="E673">
            <v>4</v>
          </cell>
          <cell r="F673">
            <v>4</v>
          </cell>
          <cell r="AO673" t="str">
            <v>Công ty CP chăn nuôi Việt Nam</v>
          </cell>
          <cell r="AQ673" t="str">
            <v>21020093-1</v>
          </cell>
          <cell r="AR673" t="str">
            <v>21020093-2</v>
          </cell>
          <cell r="AS673" t="str">
            <v>21020093-3</v>
          </cell>
          <cell r="AT673" t="str">
            <v>21020093-4</v>
          </cell>
          <cell r="BA673" t="str">
            <v>690x870</v>
          </cell>
        </row>
        <row r="674">
          <cell r="A674" t="str">
            <v>sp 1354</v>
          </cell>
          <cell r="B674" t="str">
            <v>Túi HCK xúc xích winner 500gr KT 360x335 mã 3214 CP</v>
          </cell>
          <cell r="E674">
            <v>4</v>
          </cell>
          <cell r="F674">
            <v>4</v>
          </cell>
          <cell r="AO674" t="str">
            <v>Công ty CP chăn nuôi Việt Nam</v>
          </cell>
          <cell r="AQ674" t="str">
            <v>21020092-1</v>
          </cell>
          <cell r="AR674" t="str">
            <v>21020092-2</v>
          </cell>
          <cell r="AS674" t="str">
            <v>21020092-3</v>
          </cell>
          <cell r="AT674" t="str">
            <v>21020092-4</v>
          </cell>
          <cell r="BA674" t="str">
            <v>670x870</v>
          </cell>
        </row>
        <row r="675">
          <cell r="A675" t="str">
            <v>sp 1355</v>
          </cell>
          <cell r="B675" t="str">
            <v>Túi HCK không in KT 215x280 mã 3185 CP</v>
          </cell>
          <cell r="AO675" t="str">
            <v>Công ty CP chăn nuôi Việt Nam</v>
          </cell>
        </row>
        <row r="676">
          <cell r="A676" t="str">
            <v>sp 1356</v>
          </cell>
          <cell r="B676" t="str">
            <v>Cuộn màng thức ăn Apollo chicken 25kg</v>
          </cell>
          <cell r="E676">
            <v>7</v>
          </cell>
          <cell r="F676">
            <v>7</v>
          </cell>
          <cell r="AO676" t="str">
            <v>Bao bì HẢI PHÒNG</v>
          </cell>
          <cell r="AQ676" t="str">
            <v>21090216-1</v>
          </cell>
          <cell r="AR676" t="str">
            <v>21020123-2</v>
          </cell>
          <cell r="AS676" t="str">
            <v>21020123-3</v>
          </cell>
          <cell r="AT676" t="str">
            <v>21020123-4</v>
          </cell>
          <cell r="AU676" t="str">
            <v>21020123-5</v>
          </cell>
          <cell r="AV676" t="str">
            <v>21020123-6</v>
          </cell>
          <cell r="AW676" t="str">
            <v>21020123-7</v>
          </cell>
          <cell r="BA676" t="str">
            <v>950x1150</v>
          </cell>
        </row>
        <row r="677">
          <cell r="A677" t="str">
            <v>sp 1357</v>
          </cell>
          <cell r="B677" t="str">
            <v>Túi gạc răng miệng Bon Kids kt 55x75mm Aero</v>
          </cell>
          <cell r="E677">
            <v>3</v>
          </cell>
          <cell r="F677">
            <v>3</v>
          </cell>
          <cell r="AO677" t="str">
            <v>Công ty dược phẩm Starmex</v>
          </cell>
          <cell r="AQ677" t="str">
            <v>F127498-1</v>
          </cell>
          <cell r="AR677" t="str">
            <v>F127498-2</v>
          </cell>
          <cell r="AS677" t="str">
            <v>F127498-3</v>
          </cell>
          <cell r="BA677" t="str">
            <v>440x870</v>
          </cell>
        </row>
        <row r="678">
          <cell r="A678" t="str">
            <v>sp 1358</v>
          </cell>
          <cell r="B678" t="str">
            <v>Túi HCK kt360x350 mã CP3258</v>
          </cell>
          <cell r="E678">
            <v>6</v>
          </cell>
          <cell r="F678">
            <v>6</v>
          </cell>
          <cell r="AO678" t="str">
            <v>Công ty CP chăn nuôi Việt Nam</v>
          </cell>
          <cell r="AQ678" t="str">
            <v>21020172-1</v>
          </cell>
          <cell r="AR678" t="str">
            <v>21020172-2</v>
          </cell>
          <cell r="AS678" t="str">
            <v>21020172-3</v>
          </cell>
          <cell r="AT678" t="str">
            <v>21020172-4</v>
          </cell>
          <cell r="AU678" t="str">
            <v>21020172-5</v>
          </cell>
          <cell r="AV678" t="str">
            <v>21020172-6</v>
          </cell>
          <cell r="BA678" t="str">
            <v>700x870</v>
          </cell>
        </row>
        <row r="679">
          <cell r="A679" t="str">
            <v>sp 1359</v>
          </cell>
          <cell r="B679" t="str">
            <v>Túi HCK xúc xích Vealz 500g kt360x335 CP3215</v>
          </cell>
          <cell r="E679">
            <v>4</v>
          </cell>
          <cell r="F679">
            <v>4</v>
          </cell>
          <cell r="AO679" t="str">
            <v>Công ty CP chăn nuôi Việt Nam</v>
          </cell>
          <cell r="AQ679" t="str">
            <v>21020171-1</v>
          </cell>
          <cell r="AR679" t="str">
            <v>21020171-2</v>
          </cell>
          <cell r="AS679" t="str">
            <v>21020171-3</v>
          </cell>
          <cell r="AT679" t="str">
            <v>21020171-4</v>
          </cell>
          <cell r="BA679" t="str">
            <v>670x870</v>
          </cell>
        </row>
        <row r="680">
          <cell r="A680" t="str">
            <v>sp 1360</v>
          </cell>
          <cell r="B680" t="str">
            <v>Túi HCK thịt gà xiên que 500gr kt 420x310 mã 3228</v>
          </cell>
          <cell r="E680">
            <v>7</v>
          </cell>
          <cell r="F680">
            <v>7</v>
          </cell>
          <cell r="AO680" t="str">
            <v>Công ty CP chăn nuôi Việt Nam</v>
          </cell>
          <cell r="AQ680" t="str">
            <v>21020564-1</v>
          </cell>
          <cell r="AR680" t="str">
            <v>21020564-2</v>
          </cell>
          <cell r="AS680" t="str">
            <v>21020564-3</v>
          </cell>
          <cell r="AT680" t="str">
            <v>21020564-4</v>
          </cell>
          <cell r="AU680" t="str">
            <v>21020564-5</v>
          </cell>
          <cell r="AV680" t="str">
            <v>21020564-6</v>
          </cell>
          <cell r="AW680" t="str">
            <v>21020564-7</v>
          </cell>
          <cell r="BA680" t="str">
            <v>620x1100</v>
          </cell>
        </row>
        <row r="681">
          <cell r="A681" t="str">
            <v>sp 1361</v>
          </cell>
        </row>
        <row r="682">
          <cell r="A682" t="str">
            <v>sp 1362</v>
          </cell>
          <cell r="B682" t="str">
            <v>Túi zipper DGC Chloramine B 1000gr</v>
          </cell>
          <cell r="E682">
            <v>3</v>
          </cell>
          <cell r="F682">
            <v>3</v>
          </cell>
          <cell r="AO682" t="str">
            <v>Công ty Đức Giang</v>
          </cell>
          <cell r="AQ682" t="str">
            <v>F127813-1</v>
          </cell>
          <cell r="AR682" t="str">
            <v>F127813-2</v>
          </cell>
          <cell r="AS682" t="str">
            <v>F127813-3</v>
          </cell>
          <cell r="BA682" t="str">
            <v>480x870</v>
          </cell>
        </row>
        <row r="683">
          <cell r="A683" t="str">
            <v>sp 1363</v>
          </cell>
        </row>
        <row r="684">
          <cell r="A684" t="str">
            <v>sp 1364</v>
          </cell>
        </row>
        <row r="685">
          <cell r="A685" t="str">
            <v>sp 1365</v>
          </cell>
        </row>
        <row r="686">
          <cell r="A686" t="str">
            <v>sp 1366</v>
          </cell>
          <cell r="B686" t="str">
            <v>Túi HCK thịt gà CP 500gr kt 240x200 mã 3093</v>
          </cell>
          <cell r="E686">
            <v>5</v>
          </cell>
          <cell r="F686">
            <v>5</v>
          </cell>
          <cell r="AO686" t="str">
            <v>Công ty CP chăn nuôi Việt Nam</v>
          </cell>
          <cell r="AQ686" t="str">
            <v>21020563-1</v>
          </cell>
          <cell r="AR686" t="str">
            <v>21020563-2</v>
          </cell>
          <cell r="AS686" t="str">
            <v>21020563-3</v>
          </cell>
          <cell r="AT686" t="str">
            <v>21020563-4</v>
          </cell>
          <cell r="AU686" t="str">
            <v>21020563-5</v>
          </cell>
          <cell r="BA686" t="str">
            <v>480x870</v>
          </cell>
        </row>
        <row r="687">
          <cell r="A687" t="str">
            <v>sp 1367</v>
          </cell>
          <cell r="B687" t="str">
            <v>Cuộn thuốc Lionkinh 50WG hiệu rồng đỏ 10gr</v>
          </cell>
          <cell r="E687">
            <v>6</v>
          </cell>
          <cell r="F687">
            <v>6</v>
          </cell>
          <cell r="AO687" t="str">
            <v>Công ty Hà Thái</v>
          </cell>
          <cell r="AQ687" t="str">
            <v>21020586-1</v>
          </cell>
          <cell r="AR687" t="str">
            <v>21020586-2</v>
          </cell>
          <cell r="AS687" t="str">
            <v>21020586-3</v>
          </cell>
          <cell r="AT687" t="str">
            <v>21020586-4</v>
          </cell>
          <cell r="AU687" t="str">
            <v>21020586-5</v>
          </cell>
          <cell r="AV687" t="str">
            <v>21020586-6</v>
          </cell>
          <cell r="BA687" t="str">
            <v>435x870</v>
          </cell>
        </row>
        <row r="690">
          <cell r="A690" t="str">
            <v>sp 1370</v>
          </cell>
        </row>
        <row r="691">
          <cell r="A691" t="str">
            <v>sp 1371</v>
          </cell>
          <cell r="B691" t="str">
            <v>Túi nhôm Trasleepy 2 vỉ x10 viên bao phim</v>
          </cell>
          <cell r="E691">
            <v>2</v>
          </cell>
          <cell r="F691">
            <v>2</v>
          </cell>
          <cell r="AO691" t="str">
            <v>Công ty Traphaco</v>
          </cell>
          <cell r="AQ691" t="str">
            <v>21051102-1</v>
          </cell>
          <cell r="AR691" t="str">
            <v>21051102-2</v>
          </cell>
          <cell r="BA691" t="str">
            <v>450x870</v>
          </cell>
        </row>
        <row r="692">
          <cell r="A692" t="str">
            <v>sp 1372</v>
          </cell>
          <cell r="B692" t="str">
            <v>Túi nhôm Boganic 5 vỉ x20 viên bao phim</v>
          </cell>
          <cell r="E692">
            <v>2</v>
          </cell>
          <cell r="F692">
            <v>2</v>
          </cell>
          <cell r="AO692" t="str">
            <v>Công ty Traphaco</v>
          </cell>
          <cell r="AQ692" t="str">
            <v>21040440-1</v>
          </cell>
          <cell r="AR692" t="str">
            <v>21020566-2</v>
          </cell>
          <cell r="BA692" t="str">
            <v>540x870</v>
          </cell>
        </row>
        <row r="693">
          <cell r="A693" t="str">
            <v>sp 1373</v>
          </cell>
          <cell r="B693" t="str">
            <v>Cuộn mồng tơi lá to JP-VN cải ngọt cọng xanh A1 VN</v>
          </cell>
          <cell r="E693">
            <v>6</v>
          </cell>
          <cell r="F693">
            <v>6</v>
          </cell>
          <cell r="AO693" t="str">
            <v>Công ty giống Việt Nhật</v>
          </cell>
          <cell r="AQ693" t="str">
            <v>21030143-1</v>
          </cell>
          <cell r="AR693" t="str">
            <v>21030143-2</v>
          </cell>
          <cell r="AS693" t="str">
            <v>21030143-3</v>
          </cell>
          <cell r="AT693" t="str">
            <v>21030143-4</v>
          </cell>
          <cell r="AU693" t="str">
            <v>21030143-5</v>
          </cell>
          <cell r="AV693" t="str">
            <v>21030143-6</v>
          </cell>
          <cell r="BA693" t="str">
            <v>540x870</v>
          </cell>
        </row>
        <row r="694">
          <cell r="A694" t="str">
            <v>sp 1374</v>
          </cell>
          <cell r="B694" t="str">
            <v>Túi lúa bắc thơm 7 XN1 bạc lá 1kg Thái Bình</v>
          </cell>
          <cell r="E694">
            <v>6</v>
          </cell>
          <cell r="F694">
            <v>7</v>
          </cell>
          <cell r="AO694" t="str">
            <v>Công ty Thái Bình</v>
          </cell>
          <cell r="AQ694" t="str">
            <v>21030424-1</v>
          </cell>
          <cell r="AR694" t="str">
            <v>21030424-2</v>
          </cell>
          <cell r="AS694" t="str">
            <v>21030424-3</v>
          </cell>
          <cell r="AT694" t="str">
            <v>21030424-4</v>
          </cell>
          <cell r="AU694" t="str">
            <v>21030424-5</v>
          </cell>
          <cell r="AV694" t="str">
            <v>21030424-6</v>
          </cell>
          <cell r="AX694" t="str">
            <v>20110138-8</v>
          </cell>
          <cell r="BA694" t="str">
            <v>620x1100</v>
          </cell>
          <cell r="BC694" t="str">
            <v>Chạy chung cây trắng với sp 630</v>
          </cell>
        </row>
        <row r="695">
          <cell r="A695" t="str">
            <v>sp 1375</v>
          </cell>
          <cell r="B695" t="str">
            <v>Túi lúa bắc thơm 7 XN1 bạc lá 40kg Thái Bình</v>
          </cell>
          <cell r="E695">
            <v>6</v>
          </cell>
          <cell r="F695">
            <v>6</v>
          </cell>
          <cell r="AO695" t="str">
            <v>Công ty Thái Bình</v>
          </cell>
          <cell r="AQ695" t="str">
            <v>21030423-1</v>
          </cell>
          <cell r="AR695" t="str">
            <v>21030423-2</v>
          </cell>
          <cell r="AS695" t="str">
            <v>21030423-3</v>
          </cell>
          <cell r="AT695" t="str">
            <v>21030423-4</v>
          </cell>
          <cell r="AU695" t="str">
            <v>21030423-5</v>
          </cell>
          <cell r="AV695" t="str">
            <v>21030423-6</v>
          </cell>
          <cell r="BA695" t="str">
            <v>850x1100</v>
          </cell>
        </row>
        <row r="696">
          <cell r="A696" t="str">
            <v>sp 1376</v>
          </cell>
          <cell r="B696" t="str">
            <v>Túi zipper đựng khẩu trang 4 lớp 20 chiếc</v>
          </cell>
          <cell r="E696">
            <v>3</v>
          </cell>
          <cell r="F696">
            <v>3</v>
          </cell>
          <cell r="AO696" t="str">
            <v>Công ty dược phẩm Orange</v>
          </cell>
          <cell r="AQ696" t="str">
            <v>21030372-1</v>
          </cell>
          <cell r="AR696" t="str">
            <v>21030372-2</v>
          </cell>
          <cell r="AS696" t="str">
            <v>21030372-3</v>
          </cell>
          <cell r="BA696" t="str">
            <v>480x870</v>
          </cell>
        </row>
        <row r="697">
          <cell r="A697" t="str">
            <v>sp 1377</v>
          </cell>
          <cell r="B697" t="str">
            <v>Túi nhôm totim extra 2 vỉ 20 viên bao phim</v>
          </cell>
          <cell r="E697">
            <v>2</v>
          </cell>
          <cell r="F697">
            <v>2</v>
          </cell>
          <cell r="AO697" t="str">
            <v>Công ty Traphaco</v>
          </cell>
          <cell r="AQ697" t="str">
            <v>21030505-1</v>
          </cell>
          <cell r="AR697" t="str">
            <v>21030505-2</v>
          </cell>
          <cell r="BA697" t="str">
            <v>480x870</v>
          </cell>
        </row>
        <row r="698">
          <cell r="A698" t="str">
            <v>sp 1378</v>
          </cell>
          <cell r="B698" t="str">
            <v>Cuộn bột giặt siêu sạch 2kg Đức Giang mới</v>
          </cell>
          <cell r="E698">
            <v>6</v>
          </cell>
          <cell r="F698">
            <v>6</v>
          </cell>
          <cell r="AO698" t="str">
            <v>Công ty Đức Giang</v>
          </cell>
          <cell r="AQ698" t="str">
            <v>21030467-1</v>
          </cell>
          <cell r="AR698" t="str">
            <v>21030467-2</v>
          </cell>
          <cell r="AS698" t="str">
            <v>21030467-3</v>
          </cell>
          <cell r="AT698" t="str">
            <v>21030467-4</v>
          </cell>
          <cell r="AU698" t="str">
            <v>21030467-5</v>
          </cell>
          <cell r="AV698" t="str">
            <v>21030467-6</v>
          </cell>
          <cell r="BA698" t="str">
            <v>750x870</v>
          </cell>
        </row>
        <row r="699">
          <cell r="A699" t="str">
            <v>sp 1379</v>
          </cell>
          <cell r="B699" t="str">
            <v>Cuộn nhôm Boganic 5 vỉ x20 viên bao đường</v>
          </cell>
          <cell r="E699">
            <v>2</v>
          </cell>
          <cell r="F699">
            <v>2</v>
          </cell>
          <cell r="AO699" t="str">
            <v>Công ty Traphaco</v>
          </cell>
          <cell r="AQ699" t="str">
            <v>21030925-1</v>
          </cell>
          <cell r="AR699" t="str">
            <v>21030925-2</v>
          </cell>
          <cell r="BA699" t="str">
            <v>510x870</v>
          </cell>
        </row>
        <row r="700">
          <cell r="A700" t="str">
            <v>sp 1380</v>
          </cell>
          <cell r="B700" t="str">
            <v>Tuí thuốc thú y in chung 100g Marphavet</v>
          </cell>
          <cell r="E700">
            <v>2</v>
          </cell>
          <cell r="F700">
            <v>2</v>
          </cell>
          <cell r="AO700" t="str">
            <v>Công ty Marphavet</v>
          </cell>
          <cell r="AQ700" t="str">
            <v>21050057-1</v>
          </cell>
          <cell r="AR700" t="str">
            <v>21050057-2</v>
          </cell>
          <cell r="BA700" t="str">
            <v>570x870</v>
          </cell>
        </row>
        <row r="701">
          <cell r="A701" t="str">
            <v>sp 1381</v>
          </cell>
          <cell r="B701" t="str">
            <v>Túi trà logo TC và ĐS in màu 100gr loại 9</v>
          </cell>
          <cell r="E701">
            <v>2</v>
          </cell>
          <cell r="F701">
            <v>2</v>
          </cell>
          <cell r="AO701" t="str">
            <v>Bùi Văn Sỹ</v>
          </cell>
          <cell r="AQ701" t="str">
            <v>21030940-1</v>
          </cell>
          <cell r="AR701" t="str">
            <v>21030940-2</v>
          </cell>
          <cell r="BA701" t="str">
            <v>540x870</v>
          </cell>
        </row>
        <row r="702">
          <cell r="A702" t="str">
            <v>sp 1382</v>
          </cell>
          <cell r="B702" t="str">
            <v>Túi trà logo ĐS 200g loại 9</v>
          </cell>
          <cell r="E702">
            <v>2</v>
          </cell>
          <cell r="F702">
            <v>2</v>
          </cell>
          <cell r="AO702" t="str">
            <v>Bùi Văn Sỹ</v>
          </cell>
          <cell r="AQ702" t="str">
            <v>21030941-1</v>
          </cell>
          <cell r="AR702" t="str">
            <v>1803223-2</v>
          </cell>
          <cell r="BA702" t="str">
            <v>680x750</v>
          </cell>
          <cell r="BC702" t="str">
            <v>In chung cây vàng trogn sản phẩm 886</v>
          </cell>
        </row>
        <row r="703">
          <cell r="A703" t="str">
            <v>sp 1383</v>
          </cell>
          <cell r="B703" t="str">
            <v>Túi trà chữ đỏ lá vàng in 4 màu đặc sản 100g loại 10</v>
          </cell>
          <cell r="E703">
            <v>4</v>
          </cell>
          <cell r="F703">
            <v>4</v>
          </cell>
          <cell r="AO703" t="str">
            <v>Bùi Văn Sỹ</v>
          </cell>
          <cell r="AQ703" t="str">
            <v>21030963-1</v>
          </cell>
          <cell r="AR703" t="str">
            <v>21030963-2</v>
          </cell>
          <cell r="AS703" t="str">
            <v>21030963-3</v>
          </cell>
          <cell r="AT703" t="str">
            <v>21030963-4</v>
          </cell>
          <cell r="BA703" t="str">
            <v>540x780</v>
          </cell>
        </row>
        <row r="704">
          <cell r="A704" t="str">
            <v>sp 1384</v>
          </cell>
          <cell r="B704" t="str">
            <v>Túi thuốc thú y Milk -S.P.B Hùng Nguyên 1kg</v>
          </cell>
          <cell r="E704">
            <v>5</v>
          </cell>
          <cell r="F704">
            <v>5</v>
          </cell>
          <cell r="AO704" t="str">
            <v>Công ty Hùng Nguyên</v>
          </cell>
          <cell r="AQ704" t="str">
            <v>F128094G1-1</v>
          </cell>
          <cell r="AR704" t="str">
            <v>F128094-2</v>
          </cell>
          <cell r="AS704" t="str">
            <v>F128094-3</v>
          </cell>
          <cell r="AT704" t="str">
            <v>F128094-4</v>
          </cell>
          <cell r="AU704" t="str">
            <v>F128094-5</v>
          </cell>
          <cell r="BA704" t="str">
            <v>660x1100</v>
          </cell>
        </row>
        <row r="705">
          <cell r="A705" t="str">
            <v>sp 1385</v>
          </cell>
          <cell r="B705" t="str">
            <v>Cuộn nhôm boganic 5 vỉ x 10 viên nang mềm traphaco</v>
          </cell>
          <cell r="E705">
            <v>2</v>
          </cell>
          <cell r="F705">
            <v>2</v>
          </cell>
          <cell r="AO705" t="str">
            <v>Công ty Traphaco</v>
          </cell>
          <cell r="AQ705" t="str">
            <v>21040128-1</v>
          </cell>
          <cell r="AR705" t="str">
            <v>21040128-2</v>
          </cell>
          <cell r="BA705" t="str">
            <v>555x870</v>
          </cell>
        </row>
        <row r="706">
          <cell r="A706" t="str">
            <v>sp 1386</v>
          </cell>
          <cell r="B706" t="str">
            <v xml:space="preserve">Cuộn hoạt huyết dưỡng não 5 vỉ x 20 viên nén bao đường  </v>
          </cell>
          <cell r="E706">
            <v>2</v>
          </cell>
          <cell r="F706">
            <v>2</v>
          </cell>
          <cell r="AO706" t="str">
            <v>Công ty Traphaco</v>
          </cell>
          <cell r="AQ706" t="str">
            <v>21040127-1</v>
          </cell>
          <cell r="AR706" t="str">
            <v>21040127-2</v>
          </cell>
          <cell r="BA706" t="str">
            <v>510x870</v>
          </cell>
        </row>
        <row r="707">
          <cell r="A707" t="str">
            <v>sp 1387</v>
          </cell>
          <cell r="B707" t="str">
            <v>Túi nhôm Traphaton 6 vỉ x5 viên nang mềm</v>
          </cell>
          <cell r="E707">
            <v>3</v>
          </cell>
          <cell r="F707">
            <v>3</v>
          </cell>
          <cell r="AO707" t="str">
            <v>Công ty Traphaco</v>
          </cell>
          <cell r="AQ707" t="str">
            <v>21040262-1</v>
          </cell>
          <cell r="AR707" t="str">
            <v>21040262-2</v>
          </cell>
          <cell r="AS707" t="str">
            <v>21040262-3</v>
          </cell>
          <cell r="BA707" t="str">
            <v>540x870</v>
          </cell>
        </row>
        <row r="708">
          <cell r="A708" t="str">
            <v>sp 1388</v>
          </cell>
        </row>
        <row r="709">
          <cell r="A709" t="str">
            <v>sp 1389</v>
          </cell>
          <cell r="B709" t="str">
            <v>Cuộn thuốc diệt chuột Kaletox loại 2g</v>
          </cell>
          <cell r="E709">
            <v>6</v>
          </cell>
          <cell r="F709">
            <v>6</v>
          </cell>
          <cell r="AO709" t="str">
            <v>Công ty Việt Thắng</v>
          </cell>
          <cell r="AQ709" t="str">
            <v>21040748-1</v>
          </cell>
          <cell r="AR709" t="str">
            <v>21040748-2</v>
          </cell>
          <cell r="AS709" t="str">
            <v>21040263-3</v>
          </cell>
          <cell r="AT709" t="str">
            <v>21040263-4</v>
          </cell>
          <cell r="AU709" t="str">
            <v>21040263-5</v>
          </cell>
          <cell r="AV709" t="str">
            <v>21040263-6</v>
          </cell>
          <cell r="BA709" t="str">
            <v>440x870</v>
          </cell>
        </row>
        <row r="710">
          <cell r="A710" t="str">
            <v>sp 1390</v>
          </cell>
        </row>
        <row r="711">
          <cell r="A711" t="str">
            <v>sp 1391</v>
          </cell>
        </row>
        <row r="712">
          <cell r="A712" t="str">
            <v>sp 1392</v>
          </cell>
        </row>
        <row r="713">
          <cell r="A713" t="str">
            <v>sp 1393</v>
          </cell>
          <cell r="B713" t="str">
            <v>Cuộn kem sữa chua AMI 3 vị 50gr</v>
          </cell>
          <cell r="E713">
            <v>7</v>
          </cell>
          <cell r="F713">
            <v>7</v>
          </cell>
          <cell r="AO713" t="str">
            <v>Công ty Châu Á</v>
          </cell>
          <cell r="AQ713" t="str">
            <v>F128291-1</v>
          </cell>
          <cell r="AR713" t="str">
            <v>F128291-2</v>
          </cell>
          <cell r="AS713" t="str">
            <v>F128291-3</v>
          </cell>
          <cell r="AT713" t="str">
            <v>F128291-4</v>
          </cell>
          <cell r="AU713" t="str">
            <v>F128291-5</v>
          </cell>
          <cell r="AV713" t="str">
            <v>F128291-6</v>
          </cell>
          <cell r="AW713" t="str">
            <v>F128291-7</v>
          </cell>
          <cell r="BA713" t="str">
            <v>490x870</v>
          </cell>
        </row>
        <row r="714">
          <cell r="A714" t="str">
            <v>sp 1394</v>
          </cell>
          <cell r="B714" t="str">
            <v>Túi kem sữa chua AMI 12 chiếc 600gr</v>
          </cell>
          <cell r="E714">
            <v>6</v>
          </cell>
          <cell r="F714">
            <v>6</v>
          </cell>
          <cell r="AO714" t="str">
            <v>Công ty Châu Á</v>
          </cell>
          <cell r="AQ714" t="str">
            <v>F128292-1</v>
          </cell>
          <cell r="AR714" t="str">
            <v>F128292-2</v>
          </cell>
          <cell r="AS714" t="str">
            <v>F128292-3</v>
          </cell>
          <cell r="AT714" t="str">
            <v>F128292-4</v>
          </cell>
          <cell r="AU714" t="str">
            <v>F128292-5</v>
          </cell>
          <cell r="AV714" t="str">
            <v>F128292-6</v>
          </cell>
          <cell r="BA714" t="str">
            <v>500x870</v>
          </cell>
        </row>
        <row r="715">
          <cell r="A715" t="str">
            <v>sp 1395</v>
          </cell>
          <cell r="B715" t="str">
            <v>Túi thuốc sâu Tasieu 5WG hiệu AK47 30g</v>
          </cell>
          <cell r="E715">
            <v>6</v>
          </cell>
          <cell r="F715">
            <v>6</v>
          </cell>
          <cell r="AO715" t="str">
            <v>Công ty Việt Thắng</v>
          </cell>
          <cell r="AQ715" t="str">
            <v>21041096-1</v>
          </cell>
          <cell r="AR715" t="str">
            <v>21041096-2</v>
          </cell>
          <cell r="AS715" t="str">
            <v>21041096-3</v>
          </cell>
          <cell r="AT715" t="str">
            <v>21041096-4</v>
          </cell>
          <cell r="AU715" t="str">
            <v>21041096-5</v>
          </cell>
          <cell r="AV715" t="str">
            <v>21041096-6</v>
          </cell>
          <cell r="BA715" t="str">
            <v>480x870</v>
          </cell>
        </row>
        <row r="716">
          <cell r="A716" t="str">
            <v>sp 1396</v>
          </cell>
          <cell r="B716" t="str">
            <v>Túi bánh cracker kem Sobi 260gr</v>
          </cell>
          <cell r="E716">
            <v>7</v>
          </cell>
          <cell r="F716">
            <v>7</v>
          </cell>
          <cell r="AO716" t="str">
            <v>Công ty Anko</v>
          </cell>
          <cell r="AQ716" t="str">
            <v>21041142-1</v>
          </cell>
          <cell r="AR716" t="str">
            <v>21041142-2</v>
          </cell>
          <cell r="AS716" t="str">
            <v>21041142-3</v>
          </cell>
          <cell r="AT716" t="str">
            <v>21041142-4</v>
          </cell>
          <cell r="AU716" t="str">
            <v>21041142-5</v>
          </cell>
          <cell r="AV716" t="str">
            <v>21041142-6</v>
          </cell>
          <cell r="AW716" t="str">
            <v>21041142-7</v>
          </cell>
          <cell r="BA716" t="str">
            <v>600x870</v>
          </cell>
        </row>
        <row r="717">
          <cell r="A717" t="str">
            <v>sp 1397</v>
          </cell>
        </row>
        <row r="718">
          <cell r="A718" t="str">
            <v>sp 1398</v>
          </cell>
        </row>
        <row r="719">
          <cell r="A719" t="str">
            <v>sp 1399</v>
          </cell>
          <cell r="B719" t="str">
            <v>Túi kẹo mút Creat Bag</v>
          </cell>
          <cell r="E719">
            <v>8</v>
          </cell>
          <cell r="F719">
            <v>8</v>
          </cell>
          <cell r="AO719" t="str">
            <v>Công ty Ekodo</v>
          </cell>
          <cell r="AQ719" t="str">
            <v>21050473-1</v>
          </cell>
          <cell r="AR719" t="str">
            <v>21050473-2</v>
          </cell>
          <cell r="AS719" t="str">
            <v>21050473-3</v>
          </cell>
          <cell r="AT719" t="str">
            <v>21050473-4</v>
          </cell>
          <cell r="AU719" t="str">
            <v>21050473-5</v>
          </cell>
          <cell r="AV719" t="str">
            <v>21050473-6</v>
          </cell>
          <cell r="AW719" t="str">
            <v>21050473-7</v>
          </cell>
          <cell r="AX719" t="str">
            <v>21050473-8</v>
          </cell>
          <cell r="BA719" t="str">
            <v>470x870</v>
          </cell>
        </row>
        <row r="720">
          <cell r="A720" t="str">
            <v>sp 1400</v>
          </cell>
          <cell r="B720" t="str">
            <v>Cuộn bánh bao chay hương cốm 200gr</v>
          </cell>
          <cell r="E720">
            <v>6</v>
          </cell>
          <cell r="F720">
            <v>6</v>
          </cell>
          <cell r="AO720" t="str">
            <v>Công ty Phú Mỹ</v>
          </cell>
          <cell r="AQ720" t="str">
            <v>21050808-1</v>
          </cell>
          <cell r="AR720" t="str">
            <v>21050808-2</v>
          </cell>
          <cell r="AS720" t="str">
            <v>21050808-3</v>
          </cell>
          <cell r="AT720" t="str">
            <v>21050808-4</v>
          </cell>
          <cell r="AU720" t="str">
            <v>21050808-5</v>
          </cell>
          <cell r="AV720" t="str">
            <v>21050808-6</v>
          </cell>
          <cell r="BA720" t="str">
            <v>532x870</v>
          </cell>
        </row>
        <row r="721">
          <cell r="A721" t="str">
            <v>sp 1401</v>
          </cell>
          <cell r="B721" t="str">
            <v>Cuộn thuốc sâu Bemad 52WG hiệu xạ thủ voi thái 10gr Việt Thắng</v>
          </cell>
          <cell r="E721">
            <v>6</v>
          </cell>
          <cell r="F721">
            <v>6</v>
          </cell>
          <cell r="AO721" t="str">
            <v>Công ty Việt Thắng</v>
          </cell>
          <cell r="AQ721" t="str">
            <v>21050940-1</v>
          </cell>
          <cell r="AR721" t="str">
            <v>21050940-2</v>
          </cell>
          <cell r="AS721" t="str">
            <v>21050940-3</v>
          </cell>
          <cell r="AT721" t="str">
            <v>21050940-4</v>
          </cell>
          <cell r="AU721" t="str">
            <v>21050940-5</v>
          </cell>
          <cell r="AV721" t="str">
            <v>21050940-6</v>
          </cell>
          <cell r="BA721" t="str">
            <v>435x870</v>
          </cell>
        </row>
        <row r="722">
          <cell r="A722" t="str">
            <v>sp 1402</v>
          </cell>
          <cell r="B722" t="str">
            <v>Cuộn thuốc nước Pesieu 500SC loại 10ml Việt Thắng</v>
          </cell>
          <cell r="E722">
            <v>6</v>
          </cell>
          <cell r="F722">
            <v>6</v>
          </cell>
          <cell r="AO722" t="str">
            <v>Công ty Việt Thắng</v>
          </cell>
          <cell r="AQ722" t="str">
            <v>21050945-1</v>
          </cell>
          <cell r="AR722" t="str">
            <v>21050945-2</v>
          </cell>
          <cell r="AS722" t="str">
            <v>21050945-3</v>
          </cell>
          <cell r="AT722" t="str">
            <v>21050945-4</v>
          </cell>
          <cell r="AU722" t="str">
            <v>21050945-5</v>
          </cell>
          <cell r="AV722" t="str">
            <v>21050945-6</v>
          </cell>
          <cell r="BA722" t="str">
            <v>400x870</v>
          </cell>
        </row>
        <row r="723">
          <cell r="A723" t="str">
            <v>sp 1403</v>
          </cell>
          <cell r="B723" t="str">
            <v>Túi thuốc thú y Sun SVT pharma 100gr</v>
          </cell>
          <cell r="E723">
            <v>2</v>
          </cell>
          <cell r="F723">
            <v>2</v>
          </cell>
          <cell r="AO723" t="str">
            <v>Công ty Thái Dương</v>
          </cell>
          <cell r="AQ723" t="str">
            <v>21060203-1</v>
          </cell>
          <cell r="AR723" t="str">
            <v>21060203-2</v>
          </cell>
          <cell r="BA723" t="str">
            <v>420x870</v>
          </cell>
        </row>
        <row r="724">
          <cell r="A724" t="str">
            <v>sp 1404</v>
          </cell>
          <cell r="B724" t="str">
            <v>Túi thuốc thú y Sun SVT pharma 1kg</v>
          </cell>
          <cell r="E724">
            <v>2</v>
          </cell>
          <cell r="F724">
            <v>2</v>
          </cell>
          <cell r="AO724" t="str">
            <v>Công ty Thái Dương</v>
          </cell>
          <cell r="AQ724" t="str">
            <v>21060205-1</v>
          </cell>
          <cell r="AR724" t="str">
            <v>21060205-2</v>
          </cell>
          <cell r="BA724" t="str">
            <v>480x870</v>
          </cell>
        </row>
        <row r="725">
          <cell r="A725" t="str">
            <v>sp 1405</v>
          </cell>
          <cell r="B725" t="str">
            <v>Túi thuốc thú y Sunvet  pharma 100gr</v>
          </cell>
          <cell r="E725">
            <v>2</v>
          </cell>
          <cell r="F725">
            <v>2</v>
          </cell>
          <cell r="AO725" t="str">
            <v>Công ty Thái Dương</v>
          </cell>
          <cell r="AQ725" t="str">
            <v>21060204-1</v>
          </cell>
          <cell r="AR725" t="str">
            <v>21060204-2</v>
          </cell>
          <cell r="BA725" t="str">
            <v>420x870</v>
          </cell>
        </row>
        <row r="726">
          <cell r="A726" t="str">
            <v>sp 1406</v>
          </cell>
          <cell r="B726" t="str">
            <v>Túi thuốc thú y Sunvet pharma 1kg</v>
          </cell>
          <cell r="E726">
            <v>2</v>
          </cell>
          <cell r="F726">
            <v>2</v>
          </cell>
          <cell r="AO726" t="str">
            <v>Công ty Thái Dương</v>
          </cell>
          <cell r="AQ726" t="str">
            <v>21060206-1</v>
          </cell>
          <cell r="AR726" t="str">
            <v>21060206-2</v>
          </cell>
          <cell r="BA726" t="str">
            <v>480x870</v>
          </cell>
        </row>
        <row r="727">
          <cell r="A727" t="str">
            <v>sp 1407</v>
          </cell>
          <cell r="B727" t="str">
            <v>Cuộn nhôm xingfa ASN Windoor cơ điện</v>
          </cell>
          <cell r="E727">
            <v>2</v>
          </cell>
          <cell r="F727">
            <v>2</v>
          </cell>
          <cell r="AO727" t="str">
            <v>Công ty Cơ Điện</v>
          </cell>
          <cell r="AQ727" t="str">
            <v>21060126-1</v>
          </cell>
          <cell r="AR727" t="str">
            <v>21060126-2</v>
          </cell>
          <cell r="BA727" t="str">
            <v>800x1300</v>
          </cell>
        </row>
        <row r="728">
          <cell r="A728" t="str">
            <v>sp 1408</v>
          </cell>
        </row>
        <row r="729">
          <cell r="A729" t="str">
            <v>sp 1409</v>
          </cell>
          <cell r="B729" t="str">
            <v>Cuộn trà giảo cổ lam 2gr tuệ linh</v>
          </cell>
          <cell r="E729">
            <v>5</v>
          </cell>
          <cell r="F729">
            <v>5</v>
          </cell>
          <cell r="AO729" t="str">
            <v>Công ty Tuệ Linh</v>
          </cell>
          <cell r="AQ729" t="str">
            <v>F128803G1-1</v>
          </cell>
          <cell r="AR729" t="str">
            <v>F128803G1-2</v>
          </cell>
          <cell r="AS729" t="str">
            <v>F128803-3</v>
          </cell>
          <cell r="AT729" t="str">
            <v>F128803-4</v>
          </cell>
          <cell r="AU729" t="str">
            <v>F128803-5</v>
          </cell>
          <cell r="BA729" t="str">
            <v>462x870</v>
          </cell>
        </row>
        <row r="730">
          <cell r="A730" t="str">
            <v>sp 1410</v>
          </cell>
          <cell r="B730" t="str">
            <v>Túi nước xả vải Susino 1.5l Hòa Hợp</v>
          </cell>
          <cell r="E730">
            <v>7</v>
          </cell>
          <cell r="F730">
            <v>7</v>
          </cell>
          <cell r="AO730" t="str">
            <v>Công ty Hòa Hợp</v>
          </cell>
          <cell r="AQ730" t="str">
            <v>F128802-1</v>
          </cell>
          <cell r="AR730" t="str">
            <v>F128802-2</v>
          </cell>
          <cell r="AS730" t="str">
            <v>F128802-3</v>
          </cell>
          <cell r="AT730" t="str">
            <v>F128802-4</v>
          </cell>
          <cell r="AU730" t="str">
            <v>F128802-5</v>
          </cell>
          <cell r="AV730" t="str">
            <v>F128802-6</v>
          </cell>
          <cell r="AW730" t="str">
            <v>F128802-7</v>
          </cell>
          <cell r="BA730" t="str">
            <v>420x870</v>
          </cell>
        </row>
        <row r="731">
          <cell r="A731" t="str">
            <v>sp 1411</v>
          </cell>
          <cell r="B731" t="str">
            <v>Túi phụ tùng vỏ yên xe máy Hồng Tiến</v>
          </cell>
          <cell r="E731">
            <v>3</v>
          </cell>
          <cell r="F731">
            <v>3</v>
          </cell>
          <cell r="AO731" t="str">
            <v>Công ty Hồng Tiến</v>
          </cell>
          <cell r="AQ731" t="str">
            <v>21061300-1</v>
          </cell>
          <cell r="AR731" t="str">
            <v>21061300-2</v>
          </cell>
          <cell r="AS731" t="str">
            <v>21061300-3</v>
          </cell>
          <cell r="BA731" t="str">
            <v>560x1100</v>
          </cell>
        </row>
        <row r="732">
          <cell r="A732" t="str">
            <v>sp 1412</v>
          </cell>
          <cell r="B732" t="str">
            <v>Túi thuốc sâu Fortox 50EC loại 10ml Việt Thắng</v>
          </cell>
          <cell r="E732">
            <v>6</v>
          </cell>
          <cell r="F732">
            <v>6</v>
          </cell>
          <cell r="AO732" t="str">
            <v>Công ty Việt Thắng</v>
          </cell>
          <cell r="AQ732" t="str">
            <v>21070028-1</v>
          </cell>
          <cell r="AR732" t="str">
            <v>21070028-2</v>
          </cell>
          <cell r="AS732" t="str">
            <v>21070028-3</v>
          </cell>
          <cell r="AT732" t="str">
            <v>21070028-4</v>
          </cell>
          <cell r="AU732" t="str">
            <v>21070028-5</v>
          </cell>
          <cell r="AV732" t="str">
            <v>21070028-6</v>
          </cell>
          <cell r="BA732" t="str">
            <v>510x870</v>
          </cell>
        </row>
        <row r="733">
          <cell r="A733" t="str">
            <v>sp 1413</v>
          </cell>
          <cell r="B733" t="str">
            <v>Túi thuốc sâu Fartack 50EC loại 10ml Việt Thắng</v>
          </cell>
          <cell r="AO733" t="str">
            <v>Công ty Việt Thắng</v>
          </cell>
          <cell r="AQ733" t="str">
            <v>21070029-1</v>
          </cell>
          <cell r="AR733" t="str">
            <v>21070029-2</v>
          </cell>
          <cell r="AS733" t="str">
            <v>21070029-3</v>
          </cell>
          <cell r="AT733" t="str">
            <v>21070029-4</v>
          </cell>
          <cell r="AU733" t="str">
            <v>21070029-5</v>
          </cell>
          <cell r="AV733" t="str">
            <v>21070029-6</v>
          </cell>
          <cell r="BA733" t="str">
            <v>510x870</v>
          </cell>
        </row>
        <row r="734">
          <cell r="A734" t="str">
            <v>sp 1414</v>
          </cell>
          <cell r="B734" t="str">
            <v>Cuộn bột giặt Kusa 130g Bell Đức</v>
          </cell>
          <cell r="E734">
            <v>6</v>
          </cell>
          <cell r="F734">
            <v>6</v>
          </cell>
          <cell r="AO734" t="str">
            <v>Công ty Bell Đức</v>
          </cell>
          <cell r="AQ734" t="str">
            <v>F128871-1</v>
          </cell>
          <cell r="AR734" t="str">
            <v>F128871-2</v>
          </cell>
          <cell r="AS734" t="str">
            <v>F128871-3</v>
          </cell>
          <cell r="AT734" t="str">
            <v>F128871-4</v>
          </cell>
          <cell r="AU734" t="str">
            <v>F128871-5</v>
          </cell>
          <cell r="AV734" t="str">
            <v>F128871-6</v>
          </cell>
          <cell r="BA734" t="str">
            <v>420x1100</v>
          </cell>
        </row>
        <row r="735">
          <cell r="A735" t="str">
            <v>sp 1415</v>
          </cell>
          <cell r="B735" t="str">
            <v>Cuộn bột giặt Kusa 400g Bell Đức</v>
          </cell>
          <cell r="E735">
            <v>6</v>
          </cell>
          <cell r="F735">
            <v>6</v>
          </cell>
          <cell r="AO735" t="str">
            <v>Công ty Bell Đức</v>
          </cell>
          <cell r="AQ735" t="str">
            <v>F128870-1</v>
          </cell>
          <cell r="AR735" t="str">
            <v>F128870-2</v>
          </cell>
          <cell r="AS735" t="str">
            <v>F128870-3</v>
          </cell>
          <cell r="AT735" t="str">
            <v>F128870-4</v>
          </cell>
          <cell r="AU735" t="str">
            <v>F128870-5</v>
          </cell>
          <cell r="AV735" t="str">
            <v>F128870-6</v>
          </cell>
          <cell r="BA735" t="str">
            <v>520x870</v>
          </cell>
        </row>
        <row r="736">
          <cell r="A736" t="str">
            <v>sp 1416</v>
          </cell>
          <cell r="B736" t="str">
            <v>Cuộn bột giặt Kusa 800g Bell Đức</v>
          </cell>
          <cell r="E736">
            <v>6</v>
          </cell>
          <cell r="F736">
            <v>6</v>
          </cell>
          <cell r="AO736" t="str">
            <v>Công ty Bell Đức</v>
          </cell>
          <cell r="AQ736" t="str">
            <v>F128869-1</v>
          </cell>
          <cell r="AR736" t="str">
            <v>F128869-2</v>
          </cell>
          <cell r="AS736" t="str">
            <v>F128869-3</v>
          </cell>
          <cell r="AT736" t="str">
            <v>F128869-4</v>
          </cell>
          <cell r="AU736" t="str">
            <v>F128869-5</v>
          </cell>
          <cell r="AV736" t="str">
            <v>F128869-6</v>
          </cell>
          <cell r="BA736" t="str">
            <v>570x1100</v>
          </cell>
        </row>
        <row r="737">
          <cell r="A737" t="str">
            <v>sp 1417</v>
          </cell>
          <cell r="B737" t="str">
            <v>Cuộn bột giặt Kusa 3kg Bell Đức</v>
          </cell>
          <cell r="E737">
            <v>6</v>
          </cell>
          <cell r="F737">
            <v>6</v>
          </cell>
          <cell r="AO737" t="str">
            <v>Công ty Bell Đức</v>
          </cell>
          <cell r="AQ737" t="str">
            <v>F128868-1</v>
          </cell>
          <cell r="AR737" t="str">
            <v>F128868-2</v>
          </cell>
          <cell r="AS737" t="str">
            <v>F128868-3</v>
          </cell>
          <cell r="AT737" t="str">
            <v>F128868-4</v>
          </cell>
          <cell r="AU737" t="str">
            <v>F128868-5</v>
          </cell>
          <cell r="AV737" t="str">
            <v>F128868-6</v>
          </cell>
          <cell r="BA737" t="str">
            <v>422x870</v>
          </cell>
        </row>
        <row r="738">
          <cell r="A738" t="str">
            <v>sp 1418</v>
          </cell>
          <cell r="B738" t="str">
            <v>Cuộn bột giặt Kusa 5kg Bell Đức</v>
          </cell>
          <cell r="E738">
            <v>6</v>
          </cell>
          <cell r="F738">
            <v>6</v>
          </cell>
          <cell r="AO738" t="str">
            <v>Công ty Bell Đức</v>
          </cell>
          <cell r="AQ738" t="str">
            <v>F128867-1</v>
          </cell>
          <cell r="AR738" t="str">
            <v>F128867-2</v>
          </cell>
          <cell r="AS738" t="str">
            <v>F128867-3</v>
          </cell>
          <cell r="AT738" t="str">
            <v>F128867-4</v>
          </cell>
          <cell r="AU738" t="str">
            <v>F128867-5</v>
          </cell>
          <cell r="AV738" t="str">
            <v>F128867-6</v>
          </cell>
          <cell r="BA738" t="str">
            <v>530x870</v>
          </cell>
        </row>
        <row r="739">
          <cell r="A739" t="str">
            <v>sp 1419</v>
          </cell>
          <cell r="B739" t="str">
            <v>Cuộn đường tinh luyện xuất khẩu 1kg mã 011</v>
          </cell>
          <cell r="E739">
            <v>7</v>
          </cell>
          <cell r="F739">
            <v>7</v>
          </cell>
          <cell r="AO739" t="str">
            <v>Công ty mía đường Lam Sơn</v>
          </cell>
          <cell r="AQ739" t="str">
            <v>F128863-1</v>
          </cell>
          <cell r="AR739" t="str">
            <v>F128863-2</v>
          </cell>
          <cell r="AS739" t="str">
            <v>F128863-3</v>
          </cell>
          <cell r="AT739" t="str">
            <v>F128863-4</v>
          </cell>
          <cell r="AU739" t="str">
            <v>F128863-5</v>
          </cell>
          <cell r="AV739" t="str">
            <v>F128863-6</v>
          </cell>
          <cell r="AW739" t="str">
            <v>F128863-7</v>
          </cell>
          <cell r="BA739" t="str">
            <v>500x870</v>
          </cell>
        </row>
        <row r="740">
          <cell r="A740" t="str">
            <v>sp 1420</v>
          </cell>
          <cell r="B740" t="str">
            <v xml:space="preserve"> Cuộn trà diabetna túi lọc 1.5gr kích thước 165.5x154mm</v>
          </cell>
          <cell r="E740">
            <v>6</v>
          </cell>
          <cell r="F740">
            <v>6</v>
          </cell>
          <cell r="AO740" t="str">
            <v>Công ty Nam Dược</v>
          </cell>
          <cell r="AQ740" t="str">
            <v>F128848-1</v>
          </cell>
          <cell r="AR740" t="str">
            <v>F128848-2</v>
          </cell>
          <cell r="AS740" t="str">
            <v>F128848-3</v>
          </cell>
          <cell r="AT740" t="str">
            <v>F128848-4</v>
          </cell>
          <cell r="AU740" t="str">
            <v>F128848-5</v>
          </cell>
          <cell r="AV740" t="str">
            <v>F128848-6</v>
          </cell>
          <cell r="BA740" t="str">
            <v>462x860</v>
          </cell>
        </row>
        <row r="741">
          <cell r="A741" t="str">
            <v>sp 1421</v>
          </cell>
        </row>
        <row r="742">
          <cell r="A742" t="str">
            <v>sp 1422</v>
          </cell>
          <cell r="B742" t="str">
            <v>Cuộn khăn ướt Mamamy 100 miếng màu xanh K355 mã 334</v>
          </cell>
          <cell r="E742">
            <v>8</v>
          </cell>
          <cell r="F742">
            <v>8</v>
          </cell>
          <cell r="AO742" t="str">
            <v>Công ty Đông Hiệp</v>
          </cell>
          <cell r="AQ742" t="str">
            <v>F128941-1</v>
          </cell>
          <cell r="AR742" t="str">
            <v>F128941-2</v>
          </cell>
          <cell r="AS742" t="str">
            <v>F128941-3</v>
          </cell>
          <cell r="AT742" t="str">
            <v>F128941-4</v>
          </cell>
          <cell r="AU742" t="str">
            <v>F128941-5</v>
          </cell>
          <cell r="AV742" t="str">
            <v>F128941-6</v>
          </cell>
          <cell r="AW742" t="str">
            <v>F128941-7</v>
          </cell>
          <cell r="AX742" t="str">
            <v>F128941-8</v>
          </cell>
          <cell r="BA742" t="str">
            <v>496x870</v>
          </cell>
        </row>
        <row r="743">
          <cell r="A743" t="str">
            <v>sp 1423</v>
          </cell>
        </row>
        <row r="744">
          <cell r="A744" t="str">
            <v>sp 1424</v>
          </cell>
        </row>
        <row r="745">
          <cell r="A745" t="str">
            <v>sp 1425</v>
          </cell>
          <cell r="B745" t="str">
            <v>Túi khăn hạ sốt Zipeer dr.papie mã 082 Stamer</v>
          </cell>
          <cell r="E745">
            <v>5</v>
          </cell>
          <cell r="F745">
            <v>5</v>
          </cell>
          <cell r="AO745" t="str">
            <v>Công ty dược phẩm Starmed</v>
          </cell>
          <cell r="AQ745" t="str">
            <v>21110828-1</v>
          </cell>
          <cell r="AR745" t="str">
            <v>21090608-2</v>
          </cell>
          <cell r="AS745" t="str">
            <v>21070623-3</v>
          </cell>
          <cell r="AT745" t="str">
            <v>21070623-4</v>
          </cell>
          <cell r="AU745" t="str">
            <v>21070623-5</v>
          </cell>
          <cell r="BA745" t="str">
            <v>420x870</v>
          </cell>
        </row>
        <row r="746">
          <cell r="A746" t="str">
            <v>sp 1426</v>
          </cell>
          <cell r="B746" t="str">
            <v>Túi khăn hạ sốt Zipeer dr.papie mã 099 Stamer</v>
          </cell>
          <cell r="E746">
            <v>3</v>
          </cell>
          <cell r="F746">
            <v>5</v>
          </cell>
          <cell r="AO746" t="str">
            <v>Công ty dược phẩm Starmed</v>
          </cell>
          <cell r="AQ746" t="str">
            <v>21070624-1</v>
          </cell>
          <cell r="AR746" t="str">
            <v>21090608-2</v>
          </cell>
          <cell r="AS746" t="str">
            <v>21070624-3</v>
          </cell>
          <cell r="AT746" t="str">
            <v>21070624-4</v>
          </cell>
          <cell r="AU746" t="str">
            <v>21070623-5</v>
          </cell>
          <cell r="BA746" t="str">
            <v>420x870</v>
          </cell>
          <cell r="BC746" t="str">
            <v>in chung cây số 2-5 với sp 1425</v>
          </cell>
          <cell r="BD746" t="str">
            <v>Trục số 2 làm mới hoàn toàn cây cũ mang vào kho tận dụng</v>
          </cell>
        </row>
        <row r="747">
          <cell r="A747" t="str">
            <v>sp 1427</v>
          </cell>
          <cell r="B747" t="str">
            <v>Cuộn bánh trung thu khổ 280 Nhật Nguyệt</v>
          </cell>
          <cell r="E747">
            <v>2</v>
          </cell>
          <cell r="F747">
            <v>2</v>
          </cell>
          <cell r="AO747" t="str">
            <v>Công ty Nhật Nguyệt</v>
          </cell>
          <cell r="AQ747" t="str">
            <v>21070622-1</v>
          </cell>
          <cell r="AR747" t="str">
            <v>21070622-2</v>
          </cell>
          <cell r="BA747" t="str">
            <v>456x870</v>
          </cell>
        </row>
        <row r="748">
          <cell r="A748" t="str">
            <v>sp 1428</v>
          </cell>
          <cell r="B748" t="str">
            <v>Túi keẹo bù khoáng chanh muối Dr-cool 32g Eikodo</v>
          </cell>
          <cell r="E748">
            <v>8</v>
          </cell>
          <cell r="F748">
            <v>8</v>
          </cell>
          <cell r="AO748" t="str">
            <v>Công ty Eikodo</v>
          </cell>
          <cell r="AQ748" t="str">
            <v>21070819-1</v>
          </cell>
          <cell r="AR748" t="str">
            <v>21070819-2</v>
          </cell>
          <cell r="AS748" t="str">
            <v>21070819-3</v>
          </cell>
          <cell r="AT748" t="str">
            <v>21070819-4</v>
          </cell>
          <cell r="AU748" t="str">
            <v>21070819-5</v>
          </cell>
          <cell r="AV748" t="str">
            <v>21070819-6</v>
          </cell>
          <cell r="AW748" t="str">
            <v>21070819-7</v>
          </cell>
          <cell r="AX748" t="str">
            <v>21070819-8</v>
          </cell>
          <cell r="BA748" t="str">
            <v>420x1100</v>
          </cell>
        </row>
        <row r="749">
          <cell r="A749" t="str">
            <v>sp 1429</v>
          </cell>
          <cell r="B749" t="str">
            <v>Túi zipper khẩu trang 4D Ami mask Nhật Linh</v>
          </cell>
          <cell r="E749">
            <v>3</v>
          </cell>
          <cell r="F749">
            <v>3</v>
          </cell>
          <cell r="AO749" t="str">
            <v xml:space="preserve">Công ty Nhật Linh </v>
          </cell>
          <cell r="AQ749" t="str">
            <v>21070988-1</v>
          </cell>
          <cell r="AR749" t="str">
            <v>21070988-2</v>
          </cell>
          <cell r="AS749" t="str">
            <v>21070988-3</v>
          </cell>
          <cell r="BA749" t="str">
            <v>440x870</v>
          </cell>
          <cell r="BC749" t="str">
            <v>Dùng chung trục trắng sp 1430</v>
          </cell>
          <cell r="BD749" t="str">
            <v>Trả trục trắng cùng bộ khẩu trang Vân Anh ngày 19-8-21</v>
          </cell>
        </row>
        <row r="750">
          <cell r="A750" t="str">
            <v>sp 1430</v>
          </cell>
          <cell r="B750" t="str">
            <v>Túi zipper khẩu trang 4D Fashion Duy Ngọc</v>
          </cell>
          <cell r="E750">
            <v>3</v>
          </cell>
          <cell r="F750">
            <v>3</v>
          </cell>
          <cell r="AO750" t="str">
            <v>Công ty Duy Ngọc</v>
          </cell>
          <cell r="AQ750" t="str">
            <v>21070989-1</v>
          </cell>
          <cell r="AR750" t="str">
            <v>21090502-2</v>
          </cell>
          <cell r="AS750" t="str">
            <v>21090502-3</v>
          </cell>
          <cell r="AT750" t="str">
            <v>21090502-4</v>
          </cell>
          <cell r="BA750" t="str">
            <v>440x870</v>
          </cell>
          <cell r="BC750" t="str">
            <v>Làm thêm cây trắng</v>
          </cell>
        </row>
        <row r="751">
          <cell r="A751" t="str">
            <v>sp 1431</v>
          </cell>
          <cell r="B751" t="str">
            <v>Cuộn hạt giống cải làn vàng , trắng đậu cove vàng Sao Việt</v>
          </cell>
          <cell r="E751">
            <v>4</v>
          </cell>
          <cell r="F751">
            <v>5</v>
          </cell>
          <cell r="AO751" t="str">
            <v>Công ty giống Sao Việt</v>
          </cell>
          <cell r="AQ751" t="str">
            <v>21070998-1</v>
          </cell>
          <cell r="AR751" t="str">
            <v>21070998-2</v>
          </cell>
          <cell r="AS751" t="str">
            <v>21070998-3</v>
          </cell>
          <cell r="AT751" t="str">
            <v>21070998-4</v>
          </cell>
          <cell r="AU751" t="str">
            <v>20120064-5</v>
          </cell>
          <cell r="BA751" t="str">
            <v>570x870</v>
          </cell>
          <cell r="BC751" t="str">
            <v>Dùng chung trục trắng sp 1430</v>
          </cell>
        </row>
        <row r="752">
          <cell r="A752" t="str">
            <v>sp 1432</v>
          </cell>
          <cell r="B752" t="str">
            <v>Cuộn hạt giống cải làn vàng , trắng , cải mơ lucky</v>
          </cell>
          <cell r="E752">
            <v>4</v>
          </cell>
          <cell r="F752">
            <v>5</v>
          </cell>
          <cell r="AO752" t="str">
            <v>Công ty giống Lucky</v>
          </cell>
          <cell r="AQ752" t="str">
            <v>21070999-1</v>
          </cell>
          <cell r="AR752" t="str">
            <v>21070999-2</v>
          </cell>
          <cell r="AS752" t="str">
            <v>21070999-3</v>
          </cell>
          <cell r="AT752" t="str">
            <v>21070999-4</v>
          </cell>
          <cell r="AU752" t="str">
            <v>20120064-5</v>
          </cell>
          <cell r="BA752" t="str">
            <v>570x870</v>
          </cell>
          <cell r="BC752" t="str">
            <v>Dùng chung trục trắng sp 1330</v>
          </cell>
        </row>
        <row r="754">
          <cell r="A754" t="str">
            <v>sp 1434</v>
          </cell>
          <cell r="B754" t="str">
            <v>Túi bánh Sandwich khoai tây Fresta Richy</v>
          </cell>
          <cell r="E754">
            <v>8</v>
          </cell>
          <cell r="F754">
            <v>8</v>
          </cell>
          <cell r="AO754" t="str">
            <v>Công ty Richy</v>
          </cell>
          <cell r="AQ754" t="str">
            <v>F129076-1</v>
          </cell>
          <cell r="AR754" t="str">
            <v>F129076G1-2</v>
          </cell>
          <cell r="AS754" t="str">
            <v>F129076-3</v>
          </cell>
          <cell r="AT754" t="str">
            <v>F129076-4</v>
          </cell>
          <cell r="AU754" t="str">
            <v>F129076-5</v>
          </cell>
          <cell r="AV754" t="str">
            <v>F129076-6</v>
          </cell>
          <cell r="AW754" t="str">
            <v>F129076-7</v>
          </cell>
          <cell r="AX754" t="str">
            <v>F129076-8</v>
          </cell>
          <cell r="BA754" t="str">
            <v>760x1100</v>
          </cell>
        </row>
        <row r="755">
          <cell r="A755" t="str">
            <v>sp 1435</v>
          </cell>
        </row>
        <row r="756">
          <cell r="A756" t="str">
            <v>sp 1436</v>
          </cell>
        </row>
        <row r="757">
          <cell r="A757" t="str">
            <v>sp 1437</v>
          </cell>
          <cell r="B757" t="str">
            <v>Cuộn bánh bao chay hương sữa dừa 200g</v>
          </cell>
          <cell r="E757">
            <v>7</v>
          </cell>
          <cell r="F757">
            <v>7</v>
          </cell>
          <cell r="AO757" t="str">
            <v>Công ty Phú Mỹ</v>
          </cell>
          <cell r="AQ757" t="str">
            <v>21110160-1</v>
          </cell>
          <cell r="AR757" t="str">
            <v>21110160-2</v>
          </cell>
          <cell r="AS757" t="str">
            <v>21110160-3</v>
          </cell>
          <cell r="AT757" t="str">
            <v>21110160-4</v>
          </cell>
          <cell r="AU757" t="str">
            <v>21110160-5</v>
          </cell>
          <cell r="AV757" t="str">
            <v>21110160-6</v>
          </cell>
          <cell r="AW757" t="str">
            <v>21110160-7</v>
          </cell>
          <cell r="BA757" t="str">
            <v>532x870</v>
          </cell>
        </row>
        <row r="758">
          <cell r="A758" t="str">
            <v>sp 1438</v>
          </cell>
          <cell r="B758" t="str">
            <v>Cuộn men rượu cao cấp Trung Tiến</v>
          </cell>
          <cell r="E758">
            <v>2</v>
          </cell>
          <cell r="F758">
            <v>2</v>
          </cell>
          <cell r="AO758" t="str">
            <v>Công ty Trung Tiến</v>
          </cell>
          <cell r="AQ758" t="str">
            <v>21080413-1</v>
          </cell>
          <cell r="AR758" t="str">
            <v>21080413-2</v>
          </cell>
          <cell r="BA758" t="str">
            <v>525x1100</v>
          </cell>
        </row>
        <row r="759">
          <cell r="A759" t="str">
            <v>sp 1439</v>
          </cell>
          <cell r="B759" t="str">
            <v>Túi bánh bơ trứng giòn Karo 150g Richy</v>
          </cell>
          <cell r="E759">
            <v>8</v>
          </cell>
          <cell r="F759">
            <v>8</v>
          </cell>
          <cell r="AO759" t="str">
            <v>Công ty Richy</v>
          </cell>
          <cell r="AQ759" t="str">
            <v>F129178-1</v>
          </cell>
          <cell r="AR759" t="str">
            <v>F129178-2</v>
          </cell>
          <cell r="AS759" t="str">
            <v>F129178-3</v>
          </cell>
          <cell r="AT759" t="str">
            <v>F129178-4</v>
          </cell>
          <cell r="AU759" t="str">
            <v>F129178-5</v>
          </cell>
          <cell r="AV759" t="str">
            <v>F129178-6</v>
          </cell>
          <cell r="AW759" t="str">
            <v>F129178-7</v>
          </cell>
          <cell r="AX759" t="str">
            <v>F129178-8</v>
          </cell>
          <cell r="BA759" t="str">
            <v>720x1100</v>
          </cell>
        </row>
        <row r="760">
          <cell r="A760" t="str">
            <v>sp 1440</v>
          </cell>
          <cell r="B760" t="str">
            <v>Cuộn bánh bơ trứng giòn Karo khổ 202 Richy</v>
          </cell>
          <cell r="E760">
            <v>4</v>
          </cell>
          <cell r="F760">
            <v>4</v>
          </cell>
          <cell r="AO760" t="str">
            <v>Công ty Richy</v>
          </cell>
          <cell r="AQ760" t="str">
            <v>F129179NG1-1</v>
          </cell>
          <cell r="AR760" t="str">
            <v>F129179-2</v>
          </cell>
          <cell r="AS760" t="str">
            <v>F129179-3</v>
          </cell>
          <cell r="AT760" t="str">
            <v>F129179-4</v>
          </cell>
          <cell r="BA760" t="str">
            <v>440x1250</v>
          </cell>
        </row>
        <row r="761">
          <cell r="A761" t="str">
            <v>sp 1441</v>
          </cell>
          <cell r="B761" t="str">
            <v>Túi bánh quế merry kt 350x240</v>
          </cell>
          <cell r="E761">
            <v>2</v>
          </cell>
          <cell r="F761">
            <v>2</v>
          </cell>
          <cell r="AO761" t="str">
            <v>Công ty Richy</v>
          </cell>
          <cell r="AQ761" t="str">
            <v>F129215-1</v>
          </cell>
          <cell r="AR761" t="str">
            <v>F129215-2</v>
          </cell>
          <cell r="BA761" t="str">
            <v>480x1250</v>
          </cell>
        </row>
        <row r="762">
          <cell r="A762" t="str">
            <v>sp 1442</v>
          </cell>
        </row>
        <row r="763">
          <cell r="A763" t="str">
            <v>sp 1443</v>
          </cell>
          <cell r="B763" t="str">
            <v>Túi bánh karo trứng tươi chà bông 26gr</v>
          </cell>
          <cell r="E763">
            <v>7</v>
          </cell>
          <cell r="F763">
            <v>8</v>
          </cell>
          <cell r="AO763" t="str">
            <v>Công ty Richy</v>
          </cell>
          <cell r="AQ763" t="str">
            <v>F130146-1</v>
          </cell>
          <cell r="AR763" t="str">
            <v>F130146-2</v>
          </cell>
          <cell r="AS763" t="str">
            <v>F130146-3</v>
          </cell>
          <cell r="AT763" t="str">
            <v>F130146-4</v>
          </cell>
          <cell r="AU763" t="str">
            <v>F130146-5</v>
          </cell>
          <cell r="AV763" t="str">
            <v>F130146-6</v>
          </cell>
          <cell r="AW763" t="str">
            <v>F130146-7</v>
          </cell>
          <cell r="AX763" t="str">
            <v>F129228-8</v>
          </cell>
          <cell r="BA763" t="str">
            <v xml:space="preserve">580x870 </v>
          </cell>
          <cell r="BD763" t="str">
            <v>Làm bộ mới</v>
          </cell>
        </row>
        <row r="764">
          <cell r="A764" t="str">
            <v>sp 1443A</v>
          </cell>
          <cell r="B764" t="str">
            <v>Túi bánh karo trứng tươi chà bông 26gr new</v>
          </cell>
          <cell r="E764">
            <v>8</v>
          </cell>
          <cell r="F764">
            <v>8</v>
          </cell>
          <cell r="AO764" t="str">
            <v>Công ty Richy</v>
          </cell>
          <cell r="AQ764" t="str">
            <v>F129228G2-1</v>
          </cell>
          <cell r="AR764" t="str">
            <v>F129228G2-2</v>
          </cell>
          <cell r="AS764" t="str">
            <v>F129228G2-3</v>
          </cell>
          <cell r="AT764" t="str">
            <v>F129228G2-4</v>
          </cell>
          <cell r="AU764" t="str">
            <v>F129228G2-5</v>
          </cell>
          <cell r="AV764" t="str">
            <v>F129228G2-6</v>
          </cell>
          <cell r="AW764" t="str">
            <v>F129228G2-7</v>
          </cell>
          <cell r="AX764" t="str">
            <v>F129228-8</v>
          </cell>
          <cell r="AY764" t="str">
            <v>F129228-8 mới</v>
          </cell>
          <cell r="BA764" t="str">
            <v xml:space="preserve">580x870 </v>
          </cell>
          <cell r="BD764" t="str">
            <v>trục chạy hàng khuyến mãi dịp Tết</v>
          </cell>
        </row>
        <row r="765">
          <cell r="A765" t="str">
            <v>sp 1444</v>
          </cell>
          <cell r="B765" t="str">
            <v>Cuộn bánh karo trứng tươi</v>
          </cell>
          <cell r="E765">
            <v>8</v>
          </cell>
          <cell r="F765">
            <v>8</v>
          </cell>
          <cell r="AO765" t="str">
            <v>Công ty Richy</v>
          </cell>
          <cell r="AQ765" t="str">
            <v>F129227-1</v>
          </cell>
          <cell r="AR765" t="str">
            <v>F129227-2</v>
          </cell>
          <cell r="AS765" t="str">
            <v>F129227-3</v>
          </cell>
          <cell r="AT765" t="str">
            <v>F129227-4</v>
          </cell>
          <cell r="AU765" t="str">
            <v>F129227-5</v>
          </cell>
          <cell r="AV765" t="str">
            <v>F129227-6</v>
          </cell>
          <cell r="AW765" t="str">
            <v>F129227-7</v>
          </cell>
          <cell r="AX765" t="str">
            <v>F129227-8</v>
          </cell>
          <cell r="BA765" t="str">
            <v>450x1100</v>
          </cell>
        </row>
        <row r="766">
          <cell r="A766" t="str">
            <v>sp 1445</v>
          </cell>
        </row>
        <row r="767">
          <cell r="A767" t="str">
            <v>sp 1446</v>
          </cell>
          <cell r="B767" t="str">
            <v>Cuộn chất tẩy xạ TX-93 400gr</v>
          </cell>
          <cell r="E767">
            <v>1</v>
          </cell>
          <cell r="F767">
            <v>1</v>
          </cell>
          <cell r="AO767" t="str">
            <v>Công ty Đức Giang</v>
          </cell>
          <cell r="AQ767" t="str">
            <v>F129222-1</v>
          </cell>
          <cell r="BA767" t="str">
            <v>490x870</v>
          </cell>
        </row>
        <row r="768">
          <cell r="A768" t="str">
            <v>sp 1447</v>
          </cell>
          <cell r="B768" t="str">
            <v>Túi thuốc thú y Sun Gluco K.C SVT pharma 1kg Thái Dương</v>
          </cell>
          <cell r="E768">
            <v>5</v>
          </cell>
          <cell r="F768">
            <v>5</v>
          </cell>
          <cell r="AO768" t="str">
            <v>Công ty Thái Dương</v>
          </cell>
          <cell r="AQ768" t="str">
            <v>21080518-1</v>
          </cell>
          <cell r="AR768" t="str">
            <v>21080518-2</v>
          </cell>
          <cell r="AS768" t="str">
            <v>21080518-3</v>
          </cell>
          <cell r="AT768" t="str">
            <v>21080518-4</v>
          </cell>
          <cell r="AU768" t="str">
            <v>21080518-5</v>
          </cell>
          <cell r="BA768" t="str">
            <v>480x870</v>
          </cell>
        </row>
        <row r="770">
          <cell r="A770" t="str">
            <v>sp 1449</v>
          </cell>
          <cell r="B770" t="str">
            <v>Túi khẩu trang chống bụi siêu mịn khuyến anh</v>
          </cell>
          <cell r="E770">
            <v>4</v>
          </cell>
          <cell r="F770">
            <v>4</v>
          </cell>
          <cell r="AO770" t="str">
            <v>Công ty Khyến Anh</v>
          </cell>
          <cell r="AQ770" t="str">
            <v>21090114-1</v>
          </cell>
          <cell r="AR770" t="str">
            <v>21090114-2</v>
          </cell>
          <cell r="AS770" t="str">
            <v>21090114-3</v>
          </cell>
          <cell r="AT770" t="str">
            <v>21090114-4</v>
          </cell>
          <cell r="BA770" t="str">
            <v>496x870</v>
          </cell>
        </row>
        <row r="771">
          <cell r="A771" t="str">
            <v>sp 1450</v>
          </cell>
          <cell r="B771" t="str">
            <v>Túi bánh bơ trứng giòn Karo 270gr Richy</v>
          </cell>
          <cell r="E771">
            <v>8</v>
          </cell>
          <cell r="F771">
            <v>8</v>
          </cell>
          <cell r="AO771" t="str">
            <v>Công ty Richy</v>
          </cell>
          <cell r="AQ771" t="str">
            <v>F129291-1</v>
          </cell>
          <cell r="AR771" t="str">
            <v>F129291-2</v>
          </cell>
          <cell r="AS771" t="str">
            <v>F129291-3</v>
          </cell>
          <cell r="AT771" t="str">
            <v>F129291-4</v>
          </cell>
          <cell r="AU771" t="str">
            <v>F129291-5</v>
          </cell>
          <cell r="AV771" t="str">
            <v>F129291-6</v>
          </cell>
          <cell r="AW771" t="str">
            <v>F129291-7</v>
          </cell>
          <cell r="AX771" t="str">
            <v>F129291-8</v>
          </cell>
          <cell r="BA771" t="str">
            <v>700x1250</v>
          </cell>
        </row>
        <row r="772">
          <cell r="A772" t="str">
            <v>sp 1451</v>
          </cell>
          <cell r="B772" t="str">
            <v>Túi khẩu trang y tế kids khuyến anh</v>
          </cell>
          <cell r="E772">
            <v>4</v>
          </cell>
          <cell r="F772">
            <v>4</v>
          </cell>
          <cell r="AO772" t="str">
            <v>Công ty Khuyến Anh</v>
          </cell>
          <cell r="AQ772" t="str">
            <v>21090115-1</v>
          </cell>
          <cell r="AR772" t="str">
            <v>21090115-2</v>
          </cell>
          <cell r="AS772" t="str">
            <v>21090115-3</v>
          </cell>
          <cell r="AT772" t="str">
            <v>21090115-4</v>
          </cell>
          <cell r="BA772" t="str">
            <v>456x870</v>
          </cell>
        </row>
        <row r="773">
          <cell r="A773" t="str">
            <v>sp 1452</v>
          </cell>
          <cell r="B773" t="str">
            <v>Cuộn kẹo dẻo Mogu vị chanh muối 20g</v>
          </cell>
          <cell r="E773">
            <v>7</v>
          </cell>
          <cell r="F773">
            <v>7</v>
          </cell>
          <cell r="AO773" t="str">
            <v>Công ty Eikodo</v>
          </cell>
          <cell r="AQ773" t="str">
            <v>21090460-1</v>
          </cell>
          <cell r="AR773" t="str">
            <v>21090460-2</v>
          </cell>
          <cell r="AS773" t="str">
            <v>21090460-3</v>
          </cell>
          <cell r="AT773" t="str">
            <v>21090460-4</v>
          </cell>
          <cell r="AU773" t="str">
            <v>21090460-5</v>
          </cell>
          <cell r="AV773" t="str">
            <v>21090460-6</v>
          </cell>
          <cell r="AW773" t="str">
            <v>21090460-7</v>
          </cell>
          <cell r="BA773" t="str">
            <v>520x870</v>
          </cell>
        </row>
        <row r="774">
          <cell r="A774" t="str">
            <v>sp 1453</v>
          </cell>
          <cell r="B774" t="str">
            <v>Cuộn khăn khô Dry Floor cloths 20 tờ 310mm 3853 tím</v>
          </cell>
          <cell r="E774">
            <v>7</v>
          </cell>
          <cell r="F774">
            <v>7</v>
          </cell>
          <cell r="AO774" t="str">
            <v>Công ty Đông Hiệp</v>
          </cell>
          <cell r="AQ774" t="str">
            <v>F129430-1</v>
          </cell>
          <cell r="AR774" t="str">
            <v>F129430-2</v>
          </cell>
          <cell r="AS774" t="str">
            <v>F129430-3</v>
          </cell>
          <cell r="AT774" t="str">
            <v>F129430-4</v>
          </cell>
          <cell r="AU774" t="str">
            <v>F129430-5</v>
          </cell>
          <cell r="AV774" t="str">
            <v>F129430-6</v>
          </cell>
          <cell r="AW774" t="str">
            <v>F129430-7</v>
          </cell>
          <cell r="BA774" t="str">
            <v>436x870</v>
          </cell>
        </row>
        <row r="775">
          <cell r="A775" t="str">
            <v>sp 1454</v>
          </cell>
          <cell r="B775" t="str">
            <v>Cuộn bánh merry quy sữa 24g màu hồng</v>
          </cell>
          <cell r="E775">
            <v>3</v>
          </cell>
          <cell r="F775">
            <v>3</v>
          </cell>
          <cell r="AO775" t="str">
            <v>Công ty Richy</v>
          </cell>
          <cell r="AQ775" t="str">
            <v>F129446-1</v>
          </cell>
          <cell r="AR775" t="str">
            <v>F129446-2</v>
          </cell>
          <cell r="AS775" t="str">
            <v>F129446-3</v>
          </cell>
          <cell r="BA775" t="str">
            <v>428x1100</v>
          </cell>
        </row>
        <row r="776">
          <cell r="A776" t="str">
            <v>sp 1455</v>
          </cell>
          <cell r="B776" t="str">
            <v>Cuộn thuốc thú y in chung 10gr Đức Hạnh</v>
          </cell>
          <cell r="E776">
            <v>2</v>
          </cell>
          <cell r="F776">
            <v>2</v>
          </cell>
          <cell r="AO776" t="str">
            <v>Công ty Đức Hạnh</v>
          </cell>
          <cell r="AQ776" t="str">
            <v>21090631-1</v>
          </cell>
          <cell r="AR776" t="str">
            <v>21090631-2</v>
          </cell>
          <cell r="BA776" t="str">
            <v>500x870</v>
          </cell>
        </row>
        <row r="777">
          <cell r="A777" t="str">
            <v>sp 1456</v>
          </cell>
          <cell r="B777" t="str">
            <v>Túi hạt giống bí xanh sặt 3838 lucky sao việt</v>
          </cell>
          <cell r="E777">
            <v>5</v>
          </cell>
          <cell r="F777">
            <v>5</v>
          </cell>
          <cell r="AO777" t="str">
            <v>Công ty Lucky</v>
          </cell>
          <cell r="AQ777" t="str">
            <v>21090672-1</v>
          </cell>
          <cell r="AR777" t="str">
            <v>21090672-2</v>
          </cell>
          <cell r="AS777" t="str">
            <v>21090672-3</v>
          </cell>
          <cell r="AT777" t="str">
            <v>21090672-4</v>
          </cell>
          <cell r="AU777" t="str">
            <v>21090672-5</v>
          </cell>
          <cell r="BA777" t="str">
            <v>760x870</v>
          </cell>
        </row>
        <row r="778">
          <cell r="A778" t="str">
            <v>sp 1457</v>
          </cell>
          <cell r="B778" t="str">
            <v>Cuộn hạt giống cải ngọt cọng xanh A1 Japan và Việt Nhật (3 SP) kt130x190</v>
          </cell>
          <cell r="E778">
            <v>5</v>
          </cell>
          <cell r="F778">
            <v>5</v>
          </cell>
          <cell r="AO778" t="str">
            <v>Công ty giống Việt Nhật</v>
          </cell>
          <cell r="AQ778" t="str">
            <v>21090876-1</v>
          </cell>
          <cell r="AR778" t="str">
            <v>21090876-2</v>
          </cell>
          <cell r="AS778" t="str">
            <v>21090876-3</v>
          </cell>
          <cell r="AT778" t="str">
            <v>21090876-4</v>
          </cell>
          <cell r="AU778" t="str">
            <v>21090876-5</v>
          </cell>
          <cell r="BA778" t="str">
            <v>570x870</v>
          </cell>
        </row>
        <row r="779">
          <cell r="A779" t="str">
            <v>sp 1458</v>
          </cell>
          <cell r="B779" t="str">
            <v>Cuộn đường trắng Winmart Good 1kg Lasuco mã 333</v>
          </cell>
          <cell r="E779">
            <v>8</v>
          </cell>
          <cell r="F779">
            <v>8</v>
          </cell>
          <cell r="AO779" t="str">
            <v>Công ty Winmart Good</v>
          </cell>
          <cell r="AQ779" t="str">
            <v>F129730-1</v>
          </cell>
          <cell r="AR779" t="str">
            <v>F129730-2</v>
          </cell>
          <cell r="AS779" t="str">
            <v>F129730-3</v>
          </cell>
          <cell r="AT779" t="str">
            <v>F129730-4</v>
          </cell>
          <cell r="AU779" t="str">
            <v>F129730-5</v>
          </cell>
          <cell r="AV779" t="str">
            <v>F129730-6</v>
          </cell>
          <cell r="AW779" t="str">
            <v>F129730-7</v>
          </cell>
          <cell r="AX779" t="str">
            <v>F129730-8</v>
          </cell>
          <cell r="BA779" t="str">
            <v>500x870</v>
          </cell>
        </row>
        <row r="780">
          <cell r="A780" t="str">
            <v>sp 1459</v>
          </cell>
          <cell r="B780" t="str">
            <v>Cuộn đường tinh luyện Winmart Good 500gr Lasuco mã 302</v>
          </cell>
          <cell r="E780">
            <v>8</v>
          </cell>
          <cell r="F780">
            <v>8</v>
          </cell>
          <cell r="AO780" t="str">
            <v>Công ty Winmart Good</v>
          </cell>
          <cell r="AQ780" t="str">
            <v>F129732-1</v>
          </cell>
          <cell r="AR780" t="str">
            <v>F129732-2</v>
          </cell>
          <cell r="AS780" t="str">
            <v>F129732-3</v>
          </cell>
          <cell r="AT780" t="str">
            <v>F129732-4</v>
          </cell>
          <cell r="AU780" t="str">
            <v>F129732-5</v>
          </cell>
          <cell r="AV780" t="str">
            <v>F129732-6</v>
          </cell>
          <cell r="AW780" t="str">
            <v>F129732-7</v>
          </cell>
          <cell r="AX780" t="str">
            <v>F129732-8</v>
          </cell>
          <cell r="BA780" t="str">
            <v>420x1100</v>
          </cell>
        </row>
        <row r="781">
          <cell r="A781" t="str">
            <v>sp 1460</v>
          </cell>
          <cell r="B781" t="str">
            <v>Cuộn đường tinh luyện Winmart Good 1kg Lasuco mã 319</v>
          </cell>
          <cell r="E781">
            <v>7</v>
          </cell>
          <cell r="F781">
            <v>8</v>
          </cell>
          <cell r="AO781" t="str">
            <v>Công ty Winmart Good</v>
          </cell>
          <cell r="AQ781" t="str">
            <v>F129728-1</v>
          </cell>
          <cell r="AR781" t="str">
            <v>F129728-2</v>
          </cell>
          <cell r="AS781" t="str">
            <v>F129728-3</v>
          </cell>
          <cell r="AT781" t="str">
            <v>F129728-4</v>
          </cell>
          <cell r="AU781" t="str">
            <v>F129728-5</v>
          </cell>
          <cell r="AV781" t="str">
            <v>F129728-6</v>
          </cell>
          <cell r="AW781" t="str">
            <v>F129728-7</v>
          </cell>
          <cell r="AX781" t="str">
            <v>F129730-8</v>
          </cell>
          <cell r="BA781" t="str">
            <v>500x870</v>
          </cell>
          <cell r="BC781" t="str">
            <v>Dùng chung cây trắng với sp 1458</v>
          </cell>
        </row>
        <row r="782">
          <cell r="A782" t="str">
            <v>sp 1461</v>
          </cell>
          <cell r="B782" t="str">
            <v>Cuộn đường tinh luyện Winmart Good 500gr Lasuco mã 326</v>
          </cell>
          <cell r="E782">
            <v>7</v>
          </cell>
          <cell r="F782">
            <v>8</v>
          </cell>
          <cell r="AO782" t="str">
            <v>Công ty Winmart Good</v>
          </cell>
          <cell r="AQ782" t="str">
            <v>F129731-1</v>
          </cell>
          <cell r="AR782" t="str">
            <v>F129731-2</v>
          </cell>
          <cell r="AS782" t="str">
            <v>F129731-3</v>
          </cell>
          <cell r="AT782" t="str">
            <v>F129731-4</v>
          </cell>
          <cell r="AU782" t="str">
            <v>F129731-5</v>
          </cell>
          <cell r="AV782" t="str">
            <v>F129731-6</v>
          </cell>
          <cell r="AW782" t="str">
            <v>F129731-7</v>
          </cell>
          <cell r="AX782" t="str">
            <v>F129732-8</v>
          </cell>
          <cell r="BA782" t="str">
            <v>420x1100</v>
          </cell>
          <cell r="BC782" t="str">
            <v>Dùng chung cây trắng với sp 1459</v>
          </cell>
        </row>
        <row r="783">
          <cell r="A783" t="str">
            <v>sp 1462</v>
          </cell>
          <cell r="B783" t="str">
            <v>Cuộn thuốc sitar 5gr traphaco</v>
          </cell>
          <cell r="E783">
            <v>3</v>
          </cell>
          <cell r="F783">
            <v>3</v>
          </cell>
          <cell r="AO783" t="str">
            <v>Công ty Traphaco</v>
          </cell>
          <cell r="AQ783" t="str">
            <v>21100114-1</v>
          </cell>
          <cell r="AR783" t="str">
            <v>21100114-2</v>
          </cell>
          <cell r="AS783" t="str">
            <v>21100114-3</v>
          </cell>
          <cell r="BA783" t="str">
            <v>456x870</v>
          </cell>
        </row>
        <row r="784">
          <cell r="A784" t="str">
            <v>sp 1463</v>
          </cell>
          <cell r="B784" t="str">
            <v>Cuộn thuốc trà gừng 3g cốm CNC Traphaco</v>
          </cell>
          <cell r="E784">
            <v>2</v>
          </cell>
          <cell r="F784">
            <v>2</v>
          </cell>
          <cell r="AO784" t="str">
            <v>Công ty CNC Traphaco</v>
          </cell>
          <cell r="AQ784" t="str">
            <v>21100090-1</v>
          </cell>
          <cell r="AR784" t="str">
            <v>21100090-2</v>
          </cell>
          <cell r="BA784" t="str">
            <v>480x870</v>
          </cell>
        </row>
        <row r="785">
          <cell r="A785" t="str">
            <v>sp 1464</v>
          </cell>
          <cell r="B785" t="str">
            <v>Cuộn trà giải độc gan Nam Dược khổ 65.5mm</v>
          </cell>
          <cell r="E785">
            <v>8</v>
          </cell>
          <cell r="F785">
            <v>8</v>
          </cell>
          <cell r="AO785" t="str">
            <v>Công ty Nam Dược</v>
          </cell>
          <cell r="AQ785" t="str">
            <v>21101042-1</v>
          </cell>
          <cell r="AR785" t="str">
            <v>21101042-2</v>
          </cell>
          <cell r="AS785" t="str">
            <v>21101042-3</v>
          </cell>
          <cell r="AT785" t="str">
            <v>21101042-4</v>
          </cell>
          <cell r="AU785" t="str">
            <v>21101042-5</v>
          </cell>
          <cell r="AV785" t="str">
            <v>21101042-6</v>
          </cell>
          <cell r="AW785" t="str">
            <v>21101042-7</v>
          </cell>
          <cell r="AX785" t="str">
            <v>21101042-8</v>
          </cell>
          <cell r="BA785" t="str">
            <v>462x860</v>
          </cell>
        </row>
        <row r="786">
          <cell r="A786" t="str">
            <v>sp 1465</v>
          </cell>
          <cell r="B786" t="str">
            <v>Cuộn hạt giống mùi , thì là , cải mơ lùn Lucky</v>
          </cell>
          <cell r="E786">
            <v>5</v>
          </cell>
          <cell r="F786">
            <v>5</v>
          </cell>
          <cell r="AO786" t="str">
            <v>Công ty giống Lucky</v>
          </cell>
          <cell r="AQ786" t="str">
            <v>21100667-1</v>
          </cell>
          <cell r="AR786" t="str">
            <v>21100667-2</v>
          </cell>
          <cell r="AS786" t="str">
            <v>21100667-3</v>
          </cell>
          <cell r="AT786" t="str">
            <v>21100667-4</v>
          </cell>
          <cell r="AU786" t="str">
            <v>21100667-5</v>
          </cell>
          <cell r="BA786" t="str">
            <v>570x870</v>
          </cell>
        </row>
        <row r="787">
          <cell r="A787" t="str">
            <v>sp 1466</v>
          </cell>
          <cell r="B787" t="str">
            <v>Cuộn hạt giống mùi , thì là sao việt, ngồng cari Lucky</v>
          </cell>
          <cell r="E787">
            <v>4</v>
          </cell>
          <cell r="F787">
            <v>5</v>
          </cell>
          <cell r="AO787" t="str">
            <v>Công ty giống Lucky</v>
          </cell>
          <cell r="AQ787" t="str">
            <v>21100668-1</v>
          </cell>
          <cell r="AR787" t="str">
            <v>21100668-2</v>
          </cell>
          <cell r="AS787" t="str">
            <v>21100668-3</v>
          </cell>
          <cell r="AT787" t="str">
            <v>21100668-4</v>
          </cell>
          <cell r="AU787" t="str">
            <v>21100667-5</v>
          </cell>
          <cell r="BA787" t="str">
            <v>570x870</v>
          </cell>
          <cell r="BC787" t="str">
            <v>Dùng chung cây trắng sp 1465</v>
          </cell>
        </row>
        <row r="788">
          <cell r="A788" t="str">
            <v>sp 1467</v>
          </cell>
          <cell r="B788" t="str">
            <v>Túi gạo hương thuần việt 5kg</v>
          </cell>
          <cell r="E788">
            <v>7</v>
          </cell>
          <cell r="F788">
            <v>7</v>
          </cell>
          <cell r="AO788" t="str">
            <v>Công ty Hà Thái</v>
          </cell>
          <cell r="AQ788" t="str">
            <v>21100670-1</v>
          </cell>
          <cell r="AR788" t="str">
            <v>21100670-2</v>
          </cell>
          <cell r="AS788" t="str">
            <v>21100670-3</v>
          </cell>
          <cell r="AT788" t="str">
            <v>21100670-4</v>
          </cell>
          <cell r="AU788" t="str">
            <v>21100670-5</v>
          </cell>
          <cell r="AV788" t="str">
            <v>21100670-6</v>
          </cell>
          <cell r="AW788" t="str">
            <v>21100670-7</v>
          </cell>
          <cell r="BA788" t="str">
            <v>470x870</v>
          </cell>
        </row>
        <row r="789">
          <cell r="A789" t="str">
            <v>sp 1468</v>
          </cell>
          <cell r="B789" t="str">
            <v>Cuộn men rượu nàng Thơm Nếp
Mới</v>
          </cell>
          <cell r="E789">
            <v>2</v>
          </cell>
          <cell r="F789">
            <v>2</v>
          </cell>
          <cell r="AO789" t="str">
            <v>Trường Nguyên</v>
          </cell>
          <cell r="AQ789" t="str">
            <v>21100714-1</v>
          </cell>
          <cell r="AR789" t="str">
            <v>21100714-2</v>
          </cell>
          <cell r="BA789" t="str">
            <v>465x1100</v>
          </cell>
        </row>
        <row r="790">
          <cell r="A790" t="str">
            <v>sp 1469</v>
          </cell>
          <cell r="B790" t="str">
            <v>Túi zipper tã dán Mamamy 3 miếng Ultraflow</v>
          </cell>
          <cell r="E790">
            <v>7</v>
          </cell>
          <cell r="F790">
            <v>7</v>
          </cell>
          <cell r="AO790" t="str">
            <v>Công ty Đông Hiệp</v>
          </cell>
          <cell r="AQ790" t="str">
            <v>F129707-1</v>
          </cell>
          <cell r="AR790" t="str">
            <v>F129707-2</v>
          </cell>
          <cell r="AS790" t="str">
            <v>F129707-3</v>
          </cell>
          <cell r="AT790" t="str">
            <v>F129707-4</v>
          </cell>
          <cell r="AU790" t="str">
            <v>F129707-5</v>
          </cell>
          <cell r="AV790" t="str">
            <v>F129707-6</v>
          </cell>
          <cell r="AW790" t="str">
            <v>F129707-7</v>
          </cell>
          <cell r="BA790" t="str">
            <v>510x870</v>
          </cell>
        </row>
        <row r="791">
          <cell r="A791" t="str">
            <v>sp 1470</v>
          </cell>
          <cell r="B791" t="str">
            <v>Cuộn bánh quy sữa 24gr Coop Richy</v>
          </cell>
          <cell r="E791">
            <v>2</v>
          </cell>
          <cell r="F791">
            <v>2</v>
          </cell>
          <cell r="AO791" t="str">
            <v>Công ty Richy</v>
          </cell>
          <cell r="AQ791" t="str">
            <v>21101146-1</v>
          </cell>
          <cell r="AR791" t="str">
            <v>21101146-2</v>
          </cell>
          <cell r="BA791" t="str">
            <v>428x1100</v>
          </cell>
        </row>
        <row r="792">
          <cell r="A792" t="str">
            <v>sp 1471</v>
          </cell>
        </row>
        <row r="793">
          <cell r="A793" t="str">
            <v>sp 1472</v>
          </cell>
          <cell r="B793" t="str">
            <v>Cuộn trà tan loại que ice tea hương chanh Vĩnh Phúc</v>
          </cell>
          <cell r="E793">
            <v>5</v>
          </cell>
          <cell r="F793">
            <v>5</v>
          </cell>
          <cell r="AO793" t="str">
            <v>Công ty Vĩnh Phúc</v>
          </cell>
          <cell r="AQ793" t="str">
            <v>21110097-1</v>
          </cell>
          <cell r="AR793" t="str">
            <v>21110097-2</v>
          </cell>
          <cell r="AS793" t="str">
            <v>21110097-3</v>
          </cell>
          <cell r="AT793" t="str">
            <v>21110097-4</v>
          </cell>
          <cell r="AU793" t="str">
            <v>21110097-5</v>
          </cell>
          <cell r="BA793" t="str">
            <v>450x1100</v>
          </cell>
        </row>
        <row r="794">
          <cell r="A794" t="str">
            <v>sp 1473</v>
          </cell>
          <cell r="B794" t="str">
            <v xml:space="preserve">Cuộn bánh bao đậu xanh lá dứa 280gr  </v>
          </cell>
          <cell r="E794">
            <v>6</v>
          </cell>
          <cell r="F794">
            <v>6</v>
          </cell>
          <cell r="AO794" t="str">
            <v>Công ty Phú Mỹ</v>
          </cell>
          <cell r="AQ794" t="str">
            <v>21110161-1</v>
          </cell>
          <cell r="AR794" t="str">
            <v>21110161-2</v>
          </cell>
          <cell r="AS794" t="str">
            <v>21110161-3</v>
          </cell>
          <cell r="AT794" t="str">
            <v>21110161-4</v>
          </cell>
          <cell r="AU794" t="str">
            <v>21110161-5</v>
          </cell>
          <cell r="AV794" t="str">
            <v>21110161-6</v>
          </cell>
          <cell r="BA794" t="str">
            <v>474x1100</v>
          </cell>
        </row>
        <row r="795">
          <cell r="A795" t="str">
            <v>sp 1474</v>
          </cell>
          <cell r="B795" t="str">
            <v>Túi thuốc thú y Sun SVT Pharma 10g Thái Dương</v>
          </cell>
          <cell r="E795">
            <v>1</v>
          </cell>
          <cell r="F795">
            <v>1</v>
          </cell>
          <cell r="AO795" t="str">
            <v>Công ty Thái Dương</v>
          </cell>
          <cell r="AQ795" t="str">
            <v>21110393-1</v>
          </cell>
          <cell r="BA795" t="str">
            <v>450x870</v>
          </cell>
        </row>
        <row r="796">
          <cell r="A796" t="str">
            <v>sp 1475</v>
          </cell>
          <cell r="B796" t="str">
            <v>Túi hạt giống lúa lai QL 301 1kg Thái Bình</v>
          </cell>
          <cell r="E796">
            <v>7</v>
          </cell>
          <cell r="F796">
            <v>7</v>
          </cell>
          <cell r="AO796" t="str">
            <v>Công ty Thái Bình</v>
          </cell>
          <cell r="AQ796" t="str">
            <v>21110592-1</v>
          </cell>
          <cell r="AR796" t="str">
            <v>21110592-2</v>
          </cell>
          <cell r="AS796" t="str">
            <v>21110592-3</v>
          </cell>
          <cell r="AT796" t="str">
            <v>21110592-4</v>
          </cell>
          <cell r="AU796" t="str">
            <v>21110592-5</v>
          </cell>
          <cell r="AV796" t="str">
            <v>21110592-6</v>
          </cell>
          <cell r="AW796" t="str">
            <v>21110592-7</v>
          </cell>
          <cell r="BA796" t="str">
            <v>620x1100</v>
          </cell>
        </row>
        <row r="797">
          <cell r="A797" t="str">
            <v>sp 1476</v>
          </cell>
          <cell r="B797" t="str">
            <v>Túi hạt giống lúa lai QL 301 40kg Thái Bình</v>
          </cell>
          <cell r="E797">
            <v>6</v>
          </cell>
          <cell r="F797">
            <v>6</v>
          </cell>
          <cell r="AO797" t="str">
            <v>Công ty Thái Bình</v>
          </cell>
          <cell r="AQ797" t="str">
            <v>21110591-1</v>
          </cell>
          <cell r="AR797" t="str">
            <v>21110591-2</v>
          </cell>
          <cell r="AS797" t="str">
            <v>21110591-3</v>
          </cell>
          <cell r="AT797" t="str">
            <v>21110591-4</v>
          </cell>
          <cell r="AU797" t="str">
            <v>21110591-5</v>
          </cell>
          <cell r="AV797" t="str">
            <v>21110591-6</v>
          </cell>
          <cell r="BA797" t="str">
            <v>850x1100</v>
          </cell>
        </row>
        <row r="798">
          <cell r="A798" t="str">
            <v>sp 1477</v>
          </cell>
          <cell r="B798" t="str">
            <v>Túi zipper khẩu trang kháng khuẩn KF94 Đăng Khôi</v>
          </cell>
          <cell r="E798">
            <v>3</v>
          </cell>
          <cell r="F798">
            <v>3</v>
          </cell>
          <cell r="AO798" t="str">
            <v>Công ty Đăng Khôi</v>
          </cell>
          <cell r="AQ798" t="str">
            <v>HD32111058-1</v>
          </cell>
          <cell r="AR798" t="str">
            <v>HD32111058-2</v>
          </cell>
          <cell r="AS798" t="str">
            <v>HD32111058-3</v>
          </cell>
          <cell r="BA798" t="str">
            <v>480x870</v>
          </cell>
        </row>
        <row r="799">
          <cell r="A799" t="str">
            <v>sp 1478</v>
          </cell>
          <cell r="B799" t="str">
            <v>Cuộn màng nhôm xingfa Interior</v>
          </cell>
          <cell r="E799">
            <v>2</v>
          </cell>
          <cell r="F799">
            <v>2</v>
          </cell>
          <cell r="AO799" t="str">
            <v>Công ty Cơ Điện</v>
          </cell>
          <cell r="AQ799" t="str">
            <v>21110743-1</v>
          </cell>
          <cell r="AR799" t="str">
            <v>21110743-2</v>
          </cell>
          <cell r="BA799" t="str">
            <v>600x1300</v>
          </cell>
        </row>
        <row r="800">
          <cell r="A800" t="str">
            <v>sp 1479</v>
          </cell>
          <cell r="B800" t="str">
            <v>Túi hạt giống lúa bao chung 1kg Mahyco</v>
          </cell>
          <cell r="E800">
            <v>5</v>
          </cell>
          <cell r="F800">
            <v>5</v>
          </cell>
          <cell r="AO800" t="str">
            <v>Công ty Mahyco</v>
          </cell>
          <cell r="AQ800" t="str">
            <v>21111065-1</v>
          </cell>
          <cell r="AR800" t="str">
            <v>21111065-2</v>
          </cell>
          <cell r="AS800" t="str">
            <v>21111065-3</v>
          </cell>
          <cell r="AT800" t="str">
            <v>21111065-4</v>
          </cell>
          <cell r="AU800" t="str">
            <v>21111065-5</v>
          </cell>
          <cell r="BA800" t="str">
            <v>600x1100</v>
          </cell>
        </row>
        <row r="801">
          <cell r="A801" t="str">
            <v>sp 1480</v>
          </cell>
          <cell r="B801" t="str">
            <v>Túi nhôm viên nén bao phim Rosuvastatin 1 vỉ x 10 viên 5mg</v>
          </cell>
          <cell r="E801">
            <v>3</v>
          </cell>
          <cell r="F801">
            <v>3</v>
          </cell>
          <cell r="AO801" t="str">
            <v>Công ty Traphaco</v>
          </cell>
          <cell r="AQ801" t="str">
            <v>21120031-1</v>
          </cell>
          <cell r="AR801" t="str">
            <v>21120031-2</v>
          </cell>
          <cell r="AS801" t="str">
            <v>21120031-3</v>
          </cell>
          <cell r="BA801" t="str">
            <v>540x870</v>
          </cell>
        </row>
        <row r="802">
          <cell r="A802" t="str">
            <v>sp 1481</v>
          </cell>
          <cell r="B802" t="str">
            <v>Túi nhôm viên nén bao phim Rosuvastatin 1 vỉ x 10 viên 10mg</v>
          </cell>
          <cell r="E802">
            <v>1</v>
          </cell>
          <cell r="F802">
            <v>3</v>
          </cell>
          <cell r="AO802" t="str">
            <v>Công ty Traphaco</v>
          </cell>
          <cell r="AQ802" t="str">
            <v>21120032-1</v>
          </cell>
          <cell r="AR802" t="str">
            <v>21120031-2</v>
          </cell>
          <cell r="AS802" t="str">
            <v>21120031-3</v>
          </cell>
          <cell r="BA802" t="str">
            <v>540x870</v>
          </cell>
        </row>
        <row r="803">
          <cell r="A803" t="str">
            <v>sp 1482</v>
          </cell>
          <cell r="B803" t="str">
            <v>Túi nhôm viên nén bao phim Rosuvastatin 1 vỉ x 10 viên 20mg</v>
          </cell>
          <cell r="E803">
            <v>1</v>
          </cell>
          <cell r="F803">
            <v>3</v>
          </cell>
          <cell r="AO803" t="str">
            <v>Công ty Traphaco</v>
          </cell>
          <cell r="AQ803" t="str">
            <v>21120033-1</v>
          </cell>
          <cell r="AR803" t="str">
            <v>21120031-2</v>
          </cell>
          <cell r="AS803" t="str">
            <v>21120031-3</v>
          </cell>
          <cell r="BA803" t="str">
            <v>540x870</v>
          </cell>
        </row>
        <row r="804">
          <cell r="A804" t="str">
            <v>sp 1483</v>
          </cell>
          <cell r="B804" t="str">
            <v>Cuộn bánh xá xíu 100g</v>
          </cell>
          <cell r="E804">
            <v>7</v>
          </cell>
          <cell r="F804">
            <v>7</v>
          </cell>
          <cell r="AO804" t="str">
            <v>Công ty Phú Mỹ</v>
          </cell>
          <cell r="AQ804" t="str">
            <v>21120576-1</v>
          </cell>
          <cell r="AR804" t="str">
            <v>21111114-2</v>
          </cell>
          <cell r="AS804" t="str">
            <v>21111114-3</v>
          </cell>
          <cell r="AT804" t="str">
            <v>21111114-4</v>
          </cell>
          <cell r="AU804" t="str">
            <v>21111114-5</v>
          </cell>
          <cell r="AV804" t="str">
            <v>21111114-6</v>
          </cell>
          <cell r="AW804" t="str">
            <v>21111114-7</v>
          </cell>
          <cell r="BA804" t="str">
            <v>525x870</v>
          </cell>
        </row>
        <row r="805">
          <cell r="A805" t="str">
            <v>sp 1484</v>
          </cell>
          <cell r="B805" t="str">
            <v>Túi zipper khẩu trang y tế KF94 Duy Ngọc</v>
          </cell>
          <cell r="E805">
            <v>5</v>
          </cell>
          <cell r="F805">
            <v>5</v>
          </cell>
          <cell r="AO805" t="str">
            <v>Công ty Duy Ngọc</v>
          </cell>
          <cell r="AQ805" t="str">
            <v>21111206-1</v>
          </cell>
          <cell r="AR805" t="str">
            <v>21111206-2</v>
          </cell>
          <cell r="AS805" t="str">
            <v>21111206-3</v>
          </cell>
          <cell r="AT805" t="str">
            <v>21111206-4</v>
          </cell>
          <cell r="AU805" t="str">
            <v>21111206-5</v>
          </cell>
          <cell r="BA805" t="str">
            <v>500x870</v>
          </cell>
        </row>
        <row r="806">
          <cell r="A806" t="str">
            <v>sp 1485</v>
          </cell>
          <cell r="B806" t="str">
            <v>Cuộn nhôm hoàn cứng Q-Tyta 5G</v>
          </cell>
          <cell r="E806">
            <v>3</v>
          </cell>
          <cell r="F806">
            <v>3</v>
          </cell>
          <cell r="AO806" t="str">
            <v>Công ty CNC Traphaco</v>
          </cell>
          <cell r="AQ806" t="str">
            <v>21120214-1</v>
          </cell>
          <cell r="AR806" t="str">
            <v>21120214-2</v>
          </cell>
          <cell r="AS806" t="str">
            <v>21120214-3</v>
          </cell>
          <cell r="BA806" t="str">
            <v>456x870</v>
          </cell>
        </row>
        <row r="807">
          <cell r="A807" t="str">
            <v>sp 1486</v>
          </cell>
          <cell r="B807" t="str">
            <v>Cuộn đường trắng thượng hạng Lam Sơn 1kg White premium sugar</v>
          </cell>
          <cell r="E807">
            <v>8</v>
          </cell>
          <cell r="F807">
            <v>8</v>
          </cell>
          <cell r="AO807" t="str">
            <v>Công ty Lam Sơn</v>
          </cell>
          <cell r="AQ807" t="str">
            <v>F130063-1</v>
          </cell>
          <cell r="AR807" t="str">
            <v>F130063-2</v>
          </cell>
          <cell r="AS807" t="str">
            <v>F130063-3</v>
          </cell>
          <cell r="AT807" t="str">
            <v>F130063-4</v>
          </cell>
          <cell r="AU807" t="str">
            <v>F130063-5</v>
          </cell>
          <cell r="AV807" t="str">
            <v>F130063-6</v>
          </cell>
          <cell r="AW807" t="str">
            <v>F130063-7</v>
          </cell>
          <cell r="AX807" t="str">
            <v>F130063-8</v>
          </cell>
          <cell r="BA807" t="str">
            <v>520x870</v>
          </cell>
        </row>
        <row r="808">
          <cell r="A808" t="str">
            <v>sp 1487</v>
          </cell>
          <cell r="B808" t="str">
            <v>Cuộn đường Vàng tinh khiết Lam Sơn
1kg Pure yellow sugar</v>
          </cell>
          <cell r="E808">
            <v>7</v>
          </cell>
          <cell r="F808">
            <v>8</v>
          </cell>
          <cell r="AO808" t="str">
            <v>Công ty Lam Sơn</v>
          </cell>
          <cell r="AQ808" t="str">
            <v>F130064-1</v>
          </cell>
          <cell r="AR808" t="str">
            <v>F130064-2</v>
          </cell>
          <cell r="AS808" t="str">
            <v>F130063-3</v>
          </cell>
          <cell r="AT808" t="str">
            <v>F130064-4</v>
          </cell>
          <cell r="AU808" t="str">
            <v>F130064-5</v>
          </cell>
          <cell r="AV808" t="str">
            <v>F130064-6</v>
          </cell>
          <cell r="AW808" t="str">
            <v>F130064-7</v>
          </cell>
          <cell r="AX808" t="str">
            <v>F130064G1-8</v>
          </cell>
          <cell r="BA808" t="str">
            <v>520x870</v>
          </cell>
          <cell r="BC808" t="str">
            <v>Dùng chung cây số 3 với sp 1486</v>
          </cell>
        </row>
        <row r="809">
          <cell r="A809" t="str">
            <v>sp 1488</v>
          </cell>
          <cell r="B809" t="str">
            <v>Cuộn đường tinh luyện xuất khẩu Lam
Sơn 1kg Sugar for export</v>
          </cell>
          <cell r="E809">
            <v>6</v>
          </cell>
          <cell r="F809">
            <v>7</v>
          </cell>
          <cell r="AO809" t="str">
            <v>Công ty Lam Sơn</v>
          </cell>
          <cell r="AR809" t="str">
            <v>F130065-2</v>
          </cell>
          <cell r="AS809" t="str">
            <v>F130065-3</v>
          </cell>
          <cell r="AT809" t="str">
            <v>F130065-4</v>
          </cell>
          <cell r="AU809" t="str">
            <v>F130065-5</v>
          </cell>
          <cell r="AV809" t="str">
            <v>F130065-6</v>
          </cell>
          <cell r="AW809" t="str">
            <v>F130065-7</v>
          </cell>
          <cell r="AX809" t="str">
            <v>F130063-8</v>
          </cell>
          <cell r="BA809" t="str">
            <v>520x870</v>
          </cell>
          <cell r="BC809" t="str">
            <v>Dùng chung cây trắng số 8 với sp 1486.Không có cây số 1</v>
          </cell>
        </row>
        <row r="810">
          <cell r="A810" t="str">
            <v>sp 1489</v>
          </cell>
          <cell r="B810" t="str">
            <v>Cuộn đường tinh luyện xuất khẩu Lam
Sơn 1kg Hoa anh đào</v>
          </cell>
          <cell r="E810">
            <v>6</v>
          </cell>
          <cell r="F810">
            <v>8</v>
          </cell>
          <cell r="AO810" t="str">
            <v>Công ty Lam Sơn</v>
          </cell>
          <cell r="AQ810" t="str">
            <v>F130066-1</v>
          </cell>
          <cell r="AR810" t="str">
            <v>F130063-2</v>
          </cell>
          <cell r="AS810" t="str">
            <v>F130066-3</v>
          </cell>
          <cell r="AT810" t="str">
            <v>F130066-4</v>
          </cell>
          <cell r="AU810" t="str">
            <v>F130066-5</v>
          </cell>
          <cell r="AV810" t="str">
            <v>F130066-6</v>
          </cell>
          <cell r="AW810" t="str">
            <v>F130066-7</v>
          </cell>
          <cell r="AX810" t="str">
            <v>F130063-8</v>
          </cell>
          <cell r="BA810" t="str">
            <v>520x870</v>
          </cell>
          <cell r="BC810" t="str">
            <v>Dùng chung cây số 2+8 với sp 1486</v>
          </cell>
        </row>
        <row r="811">
          <cell r="A811" t="str">
            <v>sp 1490</v>
          </cell>
          <cell r="B811" t="str">
            <v>Túi gạc răng miệng
Dr.papie - CNC Starmed</v>
          </cell>
          <cell r="E811">
            <v>2</v>
          </cell>
          <cell r="F811">
            <v>5</v>
          </cell>
          <cell r="AO811" t="str">
            <v>Công ty  CNC Starmed</v>
          </cell>
          <cell r="AQ811" t="str">
            <v>F130081-0</v>
          </cell>
          <cell r="AR811" t="str">
            <v>F130081-1</v>
          </cell>
          <cell r="AS811" t="str">
            <v>F122657G21-2</v>
          </cell>
          <cell r="AT811" t="str">
            <v>F122657G15-3</v>
          </cell>
          <cell r="AU811" t="str">
            <v>F122657G17-4</v>
          </cell>
          <cell r="BA811" t="str">
            <v>440x750</v>
          </cell>
          <cell r="BC811" t="str">
            <v>Chạy chung cây 2-3-4 với sp 1040</v>
          </cell>
        </row>
        <row r="812">
          <cell r="A812" t="str">
            <v>sp 1491</v>
          </cell>
          <cell r="B812" t="str">
            <v>Cuộn bánh bao liên tục mới Phú Mỹ mới</v>
          </cell>
          <cell r="E812">
            <v>2</v>
          </cell>
          <cell r="F812">
            <v>2</v>
          </cell>
          <cell r="AO812" t="str">
            <v>Công ty Phú Mỹ</v>
          </cell>
          <cell r="AQ812" t="str">
            <v>21120717-1</v>
          </cell>
          <cell r="AR812" t="str">
            <v>21120717-2</v>
          </cell>
          <cell r="BA812" t="str">
            <v>400x1100</v>
          </cell>
        </row>
        <row r="813">
          <cell r="A813" t="str">
            <v>sp 1492</v>
          </cell>
          <cell r="B813" t="str">
            <v>Cuộn trà túi lọc Nhân Trần-Cúc Hoa 2gr TH true</v>
          </cell>
          <cell r="E813">
            <v>8</v>
          </cell>
          <cell r="F813">
            <v>8</v>
          </cell>
          <cell r="AO813" t="str">
            <v>Công ty TH true Herbal</v>
          </cell>
          <cell r="AQ813" t="str">
            <v>21120676-1</v>
          </cell>
          <cell r="AR813" t="str">
            <v>21120676-2</v>
          </cell>
          <cell r="AS813" t="str">
            <v>21120676-3</v>
          </cell>
          <cell r="AT813" t="str">
            <v>21120676-4</v>
          </cell>
          <cell r="AU813" t="str">
            <v>21120676-5</v>
          </cell>
          <cell r="AV813" t="str">
            <v>21120676-6</v>
          </cell>
          <cell r="AW813" t="str">
            <v>21120676-7</v>
          </cell>
          <cell r="AX813" t="str">
            <v>21120676-8</v>
          </cell>
          <cell r="BA813" t="str">
            <v>462x870</v>
          </cell>
        </row>
        <row r="814">
          <cell r="A814" t="str">
            <v>sp 1493</v>
          </cell>
          <cell r="B814" t="str">
            <v>Cuộn trà túi lọc Giao Cổ Lam-Linh Chi 2gr TH true</v>
          </cell>
          <cell r="E814">
            <v>5</v>
          </cell>
          <cell r="F814">
            <v>8</v>
          </cell>
          <cell r="AO814" t="str">
            <v>Công ty TH true Herbal</v>
          </cell>
          <cell r="AQ814" t="str">
            <v>21120677-1</v>
          </cell>
          <cell r="AR814" t="str">
            <v>21120676-2</v>
          </cell>
          <cell r="AS814" t="str">
            <v>21120676-3</v>
          </cell>
          <cell r="AT814" t="str">
            <v>21120677-4</v>
          </cell>
          <cell r="AU814" t="str">
            <v>21120677-5</v>
          </cell>
          <cell r="AV814" t="str">
            <v>21120677-6</v>
          </cell>
          <cell r="AW814" t="str">
            <v>21120677-7</v>
          </cell>
          <cell r="AX814" t="str">
            <v>21120676-8</v>
          </cell>
          <cell r="BA814" t="str">
            <v>462x870</v>
          </cell>
          <cell r="BC814" t="str">
            <v>Dùng chung cây 2;3;8 với sp 1492</v>
          </cell>
        </row>
        <row r="815">
          <cell r="A815" t="str">
            <v>sp 1494</v>
          </cell>
          <cell r="B815" t="str">
            <v>Cuộn trà túi lọc Tía Tô-Gừng 2gr TH true</v>
          </cell>
          <cell r="E815">
            <v>5</v>
          </cell>
          <cell r="F815">
            <v>8</v>
          </cell>
          <cell r="AO815" t="str">
            <v>Công ty TH true Herbal</v>
          </cell>
          <cell r="AQ815" t="str">
            <v>21120679-1</v>
          </cell>
          <cell r="AR815" t="str">
            <v>21120676-2</v>
          </cell>
          <cell r="AS815" t="str">
            <v>21120676-3</v>
          </cell>
          <cell r="AT815" t="str">
            <v>21120679-4</v>
          </cell>
          <cell r="AU815" t="str">
            <v>21120679-5</v>
          </cell>
          <cell r="AV815" t="str">
            <v>21120679-6</v>
          </cell>
          <cell r="AW815" t="str">
            <v>21120679-7</v>
          </cell>
          <cell r="AX815" t="str">
            <v>21120676-8</v>
          </cell>
          <cell r="BA815" t="str">
            <v>462x870</v>
          </cell>
          <cell r="BC815" t="str">
            <v>Dùng chung cây 2;3;8 với sp 1492</v>
          </cell>
        </row>
        <row r="816">
          <cell r="A816" t="str">
            <v>sp 1495</v>
          </cell>
          <cell r="B816" t="str">
            <v>Cuộn trà túi lọc Lạc Tiên-Tâm Sen 2gr TH true</v>
          </cell>
          <cell r="E816">
            <v>5</v>
          </cell>
          <cell r="F816">
            <v>8</v>
          </cell>
          <cell r="AO816" t="str">
            <v>Công ty TH true Herbal</v>
          </cell>
          <cell r="AQ816" t="str">
            <v>21120678-1</v>
          </cell>
          <cell r="AR816" t="str">
            <v>21120676-2</v>
          </cell>
          <cell r="AS816" t="str">
            <v>21120676-3</v>
          </cell>
          <cell r="AT816" t="str">
            <v>21120678-4</v>
          </cell>
          <cell r="AU816" t="str">
            <v>21120678-5</v>
          </cell>
          <cell r="AV816" t="str">
            <v>21120678-6</v>
          </cell>
          <cell r="AW816" t="str">
            <v>21120678-7</v>
          </cell>
          <cell r="AX816" t="str">
            <v>21120676-8</v>
          </cell>
          <cell r="BA816" t="str">
            <v>462x870</v>
          </cell>
          <cell r="BC816" t="str">
            <v>Dùng chung cây 2;3;8 với sp 1492</v>
          </cell>
        </row>
        <row r="817">
          <cell r="A817" t="str">
            <v>sp 1496</v>
          </cell>
          <cell r="B817" t="str">
            <v>Túi zipper khẩu trang kháng khuẩn Quyền Linh KF94 Duy Ngọc</v>
          </cell>
          <cell r="E817">
            <v>4</v>
          </cell>
          <cell r="F817">
            <v>4</v>
          </cell>
          <cell r="AO817" t="str">
            <v>Công ty Duy Ngọc</v>
          </cell>
          <cell r="AQ817" t="str">
            <v>F130193-1</v>
          </cell>
          <cell r="AR817" t="str">
            <v>F130193-2</v>
          </cell>
          <cell r="AS817" t="str">
            <v>F130193-3</v>
          </cell>
          <cell r="AT817" t="str">
            <v>F130193-4</v>
          </cell>
          <cell r="BA817" t="str">
            <v>500x880</v>
          </cell>
        </row>
        <row r="818">
          <cell r="A818" t="str">
            <v>sp 1497</v>
          </cell>
          <cell r="B818" t="str">
            <v xml:space="preserve">
Túi zipper khẩu trang kháng khuẩn KF94 Forture Mask Việt Nam</v>
          </cell>
          <cell r="E818">
            <v>4</v>
          </cell>
          <cell r="F818">
            <v>4</v>
          </cell>
          <cell r="AO818" t="str">
            <v>Công ty Forture Việt Nam</v>
          </cell>
          <cell r="AQ818" t="str">
            <v>21120712-1</v>
          </cell>
          <cell r="AR818" t="str">
            <v>21120712-2</v>
          </cell>
          <cell r="AS818" t="str">
            <v>21120712-3</v>
          </cell>
          <cell r="AT818" t="str">
            <v>21120712-4</v>
          </cell>
          <cell r="BA818" t="str">
            <v>500x870</v>
          </cell>
        </row>
        <row r="819">
          <cell r="A819" t="str">
            <v>sp 1498</v>
          </cell>
        </row>
        <row r="820">
          <cell r="A820" t="str">
            <v>sp 1499</v>
          </cell>
        </row>
        <row r="821">
          <cell r="A821" t="str">
            <v>sp 1500</v>
          </cell>
        </row>
        <row r="822">
          <cell r="A822" t="str">
            <v>TK 01</v>
          </cell>
          <cell r="B822" t="str">
            <v>Trục vớt keo có ngõng 2.3g New 654.9 x 1350</v>
          </cell>
          <cell r="E822">
            <v>1</v>
          </cell>
          <cell r="F822">
            <v>1</v>
          </cell>
          <cell r="AO822" t="str">
            <v>Công ty Hoàng Hạc</v>
          </cell>
          <cell r="AQ822" t="str">
            <v>20040498-1</v>
          </cell>
          <cell r="BA822" t="str">
            <v>659.4x1350</v>
          </cell>
          <cell r="BD822" t="str">
            <v>Trục dùng cho các sản phẩm chạy 2.3g keo</v>
          </cell>
        </row>
        <row r="823">
          <cell r="A823" t="str">
            <v>TK 02</v>
          </cell>
          <cell r="B823" t="str">
            <v>Trục vớt keo có ngõng 3g New 659.7x1350</v>
          </cell>
          <cell r="E823">
            <v>1</v>
          </cell>
          <cell r="F823">
            <v>1</v>
          </cell>
          <cell r="AO823" t="str">
            <v>Công ty Hoàng Hạc</v>
          </cell>
          <cell r="AQ823" t="str">
            <v>20070378-1</v>
          </cell>
          <cell r="BA823" t="str">
            <v>659.7x1350</v>
          </cell>
          <cell r="BD823" t="str">
            <v>Trục dùng cho các sản phẩm chạy 3g keo</v>
          </cell>
        </row>
        <row r="824">
          <cell r="A824" t="str">
            <v>TK 03</v>
          </cell>
          <cell r="B824" t="str">
            <v>Trục vớt keo có ngõng 2.3g New 654.9 x 1350 (2)</v>
          </cell>
          <cell r="E824">
            <v>1</v>
          </cell>
          <cell r="F824">
            <v>1</v>
          </cell>
          <cell r="AO824" t="str">
            <v>Công ty Hoàng Hạc</v>
          </cell>
          <cell r="AQ824" t="str">
            <v>21110535-1</v>
          </cell>
          <cell r="BA824" t="str">
            <v>659.4x1350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ác bước lập KHSX"/>
      <sheetName val="Mater"/>
      <sheetName val="Mã SP"/>
      <sheetName val="T.H LSX"/>
      <sheetName val="Theo dõi lệnh"/>
      <sheetName val="Lệnh thổi ĐK"/>
      <sheetName val="Lệnh SX (2)"/>
      <sheetName val="Lệnh SX Màng co"/>
      <sheetName val="Lệnh SX"/>
      <sheetName val="Lệnh thổi BT Thg (2)"/>
      <sheetName val="Lệnh thổi BT đen trắng"/>
      <sheetName val="Lệnh thổi BT Thg"/>
      <sheetName val="Lệnh thổi BT"/>
      <sheetName val="cơ điện đt"/>
      <sheetName val="lỆNH Thổi cơ điện (2)"/>
      <sheetName val="Lệnh thổi Innotech"/>
      <sheetName val="Lênh thổi ĐT 2022"/>
      <sheetName val="Lệnh thổi ĐT"/>
      <sheetName val="lỆNH Thổi cơ điện"/>
      <sheetName val="Lệnh thổi bảo tín sứ ct ĐT"/>
      <sheetName val="Lệnh thổi TH Viet in ghep trong"/>
      <sheetName val="Lệnh thổi ĐT đen trắng"/>
      <sheetName val="Lệnh thổi ĐT (4)"/>
      <sheetName val="Lệnh thổi Đen trắng TH Việt"/>
      <sheetName val="Lệnh thổi ĐT đen trắng new"/>
      <sheetName val="Lệnh thổi ĐT (3)"/>
      <sheetName val="Lệnh thổi ĐT (2)"/>
      <sheetName val="Lệnh thổi Sao Phương"/>
      <sheetName val="Tổ in 01"/>
      <sheetName val="Điều độ tổ in"/>
      <sheetName val="Điều độ tổ tua"/>
      <sheetName val="Tổ tua 02"/>
      <sheetName val="Điều độ tổ ghép KDM"/>
      <sheetName val="Điều độ tổ ghép"/>
      <sheetName val="Tổ ghép 03"/>
      <sheetName val="Tổ chia 04"/>
      <sheetName val="Điều độ tổ chia (2)"/>
      <sheetName val="Điều độ máy lọc lỗi"/>
      <sheetName val="Điều độ tổ chia"/>
      <sheetName val="Điều độ tổ TP"/>
      <sheetName val="Tổ thổi"/>
      <sheetName val="Tổ TP 05"/>
      <sheetName val="In-nang suat-sai hong"/>
      <sheetName val="Tổ đóng gói"/>
      <sheetName val="ts trong luong"/>
      <sheetName val="báo cáo sd NVL "/>
    </sheetNames>
    <sheetDataSet>
      <sheetData sheetId="0"/>
      <sheetData sheetId="1"/>
      <sheetData sheetId="2"/>
      <sheetData sheetId="3">
        <row r="710">
          <cell r="D710" t="str">
            <v>SP 1372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sp"/>
      <sheetName val="XB"/>
      <sheetName val="XT"/>
      <sheetName val="TD"/>
      <sheetName val="sử dụng trục"/>
      <sheetName val="xuất sửa trục"/>
      <sheetName val="nhập trục"/>
      <sheetName val="xuất in"/>
      <sheetName val="trục đi gia công"/>
      <sheetName val="truc tra KH"/>
      <sheetName val="trục đi tái sp mới "/>
      <sheetName val="MSSP k còn trục"/>
      <sheetName val="Ton kho"/>
    </sheetNames>
    <sheetDataSet>
      <sheetData sheetId="0" refreshError="1">
        <row r="1">
          <cell r="A1">
            <v>1</v>
          </cell>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22</v>
          </cell>
          <cell r="W1">
            <v>23</v>
          </cell>
          <cell r="X1">
            <v>24</v>
          </cell>
          <cell r="Y1">
            <v>25</v>
          </cell>
          <cell r="Z1">
            <v>26</v>
          </cell>
          <cell r="AA1">
            <v>27</v>
          </cell>
          <cell r="AB1">
            <v>28</v>
          </cell>
          <cell r="AC1">
            <v>29</v>
          </cell>
          <cell r="AD1">
            <v>30</v>
          </cell>
          <cell r="AE1">
            <v>31</v>
          </cell>
          <cell r="AF1">
            <v>32</v>
          </cell>
          <cell r="AG1">
            <v>33</v>
          </cell>
          <cell r="AH1">
            <v>34</v>
          </cell>
          <cell r="AI1">
            <v>35</v>
          </cell>
          <cell r="AJ1">
            <v>36</v>
          </cell>
          <cell r="AK1">
            <v>37</v>
          </cell>
          <cell r="AL1">
            <v>38</v>
          </cell>
          <cell r="AM1">
            <v>39</v>
          </cell>
          <cell r="AN1">
            <v>40</v>
          </cell>
          <cell r="AO1">
            <v>41</v>
          </cell>
          <cell r="AP1">
            <v>42</v>
          </cell>
          <cell r="AQ1">
            <v>43</v>
          </cell>
          <cell r="AR1">
            <v>44</v>
          </cell>
          <cell r="AS1">
            <v>45</v>
          </cell>
          <cell r="AT1">
            <v>46</v>
          </cell>
          <cell r="AU1">
            <v>47</v>
          </cell>
          <cell r="AV1">
            <v>48</v>
          </cell>
          <cell r="AW1">
            <v>49</v>
          </cell>
          <cell r="AX1">
            <v>50</v>
          </cell>
          <cell r="AY1">
            <v>51</v>
          </cell>
          <cell r="AZ1">
            <v>52</v>
          </cell>
          <cell r="BA1">
            <v>53</v>
          </cell>
          <cell r="BB1">
            <v>54</v>
          </cell>
          <cell r="BC1">
            <v>54</v>
          </cell>
        </row>
        <row r="2">
          <cell r="A2" t="str">
            <v>Mã SP</v>
          </cell>
          <cell r="B2" t="str">
            <v xml:space="preserve">Tên sản phẩm </v>
          </cell>
          <cell r="C2" t="str">
            <v>tong muc/m2</v>
          </cell>
          <cell r="D2" t="str">
            <v>Cấu trúc in</v>
          </cell>
          <cell r="E2" t="str">
            <v>Số cây gốc trục/sp</v>
          </cell>
          <cell r="F2" t="str">
            <v>Số màu trục in</v>
          </cell>
          <cell r="G2">
            <v>0</v>
          </cell>
          <cell r="H2" t="str">
            <v>Trong đó lượng màu in cho 1000m2</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t="str">
            <v>Cấu trúc ghép</v>
          </cell>
          <cell r="AF2">
            <v>0</v>
          </cell>
          <cell r="AG2" t="str">
            <v>ty trong
 tinh kg
 cho ghep</v>
          </cell>
          <cell r="AH2" t="str">
            <v>1</v>
          </cell>
          <cell r="AI2">
            <v>0</v>
          </cell>
          <cell r="AJ2" t="str">
            <v>Keo</v>
          </cell>
          <cell r="AK2" t="str">
            <v>Đóng rắn</v>
          </cell>
          <cell r="AL2" t="str">
            <v>Ethyl</v>
          </cell>
          <cell r="AM2">
            <v>0</v>
          </cell>
          <cell r="AN2">
            <v>0</v>
          </cell>
          <cell r="AO2" t="str">
            <v>Tên KH</v>
          </cell>
          <cell r="AP2" t="str">
            <v xml:space="preserve">Mã số tên sản phẩm KH </v>
          </cell>
          <cell r="AQ2">
            <v>0</v>
          </cell>
          <cell r="AR2">
            <v>0</v>
          </cell>
          <cell r="AS2">
            <v>0</v>
          </cell>
          <cell r="AT2">
            <v>0</v>
          </cell>
          <cell r="AU2">
            <v>0</v>
          </cell>
          <cell r="AV2">
            <v>0</v>
          </cell>
          <cell r="AW2">
            <v>0</v>
          </cell>
          <cell r="AX2">
            <v>0</v>
          </cell>
          <cell r="AY2">
            <v>0</v>
          </cell>
          <cell r="AZ2">
            <v>0</v>
          </cell>
          <cell r="BA2">
            <v>0</v>
          </cell>
          <cell r="BB2">
            <v>0</v>
          </cell>
          <cell r="BC2">
            <v>0</v>
          </cell>
        </row>
        <row r="3">
          <cell r="A3">
            <v>0</v>
          </cell>
          <cell r="B3">
            <v>0</v>
          </cell>
          <cell r="C3">
            <v>0</v>
          </cell>
          <cell r="D3">
            <v>0</v>
          </cell>
          <cell r="E3">
            <v>0</v>
          </cell>
          <cell r="F3">
            <v>0</v>
          </cell>
          <cell r="G3" t="str">
            <v>Loai
muc</v>
          </cell>
          <cell r="H3" t="str">
            <v>Đen</v>
          </cell>
          <cell r="I3" t="str">
            <v>Trắng</v>
          </cell>
          <cell r="J3" t="str">
            <v>Xanh dương</v>
          </cell>
          <cell r="K3" t="str">
            <v>Đỏ sen</v>
          </cell>
          <cell r="L3" t="str">
            <v>Vàng 200, 202</v>
          </cell>
          <cell r="M3" t="str">
            <v>Medium</v>
          </cell>
          <cell r="N3" t="str">
            <v>vang260</v>
          </cell>
          <cell r="O3" t="str">
            <v>Xanh lá</v>
          </cell>
          <cell r="P3" t="str">
            <v>Đỏ cờ</v>
          </cell>
          <cell r="Q3" t="str">
            <v>Cam</v>
          </cell>
          <cell r="R3" t="str">
            <v>Tím</v>
          </cell>
          <cell r="S3" t="str">
            <v xml:space="preserve">Nhũ </v>
          </cell>
          <cell r="T3" t="str">
            <v>Nâu</v>
          </cell>
          <cell r="U3" t="str">
            <v>Kem</v>
          </cell>
          <cell r="V3" t="str">
            <v>hồng</v>
          </cell>
          <cell r="W3" t="str">
            <v>XANH TRANG</v>
          </cell>
          <cell r="X3">
            <v>0</v>
          </cell>
          <cell r="Y3">
            <v>0</v>
          </cell>
          <cell r="Z3">
            <v>0</v>
          </cell>
          <cell r="AA3">
            <v>0</v>
          </cell>
          <cell r="AB3">
            <v>0</v>
          </cell>
          <cell r="AC3">
            <v>0</v>
          </cell>
          <cell r="AD3">
            <v>0</v>
          </cell>
          <cell r="AE3" t="str">
            <v>Ghép 1</v>
          </cell>
          <cell r="AF3" t="str">
            <v>Ghép 2</v>
          </cell>
          <cell r="AG3">
            <v>0</v>
          </cell>
          <cell r="AH3" t="str">
            <v>lớp 1</v>
          </cell>
          <cell r="AI3" t="str">
            <v>lớp 2</v>
          </cell>
          <cell r="AJ3">
            <v>0</v>
          </cell>
          <cell r="AK3">
            <v>0</v>
          </cell>
          <cell r="AL3">
            <v>0</v>
          </cell>
          <cell r="AM3" t="str">
            <v>Q/C TP</v>
          </cell>
          <cell r="AN3" t="str">
            <v>Kich thuoc</v>
          </cell>
          <cell r="AO3">
            <v>0</v>
          </cell>
          <cell r="AP3">
            <v>0</v>
          </cell>
          <cell r="AQ3" t="str">
            <v xml:space="preserve">MÃ SỐ TRỤC IN </v>
          </cell>
          <cell r="AR3">
            <v>0</v>
          </cell>
          <cell r="AS3">
            <v>0</v>
          </cell>
          <cell r="AT3">
            <v>0</v>
          </cell>
          <cell r="AU3">
            <v>0</v>
          </cell>
          <cell r="AV3">
            <v>0</v>
          </cell>
          <cell r="AW3">
            <v>0</v>
          </cell>
          <cell r="AX3">
            <v>0</v>
          </cell>
          <cell r="AY3">
            <v>0</v>
          </cell>
          <cell r="AZ3">
            <v>0</v>
          </cell>
          <cell r="BA3" t="str">
            <v xml:space="preserve">KT TRỤC </v>
          </cell>
          <cell r="BB3" t="str">
            <v xml:space="preserve">VỊ TRÍ TRỤC </v>
          </cell>
          <cell r="BC3" t="str">
            <v xml:space="preserve">TRỤC IN CHUNG </v>
          </cell>
        </row>
        <row r="4">
          <cell r="A4">
            <v>0</v>
          </cell>
          <cell r="B4">
            <v>0</v>
          </cell>
          <cell r="C4">
            <v>3</v>
          </cell>
          <cell r="D4">
            <v>0</v>
          </cell>
          <cell r="E4">
            <v>0</v>
          </cell>
          <cell r="F4">
            <v>0</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cell r="AM4">
            <v>0</v>
          </cell>
          <cell r="AN4">
            <v>0</v>
          </cell>
          <cell r="AO4">
            <v>0</v>
          </cell>
          <cell r="AP4" t="str">
            <v xml:space="preserve">H000000 </v>
          </cell>
          <cell r="AQ4">
            <v>1</v>
          </cell>
          <cell r="AR4">
            <v>2</v>
          </cell>
          <cell r="AS4">
            <v>3</v>
          </cell>
          <cell r="AT4">
            <v>4</v>
          </cell>
          <cell r="AU4">
            <v>5</v>
          </cell>
          <cell r="AV4">
            <v>6</v>
          </cell>
          <cell r="AW4">
            <v>7</v>
          </cell>
          <cell r="AX4">
            <v>8</v>
          </cell>
          <cell r="AY4">
            <v>9</v>
          </cell>
          <cell r="AZ4">
            <v>10</v>
          </cell>
        </row>
        <row r="5">
          <cell r="A5" t="str">
            <v>sp 007</v>
          </cell>
          <cell r="B5" t="str">
            <v>Túi hương Liên Đức KT240x440</v>
          </cell>
          <cell r="C5">
            <v>0</v>
          </cell>
          <cell r="D5">
            <v>0</v>
          </cell>
          <cell r="E5">
            <v>4</v>
          </cell>
          <cell r="F5">
            <v>4</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t="str">
            <v>DNTN Bảy lương (Tâm Đức)</v>
          </cell>
          <cell r="AP5">
            <v>0</v>
          </cell>
          <cell r="AQ5" t="str">
            <v>F455586-1</v>
          </cell>
          <cell r="AR5" t="str">
            <v>F455586-2</v>
          </cell>
          <cell r="AS5" t="str">
            <v>F455586-3</v>
          </cell>
          <cell r="AT5" t="str">
            <v>F455586-4</v>
          </cell>
          <cell r="AU5">
            <v>0</v>
          </cell>
          <cell r="AV5">
            <v>0</v>
          </cell>
          <cell r="AW5">
            <v>0</v>
          </cell>
          <cell r="AX5">
            <v>0</v>
          </cell>
          <cell r="AY5">
            <v>0</v>
          </cell>
          <cell r="AZ5">
            <v>0</v>
          </cell>
          <cell r="BA5" t="str">
            <v>440x740</v>
          </cell>
          <cell r="BB5" t="str">
            <v>M1</v>
          </cell>
        </row>
        <row r="6">
          <cell r="A6" t="str">
            <v>sp 012</v>
          </cell>
          <cell r="B6" t="str">
            <v>Túi viên đạm sữa VTV1 1kg Đất Việt</v>
          </cell>
          <cell r="C6">
            <v>4.8000000000000007</v>
          </cell>
          <cell r="D6" t="str">
            <v>OPP 20x620</v>
          </cell>
          <cell r="E6">
            <v>5</v>
          </cell>
          <cell r="F6">
            <v>5</v>
          </cell>
          <cell r="G6" t="str">
            <v xml:space="preserve">OPP </v>
          </cell>
          <cell r="H6">
            <v>0.1</v>
          </cell>
          <cell r="I6">
            <v>2.5</v>
          </cell>
          <cell r="J6">
            <v>0.1</v>
          </cell>
          <cell r="K6">
            <v>0.1</v>
          </cell>
          <cell r="L6">
            <v>1.3</v>
          </cell>
          <cell r="M6">
            <v>0.7</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t="str">
            <v xml:space="preserve">
MPET12x620</v>
          </cell>
          <cell r="AF6" t="str">
            <v>PE 80x 620</v>
          </cell>
          <cell r="AG6">
            <v>6.7580000000000001E-2</v>
          </cell>
          <cell r="AH6">
            <v>0.81333333333333324</v>
          </cell>
          <cell r="AI6">
            <v>1.22</v>
          </cell>
          <cell r="AJ6">
            <v>9530</v>
          </cell>
          <cell r="AK6">
            <v>5.0000000000000001E-3</v>
          </cell>
          <cell r="AL6">
            <v>0</v>
          </cell>
          <cell r="AM6" t="str">
            <v>túi ba biên</v>
          </cell>
          <cell r="AN6">
            <v>220</v>
          </cell>
          <cell r="AO6" t="str">
            <v>Công ty Đất Việt</v>
          </cell>
          <cell r="AP6">
            <v>0</v>
          </cell>
          <cell r="AQ6" t="str">
            <v>20030055-1</v>
          </cell>
          <cell r="AR6" t="str">
            <v>17090112-2</v>
          </cell>
          <cell r="AS6" t="str">
            <v>17090112-3</v>
          </cell>
          <cell r="AT6" t="str">
            <v>17090112-4</v>
          </cell>
          <cell r="AU6" t="str">
            <v>17090112-5</v>
          </cell>
          <cell r="AV6">
            <v>0</v>
          </cell>
          <cell r="AW6">
            <v>0</v>
          </cell>
          <cell r="AX6">
            <v>0</v>
          </cell>
          <cell r="AY6">
            <v>0</v>
          </cell>
          <cell r="AZ6">
            <v>0</v>
          </cell>
          <cell r="BA6" t="str">
            <v>440x750</v>
          </cell>
          <cell r="BB6" t="str">
            <v>M1</v>
          </cell>
        </row>
        <row r="7">
          <cell r="A7" t="str">
            <v>sp 013</v>
          </cell>
          <cell r="B7" t="str">
            <v>Túi viên đạm sữa VTV2 1kg Đất Việt</v>
          </cell>
          <cell r="C7">
            <v>5.3000000000000007</v>
          </cell>
          <cell r="D7" t="str">
            <v>OPP 20x620</v>
          </cell>
          <cell r="E7">
            <v>4</v>
          </cell>
          <cell r="F7">
            <v>5</v>
          </cell>
          <cell r="G7" t="str">
            <v xml:space="preserve">OPP </v>
          </cell>
          <cell r="H7">
            <v>0.1</v>
          </cell>
          <cell r="I7">
            <v>2.5</v>
          </cell>
          <cell r="J7">
            <v>0.2</v>
          </cell>
          <cell r="K7">
            <v>0.5</v>
          </cell>
          <cell r="L7">
            <v>1.3</v>
          </cell>
          <cell r="M7">
            <v>0.7</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t="str">
            <v xml:space="preserve">
MPET 12x620</v>
          </cell>
          <cell r="AF7" t="str">
            <v>PE 75x625</v>
          </cell>
          <cell r="AG7">
            <v>6.4712500000000006E-2</v>
          </cell>
          <cell r="AH7">
            <v>0.81333333333333324</v>
          </cell>
          <cell r="AI7">
            <v>1.22</v>
          </cell>
          <cell r="AJ7">
            <v>9530</v>
          </cell>
          <cell r="AK7">
            <v>5.0000000000000001E-3</v>
          </cell>
          <cell r="AL7">
            <v>0</v>
          </cell>
          <cell r="AM7" t="str">
            <v>túi ba biên</v>
          </cell>
          <cell r="AN7">
            <v>220</v>
          </cell>
          <cell r="AO7" t="str">
            <v>Công ty Đất Việt</v>
          </cell>
          <cell r="AP7">
            <v>0</v>
          </cell>
          <cell r="AQ7" t="str">
            <v>20030056-1</v>
          </cell>
          <cell r="AR7" t="str">
            <v>180111143-2</v>
          </cell>
          <cell r="AS7" t="str">
            <v>180111143-3</v>
          </cell>
          <cell r="AT7" t="str">
            <v>180111143-4</v>
          </cell>
          <cell r="AU7" t="str">
            <v>1709112-5</v>
          </cell>
          <cell r="AV7">
            <v>0</v>
          </cell>
          <cell r="AW7">
            <v>0</v>
          </cell>
          <cell r="AX7">
            <v>0</v>
          </cell>
          <cell r="AY7">
            <v>0</v>
          </cell>
          <cell r="AZ7">
            <v>0</v>
          </cell>
          <cell r="BA7" t="str">
            <v>440x750</v>
          </cell>
          <cell r="BB7" t="str">
            <v>M1</v>
          </cell>
          <cell r="BC7" t="str">
            <v>chung cây trắng sp 012</v>
          </cell>
        </row>
        <row r="8">
          <cell r="A8" t="str">
            <v>sp 017</v>
          </cell>
          <cell r="B8" t="str">
            <v>Túi bánh trứng lipo tiếng anh 300gr Alpha</v>
          </cell>
          <cell r="C8">
            <v>6.1199999999999992</v>
          </cell>
          <cell r="D8" t="str">
            <v>OPP 20x670</v>
          </cell>
          <cell r="E8">
            <v>7</v>
          </cell>
          <cell r="F8">
            <v>7</v>
          </cell>
          <cell r="G8" t="str">
            <v xml:space="preserve">OPP </v>
          </cell>
          <cell r="H8">
            <v>0.05</v>
          </cell>
          <cell r="I8">
            <v>2.5</v>
          </cell>
          <cell r="J8">
            <v>0.02</v>
          </cell>
          <cell r="K8">
            <v>0.4</v>
          </cell>
          <cell r="L8">
            <v>2.2999999999999998</v>
          </cell>
          <cell r="M8">
            <v>0.7</v>
          </cell>
          <cell r="N8">
            <v>0</v>
          </cell>
          <cell r="O8">
            <v>0</v>
          </cell>
          <cell r="P8">
            <v>0</v>
          </cell>
          <cell r="Q8">
            <v>0.1</v>
          </cell>
          <cell r="R8">
            <v>0.05</v>
          </cell>
          <cell r="S8">
            <v>0</v>
          </cell>
          <cell r="T8">
            <v>0</v>
          </cell>
          <cell r="U8">
            <v>0</v>
          </cell>
          <cell r="V8">
            <v>0</v>
          </cell>
          <cell r="W8">
            <v>0</v>
          </cell>
          <cell r="X8">
            <v>0</v>
          </cell>
          <cell r="Y8">
            <v>0</v>
          </cell>
          <cell r="Z8">
            <v>0</v>
          </cell>
          <cell r="AA8">
            <v>0</v>
          </cell>
          <cell r="AB8">
            <v>0</v>
          </cell>
          <cell r="AC8">
            <v>0</v>
          </cell>
          <cell r="AD8">
            <v>0</v>
          </cell>
          <cell r="AE8" t="str">
            <v>PE 55x670</v>
          </cell>
          <cell r="AF8">
            <v>0</v>
          </cell>
          <cell r="AG8">
            <v>4.6179750000000006E-2</v>
          </cell>
          <cell r="AH8">
            <v>1.1000000000000001</v>
          </cell>
          <cell r="AI8">
            <v>0</v>
          </cell>
          <cell r="AJ8">
            <v>9530</v>
          </cell>
          <cell r="AK8">
            <v>2.5000000000000001E-3</v>
          </cell>
          <cell r="AL8">
            <v>0</v>
          </cell>
          <cell r="AM8" t="str">
            <v>túi ba biên</v>
          </cell>
          <cell r="AN8">
            <v>350</v>
          </cell>
          <cell r="AO8" t="str">
            <v>Công ty Quốc tế Alpha</v>
          </cell>
          <cell r="AP8">
            <v>0</v>
          </cell>
          <cell r="AQ8" t="str">
            <v>1909489-1</v>
          </cell>
          <cell r="AR8" t="str">
            <v>18111152-2</v>
          </cell>
          <cell r="AS8" t="str">
            <v>2003181-3</v>
          </cell>
          <cell r="AT8" t="str">
            <v>20070875-4</v>
          </cell>
          <cell r="AU8" t="str">
            <v>1706845-5</v>
          </cell>
          <cell r="AV8" t="str">
            <v>1808751-6</v>
          </cell>
          <cell r="AW8" t="str">
            <v>2002674-7</v>
          </cell>
          <cell r="AX8">
            <v>0</v>
          </cell>
          <cell r="AY8">
            <v>0</v>
          </cell>
          <cell r="AZ8">
            <v>0</v>
          </cell>
          <cell r="BA8" t="str">
            <v>700x750</v>
          </cell>
          <cell r="BB8" t="str">
            <v>C1</v>
          </cell>
        </row>
        <row r="9">
          <cell r="A9" t="str">
            <v>sp 021</v>
          </cell>
          <cell r="B9" t="str">
            <v>Túi trà B'lao nền vàng Vĩnh Phúc</v>
          </cell>
          <cell r="C9">
            <v>3.6</v>
          </cell>
          <cell r="D9" t="str">
            <v>OPP 20 x 700</v>
          </cell>
          <cell r="E9">
            <v>2</v>
          </cell>
          <cell r="F9">
            <v>4</v>
          </cell>
          <cell r="G9" t="str">
            <v xml:space="preserve">OPP </v>
          </cell>
          <cell r="H9">
            <v>0.1</v>
          </cell>
          <cell r="I9">
            <v>0</v>
          </cell>
          <cell r="J9">
            <v>0</v>
          </cell>
          <cell r="K9">
            <v>0</v>
          </cell>
          <cell r="L9">
            <v>3</v>
          </cell>
          <cell r="M9">
            <v>0</v>
          </cell>
          <cell r="N9">
            <v>0</v>
          </cell>
          <cell r="O9">
            <v>0.2</v>
          </cell>
          <cell r="P9">
            <v>0</v>
          </cell>
          <cell r="Q9">
            <v>0</v>
          </cell>
          <cell r="R9">
            <v>0</v>
          </cell>
          <cell r="S9">
            <v>0.3</v>
          </cell>
          <cell r="T9">
            <v>0</v>
          </cell>
          <cell r="U9">
            <v>0</v>
          </cell>
          <cell r="V9">
            <v>0</v>
          </cell>
          <cell r="W9">
            <v>0</v>
          </cell>
          <cell r="X9">
            <v>0</v>
          </cell>
          <cell r="Y9">
            <v>0</v>
          </cell>
          <cell r="Z9">
            <v>0</v>
          </cell>
          <cell r="AA9">
            <v>0</v>
          </cell>
          <cell r="AB9">
            <v>0</v>
          </cell>
          <cell r="AC9">
            <v>0</v>
          </cell>
          <cell r="AD9">
            <v>0</v>
          </cell>
          <cell r="AE9" t="str">
            <v>MCPP 25 x 700</v>
          </cell>
          <cell r="AF9">
            <v>0</v>
          </cell>
          <cell r="AG9">
            <v>4.095E-2</v>
          </cell>
          <cell r="AH9">
            <v>0.82799999999999996</v>
          </cell>
          <cell r="AI9">
            <v>0</v>
          </cell>
          <cell r="AJ9">
            <v>9530</v>
          </cell>
          <cell r="AK9">
            <v>1.8E-3</v>
          </cell>
          <cell r="AL9">
            <v>0</v>
          </cell>
          <cell r="AM9" t="str">
            <v>túi hàn lưng xếp hông</v>
          </cell>
          <cell r="AN9">
            <v>280</v>
          </cell>
          <cell r="AO9" t="str">
            <v>Công ty Vĩnh Phúc</v>
          </cell>
          <cell r="AP9">
            <v>0</v>
          </cell>
          <cell r="AQ9" t="str">
            <v>1404452-1</v>
          </cell>
          <cell r="AR9" t="str">
            <v>1807192-2</v>
          </cell>
          <cell r="AS9" t="str">
            <v>sửa nội dung cây K</v>
          </cell>
          <cell r="AT9" t="str">
            <v>1404451-4</v>
          </cell>
          <cell r="AU9">
            <v>0</v>
          </cell>
          <cell r="AV9">
            <v>0</v>
          </cell>
          <cell r="AW9">
            <v>0</v>
          </cell>
          <cell r="AX9">
            <v>0</v>
          </cell>
          <cell r="AY9">
            <v>0</v>
          </cell>
          <cell r="AZ9">
            <v>0</v>
          </cell>
          <cell r="BA9" t="str">
            <v>560x750</v>
          </cell>
          <cell r="BB9" t="str">
            <v>A1</v>
          </cell>
          <cell r="BC9" t="str">
            <v xml:space="preserve">2 bộ riêng cây nhũ và đen </v>
          </cell>
        </row>
        <row r="10">
          <cell r="A10" t="str">
            <v>sp 021A</v>
          </cell>
          <cell r="B10" t="str">
            <v>Túi trà B'lao nền đỏ Vĩnh Phúc</v>
          </cell>
          <cell r="C10">
            <v>4.2</v>
          </cell>
          <cell r="D10" t="str">
            <v>OPP 20x700</v>
          </cell>
          <cell r="E10">
            <v>4</v>
          </cell>
          <cell r="F10">
            <v>4</v>
          </cell>
          <cell r="G10" t="str">
            <v xml:space="preserve">OPP </v>
          </cell>
          <cell r="H10">
            <v>0.1</v>
          </cell>
          <cell r="I10">
            <v>0</v>
          </cell>
          <cell r="J10">
            <v>0.3</v>
          </cell>
          <cell r="K10">
            <v>0</v>
          </cell>
          <cell r="L10">
            <v>0.4</v>
          </cell>
          <cell r="M10">
            <v>0</v>
          </cell>
          <cell r="N10">
            <v>0</v>
          </cell>
          <cell r="O10">
            <v>0.2</v>
          </cell>
          <cell r="P10">
            <v>2.9</v>
          </cell>
          <cell r="Q10">
            <v>0</v>
          </cell>
          <cell r="R10">
            <v>0</v>
          </cell>
          <cell r="S10">
            <v>0.3</v>
          </cell>
          <cell r="T10">
            <v>0</v>
          </cell>
          <cell r="U10">
            <v>0</v>
          </cell>
          <cell r="V10">
            <v>0</v>
          </cell>
          <cell r="W10">
            <v>0</v>
          </cell>
          <cell r="X10">
            <v>0</v>
          </cell>
          <cell r="Y10">
            <v>0</v>
          </cell>
          <cell r="Z10">
            <v>0</v>
          </cell>
          <cell r="AA10">
            <v>0</v>
          </cell>
          <cell r="AB10">
            <v>0</v>
          </cell>
          <cell r="AC10">
            <v>0</v>
          </cell>
          <cell r="AD10">
            <v>0</v>
          </cell>
          <cell r="AE10" t="str">
            <v>MCPP 25x700</v>
          </cell>
          <cell r="AF10">
            <v>0</v>
          </cell>
          <cell r="AG10">
            <v>2.8665E-2</v>
          </cell>
          <cell r="AH10">
            <v>0.82799999999999996</v>
          </cell>
          <cell r="AI10">
            <v>0</v>
          </cell>
          <cell r="AJ10">
            <v>9530</v>
          </cell>
          <cell r="AK10">
            <v>1.8E-3</v>
          </cell>
          <cell r="AL10">
            <v>0</v>
          </cell>
          <cell r="AM10" t="str">
            <v>túi hàn lưng xếp hông</v>
          </cell>
          <cell r="AN10">
            <v>280</v>
          </cell>
          <cell r="AO10" t="str">
            <v>Công ty Vĩnh Phúc</v>
          </cell>
          <cell r="AP10">
            <v>0</v>
          </cell>
          <cell r="AQ10" t="str">
            <v>1404451-1</v>
          </cell>
          <cell r="AR10" t="str">
            <v>18011006-2</v>
          </cell>
          <cell r="AS10" t="str">
            <v>1404451-3</v>
          </cell>
          <cell r="AT10" t="str">
            <v>1404451-4</v>
          </cell>
          <cell r="AU10">
            <v>0</v>
          </cell>
          <cell r="AV10">
            <v>0</v>
          </cell>
          <cell r="AW10">
            <v>0</v>
          </cell>
          <cell r="AX10">
            <v>0</v>
          </cell>
          <cell r="AY10">
            <v>0</v>
          </cell>
          <cell r="AZ10">
            <v>0</v>
          </cell>
          <cell r="BA10" t="str">
            <v>560x750</v>
          </cell>
          <cell r="BB10" t="str">
            <v>A1</v>
          </cell>
          <cell r="BC10">
            <v>0</v>
          </cell>
        </row>
        <row r="11">
          <cell r="A11" t="str">
            <v>sp 022</v>
          </cell>
          <cell r="B11" t="str">
            <v>Túi bột đậu xanh 400gr hương sen Tiên Dung</v>
          </cell>
          <cell r="C11">
            <v>3.9000000000000004</v>
          </cell>
          <cell r="D11" t="str">
            <v>OPP 20x540</v>
          </cell>
          <cell r="E11">
            <v>6</v>
          </cell>
          <cell r="F11">
            <v>6</v>
          </cell>
          <cell r="G11" t="str">
            <v xml:space="preserve">OPP </v>
          </cell>
          <cell r="H11">
            <v>0.1</v>
          </cell>
          <cell r="I11">
            <v>0</v>
          </cell>
          <cell r="J11">
            <v>0.3</v>
          </cell>
          <cell r="K11">
            <v>0.1</v>
          </cell>
          <cell r="L11">
            <v>0.9</v>
          </cell>
          <cell r="M11">
            <v>1.8</v>
          </cell>
          <cell r="N11">
            <v>0</v>
          </cell>
          <cell r="O11">
            <v>0.7</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t="str">
            <v>PE sứ 60x540</v>
          </cell>
          <cell r="AF11">
            <v>0</v>
          </cell>
          <cell r="AG11">
            <v>3.9798E-2</v>
          </cell>
          <cell r="AH11">
            <v>0.77733333333333343</v>
          </cell>
          <cell r="AI11">
            <v>0</v>
          </cell>
          <cell r="AJ11">
            <v>9530</v>
          </cell>
          <cell r="AK11">
            <v>2.2000000000000001E-3</v>
          </cell>
          <cell r="AL11">
            <v>0</v>
          </cell>
          <cell r="AM11" t="str">
            <v>túi ba biên</v>
          </cell>
          <cell r="AN11">
            <v>210</v>
          </cell>
          <cell r="AO11" t="str">
            <v>Công ty Tiên Dung</v>
          </cell>
          <cell r="AP11">
            <v>0</v>
          </cell>
          <cell r="AQ11" t="str">
            <v>1404538-1</v>
          </cell>
          <cell r="AR11" t="str">
            <v>1404538-2</v>
          </cell>
          <cell r="AS11" t="str">
            <v>1404538-3</v>
          </cell>
          <cell r="AT11" t="str">
            <v>1404538-4</v>
          </cell>
          <cell r="AU11" t="str">
            <v>1404538-5</v>
          </cell>
          <cell r="AV11" t="str">
            <v>1404538-6</v>
          </cell>
          <cell r="AW11">
            <v>0</v>
          </cell>
          <cell r="AX11">
            <v>0</v>
          </cell>
          <cell r="AY11">
            <v>0</v>
          </cell>
          <cell r="AZ11">
            <v>0</v>
          </cell>
          <cell r="BA11" t="str">
            <v>420x750</v>
          </cell>
          <cell r="BB11" t="str">
            <v>M1</v>
          </cell>
        </row>
        <row r="12">
          <cell r="A12" t="str">
            <v>sp 028</v>
          </cell>
          <cell r="B12" t="str">
            <v>Cuộn giống GS747 1kg Đại Thành</v>
          </cell>
          <cell r="C12">
            <v>6.41</v>
          </cell>
          <cell r="D12" t="str">
            <v>OPP 20x460</v>
          </cell>
          <cell r="E12" t="str">
            <v>7-ban</v>
          </cell>
          <cell r="F12">
            <v>7</v>
          </cell>
          <cell r="G12" t="str">
            <v xml:space="preserve">OPP </v>
          </cell>
          <cell r="H12">
            <v>0.18</v>
          </cell>
          <cell r="I12">
            <v>3</v>
          </cell>
          <cell r="J12">
            <v>0.8</v>
          </cell>
          <cell r="K12">
            <v>0.1</v>
          </cell>
          <cell r="L12">
            <v>0.9</v>
          </cell>
          <cell r="M12">
            <v>0.7</v>
          </cell>
          <cell r="N12">
            <v>0</v>
          </cell>
          <cell r="O12">
            <v>0</v>
          </cell>
          <cell r="P12">
            <v>0.05</v>
          </cell>
          <cell r="Q12">
            <v>0.5</v>
          </cell>
          <cell r="R12">
            <v>0.18</v>
          </cell>
          <cell r="S12">
            <v>0</v>
          </cell>
          <cell r="T12">
            <v>0</v>
          </cell>
          <cell r="U12">
            <v>0</v>
          </cell>
          <cell r="V12">
            <v>0</v>
          </cell>
          <cell r="W12">
            <v>0</v>
          </cell>
          <cell r="X12">
            <v>0</v>
          </cell>
          <cell r="Y12">
            <v>0</v>
          </cell>
          <cell r="Z12">
            <v>0</v>
          </cell>
          <cell r="AA12">
            <v>0</v>
          </cell>
          <cell r="AB12">
            <v>0</v>
          </cell>
          <cell r="AC12">
            <v>0</v>
          </cell>
          <cell r="AD12">
            <v>0</v>
          </cell>
          <cell r="AE12" t="str">
            <v>PE 68x460</v>
          </cell>
          <cell r="AF12">
            <v>0</v>
          </cell>
          <cell r="AG12">
            <v>3.7306000000000006E-2</v>
          </cell>
          <cell r="AH12">
            <v>0.66</v>
          </cell>
          <cell r="AI12">
            <v>0</v>
          </cell>
          <cell r="AJ12">
            <v>9530</v>
          </cell>
          <cell r="AK12">
            <v>2.2000000000000001E-3</v>
          </cell>
          <cell r="AL12">
            <v>0</v>
          </cell>
          <cell r="AM12" t="str">
            <v>dạng cuộn 500m</v>
          </cell>
          <cell r="AN12">
            <v>440</v>
          </cell>
          <cell r="AO12" t="str">
            <v>Công ty Giống Đại Thành</v>
          </cell>
          <cell r="AP12">
            <v>0</v>
          </cell>
          <cell r="AQ12" t="str">
            <v>F308246-1</v>
          </cell>
          <cell r="AR12" t="str">
            <v>F308246-2</v>
          </cell>
          <cell r="AS12" t="str">
            <v>F308246-3</v>
          </cell>
          <cell r="AT12" t="str">
            <v>F308246-4</v>
          </cell>
          <cell r="AU12" t="str">
            <v>F308246-5</v>
          </cell>
          <cell r="AV12" t="str">
            <v>F308246-6</v>
          </cell>
          <cell r="AW12" t="str">
            <v>F308246-7</v>
          </cell>
          <cell r="BA12" t="str">
            <v>520x610</v>
          </cell>
          <cell r="BB12" t="str">
            <v>Z1</v>
          </cell>
        </row>
        <row r="13">
          <cell r="A13" t="str">
            <v>sp 044</v>
          </cell>
          <cell r="B13" t="str">
            <v>Túi bánh trứng lipo tiếng trung 200gr</v>
          </cell>
          <cell r="C13">
            <v>6.7000000000000011</v>
          </cell>
          <cell r="D13" t="str">
            <v>OPPmờ 20x460</v>
          </cell>
          <cell r="E13">
            <v>7</v>
          </cell>
          <cell r="F13">
            <v>7</v>
          </cell>
          <cell r="G13" t="str">
            <v xml:space="preserve">OPP </v>
          </cell>
          <cell r="H13">
            <v>0.1</v>
          </cell>
          <cell r="I13">
            <v>3</v>
          </cell>
          <cell r="J13">
            <v>0.1</v>
          </cell>
          <cell r="K13">
            <v>0.1</v>
          </cell>
          <cell r="L13">
            <v>2</v>
          </cell>
          <cell r="M13">
            <v>0.7</v>
          </cell>
          <cell r="N13">
            <v>0</v>
          </cell>
          <cell r="O13">
            <v>0</v>
          </cell>
          <cell r="P13">
            <v>0.5</v>
          </cell>
          <cell r="Q13">
            <v>0</v>
          </cell>
          <cell r="R13">
            <v>0.2</v>
          </cell>
          <cell r="S13">
            <v>0</v>
          </cell>
          <cell r="T13">
            <v>0</v>
          </cell>
          <cell r="U13">
            <v>0</v>
          </cell>
          <cell r="V13">
            <v>0</v>
          </cell>
          <cell r="W13">
            <v>0</v>
          </cell>
          <cell r="X13">
            <v>0</v>
          </cell>
          <cell r="Y13">
            <v>0</v>
          </cell>
          <cell r="Z13">
            <v>0</v>
          </cell>
          <cell r="AA13">
            <v>0</v>
          </cell>
          <cell r="AB13">
            <v>0</v>
          </cell>
          <cell r="AC13">
            <v>0</v>
          </cell>
          <cell r="AD13">
            <v>0</v>
          </cell>
          <cell r="AE13" t="str">
            <v>MPET 12x460</v>
          </cell>
          <cell r="AF13" t="str">
            <v>PE 30x460</v>
          </cell>
          <cell r="AG13">
            <v>2.8865000000000002E-2</v>
          </cell>
          <cell r="AH13">
            <v>0.69</v>
          </cell>
          <cell r="AI13">
            <v>0.75</v>
          </cell>
          <cell r="AJ13">
            <v>9530</v>
          </cell>
          <cell r="AK13" t="str">
            <v>0,0048(0,0023;0,0025)</v>
          </cell>
          <cell r="AL13">
            <v>0</v>
          </cell>
          <cell r="AM13" t="str">
            <v>túi bốn biên</v>
          </cell>
          <cell r="AN13">
            <v>300</v>
          </cell>
          <cell r="AO13" t="str">
            <v>Công ty Quốc tế Alpha</v>
          </cell>
          <cell r="AP13">
            <v>0</v>
          </cell>
          <cell r="AQ13" t="str">
            <v>1902139-1</v>
          </cell>
          <cell r="AR13" t="str">
            <v>18071167-2</v>
          </cell>
          <cell r="AS13" t="str">
            <v>1902139-3</v>
          </cell>
          <cell r="AT13" t="str">
            <v>1710403-4</v>
          </cell>
          <cell r="AU13" t="str">
            <v>1902139-5</v>
          </cell>
          <cell r="AV13" t="str">
            <v>1902139-6</v>
          </cell>
          <cell r="AW13" t="str">
            <v>1710175-7</v>
          </cell>
          <cell r="BA13" t="str">
            <v>600x750</v>
          </cell>
          <cell r="BB13" t="str">
            <v>C1</v>
          </cell>
        </row>
        <row r="14">
          <cell r="A14" t="str">
            <v>sp 051</v>
          </cell>
          <cell r="B14" t="str">
            <v>Cuộn ngũ cốc cao tuổi 25gr</v>
          </cell>
          <cell r="C14">
            <v>5.35</v>
          </cell>
          <cell r="D14" t="str">
            <v>OPP 30 x 970</v>
          </cell>
          <cell r="E14">
            <v>6</v>
          </cell>
          <cell r="F14">
            <v>6</v>
          </cell>
          <cell r="G14" t="str">
            <v xml:space="preserve">OPP </v>
          </cell>
          <cell r="H14">
            <v>0.3</v>
          </cell>
          <cell r="I14">
            <v>2</v>
          </cell>
          <cell r="J14">
            <v>0.05</v>
          </cell>
          <cell r="K14">
            <v>0.4</v>
          </cell>
          <cell r="L14">
            <v>1.5</v>
          </cell>
          <cell r="M14">
            <v>1</v>
          </cell>
          <cell r="N14">
            <v>0</v>
          </cell>
          <cell r="O14">
            <v>0</v>
          </cell>
          <cell r="P14">
            <v>0</v>
          </cell>
          <cell r="Q14">
            <v>0</v>
          </cell>
          <cell r="R14">
            <v>0</v>
          </cell>
          <cell r="S14">
            <v>0</v>
          </cell>
          <cell r="T14">
            <v>0.1</v>
          </cell>
          <cell r="U14">
            <v>0</v>
          </cell>
          <cell r="V14">
            <v>0</v>
          </cell>
          <cell r="W14">
            <v>0</v>
          </cell>
          <cell r="X14">
            <v>0</v>
          </cell>
          <cell r="Y14">
            <v>0</v>
          </cell>
          <cell r="Z14">
            <v>0</v>
          </cell>
          <cell r="AA14">
            <v>0</v>
          </cell>
          <cell r="AB14">
            <v>0</v>
          </cell>
          <cell r="AC14">
            <v>0</v>
          </cell>
          <cell r="AD14">
            <v>0</v>
          </cell>
          <cell r="AE14" t="str">
            <v>MCPP25 x 970</v>
          </cell>
          <cell r="AF14">
            <v>0</v>
          </cell>
          <cell r="AG14">
            <v>4.8548500000000001E-2</v>
          </cell>
          <cell r="AH14">
            <v>1.2799999999999998</v>
          </cell>
          <cell r="AI14">
            <v>0</v>
          </cell>
          <cell r="AJ14">
            <v>9530</v>
          </cell>
          <cell r="AK14">
            <v>2E-3</v>
          </cell>
          <cell r="AL14">
            <v>0</v>
          </cell>
          <cell r="AM14" t="str">
            <v>dạng cuộn 1000m</v>
          </cell>
          <cell r="AN14">
            <v>190</v>
          </cell>
          <cell r="AO14" t="str">
            <v>Công ty CP Sinh Việt</v>
          </cell>
          <cell r="AP14">
            <v>0</v>
          </cell>
          <cell r="AQ14" t="str">
            <v>1909933-1</v>
          </cell>
          <cell r="AR14" t="str">
            <v>1705971-2</v>
          </cell>
          <cell r="AS14" t="str">
            <v>1407462-3</v>
          </cell>
          <cell r="AT14" t="str">
            <v>1407462-4</v>
          </cell>
          <cell r="AU14" t="str">
            <v>1712059-5</v>
          </cell>
          <cell r="AV14" t="str">
            <v>1712059-6</v>
          </cell>
          <cell r="AW14">
            <v>0</v>
          </cell>
          <cell r="AX14">
            <v>0</v>
          </cell>
          <cell r="AY14">
            <v>0</v>
          </cell>
          <cell r="AZ14">
            <v>0</v>
          </cell>
          <cell r="BA14" t="str">
            <v>480x1100</v>
          </cell>
          <cell r="BB14" t="str">
            <v>M1</v>
          </cell>
        </row>
        <row r="15">
          <cell r="A15" t="str">
            <v>sp 052</v>
          </cell>
          <cell r="B15" t="str">
            <v>Túi ngũ cốc cao tuổi 500gr</v>
          </cell>
          <cell r="C15">
            <v>3.3400000000000003</v>
          </cell>
          <cell r="D15" t="str">
            <v>OPP 20 x 645</v>
          </cell>
          <cell r="E15">
            <v>5</v>
          </cell>
          <cell r="F15">
            <v>6</v>
          </cell>
          <cell r="G15" t="str">
            <v xml:space="preserve">OPP </v>
          </cell>
          <cell r="H15">
            <v>0.2</v>
          </cell>
          <cell r="I15">
            <v>0</v>
          </cell>
          <cell r="J15">
            <v>0.26</v>
          </cell>
          <cell r="K15">
            <v>0.4</v>
          </cell>
          <cell r="L15">
            <v>1.5</v>
          </cell>
          <cell r="M15">
            <v>0.8</v>
          </cell>
          <cell r="N15">
            <v>0</v>
          </cell>
          <cell r="O15">
            <v>0</v>
          </cell>
          <cell r="P15">
            <v>0</v>
          </cell>
          <cell r="Q15">
            <v>0</v>
          </cell>
          <cell r="R15">
            <v>0</v>
          </cell>
          <cell r="S15">
            <v>0</v>
          </cell>
          <cell r="T15">
            <v>0.18</v>
          </cell>
          <cell r="U15">
            <v>0</v>
          </cell>
          <cell r="V15">
            <v>0</v>
          </cell>
          <cell r="W15">
            <v>0</v>
          </cell>
          <cell r="X15">
            <v>0</v>
          </cell>
          <cell r="Y15">
            <v>0</v>
          </cell>
          <cell r="Z15">
            <v>0</v>
          </cell>
          <cell r="AA15">
            <v>0</v>
          </cell>
          <cell r="AB15">
            <v>0</v>
          </cell>
          <cell r="AC15">
            <v>0</v>
          </cell>
          <cell r="AD15">
            <v>0</v>
          </cell>
          <cell r="AE15" t="str">
            <v>PE sứ 90x645</v>
          </cell>
          <cell r="AF15">
            <v>0</v>
          </cell>
          <cell r="AG15">
            <v>6.5435250000000014E-2</v>
          </cell>
          <cell r="AH15">
            <v>0.97366666666666657</v>
          </cell>
          <cell r="AI15">
            <v>0</v>
          </cell>
          <cell r="AJ15">
            <v>9530</v>
          </cell>
          <cell r="AK15">
            <v>2.3E-3</v>
          </cell>
          <cell r="AL15">
            <v>0</v>
          </cell>
          <cell r="AM15" t="str">
            <v>túi bốn biên</v>
          </cell>
          <cell r="AN15">
            <v>340</v>
          </cell>
          <cell r="AO15" t="str">
            <v>Công ty CP Sinh Việt</v>
          </cell>
          <cell r="AP15">
            <v>0</v>
          </cell>
          <cell r="AQ15" t="str">
            <v>1912155-1</v>
          </cell>
          <cell r="AR15" t="str">
            <v>1407463-2</v>
          </cell>
          <cell r="AS15" t="str">
            <v>1407463-3</v>
          </cell>
          <cell r="AT15" t="str">
            <v>1407463-4</v>
          </cell>
          <cell r="AU15" t="str">
            <v>1407463-5</v>
          </cell>
          <cell r="AV15" t="str">
            <v>1407464-6</v>
          </cell>
          <cell r="AW15" t="str">
            <v>20070428-0</v>
          </cell>
          <cell r="BA15" t="str">
            <v>650x750</v>
          </cell>
          <cell r="BB15" t="str">
            <v>M1</v>
          </cell>
          <cell r="BC15" t="str">
            <v>in chung cây trắng sp 053</v>
          </cell>
        </row>
        <row r="16">
          <cell r="A16" t="str">
            <v>sp 053</v>
          </cell>
          <cell r="B16" t="str">
            <v>Túi ngũ cốc ăn kiêng 500gr</v>
          </cell>
          <cell r="C16">
            <v>3.2600000000000002</v>
          </cell>
          <cell r="D16" t="str">
            <v>OPP 20x645</v>
          </cell>
          <cell r="E16">
            <v>6</v>
          </cell>
          <cell r="F16">
            <v>6</v>
          </cell>
          <cell r="G16" t="str">
            <v xml:space="preserve">OPP </v>
          </cell>
          <cell r="H16">
            <v>0.2</v>
          </cell>
          <cell r="I16">
            <v>0</v>
          </cell>
          <cell r="J16">
            <v>0.26</v>
          </cell>
          <cell r="K16">
            <v>0.4</v>
          </cell>
          <cell r="L16">
            <v>1.5</v>
          </cell>
          <cell r="M16">
            <v>0.8</v>
          </cell>
          <cell r="N16">
            <v>0</v>
          </cell>
          <cell r="O16">
            <v>0</v>
          </cell>
          <cell r="P16">
            <v>0</v>
          </cell>
          <cell r="Q16">
            <v>0</v>
          </cell>
          <cell r="R16">
            <v>0</v>
          </cell>
          <cell r="S16">
            <v>0</v>
          </cell>
          <cell r="T16">
            <v>0.1</v>
          </cell>
          <cell r="U16">
            <v>0</v>
          </cell>
          <cell r="V16">
            <v>0</v>
          </cell>
          <cell r="W16">
            <v>0</v>
          </cell>
          <cell r="X16">
            <v>0</v>
          </cell>
          <cell r="Y16">
            <v>0</v>
          </cell>
          <cell r="Z16">
            <v>0</v>
          </cell>
          <cell r="AA16">
            <v>0</v>
          </cell>
          <cell r="AB16">
            <v>0</v>
          </cell>
          <cell r="AC16">
            <v>0</v>
          </cell>
          <cell r="AD16">
            <v>0</v>
          </cell>
          <cell r="AE16" t="str">
            <v>PE sứ 90x645</v>
          </cell>
          <cell r="AF16">
            <v>0</v>
          </cell>
          <cell r="AG16">
            <v>6.5435250000000014E-2</v>
          </cell>
          <cell r="AH16">
            <v>0.97366666666666657</v>
          </cell>
          <cell r="AI16">
            <v>0</v>
          </cell>
          <cell r="AJ16">
            <v>9530</v>
          </cell>
          <cell r="AK16">
            <v>2E-3</v>
          </cell>
          <cell r="AL16">
            <v>0</v>
          </cell>
          <cell r="AM16" t="str">
            <v>túi bốn biên</v>
          </cell>
          <cell r="AN16">
            <v>340</v>
          </cell>
          <cell r="AO16" t="str">
            <v>Công ty CP Sinh Việt</v>
          </cell>
          <cell r="AP16">
            <v>0</v>
          </cell>
          <cell r="AQ16" t="str">
            <v>1407464-1</v>
          </cell>
          <cell r="AR16" t="str">
            <v>1407464-2</v>
          </cell>
          <cell r="AS16" t="str">
            <v>1407464-3</v>
          </cell>
          <cell r="AT16" t="str">
            <v>1407464-4</v>
          </cell>
          <cell r="AU16" t="str">
            <v>1407464-5</v>
          </cell>
          <cell r="AV16" t="str">
            <v>1407464-6</v>
          </cell>
          <cell r="BA16" t="str">
            <v>650x750</v>
          </cell>
          <cell r="BB16" t="str">
            <v>M1</v>
          </cell>
          <cell r="BC16">
            <v>0</v>
          </cell>
        </row>
        <row r="17">
          <cell r="A17" t="str">
            <v>sp 059</v>
          </cell>
          <cell r="B17" t="str">
            <v>Túi muối biển xanh 950gr hanufood</v>
          </cell>
          <cell r="C17">
            <v>3.5</v>
          </cell>
          <cell r="D17" t="str">
            <v>OPP 20x800</v>
          </cell>
          <cell r="E17">
            <v>5</v>
          </cell>
          <cell r="F17">
            <v>5</v>
          </cell>
          <cell r="G17" t="str">
            <v xml:space="preserve">OPP </v>
          </cell>
          <cell r="H17">
            <v>0.1</v>
          </cell>
          <cell r="I17">
            <v>1.6</v>
          </cell>
          <cell r="J17">
            <v>0.5</v>
          </cell>
          <cell r="K17">
            <v>0.3</v>
          </cell>
          <cell r="L17">
            <v>0.4</v>
          </cell>
          <cell r="M17">
            <v>0.6</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t="str">
            <v>PE 65x800</v>
          </cell>
          <cell r="AF17">
            <v>0</v>
          </cell>
          <cell r="AG17">
            <v>6.2660000000000007E-2</v>
          </cell>
          <cell r="AH17">
            <v>1.3166666666666669</v>
          </cell>
          <cell r="AI17">
            <v>0</v>
          </cell>
          <cell r="AJ17">
            <v>9530</v>
          </cell>
          <cell r="AK17">
            <v>2.5000000000000001E-3</v>
          </cell>
          <cell r="AL17">
            <v>0</v>
          </cell>
          <cell r="AM17" t="str">
            <v>túi ba biên</v>
          </cell>
          <cell r="AN17">
            <v>295</v>
          </cell>
          <cell r="AO17" t="str">
            <v>Công ty Hanufood</v>
          </cell>
          <cell r="AP17">
            <v>0</v>
          </cell>
          <cell r="AQ17" t="str">
            <v>1702827-1</v>
          </cell>
          <cell r="AR17" t="str">
            <v>1408353-2</v>
          </cell>
          <cell r="AS17" t="str">
            <v>1607581-3</v>
          </cell>
          <cell r="AT17" t="str">
            <v>1408353-4</v>
          </cell>
          <cell r="AU17" t="str">
            <v>1408353-5</v>
          </cell>
          <cell r="BA17" t="str">
            <v>590x850</v>
          </cell>
          <cell r="BB17" t="str">
            <v>M1</v>
          </cell>
        </row>
        <row r="18">
          <cell r="A18" t="str">
            <v>sp 063</v>
          </cell>
          <cell r="B18" t="str">
            <v>Túi muối iot Hà Nội 450gr</v>
          </cell>
          <cell r="C18">
            <v>3.04</v>
          </cell>
          <cell r="D18" t="str">
            <v>BOPP 20x640</v>
          </cell>
          <cell r="E18">
            <v>4</v>
          </cell>
          <cell r="F18">
            <v>0</v>
          </cell>
          <cell r="G18" t="str">
            <v xml:space="preserve">OPP </v>
          </cell>
          <cell r="H18">
            <v>0.2</v>
          </cell>
          <cell r="I18">
            <v>1</v>
          </cell>
          <cell r="J18">
            <v>0.4</v>
          </cell>
          <cell r="K18">
            <v>0</v>
          </cell>
          <cell r="L18">
            <v>1.04</v>
          </cell>
          <cell r="M18">
            <v>0</v>
          </cell>
          <cell r="N18">
            <v>0</v>
          </cell>
          <cell r="O18">
            <v>0</v>
          </cell>
          <cell r="P18">
            <v>0.1</v>
          </cell>
          <cell r="Q18">
            <v>0.3</v>
          </cell>
          <cell r="R18">
            <v>0</v>
          </cell>
          <cell r="S18">
            <v>0</v>
          </cell>
          <cell r="T18">
            <v>0</v>
          </cell>
          <cell r="U18">
            <v>0</v>
          </cell>
          <cell r="V18">
            <v>0</v>
          </cell>
          <cell r="W18">
            <v>0</v>
          </cell>
          <cell r="X18">
            <v>0</v>
          </cell>
          <cell r="Y18">
            <v>0</v>
          </cell>
          <cell r="Z18">
            <v>0</v>
          </cell>
          <cell r="AA18">
            <v>0</v>
          </cell>
          <cell r="AB18">
            <v>0</v>
          </cell>
          <cell r="AC18">
            <v>0</v>
          </cell>
          <cell r="AD18">
            <v>0</v>
          </cell>
          <cell r="AE18" t="str">
            <v>PE 65x640</v>
          </cell>
          <cell r="AF18">
            <v>0</v>
          </cell>
          <cell r="AG18">
            <v>5.0128000000000006E-2</v>
          </cell>
          <cell r="AH18">
            <v>0.84</v>
          </cell>
          <cell r="AI18">
            <v>0</v>
          </cell>
          <cell r="AJ18">
            <v>9530</v>
          </cell>
          <cell r="AK18">
            <v>2E-3</v>
          </cell>
          <cell r="AL18">
            <v>0</v>
          </cell>
          <cell r="AM18">
            <v>0</v>
          </cell>
          <cell r="AN18">
            <v>0</v>
          </cell>
          <cell r="AO18" t="str">
            <v>Công ty VISACO</v>
          </cell>
          <cell r="AP18">
            <v>0</v>
          </cell>
          <cell r="AQ18" t="str">
            <v>1505020-1</v>
          </cell>
          <cell r="AR18" t="str">
            <v>1505020-2</v>
          </cell>
          <cell r="AS18" t="str">
            <v>1505020-3</v>
          </cell>
          <cell r="AT18" t="str">
            <v>1505020-4</v>
          </cell>
          <cell r="AU18">
            <v>0</v>
          </cell>
          <cell r="BA18" t="str">
            <v>424x750</v>
          </cell>
          <cell r="BB18" t="str">
            <v>M1</v>
          </cell>
        </row>
        <row r="19">
          <cell r="A19" t="str">
            <v>sp 077</v>
          </cell>
          <cell r="B19" t="str">
            <v>Cuộn bánh bao nhân xíu mại bò 300gr Phú Mỹ</v>
          </cell>
          <cell r="C19">
            <v>5.6999999999999993</v>
          </cell>
          <cell r="D19" t="str">
            <v>OPP 20x730</v>
          </cell>
          <cell r="E19">
            <v>7</v>
          </cell>
          <cell r="F19">
            <v>7</v>
          </cell>
          <cell r="G19" t="str">
            <v xml:space="preserve">OPP </v>
          </cell>
          <cell r="H19">
            <v>0.3</v>
          </cell>
          <cell r="I19">
            <v>2.6</v>
          </cell>
          <cell r="J19">
            <v>0.3</v>
          </cell>
          <cell r="K19">
            <v>0.2</v>
          </cell>
          <cell r="L19">
            <v>0.5</v>
          </cell>
          <cell r="M19">
            <v>0</v>
          </cell>
          <cell r="N19">
            <v>0</v>
          </cell>
          <cell r="O19">
            <v>0</v>
          </cell>
          <cell r="P19">
            <v>0.4</v>
          </cell>
          <cell r="Q19">
            <v>1.3</v>
          </cell>
          <cell r="R19">
            <v>0</v>
          </cell>
          <cell r="S19">
            <v>0</v>
          </cell>
          <cell r="T19">
            <v>0.1</v>
          </cell>
          <cell r="U19">
            <v>0</v>
          </cell>
          <cell r="V19">
            <v>0</v>
          </cell>
          <cell r="W19">
            <v>0</v>
          </cell>
          <cell r="X19">
            <v>0</v>
          </cell>
          <cell r="Y19">
            <v>0</v>
          </cell>
          <cell r="Z19">
            <v>0</v>
          </cell>
          <cell r="AA19">
            <v>0</v>
          </cell>
          <cell r="AB19">
            <v>0</v>
          </cell>
          <cell r="AC19">
            <v>0</v>
          </cell>
          <cell r="AD19">
            <v>0</v>
          </cell>
          <cell r="AE19" t="str">
            <v>PE 70x730</v>
          </cell>
          <cell r="AF19">
            <v>0</v>
          </cell>
          <cell r="AG19">
            <v>6.0553500000000017E-2</v>
          </cell>
          <cell r="AH19">
            <v>1.056</v>
          </cell>
          <cell r="AI19">
            <v>0</v>
          </cell>
          <cell r="AJ19">
            <v>9530</v>
          </cell>
          <cell r="AK19">
            <v>2.2000000000000001E-3</v>
          </cell>
          <cell r="AL19">
            <v>0</v>
          </cell>
          <cell r="AM19">
            <v>0</v>
          </cell>
          <cell r="AN19">
            <v>0</v>
          </cell>
          <cell r="AO19" t="str">
            <v>Công ty Phú Mỹ</v>
          </cell>
          <cell r="AP19">
            <v>0</v>
          </cell>
          <cell r="AQ19" t="str">
            <v>18121024-1</v>
          </cell>
          <cell r="AR19" t="str">
            <v>1310563-2</v>
          </cell>
          <cell r="AS19" t="str">
            <v>1310563-3</v>
          </cell>
          <cell r="AT19" t="str">
            <v>1310563-4</v>
          </cell>
          <cell r="AU19" t="str">
            <v>1310563-5</v>
          </cell>
          <cell r="AV19" t="str">
            <v>1310563-6</v>
          </cell>
          <cell r="AW19" t="str">
            <v>1310562-7</v>
          </cell>
          <cell r="BA19" t="str">
            <v>532x850</v>
          </cell>
          <cell r="BB19" t="str">
            <v>V1</v>
          </cell>
          <cell r="BC19" t="str">
            <v>in chung cây trắng vs sp 088+087 : 1310562</v>
          </cell>
        </row>
        <row r="20">
          <cell r="A20" t="str">
            <v>sp 083</v>
          </cell>
          <cell r="B20" t="str">
            <v>Cuộn trà cozy hương quế</v>
          </cell>
          <cell r="C20">
            <v>0</v>
          </cell>
          <cell r="D20" t="str">
            <v>BOPP mờ 30x640</v>
          </cell>
          <cell r="E20">
            <v>6</v>
          </cell>
          <cell r="F20">
            <v>6</v>
          </cell>
          <cell r="G20" t="str">
            <v>BOPP</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t="str">
            <v>MCPP 25x640</v>
          </cell>
          <cell r="AF20">
            <v>0</v>
          </cell>
          <cell r="AG20">
            <v>3.2032000000000005E-2</v>
          </cell>
          <cell r="AH20">
            <v>0.84</v>
          </cell>
          <cell r="AI20">
            <v>0</v>
          </cell>
          <cell r="AJ20">
            <v>9530</v>
          </cell>
          <cell r="AK20">
            <v>2E-3</v>
          </cell>
          <cell r="AL20">
            <v>0</v>
          </cell>
          <cell r="AM20" t="str">
            <v>dạng cuộn 1500m</v>
          </cell>
          <cell r="AN20">
            <v>155</v>
          </cell>
          <cell r="AO20" t="str">
            <v>Công ty Vĩnh Phúc</v>
          </cell>
          <cell r="AP20">
            <v>0</v>
          </cell>
          <cell r="AQ20" t="str">
            <v>1410590-1</v>
          </cell>
          <cell r="AR20" t="str">
            <v>1410590-2</v>
          </cell>
          <cell r="AS20" t="str">
            <v>1410590-3</v>
          </cell>
          <cell r="AT20" t="str">
            <v>1410590-4</v>
          </cell>
          <cell r="AU20" t="str">
            <v>1410590-5</v>
          </cell>
          <cell r="AV20" t="str">
            <v>1908217-6</v>
          </cell>
          <cell r="BA20" t="str">
            <v>462x750</v>
          </cell>
          <cell r="BB20" t="str">
            <v>A1</v>
          </cell>
          <cell r="BC20" t="str">
            <v xml:space="preserve">chạy chung cây Trắng với bộ cozy </v>
          </cell>
        </row>
        <row r="21">
          <cell r="A21" t="str">
            <v>sp 086</v>
          </cell>
          <cell r="B21" t="str">
            <v>Trục in túi tr'han vit C 1kg Trường Hằng 460x750</v>
          </cell>
          <cell r="C21">
            <v>0</v>
          </cell>
          <cell r="D21">
            <v>0</v>
          </cell>
          <cell r="E21">
            <v>5</v>
          </cell>
          <cell r="F21">
            <v>5</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t="str">
            <v xml:space="preserve">Công ty Trường Hằng </v>
          </cell>
          <cell r="AP21">
            <v>0</v>
          </cell>
          <cell r="AQ21" t="str">
            <v>1411258-1</v>
          </cell>
          <cell r="AR21" t="str">
            <v>1411258-2</v>
          </cell>
          <cell r="AS21" t="str">
            <v>1411258-3</v>
          </cell>
          <cell r="AT21" t="str">
            <v>1411258-4</v>
          </cell>
          <cell r="AU21" t="str">
            <v>1411258-5</v>
          </cell>
          <cell r="AV21">
            <v>0</v>
          </cell>
          <cell r="BA21" t="str">
            <v>460x750</v>
          </cell>
          <cell r="BB21" t="str">
            <v>M1</v>
          </cell>
        </row>
        <row r="22">
          <cell r="A22" t="str">
            <v>sp 087</v>
          </cell>
          <cell r="B22" t="str">
            <v>Cuộn bánh bao xíu mại 300gr Phú Mỹ</v>
          </cell>
          <cell r="C22">
            <v>6.6000000000000005</v>
          </cell>
          <cell r="D22" t="str">
            <v>BOPP 20x730</v>
          </cell>
          <cell r="E22">
            <v>6</v>
          </cell>
          <cell r="F22">
            <v>7</v>
          </cell>
          <cell r="G22" t="str">
            <v>BOPP</v>
          </cell>
          <cell r="H22">
            <v>0.1</v>
          </cell>
          <cell r="I22">
            <v>3.2</v>
          </cell>
          <cell r="J22">
            <v>0.3</v>
          </cell>
          <cell r="K22">
            <v>0.3</v>
          </cell>
          <cell r="L22">
            <v>0.5</v>
          </cell>
          <cell r="M22">
            <v>0.9</v>
          </cell>
          <cell r="N22">
            <v>0</v>
          </cell>
          <cell r="O22">
            <v>0</v>
          </cell>
          <cell r="P22">
            <v>0.3</v>
          </cell>
          <cell r="Q22">
            <v>0.2</v>
          </cell>
          <cell r="R22">
            <v>0</v>
          </cell>
          <cell r="S22">
            <v>0</v>
          </cell>
          <cell r="T22">
            <v>0.8</v>
          </cell>
          <cell r="U22">
            <v>0</v>
          </cell>
          <cell r="V22">
            <v>0</v>
          </cell>
          <cell r="W22">
            <v>0</v>
          </cell>
          <cell r="X22">
            <v>0</v>
          </cell>
          <cell r="Y22">
            <v>0</v>
          </cell>
          <cell r="Z22">
            <v>0</v>
          </cell>
          <cell r="AA22">
            <v>0</v>
          </cell>
          <cell r="AB22">
            <v>0</v>
          </cell>
          <cell r="AC22">
            <v>0</v>
          </cell>
          <cell r="AD22">
            <v>0</v>
          </cell>
          <cell r="AE22" t="str">
            <v>PE 70x730</v>
          </cell>
          <cell r="AF22">
            <v>0</v>
          </cell>
          <cell r="AG22">
            <v>6.0553500000000017E-2</v>
          </cell>
          <cell r="AH22">
            <v>1.056</v>
          </cell>
          <cell r="AI22">
            <v>0</v>
          </cell>
          <cell r="AJ22">
            <v>9530</v>
          </cell>
          <cell r="AK22">
            <v>2.2000000000000001E-3</v>
          </cell>
          <cell r="AL22">
            <v>0</v>
          </cell>
          <cell r="AM22" t="str">
            <v>dạng cuộn 500m</v>
          </cell>
          <cell r="AN22">
            <v>355</v>
          </cell>
          <cell r="AO22" t="str">
            <v>Công ty Phú Mỹ</v>
          </cell>
          <cell r="AP22">
            <v>0</v>
          </cell>
          <cell r="AQ22" t="str">
            <v>18051197-1</v>
          </cell>
          <cell r="AR22" t="str">
            <v>1310562-2</v>
          </cell>
          <cell r="AS22" t="str">
            <v>1310562-3</v>
          </cell>
          <cell r="AT22" t="str">
            <v>1310562-4</v>
          </cell>
          <cell r="AU22" t="str">
            <v>1310562-5</v>
          </cell>
          <cell r="AV22" t="str">
            <v>1310562-6</v>
          </cell>
          <cell r="AW22" t="str">
            <v>1310562-7</v>
          </cell>
          <cell r="BA22" t="str">
            <v>532x850</v>
          </cell>
          <cell r="BB22" t="str">
            <v>V1</v>
          </cell>
          <cell r="BC22" t="str">
            <v>in chung cây trắng vs sp 077+088 : 1310562</v>
          </cell>
        </row>
        <row r="23">
          <cell r="A23" t="str">
            <v>sp 088</v>
          </cell>
          <cell r="B23" t="str">
            <v>Cuộn bánh bao xíu mại trứng muối 300gr Phú Mỹ</v>
          </cell>
          <cell r="C23">
            <v>0</v>
          </cell>
          <cell r="D23" t="str">
            <v>BOPP 20x730</v>
          </cell>
          <cell r="E23">
            <v>6</v>
          </cell>
          <cell r="F23">
            <v>7</v>
          </cell>
          <cell r="G23" t="str">
            <v>BOPP</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t="str">
            <v>PE 70x730</v>
          </cell>
          <cell r="AF23">
            <v>0</v>
          </cell>
          <cell r="AG23">
            <v>0</v>
          </cell>
          <cell r="AH23">
            <v>0</v>
          </cell>
          <cell r="AI23">
            <v>0</v>
          </cell>
          <cell r="AJ23">
            <v>9530</v>
          </cell>
          <cell r="AK23">
            <v>2.2000000000000001E-3</v>
          </cell>
          <cell r="AL23">
            <v>0</v>
          </cell>
          <cell r="AM23">
            <v>0</v>
          </cell>
          <cell r="AN23">
            <v>0</v>
          </cell>
          <cell r="AO23" t="str">
            <v>Công ty Phú Mỹ</v>
          </cell>
          <cell r="AP23">
            <v>0</v>
          </cell>
          <cell r="AQ23" t="str">
            <v>18121023-1</v>
          </cell>
          <cell r="AR23" t="str">
            <v>1310564-2</v>
          </cell>
          <cell r="AS23" t="str">
            <v>1310564-3</v>
          </cell>
          <cell r="AT23" t="str">
            <v>1310564-4</v>
          </cell>
          <cell r="AU23" t="str">
            <v>1310564-5</v>
          </cell>
          <cell r="AV23" t="str">
            <v>1310564-6</v>
          </cell>
          <cell r="AW23" t="str">
            <v>1310562-7</v>
          </cell>
          <cell r="BA23" t="str">
            <v xml:space="preserve"> 532x850</v>
          </cell>
          <cell r="BB23" t="str">
            <v>V1</v>
          </cell>
          <cell r="BC23" t="str">
            <v>in chung cây trắng vs sp 077+087 : 1310562</v>
          </cell>
        </row>
        <row r="24">
          <cell r="A24" t="str">
            <v>sp 090</v>
          </cell>
          <cell r="B24" t="str">
            <v>Cuộn bánh bông lan katomi hobico</v>
          </cell>
          <cell r="C24">
            <v>0</v>
          </cell>
          <cell r="D24">
            <v>0</v>
          </cell>
          <cell r="E24">
            <v>6</v>
          </cell>
          <cell r="F24">
            <v>6</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t="str">
            <v>Công ty Katomi</v>
          </cell>
          <cell r="AP24">
            <v>0</v>
          </cell>
          <cell r="AQ24" t="str">
            <v>F109940-1</v>
          </cell>
          <cell r="AR24" t="str">
            <v>F109940-2</v>
          </cell>
          <cell r="AS24" t="str">
            <v>F109940-3</v>
          </cell>
          <cell r="AT24" t="str">
            <v>F109940-4</v>
          </cell>
          <cell r="AU24" t="str">
            <v>F109940-5</v>
          </cell>
          <cell r="AV24" t="str">
            <v>F109940-6</v>
          </cell>
          <cell r="BA24" t="str">
            <v>450x840</v>
          </cell>
          <cell r="BB24" t="str">
            <v>M1</v>
          </cell>
        </row>
        <row r="25">
          <cell r="A25" t="str">
            <v>sp 092</v>
          </cell>
          <cell r="B25" t="str">
            <v>Cuộn bánh gạo katomi hobico</v>
          </cell>
          <cell r="C25">
            <v>0</v>
          </cell>
          <cell r="D25">
            <v>0</v>
          </cell>
          <cell r="E25">
            <v>3</v>
          </cell>
          <cell r="F25">
            <v>3</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t="str">
            <v>Công ty Katomi</v>
          </cell>
          <cell r="AP25">
            <v>0</v>
          </cell>
          <cell r="AQ25" t="str">
            <v>F109956-1</v>
          </cell>
          <cell r="AR25" t="str">
            <v>F109956-2</v>
          </cell>
          <cell r="AS25" t="str">
            <v>F109956-3</v>
          </cell>
          <cell r="AT25">
            <v>0</v>
          </cell>
          <cell r="AU25">
            <v>0</v>
          </cell>
          <cell r="AV25">
            <v>0</v>
          </cell>
          <cell r="BA25" t="str">
            <v>460x1200</v>
          </cell>
          <cell r="BB25" t="str">
            <v>M1</v>
          </cell>
        </row>
        <row r="26">
          <cell r="A26" t="str">
            <v>sp 094</v>
          </cell>
          <cell r="B26" t="str">
            <v>Cuộn trà diabetna Nam dược</v>
          </cell>
          <cell r="C26">
            <v>0</v>
          </cell>
          <cell r="D26" t="str">
            <v>OPP 30 x 795</v>
          </cell>
          <cell r="E26">
            <v>6</v>
          </cell>
          <cell r="F26">
            <v>6</v>
          </cell>
          <cell r="G26" t="str">
            <v xml:space="preserve">OPP </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t="str">
            <v>MCPP 25 x 795</v>
          </cell>
          <cell r="AF26">
            <v>0</v>
          </cell>
          <cell r="AG26">
            <v>3.9789750000000006E-2</v>
          </cell>
          <cell r="AH26">
            <v>1.0466666666666666</v>
          </cell>
          <cell r="AI26">
            <v>0</v>
          </cell>
          <cell r="AJ26">
            <v>9530</v>
          </cell>
          <cell r="AK26">
            <v>2E-3</v>
          </cell>
          <cell r="AL26">
            <v>0</v>
          </cell>
          <cell r="AM26" t="str">
            <v>dạng cuộn 1000m</v>
          </cell>
          <cell r="AN26">
            <v>155</v>
          </cell>
          <cell r="AO26" t="str">
            <v>Công ty Nam Dược</v>
          </cell>
          <cell r="AP26">
            <v>0</v>
          </cell>
          <cell r="AQ26" t="str">
            <v>F110031G1-1</v>
          </cell>
          <cell r="AR26" t="str">
            <v>F110031G1-2</v>
          </cell>
          <cell r="AS26" t="str">
            <v>F110031G1-3</v>
          </cell>
          <cell r="AT26" t="str">
            <v>F110031G1-4</v>
          </cell>
          <cell r="AU26" t="str">
            <v>F110031G1-5</v>
          </cell>
          <cell r="AV26" t="str">
            <v>F110031-6</v>
          </cell>
          <cell r="BA26" t="str">
            <v>462x860</v>
          </cell>
          <cell r="BB26" t="str">
            <v>M1</v>
          </cell>
        </row>
        <row r="27">
          <cell r="A27" t="str">
            <v>sp 097</v>
          </cell>
          <cell r="B27" t="str">
            <v>Túi B-complex K3+C Trường Hằng</v>
          </cell>
          <cell r="C27" t="e">
            <v>#N/A</v>
          </cell>
          <cell r="D27">
            <v>0</v>
          </cell>
          <cell r="E27">
            <v>2</v>
          </cell>
          <cell r="F27">
            <v>2</v>
          </cell>
          <cell r="G27" t="e">
            <v>#N/A</v>
          </cell>
          <cell r="H27" t="e">
            <v>#N/A</v>
          </cell>
          <cell r="I27" t="e">
            <v>#N/A</v>
          </cell>
          <cell r="J27" t="e">
            <v>#N/A</v>
          </cell>
          <cell r="K27" t="e">
            <v>#N/A</v>
          </cell>
          <cell r="L27" t="e">
            <v>#N/A</v>
          </cell>
          <cell r="M27" t="e">
            <v>#N/A</v>
          </cell>
          <cell r="N27" t="e">
            <v>#N/A</v>
          </cell>
          <cell r="O27" t="e">
            <v>#N/A</v>
          </cell>
          <cell r="P27" t="e">
            <v>#N/A</v>
          </cell>
          <cell r="Q27" t="e">
            <v>#N/A</v>
          </cell>
          <cell r="R27" t="e">
            <v>#N/A</v>
          </cell>
          <cell r="S27" t="e">
            <v>#N/A</v>
          </cell>
          <cell r="T27" t="e">
            <v>#N/A</v>
          </cell>
          <cell r="U27" t="e">
            <v>#N/A</v>
          </cell>
          <cell r="V27" t="e">
            <v>#N/A</v>
          </cell>
          <cell r="W27" t="e">
            <v>#N/A</v>
          </cell>
          <cell r="X27" t="e">
            <v>#N/A</v>
          </cell>
          <cell r="Y27" t="e">
            <v>#N/A</v>
          </cell>
          <cell r="Z27" t="e">
            <v>#N/A</v>
          </cell>
          <cell r="AA27" t="e">
            <v>#N/A</v>
          </cell>
          <cell r="AB27" t="e">
            <v>#N/A</v>
          </cell>
          <cell r="AC27" t="e">
            <v>#N/A</v>
          </cell>
          <cell r="AD27" t="e">
            <v>#N/A</v>
          </cell>
          <cell r="AE27" t="e">
            <v>#N/A</v>
          </cell>
          <cell r="AF27" t="e">
            <v>#N/A</v>
          </cell>
          <cell r="AG27" t="e">
            <v>#N/A</v>
          </cell>
          <cell r="AH27" t="e">
            <v>#N/A</v>
          </cell>
          <cell r="AI27" t="e">
            <v>#N/A</v>
          </cell>
          <cell r="AJ27" t="e">
            <v>#N/A</v>
          </cell>
          <cell r="AK27" t="e">
            <v>#N/A</v>
          </cell>
          <cell r="AL27" t="e">
            <v>#N/A</v>
          </cell>
          <cell r="AM27" t="e">
            <v>#N/A</v>
          </cell>
          <cell r="AN27" t="e">
            <v>#N/A</v>
          </cell>
          <cell r="AO27" t="str">
            <v xml:space="preserve">Công ty Trường Hằng </v>
          </cell>
          <cell r="AP27" t="str">
            <v>H021674S1</v>
          </cell>
          <cell r="AQ27" t="str">
            <v>1811584-1</v>
          </cell>
          <cell r="AR27" t="str">
            <v>1811584-2</v>
          </cell>
          <cell r="AS27">
            <v>0</v>
          </cell>
          <cell r="BA27" t="str">
            <v>420x750</v>
          </cell>
          <cell r="BB27" t="str">
            <v>M2</v>
          </cell>
        </row>
        <row r="28">
          <cell r="A28" t="str">
            <v>sp 101</v>
          </cell>
          <cell r="B28" t="str">
            <v>Cuộn bánh gấc Q5 diamondfood</v>
          </cell>
          <cell r="C28">
            <v>0</v>
          </cell>
          <cell r="D28">
            <v>0</v>
          </cell>
          <cell r="E28">
            <v>7</v>
          </cell>
          <cell r="F28">
            <v>7</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t="str">
            <v>Công ty Diamond Food</v>
          </cell>
          <cell r="AP28">
            <v>0</v>
          </cell>
          <cell r="AQ28" t="str">
            <v>F105603-1</v>
          </cell>
          <cell r="AR28" t="str">
            <v>F105603-2</v>
          </cell>
          <cell r="AS28" t="str">
            <v>F105603-3</v>
          </cell>
          <cell r="AT28" t="str">
            <v>F105603-4</v>
          </cell>
          <cell r="AU28" t="str">
            <v>F105603-5</v>
          </cell>
          <cell r="AV28" t="str">
            <v>F105603-6</v>
          </cell>
          <cell r="AW28" t="str">
            <v>F105603-7</v>
          </cell>
          <cell r="BA28" t="str">
            <v>450x750</v>
          </cell>
          <cell r="BB28" t="str">
            <v>M2</v>
          </cell>
        </row>
        <row r="29">
          <cell r="A29" t="str">
            <v>sp 108</v>
          </cell>
          <cell r="B29" t="str">
            <v>Cuộn trà cozy hương nhài Vĩnh Phúc</v>
          </cell>
          <cell r="C29">
            <v>8.4999999999999982</v>
          </cell>
          <cell r="D29" t="str">
            <v>BOPP mo 30x640</v>
          </cell>
          <cell r="E29">
            <v>6</v>
          </cell>
          <cell r="F29">
            <v>6</v>
          </cell>
          <cell r="G29" t="str">
            <v>BOPP</v>
          </cell>
          <cell r="H29">
            <v>0.1</v>
          </cell>
          <cell r="I29">
            <v>2.4</v>
          </cell>
          <cell r="J29">
            <v>0.6</v>
          </cell>
          <cell r="K29">
            <v>0.1</v>
          </cell>
          <cell r="L29">
            <v>2.2000000000000002</v>
          </cell>
          <cell r="M29">
            <v>0.8</v>
          </cell>
          <cell r="N29">
            <v>0</v>
          </cell>
          <cell r="O29">
            <v>2</v>
          </cell>
          <cell r="P29">
            <v>0</v>
          </cell>
          <cell r="Q29">
            <v>0.1</v>
          </cell>
          <cell r="R29">
            <v>0.2</v>
          </cell>
          <cell r="S29">
            <v>0</v>
          </cell>
          <cell r="T29">
            <v>0</v>
          </cell>
          <cell r="U29">
            <v>0</v>
          </cell>
          <cell r="V29">
            <v>0</v>
          </cell>
          <cell r="W29">
            <v>0</v>
          </cell>
          <cell r="X29">
            <v>0</v>
          </cell>
          <cell r="Y29">
            <v>0</v>
          </cell>
          <cell r="Z29">
            <v>0</v>
          </cell>
          <cell r="AA29">
            <v>0</v>
          </cell>
          <cell r="AB29">
            <v>0</v>
          </cell>
          <cell r="AC29">
            <v>0</v>
          </cell>
          <cell r="AD29">
            <v>0</v>
          </cell>
          <cell r="AE29" t="str">
            <v>MCPP 25x640</v>
          </cell>
          <cell r="AF29">
            <v>0</v>
          </cell>
          <cell r="AG29">
            <v>3.2032000000000005E-2</v>
          </cell>
          <cell r="AH29">
            <v>0.84</v>
          </cell>
          <cell r="AI29">
            <v>0</v>
          </cell>
          <cell r="AJ29">
            <v>9530</v>
          </cell>
          <cell r="AK29">
            <v>2E-3</v>
          </cell>
          <cell r="AL29">
            <v>0</v>
          </cell>
          <cell r="AM29">
            <v>0</v>
          </cell>
          <cell r="AN29">
            <v>0</v>
          </cell>
          <cell r="AO29" t="str">
            <v>Công ty Vĩnh Phúc</v>
          </cell>
          <cell r="AP29">
            <v>0</v>
          </cell>
          <cell r="AQ29" t="str">
            <v>18031198-1</v>
          </cell>
          <cell r="AR29" t="str">
            <v>18031198-2</v>
          </cell>
          <cell r="AS29" t="str">
            <v>18031198-3</v>
          </cell>
          <cell r="AT29" t="str">
            <v>18031198-4</v>
          </cell>
          <cell r="AU29" t="str">
            <v>18031198-5</v>
          </cell>
          <cell r="AV29" t="str">
            <v>1804651-6</v>
          </cell>
          <cell r="AW29">
            <v>1</v>
          </cell>
          <cell r="BA29" t="str">
            <v>462x750</v>
          </cell>
          <cell r="BB29" t="str">
            <v>A1</v>
          </cell>
        </row>
        <row r="30">
          <cell r="A30" t="str">
            <v>sp 117</v>
          </cell>
          <cell r="B30" t="str">
            <v>Cuộn bánh trứng lipo tiếng anh K170</v>
          </cell>
          <cell r="C30">
            <v>6.05</v>
          </cell>
          <cell r="D30" t="str">
            <v>BOPP 20x700</v>
          </cell>
          <cell r="E30">
            <v>8</v>
          </cell>
          <cell r="F30">
            <v>7</v>
          </cell>
          <cell r="G30" t="str">
            <v>BOPP</v>
          </cell>
          <cell r="H30">
            <v>0.05</v>
          </cell>
          <cell r="I30">
            <v>2.8</v>
          </cell>
          <cell r="J30">
            <v>0.1</v>
          </cell>
          <cell r="K30">
            <v>0.2</v>
          </cell>
          <cell r="L30">
            <v>1.6</v>
          </cell>
          <cell r="M30">
            <v>1</v>
          </cell>
          <cell r="N30">
            <v>0</v>
          </cell>
          <cell r="O30">
            <v>0</v>
          </cell>
          <cell r="P30">
            <v>0.2</v>
          </cell>
          <cell r="Q30">
            <v>0</v>
          </cell>
          <cell r="R30">
            <v>0.1</v>
          </cell>
          <cell r="S30">
            <v>0</v>
          </cell>
          <cell r="T30">
            <v>0</v>
          </cell>
          <cell r="U30">
            <v>0</v>
          </cell>
          <cell r="V30">
            <v>0</v>
          </cell>
          <cell r="W30">
            <v>0</v>
          </cell>
          <cell r="X30">
            <v>0</v>
          </cell>
          <cell r="Y30">
            <v>0</v>
          </cell>
          <cell r="Z30">
            <v>0</v>
          </cell>
          <cell r="AA30">
            <v>0</v>
          </cell>
          <cell r="AB30">
            <v>0</v>
          </cell>
          <cell r="AC30">
            <v>0</v>
          </cell>
          <cell r="AD30">
            <v>0</v>
          </cell>
          <cell r="AE30" t="str">
            <v>MCPP 25x700</v>
          </cell>
          <cell r="AF30">
            <v>0</v>
          </cell>
          <cell r="AG30">
            <v>1.7198999999999999E-2</v>
          </cell>
          <cell r="AH30">
            <v>1.1499999999999999</v>
          </cell>
          <cell r="AI30">
            <v>0</v>
          </cell>
          <cell r="AJ30">
            <v>9530</v>
          </cell>
          <cell r="AK30">
            <v>2.5000000000000001E-3</v>
          </cell>
          <cell r="AL30">
            <v>0</v>
          </cell>
          <cell r="AM30">
            <v>0</v>
          </cell>
          <cell r="AN30">
            <v>0</v>
          </cell>
          <cell r="AO30" t="str">
            <v>Công ty Quốc tế Alpha</v>
          </cell>
          <cell r="AP30">
            <v>0</v>
          </cell>
          <cell r="AQ30" t="str">
            <v>F810864G6-1</v>
          </cell>
          <cell r="AR30" t="str">
            <v>F810864G7-2</v>
          </cell>
          <cell r="AS30" t="str">
            <v>F810864G5-3</v>
          </cell>
          <cell r="AT30" t="str">
            <v>F810864G8-4</v>
          </cell>
          <cell r="AU30" t="str">
            <v>F810864G7-5</v>
          </cell>
          <cell r="AV30" t="str">
            <v>F810864G9-6</v>
          </cell>
          <cell r="AW30" t="str">
            <v>F810864G10-7 
cây mới</v>
          </cell>
          <cell r="AX30" t="str">
            <v xml:space="preserve">F810864G4-7 
cây củ </v>
          </cell>
          <cell r="BA30" t="str">
            <v>500x750</v>
          </cell>
          <cell r="BB30" t="str">
            <v>C1</v>
          </cell>
        </row>
        <row r="31">
          <cell r="A31" t="str">
            <v>sp 119</v>
          </cell>
          <cell r="B31" t="str">
            <v>Túi cơm cháy nếp cái hoa vàng 200gr</v>
          </cell>
          <cell r="C31">
            <v>5.29</v>
          </cell>
          <cell r="D31" t="str">
            <v>BOPP 20x440</v>
          </cell>
          <cell r="E31">
            <v>5</v>
          </cell>
          <cell r="F31">
            <v>5</v>
          </cell>
          <cell r="G31" t="str">
            <v>BOPP</v>
          </cell>
          <cell r="H31">
            <v>0.2</v>
          </cell>
          <cell r="I31">
            <v>2.1</v>
          </cell>
          <cell r="J31">
            <v>0.13</v>
          </cell>
          <cell r="K31">
            <v>0.35</v>
          </cell>
          <cell r="L31">
            <v>1.1100000000000001</v>
          </cell>
          <cell r="M31">
            <v>1</v>
          </cell>
          <cell r="N31">
            <v>0</v>
          </cell>
          <cell r="O31">
            <v>0.3</v>
          </cell>
          <cell r="P31">
            <v>0</v>
          </cell>
          <cell r="Q31">
            <v>0</v>
          </cell>
          <cell r="R31">
            <v>0.1</v>
          </cell>
          <cell r="S31">
            <v>0</v>
          </cell>
          <cell r="T31">
            <v>0</v>
          </cell>
          <cell r="U31">
            <v>0</v>
          </cell>
          <cell r="V31">
            <v>0</v>
          </cell>
          <cell r="W31">
            <v>0</v>
          </cell>
          <cell r="X31">
            <v>0</v>
          </cell>
          <cell r="Y31">
            <v>0</v>
          </cell>
          <cell r="Z31">
            <v>0</v>
          </cell>
          <cell r="AA31">
            <v>0</v>
          </cell>
          <cell r="AB31">
            <v>0</v>
          </cell>
          <cell r="AC31">
            <v>0</v>
          </cell>
          <cell r="AD31">
            <v>0</v>
          </cell>
          <cell r="AE31" t="str">
            <v>CPP 35x440</v>
          </cell>
          <cell r="AF31">
            <v>0</v>
          </cell>
          <cell r="AG31">
            <v>2.2022000000000003E-2</v>
          </cell>
          <cell r="AH31">
            <v>0.57333333333333325</v>
          </cell>
          <cell r="AI31">
            <v>0</v>
          </cell>
          <cell r="AJ31">
            <v>9530</v>
          </cell>
          <cell r="AK31">
            <v>2E-3</v>
          </cell>
          <cell r="AL31">
            <v>0</v>
          </cell>
          <cell r="AM31" t="str">
            <v>Hàn lưng</v>
          </cell>
          <cell r="AN31">
            <v>0</v>
          </cell>
          <cell r="AO31" t="str">
            <v>Hoa Lư</v>
          </cell>
          <cell r="AP31">
            <v>0</v>
          </cell>
          <cell r="AQ31" t="str">
            <v>1708739-1</v>
          </cell>
          <cell r="AR31" t="str">
            <v>1708739-2</v>
          </cell>
          <cell r="AS31" t="str">
            <v>1708739-3</v>
          </cell>
          <cell r="AT31" t="str">
            <v>1708739-4</v>
          </cell>
          <cell r="AU31" t="str">
            <v>1708739-5</v>
          </cell>
          <cell r="BA31" t="str">
            <v>620x750</v>
          </cell>
          <cell r="BB31" t="str">
            <v>M2</v>
          </cell>
        </row>
        <row r="32">
          <cell r="A32" t="str">
            <v>sp 144</v>
          </cell>
          <cell r="B32" t="str">
            <v>Túi quế 600gr Quế Lâm</v>
          </cell>
          <cell r="C32">
            <v>0</v>
          </cell>
          <cell r="D32" t="str">
            <v>OPP 20x640</v>
          </cell>
          <cell r="E32">
            <v>6</v>
          </cell>
          <cell r="F32">
            <v>6</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t="str">
            <v>Quế Lâm</v>
          </cell>
          <cell r="AP32">
            <v>0</v>
          </cell>
          <cell r="AQ32" t="str">
            <v>F125899-1</v>
          </cell>
          <cell r="AR32" t="str">
            <v>F105356-2</v>
          </cell>
          <cell r="AS32" t="str">
            <v>F105356-3</v>
          </cell>
          <cell r="AT32" t="str">
            <v>F105356-4</v>
          </cell>
          <cell r="AU32" t="str">
            <v>F105356-5</v>
          </cell>
          <cell r="AV32" t="str">
            <v>F105356-6</v>
          </cell>
          <cell r="BA32" t="str">
            <v>460x750</v>
          </cell>
          <cell r="BB32" t="str">
            <v>M2</v>
          </cell>
        </row>
        <row r="33">
          <cell r="A33" t="str">
            <v>sp 147</v>
          </cell>
          <cell r="B33" t="str">
            <v>Trục in túi muối Hà Nội 500g 424x750(1508195)</v>
          </cell>
          <cell r="C33">
            <v>0</v>
          </cell>
          <cell r="D33">
            <v>0</v>
          </cell>
          <cell r="E33">
            <v>1</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t="str">
            <v>Công ty VISACO</v>
          </cell>
          <cell r="AP33">
            <v>0</v>
          </cell>
          <cell r="AQ33">
            <v>1508195</v>
          </cell>
          <cell r="AR33">
            <v>0</v>
          </cell>
          <cell r="AS33">
            <v>0</v>
          </cell>
          <cell r="AT33">
            <v>0</v>
          </cell>
          <cell r="AU33">
            <v>0</v>
          </cell>
          <cell r="AV33">
            <v>0</v>
          </cell>
          <cell r="BA33" t="str">
            <v>424x750</v>
          </cell>
          <cell r="BB33" t="str">
            <v>M2</v>
          </cell>
        </row>
        <row r="34">
          <cell r="A34" t="str">
            <v>sp 148</v>
          </cell>
          <cell r="B34" t="str">
            <v xml:space="preserve">Túi muối iot Hà Nội 200gr </v>
          </cell>
          <cell r="C34">
            <v>4.2</v>
          </cell>
          <cell r="D34" t="str">
            <v>BOPP 20x470</v>
          </cell>
          <cell r="E34">
            <v>5</v>
          </cell>
          <cell r="F34">
            <v>5</v>
          </cell>
          <cell r="G34" t="str">
            <v>BOPP</v>
          </cell>
          <cell r="H34">
            <v>0.1</v>
          </cell>
          <cell r="I34">
            <v>1.4</v>
          </cell>
          <cell r="J34">
            <v>0.1</v>
          </cell>
          <cell r="K34">
            <v>0</v>
          </cell>
          <cell r="L34">
            <v>1.3</v>
          </cell>
          <cell r="M34">
            <v>0.7</v>
          </cell>
          <cell r="N34">
            <v>0</v>
          </cell>
          <cell r="O34">
            <v>0</v>
          </cell>
          <cell r="P34">
            <v>0.6</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t="str">
            <v>PE 65x470</v>
          </cell>
          <cell r="AF34">
            <v>0</v>
          </cell>
          <cell r="AG34">
            <v>3.6812749999999998E-2</v>
          </cell>
          <cell r="AH34">
            <v>0.61333333333333329</v>
          </cell>
          <cell r="AI34">
            <v>0</v>
          </cell>
          <cell r="AJ34">
            <v>9530</v>
          </cell>
          <cell r="AK34">
            <v>2E-3</v>
          </cell>
          <cell r="AL34">
            <v>0</v>
          </cell>
          <cell r="AM34" t="str">
            <v>Ba biên</v>
          </cell>
          <cell r="AN34">
            <v>0</v>
          </cell>
          <cell r="AO34" t="str">
            <v>Công ty VISACO</v>
          </cell>
          <cell r="AP34">
            <v>0</v>
          </cell>
          <cell r="AQ34" t="str">
            <v>1412417-1</v>
          </cell>
          <cell r="AR34" t="str">
            <v>1308276-2</v>
          </cell>
          <cell r="AS34" t="str">
            <v>1308276-3</v>
          </cell>
          <cell r="AT34" t="str">
            <v>1308276-4</v>
          </cell>
          <cell r="AU34" t="str">
            <v>18011108-5</v>
          </cell>
          <cell r="BA34" t="str">
            <v>480x740</v>
          </cell>
          <cell r="BB34" t="str">
            <v>M2</v>
          </cell>
          <cell r="BC34" t="str">
            <v>in chung bộ sp 336+ 403</v>
          </cell>
        </row>
        <row r="35">
          <cell r="A35" t="str">
            <v>sp 153</v>
          </cell>
          <cell r="B35" t="str">
            <v>Trục in túi chè All Muftahein 450g 620x520(17040653)</v>
          </cell>
          <cell r="C35">
            <v>0</v>
          </cell>
          <cell r="D35">
            <v>0</v>
          </cell>
          <cell r="E35">
            <v>3</v>
          </cell>
          <cell r="F35">
            <v>3</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t="str">
            <v>Công ty Vĩnh Phúc</v>
          </cell>
          <cell r="AP35">
            <v>0</v>
          </cell>
          <cell r="AQ35" t="str">
            <v>17040653-1</v>
          </cell>
          <cell r="AR35" t="str">
            <v>17040653-2</v>
          </cell>
          <cell r="AS35" t="str">
            <v>17040653-3</v>
          </cell>
          <cell r="AT35">
            <v>0</v>
          </cell>
          <cell r="AU35">
            <v>0</v>
          </cell>
          <cell r="BA35" t="str">
            <v>520x620</v>
          </cell>
          <cell r="BB35" t="str">
            <v>A1</v>
          </cell>
        </row>
        <row r="36">
          <cell r="A36" t="str">
            <v>sp 160</v>
          </cell>
          <cell r="B36" t="str">
            <v>Túi muối siêu sạch 5 màu Ngọc Châu</v>
          </cell>
          <cell r="C36">
            <v>7.6</v>
          </cell>
          <cell r="D36" t="str">
            <v>OPP 20x540</v>
          </cell>
          <cell r="E36">
            <v>5</v>
          </cell>
          <cell r="F36">
            <v>0</v>
          </cell>
          <cell r="G36" t="str">
            <v xml:space="preserve">OPP </v>
          </cell>
          <cell r="H36">
            <v>0.6</v>
          </cell>
          <cell r="I36">
            <v>2.8</v>
          </cell>
          <cell r="J36">
            <v>2.2000000000000002</v>
          </cell>
          <cell r="K36">
            <v>0.4</v>
          </cell>
          <cell r="L36">
            <v>0.3</v>
          </cell>
          <cell r="M36">
            <v>1.3</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t="str">
            <v>PE 40x540</v>
          </cell>
          <cell r="AF36">
            <v>0</v>
          </cell>
          <cell r="AG36">
            <v>2.9808000000000005E-2</v>
          </cell>
          <cell r="AH36">
            <v>0.70666666666666667</v>
          </cell>
          <cell r="AI36">
            <v>0</v>
          </cell>
          <cell r="AJ36">
            <v>9530</v>
          </cell>
          <cell r="AK36">
            <v>2E-3</v>
          </cell>
          <cell r="AL36">
            <v>0</v>
          </cell>
          <cell r="AM36" t="str">
            <v>Ba biên</v>
          </cell>
          <cell r="AN36">
            <v>0</v>
          </cell>
          <cell r="AO36" t="str">
            <v>Công ty Ngọc Châu</v>
          </cell>
          <cell r="AP36">
            <v>0</v>
          </cell>
          <cell r="AQ36" t="str">
            <v>F113905-1</v>
          </cell>
          <cell r="AR36" t="str">
            <v>F305575-2</v>
          </cell>
          <cell r="AS36" t="str">
            <v>F305575-3</v>
          </cell>
          <cell r="AT36" t="str">
            <v>F305575-4</v>
          </cell>
          <cell r="AU36" t="str">
            <v>F305575-5</v>
          </cell>
          <cell r="BA36" t="str">
            <v>540x750</v>
          </cell>
          <cell r="BB36" t="str">
            <v>M2</v>
          </cell>
        </row>
        <row r="37">
          <cell r="A37" t="str">
            <v>sp 163</v>
          </cell>
          <cell r="B37" t="str">
            <v>Túi umgavit 10gr Trường Hằng</v>
          </cell>
          <cell r="C37">
            <v>0</v>
          </cell>
          <cell r="D37" t="str">
            <v>BOPP 20x500</v>
          </cell>
          <cell r="E37">
            <v>5</v>
          </cell>
          <cell r="F37">
            <v>5</v>
          </cell>
          <cell r="G37" t="str">
            <v>BOPP</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t="str">
            <v>MPET 12x500</v>
          </cell>
          <cell r="AF37" t="str">
            <v>PE 60x505</v>
          </cell>
          <cell r="AG37">
            <v>4.5249999999999999E-2</v>
          </cell>
          <cell r="AH37">
            <v>0.7513333333333333</v>
          </cell>
          <cell r="AI37">
            <v>0.98</v>
          </cell>
          <cell r="AJ37">
            <v>9530</v>
          </cell>
          <cell r="AK37" t="str">
            <v>0.0053 (0.0023; 0.003)</v>
          </cell>
          <cell r="AL37">
            <v>0</v>
          </cell>
          <cell r="AM37">
            <v>0</v>
          </cell>
          <cell r="AN37">
            <v>0</v>
          </cell>
          <cell r="AO37" t="str">
            <v xml:space="preserve">Công ty Trường Hằng </v>
          </cell>
          <cell r="AP37">
            <v>0</v>
          </cell>
          <cell r="AQ37" t="str">
            <v>1312036-1</v>
          </cell>
          <cell r="AR37" t="str">
            <v>1312036-2</v>
          </cell>
          <cell r="AS37" t="str">
            <v>1312036-3</v>
          </cell>
          <cell r="AT37" t="str">
            <v>1312036-4</v>
          </cell>
          <cell r="AU37" t="str">
            <v>1312036-5</v>
          </cell>
          <cell r="AV37">
            <v>0</v>
          </cell>
          <cell r="AW37">
            <v>0</v>
          </cell>
          <cell r="AX37">
            <v>0</v>
          </cell>
          <cell r="AY37">
            <v>0</v>
          </cell>
          <cell r="AZ37">
            <v>0</v>
          </cell>
          <cell r="BA37" t="str">
            <v>400x750</v>
          </cell>
          <cell r="BB37" t="str">
            <v>M2</v>
          </cell>
          <cell r="BC37">
            <v>0</v>
          </cell>
        </row>
        <row r="38">
          <cell r="A38" t="str">
            <v>sp 164</v>
          </cell>
          <cell r="B38" t="str">
            <v>Túi ngừa giun sán 2gr Trường Hằng</v>
          </cell>
          <cell r="C38">
            <v>5.3000000000000007</v>
          </cell>
          <cell r="D38" t="str">
            <v>BOPP 20x620</v>
          </cell>
          <cell r="E38">
            <v>4</v>
          </cell>
          <cell r="F38">
            <v>4</v>
          </cell>
          <cell r="G38" t="str">
            <v>BOPP</v>
          </cell>
          <cell r="H38">
            <v>0.2</v>
          </cell>
          <cell r="I38">
            <v>3</v>
          </cell>
          <cell r="J38">
            <v>0</v>
          </cell>
          <cell r="K38">
            <v>0.1</v>
          </cell>
          <cell r="L38">
            <v>2</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t="str">
            <v>CPP 25x620</v>
          </cell>
          <cell r="AF38">
            <v>0</v>
          </cell>
          <cell r="AG38">
            <v>2.5388999999999998E-2</v>
          </cell>
          <cell r="AH38">
            <v>0.73199999999999998</v>
          </cell>
          <cell r="AI38">
            <v>0</v>
          </cell>
          <cell r="AJ38">
            <v>9530</v>
          </cell>
          <cell r="AK38">
            <v>1.8E-3</v>
          </cell>
          <cell r="AL38">
            <v>0</v>
          </cell>
          <cell r="AM38" t="str">
            <v>Ba biên</v>
          </cell>
          <cell r="AN38">
            <v>60</v>
          </cell>
          <cell r="AO38" t="str">
            <v xml:space="preserve">Công ty Trường Hằng </v>
          </cell>
          <cell r="AP38">
            <v>0</v>
          </cell>
          <cell r="AQ38" t="str">
            <v>1903314-1</v>
          </cell>
          <cell r="AR38" t="str">
            <v>1903314-2</v>
          </cell>
          <cell r="AS38" t="str">
            <v>1310473-3</v>
          </cell>
          <cell r="AT38" t="str">
            <v>1310473-4</v>
          </cell>
          <cell r="BA38" t="str">
            <v>420x750</v>
          </cell>
          <cell r="BB38" t="str">
            <v>M2</v>
          </cell>
        </row>
        <row r="39">
          <cell r="A39" t="str">
            <v>sp 166</v>
          </cell>
          <cell r="B39" t="str">
            <v>Cuộn bột canh visip 250gr Ngọc Châu</v>
          </cell>
          <cell r="C39">
            <v>4.7899999999999991</v>
          </cell>
          <cell r="D39" t="str">
            <v>BOPP 20x560</v>
          </cell>
          <cell r="E39">
            <v>4</v>
          </cell>
          <cell r="F39">
            <v>4</v>
          </cell>
          <cell r="G39" t="str">
            <v>BOPP</v>
          </cell>
          <cell r="H39">
            <v>0.19</v>
          </cell>
          <cell r="I39">
            <v>2</v>
          </cell>
          <cell r="J39">
            <v>0</v>
          </cell>
          <cell r="K39">
            <v>0.1</v>
          </cell>
          <cell r="L39">
            <v>0.3</v>
          </cell>
          <cell r="M39">
            <v>0</v>
          </cell>
          <cell r="N39">
            <v>0</v>
          </cell>
          <cell r="O39">
            <v>0</v>
          </cell>
          <cell r="P39">
            <v>2</v>
          </cell>
          <cell r="Q39">
            <v>0.1</v>
          </cell>
          <cell r="R39">
            <v>0.1</v>
          </cell>
          <cell r="S39">
            <v>0</v>
          </cell>
          <cell r="T39">
            <v>0</v>
          </cell>
          <cell r="U39">
            <v>0</v>
          </cell>
          <cell r="V39">
            <v>0</v>
          </cell>
          <cell r="W39">
            <v>0</v>
          </cell>
          <cell r="X39">
            <v>0</v>
          </cell>
          <cell r="Y39">
            <v>0</v>
          </cell>
          <cell r="Z39">
            <v>0</v>
          </cell>
          <cell r="AA39">
            <v>0</v>
          </cell>
          <cell r="AB39">
            <v>0</v>
          </cell>
          <cell r="AC39">
            <v>0</v>
          </cell>
          <cell r="AD39">
            <v>0</v>
          </cell>
          <cell r="AE39" t="str">
            <v>PE 40x560</v>
          </cell>
          <cell r="AF39">
            <v>0</v>
          </cell>
          <cell r="AG39">
            <v>3.0912000000000005E-2</v>
          </cell>
          <cell r="AH39">
            <v>0.73333333333333339</v>
          </cell>
          <cell r="AI39">
            <v>0</v>
          </cell>
          <cell r="AJ39">
            <v>9530</v>
          </cell>
          <cell r="AK39">
            <v>2E-3</v>
          </cell>
          <cell r="AL39">
            <v>0</v>
          </cell>
          <cell r="AM39" t="str">
            <v>Ba biên</v>
          </cell>
          <cell r="AN39">
            <v>0</v>
          </cell>
          <cell r="AO39" t="str">
            <v>Công ty Ngọc Châu</v>
          </cell>
          <cell r="AP39">
            <v>0</v>
          </cell>
          <cell r="AQ39" t="str">
            <v>F113905G1-1</v>
          </cell>
          <cell r="AR39" t="str">
            <v>F108150G3-2</v>
          </cell>
          <cell r="AS39" t="str">
            <v>F108150-3</v>
          </cell>
          <cell r="AT39" t="str">
            <v>F108150-4</v>
          </cell>
          <cell r="BA39" t="str">
            <v>525x750</v>
          </cell>
          <cell r="BB39" t="str">
            <v>M2</v>
          </cell>
        </row>
        <row r="40">
          <cell r="A40" t="str">
            <v>sp 173</v>
          </cell>
          <cell r="B40" t="str">
            <v>Trục in túi bánh đậu xanh Tiên Dung 420g 540x850</v>
          </cell>
          <cell r="C40">
            <v>0</v>
          </cell>
          <cell r="D40">
            <v>0</v>
          </cell>
          <cell r="E40">
            <v>2</v>
          </cell>
          <cell r="F40">
            <v>2</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t="str">
            <v>Công ty Tiên Dung</v>
          </cell>
          <cell r="AP40">
            <v>0</v>
          </cell>
          <cell r="AQ40" t="str">
            <v>1203479-1</v>
          </cell>
          <cell r="AR40" t="str">
            <v>1203479-2</v>
          </cell>
          <cell r="AS40">
            <v>0</v>
          </cell>
          <cell r="AT40">
            <v>0</v>
          </cell>
          <cell r="BA40" t="str">
            <v>540x850</v>
          </cell>
          <cell r="BB40" t="str">
            <v>M2</v>
          </cell>
        </row>
        <row r="41">
          <cell r="A41" t="str">
            <v>sp 175</v>
          </cell>
          <cell r="B41" t="str">
            <v>Túi bánh cripts Q2 diamondfood</v>
          </cell>
          <cell r="C41">
            <v>6.8199999999999994</v>
          </cell>
          <cell r="D41" t="str">
            <v>BOPP 20x440</v>
          </cell>
          <cell r="E41">
            <v>5</v>
          </cell>
          <cell r="F41">
            <v>5</v>
          </cell>
          <cell r="G41" t="str">
            <v>BOPP</v>
          </cell>
          <cell r="H41">
            <v>0.05</v>
          </cell>
          <cell r="I41">
            <v>2.7</v>
          </cell>
          <cell r="J41">
            <v>0</v>
          </cell>
          <cell r="K41">
            <v>0.14000000000000001</v>
          </cell>
          <cell r="L41">
            <v>2.7</v>
          </cell>
          <cell r="M41">
            <v>0.8</v>
          </cell>
          <cell r="N41">
            <v>0</v>
          </cell>
          <cell r="O41">
            <v>0</v>
          </cell>
          <cell r="P41">
            <v>0</v>
          </cell>
          <cell r="Q41">
            <v>0</v>
          </cell>
          <cell r="R41">
            <v>0</v>
          </cell>
          <cell r="S41">
            <v>0.43</v>
          </cell>
          <cell r="T41">
            <v>0</v>
          </cell>
          <cell r="U41">
            <v>0</v>
          </cell>
          <cell r="V41">
            <v>0</v>
          </cell>
          <cell r="W41">
            <v>0</v>
          </cell>
          <cell r="X41">
            <v>0</v>
          </cell>
          <cell r="Y41">
            <v>0</v>
          </cell>
          <cell r="Z41">
            <v>0</v>
          </cell>
          <cell r="AA41">
            <v>0</v>
          </cell>
          <cell r="AB41">
            <v>0</v>
          </cell>
          <cell r="AC41">
            <v>0</v>
          </cell>
          <cell r="AD41">
            <v>0</v>
          </cell>
          <cell r="AE41" t="str">
            <v>CPP 43x440</v>
          </cell>
          <cell r="AF41">
            <v>0</v>
          </cell>
          <cell r="AG41">
            <v>2.52252E-2</v>
          </cell>
          <cell r="AH41">
            <v>0.66</v>
          </cell>
          <cell r="AI41">
            <v>0</v>
          </cell>
          <cell r="AJ41">
            <v>9530</v>
          </cell>
          <cell r="AK41">
            <v>2.2000000000000001E-3</v>
          </cell>
          <cell r="AL41">
            <v>0</v>
          </cell>
          <cell r="AM41">
            <v>0</v>
          </cell>
          <cell r="AN41">
            <v>0</v>
          </cell>
          <cell r="AO41" t="str">
            <v>Công ty Diamond food</v>
          </cell>
          <cell r="AP41">
            <v>0</v>
          </cell>
          <cell r="AQ41" t="str">
            <v>1110357-1</v>
          </cell>
          <cell r="AR41" t="str">
            <v>1110357-2</v>
          </cell>
          <cell r="AS41" t="str">
            <v>1110357-3</v>
          </cell>
          <cell r="AT41" t="str">
            <v>1110357-4</v>
          </cell>
          <cell r="AU41" t="str">
            <v>1110357-5</v>
          </cell>
          <cell r="AV41">
            <v>0</v>
          </cell>
          <cell r="AW41">
            <v>0</v>
          </cell>
          <cell r="AX41">
            <v>0</v>
          </cell>
          <cell r="AY41">
            <v>0</v>
          </cell>
          <cell r="AZ41">
            <v>0</v>
          </cell>
          <cell r="BA41" t="str">
            <v>600x750</v>
          </cell>
          <cell r="BB41" t="str">
            <v>M2</v>
          </cell>
          <cell r="BC41">
            <v>0</v>
          </cell>
        </row>
        <row r="42">
          <cell r="A42" t="str">
            <v>sp 177</v>
          </cell>
          <cell r="B42" t="str">
            <v>Trục in túi trà gừng 400g màu xanh SV 750x580</v>
          </cell>
          <cell r="C42">
            <v>0</v>
          </cell>
          <cell r="D42">
            <v>0</v>
          </cell>
          <cell r="E42">
            <v>5</v>
          </cell>
          <cell r="F42">
            <v>5</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t="str">
            <v>Công ty Sing Việt</v>
          </cell>
          <cell r="AP42">
            <v>0</v>
          </cell>
          <cell r="AQ42" t="str">
            <v>F108216-1</v>
          </cell>
          <cell r="AR42" t="str">
            <v>F108216-2</v>
          </cell>
          <cell r="AS42" t="str">
            <v>F108216-3</v>
          </cell>
          <cell r="AT42" t="str">
            <v>F108216-4</v>
          </cell>
          <cell r="AU42" t="str">
            <v>F108216-5</v>
          </cell>
          <cell r="AV42">
            <v>0</v>
          </cell>
          <cell r="AW42">
            <v>0</v>
          </cell>
          <cell r="AX42">
            <v>0</v>
          </cell>
          <cell r="AY42">
            <v>0</v>
          </cell>
          <cell r="AZ42">
            <v>0</v>
          </cell>
          <cell r="BA42" t="str">
            <v>750x580</v>
          </cell>
          <cell r="BB42" t="str">
            <v>M2</v>
          </cell>
          <cell r="BC42">
            <v>0</v>
          </cell>
        </row>
        <row r="43">
          <cell r="A43" t="str">
            <v>sp 183</v>
          </cell>
          <cell r="B43" t="str">
            <v>Túi bột đậu đen 500gr Tiên Dung</v>
          </cell>
          <cell r="C43">
            <v>0</v>
          </cell>
          <cell r="D43">
            <v>0</v>
          </cell>
          <cell r="E43">
            <v>6</v>
          </cell>
          <cell r="F43">
            <v>6</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t="str">
            <v>Công ty Tiên Dung</v>
          </cell>
          <cell r="AP43">
            <v>0</v>
          </cell>
          <cell r="AQ43" t="str">
            <v>1504555-1</v>
          </cell>
          <cell r="AR43" t="str">
            <v>1006115-2</v>
          </cell>
          <cell r="AS43" t="str">
            <v>1006115-3</v>
          </cell>
          <cell r="AT43" t="str">
            <v>1006115-4</v>
          </cell>
          <cell r="AU43" t="str">
            <v>1006115-5</v>
          </cell>
          <cell r="AV43" t="str">
            <v>1006115-6</v>
          </cell>
          <cell r="BA43" t="str">
            <v>560x850</v>
          </cell>
          <cell r="BB43" t="str">
            <v>M3</v>
          </cell>
        </row>
        <row r="44">
          <cell r="A44" t="str">
            <v>sp 182</v>
          </cell>
          <cell r="B44" t="str">
            <v>Túi bánh gấc Q5 Diamondfood</v>
          </cell>
          <cell r="C44">
            <v>6.55</v>
          </cell>
          <cell r="D44" t="str">
            <v>BOPP 20x720</v>
          </cell>
          <cell r="E44">
            <v>5</v>
          </cell>
          <cell r="F44">
            <v>5</v>
          </cell>
          <cell r="G44" t="str">
            <v>BOPP</v>
          </cell>
          <cell r="H44">
            <v>0.2</v>
          </cell>
          <cell r="I44">
            <v>2.7</v>
          </cell>
          <cell r="J44">
            <v>0.1</v>
          </cell>
          <cell r="K44">
            <v>0.05</v>
          </cell>
          <cell r="L44">
            <v>2.7</v>
          </cell>
          <cell r="M44">
            <v>0.8</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t="str">
            <v>CPP 43x720</v>
          </cell>
          <cell r="AF44">
            <v>0</v>
          </cell>
          <cell r="AG44">
            <v>4.1277599999999998E-2</v>
          </cell>
          <cell r="AH44">
            <v>0.94666666666666655</v>
          </cell>
          <cell r="AI44">
            <v>0</v>
          </cell>
          <cell r="AJ44">
            <v>9530</v>
          </cell>
          <cell r="AK44">
            <v>2E-3</v>
          </cell>
          <cell r="AL44">
            <v>0</v>
          </cell>
          <cell r="AM44" t="str">
            <v>Ba biên</v>
          </cell>
          <cell r="AN44">
            <v>0</v>
          </cell>
          <cell r="AO44" t="str">
            <v>Công ty Diamond food</v>
          </cell>
          <cell r="AP44">
            <v>0</v>
          </cell>
          <cell r="AQ44" t="str">
            <v>1311778-1</v>
          </cell>
          <cell r="AR44" t="str">
            <v>1312670-2</v>
          </cell>
          <cell r="AS44" t="str">
            <v>1012033-3</v>
          </cell>
          <cell r="AT44" t="str">
            <v>1012033-4</v>
          </cell>
          <cell r="AU44" t="str">
            <v>1510169-5</v>
          </cell>
          <cell r="BA44" t="str">
            <v>500x800</v>
          </cell>
          <cell r="BB44" t="str">
            <v>M3</v>
          </cell>
        </row>
        <row r="45">
          <cell r="A45" t="str">
            <v>sp 193</v>
          </cell>
          <cell r="B45" t="str">
            <v xml:space="preserve"> túi bánh trứng tiếng trung 135g Alpha 850x570</v>
          </cell>
          <cell r="C45">
            <v>0</v>
          </cell>
          <cell r="D45">
            <v>0</v>
          </cell>
          <cell r="E45">
            <v>5</v>
          </cell>
          <cell r="F45">
            <v>5</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t="str">
            <v>Công ty Quốc tế Alpha</v>
          </cell>
          <cell r="AP45">
            <v>0</v>
          </cell>
          <cell r="AQ45" t="str">
            <v xml:space="preserve"> F106279-1</v>
          </cell>
          <cell r="AR45" t="str">
            <v xml:space="preserve"> F106279-2</v>
          </cell>
          <cell r="AS45" t="str">
            <v xml:space="preserve"> F106279-3</v>
          </cell>
          <cell r="AT45" t="str">
            <v xml:space="preserve"> F106279-4</v>
          </cell>
          <cell r="AU45" t="str">
            <v xml:space="preserve"> F106279-5</v>
          </cell>
          <cell r="BA45" t="str">
            <v xml:space="preserve"> 850x570</v>
          </cell>
          <cell r="BB45" t="str">
            <v>C1</v>
          </cell>
        </row>
        <row r="46">
          <cell r="A46" t="str">
            <v>sp 197</v>
          </cell>
          <cell r="B46" t="str">
            <v>Túi cơm cháy tám thơm 200gr Hoa Lư</v>
          </cell>
          <cell r="C46">
            <v>7.7999999999999989</v>
          </cell>
          <cell r="D46" t="str">
            <v>OPP 20x440</v>
          </cell>
          <cell r="E46">
            <v>2</v>
          </cell>
          <cell r="F46">
            <v>2</v>
          </cell>
          <cell r="G46" t="str">
            <v xml:space="preserve">OPP </v>
          </cell>
          <cell r="H46">
            <v>0</v>
          </cell>
          <cell r="I46">
            <v>5</v>
          </cell>
          <cell r="J46">
            <v>0</v>
          </cell>
          <cell r="K46">
            <v>0.1</v>
          </cell>
          <cell r="L46">
            <v>2</v>
          </cell>
          <cell r="M46">
            <v>0</v>
          </cell>
          <cell r="N46">
            <v>0</v>
          </cell>
          <cell r="O46">
            <v>0.6</v>
          </cell>
          <cell r="P46">
            <v>0</v>
          </cell>
          <cell r="Q46">
            <v>0</v>
          </cell>
          <cell r="R46">
            <v>0.1</v>
          </cell>
          <cell r="S46">
            <v>0</v>
          </cell>
          <cell r="T46">
            <v>0</v>
          </cell>
          <cell r="U46">
            <v>0</v>
          </cell>
          <cell r="V46">
            <v>0</v>
          </cell>
          <cell r="W46">
            <v>0</v>
          </cell>
          <cell r="X46">
            <v>0</v>
          </cell>
          <cell r="Y46">
            <v>0</v>
          </cell>
          <cell r="Z46">
            <v>0</v>
          </cell>
          <cell r="AA46">
            <v>0</v>
          </cell>
          <cell r="AB46">
            <v>0</v>
          </cell>
          <cell r="AC46">
            <v>0</v>
          </cell>
          <cell r="AD46">
            <v>0</v>
          </cell>
          <cell r="AE46" t="str">
            <v>CPP 35x440</v>
          </cell>
          <cell r="AF46">
            <v>0</v>
          </cell>
          <cell r="AG46">
            <v>2.2022000000000003E-2</v>
          </cell>
          <cell r="AH46">
            <v>0.57333333333333325</v>
          </cell>
          <cell r="AI46">
            <v>0</v>
          </cell>
          <cell r="AJ46">
            <v>9530</v>
          </cell>
          <cell r="AK46">
            <v>2E-3</v>
          </cell>
          <cell r="AL46">
            <v>0</v>
          </cell>
          <cell r="AM46" t="str">
            <v>Hàn lưng</v>
          </cell>
          <cell r="AN46">
            <v>0</v>
          </cell>
          <cell r="AO46" t="str">
            <v>Hoa Lư</v>
          </cell>
          <cell r="AP46">
            <v>0</v>
          </cell>
          <cell r="AQ46" t="str">
            <v>1305811-1</v>
          </cell>
          <cell r="AR46" t="str">
            <v>1708315-2</v>
          </cell>
          <cell r="BA46" t="str">
            <v>620x550</v>
          </cell>
          <cell r="BB46" t="str">
            <v>M3</v>
          </cell>
        </row>
        <row r="47">
          <cell r="A47" t="str">
            <v>sp 202</v>
          </cell>
          <cell r="B47" t="str">
            <v>Túi bánh đậu xanh 350gr Tiên Dung</v>
          </cell>
          <cell r="C47">
            <v>0</v>
          </cell>
          <cell r="D47">
            <v>0</v>
          </cell>
          <cell r="E47">
            <v>3</v>
          </cell>
          <cell r="F47">
            <v>3</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t="str">
            <v>Công ty Tiên Dung</v>
          </cell>
          <cell r="AP47">
            <v>0</v>
          </cell>
          <cell r="AQ47" t="str">
            <v>1309145-1</v>
          </cell>
          <cell r="AR47" t="str">
            <v>1309145-2</v>
          </cell>
          <cell r="AS47" t="str">
            <v>1309145-3</v>
          </cell>
          <cell r="AT47">
            <v>0</v>
          </cell>
          <cell r="AU47">
            <v>0</v>
          </cell>
          <cell r="AV47">
            <v>0</v>
          </cell>
          <cell r="AW47">
            <v>0</v>
          </cell>
          <cell r="AX47">
            <v>0</v>
          </cell>
          <cell r="AY47">
            <v>0</v>
          </cell>
          <cell r="AZ47">
            <v>0</v>
          </cell>
          <cell r="BA47" t="str">
            <v>550x750</v>
          </cell>
          <cell r="BB47" t="str">
            <v>M3</v>
          </cell>
          <cell r="BC47">
            <v>0</v>
          </cell>
        </row>
        <row r="48">
          <cell r="A48" t="str">
            <v>sp 205</v>
          </cell>
          <cell r="B48" t="str">
            <v>Túi bánh khoai tây Q2 Diamondfood</v>
          </cell>
          <cell r="C48">
            <v>7.35</v>
          </cell>
          <cell r="D48" t="str">
            <v>OPP 20x470</v>
          </cell>
          <cell r="E48">
            <v>6</v>
          </cell>
          <cell r="F48">
            <v>6</v>
          </cell>
          <cell r="G48" t="str">
            <v xml:space="preserve">OPP </v>
          </cell>
          <cell r="H48">
            <v>0</v>
          </cell>
          <cell r="I48">
            <v>2.2999999999999998</v>
          </cell>
          <cell r="J48">
            <v>0.8</v>
          </cell>
          <cell r="K48">
            <v>0.1</v>
          </cell>
          <cell r="L48">
            <v>2.7</v>
          </cell>
          <cell r="M48">
            <v>1</v>
          </cell>
          <cell r="N48">
            <v>0</v>
          </cell>
          <cell r="O48">
            <v>0</v>
          </cell>
          <cell r="P48">
            <v>0</v>
          </cell>
          <cell r="Q48">
            <v>0</v>
          </cell>
          <cell r="R48">
            <v>0.1</v>
          </cell>
          <cell r="S48">
            <v>0.35</v>
          </cell>
          <cell r="T48">
            <v>0</v>
          </cell>
          <cell r="U48">
            <v>0</v>
          </cell>
          <cell r="V48">
            <v>0</v>
          </cell>
          <cell r="W48">
            <v>0</v>
          </cell>
          <cell r="X48">
            <v>0</v>
          </cell>
          <cell r="Y48">
            <v>0</v>
          </cell>
          <cell r="Z48">
            <v>0</v>
          </cell>
          <cell r="AA48">
            <v>0</v>
          </cell>
          <cell r="AB48">
            <v>0</v>
          </cell>
          <cell r="AC48">
            <v>0</v>
          </cell>
          <cell r="AD48">
            <v>0</v>
          </cell>
          <cell r="AE48" t="str">
            <v>CPP 43x470</v>
          </cell>
          <cell r="AF48">
            <v>0</v>
          </cell>
          <cell r="AG48">
            <v>2.69451E-2</v>
          </cell>
          <cell r="AH48">
            <v>0.61333333333333329</v>
          </cell>
          <cell r="AI48">
            <v>0</v>
          </cell>
          <cell r="AJ48">
            <v>9530</v>
          </cell>
          <cell r="AK48">
            <v>2E-3</v>
          </cell>
          <cell r="AL48">
            <v>0</v>
          </cell>
          <cell r="AM48" t="str">
            <v xml:space="preserve">Hàn lưng </v>
          </cell>
          <cell r="AN48">
            <v>0</v>
          </cell>
          <cell r="AO48" t="str">
            <v>Công ty Diamond food</v>
          </cell>
          <cell r="AP48">
            <v>0</v>
          </cell>
          <cell r="AQ48" t="str">
            <v>1310341-1</v>
          </cell>
          <cell r="AR48" t="str">
            <v>1707907-2</v>
          </cell>
          <cell r="AS48" t="str">
            <v>1310341-3</v>
          </cell>
          <cell r="AT48" t="str">
            <v>1310341-4</v>
          </cell>
          <cell r="AU48" t="str">
            <v>1310341-5</v>
          </cell>
          <cell r="AV48" t="str">
            <v>1310341-6</v>
          </cell>
          <cell r="BA48" t="str">
            <v>620x750</v>
          </cell>
          <cell r="BB48" t="str">
            <v>M3</v>
          </cell>
        </row>
        <row r="49">
          <cell r="A49" t="str">
            <v>sp 212</v>
          </cell>
          <cell r="B49" t="str">
            <v>Cuộn bột canh đặc biệt Ngọc Châu (3 màu)</v>
          </cell>
          <cell r="C49">
            <v>0</v>
          </cell>
          <cell r="D49" t="str">
            <v>OPP 20x500</v>
          </cell>
          <cell r="E49" t="str">
            <v>BHD 3</v>
          </cell>
          <cell r="F49">
            <v>3</v>
          </cell>
          <cell r="G49" t="str">
            <v xml:space="preserve">OPP </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t="str">
            <v>PE 40x500</v>
          </cell>
          <cell r="AF49">
            <v>0</v>
          </cell>
          <cell r="AG49">
            <v>2.7600000000000003E-2</v>
          </cell>
          <cell r="AH49">
            <v>0.65333333333333332</v>
          </cell>
          <cell r="AI49">
            <v>0</v>
          </cell>
          <cell r="AJ49">
            <v>9530</v>
          </cell>
          <cell r="AK49">
            <v>2E-3</v>
          </cell>
          <cell r="AL49">
            <v>0</v>
          </cell>
          <cell r="AM49" t="str">
            <v>dạng cuộn</v>
          </cell>
          <cell r="AN49">
            <v>0</v>
          </cell>
          <cell r="AO49" t="str">
            <v>Công ty Ngọc Châu</v>
          </cell>
          <cell r="AP49">
            <v>0</v>
          </cell>
          <cell r="AQ49" t="str">
            <v>F313267-1</v>
          </cell>
          <cell r="AR49" t="str">
            <v>F313267-2</v>
          </cell>
          <cell r="AS49" t="str">
            <v>F313267-3</v>
          </cell>
          <cell r="BA49" t="str">
            <v>480x560</v>
          </cell>
          <cell r="BB49" t="str">
            <v>BHD</v>
          </cell>
        </row>
        <row r="50">
          <cell r="A50" t="str">
            <v>sp 221</v>
          </cell>
          <cell r="B50" t="str">
            <v>Cuộn bánh crispt Q2 Diamondfood</v>
          </cell>
          <cell r="C50">
            <v>0</v>
          </cell>
          <cell r="D50">
            <v>0</v>
          </cell>
          <cell r="E50">
            <v>6</v>
          </cell>
          <cell r="F50">
            <v>6</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t="str">
            <v>Công ty Diamond food</v>
          </cell>
          <cell r="AP50">
            <v>0</v>
          </cell>
          <cell r="AQ50" t="str">
            <v>1110358-1</v>
          </cell>
          <cell r="AR50" t="str">
            <v>1110358-2</v>
          </cell>
          <cell r="AS50" t="str">
            <v>1110358-3</v>
          </cell>
          <cell r="AT50" t="str">
            <v>1110358-4</v>
          </cell>
          <cell r="AU50" t="str">
            <v>1110358-5</v>
          </cell>
          <cell r="AV50" t="str">
            <v>1211122-6</v>
          </cell>
          <cell r="BA50" t="str">
            <v>450x750</v>
          </cell>
          <cell r="BB50" t="str">
            <v>M3</v>
          </cell>
        </row>
        <row r="51">
          <cell r="A51" t="str">
            <v>sp 225</v>
          </cell>
          <cell r="B51" t="str">
            <v>Cuộn bánh gấc Zenla Minh Phát</v>
          </cell>
          <cell r="C51">
            <v>7.28</v>
          </cell>
          <cell r="D51" t="str">
            <v>OPP mờ 20 x 620</v>
          </cell>
          <cell r="E51">
            <v>7</v>
          </cell>
          <cell r="F51">
            <v>7</v>
          </cell>
          <cell r="G51" t="str">
            <v xml:space="preserve">OPP </v>
          </cell>
          <cell r="H51">
            <v>0.1</v>
          </cell>
          <cell r="I51">
            <v>3</v>
          </cell>
          <cell r="J51">
            <v>0.1</v>
          </cell>
          <cell r="K51">
            <v>0.28000000000000003</v>
          </cell>
          <cell r="L51">
            <v>1.7</v>
          </cell>
          <cell r="M51">
            <v>0.6</v>
          </cell>
          <cell r="N51">
            <v>0</v>
          </cell>
          <cell r="O51">
            <v>0</v>
          </cell>
          <cell r="P51">
            <v>1</v>
          </cell>
          <cell r="Q51">
            <v>0.3</v>
          </cell>
          <cell r="R51">
            <v>0</v>
          </cell>
          <cell r="S51">
            <v>0.2</v>
          </cell>
          <cell r="T51">
            <v>0</v>
          </cell>
          <cell r="U51">
            <v>0</v>
          </cell>
          <cell r="V51">
            <v>0</v>
          </cell>
          <cell r="W51">
            <v>0</v>
          </cell>
          <cell r="X51">
            <v>0</v>
          </cell>
          <cell r="Y51">
            <v>0</v>
          </cell>
          <cell r="Z51">
            <v>0</v>
          </cell>
          <cell r="AA51">
            <v>0</v>
          </cell>
          <cell r="AB51">
            <v>0</v>
          </cell>
          <cell r="AC51">
            <v>0</v>
          </cell>
          <cell r="AD51">
            <v>0</v>
          </cell>
          <cell r="AE51" t="str">
            <v>MCPP 25 x 620</v>
          </cell>
          <cell r="AF51">
            <v>0</v>
          </cell>
          <cell r="AG51">
            <v>2.5388999999999998E-2</v>
          </cell>
          <cell r="AH51">
            <v>0.89466666666666672</v>
          </cell>
          <cell r="AI51">
            <v>0</v>
          </cell>
          <cell r="AJ51">
            <v>9530</v>
          </cell>
          <cell r="AK51">
            <v>2E-3</v>
          </cell>
          <cell r="AL51">
            <v>0</v>
          </cell>
          <cell r="AM51" t="str">
            <v>dạng cuộn 1000m</v>
          </cell>
          <cell r="AN51">
            <v>150</v>
          </cell>
          <cell r="AO51" t="str">
            <v>Công ty Minh Phát</v>
          </cell>
          <cell r="AP51">
            <v>0</v>
          </cell>
          <cell r="AQ51" t="str">
            <v>F121276G2-1</v>
          </cell>
          <cell r="AR51" t="str">
            <v>F105895-2</v>
          </cell>
          <cell r="AS51" t="str">
            <v>F105895G1-3</v>
          </cell>
          <cell r="AT51" t="str">
            <v>F105895-4</v>
          </cell>
          <cell r="AU51" t="str">
            <v>F121276G3-5</v>
          </cell>
          <cell r="AV51" t="str">
            <v>F105895-6</v>
          </cell>
          <cell r="AW51" t="str">
            <v>F121276G3-7</v>
          </cell>
          <cell r="BA51" t="str">
            <v>450x750</v>
          </cell>
          <cell r="BB51" t="str">
            <v>M3</v>
          </cell>
        </row>
        <row r="52">
          <cell r="A52" t="str">
            <v>sp 233</v>
          </cell>
          <cell r="B52" t="str">
            <v>Cuộn bánh đồng tiền Minh Phát</v>
          </cell>
          <cell r="C52">
            <v>7.1</v>
          </cell>
          <cell r="D52" t="str">
            <v>OPP 20x820</v>
          </cell>
          <cell r="E52">
            <v>7</v>
          </cell>
          <cell r="F52">
            <v>7</v>
          </cell>
          <cell r="G52" t="str">
            <v xml:space="preserve">OPP </v>
          </cell>
          <cell r="H52">
            <v>0.1</v>
          </cell>
          <cell r="I52">
            <v>2</v>
          </cell>
          <cell r="J52">
            <v>0</v>
          </cell>
          <cell r="K52">
            <v>0.1</v>
          </cell>
          <cell r="L52">
            <v>1.8</v>
          </cell>
          <cell r="M52">
            <v>0</v>
          </cell>
          <cell r="N52">
            <v>0</v>
          </cell>
          <cell r="O52">
            <v>0.1</v>
          </cell>
          <cell r="P52">
            <v>1.2</v>
          </cell>
          <cell r="Q52">
            <v>1.7</v>
          </cell>
          <cell r="R52">
            <v>0</v>
          </cell>
          <cell r="S52">
            <v>0.1</v>
          </cell>
          <cell r="T52">
            <v>0</v>
          </cell>
          <cell r="U52">
            <v>0</v>
          </cell>
          <cell r="V52">
            <v>0</v>
          </cell>
          <cell r="W52">
            <v>0</v>
          </cell>
          <cell r="X52">
            <v>0</v>
          </cell>
          <cell r="Y52">
            <v>0</v>
          </cell>
          <cell r="Z52">
            <v>0</v>
          </cell>
          <cell r="AA52">
            <v>0</v>
          </cell>
          <cell r="AB52">
            <v>0</v>
          </cell>
          <cell r="AC52">
            <v>0</v>
          </cell>
          <cell r="AD52">
            <v>0</v>
          </cell>
          <cell r="AE52" t="str">
            <v>CPP 25x820</v>
          </cell>
          <cell r="AF52">
            <v>0</v>
          </cell>
          <cell r="AG52">
            <v>3.3578999999999998E-2</v>
          </cell>
          <cell r="AH52">
            <v>0.97199999999999998</v>
          </cell>
          <cell r="AI52">
            <v>0</v>
          </cell>
          <cell r="AJ52">
            <v>9530</v>
          </cell>
          <cell r="AK52">
            <v>2E-3</v>
          </cell>
          <cell r="AL52">
            <v>0</v>
          </cell>
          <cell r="AM52">
            <v>0</v>
          </cell>
          <cell r="AN52">
            <v>0</v>
          </cell>
          <cell r="AO52" t="str">
            <v>Công ty Minh Phát</v>
          </cell>
          <cell r="AP52">
            <v>0</v>
          </cell>
          <cell r="AQ52" t="str">
            <v>F106531-1</v>
          </cell>
          <cell r="AR52" t="str">
            <v>F106531-2</v>
          </cell>
          <cell r="AS52" t="str">
            <v>F106531-3</v>
          </cell>
          <cell r="AT52" t="str">
            <v>F106531-4</v>
          </cell>
          <cell r="AU52" t="str">
            <v>F106531-5</v>
          </cell>
          <cell r="AV52" t="str">
            <v>F106531-6</v>
          </cell>
          <cell r="AW52" t="str">
            <v>F106531-7</v>
          </cell>
          <cell r="BA52" t="str">
            <v>640x860</v>
          </cell>
          <cell r="BB52" t="str">
            <v>M3</v>
          </cell>
        </row>
        <row r="53">
          <cell r="A53" t="str">
            <v>sp 256</v>
          </cell>
          <cell r="B53" t="str">
            <v>Cuộn bánh khoai tây Q2 Diamondfood</v>
          </cell>
          <cell r="C53">
            <v>0</v>
          </cell>
          <cell r="D53">
            <v>0</v>
          </cell>
          <cell r="E53">
            <v>6</v>
          </cell>
          <cell r="F53">
            <v>6</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t="str">
            <v>Công ty Diamond Food</v>
          </cell>
          <cell r="AP53">
            <v>0</v>
          </cell>
          <cell r="AQ53" t="str">
            <v>1310340-1</v>
          </cell>
          <cell r="AR53" t="str">
            <v>1507600-2</v>
          </cell>
          <cell r="AS53" t="str">
            <v>1310340-3</v>
          </cell>
          <cell r="AT53" t="str">
            <v>1310340-5</v>
          </cell>
          <cell r="AU53" t="str">
            <v>1507600-4</v>
          </cell>
          <cell r="AV53" t="str">
            <v>1310340-6</v>
          </cell>
          <cell r="AW53">
            <v>0</v>
          </cell>
          <cell r="BA53" t="str">
            <v>450x840</v>
          </cell>
          <cell r="BB53" t="str">
            <v>M3</v>
          </cell>
        </row>
        <row r="54">
          <cell r="A54" t="str">
            <v>sp 267</v>
          </cell>
          <cell r="B54" t="str">
            <v>Cuộn màng bột canh Iot 7 màu Ngọc Châu</v>
          </cell>
          <cell r="C54">
            <v>0</v>
          </cell>
          <cell r="D54" t="str">
            <v>OPP 20x680</v>
          </cell>
          <cell r="E54">
            <v>7</v>
          </cell>
          <cell r="F54">
            <v>7</v>
          </cell>
          <cell r="G54" t="str">
            <v xml:space="preserve">OPP </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t="str">
            <v>CPP 30x680</v>
          </cell>
          <cell r="AF54">
            <v>0</v>
          </cell>
          <cell r="AG54">
            <v>3.0940000000000002E-2</v>
          </cell>
          <cell r="AH54">
            <v>0.89333333333333331</v>
          </cell>
          <cell r="AI54">
            <v>0</v>
          </cell>
          <cell r="AJ54">
            <v>9530</v>
          </cell>
          <cell r="AK54">
            <v>2E-3</v>
          </cell>
          <cell r="AL54">
            <v>0</v>
          </cell>
          <cell r="AM54">
            <v>0</v>
          </cell>
          <cell r="AN54">
            <v>0</v>
          </cell>
          <cell r="AO54" t="str">
            <v>Công ty Ngọc Châu</v>
          </cell>
          <cell r="AP54">
            <v>0</v>
          </cell>
          <cell r="AQ54" t="str">
            <v>F305616-1</v>
          </cell>
          <cell r="AR54" t="str">
            <v>F305616-2</v>
          </cell>
          <cell r="AS54" t="str">
            <v>F305616-3</v>
          </cell>
          <cell r="AT54" t="str">
            <v>F305616-4</v>
          </cell>
          <cell r="AU54" t="str">
            <v>F305616-5</v>
          </cell>
          <cell r="AV54" t="str">
            <v>F305616-6</v>
          </cell>
          <cell r="AW54" t="str">
            <v>F305616-7</v>
          </cell>
          <cell r="BA54" t="str">
            <v>525x750</v>
          </cell>
          <cell r="BB54" t="str">
            <v>M3</v>
          </cell>
        </row>
        <row r="55">
          <cell r="A55" t="str">
            <v>sp 268</v>
          </cell>
          <cell r="B55" t="str">
            <v>Cuộn bột canh gà 6 màu Ngọc Châu</v>
          </cell>
          <cell r="C55">
            <v>6.73</v>
          </cell>
          <cell r="D55" t="str">
            <v>OPP 20x500</v>
          </cell>
          <cell r="E55">
            <v>6</v>
          </cell>
          <cell r="F55">
            <v>6</v>
          </cell>
          <cell r="G55" t="str">
            <v xml:space="preserve">OPP </v>
          </cell>
          <cell r="H55">
            <v>0.3</v>
          </cell>
          <cell r="I55">
            <v>2.4</v>
          </cell>
          <cell r="J55">
            <v>0.1</v>
          </cell>
          <cell r="K55">
            <v>0.7</v>
          </cell>
          <cell r="L55">
            <v>1</v>
          </cell>
          <cell r="M55">
            <v>1.5</v>
          </cell>
          <cell r="N55">
            <v>0</v>
          </cell>
          <cell r="O55">
            <v>0</v>
          </cell>
          <cell r="P55">
            <v>0.73</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t="str">
            <v>CPP 30x500</v>
          </cell>
          <cell r="AF55">
            <v>0</v>
          </cell>
          <cell r="AG55">
            <v>2.2749999999999999E-2</v>
          </cell>
          <cell r="AH55">
            <v>0.65333333333333332</v>
          </cell>
          <cell r="AI55">
            <v>0</v>
          </cell>
          <cell r="AJ55">
            <v>9530</v>
          </cell>
          <cell r="AK55">
            <v>2E-3</v>
          </cell>
          <cell r="AL55">
            <v>0</v>
          </cell>
          <cell r="AM55">
            <v>0</v>
          </cell>
          <cell r="AN55">
            <v>0</v>
          </cell>
          <cell r="AO55" t="str">
            <v>Công ty Ngọc Châu</v>
          </cell>
          <cell r="AP55">
            <v>0</v>
          </cell>
          <cell r="AQ55" t="str">
            <v>F118014-1</v>
          </cell>
          <cell r="AR55" t="str">
            <v>F118014-2</v>
          </cell>
          <cell r="AS55" t="str">
            <v>F118014-3</v>
          </cell>
          <cell r="AT55" t="str">
            <v>F118014-4</v>
          </cell>
          <cell r="AU55" t="str">
            <v>F118014-5</v>
          </cell>
          <cell r="AV55" t="str">
            <v>F118014-6</v>
          </cell>
          <cell r="BA55" t="str">
            <v>750x480</v>
          </cell>
          <cell r="BB55" t="str">
            <v>M3</v>
          </cell>
        </row>
        <row r="56">
          <cell r="A56" t="str">
            <v>sp 270</v>
          </cell>
          <cell r="B56" t="str">
            <v>Cuộn màng bánh đậu xanh 200gr</v>
          </cell>
          <cell r="C56" t="e">
            <v>#N/A</v>
          </cell>
          <cell r="D56">
            <v>0</v>
          </cell>
          <cell r="E56">
            <v>2</v>
          </cell>
          <cell r="F56">
            <v>2</v>
          </cell>
          <cell r="G56" t="e">
            <v>#N/A</v>
          </cell>
          <cell r="H56" t="e">
            <v>#N/A</v>
          </cell>
          <cell r="I56" t="e">
            <v>#N/A</v>
          </cell>
          <cell r="J56" t="e">
            <v>#N/A</v>
          </cell>
          <cell r="K56" t="e">
            <v>#N/A</v>
          </cell>
          <cell r="L56" t="e">
            <v>#N/A</v>
          </cell>
          <cell r="M56" t="e">
            <v>#N/A</v>
          </cell>
          <cell r="N56" t="e">
            <v>#N/A</v>
          </cell>
          <cell r="O56" t="e">
            <v>#N/A</v>
          </cell>
          <cell r="P56" t="e">
            <v>#N/A</v>
          </cell>
          <cell r="Q56" t="e">
            <v>#N/A</v>
          </cell>
          <cell r="R56" t="e">
            <v>#N/A</v>
          </cell>
          <cell r="S56" t="e">
            <v>#N/A</v>
          </cell>
          <cell r="T56" t="e">
            <v>#N/A</v>
          </cell>
          <cell r="U56" t="e">
            <v>#N/A</v>
          </cell>
          <cell r="V56" t="e">
            <v>#N/A</v>
          </cell>
          <cell r="W56" t="e">
            <v>#N/A</v>
          </cell>
          <cell r="X56" t="e">
            <v>#N/A</v>
          </cell>
          <cell r="Y56" t="e">
            <v>#N/A</v>
          </cell>
          <cell r="Z56" t="e">
            <v>#N/A</v>
          </cell>
          <cell r="AA56" t="e">
            <v>#N/A</v>
          </cell>
          <cell r="AB56" t="e">
            <v>#N/A</v>
          </cell>
          <cell r="AC56" t="e">
            <v>#N/A</v>
          </cell>
          <cell r="AD56" t="e">
            <v>#N/A</v>
          </cell>
          <cell r="AE56" t="e">
            <v>#N/A</v>
          </cell>
          <cell r="AF56" t="e">
            <v>#N/A</v>
          </cell>
          <cell r="AG56" t="e">
            <v>#N/A</v>
          </cell>
          <cell r="AH56" t="e">
            <v>#N/A</v>
          </cell>
          <cell r="AI56" t="e">
            <v>#N/A</v>
          </cell>
          <cell r="AJ56" t="e">
            <v>#N/A</v>
          </cell>
          <cell r="AK56" t="e">
            <v>#N/A</v>
          </cell>
          <cell r="AL56" t="e">
            <v>#N/A</v>
          </cell>
          <cell r="AM56" t="e">
            <v>#N/A</v>
          </cell>
          <cell r="AN56" t="e">
            <v>#N/A</v>
          </cell>
          <cell r="AO56" t="str">
            <v>Công ty Tiên Dung</v>
          </cell>
          <cell r="AP56">
            <v>0</v>
          </cell>
          <cell r="AQ56" t="str">
            <v>18091047-1</v>
          </cell>
          <cell r="AR56" t="str">
            <v>18091047-2</v>
          </cell>
          <cell r="BA56" t="str">
            <v>450x850</v>
          </cell>
          <cell r="BB56" t="str">
            <v>M3</v>
          </cell>
        </row>
        <row r="57">
          <cell r="A57" t="str">
            <v>sp 276</v>
          </cell>
          <cell r="B57" t="str">
            <v>Túi bánh đậu xanh 1 màu KT 150x220x90</v>
          </cell>
          <cell r="C57">
            <v>0</v>
          </cell>
          <cell r="D57">
            <v>0</v>
          </cell>
          <cell r="E57">
            <v>1</v>
          </cell>
          <cell r="F57">
            <v>1</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t="str">
            <v>Công ty Tiên Dung</v>
          </cell>
          <cell r="AP57">
            <v>0</v>
          </cell>
          <cell r="AQ57" t="str">
            <v>F106863-1</v>
          </cell>
          <cell r="AR57">
            <v>0</v>
          </cell>
          <cell r="BA57" t="str">
            <v>440x750</v>
          </cell>
          <cell r="BB57" t="str">
            <v>N1</v>
          </cell>
        </row>
        <row r="58">
          <cell r="A58" t="str">
            <v>sp 282</v>
          </cell>
          <cell r="B58" t="str">
            <v>Cuộn trà cozy hương táo Vĩnh Phúc</v>
          </cell>
          <cell r="C58">
            <v>7.8</v>
          </cell>
          <cell r="D58" t="str">
            <v>OPP mo 30x640</v>
          </cell>
          <cell r="E58">
            <v>6</v>
          </cell>
          <cell r="F58">
            <v>6</v>
          </cell>
          <cell r="G58" t="str">
            <v xml:space="preserve">OPP </v>
          </cell>
          <cell r="H58">
            <v>7.0000000000000007E-2</v>
          </cell>
          <cell r="I58">
            <v>2.4</v>
          </cell>
          <cell r="J58">
            <v>0.3</v>
          </cell>
          <cell r="K58">
            <v>0.22</v>
          </cell>
          <cell r="L58">
            <v>0.76</v>
          </cell>
          <cell r="M58">
            <v>1.17</v>
          </cell>
          <cell r="N58">
            <v>0</v>
          </cell>
          <cell r="O58">
            <v>0</v>
          </cell>
          <cell r="P58">
            <v>0.68</v>
          </cell>
          <cell r="Q58">
            <v>2.2000000000000002</v>
          </cell>
          <cell r="R58">
            <v>0</v>
          </cell>
          <cell r="S58">
            <v>0</v>
          </cell>
          <cell r="T58">
            <v>0</v>
          </cell>
          <cell r="U58">
            <v>0</v>
          </cell>
          <cell r="V58">
            <v>0</v>
          </cell>
          <cell r="W58">
            <v>0</v>
          </cell>
          <cell r="X58">
            <v>0</v>
          </cell>
          <cell r="Y58">
            <v>0</v>
          </cell>
          <cell r="Z58">
            <v>0</v>
          </cell>
          <cell r="AA58">
            <v>0</v>
          </cell>
          <cell r="AB58">
            <v>0</v>
          </cell>
          <cell r="AC58">
            <v>0</v>
          </cell>
          <cell r="AD58">
            <v>0</v>
          </cell>
          <cell r="AE58" t="str">
            <v>MCPP 25x640</v>
          </cell>
          <cell r="AF58">
            <v>0</v>
          </cell>
          <cell r="AG58">
            <v>3.2032000000000005E-2</v>
          </cell>
          <cell r="AH58">
            <v>0.84</v>
          </cell>
          <cell r="AI58">
            <v>0</v>
          </cell>
          <cell r="AJ58">
            <v>9530</v>
          </cell>
          <cell r="AK58">
            <v>2E-3</v>
          </cell>
          <cell r="AL58">
            <v>0</v>
          </cell>
          <cell r="AM58" t="str">
            <v>dạng cuộn 1500m</v>
          </cell>
          <cell r="AN58">
            <v>155</v>
          </cell>
          <cell r="AO58" t="str">
            <v>Công ty Vĩnh Phúc</v>
          </cell>
          <cell r="AP58">
            <v>0</v>
          </cell>
          <cell r="AQ58" t="str">
            <v>1412123-1</v>
          </cell>
          <cell r="AR58" t="str">
            <v>1412123-2</v>
          </cell>
          <cell r="AS58" t="str">
            <v>1412123-3</v>
          </cell>
          <cell r="AT58" t="str">
            <v>1412123-4</v>
          </cell>
          <cell r="AU58" t="str">
            <v>1412123-5</v>
          </cell>
          <cell r="AV58" t="str">
            <v>1412123-6</v>
          </cell>
          <cell r="BA58" t="str">
            <v>462x750</v>
          </cell>
          <cell r="BB58" t="str">
            <v>A1</v>
          </cell>
        </row>
        <row r="59">
          <cell r="A59" t="str">
            <v>sp 289</v>
          </cell>
          <cell r="B59" t="str">
            <v>Túi chè 10g loại 2</v>
          </cell>
          <cell r="C59">
            <v>0</v>
          </cell>
          <cell r="D59">
            <v>0</v>
          </cell>
          <cell r="E59">
            <v>1</v>
          </cell>
          <cell r="F59">
            <v>1</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t="str">
            <v>Công ty Vĩnh Phúc</v>
          </cell>
          <cell r="AP59">
            <v>0</v>
          </cell>
          <cell r="AQ59">
            <v>0</v>
          </cell>
          <cell r="AR59">
            <v>0</v>
          </cell>
          <cell r="AS59">
            <v>0</v>
          </cell>
          <cell r="AT59">
            <v>0</v>
          </cell>
          <cell r="AU59">
            <v>0</v>
          </cell>
          <cell r="AV59">
            <v>0</v>
          </cell>
          <cell r="BC59" t="str">
            <v>Dùng trục sp 1062</v>
          </cell>
        </row>
        <row r="60">
          <cell r="A60" t="str">
            <v>sp 301</v>
          </cell>
          <cell r="B60" t="str">
            <v>Cuộn bánh bao nhân thập cẩm 300gr Phú Mỹ</v>
          </cell>
          <cell r="C60">
            <v>5.55</v>
          </cell>
          <cell r="D60" t="str">
            <v>OPP 20x730</v>
          </cell>
          <cell r="E60">
            <v>7</v>
          </cell>
          <cell r="F60">
            <v>7</v>
          </cell>
          <cell r="G60" t="str">
            <v xml:space="preserve">OPP </v>
          </cell>
          <cell r="H60">
            <v>0.2</v>
          </cell>
          <cell r="I60">
            <v>3.3</v>
          </cell>
          <cell r="J60">
            <v>0.05</v>
          </cell>
          <cell r="K60">
            <v>0.1</v>
          </cell>
          <cell r="L60">
            <v>0.2</v>
          </cell>
          <cell r="M60">
            <v>0.3</v>
          </cell>
          <cell r="N60">
            <v>0</v>
          </cell>
          <cell r="O60">
            <v>0</v>
          </cell>
          <cell r="P60">
            <v>0.5</v>
          </cell>
          <cell r="Q60">
            <v>0</v>
          </cell>
          <cell r="R60">
            <v>0</v>
          </cell>
          <cell r="S60">
            <v>0.1</v>
          </cell>
          <cell r="T60">
            <v>0.8</v>
          </cell>
          <cell r="U60">
            <v>0</v>
          </cell>
          <cell r="V60">
            <v>0</v>
          </cell>
          <cell r="W60">
            <v>0</v>
          </cell>
          <cell r="X60">
            <v>0</v>
          </cell>
          <cell r="Y60">
            <v>0</v>
          </cell>
          <cell r="Z60">
            <v>0</v>
          </cell>
          <cell r="AA60">
            <v>0</v>
          </cell>
          <cell r="AB60">
            <v>0</v>
          </cell>
          <cell r="AC60">
            <v>0</v>
          </cell>
          <cell r="AD60">
            <v>0</v>
          </cell>
          <cell r="AE60" t="str">
            <v>PE 70x730</v>
          </cell>
          <cell r="AF60">
            <v>0</v>
          </cell>
          <cell r="AG60">
            <v>6.0553500000000017E-2</v>
          </cell>
          <cell r="AH60">
            <v>1.056</v>
          </cell>
          <cell r="AI60">
            <v>0</v>
          </cell>
          <cell r="AJ60">
            <v>9530</v>
          </cell>
          <cell r="AK60">
            <v>2.2000000000000001E-3</v>
          </cell>
          <cell r="AL60">
            <v>0</v>
          </cell>
          <cell r="AM60">
            <v>0</v>
          </cell>
          <cell r="AN60">
            <v>0</v>
          </cell>
          <cell r="AO60" t="str">
            <v>Công ty Phú Mỹ</v>
          </cell>
          <cell r="AP60">
            <v>0</v>
          </cell>
          <cell r="AQ60" t="str">
            <v>18056366-1</v>
          </cell>
          <cell r="AR60" t="str">
            <v>18056366-2</v>
          </cell>
          <cell r="AS60" t="str">
            <v>1503149-3</v>
          </cell>
          <cell r="AT60" t="str">
            <v>1503149-4</v>
          </cell>
          <cell r="AU60" t="str">
            <v>1503149-5</v>
          </cell>
          <cell r="AV60" t="str">
            <v>1503149-6</v>
          </cell>
          <cell r="AW60" t="str">
            <v>1503149-7</v>
          </cell>
          <cell r="BA60" t="str">
            <v>532x850</v>
          </cell>
          <cell r="BB60" t="str">
            <v>V1</v>
          </cell>
        </row>
        <row r="61">
          <cell r="A61" t="str">
            <v>sp 302</v>
          </cell>
          <cell r="B61" t="str">
            <v>Túi trà xanh đặc sản Thái Nguyên 10gr loại 1</v>
          </cell>
          <cell r="C61">
            <v>0</v>
          </cell>
          <cell r="D61" t="str">
            <v>PET 12x700</v>
          </cell>
          <cell r="E61">
            <v>2</v>
          </cell>
          <cell r="F61">
            <v>2</v>
          </cell>
          <cell r="G61" t="str">
            <v xml:space="preserve">PET </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t="str">
            <v>Bùi Văn Sỹ</v>
          </cell>
          <cell r="AP61">
            <v>0</v>
          </cell>
          <cell r="AQ61" t="str">
            <v>1503501-1</v>
          </cell>
          <cell r="AR61" t="str">
            <v>1503501-2</v>
          </cell>
          <cell r="AS61">
            <v>0</v>
          </cell>
          <cell r="AT61">
            <v>0</v>
          </cell>
          <cell r="AU61">
            <v>0</v>
          </cell>
          <cell r="AV61">
            <v>0</v>
          </cell>
          <cell r="AW61">
            <v>0</v>
          </cell>
          <cell r="AX61">
            <v>0</v>
          </cell>
          <cell r="AY61">
            <v>0</v>
          </cell>
          <cell r="AZ61">
            <v>0</v>
          </cell>
          <cell r="BA61" t="str">
            <v>460x750</v>
          </cell>
          <cell r="BB61" t="str">
            <v>F1</v>
          </cell>
          <cell r="BC61">
            <v>0</v>
          </cell>
        </row>
        <row r="62">
          <cell r="A62" t="str">
            <v>sp 305</v>
          </cell>
          <cell r="B62" t="str">
            <v>Cuộn bánh bao chay trắng 300gr Phú Mỹ</v>
          </cell>
          <cell r="C62">
            <v>6.1</v>
          </cell>
          <cell r="D62" t="str">
            <v>BOPP 20x730</v>
          </cell>
          <cell r="E62">
            <v>4</v>
          </cell>
          <cell r="F62">
            <v>4</v>
          </cell>
          <cell r="G62" t="str">
            <v>BOPP</v>
          </cell>
          <cell r="H62">
            <v>0</v>
          </cell>
          <cell r="I62">
            <v>3.5</v>
          </cell>
          <cell r="J62">
            <v>0</v>
          </cell>
          <cell r="K62">
            <v>0</v>
          </cell>
          <cell r="L62">
            <v>2.1</v>
          </cell>
          <cell r="M62">
            <v>0</v>
          </cell>
          <cell r="N62">
            <v>0</v>
          </cell>
          <cell r="O62">
            <v>0</v>
          </cell>
          <cell r="P62">
            <v>0.5</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t="str">
            <v>PE 70x730</v>
          </cell>
          <cell r="AF62">
            <v>0</v>
          </cell>
          <cell r="AG62">
            <v>6.0553500000000017E-2</v>
          </cell>
          <cell r="AH62">
            <v>1.1039999999999999</v>
          </cell>
          <cell r="AI62">
            <v>0</v>
          </cell>
          <cell r="AJ62">
            <v>9530</v>
          </cell>
          <cell r="AK62">
            <v>2.3E-3</v>
          </cell>
          <cell r="AL62">
            <v>0</v>
          </cell>
          <cell r="AM62">
            <v>0</v>
          </cell>
          <cell r="AN62">
            <v>0</v>
          </cell>
          <cell r="AO62" t="str">
            <v>Công ty Phú Mỹ</v>
          </cell>
          <cell r="AP62">
            <v>0</v>
          </cell>
          <cell r="AQ62" t="str">
            <v>1312408-1</v>
          </cell>
          <cell r="AR62" t="str">
            <v>1503733-2</v>
          </cell>
          <cell r="AS62" t="str">
            <v>1312408-3</v>
          </cell>
          <cell r="AT62" t="str">
            <v>1804180-4</v>
          </cell>
          <cell r="BA62" t="str">
            <v>532x850</v>
          </cell>
          <cell r="BB62" t="str">
            <v>V1</v>
          </cell>
        </row>
        <row r="63">
          <cell r="A63" t="str">
            <v>sp 313</v>
          </cell>
          <cell r="B63" t="str">
            <v>Túi thuốc trừ sâu sieubem 777WP 15gr Hòa Bình</v>
          </cell>
          <cell r="C63">
            <v>0</v>
          </cell>
          <cell r="D63" t="str">
            <v>PET 12x796</v>
          </cell>
          <cell r="E63">
            <v>7</v>
          </cell>
          <cell r="F63">
            <v>7</v>
          </cell>
          <cell r="G63" t="str">
            <v xml:space="preserve">PET </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t="str">
            <v>MPET 12x796</v>
          </cell>
          <cell r="AF63" t="str">
            <v>PE 75x796</v>
          </cell>
          <cell r="AG63">
            <v>0</v>
          </cell>
          <cell r="AH63">
            <v>0</v>
          </cell>
          <cell r="AI63">
            <v>0</v>
          </cell>
          <cell r="AJ63">
            <v>9530</v>
          </cell>
          <cell r="AK63" t="str">
            <v>0.006 (0.003; 0.003)</v>
          </cell>
          <cell r="AL63">
            <v>0</v>
          </cell>
          <cell r="AM63">
            <v>0</v>
          </cell>
          <cell r="AN63">
            <v>0</v>
          </cell>
          <cell r="AO63" t="str">
            <v>Công ty Quốc tế Hòa Bình</v>
          </cell>
          <cell r="AP63">
            <v>0</v>
          </cell>
          <cell r="AQ63" t="str">
            <v>1503599-1</v>
          </cell>
          <cell r="AR63" t="str">
            <v>1503599-2</v>
          </cell>
          <cell r="AS63" t="str">
            <v>1503599-3</v>
          </cell>
          <cell r="AT63" t="str">
            <v>1503599-4</v>
          </cell>
          <cell r="AU63" t="str">
            <v>1503599-5</v>
          </cell>
          <cell r="AV63" t="str">
            <v>1503599-6</v>
          </cell>
          <cell r="AW63" t="str">
            <v>1503599-7</v>
          </cell>
          <cell r="BA63" t="str">
            <v>500x875</v>
          </cell>
          <cell r="BB63" t="str">
            <v>T1</v>
          </cell>
        </row>
        <row r="64">
          <cell r="A64" t="str">
            <v>sp 315</v>
          </cell>
          <cell r="B64" t="str">
            <v>Cuộn thuốc trừ sâu Sadamir 200WP 8gr Hòa Bình</v>
          </cell>
          <cell r="C64">
            <v>8.3600000000000012</v>
          </cell>
          <cell r="D64" t="str">
            <v>PET 12x796</v>
          </cell>
          <cell r="E64">
            <v>6</v>
          </cell>
          <cell r="F64">
            <v>6</v>
          </cell>
          <cell r="G64" t="str">
            <v xml:space="preserve">PET </v>
          </cell>
          <cell r="H64">
            <v>0.1</v>
          </cell>
          <cell r="I64">
            <v>2.9</v>
          </cell>
          <cell r="J64">
            <v>0.1</v>
          </cell>
          <cell r="K64">
            <v>0.2</v>
          </cell>
          <cell r="L64">
            <v>2.6</v>
          </cell>
          <cell r="M64">
            <v>1.7</v>
          </cell>
          <cell r="N64">
            <v>0</v>
          </cell>
          <cell r="O64">
            <v>0.76</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t="str">
            <v>MPET 12x800</v>
          </cell>
          <cell r="AF64" t="str">
            <v>PE 75x800</v>
          </cell>
          <cell r="AG64">
            <v>8.2380000000000009E-2</v>
          </cell>
          <cell r="AH64">
            <v>1.2052</v>
          </cell>
          <cell r="AI64">
            <v>1.2052</v>
          </cell>
          <cell r="AJ64">
            <v>9530</v>
          </cell>
          <cell r="AK64" t="str">
            <v>0,0046(0,0023;0,0023)</v>
          </cell>
          <cell r="AL64">
            <v>0</v>
          </cell>
          <cell r="AM64" t="str">
            <v>dạng cuộn 500m</v>
          </cell>
          <cell r="AN64">
            <v>194</v>
          </cell>
          <cell r="AO64" t="str">
            <v>Công ty Quốc tế Hòa Bình</v>
          </cell>
          <cell r="AP64">
            <v>0</v>
          </cell>
          <cell r="AQ64" t="str">
            <v>19070659-1</v>
          </cell>
          <cell r="AR64" t="str">
            <v>1504564-2</v>
          </cell>
          <cell r="AS64" t="str">
            <v>1504564-3</v>
          </cell>
          <cell r="AT64" t="str">
            <v>1504564-4</v>
          </cell>
          <cell r="AU64" t="str">
            <v>1504564-5</v>
          </cell>
          <cell r="AV64" t="str">
            <v>1504564-6</v>
          </cell>
          <cell r="BA64" t="str">
            <v>500x860</v>
          </cell>
          <cell r="BB64" t="str">
            <v>T1</v>
          </cell>
        </row>
        <row r="65">
          <cell r="A65" t="str">
            <v>sp 316</v>
          </cell>
          <cell r="B65" t="str">
            <v>Túi thuốc trừ sâu Sadamir 200WP 100gr Hòa Bình</v>
          </cell>
          <cell r="C65">
            <v>0</v>
          </cell>
          <cell r="D65" t="str">
            <v>PET 12x620</v>
          </cell>
          <cell r="E65">
            <v>7</v>
          </cell>
          <cell r="F65">
            <v>6</v>
          </cell>
          <cell r="G65" t="str">
            <v xml:space="preserve">PET </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t="str">
            <v>MPET 12x620</v>
          </cell>
          <cell r="AF65" t="str">
            <v>PE 75x620</v>
          </cell>
          <cell r="AG65">
            <v>0</v>
          </cell>
          <cell r="AH65">
            <v>0</v>
          </cell>
          <cell r="AI65">
            <v>0</v>
          </cell>
          <cell r="AJ65">
            <v>9530</v>
          </cell>
          <cell r="AK65" t="str">
            <v>0.0025;0.0032</v>
          </cell>
          <cell r="AL65">
            <v>0</v>
          </cell>
          <cell r="AM65">
            <v>0</v>
          </cell>
          <cell r="AN65">
            <v>0</v>
          </cell>
          <cell r="AO65" t="str">
            <v>Công ty Quốc tế Hòa Bình</v>
          </cell>
          <cell r="AP65">
            <v>0</v>
          </cell>
          <cell r="AQ65" t="str">
            <v>1902155-1</v>
          </cell>
          <cell r="AR65" t="str">
            <v>1504563-2</v>
          </cell>
          <cell r="AS65" t="str">
            <v>1504563-3</v>
          </cell>
          <cell r="AT65" t="str">
            <v>1504563-4</v>
          </cell>
          <cell r="AU65" t="str">
            <v>1504563-5</v>
          </cell>
          <cell r="AV65" t="str">
            <v>1504563-6</v>
          </cell>
          <cell r="AW65" t="str">
            <v>1504563-1 cây củ</v>
          </cell>
          <cell r="BA65" t="str">
            <v>440x750</v>
          </cell>
          <cell r="BB65" t="str">
            <v>T1</v>
          </cell>
        </row>
        <row r="66">
          <cell r="A66" t="str">
            <v>sp 319</v>
          </cell>
          <cell r="B66" t="str">
            <v>Cuộn trà cozy hương đào</v>
          </cell>
          <cell r="C66">
            <v>6.92</v>
          </cell>
          <cell r="D66" t="str">
            <v>BOPP mo 30x640</v>
          </cell>
          <cell r="E66">
            <v>5</v>
          </cell>
          <cell r="F66">
            <v>6</v>
          </cell>
          <cell r="G66" t="str">
            <v>BOPP</v>
          </cell>
          <cell r="H66">
            <v>0.2</v>
          </cell>
          <cell r="I66">
            <v>2.5</v>
          </cell>
          <cell r="J66">
            <v>0.12</v>
          </cell>
          <cell r="K66">
            <v>0.5</v>
          </cell>
          <cell r="L66">
            <v>1</v>
          </cell>
          <cell r="M66">
            <v>0.8</v>
          </cell>
          <cell r="N66">
            <v>0</v>
          </cell>
          <cell r="O66">
            <v>0</v>
          </cell>
          <cell r="P66">
            <v>0.45</v>
          </cell>
          <cell r="Q66">
            <v>0.1</v>
          </cell>
          <cell r="R66">
            <v>0.05</v>
          </cell>
          <cell r="S66">
            <v>0</v>
          </cell>
          <cell r="T66">
            <v>1.2</v>
          </cell>
          <cell r="U66">
            <v>0</v>
          </cell>
          <cell r="V66">
            <v>0</v>
          </cell>
          <cell r="W66">
            <v>0</v>
          </cell>
          <cell r="X66">
            <v>0</v>
          </cell>
          <cell r="Y66">
            <v>0</v>
          </cell>
          <cell r="Z66">
            <v>0</v>
          </cell>
          <cell r="AA66">
            <v>0</v>
          </cell>
          <cell r="AB66">
            <v>0</v>
          </cell>
          <cell r="AC66">
            <v>0</v>
          </cell>
          <cell r="AD66">
            <v>0</v>
          </cell>
          <cell r="AE66" t="str">
            <v>MCPP 25x640</v>
          </cell>
          <cell r="AF66">
            <v>0</v>
          </cell>
          <cell r="AG66">
            <v>3.2032000000000005E-2</v>
          </cell>
          <cell r="AH66">
            <v>0.92400000000000004</v>
          </cell>
          <cell r="AI66">
            <v>0</v>
          </cell>
          <cell r="AJ66">
            <v>9530</v>
          </cell>
          <cell r="AK66">
            <v>2E-3</v>
          </cell>
          <cell r="AL66">
            <v>0</v>
          </cell>
          <cell r="AM66">
            <v>0</v>
          </cell>
          <cell r="AN66">
            <v>0</v>
          </cell>
          <cell r="AO66" t="str">
            <v>Công ty Vĩnh Phúc</v>
          </cell>
          <cell r="AP66">
            <v>0</v>
          </cell>
          <cell r="AQ66" t="str">
            <v>1803378-1</v>
          </cell>
          <cell r="AR66" t="str">
            <v>1908187-2</v>
          </cell>
          <cell r="AS66" t="str">
            <v>1908187-3</v>
          </cell>
          <cell r="AT66" t="str">
            <v>1803378-4</v>
          </cell>
          <cell r="AU66" t="str">
            <v>1803378-5</v>
          </cell>
          <cell r="AV66" t="str">
            <v>1908217-6</v>
          </cell>
          <cell r="BA66" t="str">
            <v>462x750</v>
          </cell>
          <cell r="BB66" t="str">
            <v>A1</v>
          </cell>
          <cell r="BC66" t="str">
            <v>Trắng  cây số 6 in chung cozy quế sp 083</v>
          </cell>
        </row>
        <row r="67">
          <cell r="A67" t="str">
            <v>sp 320</v>
          </cell>
          <cell r="B67" t="str">
            <v>túi bột đậu xanh có sữa 500gr Tiên Dung KT210x260</v>
          </cell>
          <cell r="C67">
            <v>8.5</v>
          </cell>
          <cell r="D67" t="str">
            <v>BOPP 20x540</v>
          </cell>
          <cell r="E67">
            <v>6</v>
          </cell>
          <cell r="F67">
            <v>6</v>
          </cell>
          <cell r="G67" t="str">
            <v>BOPP</v>
          </cell>
          <cell r="H67">
            <v>0.1</v>
          </cell>
          <cell r="I67">
            <v>3.6</v>
          </cell>
          <cell r="J67">
            <v>0.2</v>
          </cell>
          <cell r="K67">
            <v>0.1</v>
          </cell>
          <cell r="L67">
            <v>4.5</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t="str">
            <v>PE su 60x540</v>
          </cell>
          <cell r="AF67">
            <v>0</v>
          </cell>
          <cell r="AG67">
            <v>3.9798E-2</v>
          </cell>
          <cell r="AH67">
            <v>0.88333333333333341</v>
          </cell>
          <cell r="AI67">
            <v>0</v>
          </cell>
          <cell r="AJ67">
            <v>9530</v>
          </cell>
          <cell r="AK67">
            <v>2.5000000000000001E-3</v>
          </cell>
          <cell r="AL67">
            <v>0</v>
          </cell>
          <cell r="AM67">
            <v>0</v>
          </cell>
          <cell r="AN67">
            <v>0</v>
          </cell>
          <cell r="AO67" t="str">
            <v>Công ty Tiên Dung</v>
          </cell>
          <cell r="AP67">
            <v>0</v>
          </cell>
          <cell r="AQ67" t="str">
            <v>F110953-1</v>
          </cell>
          <cell r="AR67" t="str">
            <v>F110953-2</v>
          </cell>
          <cell r="AS67" t="str">
            <v>F110953-3</v>
          </cell>
          <cell r="AT67" t="str">
            <v>F110953-4</v>
          </cell>
          <cell r="AU67" t="str">
            <v>F110953-5</v>
          </cell>
          <cell r="AV67" t="str">
            <v>F110953-6</v>
          </cell>
          <cell r="BA67" t="str">
            <v>420x750</v>
          </cell>
          <cell r="BB67" t="str">
            <v>N1</v>
          </cell>
        </row>
        <row r="68">
          <cell r="A68" t="str">
            <v>sp 321</v>
          </cell>
          <cell r="B68" t="str">
            <v xml:space="preserve">Trục in túi chè tân cương thái nguyên 100g loại 3 840x540 </v>
          </cell>
          <cell r="C68">
            <v>0</v>
          </cell>
          <cell r="D68">
            <v>0</v>
          </cell>
          <cell r="E68">
            <v>2</v>
          </cell>
          <cell r="F68">
            <v>2</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t="str">
            <v>Bùi Văn Sỹ</v>
          </cell>
          <cell r="AP68">
            <v>0</v>
          </cell>
          <cell r="AQ68" t="str">
            <v>F110976-1</v>
          </cell>
          <cell r="AR68" t="str">
            <v>F110976-2</v>
          </cell>
          <cell r="BA68" t="str">
            <v>540x840</v>
          </cell>
          <cell r="BB68" t="str">
            <v>F1</v>
          </cell>
        </row>
        <row r="69">
          <cell r="A69" t="str">
            <v>sp 322</v>
          </cell>
          <cell r="B69" t="str">
            <v>Trục in trà xanh Thái nguyên 100g loại 3 840x540</v>
          </cell>
          <cell r="C69">
            <v>0</v>
          </cell>
          <cell r="D69">
            <v>0</v>
          </cell>
          <cell r="E69">
            <v>1</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t="str">
            <v>Bùi Văn Sỹ</v>
          </cell>
          <cell r="AP69">
            <v>0</v>
          </cell>
          <cell r="AQ69" t="str">
            <v>F110977-1</v>
          </cell>
          <cell r="AR69">
            <v>0</v>
          </cell>
          <cell r="BA69" t="str">
            <v>540x840</v>
          </cell>
          <cell r="BB69" t="str">
            <v>F1</v>
          </cell>
        </row>
        <row r="70">
          <cell r="A70" t="str">
            <v>sp 323</v>
          </cell>
          <cell r="B70" t="str">
            <v>Trục in túi chè tân cương thái nguyên 200g loại 3 1100x680</v>
          </cell>
          <cell r="C70">
            <v>0</v>
          </cell>
          <cell r="D70">
            <v>0</v>
          </cell>
          <cell r="E70">
            <v>2</v>
          </cell>
          <cell r="F70">
            <v>2</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t="str">
            <v>Bùi Văn Sỹ</v>
          </cell>
          <cell r="AP70">
            <v>0</v>
          </cell>
          <cell r="AQ70" t="str">
            <v>F110978-1</v>
          </cell>
          <cell r="AR70" t="str">
            <v>F110978-2</v>
          </cell>
          <cell r="AS70">
            <v>0</v>
          </cell>
          <cell r="AT70">
            <v>0</v>
          </cell>
          <cell r="AU70">
            <v>0</v>
          </cell>
          <cell r="AV70">
            <v>0</v>
          </cell>
          <cell r="BA70" t="str">
            <v>680x1100</v>
          </cell>
          <cell r="BB70" t="str">
            <v>F1</v>
          </cell>
        </row>
        <row r="71">
          <cell r="A71" t="str">
            <v>sp 324</v>
          </cell>
          <cell r="B71" t="str">
            <v>Trục in túi trà xanh Thái nguyên 200g loại 3 1100x680</v>
          </cell>
          <cell r="C71">
            <v>0</v>
          </cell>
          <cell r="D71">
            <v>0</v>
          </cell>
          <cell r="E71">
            <v>1</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t="str">
            <v>Bùi Văn Sỹ</v>
          </cell>
          <cell r="AP71">
            <v>0</v>
          </cell>
          <cell r="AQ71" t="str">
            <v>F110979-1</v>
          </cell>
          <cell r="AR71">
            <v>0</v>
          </cell>
          <cell r="AS71">
            <v>0</v>
          </cell>
          <cell r="AT71">
            <v>0</v>
          </cell>
          <cell r="AU71">
            <v>0</v>
          </cell>
          <cell r="AV71">
            <v>0</v>
          </cell>
          <cell r="BA71" t="str">
            <v>680x1100</v>
          </cell>
          <cell r="BB71" t="str">
            <v>F1</v>
          </cell>
        </row>
        <row r="72">
          <cell r="A72" t="str">
            <v>sp 325</v>
          </cell>
          <cell r="B72" t="str">
            <v>Trục in túi chè tân cương thái nguyên 500g loại 3 840x420 F110980</v>
          </cell>
          <cell r="C72">
            <v>0</v>
          </cell>
          <cell r="D72">
            <v>0</v>
          </cell>
          <cell r="E72">
            <v>2</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t="str">
            <v>Bùi Văn Sỹ</v>
          </cell>
          <cell r="AP72">
            <v>0</v>
          </cell>
          <cell r="AQ72" t="str">
            <v>F110980</v>
          </cell>
          <cell r="AR72">
            <v>0</v>
          </cell>
          <cell r="AS72">
            <v>0</v>
          </cell>
          <cell r="AT72">
            <v>0</v>
          </cell>
          <cell r="AU72">
            <v>0</v>
          </cell>
          <cell r="AV72">
            <v>0</v>
          </cell>
          <cell r="BA72" t="str">
            <v>420x840</v>
          </cell>
          <cell r="BB72" t="str">
            <v>F1</v>
          </cell>
        </row>
        <row r="73">
          <cell r="A73" t="str">
            <v>sp 326</v>
          </cell>
          <cell r="B73" t="str">
            <v>Trục in túi trà xanh Thái nguyên 500g loại 3 840x420F110981</v>
          </cell>
          <cell r="C73">
            <v>0</v>
          </cell>
          <cell r="D73">
            <v>0</v>
          </cell>
          <cell r="E73">
            <v>1</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t="str">
            <v>Bùi Văn Sỹ</v>
          </cell>
          <cell r="AP73">
            <v>0</v>
          </cell>
          <cell r="AQ73" t="str">
            <v>F110981</v>
          </cell>
          <cell r="AR73">
            <v>0</v>
          </cell>
          <cell r="AS73">
            <v>0</v>
          </cell>
          <cell r="AT73">
            <v>0</v>
          </cell>
          <cell r="AU73">
            <v>0</v>
          </cell>
          <cell r="AV73">
            <v>0</v>
          </cell>
          <cell r="BA73" t="str">
            <v>420x840</v>
          </cell>
          <cell r="BB73" t="str">
            <v>F1</v>
          </cell>
        </row>
        <row r="74">
          <cell r="A74" t="str">
            <v>sp 327</v>
          </cell>
          <cell r="B74" t="str">
            <v>Cuộn bánh bông lan sâm sữa dừa katomi</v>
          </cell>
          <cell r="C74">
            <v>0</v>
          </cell>
          <cell r="D74">
            <v>0</v>
          </cell>
          <cell r="E74">
            <v>6</v>
          </cell>
          <cell r="F74">
            <v>6</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t="str">
            <v>Công ty Katomi</v>
          </cell>
          <cell r="AP74">
            <v>0</v>
          </cell>
          <cell r="AQ74" t="str">
            <v>F110954-1</v>
          </cell>
          <cell r="AR74" t="str">
            <v>F110954-2</v>
          </cell>
          <cell r="AS74" t="str">
            <v>F110954-3</v>
          </cell>
          <cell r="AT74" t="str">
            <v>F110954-4</v>
          </cell>
          <cell r="AU74" t="str">
            <v>F110954-5</v>
          </cell>
          <cell r="AV74" t="str">
            <v>F110954-6</v>
          </cell>
          <cell r="BA74" t="str">
            <v>450x840</v>
          </cell>
          <cell r="BB74" t="str">
            <v>N1</v>
          </cell>
        </row>
        <row r="75">
          <cell r="A75" t="str">
            <v>sp 336</v>
          </cell>
          <cell r="B75" t="str">
            <v>Túi muối sạch thượng hạng 200gr hanufood</v>
          </cell>
          <cell r="C75">
            <v>0</v>
          </cell>
          <cell r="D75">
            <v>0</v>
          </cell>
          <cell r="E75" t="str">
            <v>sp 148</v>
          </cell>
          <cell r="F75">
            <v>5</v>
          </cell>
          <cell r="G75" t="str">
            <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t="str">
            <v>Công ty VISACO</v>
          </cell>
          <cell r="AP75">
            <v>0</v>
          </cell>
          <cell r="AQ75" t="str">
            <v>1412417-1</v>
          </cell>
          <cell r="AR75" t="str">
            <v>1308276-2</v>
          </cell>
          <cell r="AS75" t="str">
            <v>1308276-3</v>
          </cell>
          <cell r="AT75" t="str">
            <v>1308276-4</v>
          </cell>
          <cell r="AU75" t="str">
            <v>18011108-5</v>
          </cell>
          <cell r="BA75" t="str">
            <v>480x740</v>
          </cell>
          <cell r="BB75" t="str">
            <v>N1</v>
          </cell>
          <cell r="BC75" t="str">
            <v>in chung bộ sp 148 + 403</v>
          </cell>
        </row>
        <row r="76">
          <cell r="A76" t="str">
            <v>sp 337</v>
          </cell>
          <cell r="B76" t="str">
            <v>Túi lúa lai nhị ưu 838 1kg Mahyco</v>
          </cell>
          <cell r="C76">
            <v>6.660000000000001</v>
          </cell>
          <cell r="D76" t="str">
            <v>BOPP 20x440</v>
          </cell>
          <cell r="E76">
            <v>6</v>
          </cell>
          <cell r="F76">
            <v>6</v>
          </cell>
          <cell r="G76" t="str">
            <v>BOPP</v>
          </cell>
          <cell r="H76">
            <v>0.1</v>
          </cell>
          <cell r="I76">
            <v>3.2</v>
          </cell>
          <cell r="J76">
            <v>0.5</v>
          </cell>
          <cell r="K76">
            <v>0</v>
          </cell>
          <cell r="L76">
            <v>0.5</v>
          </cell>
          <cell r="M76">
            <v>1.2</v>
          </cell>
          <cell r="N76">
            <v>0</v>
          </cell>
          <cell r="O76">
            <v>0.1</v>
          </cell>
          <cell r="P76">
            <v>0.2</v>
          </cell>
          <cell r="Q76">
            <v>0.5</v>
          </cell>
          <cell r="R76">
            <v>0.36</v>
          </cell>
          <cell r="S76">
            <v>0</v>
          </cell>
          <cell r="T76">
            <v>0</v>
          </cell>
          <cell r="U76">
            <v>0</v>
          </cell>
          <cell r="V76">
            <v>0</v>
          </cell>
          <cell r="W76">
            <v>0</v>
          </cell>
          <cell r="X76">
            <v>0</v>
          </cell>
          <cell r="Y76">
            <v>0</v>
          </cell>
          <cell r="Z76">
            <v>0</v>
          </cell>
          <cell r="AA76">
            <v>0</v>
          </cell>
          <cell r="AB76">
            <v>0</v>
          </cell>
          <cell r="AC76">
            <v>0</v>
          </cell>
          <cell r="AD76">
            <v>0</v>
          </cell>
          <cell r="AE76" t="str">
            <v>PE 90x440</v>
          </cell>
          <cell r="AF76">
            <v>0</v>
          </cell>
          <cell r="AG76">
            <v>4.4638000000000004E-2</v>
          </cell>
          <cell r="AH76">
            <v>0.71666666666666667</v>
          </cell>
          <cell r="AI76">
            <v>0</v>
          </cell>
          <cell r="AJ76">
            <v>9530</v>
          </cell>
          <cell r="AK76">
            <v>2.5000000000000001E-3</v>
          </cell>
          <cell r="AL76">
            <v>0</v>
          </cell>
          <cell r="AM76" t="str">
            <v>Hàn lưng</v>
          </cell>
          <cell r="AN76">
            <v>0</v>
          </cell>
          <cell r="AO76" t="str">
            <v>Công ty Mahyco</v>
          </cell>
          <cell r="AP76">
            <v>0</v>
          </cell>
          <cell r="AQ76" t="str">
            <v>18101259-1</v>
          </cell>
          <cell r="AR76" t="str">
            <v>15041067-2</v>
          </cell>
          <cell r="AS76" t="str">
            <v>15041067-3</v>
          </cell>
          <cell r="AT76" t="str">
            <v>15041067-4</v>
          </cell>
          <cell r="AU76" t="str">
            <v>15041067-5</v>
          </cell>
          <cell r="AV76" t="str">
            <v>15041067-6</v>
          </cell>
          <cell r="BA76" t="str">
            <v>600x750</v>
          </cell>
          <cell r="BB76" t="str">
            <v>N1</v>
          </cell>
        </row>
        <row r="77">
          <cell r="A77" t="str">
            <v>sp 342</v>
          </cell>
          <cell r="B77" t="str">
            <v>Túi hương thơm thảo mộc Liên Đức KT480x490</v>
          </cell>
          <cell r="C77">
            <v>2.7</v>
          </cell>
          <cell r="D77" t="str">
            <v>OPP 20 x 500</v>
          </cell>
          <cell r="E77">
            <v>5</v>
          </cell>
          <cell r="F77">
            <v>5</v>
          </cell>
          <cell r="G77" t="str">
            <v xml:space="preserve">OPP </v>
          </cell>
          <cell r="H77">
            <v>0</v>
          </cell>
          <cell r="I77">
            <v>1.1000000000000001</v>
          </cell>
          <cell r="J77">
            <v>0.1</v>
          </cell>
          <cell r="K77">
            <v>0</v>
          </cell>
          <cell r="L77">
            <v>0.5</v>
          </cell>
          <cell r="M77">
            <v>0</v>
          </cell>
          <cell r="N77">
            <v>0</v>
          </cell>
          <cell r="O77">
            <v>0</v>
          </cell>
          <cell r="P77">
            <v>0.9</v>
          </cell>
          <cell r="Q77">
            <v>0</v>
          </cell>
          <cell r="R77">
            <v>0</v>
          </cell>
          <cell r="S77">
            <v>0.1</v>
          </cell>
          <cell r="T77">
            <v>0</v>
          </cell>
          <cell r="U77">
            <v>0</v>
          </cell>
          <cell r="V77">
            <v>0</v>
          </cell>
          <cell r="W77">
            <v>0</v>
          </cell>
          <cell r="X77">
            <v>0</v>
          </cell>
          <cell r="Y77">
            <v>0</v>
          </cell>
          <cell r="Z77">
            <v>0</v>
          </cell>
          <cell r="AA77">
            <v>0</v>
          </cell>
          <cell r="AB77">
            <v>0</v>
          </cell>
          <cell r="AC77">
            <v>0</v>
          </cell>
          <cell r="AD77">
            <v>0</v>
          </cell>
          <cell r="AE77" t="str">
            <v>CPP 30 x 500</v>
          </cell>
          <cell r="AF77">
            <v>0</v>
          </cell>
          <cell r="AG77">
            <v>2.2749999999999999E-2</v>
          </cell>
          <cell r="AH77">
            <v>0.65333333333333332</v>
          </cell>
          <cell r="AI77">
            <v>0</v>
          </cell>
          <cell r="AJ77">
            <v>9530</v>
          </cell>
          <cell r="AK77">
            <v>2E-3</v>
          </cell>
          <cell r="AL77">
            <v>0</v>
          </cell>
          <cell r="AM77">
            <v>0</v>
          </cell>
          <cell r="AN77">
            <v>0</v>
          </cell>
          <cell r="AO77" t="str">
            <v>DNTN Bảy lương (Tâm Đức)</v>
          </cell>
          <cell r="AP77">
            <v>0</v>
          </cell>
          <cell r="AQ77" t="str">
            <v>1505534-1</v>
          </cell>
          <cell r="AR77" t="str">
            <v>1505534-2</v>
          </cell>
          <cell r="AS77" t="str">
            <v>1505534-3</v>
          </cell>
          <cell r="AT77" t="str">
            <v>1505534-4</v>
          </cell>
          <cell r="AU77" t="str">
            <v>1505534-5</v>
          </cell>
          <cell r="BA77" t="str">
            <v>490x750</v>
          </cell>
          <cell r="BB77" t="str">
            <v>N1</v>
          </cell>
        </row>
        <row r="78">
          <cell r="A78" t="str">
            <v>sp 344</v>
          </cell>
          <cell r="B78" t="str">
            <v>Túi muối biển xanh 700gr hanufood KT340x240</v>
          </cell>
          <cell r="C78">
            <v>4.43</v>
          </cell>
          <cell r="D78" t="str">
            <v>OPP 20x700</v>
          </cell>
          <cell r="E78">
            <v>5</v>
          </cell>
          <cell r="F78">
            <v>5</v>
          </cell>
          <cell r="G78" t="str">
            <v xml:space="preserve">OPP </v>
          </cell>
          <cell r="H78">
            <v>0.05</v>
          </cell>
          <cell r="I78">
            <v>1.8</v>
          </cell>
          <cell r="J78">
            <v>0.2</v>
          </cell>
          <cell r="K78">
            <v>0</v>
          </cell>
          <cell r="L78">
            <v>1.8</v>
          </cell>
          <cell r="M78">
            <v>0</v>
          </cell>
          <cell r="N78">
            <v>0</v>
          </cell>
          <cell r="O78">
            <v>0.3</v>
          </cell>
          <cell r="P78">
            <v>0.1</v>
          </cell>
          <cell r="Q78">
            <v>0.18</v>
          </cell>
          <cell r="R78">
            <v>0</v>
          </cell>
          <cell r="S78">
            <v>0</v>
          </cell>
          <cell r="T78">
            <v>0</v>
          </cell>
          <cell r="U78">
            <v>0</v>
          </cell>
          <cell r="V78">
            <v>0</v>
          </cell>
          <cell r="W78">
            <v>0</v>
          </cell>
          <cell r="X78">
            <v>0</v>
          </cell>
          <cell r="Y78">
            <v>0</v>
          </cell>
          <cell r="Z78">
            <v>0</v>
          </cell>
          <cell r="AA78">
            <v>0</v>
          </cell>
          <cell r="AB78">
            <v>0</v>
          </cell>
          <cell r="AC78">
            <v>0</v>
          </cell>
          <cell r="AD78">
            <v>0</v>
          </cell>
          <cell r="AE78" t="str">
            <v>PE 65x700</v>
          </cell>
          <cell r="AF78">
            <v>0</v>
          </cell>
          <cell r="AG78">
            <v>5.4827500000000001E-2</v>
          </cell>
          <cell r="AH78">
            <v>1.012</v>
          </cell>
          <cell r="AI78">
            <v>0</v>
          </cell>
          <cell r="AJ78">
            <v>9530</v>
          </cell>
          <cell r="AK78">
            <v>2.1999999999999999E-2</v>
          </cell>
          <cell r="AL78">
            <v>0</v>
          </cell>
          <cell r="AM78" t="str">
            <v>túi ba biên</v>
          </cell>
          <cell r="AN78">
            <v>240</v>
          </cell>
          <cell r="AO78" t="str">
            <v>Công ty Hanufood</v>
          </cell>
          <cell r="AP78">
            <v>0</v>
          </cell>
          <cell r="AQ78" t="str">
            <v>20100917-1</v>
          </cell>
          <cell r="AR78" t="str">
            <v>20100917-2</v>
          </cell>
          <cell r="AS78" t="str">
            <v>20100917-3</v>
          </cell>
          <cell r="AT78" t="str">
            <v>1505663-4</v>
          </cell>
          <cell r="AU78" t="str">
            <v>1805776-5</v>
          </cell>
          <cell r="AV78">
            <v>0</v>
          </cell>
          <cell r="AW78">
            <v>0</v>
          </cell>
          <cell r="AX78">
            <v>0</v>
          </cell>
          <cell r="AY78">
            <v>0</v>
          </cell>
          <cell r="AZ78">
            <v>0</v>
          </cell>
          <cell r="BA78" t="str">
            <v>480x850</v>
          </cell>
          <cell r="BB78" t="str">
            <v>N1</v>
          </cell>
          <cell r="BC78">
            <v>0</v>
          </cell>
        </row>
        <row r="79">
          <cell r="A79" t="str">
            <v>sp 347</v>
          </cell>
          <cell r="B79" t="str">
            <v>Túi thuốc vietvet 100gr Đất Việt</v>
          </cell>
          <cell r="C79">
            <v>0</v>
          </cell>
          <cell r="D79" t="str">
            <v>BOPP 20 x 700</v>
          </cell>
          <cell r="E79">
            <v>1</v>
          </cell>
          <cell r="F79">
            <v>1</v>
          </cell>
          <cell r="G79" t="str">
            <v>BOPP</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t="str">
            <v>Al 6x700</v>
          </cell>
          <cell r="AF79" t="str">
            <v>PE 70x710</v>
          </cell>
          <cell r="AG79">
            <v>0</v>
          </cell>
          <cell r="AH79">
            <v>0</v>
          </cell>
          <cell r="AI79">
            <v>0</v>
          </cell>
          <cell r="AJ79">
            <v>9530</v>
          </cell>
          <cell r="AK79" t="str">
            <v>0,0053(0,0023;0,003)</v>
          </cell>
          <cell r="AL79">
            <v>0</v>
          </cell>
          <cell r="AM79">
            <v>0</v>
          </cell>
          <cell r="AN79">
            <v>0</v>
          </cell>
          <cell r="AO79" t="str">
            <v>Công ty Đất Việt</v>
          </cell>
          <cell r="AP79">
            <v>0</v>
          </cell>
          <cell r="AQ79" t="str">
            <v>1505773-1</v>
          </cell>
          <cell r="AR79">
            <v>0</v>
          </cell>
          <cell r="BA79" t="str">
            <v>480x850</v>
          </cell>
          <cell r="BB79" t="str">
            <v>N1</v>
          </cell>
        </row>
        <row r="80">
          <cell r="A80" t="str">
            <v>sp 348</v>
          </cell>
          <cell r="B80" t="str">
            <v>Cuộn thức ăn Cosvit 10gr Đất Việt</v>
          </cell>
          <cell r="C80">
            <v>0</v>
          </cell>
          <cell r="D80" t="str">
            <v>BOPP 20 x 700</v>
          </cell>
          <cell r="E80">
            <v>2</v>
          </cell>
          <cell r="F80">
            <v>2</v>
          </cell>
          <cell r="G80" t="str">
            <v>BOPP</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t="str">
            <v>Al 6x700</v>
          </cell>
          <cell r="AF80" t="str">
            <v>PE 70x710</v>
          </cell>
          <cell r="AG80">
            <v>0</v>
          </cell>
          <cell r="AH80">
            <v>0</v>
          </cell>
          <cell r="AI80">
            <v>0</v>
          </cell>
          <cell r="AJ80">
            <v>9530</v>
          </cell>
          <cell r="AK80" t="str">
            <v>0,0053(0,0023;0,003)</v>
          </cell>
          <cell r="AL80">
            <v>0</v>
          </cell>
          <cell r="AM80">
            <v>0</v>
          </cell>
          <cell r="AN80">
            <v>0</v>
          </cell>
          <cell r="AO80" t="str">
            <v>Công ty Đất Việt</v>
          </cell>
          <cell r="AP80">
            <v>0</v>
          </cell>
          <cell r="AQ80" t="str">
            <v>1505772-1</v>
          </cell>
          <cell r="AR80" t="str">
            <v>1505772-2</v>
          </cell>
          <cell r="BA80" t="str">
            <v>480x850</v>
          </cell>
          <cell r="BB80" t="str">
            <v>N1</v>
          </cell>
        </row>
        <row r="81">
          <cell r="A81" t="str">
            <v>sp 350</v>
          </cell>
          <cell r="B81" t="str">
            <v>Túi bánh gạo vị ngọt dịu 150gr Katomi</v>
          </cell>
          <cell r="C81">
            <v>0</v>
          </cell>
          <cell r="D81">
            <v>0</v>
          </cell>
          <cell r="E81">
            <v>6</v>
          </cell>
          <cell r="F81">
            <v>6</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t="str">
            <v>Công ty Katomi</v>
          </cell>
          <cell r="AP81">
            <v>0</v>
          </cell>
          <cell r="AQ81" t="str">
            <v>1506197-1</v>
          </cell>
          <cell r="AR81" t="str">
            <v>1506197-2</v>
          </cell>
          <cell r="AS81" t="str">
            <v>1506197-3</v>
          </cell>
          <cell r="AT81" t="str">
            <v>1506197-4</v>
          </cell>
          <cell r="AU81" t="str">
            <v>1506197-5</v>
          </cell>
          <cell r="AV81" t="str">
            <v>1506197-6</v>
          </cell>
          <cell r="AW81">
            <v>0</v>
          </cell>
          <cell r="BA81" t="str">
            <v>640x870</v>
          </cell>
          <cell r="BB81" t="str">
            <v>N1</v>
          </cell>
        </row>
        <row r="82">
          <cell r="A82" t="str">
            <v>sp 351</v>
          </cell>
          <cell r="B82" t="str">
            <v>Túi thuốc menbio vietvet 500gr Đất Việt</v>
          </cell>
          <cell r="C82">
            <v>4.21</v>
          </cell>
          <cell r="D82" t="str">
            <v>BOPP 20x780</v>
          </cell>
          <cell r="E82">
            <v>3</v>
          </cell>
          <cell r="F82">
            <v>3</v>
          </cell>
          <cell r="G82" t="str">
            <v>BOPP</v>
          </cell>
          <cell r="H82">
            <v>0</v>
          </cell>
          <cell r="I82">
            <v>3</v>
          </cell>
          <cell r="J82">
            <v>0.11</v>
          </cell>
          <cell r="K82">
            <v>0</v>
          </cell>
          <cell r="L82">
            <v>0</v>
          </cell>
          <cell r="M82">
            <v>0</v>
          </cell>
          <cell r="N82">
            <v>0</v>
          </cell>
          <cell r="O82">
            <v>0</v>
          </cell>
          <cell r="P82">
            <v>0.8</v>
          </cell>
          <cell r="Q82">
            <v>0</v>
          </cell>
          <cell r="R82">
            <v>0.3</v>
          </cell>
          <cell r="S82">
            <v>0</v>
          </cell>
          <cell r="T82">
            <v>0</v>
          </cell>
          <cell r="U82">
            <v>0</v>
          </cell>
          <cell r="V82">
            <v>0</v>
          </cell>
          <cell r="W82">
            <v>0</v>
          </cell>
          <cell r="X82">
            <v>0</v>
          </cell>
          <cell r="Y82">
            <v>0</v>
          </cell>
          <cell r="Z82">
            <v>0</v>
          </cell>
          <cell r="AA82">
            <v>0</v>
          </cell>
          <cell r="AB82">
            <v>0</v>
          </cell>
          <cell r="AC82">
            <v>0</v>
          </cell>
          <cell r="AD82">
            <v>0</v>
          </cell>
          <cell r="AE82" t="str">
            <v>MPET 12x780</v>
          </cell>
          <cell r="AF82" t="str">
            <v>PE 65x780</v>
          </cell>
          <cell r="AG82">
            <v>7.4197500000000013E-2</v>
          </cell>
          <cell r="AH82">
            <v>1.1806666666666665</v>
          </cell>
          <cell r="AI82">
            <v>1.54</v>
          </cell>
          <cell r="AJ82">
            <v>9530</v>
          </cell>
          <cell r="AK82" t="str">
            <v>0,0053(0,0023;0,003)</v>
          </cell>
          <cell r="AL82">
            <v>0</v>
          </cell>
          <cell r="AM82" t="str">
            <v>3 biên</v>
          </cell>
          <cell r="AN82">
            <v>0</v>
          </cell>
          <cell r="AO82" t="str">
            <v>Công ty Đất Việt</v>
          </cell>
          <cell r="AP82">
            <v>0</v>
          </cell>
          <cell r="AQ82" t="str">
            <v>20080781-1</v>
          </cell>
          <cell r="AR82" t="str">
            <v>20080781-2</v>
          </cell>
          <cell r="AS82" t="str">
            <v>1506198-3</v>
          </cell>
          <cell r="BA82" t="str">
            <v>440x870</v>
          </cell>
          <cell r="BB82" t="str">
            <v>N1</v>
          </cell>
          <cell r="BC82" t="str">
            <v xml:space="preserve">trục xanh 3 in vs sp 469 </v>
          </cell>
        </row>
        <row r="83">
          <cell r="A83" t="str">
            <v>sp 353</v>
          </cell>
          <cell r="B83" t="str">
            <v>Túi muối biển xanh 500gr hanufood KT310x215</v>
          </cell>
          <cell r="C83">
            <v>2.6499999999999995</v>
          </cell>
          <cell r="D83" t="str">
            <v>BOPP 20x640</v>
          </cell>
          <cell r="E83">
            <v>5</v>
          </cell>
          <cell r="F83">
            <v>5</v>
          </cell>
          <cell r="G83" t="str">
            <v>BOPP</v>
          </cell>
          <cell r="H83">
            <v>0.1</v>
          </cell>
          <cell r="I83">
            <v>0.6</v>
          </cell>
          <cell r="J83">
            <v>1.4</v>
          </cell>
          <cell r="K83">
            <v>0</v>
          </cell>
          <cell r="L83">
            <v>0.2</v>
          </cell>
          <cell r="M83">
            <v>0.3</v>
          </cell>
          <cell r="N83">
            <v>0</v>
          </cell>
          <cell r="O83">
            <v>0</v>
          </cell>
          <cell r="P83">
            <v>0.05</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t="str">
            <v>PE 65x640</v>
          </cell>
          <cell r="AF83">
            <v>0</v>
          </cell>
          <cell r="AG83">
            <v>5.0128000000000006E-2</v>
          </cell>
          <cell r="AH83">
            <v>1.05</v>
          </cell>
          <cell r="AI83">
            <v>0</v>
          </cell>
          <cell r="AJ83">
            <v>9530</v>
          </cell>
          <cell r="AK83">
            <v>2.5000000000000001E-3</v>
          </cell>
          <cell r="AL83">
            <v>0</v>
          </cell>
          <cell r="AM83" t="str">
            <v>Ba biên</v>
          </cell>
          <cell r="AN83">
            <v>0</v>
          </cell>
          <cell r="AO83" t="str">
            <v>Công ty Hanufood</v>
          </cell>
          <cell r="AP83">
            <v>0</v>
          </cell>
          <cell r="AQ83" t="str">
            <v>20100916-1</v>
          </cell>
          <cell r="AR83" t="str">
            <v>20100916-2</v>
          </cell>
          <cell r="AS83" t="str">
            <v>1909397-3</v>
          </cell>
          <cell r="AT83" t="str">
            <v>1909397-4</v>
          </cell>
          <cell r="AU83" t="str">
            <v>18051130-5</v>
          </cell>
          <cell r="BA83" t="str">
            <v>430x750</v>
          </cell>
          <cell r="BB83" t="str">
            <v>N1</v>
          </cell>
        </row>
        <row r="84">
          <cell r="A84" t="str">
            <v>sp 356</v>
          </cell>
          <cell r="B84" t="str">
            <v>Cuộn trà cozy hibicus Vĩnh Phúc</v>
          </cell>
          <cell r="C84">
            <v>0</v>
          </cell>
          <cell r="D84">
            <v>0</v>
          </cell>
          <cell r="E84">
            <v>4</v>
          </cell>
          <cell r="F84">
            <v>4</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t="str">
            <v>Công ty Vĩnh Phúc</v>
          </cell>
          <cell r="AP84">
            <v>0</v>
          </cell>
          <cell r="AQ84" t="str">
            <v>1507565-1</v>
          </cell>
          <cell r="AR84" t="str">
            <v>1507565-2</v>
          </cell>
          <cell r="AS84" t="str">
            <v>1507565-3</v>
          </cell>
          <cell r="AT84" t="str">
            <v>1507565-4</v>
          </cell>
          <cell r="AU84">
            <v>0</v>
          </cell>
          <cell r="BA84" t="str">
            <v>500x870</v>
          </cell>
          <cell r="BB84" t="str">
            <v>A1</v>
          </cell>
        </row>
        <row r="85">
          <cell r="A85" t="str">
            <v>sp 360</v>
          </cell>
          <cell r="B85" t="str">
            <v>Cuộn bánh bao sữa dừa 200gr Phú Mỹ</v>
          </cell>
          <cell r="C85">
            <v>5.5</v>
          </cell>
          <cell r="D85" t="str">
            <v>OPP 20x730</v>
          </cell>
          <cell r="E85">
            <v>7</v>
          </cell>
          <cell r="F85">
            <v>7</v>
          </cell>
          <cell r="G85" t="str">
            <v xml:space="preserve">OPP </v>
          </cell>
          <cell r="H85">
            <v>0.1</v>
          </cell>
          <cell r="I85">
            <v>2.8</v>
          </cell>
          <cell r="J85">
            <v>0.1</v>
          </cell>
          <cell r="K85">
            <v>0.2</v>
          </cell>
          <cell r="L85">
            <v>1.7</v>
          </cell>
          <cell r="M85">
            <v>0.4</v>
          </cell>
          <cell r="N85">
            <v>0</v>
          </cell>
          <cell r="O85">
            <v>0.1</v>
          </cell>
          <cell r="P85">
            <v>0</v>
          </cell>
          <cell r="Q85">
            <v>0</v>
          </cell>
          <cell r="R85">
            <v>0</v>
          </cell>
          <cell r="S85">
            <v>0.1</v>
          </cell>
          <cell r="T85">
            <v>0</v>
          </cell>
          <cell r="U85">
            <v>0</v>
          </cell>
          <cell r="V85">
            <v>0</v>
          </cell>
          <cell r="W85">
            <v>0</v>
          </cell>
          <cell r="X85">
            <v>0</v>
          </cell>
          <cell r="Y85">
            <v>0</v>
          </cell>
          <cell r="Z85">
            <v>0</v>
          </cell>
          <cell r="AA85">
            <v>0</v>
          </cell>
          <cell r="AB85">
            <v>0</v>
          </cell>
          <cell r="AC85">
            <v>0</v>
          </cell>
          <cell r="AD85">
            <v>0</v>
          </cell>
          <cell r="AE85" t="str">
            <v>PE 70x730</v>
          </cell>
          <cell r="AF85">
            <v>0</v>
          </cell>
          <cell r="AG85">
            <v>6.0553500000000017E-2</v>
          </cell>
          <cell r="AH85">
            <v>1.056</v>
          </cell>
          <cell r="AI85">
            <v>0</v>
          </cell>
          <cell r="AJ85">
            <v>9530</v>
          </cell>
          <cell r="AK85">
            <v>2.2000000000000001E-3</v>
          </cell>
          <cell r="AL85">
            <v>0</v>
          </cell>
          <cell r="AM85">
            <v>0</v>
          </cell>
          <cell r="AN85">
            <v>0</v>
          </cell>
          <cell r="AO85" t="str">
            <v>Công ty Phú Mỹ</v>
          </cell>
          <cell r="AP85">
            <v>0</v>
          </cell>
          <cell r="AQ85" t="str">
            <v>18121025-1</v>
          </cell>
          <cell r="AR85" t="str">
            <v>1609451-2</v>
          </cell>
          <cell r="AS85" t="str">
            <v>18121025-3</v>
          </cell>
          <cell r="AT85" t="str">
            <v>19120780-4</v>
          </cell>
          <cell r="AU85" t="str">
            <v>1503114-5</v>
          </cell>
          <cell r="AV85" t="str">
            <v>17121266-6</v>
          </cell>
          <cell r="AW85" t="str">
            <v>1611472-7</v>
          </cell>
          <cell r="BA85" t="str">
            <v>536x1000</v>
          </cell>
          <cell r="BB85" t="str">
            <v>V1</v>
          </cell>
        </row>
        <row r="86">
          <cell r="A86" t="str">
            <v>sp 361</v>
          </cell>
          <cell r="B86" t="str">
            <v>Cuộn bánh bao xá xíu 300gr Phú Mỹ</v>
          </cell>
          <cell r="C86">
            <v>6.07</v>
          </cell>
          <cell r="D86" t="str">
            <v>OPP 20x730</v>
          </cell>
          <cell r="E86">
            <v>6</v>
          </cell>
          <cell r="F86">
            <v>6</v>
          </cell>
          <cell r="G86" t="str">
            <v xml:space="preserve">OPP </v>
          </cell>
          <cell r="H86">
            <v>0.17</v>
          </cell>
          <cell r="I86">
            <v>2.2999999999999998</v>
          </cell>
          <cell r="J86">
            <v>0.1</v>
          </cell>
          <cell r="K86">
            <v>0.1</v>
          </cell>
          <cell r="L86">
            <v>0.2</v>
          </cell>
          <cell r="M86">
            <v>1.7</v>
          </cell>
          <cell r="N86">
            <v>0</v>
          </cell>
          <cell r="O86" t="str">
            <v xml:space="preserve"> </v>
          </cell>
          <cell r="P86">
            <v>0.5</v>
          </cell>
          <cell r="Q86" t="str">
            <v xml:space="preserve"> </v>
          </cell>
          <cell r="R86">
            <v>0</v>
          </cell>
          <cell r="S86">
            <v>0</v>
          </cell>
          <cell r="T86">
            <v>0</v>
          </cell>
          <cell r="U86">
            <v>0</v>
          </cell>
          <cell r="V86">
            <v>1</v>
          </cell>
          <cell r="W86">
            <v>0</v>
          </cell>
          <cell r="X86">
            <v>0</v>
          </cell>
          <cell r="Y86">
            <v>0</v>
          </cell>
          <cell r="Z86">
            <v>0</v>
          </cell>
          <cell r="AA86">
            <v>0</v>
          </cell>
          <cell r="AB86">
            <v>0</v>
          </cell>
          <cell r="AC86">
            <v>0</v>
          </cell>
          <cell r="AD86">
            <v>0</v>
          </cell>
          <cell r="AE86" t="str">
            <v>PE 70x730</v>
          </cell>
          <cell r="AF86">
            <v>0</v>
          </cell>
          <cell r="AG86">
            <v>6.0553500000000017E-2</v>
          </cell>
          <cell r="AH86">
            <v>1.1039999999999999</v>
          </cell>
          <cell r="AI86">
            <v>0</v>
          </cell>
          <cell r="AJ86">
            <v>9530</v>
          </cell>
          <cell r="AK86">
            <v>2.3E-3</v>
          </cell>
          <cell r="AL86">
            <v>0</v>
          </cell>
          <cell r="AM86" t="str">
            <v>dạng cuộn 500m</v>
          </cell>
          <cell r="AN86">
            <v>355</v>
          </cell>
          <cell r="AO86" t="str">
            <v>Công ty Phú Mỹ</v>
          </cell>
          <cell r="AP86">
            <v>0</v>
          </cell>
          <cell r="AQ86" t="str">
            <v>1805367-1</v>
          </cell>
          <cell r="AR86" t="str">
            <v>1805367-2</v>
          </cell>
          <cell r="AS86" t="str">
            <v>20081393-3</v>
          </cell>
          <cell r="AT86" t="str">
            <v>1508114-4</v>
          </cell>
          <cell r="AU86" t="str">
            <v>1209324-5</v>
          </cell>
          <cell r="AV86" t="str">
            <v>1412194-6</v>
          </cell>
          <cell r="BA86" t="str">
            <v>532x1000</v>
          </cell>
          <cell r="BB86" t="str">
            <v>V1</v>
          </cell>
        </row>
        <row r="87">
          <cell r="A87" t="str">
            <v>sp 362</v>
          </cell>
          <cell r="B87" t="str">
            <v>Cuộn bánh bao chay khoai môn 200gr Phú Mỹ</v>
          </cell>
          <cell r="C87">
            <v>3.9000000000000004</v>
          </cell>
          <cell r="D87" t="str">
            <v>OPP 20x730</v>
          </cell>
          <cell r="E87">
            <v>7</v>
          </cell>
          <cell r="F87">
            <v>7</v>
          </cell>
          <cell r="G87" t="str">
            <v xml:space="preserve">OPP </v>
          </cell>
          <cell r="H87">
            <v>0.1</v>
          </cell>
          <cell r="I87">
            <v>2</v>
          </cell>
          <cell r="J87">
            <v>0.1</v>
          </cell>
          <cell r="K87">
            <v>0.7</v>
          </cell>
          <cell r="L87">
            <v>0.1</v>
          </cell>
          <cell r="M87">
            <v>0.7</v>
          </cell>
          <cell r="N87">
            <v>0</v>
          </cell>
          <cell r="O87">
            <v>0</v>
          </cell>
          <cell r="P87">
            <v>0</v>
          </cell>
          <cell r="Q87">
            <v>0</v>
          </cell>
          <cell r="R87">
            <v>0</v>
          </cell>
          <cell r="S87">
            <v>0.1</v>
          </cell>
          <cell r="T87">
            <v>0.1</v>
          </cell>
          <cell r="U87">
            <v>0</v>
          </cell>
          <cell r="V87">
            <v>0</v>
          </cell>
          <cell r="W87">
            <v>0</v>
          </cell>
          <cell r="X87">
            <v>0</v>
          </cell>
          <cell r="Y87">
            <v>0</v>
          </cell>
          <cell r="Z87">
            <v>0</v>
          </cell>
          <cell r="AA87">
            <v>0</v>
          </cell>
          <cell r="AB87">
            <v>0</v>
          </cell>
          <cell r="AC87">
            <v>0</v>
          </cell>
          <cell r="AD87">
            <v>0</v>
          </cell>
          <cell r="AE87" t="str">
            <v>PE 70x730</v>
          </cell>
          <cell r="AF87">
            <v>0</v>
          </cell>
          <cell r="AG87">
            <v>6.0553500000000017E-2</v>
          </cell>
          <cell r="AH87">
            <v>1.056</v>
          </cell>
          <cell r="AI87">
            <v>0</v>
          </cell>
          <cell r="AJ87">
            <v>9530</v>
          </cell>
          <cell r="AK87">
            <v>2.2000000000000001E-3</v>
          </cell>
          <cell r="AL87">
            <v>0</v>
          </cell>
          <cell r="AM87">
            <v>0</v>
          </cell>
          <cell r="AN87">
            <v>0</v>
          </cell>
          <cell r="AO87" t="str">
            <v>Công ty Phú Mỹ</v>
          </cell>
          <cell r="AP87">
            <v>0</v>
          </cell>
          <cell r="AQ87" t="str">
            <v>1804075-1</v>
          </cell>
          <cell r="AR87" t="str">
            <v>1804075-2</v>
          </cell>
          <cell r="AS87" t="str">
            <v>20081391-3</v>
          </cell>
          <cell r="AT87" t="str">
            <v>1406289-4</v>
          </cell>
          <cell r="AU87" t="str">
            <v>1510074-5</v>
          </cell>
          <cell r="AV87" t="str">
            <v>1412799-6</v>
          </cell>
          <cell r="AW87" t="str">
            <v>1711334-7</v>
          </cell>
          <cell r="BA87" t="str">
            <v>462x1000</v>
          </cell>
          <cell r="BB87" t="str">
            <v>V1</v>
          </cell>
        </row>
        <row r="88">
          <cell r="A88" t="str">
            <v>sp 363</v>
          </cell>
          <cell r="B88" t="str">
            <v>Cuộn bánh bao chay chiên 180gr Phú Mỹ</v>
          </cell>
          <cell r="C88">
            <v>5.7</v>
          </cell>
          <cell r="D88" t="str">
            <v>OPP 20x730</v>
          </cell>
          <cell r="E88">
            <v>6</v>
          </cell>
          <cell r="F88">
            <v>6</v>
          </cell>
          <cell r="G88" t="str">
            <v xml:space="preserve">OPP </v>
          </cell>
          <cell r="H88">
            <v>0.1</v>
          </cell>
          <cell r="I88">
            <v>2.6</v>
          </cell>
          <cell r="J88">
            <v>0.1</v>
          </cell>
          <cell r="K88">
            <v>0.2</v>
          </cell>
          <cell r="L88">
            <v>1.2</v>
          </cell>
          <cell r="M88">
            <v>1</v>
          </cell>
          <cell r="N88">
            <v>0</v>
          </cell>
          <cell r="O88">
            <v>0</v>
          </cell>
          <cell r="P88">
            <v>0</v>
          </cell>
          <cell r="Q88">
            <v>0.5</v>
          </cell>
          <cell r="R88">
            <v>0</v>
          </cell>
          <cell r="S88">
            <v>0</v>
          </cell>
          <cell r="T88" t="str">
            <v xml:space="preserve"> </v>
          </cell>
          <cell r="U88">
            <v>0</v>
          </cell>
          <cell r="V88">
            <v>0</v>
          </cell>
          <cell r="W88">
            <v>0</v>
          </cell>
          <cell r="X88">
            <v>0</v>
          </cell>
          <cell r="Y88">
            <v>0</v>
          </cell>
          <cell r="Z88">
            <v>0</v>
          </cell>
          <cell r="AA88">
            <v>0</v>
          </cell>
          <cell r="AB88">
            <v>0</v>
          </cell>
          <cell r="AC88">
            <v>0</v>
          </cell>
          <cell r="AD88">
            <v>0</v>
          </cell>
          <cell r="AE88" t="str">
            <v>PE 70x730</v>
          </cell>
          <cell r="AF88">
            <v>0</v>
          </cell>
          <cell r="AG88">
            <v>6.0553500000000017E-2</v>
          </cell>
          <cell r="AH88">
            <v>1.056</v>
          </cell>
          <cell r="AI88">
            <v>0</v>
          </cell>
          <cell r="AJ88">
            <v>9530</v>
          </cell>
          <cell r="AK88">
            <v>2.2000000000000001E-3</v>
          </cell>
          <cell r="AL88">
            <v>0</v>
          </cell>
          <cell r="AM88" t="str">
            <v>dạng cuộn 500m</v>
          </cell>
          <cell r="AN88">
            <v>355</v>
          </cell>
          <cell r="AO88" t="str">
            <v>Công ty Phú Mỹ</v>
          </cell>
          <cell r="AP88">
            <v>0</v>
          </cell>
          <cell r="AQ88" t="str">
            <v>18071153-1</v>
          </cell>
          <cell r="AR88" t="str">
            <v>18071153-2</v>
          </cell>
          <cell r="AS88" t="str">
            <v>20081392-3</v>
          </cell>
          <cell r="AT88" t="str">
            <v>1310534-4</v>
          </cell>
          <cell r="AU88" t="str">
            <v>1508141-5</v>
          </cell>
          <cell r="AV88" t="str">
            <v>18071153-6</v>
          </cell>
          <cell r="BA88" t="str">
            <v>536x1000</v>
          </cell>
          <cell r="BB88" t="str">
            <v>V1</v>
          </cell>
        </row>
        <row r="89">
          <cell r="A89" t="str">
            <v>sp 366</v>
          </cell>
          <cell r="B89" t="str">
            <v xml:space="preserve">Túi thuốc trừ sâu Danobull 50WG-13g Việt Đức </v>
          </cell>
          <cell r="C89">
            <v>0</v>
          </cell>
          <cell r="D89">
            <v>0</v>
          </cell>
          <cell r="E89">
            <v>6</v>
          </cell>
          <cell r="F89">
            <v>6</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t="str">
            <v>Công ty Việt Đức</v>
          </cell>
          <cell r="AP89">
            <v>0</v>
          </cell>
          <cell r="AQ89" t="str">
            <v>F415073-1</v>
          </cell>
          <cell r="AR89" t="str">
            <v>F415073-2</v>
          </cell>
          <cell r="AS89" t="str">
            <v>F415073-3</v>
          </cell>
          <cell r="AT89" t="str">
            <v>F415073-4</v>
          </cell>
          <cell r="AU89" t="str">
            <v>F415073-5</v>
          </cell>
          <cell r="AV89" t="str">
            <v>F415073-6</v>
          </cell>
          <cell r="BA89" t="str">
            <v>750x417</v>
          </cell>
          <cell r="BB89" t="str">
            <v>N2</v>
          </cell>
        </row>
        <row r="90">
          <cell r="A90" t="str">
            <v>sp 367</v>
          </cell>
          <cell r="B90" t="str">
            <v>Cuộn thuốc diệt chuột rat-kill 2% DP 10gr agricare</v>
          </cell>
          <cell r="C90">
            <v>6.3</v>
          </cell>
          <cell r="D90" t="str">
            <v>PET 12x770</v>
          </cell>
          <cell r="E90">
            <v>7</v>
          </cell>
          <cell r="F90">
            <v>7</v>
          </cell>
          <cell r="G90" t="str">
            <v xml:space="preserve">PET </v>
          </cell>
          <cell r="H90">
            <v>0.2</v>
          </cell>
          <cell r="I90">
            <v>2</v>
          </cell>
          <cell r="J90">
            <v>0.2</v>
          </cell>
          <cell r="K90">
            <v>0.2</v>
          </cell>
          <cell r="L90">
            <v>1.9</v>
          </cell>
          <cell r="M90">
            <v>1.5</v>
          </cell>
          <cell r="N90">
            <v>0</v>
          </cell>
          <cell r="O90">
            <v>0</v>
          </cell>
          <cell r="P90">
            <v>0.2</v>
          </cell>
          <cell r="Q90">
            <v>0</v>
          </cell>
          <cell r="R90">
            <v>0.1</v>
          </cell>
          <cell r="S90">
            <v>0</v>
          </cell>
          <cell r="T90">
            <v>0</v>
          </cell>
          <cell r="U90">
            <v>0</v>
          </cell>
          <cell r="V90">
            <v>0</v>
          </cell>
          <cell r="W90">
            <v>0</v>
          </cell>
          <cell r="X90">
            <v>0</v>
          </cell>
          <cell r="Y90">
            <v>0</v>
          </cell>
          <cell r="Z90">
            <v>0</v>
          </cell>
          <cell r="AA90">
            <v>0</v>
          </cell>
          <cell r="AB90">
            <v>0</v>
          </cell>
          <cell r="AC90">
            <v>0</v>
          </cell>
          <cell r="AD90">
            <v>0</v>
          </cell>
          <cell r="AE90" t="str">
            <v>PE 75x770; MPET 12x770</v>
          </cell>
          <cell r="AF90" t="str">
            <v>PE 75x770</v>
          </cell>
          <cell r="AG90">
            <v>7.9290750000000007E-2</v>
          </cell>
          <cell r="AH90">
            <v>1.1653333333333333</v>
          </cell>
          <cell r="AI90">
            <v>1.52</v>
          </cell>
          <cell r="AJ90">
            <v>9530</v>
          </cell>
          <cell r="AK90" t="str">
            <v>0,0053(0,0023;0,003)</v>
          </cell>
          <cell r="AL90">
            <v>0</v>
          </cell>
          <cell r="AM90">
            <v>0</v>
          </cell>
          <cell r="AN90">
            <v>0</v>
          </cell>
          <cell r="AO90" t="str">
            <v>Công ty Agricare</v>
          </cell>
          <cell r="AP90">
            <v>0</v>
          </cell>
          <cell r="AQ90" t="str">
            <v>1507601-1</v>
          </cell>
          <cell r="AR90" t="str">
            <v>1507601-2</v>
          </cell>
          <cell r="AS90" t="str">
            <v>1507601-3</v>
          </cell>
          <cell r="AT90" t="str">
            <v>1507601-4</v>
          </cell>
          <cell r="AU90" t="str">
            <v>1507601-5</v>
          </cell>
          <cell r="AV90" t="str">
            <v>1507601-6</v>
          </cell>
          <cell r="AW90" t="str">
            <v>1507601-7</v>
          </cell>
          <cell r="BA90" t="str">
            <v>480x850</v>
          </cell>
          <cell r="BB90" t="str">
            <v>N2</v>
          </cell>
        </row>
        <row r="91">
          <cell r="A91" t="str">
            <v>sp 372</v>
          </cell>
          <cell r="B91" t="str">
            <v>túi thuốc trừ cỏ mía amet super 80WP -50gr hòa bình</v>
          </cell>
          <cell r="C91">
            <v>0</v>
          </cell>
          <cell r="D91" t="str">
            <v>PET 12x740</v>
          </cell>
          <cell r="E91">
            <v>7</v>
          </cell>
          <cell r="F91">
            <v>7</v>
          </cell>
          <cell r="G91" t="str">
            <v xml:space="preserve">PET </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t="str">
            <v>PE 75x740; MPET 12x740</v>
          </cell>
          <cell r="AF91">
            <v>0</v>
          </cell>
          <cell r="AG91">
            <v>0</v>
          </cell>
          <cell r="AH91">
            <v>0</v>
          </cell>
          <cell r="AI91">
            <v>0</v>
          </cell>
          <cell r="AJ91">
            <v>9530</v>
          </cell>
          <cell r="AK91" t="str">
            <v>0,0053(0,0023;0,003)</v>
          </cell>
          <cell r="AL91">
            <v>0</v>
          </cell>
          <cell r="AM91">
            <v>0</v>
          </cell>
          <cell r="AN91">
            <v>0</v>
          </cell>
          <cell r="AO91" t="str">
            <v>Công ty Quốc tế Hòa Bình</v>
          </cell>
          <cell r="AP91">
            <v>0</v>
          </cell>
          <cell r="AQ91" t="str">
            <v>1507713-1</v>
          </cell>
          <cell r="AR91" t="str">
            <v>1507713-2</v>
          </cell>
          <cell r="AS91" t="str">
            <v>1507713-3</v>
          </cell>
          <cell r="AT91" t="str">
            <v>1507713-4</v>
          </cell>
          <cell r="AU91" t="str">
            <v>1507713-5</v>
          </cell>
          <cell r="AV91" t="str">
            <v>1507713-6</v>
          </cell>
          <cell r="AW91" t="str">
            <v>1507713-7</v>
          </cell>
          <cell r="BA91" t="str">
            <v>540x850</v>
          </cell>
          <cell r="BB91" t="str">
            <v>T1</v>
          </cell>
        </row>
        <row r="92">
          <cell r="A92" t="str">
            <v>sp 383</v>
          </cell>
          <cell r="B92" t="str">
            <v>Cuộn màng trừ sâu Goldan 750WP loại 20gr USA</v>
          </cell>
          <cell r="C92">
            <v>0</v>
          </cell>
          <cell r="D92" t="str">
            <v>PET 12 x 680</v>
          </cell>
          <cell r="E92">
            <v>7</v>
          </cell>
          <cell r="F92">
            <v>7</v>
          </cell>
          <cell r="G92" t="str">
            <v xml:space="preserve">PET </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t="str">
            <v>MPET 12x680, PE 75x680</v>
          </cell>
          <cell r="AF92">
            <v>0</v>
          </cell>
          <cell r="AG92">
            <v>0</v>
          </cell>
          <cell r="AH92">
            <v>0</v>
          </cell>
          <cell r="AI92">
            <v>0</v>
          </cell>
          <cell r="AJ92">
            <v>9530</v>
          </cell>
          <cell r="AK92" t="str">
            <v>0.0053 (0.0023; 0.003)</v>
          </cell>
          <cell r="AL92">
            <v>0</v>
          </cell>
          <cell r="AM92">
            <v>0</v>
          </cell>
          <cell r="AN92">
            <v>0</v>
          </cell>
          <cell r="AO92" t="str">
            <v xml:space="preserve"> USA</v>
          </cell>
          <cell r="AP92">
            <v>0</v>
          </cell>
          <cell r="AQ92" t="str">
            <v>1503625-1</v>
          </cell>
          <cell r="AR92" t="str">
            <v>1503625-2</v>
          </cell>
          <cell r="AS92" t="str">
            <v>1503625-3</v>
          </cell>
          <cell r="AT92" t="str">
            <v>1503625-4</v>
          </cell>
          <cell r="AU92" t="str">
            <v>1503625-5</v>
          </cell>
          <cell r="AV92" t="str">
            <v>1503625-6</v>
          </cell>
          <cell r="AW92" t="str">
            <v>1503625-7</v>
          </cell>
          <cell r="BA92" t="str">
            <v>435x750</v>
          </cell>
          <cell r="BB92" t="str">
            <v>N2</v>
          </cell>
        </row>
        <row r="93">
          <cell r="A93" t="str">
            <v>sp 389</v>
          </cell>
          <cell r="B93" t="str">
            <v>Túi thạch đông 50gr hải long</v>
          </cell>
          <cell r="C93">
            <v>1.1000000000000001</v>
          </cell>
          <cell r="D93" t="str">
            <v>BOPP 30x580</v>
          </cell>
          <cell r="E93">
            <v>1</v>
          </cell>
          <cell r="F93">
            <v>1</v>
          </cell>
          <cell r="G93" t="str">
            <v>BOPP</v>
          </cell>
          <cell r="H93">
            <v>0</v>
          </cell>
          <cell r="I93">
            <v>0</v>
          </cell>
          <cell r="J93">
            <v>0</v>
          </cell>
          <cell r="K93">
            <v>0</v>
          </cell>
          <cell r="L93">
            <v>0</v>
          </cell>
          <cell r="M93">
            <v>0</v>
          </cell>
          <cell r="N93">
            <v>0</v>
          </cell>
          <cell r="O93">
            <v>0.9</v>
          </cell>
          <cell r="P93">
            <v>0.2</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t="str">
            <v>CPP 25x580</v>
          </cell>
          <cell r="AF93">
            <v>0</v>
          </cell>
          <cell r="AG93">
            <v>2.9028999999999999E-2</v>
          </cell>
          <cell r="AH93">
            <v>0.7599999999999999</v>
          </cell>
          <cell r="AI93">
            <v>0</v>
          </cell>
          <cell r="AJ93">
            <v>9530</v>
          </cell>
          <cell r="AK93">
            <v>2E-3</v>
          </cell>
          <cell r="AL93">
            <v>0</v>
          </cell>
          <cell r="AM93" t="str">
            <v>Ba biên</v>
          </cell>
          <cell r="AN93">
            <v>0</v>
          </cell>
          <cell r="AO93" t="str">
            <v>Công ty Hải Long</v>
          </cell>
          <cell r="AP93">
            <v>0</v>
          </cell>
          <cell r="AQ93" t="str">
            <v>F111915G2-1</v>
          </cell>
          <cell r="AR93">
            <v>0</v>
          </cell>
          <cell r="BA93" t="str">
            <v>400x750</v>
          </cell>
          <cell r="BB93" t="str">
            <v>N2</v>
          </cell>
        </row>
        <row r="94">
          <cell r="A94" t="str">
            <v>sp 401</v>
          </cell>
          <cell r="B94" t="str">
            <v>Túi thuốc trừ sâu Sectox 100WP 25gr Hòa Bình</v>
          </cell>
          <cell r="C94">
            <v>0</v>
          </cell>
          <cell r="D94" t="str">
            <v>PET 12x620</v>
          </cell>
          <cell r="E94">
            <v>6</v>
          </cell>
          <cell r="F94">
            <v>6</v>
          </cell>
          <cell r="G94" t="str">
            <v xml:space="preserve">PET </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t="str">
            <v>PE 75x620; MPET 12x620</v>
          </cell>
          <cell r="AF94">
            <v>0</v>
          </cell>
          <cell r="AG94">
            <v>0</v>
          </cell>
          <cell r="AH94">
            <v>0</v>
          </cell>
          <cell r="AI94">
            <v>0</v>
          </cell>
          <cell r="AJ94">
            <v>9530</v>
          </cell>
          <cell r="AK94" t="str">
            <v>0,0053(0,0023;0,003)</v>
          </cell>
          <cell r="AL94">
            <v>0</v>
          </cell>
          <cell r="AM94">
            <v>0</v>
          </cell>
          <cell r="AN94">
            <v>0</v>
          </cell>
          <cell r="AO94" t="str">
            <v>Công ty Quốc tế Hòa Bình</v>
          </cell>
          <cell r="AP94">
            <v>0</v>
          </cell>
          <cell r="AQ94" t="str">
            <v>15081080-1</v>
          </cell>
          <cell r="AR94" t="str">
            <v>15081080-2</v>
          </cell>
          <cell r="AS94" t="str">
            <v>15081080-3</v>
          </cell>
          <cell r="AT94" t="str">
            <v>15081080-4</v>
          </cell>
          <cell r="AU94" t="str">
            <v>15081080-5</v>
          </cell>
          <cell r="AV94" t="str">
            <v>15081080-6</v>
          </cell>
          <cell r="BA94" t="str">
            <v>472x750</v>
          </cell>
          <cell r="BB94" t="str">
            <v>T1</v>
          </cell>
        </row>
        <row r="95">
          <cell r="A95" t="str">
            <v>sp 402</v>
          </cell>
          <cell r="B95" t="str">
            <v>Trục in cuộn trà gừng mật ong 4g Sing Việt 400x850 15090036</v>
          </cell>
          <cell r="C95">
            <v>0</v>
          </cell>
          <cell r="D95">
            <v>0</v>
          </cell>
          <cell r="E95">
            <v>2</v>
          </cell>
          <cell r="F95">
            <v>2</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t="str">
            <v>Công ty CP Sinh Việt</v>
          </cell>
          <cell r="AP95">
            <v>0</v>
          </cell>
          <cell r="AQ95" t="str">
            <v>15090036-1</v>
          </cell>
          <cell r="AR95" t="str">
            <v>15090036-2</v>
          </cell>
          <cell r="AS95">
            <v>0</v>
          </cell>
          <cell r="AT95">
            <v>0</v>
          </cell>
          <cell r="AU95">
            <v>0</v>
          </cell>
          <cell r="AV95">
            <v>0</v>
          </cell>
          <cell r="BA95" t="str">
            <v>400x850</v>
          </cell>
          <cell r="BB95" t="str">
            <v>N2</v>
          </cell>
        </row>
        <row r="96">
          <cell r="A96" t="str">
            <v>sp 403</v>
          </cell>
          <cell r="B96" t="str">
            <v>Túi muối thượng hạng 200gr hanufood</v>
          </cell>
          <cell r="C96">
            <v>5</v>
          </cell>
          <cell r="D96" t="str">
            <v>OPP 20x470</v>
          </cell>
          <cell r="E96">
            <v>2</v>
          </cell>
          <cell r="F96">
            <v>5</v>
          </cell>
          <cell r="G96" t="str">
            <v xml:space="preserve">OPP </v>
          </cell>
          <cell r="H96">
            <v>0.1</v>
          </cell>
          <cell r="I96">
            <v>1.3</v>
          </cell>
          <cell r="J96">
            <v>0.3</v>
          </cell>
          <cell r="K96">
            <v>0.1</v>
          </cell>
          <cell r="L96">
            <v>1.9</v>
          </cell>
          <cell r="M96">
            <v>1.2</v>
          </cell>
          <cell r="N96">
            <v>0</v>
          </cell>
          <cell r="O96">
            <v>0</v>
          </cell>
          <cell r="P96">
            <v>0.1</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t="str">
            <v>PE 65x470</v>
          </cell>
          <cell r="AF96">
            <v>0</v>
          </cell>
          <cell r="AG96">
            <v>3.6812749999999998E-2</v>
          </cell>
          <cell r="AH96">
            <v>0.61333333333333329</v>
          </cell>
          <cell r="AI96">
            <v>0</v>
          </cell>
          <cell r="AJ96">
            <v>9530</v>
          </cell>
          <cell r="AK96">
            <v>2E-3</v>
          </cell>
          <cell r="AL96">
            <v>0</v>
          </cell>
          <cell r="AM96" t="str">
            <v>3 biên</v>
          </cell>
          <cell r="AN96">
            <v>0</v>
          </cell>
          <cell r="AO96" t="str">
            <v>Công ty Hanufood</v>
          </cell>
          <cell r="AP96">
            <v>0</v>
          </cell>
          <cell r="AQ96" t="str">
            <v>1711194-1</v>
          </cell>
          <cell r="AR96" t="str">
            <v>1308276-2</v>
          </cell>
          <cell r="AS96" t="str">
            <v>1505019-3</v>
          </cell>
          <cell r="AT96" t="str">
            <v>1308276-4</v>
          </cell>
          <cell r="AU96" t="str">
            <v>1308276-5</v>
          </cell>
          <cell r="BA96" t="str">
            <v>480x740</v>
          </cell>
          <cell r="BB96" t="str">
            <v>N2</v>
          </cell>
          <cell r="BC96" t="str">
            <v>in chung sp 148+336</v>
          </cell>
        </row>
        <row r="97">
          <cell r="A97" t="str">
            <v>sp 404</v>
          </cell>
          <cell r="B97" t="str">
            <v>Cuộn bánh bao liên tục Phú Mỹ</v>
          </cell>
          <cell r="C97">
            <v>0.89999999999999991</v>
          </cell>
          <cell r="D97" t="str">
            <v>OPP 20x660</v>
          </cell>
          <cell r="E97">
            <v>2</v>
          </cell>
          <cell r="F97">
            <v>2</v>
          </cell>
          <cell r="G97" t="str">
            <v xml:space="preserve">OPP </v>
          </cell>
          <cell r="H97">
            <v>0</v>
          </cell>
          <cell r="I97">
            <v>0.2</v>
          </cell>
          <cell r="J97">
            <v>0</v>
          </cell>
          <cell r="K97">
            <v>0</v>
          </cell>
          <cell r="L97">
            <v>0.5</v>
          </cell>
          <cell r="M97">
            <v>0.1</v>
          </cell>
          <cell r="N97">
            <v>0</v>
          </cell>
          <cell r="O97">
            <v>0.1</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t="str">
            <v>CPP 20x660</v>
          </cell>
          <cell r="AF97">
            <v>0</v>
          </cell>
          <cell r="AG97">
            <v>2.4024000000000004E-2</v>
          </cell>
          <cell r="AH97">
            <v>0.78</v>
          </cell>
          <cell r="AI97">
            <v>0</v>
          </cell>
          <cell r="AJ97">
            <v>9530</v>
          </cell>
          <cell r="AK97">
            <v>1.8E-3</v>
          </cell>
          <cell r="AL97">
            <v>0</v>
          </cell>
          <cell r="AM97" t="str">
            <v>dạng cuộn 1000m</v>
          </cell>
          <cell r="AN97">
            <v>320</v>
          </cell>
          <cell r="AO97" t="str">
            <v>Công ty Phú Mỹ</v>
          </cell>
          <cell r="AP97">
            <v>0</v>
          </cell>
          <cell r="AQ97" t="str">
            <v>20091172-1</v>
          </cell>
          <cell r="AR97" t="str">
            <v>1902298-2</v>
          </cell>
          <cell r="AS97">
            <v>0</v>
          </cell>
          <cell r="AT97">
            <v>0</v>
          </cell>
          <cell r="AU97">
            <v>0</v>
          </cell>
          <cell r="AV97">
            <v>0</v>
          </cell>
          <cell r="AW97">
            <v>0</v>
          </cell>
          <cell r="AX97">
            <v>0</v>
          </cell>
          <cell r="AY97">
            <v>0</v>
          </cell>
          <cell r="AZ97">
            <v>0</v>
          </cell>
          <cell r="BA97" t="str">
            <v>400x750</v>
          </cell>
          <cell r="BB97" t="str">
            <v>V1</v>
          </cell>
          <cell r="BC97">
            <v>0</v>
          </cell>
        </row>
        <row r="98">
          <cell r="A98" t="str">
            <v>sp 419</v>
          </cell>
          <cell r="B98" t="str">
            <v>Túi agar thượng hạng 25gr hải long</v>
          </cell>
          <cell r="C98">
            <v>4.5</v>
          </cell>
          <cell r="D98" t="str">
            <v>OPP 20x760</v>
          </cell>
          <cell r="E98">
            <v>5</v>
          </cell>
          <cell r="F98">
            <v>5</v>
          </cell>
          <cell r="G98" t="str">
            <v xml:space="preserve">OPP </v>
          </cell>
          <cell r="H98">
            <v>0.2</v>
          </cell>
          <cell r="I98">
            <v>2.5</v>
          </cell>
          <cell r="J98">
            <v>0.3</v>
          </cell>
          <cell r="K98">
            <v>0</v>
          </cell>
          <cell r="L98">
            <v>0.5</v>
          </cell>
          <cell r="M98">
            <v>0</v>
          </cell>
          <cell r="N98">
            <v>0</v>
          </cell>
          <cell r="O98">
            <v>0.1</v>
          </cell>
          <cell r="P98">
            <v>0.4</v>
          </cell>
          <cell r="Q98">
            <v>0.4</v>
          </cell>
          <cell r="R98">
            <v>0.1</v>
          </cell>
          <cell r="S98">
            <v>0</v>
          </cell>
          <cell r="T98">
            <v>0</v>
          </cell>
          <cell r="U98">
            <v>0</v>
          </cell>
          <cell r="V98">
            <v>0</v>
          </cell>
          <cell r="W98">
            <v>0</v>
          </cell>
          <cell r="X98">
            <v>0</v>
          </cell>
          <cell r="Y98">
            <v>0</v>
          </cell>
          <cell r="Z98">
            <v>0</v>
          </cell>
          <cell r="AA98">
            <v>0</v>
          </cell>
          <cell r="AB98">
            <v>0</v>
          </cell>
          <cell r="AC98">
            <v>0</v>
          </cell>
          <cell r="AD98">
            <v>0</v>
          </cell>
          <cell r="AE98" t="str">
            <v>PET/MPET 12x760</v>
          </cell>
          <cell r="AF98" t="str">
            <v>CPP 45x760</v>
          </cell>
          <cell r="AG98">
            <v>5.7722000000000002E-2</v>
          </cell>
          <cell r="AH98">
            <v>1.1499999999999999</v>
          </cell>
          <cell r="AI98">
            <v>1.5</v>
          </cell>
          <cell r="AJ98">
            <v>9530</v>
          </cell>
          <cell r="AK98" t="str">
            <v>0,0053(0,0023;0,003)</v>
          </cell>
          <cell r="AL98">
            <v>0</v>
          </cell>
          <cell r="AM98" t="str">
            <v xml:space="preserve">túi ba biên </v>
          </cell>
          <cell r="AN98">
            <v>95</v>
          </cell>
          <cell r="AO98" t="str">
            <v>Công ty Hải Long</v>
          </cell>
          <cell r="AP98">
            <v>0</v>
          </cell>
          <cell r="AQ98" t="str">
            <v>F114068G3-1</v>
          </cell>
          <cell r="AR98" t="str">
            <v>F114068G1-2</v>
          </cell>
          <cell r="AS98" t="str">
            <v>F114068-3</v>
          </cell>
          <cell r="AT98" t="str">
            <v>F114068-4</v>
          </cell>
          <cell r="AU98" t="str">
            <v>F11468-5</v>
          </cell>
          <cell r="BA98" t="str">
            <v>475x840</v>
          </cell>
          <cell r="BB98" t="str">
            <v>N2</v>
          </cell>
        </row>
        <row r="99">
          <cell r="A99" t="str">
            <v>sp 420</v>
          </cell>
          <cell r="B99" t="str">
            <v>Túi agar thượng hạng 50gr hải long</v>
          </cell>
          <cell r="C99">
            <v>4.53</v>
          </cell>
          <cell r="D99" t="str">
            <v>OPP 20x660</v>
          </cell>
          <cell r="E99">
            <v>5</v>
          </cell>
          <cell r="F99">
            <v>5</v>
          </cell>
          <cell r="G99" t="str">
            <v xml:space="preserve">OPP </v>
          </cell>
          <cell r="H99">
            <v>0</v>
          </cell>
          <cell r="I99">
            <v>2.5</v>
          </cell>
          <cell r="J99">
            <v>0.3</v>
          </cell>
          <cell r="K99">
            <v>0</v>
          </cell>
          <cell r="L99">
            <v>0.5</v>
          </cell>
          <cell r="M99">
            <v>0</v>
          </cell>
          <cell r="N99">
            <v>0</v>
          </cell>
          <cell r="O99">
            <v>0.1</v>
          </cell>
          <cell r="P99">
            <v>0.63</v>
          </cell>
          <cell r="Q99">
            <v>0.4</v>
          </cell>
          <cell r="R99">
            <v>0.1</v>
          </cell>
          <cell r="S99">
            <v>0</v>
          </cell>
          <cell r="T99">
            <v>0</v>
          </cell>
          <cell r="U99">
            <v>0</v>
          </cell>
          <cell r="V99">
            <v>0</v>
          </cell>
          <cell r="W99">
            <v>0</v>
          </cell>
          <cell r="X99">
            <v>0</v>
          </cell>
          <cell r="Y99">
            <v>0</v>
          </cell>
          <cell r="Z99">
            <v>0</v>
          </cell>
          <cell r="AA99">
            <v>0</v>
          </cell>
          <cell r="AB99">
            <v>0</v>
          </cell>
          <cell r="AC99">
            <v>0</v>
          </cell>
          <cell r="AD99">
            <v>0</v>
          </cell>
          <cell r="AE99" t="str">
            <v>PET/MPET 12x660</v>
          </cell>
          <cell r="AF99" t="str">
            <v xml:space="preserve">CPP 45x660 </v>
          </cell>
          <cell r="AG99">
            <v>5.0126999999999998E-2</v>
          </cell>
          <cell r="AH99">
            <v>0.99666666666666659</v>
          </cell>
          <cell r="AI99">
            <v>1.3</v>
          </cell>
          <cell r="AJ99">
            <v>9530</v>
          </cell>
          <cell r="AK99" t="str">
            <v>0,0053(0,0023;0,003)</v>
          </cell>
          <cell r="AL99">
            <v>0</v>
          </cell>
          <cell r="AM99" t="str">
            <v>túi ba biên</v>
          </cell>
          <cell r="AN99">
            <v>145</v>
          </cell>
          <cell r="AO99" t="str">
            <v>Công ty Hải Long</v>
          </cell>
          <cell r="AP99">
            <v>0</v>
          </cell>
          <cell r="AQ99" t="str">
            <v>F112128G3-1</v>
          </cell>
          <cell r="AR99" t="str">
            <v>F112128-2</v>
          </cell>
          <cell r="AS99" t="str">
            <v>F112128-3</v>
          </cell>
          <cell r="AT99" t="str">
            <v>F112128-4</v>
          </cell>
          <cell r="AU99" t="str">
            <v>F112128-5</v>
          </cell>
          <cell r="BA99" t="str">
            <v>440x750</v>
          </cell>
          <cell r="BB99" t="str">
            <v>N2</v>
          </cell>
        </row>
        <row r="100">
          <cell r="A100" t="str">
            <v>sp 421</v>
          </cell>
          <cell r="B100" t="str">
            <v>Cuộn bánh korky chocolate diamond food</v>
          </cell>
          <cell r="C100">
            <v>4.9000000000000004</v>
          </cell>
          <cell r="D100" t="str">
            <v>OPP 20x720</v>
          </cell>
          <cell r="E100">
            <v>6</v>
          </cell>
          <cell r="F100">
            <v>6</v>
          </cell>
          <cell r="G100" t="str">
            <v xml:space="preserve">OPP </v>
          </cell>
          <cell r="H100">
            <v>0.2</v>
          </cell>
          <cell r="I100">
            <v>1.8</v>
          </cell>
          <cell r="J100">
            <v>0.2</v>
          </cell>
          <cell r="K100">
            <v>0.5</v>
          </cell>
          <cell r="L100">
            <v>1</v>
          </cell>
          <cell r="M100">
            <v>0.9</v>
          </cell>
          <cell r="N100">
            <v>0</v>
          </cell>
          <cell r="O100">
            <v>0</v>
          </cell>
          <cell r="P100">
            <v>0</v>
          </cell>
          <cell r="Q100">
            <v>0.3</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t="str">
            <v>MCPP 25x720</v>
          </cell>
          <cell r="AF100">
            <v>0</v>
          </cell>
          <cell r="AG100">
            <v>2.9484E-2</v>
          </cell>
          <cell r="AH100">
            <v>0.85199999999999998</v>
          </cell>
          <cell r="AI100">
            <v>0</v>
          </cell>
          <cell r="AJ100">
            <v>9530</v>
          </cell>
          <cell r="AK100">
            <v>1.8E-3</v>
          </cell>
          <cell r="AL100">
            <v>0</v>
          </cell>
          <cell r="AM100" t="str">
            <v>Cuộn</v>
          </cell>
          <cell r="AN100">
            <v>0</v>
          </cell>
          <cell r="AO100" t="str">
            <v>Công ty Diamond Food</v>
          </cell>
          <cell r="AP100">
            <v>0</v>
          </cell>
          <cell r="AQ100" t="str">
            <v>F112125-1</v>
          </cell>
          <cell r="AR100" t="str">
            <v>F112125-2</v>
          </cell>
          <cell r="AS100" t="str">
            <v>F112125-3</v>
          </cell>
          <cell r="AT100" t="str">
            <v>F112125-4</v>
          </cell>
          <cell r="AU100" t="str">
            <v>F112125-5</v>
          </cell>
          <cell r="AV100" t="str">
            <v>F112125-6</v>
          </cell>
          <cell r="BA100" t="str">
            <v>840x450</v>
          </cell>
          <cell r="BB100" t="str">
            <v>N2</v>
          </cell>
        </row>
        <row r="101">
          <cell r="A101" t="str">
            <v>sp 422</v>
          </cell>
          <cell r="B101" t="str">
            <v>Cuộn thạch rau câu gia đình đồng phát</v>
          </cell>
          <cell r="C101">
            <v>0</v>
          </cell>
          <cell r="D101">
            <v>0</v>
          </cell>
          <cell r="E101">
            <v>6</v>
          </cell>
          <cell r="F101">
            <v>6</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t="str">
            <v>Công ty Đồng Phát</v>
          </cell>
          <cell r="AP101">
            <v>0</v>
          </cell>
          <cell r="AQ101" t="str">
            <v>F415203-1</v>
          </cell>
          <cell r="AR101" t="str">
            <v>F415203-2</v>
          </cell>
          <cell r="AS101" t="str">
            <v>F415203-3</v>
          </cell>
          <cell r="AT101" t="str">
            <v>F415203-4</v>
          </cell>
          <cell r="AU101" t="str">
            <v>F415203-5</v>
          </cell>
          <cell r="AV101" t="str">
            <v>F415203-6</v>
          </cell>
          <cell r="BA101" t="str">
            <v>420x750</v>
          </cell>
          <cell r="BB101" t="str">
            <v>N2</v>
          </cell>
        </row>
        <row r="102">
          <cell r="A102" t="str">
            <v>sp 424</v>
          </cell>
          <cell r="B102" t="str">
            <v>Túi thuốc trừ bệnh Jzomil 720WP loại 1kg USA</v>
          </cell>
          <cell r="C102">
            <v>0</v>
          </cell>
          <cell r="D102" t="str">
            <v>PET 12x760</v>
          </cell>
          <cell r="E102">
            <v>7</v>
          </cell>
          <cell r="F102">
            <v>7</v>
          </cell>
          <cell r="G102" t="str">
            <v xml:space="preserve">PET </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t="str">
            <v>PE 10x760; MPET 12x760</v>
          </cell>
          <cell r="AF102">
            <v>0</v>
          </cell>
          <cell r="AG102">
            <v>0</v>
          </cell>
          <cell r="AH102">
            <v>0</v>
          </cell>
          <cell r="AI102">
            <v>0</v>
          </cell>
          <cell r="AJ102" t="str">
            <v>9530; 811A</v>
          </cell>
          <cell r="AK102" t="str">
            <v>0.0023 (9530); 0.035 (811A)</v>
          </cell>
          <cell r="AL102">
            <v>0</v>
          </cell>
          <cell r="AM102">
            <v>0</v>
          </cell>
          <cell r="AN102">
            <v>0</v>
          </cell>
          <cell r="AO102" t="str">
            <v xml:space="preserve"> USA</v>
          </cell>
          <cell r="AP102">
            <v>0</v>
          </cell>
          <cell r="AQ102" t="str">
            <v>1510103-1</v>
          </cell>
          <cell r="AR102" t="str">
            <v>1510103-2</v>
          </cell>
          <cell r="AS102" t="str">
            <v>1510103-3</v>
          </cell>
          <cell r="AT102" t="str">
            <v>1510103-4</v>
          </cell>
          <cell r="AU102" t="str">
            <v>1510103-5</v>
          </cell>
          <cell r="AV102" t="str">
            <v>1510103-6</v>
          </cell>
          <cell r="AW102" t="str">
            <v>1510103-7</v>
          </cell>
          <cell r="BA102" t="str">
            <v>510x820</v>
          </cell>
          <cell r="BB102" t="str">
            <v>N2</v>
          </cell>
        </row>
        <row r="103">
          <cell r="A103" t="str">
            <v>sp 425</v>
          </cell>
          <cell r="B103" t="str">
            <v>Túi ngô VS36 1kg thái binh</v>
          </cell>
          <cell r="C103" t="e">
            <v>#N/A</v>
          </cell>
          <cell r="D103">
            <v>0</v>
          </cell>
          <cell r="E103">
            <v>8</v>
          </cell>
          <cell r="F103">
            <v>8</v>
          </cell>
          <cell r="G103" t="e">
            <v>#N/A</v>
          </cell>
          <cell r="H103" t="e">
            <v>#N/A</v>
          </cell>
          <cell r="I103" t="e">
            <v>#N/A</v>
          </cell>
          <cell r="J103" t="e">
            <v>#N/A</v>
          </cell>
          <cell r="K103" t="e">
            <v>#N/A</v>
          </cell>
          <cell r="L103" t="e">
            <v>#N/A</v>
          </cell>
          <cell r="M103" t="e">
            <v>#N/A</v>
          </cell>
          <cell r="N103" t="e">
            <v>#N/A</v>
          </cell>
          <cell r="O103" t="e">
            <v>#N/A</v>
          </cell>
          <cell r="P103" t="e">
            <v>#N/A</v>
          </cell>
          <cell r="Q103" t="e">
            <v>#N/A</v>
          </cell>
          <cell r="R103" t="e">
            <v>#N/A</v>
          </cell>
          <cell r="S103" t="e">
            <v>#N/A</v>
          </cell>
          <cell r="T103" t="e">
            <v>#N/A</v>
          </cell>
          <cell r="U103" t="e">
            <v>#N/A</v>
          </cell>
          <cell r="V103" t="e">
            <v>#N/A</v>
          </cell>
          <cell r="W103" t="e">
            <v>#N/A</v>
          </cell>
          <cell r="X103" t="e">
            <v>#N/A</v>
          </cell>
          <cell r="Y103" t="e">
            <v>#N/A</v>
          </cell>
          <cell r="Z103" t="e">
            <v>#N/A</v>
          </cell>
          <cell r="AA103" t="e">
            <v>#N/A</v>
          </cell>
          <cell r="AB103" t="e">
            <v>#N/A</v>
          </cell>
          <cell r="AC103" t="e">
            <v>#N/A</v>
          </cell>
          <cell r="AD103" t="e">
            <v>#N/A</v>
          </cell>
          <cell r="AE103" t="e">
            <v>#N/A</v>
          </cell>
          <cell r="AF103" t="e">
            <v>#N/A</v>
          </cell>
          <cell r="AG103" t="e">
            <v>#N/A</v>
          </cell>
          <cell r="AH103" t="e">
            <v>#N/A</v>
          </cell>
          <cell r="AI103" t="e">
            <v>#N/A</v>
          </cell>
          <cell r="AJ103" t="e">
            <v>#N/A</v>
          </cell>
          <cell r="AK103" t="e">
            <v>#N/A</v>
          </cell>
          <cell r="AL103" t="e">
            <v>#N/A</v>
          </cell>
          <cell r="AM103" t="e">
            <v>#N/A</v>
          </cell>
          <cell r="AN103" t="e">
            <v>#N/A</v>
          </cell>
          <cell r="AO103" t="str">
            <v>Công ty Thái Bình</v>
          </cell>
          <cell r="AP103">
            <v>0</v>
          </cell>
          <cell r="AQ103" t="str">
            <v>1710093-1</v>
          </cell>
          <cell r="AR103" t="str">
            <v>1710093-2</v>
          </cell>
          <cell r="AS103" t="str">
            <v>1710093-3</v>
          </cell>
          <cell r="AT103" t="str">
            <v>1710093-4</v>
          </cell>
          <cell r="AU103" t="str">
            <v>1903481-5</v>
          </cell>
          <cell r="AV103" t="str">
            <v>1903481-6</v>
          </cell>
          <cell r="AW103" t="str">
            <v>1710093-7</v>
          </cell>
          <cell r="AX103" t="str">
            <v>1710093-8</v>
          </cell>
          <cell r="BA103" t="str">
            <v>670x870</v>
          </cell>
          <cell r="BB103" t="str">
            <v>I1</v>
          </cell>
        </row>
        <row r="104">
          <cell r="A104" t="str">
            <v>sp 426</v>
          </cell>
          <cell r="B104" t="str">
            <v>Túi ngô VS 36 20kg thái bình</v>
          </cell>
          <cell r="C104">
            <v>0</v>
          </cell>
          <cell r="D104">
            <v>0</v>
          </cell>
          <cell r="E104">
            <v>8</v>
          </cell>
          <cell r="F104">
            <v>7</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t="str">
            <v>Công ty Thái Bình</v>
          </cell>
          <cell r="AP104">
            <v>0</v>
          </cell>
          <cell r="AQ104" t="str">
            <v>1903480-1</v>
          </cell>
          <cell r="AR104" t="str">
            <v>1903480-2</v>
          </cell>
          <cell r="AS104" t="str">
            <v>1903480-3</v>
          </cell>
          <cell r="AT104" t="str">
            <v>1603346-4</v>
          </cell>
          <cell r="AU104" t="str">
            <v>1903480-5</v>
          </cell>
          <cell r="AV104" t="str">
            <v>1903480-6</v>
          </cell>
          <cell r="AW104" t="str">
            <v>1510425-7</v>
          </cell>
          <cell r="AX104">
            <v>0</v>
          </cell>
          <cell r="BA104" t="str">
            <v>770x750</v>
          </cell>
          <cell r="BB104" t="str">
            <v>J1</v>
          </cell>
        </row>
        <row r="105">
          <cell r="A105" t="str">
            <v>sp 442</v>
          </cell>
          <cell r="B105" t="str">
            <v>cuộn thạch rau câu dứa Trung tín</v>
          </cell>
          <cell r="C105">
            <v>0</v>
          </cell>
          <cell r="D105">
            <v>0</v>
          </cell>
          <cell r="E105">
            <v>4</v>
          </cell>
          <cell r="F105">
            <v>4</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t="str">
            <v>Công ty Đồng Phát</v>
          </cell>
          <cell r="AP105">
            <v>0</v>
          </cell>
          <cell r="AQ105" t="str">
            <v>F415349-1</v>
          </cell>
          <cell r="AR105" t="str">
            <v>F415349-2</v>
          </cell>
          <cell r="AS105" t="str">
            <v>F415349-3</v>
          </cell>
          <cell r="AT105" t="str">
            <v>F415349-4</v>
          </cell>
          <cell r="BA105" t="str">
            <v>520x750</v>
          </cell>
          <cell r="BB105" t="str">
            <v>N2</v>
          </cell>
        </row>
        <row r="106">
          <cell r="A106" t="str">
            <v>sp 452</v>
          </cell>
          <cell r="B106" t="str">
            <v>Túi thuốc trừ bệnh Trizim 868WP loại 13.5gr hà thái</v>
          </cell>
          <cell r="C106">
            <v>6.7</v>
          </cell>
          <cell r="D106" t="str">
            <v>PET 12x710</v>
          </cell>
          <cell r="E106">
            <v>6</v>
          </cell>
          <cell r="F106">
            <v>6</v>
          </cell>
          <cell r="G106" t="str">
            <v xml:space="preserve">PET </v>
          </cell>
          <cell r="H106">
            <v>0.6</v>
          </cell>
          <cell r="I106">
            <v>2.9</v>
          </cell>
          <cell r="J106">
            <v>0.1</v>
          </cell>
          <cell r="K106">
            <v>0.1</v>
          </cell>
          <cell r="L106">
            <v>2</v>
          </cell>
          <cell r="M106">
            <v>0.9</v>
          </cell>
          <cell r="N106">
            <v>0</v>
          </cell>
          <cell r="O106">
            <v>0.1</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t="str">
            <v>PE 75x710; MPET 12x710</v>
          </cell>
          <cell r="AF106" t="str">
            <v>PE 75x710</v>
          </cell>
          <cell r="AG106">
            <v>7.3112250000000004E-2</v>
          </cell>
          <cell r="AH106">
            <v>1.0733333333333333</v>
          </cell>
          <cell r="AI106">
            <v>1.4</v>
          </cell>
          <cell r="AJ106">
            <v>9530</v>
          </cell>
          <cell r="AK106" t="str">
            <v>0,0053(0,0023;0,003)</v>
          </cell>
          <cell r="AL106">
            <v>0</v>
          </cell>
          <cell r="AM106">
            <v>0</v>
          </cell>
          <cell r="AN106">
            <v>0</v>
          </cell>
          <cell r="AO106" t="str">
            <v>Công ty Hà Thái</v>
          </cell>
          <cell r="AP106">
            <v>0</v>
          </cell>
          <cell r="AQ106" t="str">
            <v>1511021-1</v>
          </cell>
          <cell r="AR106" t="str">
            <v>1511021-2</v>
          </cell>
          <cell r="AS106" t="str">
            <v>1511021-3</v>
          </cell>
          <cell r="AT106" t="str">
            <v>1511021-4</v>
          </cell>
          <cell r="AU106" t="str">
            <v>1511021-5</v>
          </cell>
          <cell r="AV106" t="str">
            <v>1511021-6</v>
          </cell>
          <cell r="BA106" t="str">
            <v>500x860</v>
          </cell>
          <cell r="BB106" t="str">
            <v>N2</v>
          </cell>
        </row>
        <row r="107">
          <cell r="A107" t="str">
            <v>sp 453</v>
          </cell>
          <cell r="B107" t="str">
            <v>Cuộn màng thuốc trừ sâu Sirafb 100 WP loại 7.5gr american</v>
          </cell>
          <cell r="C107">
            <v>6.1499999999999995</v>
          </cell>
          <cell r="D107" t="str">
            <v>PET 12x620</v>
          </cell>
          <cell r="E107">
            <v>7</v>
          </cell>
          <cell r="F107">
            <v>7</v>
          </cell>
          <cell r="G107" t="str">
            <v xml:space="preserve">PET </v>
          </cell>
          <cell r="H107">
            <v>0.3</v>
          </cell>
          <cell r="I107">
            <v>3</v>
          </cell>
          <cell r="J107">
            <v>0.2</v>
          </cell>
          <cell r="K107">
            <v>0.7</v>
          </cell>
          <cell r="L107">
            <v>1.75</v>
          </cell>
          <cell r="M107">
            <v>0</v>
          </cell>
          <cell r="N107">
            <v>0</v>
          </cell>
          <cell r="O107">
            <v>0</v>
          </cell>
          <cell r="P107">
            <v>0.1</v>
          </cell>
          <cell r="Q107">
            <v>0</v>
          </cell>
          <cell r="R107">
            <v>0.1</v>
          </cell>
          <cell r="S107">
            <v>0</v>
          </cell>
          <cell r="T107">
            <v>0</v>
          </cell>
          <cell r="U107">
            <v>0</v>
          </cell>
          <cell r="V107">
            <v>0</v>
          </cell>
          <cell r="W107">
            <v>0</v>
          </cell>
          <cell r="X107">
            <v>0</v>
          </cell>
          <cell r="Y107">
            <v>0</v>
          </cell>
          <cell r="Z107">
            <v>0</v>
          </cell>
          <cell r="AA107">
            <v>0</v>
          </cell>
          <cell r="AB107">
            <v>0</v>
          </cell>
          <cell r="AC107">
            <v>0</v>
          </cell>
          <cell r="AD107">
            <v>0</v>
          </cell>
          <cell r="AE107" t="str">
            <v>PE 75x620; MPET 12x620</v>
          </cell>
          <cell r="AF107" t="str">
            <v>PE 75x620</v>
          </cell>
          <cell r="AG107">
            <v>6.3844500000000012E-2</v>
          </cell>
          <cell r="AH107">
            <v>0.93533333333333324</v>
          </cell>
          <cell r="AI107">
            <v>1.22</v>
          </cell>
          <cell r="AJ107">
            <v>9530</v>
          </cell>
          <cell r="AK107" t="str">
            <v>0,0053(0,0023;0,003)</v>
          </cell>
          <cell r="AL107">
            <v>0</v>
          </cell>
          <cell r="AM107">
            <v>0</v>
          </cell>
          <cell r="AN107">
            <v>0</v>
          </cell>
          <cell r="AO107" t="str">
            <v>Công ty American</v>
          </cell>
          <cell r="AP107">
            <v>0</v>
          </cell>
          <cell r="AQ107" t="str">
            <v>18091249-1</v>
          </cell>
          <cell r="AR107" t="str">
            <v>1512088-2</v>
          </cell>
          <cell r="AS107" t="str">
            <v>1512088-3</v>
          </cell>
          <cell r="AT107" t="str">
            <v>1512088-4</v>
          </cell>
          <cell r="AU107" t="str">
            <v>18091249-5</v>
          </cell>
          <cell r="AV107" t="str">
            <v>1512088-6</v>
          </cell>
          <cell r="AW107" t="str">
            <v>1512088-7</v>
          </cell>
          <cell r="BA107" t="str">
            <v>405x750</v>
          </cell>
          <cell r="BB107" t="str">
            <v>N3</v>
          </cell>
        </row>
        <row r="108">
          <cell r="A108" t="str">
            <v>sp 463</v>
          </cell>
          <cell r="B108" t="str">
            <v>Túi miến đao đặc sản 500gr thanh sơn</v>
          </cell>
          <cell r="C108">
            <v>2</v>
          </cell>
          <cell r="D108" t="str">
            <v>PA 15x540</v>
          </cell>
          <cell r="E108">
            <v>6</v>
          </cell>
          <cell r="F108">
            <v>6</v>
          </cell>
          <cell r="G108" t="str">
            <v xml:space="preserve">PA </v>
          </cell>
          <cell r="H108">
            <v>0</v>
          </cell>
          <cell r="I108">
            <v>2</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t="str">
            <v>PE 80x540</v>
          </cell>
          <cell r="AF108">
            <v>0</v>
          </cell>
          <cell r="AG108">
            <v>4.9275000000000006E-2</v>
          </cell>
          <cell r="AH108">
            <v>1.06</v>
          </cell>
          <cell r="AI108">
            <v>0</v>
          </cell>
          <cell r="AJ108">
            <v>9530</v>
          </cell>
          <cell r="AK108">
            <v>3.0000000000000001E-3</v>
          </cell>
          <cell r="AL108">
            <v>0</v>
          </cell>
          <cell r="AM108">
            <v>0</v>
          </cell>
          <cell r="AN108">
            <v>0</v>
          </cell>
          <cell r="AO108" t="str">
            <v>HTX Thành Sơn, Bản Xèo, Lào Cai</v>
          </cell>
          <cell r="AP108">
            <v>0</v>
          </cell>
          <cell r="AQ108" t="str">
            <v>1701143-1</v>
          </cell>
          <cell r="AR108" t="str">
            <v>1701143-2</v>
          </cell>
          <cell r="AS108" t="str">
            <v>1701143-3</v>
          </cell>
          <cell r="AT108" t="str">
            <v>1701143-4</v>
          </cell>
          <cell r="AU108" t="str">
            <v>1701143-5</v>
          </cell>
          <cell r="AV108" t="str">
            <v>1701143-6</v>
          </cell>
          <cell r="BA108" t="str">
            <v>550x750</v>
          </cell>
          <cell r="BB108" t="str">
            <v>N3</v>
          </cell>
        </row>
        <row r="109">
          <cell r="A109" t="str">
            <v>sp 469</v>
          </cell>
          <cell r="B109" t="str">
            <v>túi một màu KT 290x595x70 vĩnh phúc</v>
          </cell>
          <cell r="C109">
            <v>3.7</v>
          </cell>
          <cell r="D109" t="str">
            <v>OPP 20x760</v>
          </cell>
          <cell r="E109" t="str">
            <v>sp 351</v>
          </cell>
          <cell r="F109">
            <v>1</v>
          </cell>
          <cell r="G109" t="str">
            <v xml:space="preserve">OPP </v>
          </cell>
          <cell r="H109">
            <v>0</v>
          </cell>
          <cell r="I109">
            <v>0</v>
          </cell>
          <cell r="J109">
            <v>0</v>
          </cell>
          <cell r="K109">
            <v>0</v>
          </cell>
          <cell r="L109">
            <v>3</v>
          </cell>
          <cell r="M109">
            <v>0</v>
          </cell>
          <cell r="N109">
            <v>0</v>
          </cell>
          <cell r="O109">
            <v>0.7</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t="str">
            <v>PE 65x760; MPET 12x760</v>
          </cell>
          <cell r="AF109" t="str">
            <v>PE 65x765</v>
          </cell>
          <cell r="AG109">
            <v>7.2295000000000012E-2</v>
          </cell>
          <cell r="AH109">
            <v>1.1499999999999999</v>
          </cell>
          <cell r="AI109">
            <v>1.5</v>
          </cell>
          <cell r="AJ109">
            <v>9530</v>
          </cell>
          <cell r="AK109" t="str">
            <v>0,0053(0,0023;0,003)</v>
          </cell>
          <cell r="AL109">
            <v>0</v>
          </cell>
          <cell r="AM109" t="str">
            <v>Hàn lưng, xếp hông</v>
          </cell>
          <cell r="AN109">
            <v>0</v>
          </cell>
          <cell r="AO109" t="str">
            <v>Công ty Vĩnh Phúc</v>
          </cell>
          <cell r="AP109">
            <v>0</v>
          </cell>
          <cell r="AR109">
            <v>0</v>
          </cell>
          <cell r="AS109" t="str">
            <v>1506198-3</v>
          </cell>
          <cell r="BA109" t="str">
            <v>440x870</v>
          </cell>
          <cell r="BB109" t="str">
            <v>N1</v>
          </cell>
          <cell r="BC109" t="str">
            <v>in chung trục xanh sp 351</v>
          </cell>
        </row>
        <row r="110">
          <cell r="A110" t="str">
            <v>sp 473</v>
          </cell>
          <cell r="B110" t="str">
            <v xml:space="preserve"> cuộn thạch rau câu dứa Đại Trang 480x750 </v>
          </cell>
          <cell r="C110">
            <v>0</v>
          </cell>
          <cell r="D110">
            <v>0</v>
          </cell>
          <cell r="E110">
            <v>5</v>
          </cell>
          <cell r="F110">
            <v>5</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t="str">
            <v>Công ty Đồng Phát</v>
          </cell>
          <cell r="AP110">
            <v>0</v>
          </cell>
          <cell r="AQ110" t="str">
            <v>1601609-1</v>
          </cell>
          <cell r="AR110" t="str">
            <v>1601609-2</v>
          </cell>
          <cell r="AS110" t="str">
            <v>1601609-3</v>
          </cell>
          <cell r="AT110" t="str">
            <v>1601609-4</v>
          </cell>
          <cell r="AU110" t="str">
            <v>1601609-5</v>
          </cell>
          <cell r="BA110" t="str">
            <v>480x750</v>
          </cell>
          <cell r="BB110" t="str">
            <v>N3</v>
          </cell>
        </row>
        <row r="111">
          <cell r="A111" t="str">
            <v>sp 474</v>
          </cell>
          <cell r="B111" t="str">
            <v>cuộn thạch rau hoa quả đại trang</v>
          </cell>
          <cell r="C111">
            <v>0</v>
          </cell>
          <cell r="D111">
            <v>0</v>
          </cell>
          <cell r="E111">
            <v>5</v>
          </cell>
          <cell r="F111">
            <v>5</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t="str">
            <v>Công ty Đồng Phát</v>
          </cell>
          <cell r="AP111">
            <v>0</v>
          </cell>
          <cell r="AQ111" t="str">
            <v>1601610-1</v>
          </cell>
          <cell r="AR111" t="str">
            <v>1601610-2</v>
          </cell>
          <cell r="AS111" t="str">
            <v>1601610-3</v>
          </cell>
          <cell r="AT111" t="str">
            <v>1601610-4</v>
          </cell>
          <cell r="AU111" t="str">
            <v>1601610-5</v>
          </cell>
          <cell r="AV111">
            <v>0</v>
          </cell>
          <cell r="AW111">
            <v>0</v>
          </cell>
          <cell r="AX111">
            <v>0</v>
          </cell>
          <cell r="AY111">
            <v>0</v>
          </cell>
          <cell r="AZ111">
            <v>0</v>
          </cell>
          <cell r="BA111" t="str">
            <v>480x750</v>
          </cell>
          <cell r="BB111" t="str">
            <v>N3</v>
          </cell>
          <cell r="BC111">
            <v>0</v>
          </cell>
        </row>
        <row r="112">
          <cell r="A112" t="str">
            <v>sp 475</v>
          </cell>
          <cell r="B112" t="str">
            <v>Túi bánh trứng lipo 200gr BC tiếng trung alpha</v>
          </cell>
          <cell r="C112">
            <v>8.1799999999999979</v>
          </cell>
          <cell r="D112" t="str">
            <v>OPP 20x550</v>
          </cell>
          <cell r="E112">
            <v>7</v>
          </cell>
          <cell r="F112">
            <v>7</v>
          </cell>
          <cell r="G112" t="str">
            <v xml:space="preserve">OPP </v>
          </cell>
          <cell r="H112">
            <v>0.05</v>
          </cell>
          <cell r="I112">
            <v>3.15</v>
          </cell>
          <cell r="J112">
            <v>0.05</v>
          </cell>
          <cell r="K112">
            <v>0.7</v>
          </cell>
          <cell r="L112">
            <v>3.3</v>
          </cell>
          <cell r="M112">
            <v>0.9</v>
          </cell>
          <cell r="N112">
            <v>0</v>
          </cell>
          <cell r="O112">
            <v>0</v>
          </cell>
          <cell r="P112">
            <v>0</v>
          </cell>
          <cell r="Q112">
            <v>0.02</v>
          </cell>
          <cell r="R112">
            <v>0.01</v>
          </cell>
          <cell r="S112">
            <v>0</v>
          </cell>
          <cell r="T112">
            <v>0</v>
          </cell>
          <cell r="U112">
            <v>0</v>
          </cell>
          <cell r="V112">
            <v>0</v>
          </cell>
          <cell r="W112">
            <v>0</v>
          </cell>
          <cell r="X112">
            <v>0</v>
          </cell>
          <cell r="Y112">
            <v>0</v>
          </cell>
          <cell r="Z112">
            <v>0</v>
          </cell>
          <cell r="AA112">
            <v>0</v>
          </cell>
          <cell r="AB112">
            <v>0</v>
          </cell>
          <cell r="AC112">
            <v>0</v>
          </cell>
          <cell r="AD112">
            <v>0</v>
          </cell>
          <cell r="AE112" t="str">
            <v>PE 55x550</v>
          </cell>
          <cell r="AF112">
            <v>0</v>
          </cell>
          <cell r="AG112">
            <v>3.7991250000000004E-2</v>
          </cell>
          <cell r="AH112">
            <v>0.82799999999999996</v>
          </cell>
          <cell r="AI112">
            <v>0</v>
          </cell>
          <cell r="AJ112">
            <v>9530</v>
          </cell>
          <cell r="AK112">
            <v>2.3E-2</v>
          </cell>
          <cell r="AL112">
            <v>0</v>
          </cell>
          <cell r="AM112" t="str">
            <v xml:space="preserve">túi ba biên </v>
          </cell>
          <cell r="AN112">
            <v>300</v>
          </cell>
          <cell r="AO112" t="str">
            <v>Công ty Quốc tế Alpha</v>
          </cell>
          <cell r="AP112">
            <v>0</v>
          </cell>
          <cell r="AQ112" t="str">
            <v>20110743-1</v>
          </cell>
          <cell r="AR112" t="str">
            <v>18071166-2</v>
          </cell>
          <cell r="AS112" t="str">
            <v>1905795-3</v>
          </cell>
          <cell r="AT112" t="str">
            <v>20110743-4</v>
          </cell>
          <cell r="AU112" t="str">
            <v>1902138-5</v>
          </cell>
          <cell r="AV112" t="str">
            <v>1902138-6</v>
          </cell>
          <cell r="AW112" t="str">
            <v>1808862-7</v>
          </cell>
          <cell r="BA112" t="str">
            <v>emab</v>
          </cell>
          <cell r="BB112" t="str">
            <v>C1</v>
          </cell>
        </row>
        <row r="113">
          <cell r="A113" t="str">
            <v>sp 476</v>
          </cell>
          <cell r="B113" t="str">
            <v>Túi thuốc trừ sâu Bemgold 750 WP loại 18gr USA</v>
          </cell>
          <cell r="C113">
            <v>0</v>
          </cell>
          <cell r="D113" t="str">
            <v>PET 12x700</v>
          </cell>
          <cell r="E113">
            <v>7</v>
          </cell>
          <cell r="F113">
            <v>7</v>
          </cell>
          <cell r="G113" t="str">
            <v xml:space="preserve">PET </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t="str">
            <v>PE 75x700; MPET 12x700</v>
          </cell>
          <cell r="AF113">
            <v>0</v>
          </cell>
          <cell r="AG113">
            <v>0</v>
          </cell>
          <cell r="AH113">
            <v>0</v>
          </cell>
          <cell r="AI113">
            <v>0</v>
          </cell>
          <cell r="AJ113">
            <v>9530</v>
          </cell>
          <cell r="AK113" t="str">
            <v>(0.0023; 0.003)</v>
          </cell>
          <cell r="AL113">
            <v>0</v>
          </cell>
          <cell r="AM113">
            <v>0</v>
          </cell>
          <cell r="AN113">
            <v>0</v>
          </cell>
          <cell r="AO113" t="str">
            <v xml:space="preserve"> USA</v>
          </cell>
          <cell r="AP113">
            <v>0</v>
          </cell>
          <cell r="AQ113" t="str">
            <v>1601834-1</v>
          </cell>
          <cell r="AR113" t="str">
            <v>1601834-2</v>
          </cell>
          <cell r="AS113" t="str">
            <v>1601834-3</v>
          </cell>
          <cell r="AT113" t="str">
            <v>1601834-4</v>
          </cell>
          <cell r="AU113" t="str">
            <v>1601834-5</v>
          </cell>
          <cell r="AV113" t="str">
            <v>1601834-6</v>
          </cell>
          <cell r="AW113" t="str">
            <v>1601834-7</v>
          </cell>
          <cell r="BB113" t="str">
            <v>N3</v>
          </cell>
        </row>
        <row r="114">
          <cell r="A114" t="str">
            <v>sp 477</v>
          </cell>
          <cell r="B114" t="str">
            <v>Túi thuốc T.T.S 50gr vietvet</v>
          </cell>
          <cell r="C114">
            <v>5.3</v>
          </cell>
          <cell r="D114" t="str">
            <v>BOPP 20x680</v>
          </cell>
          <cell r="E114">
            <v>3</v>
          </cell>
          <cell r="F114">
            <v>3</v>
          </cell>
          <cell r="G114" t="str">
            <v>BOPP</v>
          </cell>
          <cell r="H114">
            <v>1</v>
          </cell>
          <cell r="I114">
            <v>0</v>
          </cell>
          <cell r="J114">
            <v>0</v>
          </cell>
          <cell r="K114">
            <v>0</v>
          </cell>
          <cell r="L114">
            <v>3</v>
          </cell>
          <cell r="M114">
            <v>0</v>
          </cell>
          <cell r="N114">
            <v>0</v>
          </cell>
          <cell r="O114">
            <v>0</v>
          </cell>
          <cell r="P114">
            <v>1.3</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t="str">
            <v xml:space="preserve">AL 6x680 </v>
          </cell>
          <cell r="AF114" t="str">
            <v>PE 75x690</v>
          </cell>
          <cell r="AG114">
            <v>7.0607800000000012E-2</v>
          </cell>
          <cell r="AH114">
            <v>1.0273333333333332</v>
          </cell>
          <cell r="AI114">
            <v>1.34</v>
          </cell>
          <cell r="AJ114">
            <v>9530</v>
          </cell>
          <cell r="AK114" t="str">
            <v>0,0053(0,0023;0,003)</v>
          </cell>
          <cell r="AL114">
            <v>0</v>
          </cell>
          <cell r="AM114">
            <v>0</v>
          </cell>
          <cell r="AN114">
            <v>0</v>
          </cell>
          <cell r="AO114" t="str">
            <v>Công ty Đất Việt</v>
          </cell>
          <cell r="AP114">
            <v>0</v>
          </cell>
          <cell r="AQ114" t="str">
            <v>1602031-1</v>
          </cell>
          <cell r="AR114" t="str">
            <v>1602031-2</v>
          </cell>
          <cell r="AS114" t="str">
            <v>1602031-3</v>
          </cell>
          <cell r="BA114" t="str">
            <v>520x750</v>
          </cell>
          <cell r="BB114" t="str">
            <v>N3</v>
          </cell>
        </row>
        <row r="115">
          <cell r="A115" t="str">
            <v>sp 486</v>
          </cell>
          <cell r="B115" t="str">
            <v>Cuộn bánh bao phumy bakery</v>
          </cell>
          <cell r="C115" t="e">
            <v>#N/A</v>
          </cell>
          <cell r="D115">
            <v>0</v>
          </cell>
          <cell r="E115">
            <v>1</v>
          </cell>
          <cell r="F115">
            <v>1</v>
          </cell>
          <cell r="G115" t="e">
            <v>#N/A</v>
          </cell>
          <cell r="H115" t="e">
            <v>#N/A</v>
          </cell>
          <cell r="I115" t="e">
            <v>#N/A</v>
          </cell>
          <cell r="J115" t="e">
            <v>#N/A</v>
          </cell>
          <cell r="K115" t="e">
            <v>#N/A</v>
          </cell>
          <cell r="L115" t="e">
            <v>#N/A</v>
          </cell>
          <cell r="M115" t="e">
            <v>#N/A</v>
          </cell>
          <cell r="N115" t="e">
            <v>#N/A</v>
          </cell>
          <cell r="O115" t="e">
            <v>#N/A</v>
          </cell>
          <cell r="P115" t="e">
            <v>#N/A</v>
          </cell>
          <cell r="Q115" t="e">
            <v>#N/A</v>
          </cell>
          <cell r="R115" t="e">
            <v>#N/A</v>
          </cell>
          <cell r="S115" t="e">
            <v>#N/A</v>
          </cell>
          <cell r="T115" t="e">
            <v>#N/A</v>
          </cell>
          <cell r="U115" t="e">
            <v>#N/A</v>
          </cell>
          <cell r="V115" t="e">
            <v>#N/A</v>
          </cell>
          <cell r="W115" t="e">
            <v>#N/A</v>
          </cell>
          <cell r="X115" t="e">
            <v>#N/A</v>
          </cell>
          <cell r="Y115" t="e">
            <v>#N/A</v>
          </cell>
          <cell r="Z115" t="e">
            <v>#N/A</v>
          </cell>
          <cell r="AA115" t="e">
            <v>#N/A</v>
          </cell>
          <cell r="AB115" t="e">
            <v>#N/A</v>
          </cell>
          <cell r="AC115" t="e">
            <v>#N/A</v>
          </cell>
          <cell r="AD115" t="e">
            <v>#N/A</v>
          </cell>
          <cell r="AE115" t="e">
            <v>#N/A</v>
          </cell>
          <cell r="AF115" t="e">
            <v>#N/A</v>
          </cell>
          <cell r="AG115" t="e">
            <v>#N/A</v>
          </cell>
          <cell r="AH115" t="e">
            <v>#N/A</v>
          </cell>
          <cell r="AI115" t="e">
            <v>#N/A</v>
          </cell>
          <cell r="AJ115" t="e">
            <v>#N/A</v>
          </cell>
          <cell r="AK115" t="e">
            <v>#N/A</v>
          </cell>
          <cell r="AL115" t="e">
            <v>#N/A</v>
          </cell>
          <cell r="AM115" t="e">
            <v>#N/A</v>
          </cell>
          <cell r="AN115" t="e">
            <v>#N/A</v>
          </cell>
          <cell r="AO115" t="str">
            <v>Công ty Phú Mỹ</v>
          </cell>
          <cell r="AP115">
            <v>0</v>
          </cell>
          <cell r="AQ115" t="str">
            <v>1603030-1</v>
          </cell>
          <cell r="AR115">
            <v>0</v>
          </cell>
          <cell r="AS115">
            <v>0</v>
          </cell>
          <cell r="AT115">
            <v>0</v>
          </cell>
          <cell r="BA115" t="str">
            <v>525x750</v>
          </cell>
          <cell r="BB115" t="str">
            <v>V1</v>
          </cell>
        </row>
        <row r="116">
          <cell r="A116" t="str">
            <v>sp 508</v>
          </cell>
          <cell r="B116" t="str">
            <v>Cuộn thạch rau câu hoa quả trung tín</v>
          </cell>
          <cell r="C116">
            <v>0</v>
          </cell>
          <cell r="D116">
            <v>0</v>
          </cell>
          <cell r="E116">
            <v>4</v>
          </cell>
          <cell r="F116">
            <v>4</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t="str">
            <v>Công ty Đồng Phát</v>
          </cell>
          <cell r="AP116">
            <v>0</v>
          </cell>
          <cell r="AQ116" t="str">
            <v>1602085-1</v>
          </cell>
          <cell r="AR116" t="str">
            <v>1602085-2</v>
          </cell>
          <cell r="AS116" t="str">
            <v>1602085-3</v>
          </cell>
          <cell r="AT116" t="str">
            <v>1602085-4</v>
          </cell>
          <cell r="AU116">
            <v>0</v>
          </cell>
          <cell r="AV116">
            <v>0</v>
          </cell>
          <cell r="AW116">
            <v>0</v>
          </cell>
          <cell r="AX116">
            <v>0</v>
          </cell>
          <cell r="AY116">
            <v>0</v>
          </cell>
          <cell r="AZ116">
            <v>0</v>
          </cell>
          <cell r="BA116" t="str">
            <v>519x750</v>
          </cell>
          <cell r="BB116" t="str">
            <v>N3</v>
          </cell>
          <cell r="BC116">
            <v>0</v>
          </cell>
        </row>
        <row r="117">
          <cell r="A117" t="str">
            <v>sp 509</v>
          </cell>
          <cell r="B117" t="str">
            <v>Túi chè tân cương phúc linh 100gr</v>
          </cell>
          <cell r="C117">
            <v>3.3</v>
          </cell>
          <cell r="D117" t="str">
            <v>BOPP 20x540</v>
          </cell>
          <cell r="E117">
            <v>5</v>
          </cell>
          <cell r="F117">
            <v>5</v>
          </cell>
          <cell r="G117" t="str">
            <v>BOPP</v>
          </cell>
          <cell r="H117">
            <v>0.1</v>
          </cell>
          <cell r="I117">
            <v>0.1</v>
          </cell>
          <cell r="J117">
            <v>0.5</v>
          </cell>
          <cell r="K117">
            <v>0.1</v>
          </cell>
          <cell r="L117">
            <v>1</v>
          </cell>
          <cell r="M117">
            <v>1.5</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t="str">
            <v>CPP 40x540</v>
          </cell>
          <cell r="AF117">
            <v>0</v>
          </cell>
          <cell r="AG117">
            <v>2.9484000000000003E-2</v>
          </cell>
          <cell r="AH117">
            <v>0.70666666666666667</v>
          </cell>
          <cell r="AI117">
            <v>0</v>
          </cell>
          <cell r="AJ117">
            <v>9530</v>
          </cell>
          <cell r="AK117">
            <v>2E-3</v>
          </cell>
          <cell r="AL117">
            <v>0</v>
          </cell>
          <cell r="AM117" t="str">
            <v>Túi hàn lưng lệch</v>
          </cell>
          <cell r="AN117">
            <v>215</v>
          </cell>
          <cell r="AO117" t="str">
            <v>Công ty Phúc Linh</v>
          </cell>
          <cell r="AP117">
            <v>0</v>
          </cell>
          <cell r="AQ117" t="str">
            <v>1604095-1</v>
          </cell>
          <cell r="AR117" t="str">
            <v>1604095-2</v>
          </cell>
          <cell r="AS117" t="str">
            <v>1604095-3</v>
          </cell>
          <cell r="AT117" t="str">
            <v>1604095-4</v>
          </cell>
          <cell r="AU117" t="str">
            <v>1604095-5</v>
          </cell>
          <cell r="BA117" t="str">
            <v>430x750</v>
          </cell>
          <cell r="BB117" t="str">
            <v>N3</v>
          </cell>
        </row>
        <row r="118">
          <cell r="A118" t="str">
            <v>sp 519</v>
          </cell>
          <cell r="B118" t="str">
            <v>cuộn thach nagisa nghiêm gia</v>
          </cell>
          <cell r="C118">
            <v>0</v>
          </cell>
          <cell r="D118">
            <v>0</v>
          </cell>
          <cell r="E118">
            <v>5</v>
          </cell>
          <cell r="F118">
            <v>5</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t="str">
            <v>Công ty Đồng Phát</v>
          </cell>
          <cell r="AP118">
            <v>0</v>
          </cell>
          <cell r="AQ118" t="str">
            <v>1604524-1</v>
          </cell>
          <cell r="AR118" t="str">
            <v>1604524-2</v>
          </cell>
          <cell r="AS118" t="str">
            <v>1604524-3</v>
          </cell>
          <cell r="AT118" t="str">
            <v>1604524-4</v>
          </cell>
          <cell r="AU118" t="str">
            <v>1604524-5</v>
          </cell>
          <cell r="AV118">
            <v>0</v>
          </cell>
          <cell r="BA118" t="str">
            <v>510x750</v>
          </cell>
          <cell r="BB118" t="str">
            <v>N3</v>
          </cell>
        </row>
        <row r="119">
          <cell r="A119" t="str">
            <v>sp 521</v>
          </cell>
          <cell r="B119" t="str">
            <v>túi hương thơm KT 240 x 490 liên đức</v>
          </cell>
          <cell r="C119">
            <v>2.6</v>
          </cell>
          <cell r="D119" t="str">
            <v>BOPP 20x500</v>
          </cell>
          <cell r="E119">
            <v>2</v>
          </cell>
          <cell r="F119">
            <v>2</v>
          </cell>
          <cell r="G119" t="str">
            <v>BOPP</v>
          </cell>
          <cell r="H119">
            <v>0</v>
          </cell>
          <cell r="I119">
            <v>0</v>
          </cell>
          <cell r="J119">
            <v>0</v>
          </cell>
          <cell r="K119">
            <v>0</v>
          </cell>
          <cell r="L119">
            <v>0.6</v>
          </cell>
          <cell r="M119">
            <v>0</v>
          </cell>
          <cell r="N119">
            <v>0</v>
          </cell>
          <cell r="O119">
            <v>0</v>
          </cell>
          <cell r="P119">
            <v>1.5</v>
          </cell>
          <cell r="Q119">
            <v>0.5</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t="str">
            <v>CPP 30x500</v>
          </cell>
          <cell r="AF119">
            <v>0</v>
          </cell>
          <cell r="AG119">
            <v>2.2749999999999999E-2</v>
          </cell>
          <cell r="AH119">
            <v>0.65333333333333332</v>
          </cell>
          <cell r="AI119">
            <v>0</v>
          </cell>
          <cell r="AJ119">
            <v>9530</v>
          </cell>
          <cell r="AK119">
            <v>2E-3</v>
          </cell>
          <cell r="AL119">
            <v>0</v>
          </cell>
          <cell r="AM119">
            <v>0</v>
          </cell>
          <cell r="AN119">
            <v>0</v>
          </cell>
          <cell r="AO119" t="str">
            <v>DNTN Bảy lương (Tâm Đức)</v>
          </cell>
          <cell r="AP119">
            <v>0</v>
          </cell>
          <cell r="AQ119" t="str">
            <v>1604778-1</v>
          </cell>
          <cell r="AR119" t="str">
            <v>1604778-2</v>
          </cell>
          <cell r="BA119" t="str">
            <v>490x750</v>
          </cell>
          <cell r="BB119" t="str">
            <v>N3</v>
          </cell>
        </row>
        <row r="120">
          <cell r="A120" t="str">
            <v>sp 525</v>
          </cell>
          <cell r="B120" t="str">
            <v>cuộn thạch rau câu tân hùng thái</v>
          </cell>
          <cell r="C120">
            <v>0</v>
          </cell>
          <cell r="D120">
            <v>0</v>
          </cell>
          <cell r="E120">
            <v>4</v>
          </cell>
          <cell r="F120">
            <v>4</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t="str">
            <v>Công ty Đồng Phát</v>
          </cell>
          <cell r="AP120">
            <v>0</v>
          </cell>
          <cell r="AQ120" t="str">
            <v>1604915-1</v>
          </cell>
          <cell r="AR120" t="str">
            <v>1604915-2</v>
          </cell>
          <cell r="AS120" t="str">
            <v>1604915-3</v>
          </cell>
          <cell r="AT120" t="str">
            <v>1604915-4</v>
          </cell>
          <cell r="BA120" t="str">
            <v>519x750</v>
          </cell>
          <cell r="BB120" t="str">
            <v>N3</v>
          </cell>
        </row>
        <row r="121">
          <cell r="A121" t="str">
            <v>sp 550</v>
          </cell>
          <cell r="B121" t="str">
            <v>Cuộn thuốc diệt cỏ rorax 10 WP loai 5gr Việt Thắng</v>
          </cell>
          <cell r="C121">
            <v>4.3999999999999995</v>
          </cell>
          <cell r="D121" t="str">
            <v>PET 12x800</v>
          </cell>
          <cell r="E121">
            <v>8</v>
          </cell>
          <cell r="F121">
            <v>8</v>
          </cell>
          <cell r="G121" t="str">
            <v xml:space="preserve">PET </v>
          </cell>
          <cell r="H121">
            <v>0.6</v>
          </cell>
          <cell r="I121">
            <v>1.3</v>
          </cell>
          <cell r="J121">
            <v>0.4</v>
          </cell>
          <cell r="K121">
            <v>0.1</v>
          </cell>
          <cell r="L121">
            <v>0.5</v>
          </cell>
          <cell r="M121">
            <v>1.1000000000000001</v>
          </cell>
          <cell r="N121">
            <v>0</v>
          </cell>
          <cell r="O121">
            <v>0.2</v>
          </cell>
          <cell r="P121">
            <v>0.1</v>
          </cell>
          <cell r="Q121">
            <v>0</v>
          </cell>
          <cell r="R121">
            <v>0.1</v>
          </cell>
          <cell r="S121">
            <v>0</v>
          </cell>
          <cell r="T121">
            <v>0</v>
          </cell>
          <cell r="U121">
            <v>0</v>
          </cell>
          <cell r="V121">
            <v>0</v>
          </cell>
          <cell r="W121">
            <v>0</v>
          </cell>
          <cell r="X121">
            <v>0</v>
          </cell>
          <cell r="Y121">
            <v>0</v>
          </cell>
          <cell r="Z121">
            <v>0</v>
          </cell>
          <cell r="AA121">
            <v>0</v>
          </cell>
          <cell r="AB121">
            <v>0</v>
          </cell>
          <cell r="AC121">
            <v>0</v>
          </cell>
          <cell r="AD121">
            <v>0</v>
          </cell>
          <cell r="AE121" t="str">
            <v>Al 6x800</v>
          </cell>
          <cell r="AF121" t="str">
            <v>PE 75x810</v>
          </cell>
          <cell r="AG121">
            <v>8.1948000000000007E-2</v>
          </cell>
          <cell r="AH121">
            <v>1.2113333333333334</v>
          </cell>
          <cell r="AI121">
            <v>1.2113333333333334</v>
          </cell>
          <cell r="AJ121">
            <v>9530</v>
          </cell>
          <cell r="AK121" t="str">
            <v>0,0046(0,0023;0,0023)</v>
          </cell>
          <cell r="AL121">
            <v>0</v>
          </cell>
          <cell r="AM121" t="str">
            <v>dạng cuộn 700m</v>
          </cell>
          <cell r="AN121">
            <v>260</v>
          </cell>
          <cell r="AO121" t="str">
            <v>Công ty Việt Thắng</v>
          </cell>
          <cell r="AP121">
            <v>0</v>
          </cell>
          <cell r="AQ121" t="str">
            <v>1606159-1</v>
          </cell>
          <cell r="AR121" t="str">
            <v>17111056-2</v>
          </cell>
          <cell r="AS121" t="str">
            <v>19101151-3</v>
          </cell>
          <cell r="AT121" t="str">
            <v>1606159-4</v>
          </cell>
          <cell r="AU121" t="str">
            <v>1606159-5</v>
          </cell>
          <cell r="AV121" t="str">
            <v>1606159-6</v>
          </cell>
          <cell r="AW121" t="str">
            <v>1606159-7</v>
          </cell>
          <cell r="AX121" t="str">
            <v>1606159-8</v>
          </cell>
          <cell r="BA121" t="str">
            <v>450x850</v>
          </cell>
          <cell r="BB121" t="str">
            <v>D1</v>
          </cell>
        </row>
        <row r="122">
          <cell r="A122" t="str">
            <v>sp 552</v>
          </cell>
          <cell r="B122" t="str">
            <v>Túi thuốc trừ cỏ mía Wamrincomnbi 
800WP loại 1kg</v>
          </cell>
          <cell r="C122">
            <v>4.1999999999999993</v>
          </cell>
          <cell r="D122" t="str">
            <v>PET 12x760</v>
          </cell>
          <cell r="E122">
            <v>6</v>
          </cell>
          <cell r="F122">
            <v>6</v>
          </cell>
          <cell r="G122" t="str">
            <v xml:space="preserve">PET </v>
          </cell>
          <cell r="H122">
            <v>0.2</v>
          </cell>
          <cell r="I122">
            <v>1.2</v>
          </cell>
          <cell r="J122">
            <v>2</v>
          </cell>
          <cell r="K122">
            <v>0.2</v>
          </cell>
          <cell r="L122">
            <v>0.5</v>
          </cell>
          <cell r="M122">
            <v>0</v>
          </cell>
          <cell r="N122">
            <v>0</v>
          </cell>
          <cell r="O122">
            <v>0</v>
          </cell>
          <cell r="P122">
            <v>0</v>
          </cell>
          <cell r="Q122">
            <v>0</v>
          </cell>
          <cell r="R122">
            <v>0.1</v>
          </cell>
          <cell r="S122">
            <v>0</v>
          </cell>
          <cell r="T122">
            <v>0</v>
          </cell>
          <cell r="U122">
            <v>0</v>
          </cell>
          <cell r="V122">
            <v>0</v>
          </cell>
          <cell r="W122">
            <v>0</v>
          </cell>
          <cell r="X122">
            <v>0</v>
          </cell>
          <cell r="Y122">
            <v>0</v>
          </cell>
          <cell r="Z122">
            <v>0</v>
          </cell>
          <cell r="AA122">
            <v>0</v>
          </cell>
          <cell r="AB122">
            <v>0</v>
          </cell>
          <cell r="AC122">
            <v>0</v>
          </cell>
          <cell r="AD122">
            <v>0</v>
          </cell>
          <cell r="AE122" t="str">
            <v>Al 6x760</v>
          </cell>
          <cell r="AF122" t="str">
            <v>PE 80x770</v>
          </cell>
          <cell r="AG122">
            <v>8.136560000000001E-2</v>
          </cell>
          <cell r="AH122">
            <v>1.25</v>
          </cell>
          <cell r="AI122">
            <v>1.75</v>
          </cell>
          <cell r="AJ122">
            <v>9530</v>
          </cell>
          <cell r="AK122" t="str">
            <v>0.006(0.0025;0.0035)</v>
          </cell>
          <cell r="AL122">
            <v>0</v>
          </cell>
          <cell r="AM122" t="str">
            <v>túi ba biên</v>
          </cell>
          <cell r="AN122">
            <v>275</v>
          </cell>
          <cell r="AO122" t="str">
            <v>Công ty Việt Thắng</v>
          </cell>
          <cell r="AP122">
            <v>0</v>
          </cell>
          <cell r="AQ122" t="str">
            <v>1905186-1</v>
          </cell>
          <cell r="AR122" t="str">
            <v>1803821-2</v>
          </cell>
          <cell r="AS122" t="str">
            <v>1803821-3</v>
          </cell>
          <cell r="AT122" t="str">
            <v>1803821-4</v>
          </cell>
          <cell r="AU122" t="str">
            <v>1803821-5</v>
          </cell>
          <cell r="AV122" t="str">
            <v>1606574-6</v>
          </cell>
          <cell r="BA122" t="str">
            <v>550x850</v>
          </cell>
          <cell r="BB122" t="str">
            <v>D1</v>
          </cell>
        </row>
        <row r="123">
          <cell r="A123" t="str">
            <v>sp 553</v>
          </cell>
          <cell r="B123" t="str">
            <v>Túi thuốc trừ cỏ mía Wamrincomnbi 
800WP loại 500gr</v>
          </cell>
          <cell r="C123">
            <v>2.7</v>
          </cell>
          <cell r="D123" t="str">
            <v>PET 12x760</v>
          </cell>
          <cell r="E123">
            <v>1</v>
          </cell>
          <cell r="F123">
            <v>6</v>
          </cell>
          <cell r="G123" t="str">
            <v xml:space="preserve">PET </v>
          </cell>
          <cell r="H123">
            <v>0.2</v>
          </cell>
          <cell r="I123">
            <v>1.2</v>
          </cell>
          <cell r="J123">
            <v>0.4</v>
          </cell>
          <cell r="K123">
            <v>0.2</v>
          </cell>
          <cell r="L123">
            <v>0.5</v>
          </cell>
          <cell r="M123">
            <v>0</v>
          </cell>
          <cell r="N123">
            <v>0</v>
          </cell>
          <cell r="O123">
            <v>0</v>
          </cell>
          <cell r="P123">
            <v>0</v>
          </cell>
          <cell r="Q123">
            <v>0</v>
          </cell>
          <cell r="R123">
            <v>0.2</v>
          </cell>
          <cell r="S123">
            <v>0</v>
          </cell>
          <cell r="T123">
            <v>0</v>
          </cell>
          <cell r="U123">
            <v>0</v>
          </cell>
          <cell r="V123">
            <v>0</v>
          </cell>
          <cell r="W123">
            <v>0</v>
          </cell>
          <cell r="X123">
            <v>0</v>
          </cell>
          <cell r="Y123">
            <v>0</v>
          </cell>
          <cell r="Z123">
            <v>0</v>
          </cell>
          <cell r="AA123">
            <v>0</v>
          </cell>
          <cell r="AB123">
            <v>0</v>
          </cell>
          <cell r="AC123">
            <v>0</v>
          </cell>
          <cell r="AD123">
            <v>0</v>
          </cell>
          <cell r="AE123" t="str">
            <v>Al 6x760</v>
          </cell>
          <cell r="AF123" t="str">
            <v>PE 80x770</v>
          </cell>
          <cell r="AG123">
            <v>8.136560000000001E-2</v>
          </cell>
          <cell r="AH123">
            <v>1.25</v>
          </cell>
          <cell r="AI123">
            <v>1.75</v>
          </cell>
          <cell r="AJ123">
            <v>9530</v>
          </cell>
          <cell r="AK123" t="str">
            <v>0.006(0.0025;0.0035)</v>
          </cell>
          <cell r="AL123">
            <v>0</v>
          </cell>
          <cell r="AM123" t="str">
            <v>túi ba biên</v>
          </cell>
          <cell r="AN123">
            <v>275</v>
          </cell>
          <cell r="AO123" t="str">
            <v>Công ty Việt Thắng</v>
          </cell>
          <cell r="AP123">
            <v>0</v>
          </cell>
          <cell r="AQ123" t="str">
            <v>1803821-1</v>
          </cell>
          <cell r="AR123" t="str">
            <v>1803821-2</v>
          </cell>
          <cell r="AS123" t="str">
            <v>1803821-3</v>
          </cell>
          <cell r="AT123" t="str">
            <v>1606575-4</v>
          </cell>
          <cell r="AU123" t="str">
            <v>1803821-5</v>
          </cell>
          <cell r="AV123" t="str">
            <v>1606574-6</v>
          </cell>
          <cell r="BA123" t="str">
            <v>550x850</v>
          </cell>
          <cell r="BB123" t="str">
            <v>D1</v>
          </cell>
          <cell r="BC123" t="str">
            <v>chung bộ sp 552 trừ cây đỏ sen/cờ</v>
          </cell>
        </row>
        <row r="124">
          <cell r="A124" t="str">
            <v>sp 554</v>
          </cell>
          <cell r="B124" t="str">
            <v>Cuộn thuốc trừ sâu cao cấp Reagt 800WP
loại 0,8g</v>
          </cell>
          <cell r="C124">
            <v>3.9</v>
          </cell>
          <cell r="D124" t="str">
            <v>PET 12x690</v>
          </cell>
          <cell r="E124">
            <v>6</v>
          </cell>
          <cell r="F124">
            <v>6</v>
          </cell>
          <cell r="G124" t="str">
            <v xml:space="preserve">PET </v>
          </cell>
          <cell r="H124">
            <v>0.1</v>
          </cell>
          <cell r="I124">
            <v>1.7</v>
          </cell>
          <cell r="J124">
            <v>0.3</v>
          </cell>
          <cell r="K124">
            <v>0.3</v>
          </cell>
          <cell r="L124">
            <v>0.2</v>
          </cell>
          <cell r="M124">
            <v>1.2</v>
          </cell>
          <cell r="N124">
            <v>0</v>
          </cell>
          <cell r="O124">
            <v>0.1</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t="str">
            <v>Al 6x690</v>
          </cell>
          <cell r="AF124" t="str">
            <v>PE 75x700</v>
          </cell>
          <cell r="AG124">
            <v>7.0680149999999997E-2</v>
          </cell>
          <cell r="AH124">
            <v>1.0426666666666666</v>
          </cell>
          <cell r="AI124">
            <v>1.0426666666666666</v>
          </cell>
          <cell r="AJ124">
            <v>9530</v>
          </cell>
          <cell r="AK124" t="str">
            <v>0,0046(0,0023;0,0023)</v>
          </cell>
          <cell r="AL124">
            <v>0</v>
          </cell>
          <cell r="AM124" t="str">
            <v>dạng cuộn 700m</v>
          </cell>
          <cell r="AN124">
            <v>96</v>
          </cell>
          <cell r="AO124" t="str">
            <v>Công ty Việt Thắng</v>
          </cell>
          <cell r="AP124">
            <v>0</v>
          </cell>
          <cell r="AQ124" t="str">
            <v>16060576-1</v>
          </cell>
          <cell r="AR124" t="str">
            <v>16060576-2</v>
          </cell>
          <cell r="AS124" t="str">
            <v>1905185-3</v>
          </cell>
          <cell r="AT124" t="str">
            <v>16060576-4</v>
          </cell>
          <cell r="AU124" t="str">
            <v>16060576-5</v>
          </cell>
          <cell r="AV124" t="str">
            <v>1903067-6</v>
          </cell>
          <cell r="BA124" t="str">
            <v>400x750</v>
          </cell>
          <cell r="BB124" t="str">
            <v>D1</v>
          </cell>
        </row>
        <row r="125">
          <cell r="A125" t="str">
            <v>sp 557</v>
          </cell>
          <cell r="B125" t="str">
            <v>Cuộn  thuốc trừ sâu Tasieu 5WG loại 5g việt thắng</v>
          </cell>
          <cell r="C125">
            <v>4.9000000000000004</v>
          </cell>
          <cell r="D125" t="str">
            <v>PET 12x740</v>
          </cell>
          <cell r="E125">
            <v>7</v>
          </cell>
          <cell r="F125">
            <v>7</v>
          </cell>
          <cell r="G125" t="str">
            <v xml:space="preserve">PET </v>
          </cell>
          <cell r="H125">
            <v>0.3</v>
          </cell>
          <cell r="I125">
            <v>2.5</v>
          </cell>
          <cell r="J125">
            <v>0.3</v>
          </cell>
          <cell r="K125">
            <v>0.1</v>
          </cell>
          <cell r="L125">
            <v>0.4</v>
          </cell>
          <cell r="M125">
            <v>0.5</v>
          </cell>
          <cell r="N125">
            <v>0</v>
          </cell>
          <cell r="O125">
            <v>0</v>
          </cell>
          <cell r="P125">
            <v>0.4</v>
          </cell>
          <cell r="Q125">
            <v>0</v>
          </cell>
          <cell r="R125">
            <v>0.4</v>
          </cell>
          <cell r="S125">
            <v>0</v>
          </cell>
          <cell r="T125">
            <v>0</v>
          </cell>
          <cell r="U125">
            <v>0</v>
          </cell>
          <cell r="V125">
            <v>0</v>
          </cell>
          <cell r="W125">
            <v>0</v>
          </cell>
          <cell r="X125">
            <v>0</v>
          </cell>
          <cell r="Y125">
            <v>0</v>
          </cell>
          <cell r="Z125">
            <v>0</v>
          </cell>
          <cell r="AA125">
            <v>0</v>
          </cell>
          <cell r="AB125">
            <v>0</v>
          </cell>
          <cell r="AC125">
            <v>0</v>
          </cell>
          <cell r="AD125">
            <v>0</v>
          </cell>
          <cell r="AE125" t="str">
            <v>Al 6x740</v>
          </cell>
          <cell r="AF125" t="str">
            <v>PE 75x740</v>
          </cell>
          <cell r="AG125">
            <v>7.5801899999999992E-2</v>
          </cell>
          <cell r="AH125">
            <v>1.1193333333333333</v>
          </cell>
          <cell r="AI125">
            <v>1.1193333333333333</v>
          </cell>
          <cell r="AJ125">
            <v>9530</v>
          </cell>
          <cell r="AK125" t="str">
            <v>0,0046(0,0023;0,0023)</v>
          </cell>
          <cell r="AL125">
            <v>0</v>
          </cell>
          <cell r="AM125" t="str">
            <v>dạng cuộn 700m</v>
          </cell>
          <cell r="AN125">
            <v>180</v>
          </cell>
          <cell r="AO125" t="str">
            <v>Công ty Việt Thắng</v>
          </cell>
          <cell r="AP125">
            <v>0</v>
          </cell>
          <cell r="AQ125" t="str">
            <v>F114487G7-1</v>
          </cell>
          <cell r="AR125" t="str">
            <v>F114487-2</v>
          </cell>
          <cell r="AS125" t="str">
            <v>F114487-3</v>
          </cell>
          <cell r="AT125" t="str">
            <v>F114487-4</v>
          </cell>
          <cell r="AU125" t="str">
            <v>F114487-5</v>
          </cell>
          <cell r="AV125" t="str">
            <v>F114487-6</v>
          </cell>
          <cell r="AW125" t="str">
            <v>F114487-7</v>
          </cell>
          <cell r="BA125" t="str">
            <v>456x840</v>
          </cell>
          <cell r="BB125" t="str">
            <v>D1</v>
          </cell>
        </row>
        <row r="126">
          <cell r="A126" t="str">
            <v>sp 558</v>
          </cell>
          <cell r="B126" t="str">
            <v>Cuộn thuốc trừ sâu cao cấp Reagt 800WP loại 1gr</v>
          </cell>
          <cell r="C126">
            <v>4.0999999999999996</v>
          </cell>
          <cell r="D126" t="str">
            <v>PET 12x690</v>
          </cell>
          <cell r="E126">
            <v>1</v>
          </cell>
          <cell r="F126">
            <v>6</v>
          </cell>
          <cell r="G126" t="str">
            <v xml:space="preserve">PET </v>
          </cell>
          <cell r="H126">
            <v>0.1</v>
          </cell>
          <cell r="I126">
            <v>2</v>
          </cell>
          <cell r="J126">
            <v>0.3</v>
          </cell>
          <cell r="K126">
            <v>0.1</v>
          </cell>
          <cell r="L126">
            <v>0.3</v>
          </cell>
          <cell r="M126">
            <v>1.2</v>
          </cell>
          <cell r="N126">
            <v>0</v>
          </cell>
          <cell r="O126">
            <v>0.1</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t="str">
            <v>Al 6x690</v>
          </cell>
          <cell r="AF126" t="str">
            <v>PE 75x700</v>
          </cell>
          <cell r="AG126">
            <v>7.0421400000000009E-2</v>
          </cell>
          <cell r="AH126">
            <v>1.0426666666666666</v>
          </cell>
          <cell r="AI126">
            <v>1.0426666666666666</v>
          </cell>
          <cell r="AJ126">
            <v>9530</v>
          </cell>
          <cell r="AK126" t="str">
            <v>0,0046(0,0023;0,0023)</v>
          </cell>
          <cell r="AL126">
            <v>0</v>
          </cell>
          <cell r="AM126" t="str">
            <v>dạng cuộn 700m</v>
          </cell>
          <cell r="AN126">
            <v>96</v>
          </cell>
          <cell r="AO126" t="str">
            <v>Công ty Việt Thắng</v>
          </cell>
          <cell r="AP126">
            <v>0</v>
          </cell>
          <cell r="AQ126" t="str">
            <v>1812846-1</v>
          </cell>
          <cell r="AR126" t="str">
            <v>16060576-2</v>
          </cell>
          <cell r="AS126" t="str">
            <v>1905185-3</v>
          </cell>
          <cell r="AT126" t="str">
            <v>16060576-4</v>
          </cell>
          <cell r="AU126" t="str">
            <v>16060576-5</v>
          </cell>
          <cell r="AV126" t="str">
            <v>1903067-6</v>
          </cell>
          <cell r="BA126" t="str">
            <v>400x750</v>
          </cell>
          <cell r="BB126" t="str">
            <v>D1</v>
          </cell>
          <cell r="BC126" t="str">
            <v>in chung sp 554 trừ Đen</v>
          </cell>
        </row>
        <row r="127">
          <cell r="A127" t="str">
            <v>sp 559</v>
          </cell>
          <cell r="B127" t="str">
            <v>Cuộn thuốc trừ sâu cao cấp Reagt 800WP loại 1,6g</v>
          </cell>
          <cell r="C127">
            <v>4.0999999999999996</v>
          </cell>
          <cell r="D127" t="str">
            <v>PET 12x690</v>
          </cell>
          <cell r="E127">
            <v>1</v>
          </cell>
          <cell r="F127">
            <v>6</v>
          </cell>
          <cell r="G127" t="str">
            <v xml:space="preserve">PET </v>
          </cell>
          <cell r="H127">
            <v>0.1</v>
          </cell>
          <cell r="I127">
            <v>2</v>
          </cell>
          <cell r="J127">
            <v>0.3</v>
          </cell>
          <cell r="K127">
            <v>0.1</v>
          </cell>
          <cell r="L127">
            <v>0.3</v>
          </cell>
          <cell r="M127">
            <v>1.2</v>
          </cell>
          <cell r="N127">
            <v>0</v>
          </cell>
          <cell r="O127">
            <v>0.1</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t="str">
            <v>Al 6x690</v>
          </cell>
          <cell r="AF127" t="str">
            <v>PE 75x700</v>
          </cell>
          <cell r="AG127">
            <v>7.0421400000000009E-2</v>
          </cell>
          <cell r="AH127">
            <v>1.0426666666666666</v>
          </cell>
          <cell r="AI127">
            <v>1.0426666666666666</v>
          </cell>
          <cell r="AJ127">
            <v>9530</v>
          </cell>
          <cell r="AK127" t="str">
            <v>0,0046(0,0023;0,0023)</v>
          </cell>
          <cell r="AL127">
            <v>0</v>
          </cell>
          <cell r="AM127" t="str">
            <v>dạng cuộn 700m</v>
          </cell>
          <cell r="AN127">
            <v>96</v>
          </cell>
          <cell r="AO127" t="str">
            <v>Công ty Việt Thắng</v>
          </cell>
          <cell r="AP127">
            <v>0</v>
          </cell>
          <cell r="AQ127" t="str">
            <v>1902334-1</v>
          </cell>
          <cell r="AR127" t="str">
            <v>16060576-2</v>
          </cell>
          <cell r="AS127" t="str">
            <v>1905185-3</v>
          </cell>
          <cell r="AT127" t="str">
            <v>16060576-4</v>
          </cell>
          <cell r="AU127" t="str">
            <v>16060576-5</v>
          </cell>
          <cell r="AV127" t="str">
            <v>1903067-6</v>
          </cell>
          <cell r="BA127" t="str">
            <v>400x750</v>
          </cell>
          <cell r="BB127" t="str">
            <v>D1</v>
          </cell>
          <cell r="BC127" t="str">
            <v>in chung sp 554 trừ Đen</v>
          </cell>
        </row>
        <row r="128">
          <cell r="A128" t="str">
            <v>sp 566</v>
          </cell>
          <cell r="B128" t="str">
            <v>Túi chè lụa màu vàng tân cương và đặc
 sản 100g</v>
          </cell>
          <cell r="C128">
            <v>6.5</v>
          </cell>
          <cell r="D128" t="str">
            <v>OPP mờ 20x740</v>
          </cell>
          <cell r="E128">
            <v>7</v>
          </cell>
          <cell r="F128">
            <v>7</v>
          </cell>
          <cell r="G128" t="str">
            <v xml:space="preserve">OPP </v>
          </cell>
          <cell r="H128">
            <v>0.1</v>
          </cell>
          <cell r="I128">
            <v>2.7</v>
          </cell>
          <cell r="J128">
            <v>0.3</v>
          </cell>
          <cell r="K128">
            <v>0.1</v>
          </cell>
          <cell r="L128">
            <v>2</v>
          </cell>
          <cell r="M128">
            <v>1</v>
          </cell>
          <cell r="N128">
            <v>0</v>
          </cell>
          <cell r="O128">
            <v>0</v>
          </cell>
          <cell r="P128">
            <v>0</v>
          </cell>
          <cell r="Q128">
            <v>0</v>
          </cell>
          <cell r="R128">
            <v>0</v>
          </cell>
          <cell r="S128">
            <v>0.3</v>
          </cell>
          <cell r="T128">
            <v>0</v>
          </cell>
          <cell r="U128">
            <v>0</v>
          </cell>
          <cell r="V128">
            <v>0</v>
          </cell>
          <cell r="W128">
            <v>0</v>
          </cell>
          <cell r="X128">
            <v>0</v>
          </cell>
          <cell r="Y128">
            <v>0</v>
          </cell>
          <cell r="Z128">
            <v>0</v>
          </cell>
          <cell r="AA128">
            <v>0</v>
          </cell>
          <cell r="AB128">
            <v>0</v>
          </cell>
          <cell r="AC128">
            <v>0</v>
          </cell>
          <cell r="AD128">
            <v>0</v>
          </cell>
          <cell r="AE128" t="str">
            <v>MPET 12x740</v>
          </cell>
          <cell r="AF128" t="str">
            <v>PE 75x740</v>
          </cell>
          <cell r="AG128">
            <v>7.7237500000000001E-2</v>
          </cell>
          <cell r="AH128">
            <v>1.2166666666666668</v>
          </cell>
          <cell r="AI128">
            <v>1.46</v>
          </cell>
          <cell r="AJ128">
            <v>9530</v>
          </cell>
          <cell r="AK128" t="str">
            <v>0,0055(0,0025;0,003)</v>
          </cell>
          <cell r="AL128">
            <v>0</v>
          </cell>
          <cell r="AM128" t="str">
            <v>túi hàn lưng xếp hông</v>
          </cell>
          <cell r="AN128">
            <v>270</v>
          </cell>
          <cell r="AO128" t="str">
            <v>Bùi Văn Sỹ</v>
          </cell>
          <cell r="AP128">
            <v>0</v>
          </cell>
          <cell r="AQ128" t="str">
            <v>1607495-1</v>
          </cell>
          <cell r="AR128" t="str">
            <v>1812617-2-2</v>
          </cell>
          <cell r="AS128" t="str">
            <v>1607495-3</v>
          </cell>
          <cell r="AT128" t="str">
            <v>1607495-4</v>
          </cell>
          <cell r="AU128" t="str">
            <v>1607495-5</v>
          </cell>
          <cell r="AV128" t="str">
            <v>1607495-6</v>
          </cell>
          <cell r="AW128" t="str">
            <v>1607495-7</v>
          </cell>
          <cell r="BA128" t="str">
            <v>540x850</v>
          </cell>
          <cell r="BB128" t="str">
            <v>F1</v>
          </cell>
          <cell r="BC128" t="str">
            <v>in chung sp 663+794</v>
          </cell>
        </row>
        <row r="129">
          <cell r="A129" t="str">
            <v>sp 567</v>
          </cell>
          <cell r="B129" t="str">
            <v>Túi chè lụa màu vàng tân cương và đặc  sản 200g</v>
          </cell>
          <cell r="C129">
            <v>6.7000000000000011</v>
          </cell>
          <cell r="D129" t="str">
            <v>OPP mờ 20x920</v>
          </cell>
          <cell r="E129">
            <v>7</v>
          </cell>
          <cell r="F129">
            <v>7</v>
          </cell>
          <cell r="G129" t="str">
            <v xml:space="preserve">OPP </v>
          </cell>
          <cell r="H129">
            <v>0.15</v>
          </cell>
          <cell r="I129">
            <v>2.7</v>
          </cell>
          <cell r="J129">
            <v>0.35</v>
          </cell>
          <cell r="K129">
            <v>0.1</v>
          </cell>
          <cell r="L129">
            <v>2</v>
          </cell>
          <cell r="M129">
            <v>1</v>
          </cell>
          <cell r="N129">
            <v>0</v>
          </cell>
          <cell r="O129">
            <v>0</v>
          </cell>
          <cell r="P129">
            <v>0</v>
          </cell>
          <cell r="Q129">
            <v>0</v>
          </cell>
          <cell r="R129">
            <v>0</v>
          </cell>
          <cell r="S129">
            <v>0.4</v>
          </cell>
          <cell r="T129">
            <v>0</v>
          </cell>
          <cell r="U129">
            <v>0</v>
          </cell>
          <cell r="V129">
            <v>0</v>
          </cell>
          <cell r="W129">
            <v>0</v>
          </cell>
          <cell r="X129">
            <v>0</v>
          </cell>
          <cell r="Y129">
            <v>0</v>
          </cell>
          <cell r="Z129">
            <v>0</v>
          </cell>
          <cell r="AA129">
            <v>0</v>
          </cell>
          <cell r="AB129">
            <v>0</v>
          </cell>
          <cell r="AC129">
            <v>0</v>
          </cell>
          <cell r="AD129">
            <v>0</v>
          </cell>
          <cell r="AE129" t="str">
            <v>MPET 12x920</v>
          </cell>
          <cell r="AF129" t="str">
            <v>PE 75x920</v>
          </cell>
          <cell r="AG129">
            <v>9.6025000000000013E-2</v>
          </cell>
          <cell r="AH129">
            <v>1.3953333333333333</v>
          </cell>
          <cell r="AI129">
            <v>1.82</v>
          </cell>
          <cell r="AJ129">
            <v>9530</v>
          </cell>
          <cell r="AK129" t="str">
            <v>0,0053(0,0023;0,003)</v>
          </cell>
          <cell r="AL129">
            <v>0</v>
          </cell>
          <cell r="AM129" t="str">
            <v>túi hàn lưng xếp hông</v>
          </cell>
          <cell r="AN129">
            <v>340</v>
          </cell>
          <cell r="AO129" t="str">
            <v>Bùi Văn Sỹ</v>
          </cell>
          <cell r="AP129">
            <v>0</v>
          </cell>
          <cell r="AQ129" t="str">
            <v>1607496-1</v>
          </cell>
          <cell r="AR129" t="str">
            <v>1607496-2</v>
          </cell>
          <cell r="AS129" t="str">
            <v>1607496-3</v>
          </cell>
          <cell r="AT129" t="str">
            <v>1607496-4</v>
          </cell>
          <cell r="AU129" t="str">
            <v>1607496-5</v>
          </cell>
          <cell r="AV129" t="str">
            <v>1607496-6</v>
          </cell>
          <cell r="AW129" t="str">
            <v>1607496-7</v>
          </cell>
          <cell r="BA129" t="str">
            <v>680x1100</v>
          </cell>
          <cell r="BB129" t="str">
            <v>F1</v>
          </cell>
          <cell r="BC129" t="str">
            <v>in chung sp 626</v>
          </cell>
        </row>
        <row r="130">
          <cell r="A130" t="str">
            <v>sp 568</v>
          </cell>
          <cell r="B130" t="str">
            <v>Túi chè lụa màu vàng tân cương và đặc  sản 500g</v>
          </cell>
          <cell r="C130">
            <v>6.8000000000000007</v>
          </cell>
          <cell r="D130" t="str">
            <v>OPP mờ 20x760</v>
          </cell>
          <cell r="E130">
            <v>7</v>
          </cell>
          <cell r="F130">
            <v>7</v>
          </cell>
          <cell r="G130" t="str">
            <v xml:space="preserve">OPP </v>
          </cell>
          <cell r="H130">
            <v>0.2</v>
          </cell>
          <cell r="I130">
            <v>2.7</v>
          </cell>
          <cell r="J130">
            <v>0.3</v>
          </cell>
          <cell r="K130">
            <v>0.2</v>
          </cell>
          <cell r="L130">
            <v>2</v>
          </cell>
          <cell r="M130">
            <v>1</v>
          </cell>
          <cell r="N130">
            <v>0</v>
          </cell>
          <cell r="O130">
            <v>0</v>
          </cell>
          <cell r="P130">
            <v>0</v>
          </cell>
          <cell r="Q130">
            <v>0</v>
          </cell>
          <cell r="R130">
            <v>0</v>
          </cell>
          <cell r="S130">
            <v>0.4</v>
          </cell>
          <cell r="T130">
            <v>0</v>
          </cell>
          <cell r="U130">
            <v>0</v>
          </cell>
          <cell r="V130">
            <v>0</v>
          </cell>
          <cell r="W130">
            <v>0</v>
          </cell>
          <cell r="X130">
            <v>0</v>
          </cell>
          <cell r="Y130">
            <v>0</v>
          </cell>
          <cell r="Z130">
            <v>0</v>
          </cell>
          <cell r="AA130">
            <v>0</v>
          </cell>
          <cell r="AB130">
            <v>0</v>
          </cell>
          <cell r="AC130">
            <v>0</v>
          </cell>
          <cell r="AD130">
            <v>0</v>
          </cell>
          <cell r="AE130" t="str">
            <v>MPET 12x760</v>
          </cell>
          <cell r="AF130" t="str">
            <v>PE 75x760</v>
          </cell>
          <cell r="AG130">
            <v>7.9325000000000007E-2</v>
          </cell>
          <cell r="AH130">
            <v>1.1499999999999999</v>
          </cell>
          <cell r="AI130">
            <v>1.5</v>
          </cell>
          <cell r="AJ130">
            <v>9530</v>
          </cell>
          <cell r="AK130" t="str">
            <v>0,0053(0,0023;0,003)</v>
          </cell>
          <cell r="AL130">
            <v>0</v>
          </cell>
          <cell r="AM130" t="str">
            <v>túi hàn lưng xếp hông</v>
          </cell>
          <cell r="AN130">
            <v>420</v>
          </cell>
          <cell r="AO130" t="str">
            <v>Bùi Văn Sỹ</v>
          </cell>
          <cell r="AP130">
            <v>0</v>
          </cell>
          <cell r="AQ130" t="str">
            <v>1801664-1</v>
          </cell>
          <cell r="AR130" t="str">
            <v>1801664-2</v>
          </cell>
          <cell r="AS130" t="str">
            <v>1607497-3</v>
          </cell>
          <cell r="AT130" t="str">
            <v>1801664-4</v>
          </cell>
          <cell r="AU130" t="str">
            <v>1607497-5</v>
          </cell>
          <cell r="AV130" t="str">
            <v>1607497-6</v>
          </cell>
          <cell r="AW130" t="str">
            <v>1607497-7</v>
          </cell>
          <cell r="BA130" t="str">
            <v>420x850</v>
          </cell>
          <cell r="BB130" t="str">
            <v>F1</v>
          </cell>
          <cell r="BC130" t="str">
            <v>in chung bộ sp 608 ; chung cây trắng với sp 808+832</v>
          </cell>
        </row>
        <row r="131">
          <cell r="A131" t="str">
            <v>sp 570</v>
          </cell>
          <cell r="B131" t="str">
            <v>Cuộn ngô DT 6869 1kg Đại Thành</v>
          </cell>
          <cell r="C131">
            <v>3.0000000000000004</v>
          </cell>
          <cell r="D131" t="str">
            <v>PA 15x820</v>
          </cell>
          <cell r="E131">
            <v>7</v>
          </cell>
          <cell r="F131">
            <v>7</v>
          </cell>
          <cell r="G131" t="str">
            <v xml:space="preserve">PA </v>
          </cell>
          <cell r="H131">
            <v>0.1</v>
          </cell>
          <cell r="I131">
            <v>0</v>
          </cell>
          <cell r="J131">
            <v>0.1</v>
          </cell>
          <cell r="K131">
            <v>0.3</v>
          </cell>
          <cell r="L131">
            <v>0.2</v>
          </cell>
          <cell r="M131">
            <v>2</v>
          </cell>
          <cell r="N131">
            <v>0</v>
          </cell>
          <cell r="O131">
            <v>0.2</v>
          </cell>
          <cell r="P131">
            <v>0</v>
          </cell>
          <cell r="Q131">
            <v>0</v>
          </cell>
          <cell r="R131">
            <v>0.1</v>
          </cell>
          <cell r="S131">
            <v>0</v>
          </cell>
          <cell r="T131">
            <v>0</v>
          </cell>
          <cell r="U131">
            <v>0</v>
          </cell>
          <cell r="V131">
            <v>0</v>
          </cell>
          <cell r="W131">
            <v>0</v>
          </cell>
          <cell r="X131">
            <v>0</v>
          </cell>
          <cell r="Y131">
            <v>0</v>
          </cell>
          <cell r="Z131">
            <v>0</v>
          </cell>
          <cell r="AA131">
            <v>0</v>
          </cell>
          <cell r="AB131">
            <v>0</v>
          </cell>
          <cell r="AC131">
            <v>0</v>
          </cell>
          <cell r="AD131">
            <v>0</v>
          </cell>
          <cell r="AE131" t="str">
            <v>PE sứ 95x820</v>
          </cell>
          <cell r="AF131">
            <v>0</v>
          </cell>
          <cell r="AG131">
            <v>8.6202500000000001E-2</v>
          </cell>
          <cell r="AH131">
            <v>1.35</v>
          </cell>
          <cell r="AI131">
            <v>0</v>
          </cell>
          <cell r="AJ131">
            <v>9530</v>
          </cell>
          <cell r="AK131">
            <v>2.5000000000000001E-3</v>
          </cell>
          <cell r="AL131">
            <v>0</v>
          </cell>
          <cell r="AM131" t="str">
            <v>dạng cuộn 500m</v>
          </cell>
          <cell r="AN131">
            <v>400</v>
          </cell>
          <cell r="AO131" t="str">
            <v>Công ty Đại Thành</v>
          </cell>
          <cell r="AP131">
            <v>0</v>
          </cell>
          <cell r="AQ131" t="str">
            <v>16071384-1</v>
          </cell>
          <cell r="AR131" t="str">
            <v>16071384-2</v>
          </cell>
          <cell r="AS131" t="str">
            <v>16071384-3</v>
          </cell>
          <cell r="AT131" t="str">
            <v>16071384-4</v>
          </cell>
          <cell r="AU131" t="str">
            <v>16071384-5</v>
          </cell>
          <cell r="AV131" t="str">
            <v>16071384-6</v>
          </cell>
          <cell r="AW131" t="str">
            <v>16071384-7</v>
          </cell>
          <cell r="BA131" t="str">
            <v>580x900</v>
          </cell>
          <cell r="BB131" t="str">
            <v>N3</v>
          </cell>
        </row>
        <row r="132">
          <cell r="A132" t="str">
            <v>sp 596</v>
          </cell>
          <cell r="B132" t="str">
            <v>Cuộn thuốc trừ sâu aceny 4,2 EC loại 15ml 
mekong</v>
          </cell>
          <cell r="C132" t="e">
            <v>#N/A</v>
          </cell>
          <cell r="D132">
            <v>0</v>
          </cell>
          <cell r="E132">
            <v>5</v>
          </cell>
          <cell r="F132">
            <v>5</v>
          </cell>
          <cell r="G132" t="e">
            <v>#N/A</v>
          </cell>
          <cell r="H132" t="e">
            <v>#N/A</v>
          </cell>
          <cell r="I132" t="e">
            <v>#N/A</v>
          </cell>
          <cell r="J132" t="e">
            <v>#N/A</v>
          </cell>
          <cell r="K132" t="e">
            <v>#N/A</v>
          </cell>
          <cell r="L132" t="e">
            <v>#N/A</v>
          </cell>
          <cell r="M132" t="e">
            <v>#N/A</v>
          </cell>
          <cell r="N132" t="e">
            <v>#N/A</v>
          </cell>
          <cell r="O132" t="e">
            <v>#N/A</v>
          </cell>
          <cell r="P132" t="e">
            <v>#N/A</v>
          </cell>
          <cell r="Q132" t="e">
            <v>#N/A</v>
          </cell>
          <cell r="R132" t="e">
            <v>#N/A</v>
          </cell>
          <cell r="S132" t="e">
            <v>#N/A</v>
          </cell>
          <cell r="T132" t="e">
            <v>#N/A</v>
          </cell>
          <cell r="U132" t="e">
            <v>#N/A</v>
          </cell>
          <cell r="V132" t="e">
            <v>#N/A</v>
          </cell>
          <cell r="W132" t="e">
            <v>#N/A</v>
          </cell>
          <cell r="X132" t="e">
            <v>#N/A</v>
          </cell>
          <cell r="Y132" t="e">
            <v>#N/A</v>
          </cell>
          <cell r="Z132" t="e">
            <v>#N/A</v>
          </cell>
          <cell r="AA132" t="e">
            <v>#N/A</v>
          </cell>
          <cell r="AB132" t="e">
            <v>#N/A</v>
          </cell>
          <cell r="AC132" t="e">
            <v>#N/A</v>
          </cell>
          <cell r="AD132" t="e">
            <v>#N/A</v>
          </cell>
          <cell r="AE132" t="e">
            <v>#N/A</v>
          </cell>
          <cell r="AF132" t="e">
            <v>#N/A</v>
          </cell>
          <cell r="AG132" t="e">
            <v>#N/A</v>
          </cell>
          <cell r="AH132" t="e">
            <v>#N/A</v>
          </cell>
          <cell r="AI132" t="e">
            <v>#N/A</v>
          </cell>
          <cell r="AJ132" t="e">
            <v>#N/A</v>
          </cell>
          <cell r="AK132" t="e">
            <v>#N/A</v>
          </cell>
          <cell r="AL132" t="e">
            <v>#N/A</v>
          </cell>
          <cell r="AM132" t="e">
            <v>#N/A</v>
          </cell>
          <cell r="AN132" t="e">
            <v>#N/A</v>
          </cell>
          <cell r="AO132" t="str">
            <v>Công ty CP Green Mekong</v>
          </cell>
          <cell r="AP132">
            <v>0</v>
          </cell>
          <cell r="AQ132" t="str">
            <v>1607595-1</v>
          </cell>
          <cell r="AR132" t="str">
            <v>1607595-2</v>
          </cell>
          <cell r="AS132" t="str">
            <v>1607595-3</v>
          </cell>
          <cell r="AT132" t="str">
            <v>1607595-4</v>
          </cell>
          <cell r="AU132" t="str">
            <v>1607595-5</v>
          </cell>
          <cell r="BA132" t="str">
            <v>500x750</v>
          </cell>
          <cell r="BB132" t="str">
            <v>O1</v>
          </cell>
        </row>
        <row r="133">
          <cell r="A133" t="str">
            <v>sp 599</v>
          </cell>
          <cell r="B133" t="str">
            <v xml:space="preserve">Túi bánh trung thu nhật nguyệt </v>
          </cell>
          <cell r="C133">
            <v>1.7</v>
          </cell>
          <cell r="D133" t="str">
            <v>OPP mờ 20x580</v>
          </cell>
          <cell r="E133">
            <v>2</v>
          </cell>
          <cell r="F133">
            <v>2</v>
          </cell>
          <cell r="G133" t="str">
            <v xml:space="preserve">OPP </v>
          </cell>
          <cell r="H133">
            <v>0</v>
          </cell>
          <cell r="I133">
            <v>0</v>
          </cell>
          <cell r="J133">
            <v>0</v>
          </cell>
          <cell r="K133">
            <v>0</v>
          </cell>
          <cell r="L133">
            <v>0</v>
          </cell>
          <cell r="M133">
            <v>0</v>
          </cell>
          <cell r="N133">
            <v>0</v>
          </cell>
          <cell r="O133">
            <v>0</v>
          </cell>
          <cell r="P133">
            <v>0</v>
          </cell>
          <cell r="Q133">
            <v>0</v>
          </cell>
          <cell r="R133">
            <v>0</v>
          </cell>
          <cell r="S133">
            <v>0.7</v>
          </cell>
          <cell r="T133">
            <v>1</v>
          </cell>
          <cell r="U133">
            <v>0</v>
          </cell>
          <cell r="V133">
            <v>0</v>
          </cell>
          <cell r="W133">
            <v>0</v>
          </cell>
          <cell r="X133">
            <v>0</v>
          </cell>
          <cell r="Y133">
            <v>0</v>
          </cell>
          <cell r="Z133">
            <v>0</v>
          </cell>
          <cell r="AA133">
            <v>0</v>
          </cell>
          <cell r="AB133">
            <v>0</v>
          </cell>
          <cell r="AC133">
            <v>0</v>
          </cell>
          <cell r="AD133">
            <v>0</v>
          </cell>
          <cell r="AE133" t="str">
            <v>PE 50x580</v>
          </cell>
          <cell r="AF133">
            <v>0</v>
          </cell>
          <cell r="AG133">
            <v>3.7381000000000005E-2</v>
          </cell>
          <cell r="AH133">
            <v>0.87399999999999989</v>
          </cell>
          <cell r="AI133">
            <v>0</v>
          </cell>
          <cell r="AJ133">
            <v>9530</v>
          </cell>
          <cell r="AK133">
            <v>2.3E-3</v>
          </cell>
          <cell r="AL133">
            <v>0</v>
          </cell>
          <cell r="AM133" t="str">
            <v>túi hàn lưng xếp hông</v>
          </cell>
          <cell r="AN133">
            <v>150</v>
          </cell>
          <cell r="AO133" t="str">
            <v>Công ty Thực Phẩm Nhật Nguyệt</v>
          </cell>
          <cell r="AP133">
            <v>0</v>
          </cell>
          <cell r="AQ133" t="str">
            <v>1601320-1</v>
          </cell>
          <cell r="AR133" t="str">
            <v>1601320-2</v>
          </cell>
          <cell r="AS133">
            <v>0</v>
          </cell>
          <cell r="AT133">
            <v>0</v>
          </cell>
          <cell r="AU133">
            <v>0</v>
          </cell>
          <cell r="AV133">
            <v>0</v>
          </cell>
          <cell r="AW133">
            <v>0</v>
          </cell>
          <cell r="AX133">
            <v>0</v>
          </cell>
          <cell r="AY133">
            <v>0</v>
          </cell>
          <cell r="AZ133">
            <v>0</v>
          </cell>
          <cell r="BA133" t="str">
            <v>450x750</v>
          </cell>
          <cell r="BB133" t="str">
            <v>O1</v>
          </cell>
          <cell r="BC133">
            <v>0</v>
          </cell>
        </row>
        <row r="134">
          <cell r="A134" t="str">
            <v>sp 605</v>
          </cell>
          <cell r="B134" t="str">
            <v>Túi tasieu khủng long 5WG F1000 loại 15g Việt Thắng</v>
          </cell>
          <cell r="C134">
            <v>4.5999999999999996</v>
          </cell>
          <cell r="D134" t="str">
            <v>PET 12x620</v>
          </cell>
          <cell r="E134">
            <v>7</v>
          </cell>
          <cell r="F134">
            <v>7</v>
          </cell>
          <cell r="G134" t="str">
            <v xml:space="preserve">PET </v>
          </cell>
          <cell r="H134">
            <v>0.1</v>
          </cell>
          <cell r="I134">
            <v>1.8</v>
          </cell>
          <cell r="J134">
            <v>0.1</v>
          </cell>
          <cell r="K134">
            <v>0.3</v>
          </cell>
          <cell r="L134">
            <v>0.1</v>
          </cell>
          <cell r="M134">
            <v>2</v>
          </cell>
          <cell r="N134">
            <v>0</v>
          </cell>
          <cell r="O134">
            <v>0</v>
          </cell>
          <cell r="P134">
            <v>0.1</v>
          </cell>
          <cell r="Q134">
            <v>0</v>
          </cell>
          <cell r="R134">
            <v>0.1</v>
          </cell>
          <cell r="S134">
            <v>0</v>
          </cell>
          <cell r="T134">
            <v>0</v>
          </cell>
          <cell r="U134">
            <v>0</v>
          </cell>
          <cell r="V134">
            <v>0</v>
          </cell>
          <cell r="W134">
            <v>0</v>
          </cell>
          <cell r="X134">
            <v>0</v>
          </cell>
          <cell r="Y134">
            <v>0</v>
          </cell>
          <cell r="Z134">
            <v>0</v>
          </cell>
          <cell r="AA134">
            <v>0</v>
          </cell>
          <cell r="AB134">
            <v>0</v>
          </cell>
          <cell r="AC134">
            <v>0</v>
          </cell>
          <cell r="AD134">
            <v>0</v>
          </cell>
          <cell r="AE134" t="str">
            <v>Al 6x620</v>
          </cell>
          <cell r="AF134" t="str">
            <v>PE 75x630</v>
          </cell>
          <cell r="AG134">
            <v>6.3509700000000002E-2</v>
          </cell>
          <cell r="AH134">
            <v>0.93533333333333324</v>
          </cell>
          <cell r="AI134">
            <v>1.22</v>
          </cell>
          <cell r="AJ134">
            <v>9530</v>
          </cell>
          <cell r="AK134" t="str">
            <v>0,0053(0,0023;0,003)</v>
          </cell>
          <cell r="AL134">
            <v>0</v>
          </cell>
          <cell r="AM134" t="str">
            <v>Cuộn</v>
          </cell>
          <cell r="AN134">
            <v>0</v>
          </cell>
          <cell r="AO134" t="str">
            <v>Công ty Việt Thắng</v>
          </cell>
          <cell r="AP134">
            <v>0</v>
          </cell>
          <cell r="AQ134" t="str">
            <v>F114908G3-1</v>
          </cell>
          <cell r="AR134" t="str">
            <v>F114908-2</v>
          </cell>
          <cell r="AS134" t="str">
            <v>F114908-3</v>
          </cell>
          <cell r="AT134" t="str">
            <v>F114908-4</v>
          </cell>
          <cell r="AU134" t="str">
            <v>F114908-5</v>
          </cell>
          <cell r="AV134" t="str">
            <v>F114908-6</v>
          </cell>
          <cell r="AW134" t="str">
            <v>F114908-7</v>
          </cell>
          <cell r="BA134" t="str">
            <v>450x750</v>
          </cell>
          <cell r="BB134" t="str">
            <v>D1</v>
          </cell>
          <cell r="BC134" t="str">
            <v>in chung sp 606 trừ Đỏ cờ và Đen</v>
          </cell>
        </row>
        <row r="135">
          <cell r="A135" t="str">
            <v>sp 606</v>
          </cell>
          <cell r="B135" t="str">
            <v>Túi tasieu khủng long 5WG F900 loại 10g 
Việt Thắng</v>
          </cell>
          <cell r="C135">
            <v>6.3999999999999986</v>
          </cell>
          <cell r="D135" t="str">
            <v>PET 12x620</v>
          </cell>
          <cell r="E135">
            <v>2</v>
          </cell>
          <cell r="F135">
            <v>7</v>
          </cell>
          <cell r="G135" t="str">
            <v xml:space="preserve">PET </v>
          </cell>
          <cell r="H135">
            <v>0.1</v>
          </cell>
          <cell r="I135">
            <v>5</v>
          </cell>
          <cell r="J135">
            <v>0.1</v>
          </cell>
          <cell r="K135">
            <v>0.3</v>
          </cell>
          <cell r="L135">
            <v>0.7</v>
          </cell>
          <cell r="M135">
            <v>0</v>
          </cell>
          <cell r="N135">
            <v>0</v>
          </cell>
          <cell r="O135">
            <v>0</v>
          </cell>
          <cell r="P135">
            <v>0.1</v>
          </cell>
          <cell r="Q135">
            <v>0</v>
          </cell>
          <cell r="R135">
            <v>0.1</v>
          </cell>
          <cell r="S135">
            <v>0</v>
          </cell>
          <cell r="T135">
            <v>0</v>
          </cell>
          <cell r="U135">
            <v>0</v>
          </cell>
          <cell r="V135">
            <v>0</v>
          </cell>
          <cell r="W135">
            <v>0</v>
          </cell>
          <cell r="X135">
            <v>0</v>
          </cell>
          <cell r="Y135">
            <v>0</v>
          </cell>
          <cell r="Z135">
            <v>0</v>
          </cell>
          <cell r="AA135">
            <v>0</v>
          </cell>
          <cell r="AB135">
            <v>0</v>
          </cell>
          <cell r="AC135">
            <v>0</v>
          </cell>
          <cell r="AD135">
            <v>0</v>
          </cell>
          <cell r="AE135" t="str">
            <v>Al 6x620</v>
          </cell>
          <cell r="AF135" t="str">
            <v>PE 75x630</v>
          </cell>
          <cell r="AG135">
            <v>6.3509700000000002E-2</v>
          </cell>
          <cell r="AH135">
            <v>0.93533333333333324</v>
          </cell>
          <cell r="AI135">
            <v>1.22</v>
          </cell>
          <cell r="AJ135">
            <v>9530</v>
          </cell>
          <cell r="AK135" t="str">
            <v>0,0053(0,0023;0,003)</v>
          </cell>
          <cell r="AL135">
            <v>0</v>
          </cell>
          <cell r="AM135" t="str">
            <v>Cuộn</v>
          </cell>
          <cell r="AN135">
            <v>0</v>
          </cell>
          <cell r="AO135" t="str">
            <v>Công ty Việt Thắng</v>
          </cell>
          <cell r="AP135">
            <v>0</v>
          </cell>
          <cell r="AQ135" t="str">
            <v>F114911-1</v>
          </cell>
          <cell r="AR135" t="str">
            <v>F114911-2</v>
          </cell>
          <cell r="AS135" t="str">
            <v>F114908-3</v>
          </cell>
          <cell r="AT135" t="str">
            <v>F114908-4</v>
          </cell>
          <cell r="AU135" t="str">
            <v>F114908-5</v>
          </cell>
          <cell r="AV135" t="str">
            <v>F114908-6</v>
          </cell>
          <cell r="AW135" t="str">
            <v>F114908-7</v>
          </cell>
          <cell r="BA135" t="str">
            <v>450x750</v>
          </cell>
          <cell r="BB135" t="str">
            <v>D1</v>
          </cell>
          <cell r="BC135" t="str">
            <v>in chung sp 605 trừ Đỏ cờ và Đen</v>
          </cell>
        </row>
        <row r="136">
          <cell r="A136" t="str">
            <v>sp 607</v>
          </cell>
          <cell r="B136" t="str">
            <v>Cuộn thuốc trừ sâu otoxes 200 SP màu vàng loại
10g Việt Thắng</v>
          </cell>
          <cell r="C136">
            <v>7.1999999999999993</v>
          </cell>
          <cell r="D136" t="str">
            <v>PET 12x560</v>
          </cell>
          <cell r="E136">
            <v>8</v>
          </cell>
          <cell r="F136">
            <v>8</v>
          </cell>
          <cell r="G136" t="str">
            <v xml:space="preserve">PET </v>
          </cell>
          <cell r="H136">
            <v>0.1</v>
          </cell>
          <cell r="I136">
            <v>0.8</v>
          </cell>
          <cell r="J136">
            <v>0.7</v>
          </cell>
          <cell r="K136">
            <v>0.1</v>
          </cell>
          <cell r="L136">
            <v>4.3</v>
          </cell>
          <cell r="M136">
            <v>0</v>
          </cell>
          <cell r="N136">
            <v>0</v>
          </cell>
          <cell r="O136">
            <v>0</v>
          </cell>
          <cell r="P136">
            <v>1.1000000000000001</v>
          </cell>
          <cell r="Q136">
            <v>0</v>
          </cell>
          <cell r="R136">
            <v>0.1</v>
          </cell>
          <cell r="S136">
            <v>0</v>
          </cell>
          <cell r="T136">
            <v>0</v>
          </cell>
          <cell r="U136">
            <v>0</v>
          </cell>
          <cell r="V136">
            <v>0</v>
          </cell>
          <cell r="W136">
            <v>0</v>
          </cell>
          <cell r="X136">
            <v>0</v>
          </cell>
          <cell r="Y136">
            <v>0</v>
          </cell>
          <cell r="Z136">
            <v>0</v>
          </cell>
          <cell r="AA136">
            <v>0</v>
          </cell>
          <cell r="AB136">
            <v>0</v>
          </cell>
          <cell r="AC136">
            <v>0</v>
          </cell>
          <cell r="AD136">
            <v>0</v>
          </cell>
          <cell r="AE136" t="str">
            <v>Al 6x560</v>
          </cell>
          <cell r="AF136" t="str">
            <v>PE 75x570</v>
          </cell>
          <cell r="AG136">
            <v>5.7363600000000008E-2</v>
          </cell>
          <cell r="AH136">
            <v>0.84333333333333338</v>
          </cell>
          <cell r="AI136">
            <v>1.1000000000000001</v>
          </cell>
          <cell r="AJ136">
            <v>9530</v>
          </cell>
          <cell r="AK136" t="str">
            <v>0,0053(0,0023;0,003)</v>
          </cell>
          <cell r="AL136">
            <v>0</v>
          </cell>
          <cell r="AM136" t="str">
            <v>Cuộn</v>
          </cell>
          <cell r="AN136">
            <v>0</v>
          </cell>
          <cell r="AO136" t="str">
            <v>Công ty Việt Thắng</v>
          </cell>
          <cell r="AP136">
            <v>0</v>
          </cell>
          <cell r="AQ136" t="str">
            <v>F114912-1</v>
          </cell>
          <cell r="AR136" t="str">
            <v>F114912-2</v>
          </cell>
          <cell r="AS136" t="str">
            <v>F114912-3</v>
          </cell>
          <cell r="AT136" t="str">
            <v>F114912-4</v>
          </cell>
          <cell r="AU136" t="str">
            <v>F114912-5</v>
          </cell>
          <cell r="AV136" t="str">
            <v>F114912-6</v>
          </cell>
          <cell r="AW136" t="str">
            <v>F114912-7</v>
          </cell>
          <cell r="AX136" t="str">
            <v>F114912-8</v>
          </cell>
          <cell r="BA136" t="str">
            <v>450x750</v>
          </cell>
          <cell r="BB136" t="str">
            <v>D1</v>
          </cell>
        </row>
        <row r="137">
          <cell r="A137" t="str">
            <v>sp 608</v>
          </cell>
          <cell r="B137" t="str">
            <v>Túi chè lụa màu xanh tân cương và đặc sản 500 gr</v>
          </cell>
          <cell r="C137">
            <v>6.6999999999999993</v>
          </cell>
          <cell r="D137" t="str">
            <v>OPP mờ 20x760</v>
          </cell>
          <cell r="E137" t="str">
            <v>sp568</v>
          </cell>
          <cell r="F137">
            <v>7</v>
          </cell>
          <cell r="G137" t="str">
            <v xml:space="preserve">OPP </v>
          </cell>
          <cell r="H137">
            <v>0.2</v>
          </cell>
          <cell r="I137">
            <v>3.2</v>
          </cell>
          <cell r="J137">
            <v>0.5</v>
          </cell>
          <cell r="K137">
            <v>0.3</v>
          </cell>
          <cell r="L137">
            <v>0.6</v>
          </cell>
          <cell r="M137">
            <v>0</v>
          </cell>
          <cell r="N137">
            <v>0</v>
          </cell>
          <cell r="O137">
            <v>1.4</v>
          </cell>
          <cell r="P137">
            <v>0</v>
          </cell>
          <cell r="Q137">
            <v>0</v>
          </cell>
          <cell r="R137">
            <v>0</v>
          </cell>
          <cell r="S137">
            <v>0.5</v>
          </cell>
          <cell r="T137">
            <v>0</v>
          </cell>
          <cell r="U137">
            <v>0</v>
          </cell>
          <cell r="V137">
            <v>0</v>
          </cell>
          <cell r="W137">
            <v>0</v>
          </cell>
          <cell r="X137">
            <v>0</v>
          </cell>
          <cell r="Y137">
            <v>0</v>
          </cell>
          <cell r="Z137">
            <v>0</v>
          </cell>
          <cell r="AA137">
            <v>0</v>
          </cell>
          <cell r="AB137">
            <v>0</v>
          </cell>
          <cell r="AC137">
            <v>0</v>
          </cell>
          <cell r="AD137">
            <v>0</v>
          </cell>
          <cell r="AE137" t="str">
            <v>MPET 12x760</v>
          </cell>
          <cell r="AF137" t="str">
            <v>PE 65x760</v>
          </cell>
          <cell r="AG137">
            <v>7.2295000000000012E-2</v>
          </cell>
          <cell r="AH137">
            <v>1.25</v>
          </cell>
          <cell r="AI137">
            <v>1.5</v>
          </cell>
          <cell r="AJ137">
            <v>9530</v>
          </cell>
          <cell r="AK137" t="str">
            <v>0,0055(0,0025;0,003)</v>
          </cell>
          <cell r="AL137">
            <v>0</v>
          </cell>
          <cell r="AM137" t="str">
            <v>Túi</v>
          </cell>
          <cell r="AN137">
            <v>0</v>
          </cell>
          <cell r="AO137" t="str">
            <v>Bùi Văn Sỹ</v>
          </cell>
          <cell r="AP137">
            <v>0</v>
          </cell>
          <cell r="AQ137" t="str">
            <v>1801664-1</v>
          </cell>
          <cell r="AR137" t="str">
            <v>1801664-2</v>
          </cell>
          <cell r="AS137" t="str">
            <v>1607497-3</v>
          </cell>
          <cell r="AT137" t="str">
            <v>1801664-4</v>
          </cell>
          <cell r="AU137" t="str">
            <v>1607497-5</v>
          </cell>
          <cell r="AV137" t="str">
            <v>1607497-6</v>
          </cell>
          <cell r="AW137" t="str">
            <v>1607497-7</v>
          </cell>
          <cell r="BA137" t="str">
            <v>420x850</v>
          </cell>
          <cell r="BB137" t="str">
            <v>F1</v>
          </cell>
          <cell r="BC137" t="str">
            <v>in chung sp 568</v>
          </cell>
        </row>
        <row r="138">
          <cell r="A138" t="str">
            <v>sp 610</v>
          </cell>
          <cell r="B138" t="str">
            <v>Cuộn bánh trứng lipo bơ 2,5kg Alpha</v>
          </cell>
          <cell r="C138">
            <v>7.1400000000000006</v>
          </cell>
          <cell r="D138" t="str">
            <v>OPP 20x720</v>
          </cell>
          <cell r="E138">
            <v>7</v>
          </cell>
          <cell r="F138">
            <v>7</v>
          </cell>
          <cell r="G138" t="str">
            <v xml:space="preserve">OPP </v>
          </cell>
          <cell r="H138">
            <v>0.1</v>
          </cell>
          <cell r="I138">
            <v>3</v>
          </cell>
          <cell r="J138">
            <v>0.1</v>
          </cell>
          <cell r="K138">
            <v>0.14000000000000001</v>
          </cell>
          <cell r="L138">
            <v>2.4</v>
          </cell>
          <cell r="M138">
            <v>0.9</v>
          </cell>
          <cell r="N138">
            <v>0</v>
          </cell>
          <cell r="O138">
            <v>0</v>
          </cell>
          <cell r="P138">
            <v>0.2</v>
          </cell>
          <cell r="Q138">
            <v>0.3</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t="str">
            <v>MCPP 25x720</v>
          </cell>
          <cell r="AF138">
            <v>0</v>
          </cell>
          <cell r="AG138">
            <v>2.9484E-2</v>
          </cell>
          <cell r="AH138">
            <v>1.0413333333333334</v>
          </cell>
          <cell r="AI138">
            <v>0</v>
          </cell>
          <cell r="AJ138">
            <v>9530</v>
          </cell>
          <cell r="AK138">
            <v>2.2000000000000001E-3</v>
          </cell>
          <cell r="AL138">
            <v>0</v>
          </cell>
          <cell r="AM138" t="str">
            <v>Cuộn</v>
          </cell>
          <cell r="AN138">
            <v>0</v>
          </cell>
          <cell r="AO138" t="str">
            <v>Công ty Quốc tế Alpha</v>
          </cell>
          <cell r="AP138">
            <v>0</v>
          </cell>
          <cell r="AQ138" t="str">
            <v>1608428-1</v>
          </cell>
          <cell r="AR138" t="str">
            <v>1608428-2</v>
          </cell>
          <cell r="AS138" t="str">
            <v>1608428-3</v>
          </cell>
          <cell r="AT138" t="str">
            <v>1608428-4</v>
          </cell>
          <cell r="AU138" t="str">
            <v>1608428-5</v>
          </cell>
          <cell r="AV138" t="str">
            <v>1608428-6</v>
          </cell>
          <cell r="AW138" t="str">
            <v>1608428-7</v>
          </cell>
          <cell r="BA138" t="str">
            <v>460x850</v>
          </cell>
          <cell r="BB138" t="str">
            <v>C1</v>
          </cell>
        </row>
        <row r="139">
          <cell r="A139" t="str">
            <v>sp 611</v>
          </cell>
          <cell r="B139" t="str">
            <v>Cuộn màng otoxes 200SP cậu bé bắn cung 18g
 Việt Thắng</v>
          </cell>
          <cell r="C139">
            <v>4.7399999999999993</v>
          </cell>
          <cell r="D139" t="str">
            <v>PET 12x580</v>
          </cell>
          <cell r="E139">
            <v>7</v>
          </cell>
          <cell r="F139">
            <v>7</v>
          </cell>
          <cell r="G139" t="str">
            <v xml:space="preserve">PET </v>
          </cell>
          <cell r="H139">
            <v>0.1</v>
          </cell>
          <cell r="I139">
            <v>3.6</v>
          </cell>
          <cell r="J139">
            <v>0.5</v>
          </cell>
          <cell r="K139">
            <v>0.14000000000000001</v>
          </cell>
          <cell r="L139">
            <v>0.2</v>
          </cell>
          <cell r="M139">
            <v>0</v>
          </cell>
          <cell r="N139">
            <v>0</v>
          </cell>
          <cell r="O139">
            <v>0.1</v>
          </cell>
          <cell r="P139">
            <v>0</v>
          </cell>
          <cell r="Q139">
            <v>0</v>
          </cell>
          <cell r="R139">
            <v>0.1</v>
          </cell>
          <cell r="S139">
            <v>0</v>
          </cell>
          <cell r="T139">
            <v>0</v>
          </cell>
          <cell r="U139">
            <v>0</v>
          </cell>
          <cell r="V139">
            <v>0</v>
          </cell>
          <cell r="W139">
            <v>0</v>
          </cell>
          <cell r="X139">
            <v>0</v>
          </cell>
          <cell r="Y139">
            <v>0</v>
          </cell>
          <cell r="Z139">
            <v>0</v>
          </cell>
          <cell r="AA139">
            <v>0</v>
          </cell>
          <cell r="AB139">
            <v>0</v>
          </cell>
          <cell r="AC139">
            <v>0</v>
          </cell>
          <cell r="AD139">
            <v>0</v>
          </cell>
          <cell r="AE139" t="str">
            <v>Al 6x580</v>
          </cell>
          <cell r="AF139" t="str">
            <v>PE 75x590</v>
          </cell>
          <cell r="AG139">
            <v>5.9412299999999994E-2</v>
          </cell>
          <cell r="AH139">
            <v>0.87399999999999989</v>
          </cell>
          <cell r="AI139">
            <v>1.1399999999999999</v>
          </cell>
          <cell r="AJ139">
            <v>9530</v>
          </cell>
          <cell r="AK139" t="str">
            <v>0,0053(0,0023;0,003)</v>
          </cell>
          <cell r="AL139">
            <v>0</v>
          </cell>
          <cell r="AM139" t="str">
            <v>Cuộn</v>
          </cell>
          <cell r="AN139">
            <v>0</v>
          </cell>
          <cell r="AO139" t="str">
            <v>Công ty Việt Thắng</v>
          </cell>
          <cell r="AP139">
            <v>0</v>
          </cell>
          <cell r="AQ139" t="str">
            <v>F115206-1</v>
          </cell>
          <cell r="AR139" t="str">
            <v>F115206-2</v>
          </cell>
          <cell r="AS139" t="str">
            <v>F115206-3</v>
          </cell>
          <cell r="AT139" t="str">
            <v>F115206-4</v>
          </cell>
          <cell r="AU139" t="str">
            <v>F115206-5</v>
          </cell>
          <cell r="AV139" t="str">
            <v>F115206-6</v>
          </cell>
          <cell r="AW139" t="str">
            <v>F115206-7</v>
          </cell>
          <cell r="AX139">
            <v>0</v>
          </cell>
          <cell r="AY139">
            <v>0</v>
          </cell>
          <cell r="AZ139">
            <v>0</v>
          </cell>
          <cell r="BA139" t="str">
            <v>750x450</v>
          </cell>
          <cell r="BB139" t="str">
            <v>D1</v>
          </cell>
          <cell r="BC139">
            <v>0</v>
          </cell>
        </row>
        <row r="140">
          <cell r="A140" t="str">
            <v>sp 612</v>
          </cell>
          <cell r="B140" t="str">
            <v>Cuộn màng otoxes 200SP cậu bé bắn cung 10g
 Việt Thắng</v>
          </cell>
          <cell r="C140">
            <v>4.7399999999999993</v>
          </cell>
          <cell r="D140" t="str">
            <v>PET 12x580</v>
          </cell>
          <cell r="E140">
            <v>4</v>
          </cell>
          <cell r="F140">
            <v>7</v>
          </cell>
          <cell r="G140" t="str">
            <v xml:space="preserve">PET </v>
          </cell>
          <cell r="H140">
            <v>0.1</v>
          </cell>
          <cell r="I140">
            <v>3.6</v>
          </cell>
          <cell r="J140">
            <v>0.5</v>
          </cell>
          <cell r="K140">
            <v>0.14000000000000001</v>
          </cell>
          <cell r="L140">
            <v>0.2</v>
          </cell>
          <cell r="M140">
            <v>0</v>
          </cell>
          <cell r="N140">
            <v>0</v>
          </cell>
          <cell r="O140">
            <v>0.1</v>
          </cell>
          <cell r="P140">
            <v>0</v>
          </cell>
          <cell r="Q140">
            <v>0</v>
          </cell>
          <cell r="R140">
            <v>0.1</v>
          </cell>
          <cell r="S140">
            <v>0</v>
          </cell>
          <cell r="T140">
            <v>0</v>
          </cell>
          <cell r="U140">
            <v>0</v>
          </cell>
          <cell r="V140">
            <v>0</v>
          </cell>
          <cell r="W140">
            <v>0</v>
          </cell>
          <cell r="X140">
            <v>0</v>
          </cell>
          <cell r="Y140">
            <v>0</v>
          </cell>
          <cell r="Z140">
            <v>0</v>
          </cell>
          <cell r="AA140">
            <v>0</v>
          </cell>
          <cell r="AB140">
            <v>0</v>
          </cell>
          <cell r="AC140">
            <v>0</v>
          </cell>
          <cell r="AD140">
            <v>0</v>
          </cell>
          <cell r="AE140" t="str">
            <v>Al 6x580</v>
          </cell>
          <cell r="AF140" t="str">
            <v>PE 75x590</v>
          </cell>
          <cell r="AG140">
            <v>5.9412299999999994E-2</v>
          </cell>
          <cell r="AH140">
            <v>0.87399999999999989</v>
          </cell>
          <cell r="AI140">
            <v>1.1399999999999999</v>
          </cell>
          <cell r="AJ140">
            <v>9530</v>
          </cell>
          <cell r="AK140" t="str">
            <v>0,0053(0,0023;0,003)</v>
          </cell>
          <cell r="AL140">
            <v>0</v>
          </cell>
          <cell r="AM140" t="str">
            <v>Cuộn</v>
          </cell>
          <cell r="AN140">
            <v>0</v>
          </cell>
          <cell r="AO140" t="str">
            <v>Công ty Việt Thắng</v>
          </cell>
          <cell r="AP140">
            <v>0</v>
          </cell>
          <cell r="AQ140" t="str">
            <v>F115206-1</v>
          </cell>
          <cell r="AR140" t="str">
            <v>F115208-2</v>
          </cell>
          <cell r="AS140" t="str">
            <v>F115208-3</v>
          </cell>
          <cell r="AT140" t="str">
            <v>F115208-4</v>
          </cell>
          <cell r="AU140" t="str">
            <v>F115208-5</v>
          </cell>
          <cell r="AV140" t="str">
            <v>F115208-6</v>
          </cell>
          <cell r="AW140" t="str">
            <v>F115208-7</v>
          </cell>
          <cell r="AX140">
            <v>0</v>
          </cell>
          <cell r="AY140">
            <v>0</v>
          </cell>
          <cell r="AZ140">
            <v>0</v>
          </cell>
          <cell r="BA140" t="str">
            <v>450x750</v>
          </cell>
          <cell r="BB140" t="str">
            <v>D1</v>
          </cell>
          <cell r="BC140">
            <v>0</v>
          </cell>
        </row>
        <row r="141">
          <cell r="A141" t="str">
            <v>sp 613</v>
          </cell>
          <cell r="B141" t="str">
            <v>Túi thuốc trừ bệnh Ajily 77WP 100g Việt Thắng</v>
          </cell>
          <cell r="C141">
            <v>8.1999999999999993</v>
          </cell>
          <cell r="D141" t="str">
            <v>PET 12x660</v>
          </cell>
          <cell r="E141">
            <v>6</v>
          </cell>
          <cell r="F141">
            <v>6</v>
          </cell>
          <cell r="G141" t="str">
            <v xml:space="preserve">PET </v>
          </cell>
          <cell r="H141">
            <v>0.1</v>
          </cell>
          <cell r="I141">
            <v>5.4</v>
          </cell>
          <cell r="J141">
            <v>0.2</v>
          </cell>
          <cell r="K141">
            <v>0.1</v>
          </cell>
          <cell r="L141">
            <v>0.2</v>
          </cell>
          <cell r="M141">
            <v>1.3</v>
          </cell>
          <cell r="N141">
            <v>0</v>
          </cell>
          <cell r="O141">
            <v>0</v>
          </cell>
          <cell r="P141">
            <v>0</v>
          </cell>
          <cell r="Q141">
            <v>0</v>
          </cell>
          <cell r="R141">
            <v>0.9</v>
          </cell>
          <cell r="S141">
            <v>0</v>
          </cell>
          <cell r="T141">
            <v>0</v>
          </cell>
          <cell r="U141">
            <v>0</v>
          </cell>
          <cell r="V141">
            <v>0</v>
          </cell>
          <cell r="W141">
            <v>0</v>
          </cell>
          <cell r="X141">
            <v>0</v>
          </cell>
          <cell r="Y141">
            <v>0</v>
          </cell>
          <cell r="Z141">
            <v>0</v>
          </cell>
          <cell r="AA141">
            <v>0</v>
          </cell>
          <cell r="AB141">
            <v>0</v>
          </cell>
          <cell r="AC141">
            <v>0</v>
          </cell>
          <cell r="AD141">
            <v>0</v>
          </cell>
          <cell r="AE141" t="str">
            <v>AL 6x660</v>
          </cell>
          <cell r="AF141" t="str">
            <v>PE 75x670</v>
          </cell>
          <cell r="AG141">
            <v>6.7607100000000003E-2</v>
          </cell>
          <cell r="AH141">
            <v>0.99666666666666659</v>
          </cell>
          <cell r="AI141">
            <v>1.3</v>
          </cell>
          <cell r="AJ141">
            <v>9530</v>
          </cell>
          <cell r="AK141" t="str">
            <v>0,0053(0,0023;0,003)</v>
          </cell>
          <cell r="AL141">
            <v>0</v>
          </cell>
          <cell r="AM141" t="str">
            <v>Túi</v>
          </cell>
          <cell r="AN141">
            <v>0</v>
          </cell>
          <cell r="AO141" t="str">
            <v>Công ty Việt Thắng</v>
          </cell>
          <cell r="AP141">
            <v>0</v>
          </cell>
          <cell r="AQ141" t="str">
            <v>16081472-1</v>
          </cell>
          <cell r="AR141" t="str">
            <v>16081472-2</v>
          </cell>
          <cell r="AS141" t="str">
            <v>16081472-3</v>
          </cell>
          <cell r="AT141" t="str">
            <v>16081472-4</v>
          </cell>
          <cell r="AU141" t="str">
            <v>16081472-5</v>
          </cell>
          <cell r="AV141" t="str">
            <v>16081472-6</v>
          </cell>
          <cell r="BA141" t="str">
            <v>440x780</v>
          </cell>
          <cell r="BB141" t="str">
            <v>D2</v>
          </cell>
        </row>
        <row r="142">
          <cell r="A142" t="str">
            <v>sp 626</v>
          </cell>
          <cell r="B142" t="str">
            <v>Túi chè lụa màu xanh tân cương và đặc sản 200g loại 5</v>
          </cell>
          <cell r="C142">
            <v>4.0299999999999994</v>
          </cell>
          <cell r="D142" t="str">
            <v>OPP mờ 20x920</v>
          </cell>
          <cell r="E142" t="str">
            <v>sp 567</v>
          </cell>
          <cell r="F142">
            <v>7</v>
          </cell>
          <cell r="G142" t="str">
            <v xml:space="preserve">OPP </v>
          </cell>
          <cell r="H142">
            <v>0.1</v>
          </cell>
          <cell r="I142">
            <v>2.2000000000000002</v>
          </cell>
          <cell r="J142">
            <v>0.36</v>
          </cell>
          <cell r="K142">
            <v>0.27</v>
          </cell>
          <cell r="L142">
            <v>0.7</v>
          </cell>
          <cell r="M142">
            <v>0.3</v>
          </cell>
          <cell r="N142">
            <v>0</v>
          </cell>
          <cell r="O142" t="str">
            <v xml:space="preserve"> </v>
          </cell>
          <cell r="P142">
            <v>0</v>
          </cell>
          <cell r="Q142">
            <v>0</v>
          </cell>
          <cell r="R142">
            <v>0</v>
          </cell>
          <cell r="S142">
            <v>0.1</v>
          </cell>
          <cell r="T142">
            <v>0</v>
          </cell>
          <cell r="U142">
            <v>0</v>
          </cell>
          <cell r="V142">
            <v>0</v>
          </cell>
          <cell r="W142">
            <v>0</v>
          </cell>
          <cell r="X142">
            <v>0</v>
          </cell>
          <cell r="Y142">
            <v>0</v>
          </cell>
          <cell r="Z142">
            <v>0</v>
          </cell>
          <cell r="AA142">
            <v>0</v>
          </cell>
          <cell r="AB142">
            <v>0</v>
          </cell>
          <cell r="AC142">
            <v>0</v>
          </cell>
          <cell r="AD142">
            <v>0</v>
          </cell>
          <cell r="AE142" t="str">
            <v>MPET 12x920</v>
          </cell>
          <cell r="AF142" t="str">
            <v>PE 65x920</v>
          </cell>
          <cell r="AG142">
            <v>8.7515000000000023E-2</v>
          </cell>
          <cell r="AH142">
            <v>1.5166666666666668</v>
          </cell>
          <cell r="AI142">
            <v>1.82</v>
          </cell>
          <cell r="AJ142">
            <v>9530</v>
          </cell>
          <cell r="AK142" t="str">
            <v>0,0055(0,0025;0,003)</v>
          </cell>
          <cell r="AL142">
            <v>0</v>
          </cell>
          <cell r="AM142" t="str">
            <v>Túi</v>
          </cell>
          <cell r="AN142">
            <v>0</v>
          </cell>
          <cell r="AO142" t="str">
            <v>Bùi Văn Sỹ</v>
          </cell>
          <cell r="AP142">
            <v>0</v>
          </cell>
          <cell r="AQ142" t="str">
            <v>1607496-1</v>
          </cell>
          <cell r="AR142" t="str">
            <v>1607496-2</v>
          </cell>
          <cell r="AS142" t="str">
            <v>1607496-3</v>
          </cell>
          <cell r="AT142" t="str">
            <v>1607496-4</v>
          </cell>
          <cell r="AU142" t="str">
            <v>1607496-5</v>
          </cell>
          <cell r="AV142" t="str">
            <v>1607496-6</v>
          </cell>
          <cell r="AW142" t="str">
            <v>1607496-7</v>
          </cell>
          <cell r="BA142" t="str">
            <v>680x1100</v>
          </cell>
          <cell r="BB142" t="str">
            <v>F1</v>
          </cell>
          <cell r="BC142" t="str">
            <v>in chung sp 567</v>
          </cell>
        </row>
        <row r="143">
          <cell r="A143" t="str">
            <v>sp 627</v>
          </cell>
          <cell r="B143" t="str">
            <v xml:space="preserve">Trục in cuộn màng otoxes 200SP cậu bé bắn cung 15g Việt Thắng </v>
          </cell>
          <cell r="C143">
            <v>0</v>
          </cell>
          <cell r="D143">
            <v>0</v>
          </cell>
          <cell r="E143">
            <v>1</v>
          </cell>
          <cell r="F143">
            <v>7</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t="str">
            <v>Công ty Việt Thắng</v>
          </cell>
          <cell r="AP143">
            <v>0</v>
          </cell>
          <cell r="AQ143" t="str">
            <v>F115207-1</v>
          </cell>
          <cell r="AR143" t="str">
            <v>F115208-2</v>
          </cell>
          <cell r="AS143" t="str">
            <v>F115208-3</v>
          </cell>
          <cell r="AT143" t="str">
            <v>F115208-4</v>
          </cell>
          <cell r="AU143" t="str">
            <v>F115208-5</v>
          </cell>
          <cell r="AV143" t="str">
            <v>F115208-6</v>
          </cell>
          <cell r="AW143" t="str">
            <v>F115208-7</v>
          </cell>
          <cell r="BA143" t="str">
            <v>750x450</v>
          </cell>
          <cell r="BB143" t="str">
            <v>D2</v>
          </cell>
        </row>
        <row r="144">
          <cell r="A144" t="str">
            <v>sp 630</v>
          </cell>
          <cell r="B144" t="str">
            <v>Túi lúa mới TBR225XN1 1kg Thái Bình</v>
          </cell>
          <cell r="C144">
            <v>5.25</v>
          </cell>
          <cell r="D144" t="str">
            <v>OPP 20x900</v>
          </cell>
          <cell r="E144">
            <v>8</v>
          </cell>
          <cell r="F144">
            <v>8</v>
          </cell>
          <cell r="G144" t="str">
            <v xml:space="preserve">OPP </v>
          </cell>
          <cell r="H144">
            <v>0.1</v>
          </cell>
          <cell r="I144">
            <v>2.5</v>
          </cell>
          <cell r="J144">
            <v>0.2</v>
          </cell>
          <cell r="K144">
            <v>0.2</v>
          </cell>
          <cell r="L144">
            <v>0.9</v>
          </cell>
          <cell r="M144">
            <v>0.5</v>
          </cell>
          <cell r="N144">
            <v>0</v>
          </cell>
          <cell r="O144">
            <v>0.2</v>
          </cell>
          <cell r="P144">
            <v>0</v>
          </cell>
          <cell r="Q144">
            <v>0.05</v>
          </cell>
          <cell r="R144">
            <v>0.1</v>
          </cell>
          <cell r="S144">
            <v>0</v>
          </cell>
          <cell r="T144">
            <v>0.5</v>
          </cell>
          <cell r="U144">
            <v>0</v>
          </cell>
          <cell r="V144">
            <v>0</v>
          </cell>
          <cell r="W144">
            <v>0</v>
          </cell>
          <cell r="X144">
            <v>0</v>
          </cell>
          <cell r="Y144">
            <v>0</v>
          </cell>
          <cell r="Z144">
            <v>0.8</v>
          </cell>
          <cell r="AA144">
            <v>0</v>
          </cell>
          <cell r="AB144">
            <v>0</v>
          </cell>
          <cell r="AC144">
            <v>0</v>
          </cell>
          <cell r="AD144">
            <v>0</v>
          </cell>
          <cell r="AE144" t="str">
            <v>PE 80x900</v>
          </cell>
          <cell r="AF144">
            <v>0</v>
          </cell>
          <cell r="AG144">
            <v>8.2980000000000012E-2</v>
          </cell>
          <cell r="AH144">
            <v>1.4833333333333334</v>
          </cell>
          <cell r="AI144">
            <v>0</v>
          </cell>
          <cell r="AJ144">
            <v>9530</v>
          </cell>
          <cell r="AK144">
            <v>2.5000000000000001E-3</v>
          </cell>
          <cell r="AL144">
            <v>0</v>
          </cell>
          <cell r="AM144">
            <v>0</v>
          </cell>
          <cell r="AN144">
            <v>0</v>
          </cell>
          <cell r="AO144" t="str">
            <v>Công ty Thái Bình</v>
          </cell>
          <cell r="AP144">
            <v>0</v>
          </cell>
          <cell r="AQ144" t="str">
            <v>1710841-1</v>
          </cell>
          <cell r="AR144" t="str">
            <v>1903063-2</v>
          </cell>
          <cell r="AS144" t="str">
            <v>1609240-3</v>
          </cell>
          <cell r="AT144" t="str">
            <v>1903063-4</v>
          </cell>
          <cell r="AU144" t="str">
            <v>1911489-5</v>
          </cell>
          <cell r="AV144" t="str">
            <v>19121037-6</v>
          </cell>
          <cell r="AW144" t="str">
            <v>20110138-7</v>
          </cell>
          <cell r="AX144" t="str">
            <v>20110138-8</v>
          </cell>
          <cell r="BA144" t="str">
            <v>620x1100</v>
          </cell>
          <cell r="BB144" t="str">
            <v>I1</v>
          </cell>
        </row>
        <row r="145">
          <cell r="A145" t="str">
            <v>sp 634</v>
          </cell>
          <cell r="B145" t="str">
            <v>Túi lúa mới TBR225XN1  40kg Thái Bình</v>
          </cell>
          <cell r="C145">
            <v>2.9</v>
          </cell>
          <cell r="D145" t="str">
            <v>OPP 18x690</v>
          </cell>
          <cell r="E145">
            <v>8</v>
          </cell>
          <cell r="F145">
            <v>8</v>
          </cell>
          <cell r="G145" t="str">
            <v xml:space="preserve">OPP </v>
          </cell>
          <cell r="H145">
            <v>0.1</v>
          </cell>
          <cell r="I145">
            <v>0</v>
          </cell>
          <cell r="J145">
            <v>0.1</v>
          </cell>
          <cell r="K145">
            <v>0.2</v>
          </cell>
          <cell r="L145">
            <v>1</v>
          </cell>
          <cell r="M145">
            <v>0.5</v>
          </cell>
          <cell r="N145">
            <v>0</v>
          </cell>
          <cell r="O145">
            <v>0.7</v>
          </cell>
          <cell r="P145">
            <v>0</v>
          </cell>
          <cell r="Q145">
            <v>0.1</v>
          </cell>
          <cell r="R145">
            <v>0</v>
          </cell>
          <cell r="S145">
            <v>0</v>
          </cell>
          <cell r="T145">
            <v>0.2</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t="str">
            <v>Cuộn</v>
          </cell>
          <cell r="AN145">
            <v>0</v>
          </cell>
          <cell r="AO145" t="str">
            <v>Công ty Thái Bình</v>
          </cell>
          <cell r="AP145">
            <v>0</v>
          </cell>
          <cell r="AQ145" t="str">
            <v>17101029-1</v>
          </cell>
          <cell r="AR145" t="str">
            <v>1602242-2</v>
          </cell>
          <cell r="AS145" t="str">
            <v>17101029-3</v>
          </cell>
          <cell r="AT145" t="str">
            <v>1710745-4</v>
          </cell>
          <cell r="AU145" t="str">
            <v>17101029-5</v>
          </cell>
          <cell r="AV145" t="str">
            <v>1602242-6</v>
          </cell>
          <cell r="AW145" t="str">
            <v>1903062-7</v>
          </cell>
          <cell r="AX145" t="str">
            <v>1602242-8</v>
          </cell>
          <cell r="BA145" t="str">
            <v>1100x850</v>
          </cell>
          <cell r="BB145" t="str">
            <v>K1</v>
          </cell>
        </row>
        <row r="146">
          <cell r="A146" t="str">
            <v>sp 638</v>
          </cell>
          <cell r="B146" t="str">
            <v>Túi lúa mới TBR1 XN1 1kg Thái Bình</v>
          </cell>
          <cell r="C146">
            <v>4.34</v>
          </cell>
          <cell r="D146" t="str">
            <v>OPP 20x900</v>
          </cell>
          <cell r="E146">
            <v>3</v>
          </cell>
          <cell r="F146">
            <v>8</v>
          </cell>
          <cell r="G146" t="str">
            <v xml:space="preserve">OPP </v>
          </cell>
          <cell r="H146">
            <v>0.2</v>
          </cell>
          <cell r="I146">
            <v>2.1</v>
          </cell>
          <cell r="J146">
            <v>0.3</v>
          </cell>
          <cell r="K146">
            <v>0.14000000000000001</v>
          </cell>
          <cell r="L146">
            <v>0.43</v>
          </cell>
          <cell r="M146">
            <v>0.62</v>
          </cell>
          <cell r="N146">
            <v>0</v>
          </cell>
          <cell r="O146">
            <v>0.45</v>
          </cell>
          <cell r="P146">
            <v>0</v>
          </cell>
          <cell r="Q146">
            <v>0</v>
          </cell>
          <cell r="R146">
            <v>0</v>
          </cell>
          <cell r="S146">
            <v>0</v>
          </cell>
          <cell r="T146">
            <v>0.1</v>
          </cell>
          <cell r="U146">
            <v>0</v>
          </cell>
          <cell r="V146">
            <v>0</v>
          </cell>
          <cell r="W146">
            <v>0</v>
          </cell>
          <cell r="X146">
            <v>0</v>
          </cell>
          <cell r="Y146">
            <v>0</v>
          </cell>
          <cell r="Z146">
            <v>0</v>
          </cell>
          <cell r="AA146">
            <v>0</v>
          </cell>
          <cell r="AB146">
            <v>0</v>
          </cell>
          <cell r="AC146">
            <v>0</v>
          </cell>
          <cell r="AD146">
            <v>0</v>
          </cell>
          <cell r="AE146" t="str">
            <v>PE 80x900</v>
          </cell>
          <cell r="AF146">
            <v>0</v>
          </cell>
          <cell r="AG146">
            <v>8.2980000000000012E-2</v>
          </cell>
          <cell r="AH146">
            <v>1.4833333333333334</v>
          </cell>
          <cell r="AI146">
            <v>0</v>
          </cell>
          <cell r="AJ146">
            <v>9530</v>
          </cell>
          <cell r="AK146">
            <v>2.5000000000000001E-3</v>
          </cell>
          <cell r="AL146">
            <v>0</v>
          </cell>
          <cell r="AM146" t="str">
            <v>Ba biên</v>
          </cell>
          <cell r="AN146">
            <v>0</v>
          </cell>
          <cell r="AO146" t="str">
            <v>Công ty Thái Bình</v>
          </cell>
          <cell r="AP146">
            <v>0</v>
          </cell>
          <cell r="AQ146" t="str">
            <v>1710841-1</v>
          </cell>
          <cell r="AR146" t="str">
            <v>1903063-2</v>
          </cell>
          <cell r="AS146" t="str">
            <v>1609240-3</v>
          </cell>
          <cell r="AT146" t="str">
            <v>1903063-4</v>
          </cell>
          <cell r="AU146" t="str">
            <v>1609518-5</v>
          </cell>
          <cell r="AV146" t="str">
            <v>1609518-6</v>
          </cell>
          <cell r="AW146" t="str">
            <v>1902522-7</v>
          </cell>
          <cell r="AX146" t="str">
            <v>20110138-8</v>
          </cell>
          <cell r="AY146">
            <v>0</v>
          </cell>
          <cell r="AZ146">
            <v>0</v>
          </cell>
          <cell r="BA146" t="str">
            <v>620x1100</v>
          </cell>
          <cell r="BB146" t="str">
            <v>I1</v>
          </cell>
          <cell r="BC146" t="str">
            <v xml:space="preserve">in chung với bộ 630 khác cây số 5,6,7 </v>
          </cell>
        </row>
        <row r="147">
          <cell r="A147" t="str">
            <v>sp 639</v>
          </cell>
          <cell r="B147" t="str">
            <v>Túi lúa mới BC15XN1 1kg Thái Bình</v>
          </cell>
          <cell r="C147">
            <v>4.7799999999999994</v>
          </cell>
          <cell r="D147" t="str">
            <v>OPP 20x900</v>
          </cell>
          <cell r="E147">
            <v>4</v>
          </cell>
          <cell r="F147">
            <v>8</v>
          </cell>
          <cell r="G147" t="str">
            <v xml:space="preserve">OPP </v>
          </cell>
          <cell r="H147">
            <v>0.1</v>
          </cell>
          <cell r="I147">
            <v>2.2999999999999998</v>
          </cell>
          <cell r="J147">
            <v>0.15</v>
          </cell>
          <cell r="K147">
            <v>0.1</v>
          </cell>
          <cell r="L147">
            <v>1.25</v>
          </cell>
          <cell r="M147">
            <v>0.5</v>
          </cell>
          <cell r="N147">
            <v>0</v>
          </cell>
          <cell r="O147">
            <v>0.15</v>
          </cell>
          <cell r="P147">
            <v>0.02</v>
          </cell>
          <cell r="Q147">
            <v>0.01</v>
          </cell>
          <cell r="R147">
            <v>0</v>
          </cell>
          <cell r="S147">
            <v>0</v>
          </cell>
          <cell r="T147">
            <v>0.1</v>
          </cell>
          <cell r="U147">
            <v>0.1</v>
          </cell>
          <cell r="V147">
            <v>0</v>
          </cell>
          <cell r="W147">
            <v>0</v>
          </cell>
          <cell r="X147">
            <v>0</v>
          </cell>
          <cell r="Y147">
            <v>0</v>
          </cell>
          <cell r="Z147">
            <v>0</v>
          </cell>
          <cell r="AA147">
            <v>0</v>
          </cell>
          <cell r="AB147">
            <v>0</v>
          </cell>
          <cell r="AC147">
            <v>0</v>
          </cell>
          <cell r="AD147">
            <v>0</v>
          </cell>
          <cell r="AE147" t="str">
            <v>PE 80x900</v>
          </cell>
          <cell r="AF147">
            <v>0</v>
          </cell>
          <cell r="AG147">
            <v>8.2980000000000012E-2</v>
          </cell>
          <cell r="AH147">
            <v>1.4833333333333334</v>
          </cell>
          <cell r="AI147">
            <v>0</v>
          </cell>
          <cell r="AJ147">
            <v>9530</v>
          </cell>
          <cell r="AK147">
            <v>2.5000000000000001E-3</v>
          </cell>
          <cell r="AL147">
            <v>0</v>
          </cell>
          <cell r="AM147" t="str">
            <v>Túi</v>
          </cell>
          <cell r="AN147">
            <v>0</v>
          </cell>
          <cell r="AO147" t="str">
            <v>Công ty Thái Bình</v>
          </cell>
          <cell r="AP147">
            <v>0</v>
          </cell>
          <cell r="AQ147" t="str">
            <v>1902520-1</v>
          </cell>
          <cell r="AR147" t="str">
            <v>1903063-2</v>
          </cell>
          <cell r="AS147" t="str">
            <v>1609240-3</v>
          </cell>
          <cell r="AT147" t="str">
            <v>1903063-4</v>
          </cell>
          <cell r="AU147" t="str">
            <v>1902520-5</v>
          </cell>
          <cell r="AV147" t="str">
            <v>1609519-6</v>
          </cell>
          <cell r="AW147" t="str">
            <v>1902520-7</v>
          </cell>
          <cell r="AX147" t="str">
            <v>20110138-8</v>
          </cell>
          <cell r="AY147">
            <v>0</v>
          </cell>
          <cell r="AZ147">
            <v>0</v>
          </cell>
          <cell r="BA147" t="str">
            <v>620x1100</v>
          </cell>
          <cell r="BB147" t="str">
            <v>I1</v>
          </cell>
          <cell r="BC147" t="str">
            <v>in chung sp 630 khác cây số 1,5,6,7</v>
          </cell>
        </row>
        <row r="148">
          <cell r="A148" t="str">
            <v>sp 640</v>
          </cell>
          <cell r="B148" t="str">
            <v>Túi lúa mới TBR36XN1 1kg Thái Bình</v>
          </cell>
          <cell r="C148">
            <v>5.64</v>
          </cell>
          <cell r="D148" t="str">
            <v>OPP 20x900</v>
          </cell>
          <cell r="E148">
            <v>3</v>
          </cell>
          <cell r="F148">
            <v>8</v>
          </cell>
          <cell r="G148" t="str">
            <v xml:space="preserve">OPP </v>
          </cell>
          <cell r="H148">
            <v>0.1</v>
          </cell>
          <cell r="I148">
            <v>2.7</v>
          </cell>
          <cell r="J148">
            <v>0.2</v>
          </cell>
          <cell r="K148">
            <v>0.14000000000000001</v>
          </cell>
          <cell r="L148">
            <v>1.5</v>
          </cell>
          <cell r="M148">
            <v>0.5</v>
          </cell>
          <cell r="N148">
            <v>0</v>
          </cell>
          <cell r="O148">
            <v>0.1</v>
          </cell>
          <cell r="P148">
            <v>0</v>
          </cell>
          <cell r="Q148">
            <v>0.2</v>
          </cell>
          <cell r="R148">
            <v>0</v>
          </cell>
          <cell r="S148">
            <v>0</v>
          </cell>
          <cell r="T148">
            <v>0.1</v>
          </cell>
          <cell r="U148">
            <v>0.1</v>
          </cell>
          <cell r="V148">
            <v>0</v>
          </cell>
          <cell r="W148">
            <v>0</v>
          </cell>
          <cell r="X148">
            <v>0</v>
          </cell>
          <cell r="Y148">
            <v>0</v>
          </cell>
          <cell r="Z148">
            <v>0</v>
          </cell>
          <cell r="AA148">
            <v>0</v>
          </cell>
          <cell r="AB148">
            <v>0</v>
          </cell>
          <cell r="AC148">
            <v>0</v>
          </cell>
          <cell r="AD148">
            <v>0</v>
          </cell>
          <cell r="AE148" t="str">
            <v>PE 80x900</v>
          </cell>
          <cell r="AF148">
            <v>0</v>
          </cell>
          <cell r="AG148">
            <v>8.2980000000000012E-2</v>
          </cell>
          <cell r="AH148">
            <v>1.4833333333333334</v>
          </cell>
          <cell r="AI148">
            <v>0</v>
          </cell>
          <cell r="AJ148">
            <v>9530</v>
          </cell>
          <cell r="AK148">
            <v>2.5000000000000001E-3</v>
          </cell>
          <cell r="AL148">
            <v>0</v>
          </cell>
          <cell r="AM148" t="str">
            <v>Túi</v>
          </cell>
          <cell r="AN148">
            <v>0</v>
          </cell>
          <cell r="AO148" t="str">
            <v>Công ty Thái Bình</v>
          </cell>
          <cell r="AP148">
            <v>0</v>
          </cell>
          <cell r="AQ148" t="str">
            <v>1902523-1</v>
          </cell>
          <cell r="AR148" t="str">
            <v>1903063-2</v>
          </cell>
          <cell r="AS148" t="str">
            <v>1609240-3</v>
          </cell>
          <cell r="AT148" t="str">
            <v>1903063-4</v>
          </cell>
          <cell r="AU148" t="str">
            <v>1902523-5</v>
          </cell>
          <cell r="AV148" t="str">
            <v>1609520-6</v>
          </cell>
          <cell r="AW148" t="str">
            <v>1902520-7</v>
          </cell>
          <cell r="AX148" t="str">
            <v>20110138-8</v>
          </cell>
          <cell r="AY148">
            <v>0</v>
          </cell>
          <cell r="AZ148">
            <v>0</v>
          </cell>
          <cell r="BA148" t="str">
            <v>620x1100</v>
          </cell>
          <cell r="BB148" t="str">
            <v>I1</v>
          </cell>
          <cell r="BC148" t="str">
            <v>in chung (2,3.4) với sp 630; nền với sp 639</v>
          </cell>
        </row>
        <row r="149">
          <cell r="A149" t="str">
            <v>sp 641</v>
          </cell>
          <cell r="B149" t="str">
            <v>Túi lúa mới TBR45 XN1 1kg Thái Bình</v>
          </cell>
          <cell r="C149">
            <v>5.0999999999999996</v>
          </cell>
          <cell r="D149" t="str">
            <v>OPP 20x900</v>
          </cell>
          <cell r="E149">
            <v>2</v>
          </cell>
          <cell r="F149">
            <v>8</v>
          </cell>
          <cell r="G149" t="str">
            <v xml:space="preserve">OPP </v>
          </cell>
          <cell r="H149">
            <v>0.1</v>
          </cell>
          <cell r="I149">
            <v>2.7</v>
          </cell>
          <cell r="J149">
            <v>0.2</v>
          </cell>
          <cell r="K149">
            <v>0.1</v>
          </cell>
          <cell r="L149">
            <v>0.4</v>
          </cell>
          <cell r="M149">
            <v>0.5</v>
          </cell>
          <cell r="N149">
            <v>0</v>
          </cell>
          <cell r="O149">
            <v>0.9</v>
          </cell>
          <cell r="P149">
            <v>0</v>
          </cell>
          <cell r="Q149">
            <v>0.1</v>
          </cell>
          <cell r="R149">
            <v>0</v>
          </cell>
          <cell r="S149">
            <v>0</v>
          </cell>
          <cell r="T149">
            <v>0.1</v>
          </cell>
          <cell r="U149">
            <v>0</v>
          </cell>
          <cell r="V149">
            <v>0</v>
          </cell>
          <cell r="W149">
            <v>0</v>
          </cell>
          <cell r="X149">
            <v>0</v>
          </cell>
          <cell r="Y149">
            <v>0</v>
          </cell>
          <cell r="Z149">
            <v>0</v>
          </cell>
          <cell r="AA149">
            <v>0</v>
          </cell>
          <cell r="AB149">
            <v>0</v>
          </cell>
          <cell r="AC149">
            <v>0</v>
          </cell>
          <cell r="AD149">
            <v>0</v>
          </cell>
          <cell r="AE149" t="str">
            <v>PE 80x900</v>
          </cell>
          <cell r="AF149">
            <v>0</v>
          </cell>
          <cell r="AG149">
            <v>8.2980000000000012E-2</v>
          </cell>
          <cell r="AH149">
            <v>1.4833333333333334</v>
          </cell>
          <cell r="AI149">
            <v>0</v>
          </cell>
          <cell r="AJ149">
            <v>9530</v>
          </cell>
          <cell r="AK149">
            <v>2.5000000000000001E-3</v>
          </cell>
          <cell r="AL149">
            <v>0</v>
          </cell>
          <cell r="AM149" t="str">
            <v>Túi</v>
          </cell>
          <cell r="AN149">
            <v>0</v>
          </cell>
          <cell r="AO149" t="str">
            <v>Công ty Thái Bình</v>
          </cell>
          <cell r="AP149">
            <v>0</v>
          </cell>
          <cell r="AQ149" t="str">
            <v>1902524-1</v>
          </cell>
          <cell r="AR149" t="str">
            <v>1903063-2</v>
          </cell>
          <cell r="AS149" t="str">
            <v>1609240-3</v>
          </cell>
          <cell r="AT149" t="str">
            <v>1903063-4</v>
          </cell>
          <cell r="AU149" t="str">
            <v>1804993-5</v>
          </cell>
          <cell r="AV149" t="str">
            <v>1609521-6</v>
          </cell>
          <cell r="AW149" t="str">
            <v>1902520-7</v>
          </cell>
          <cell r="AX149" t="str">
            <v>20110138-8</v>
          </cell>
          <cell r="AY149">
            <v>0</v>
          </cell>
          <cell r="AZ149">
            <v>0</v>
          </cell>
          <cell r="BA149" t="str">
            <v>620x1100</v>
          </cell>
          <cell r="BB149" t="str">
            <v>I1</v>
          </cell>
          <cell r="BC149" t="str">
            <v xml:space="preserve">in chung với sp 630; 641 </v>
          </cell>
        </row>
        <row r="150">
          <cell r="A150" t="str">
            <v>sp 642</v>
          </cell>
          <cell r="B150" t="str">
            <v>Túi lúa mới BC15XN1 40kg Thái Bình</v>
          </cell>
          <cell r="C150">
            <v>3.0000000000000004</v>
          </cell>
          <cell r="D150" t="str">
            <v>OPP 18x690</v>
          </cell>
          <cell r="E150">
            <v>4</v>
          </cell>
          <cell r="F150">
            <v>7</v>
          </cell>
          <cell r="G150" t="str">
            <v xml:space="preserve">OPP </v>
          </cell>
          <cell r="H150">
            <v>0.3</v>
          </cell>
          <cell r="I150">
            <v>0</v>
          </cell>
          <cell r="J150">
            <v>0.3</v>
          </cell>
          <cell r="K150">
            <v>0.2</v>
          </cell>
          <cell r="L150">
            <v>1.6</v>
          </cell>
          <cell r="M150">
            <v>0.3</v>
          </cell>
          <cell r="N150">
            <v>0</v>
          </cell>
          <cell r="O150">
            <v>0.2</v>
          </cell>
          <cell r="P150">
            <v>0</v>
          </cell>
          <cell r="Q150">
            <v>0</v>
          </cell>
          <cell r="R150">
            <v>0</v>
          </cell>
          <cell r="S150">
            <v>0</v>
          </cell>
          <cell r="T150">
            <v>0.1</v>
          </cell>
          <cell r="U150">
            <v>0</v>
          </cell>
          <cell r="V150">
            <v>0</v>
          </cell>
          <cell r="W150">
            <v>0</v>
          </cell>
          <cell r="X150">
            <v>1.7</v>
          </cell>
          <cell r="Y150">
            <v>0</v>
          </cell>
          <cell r="Z150">
            <v>0</v>
          </cell>
          <cell r="AA150">
            <v>0</v>
          </cell>
          <cell r="AB150">
            <v>0</v>
          </cell>
          <cell r="AC150">
            <v>0</v>
          </cell>
          <cell r="AD150">
            <v>0</v>
          </cell>
          <cell r="AE150">
            <v>0</v>
          </cell>
          <cell r="AF150">
            <v>0</v>
          </cell>
          <cell r="AG150">
            <v>0</v>
          </cell>
          <cell r="AH150">
            <v>0</v>
          </cell>
          <cell r="AI150">
            <v>0</v>
          </cell>
          <cell r="AJ150">
            <v>0</v>
          </cell>
          <cell r="AK150">
            <v>0</v>
          </cell>
          <cell r="AL150">
            <v>0</v>
          </cell>
          <cell r="AM150" t="str">
            <v>Cuộn</v>
          </cell>
          <cell r="AN150">
            <v>0</v>
          </cell>
          <cell r="AO150" t="str">
            <v>Công ty Thái Bình</v>
          </cell>
          <cell r="AP150">
            <v>0</v>
          </cell>
          <cell r="AQ150" t="str">
            <v>1903035-1</v>
          </cell>
          <cell r="AR150" t="str">
            <v>1609242-2</v>
          </cell>
          <cell r="AS150" t="str">
            <v>17101029-3</v>
          </cell>
          <cell r="AT150" t="str">
            <v>1710745-4</v>
          </cell>
          <cell r="AU150" t="str">
            <v>1903035-5</v>
          </cell>
          <cell r="AV150" t="str">
            <v>17101030-6</v>
          </cell>
          <cell r="AW150" t="str">
            <v>1903035-7</v>
          </cell>
          <cell r="AY150">
            <v>0</v>
          </cell>
          <cell r="AZ150">
            <v>0</v>
          </cell>
          <cell r="BA150" t="str">
            <v>1100x850</v>
          </cell>
          <cell r="BB150" t="str">
            <v>K1</v>
          </cell>
          <cell r="BC150" t="str">
            <v>in chung  đs,xd,vàng với sp 634</v>
          </cell>
        </row>
        <row r="151">
          <cell r="A151" t="str">
            <v>sp 643</v>
          </cell>
          <cell r="B151" t="str">
            <v>Túi lúa mới Bắc thơm 7 NC 40kg Thái Bình</v>
          </cell>
          <cell r="C151">
            <v>6.6999999999999993</v>
          </cell>
          <cell r="D151" t="str">
            <v>OPP 18x690</v>
          </cell>
          <cell r="E151">
            <v>7</v>
          </cell>
          <cell r="F151">
            <v>7</v>
          </cell>
          <cell r="G151" t="str">
            <v xml:space="preserve">OPP </v>
          </cell>
          <cell r="H151">
            <v>0.1</v>
          </cell>
          <cell r="I151">
            <v>3</v>
          </cell>
          <cell r="J151">
            <v>0.2</v>
          </cell>
          <cell r="K151">
            <v>0.6</v>
          </cell>
          <cell r="L151">
            <v>1.3</v>
          </cell>
          <cell r="M151">
            <v>0</v>
          </cell>
          <cell r="N151">
            <v>0</v>
          </cell>
          <cell r="O151">
            <v>0.1</v>
          </cell>
          <cell r="P151">
            <v>0</v>
          </cell>
          <cell r="Q151">
            <v>0</v>
          </cell>
          <cell r="R151">
            <v>0</v>
          </cell>
          <cell r="S151">
            <v>0</v>
          </cell>
          <cell r="T151">
            <v>1.4</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0</v>
          </cell>
          <cell r="AL151">
            <v>0</v>
          </cell>
          <cell r="AM151" t="str">
            <v>Cuộn</v>
          </cell>
          <cell r="AN151">
            <v>0</v>
          </cell>
          <cell r="AO151" t="str">
            <v>Công ty Thái Bình</v>
          </cell>
          <cell r="AP151">
            <v>0</v>
          </cell>
          <cell r="AQ151" t="str">
            <v>1609553-1</v>
          </cell>
          <cell r="AR151" t="str">
            <v>1609553-2</v>
          </cell>
          <cell r="AS151" t="str">
            <v>1609553-3</v>
          </cell>
          <cell r="AT151" t="str">
            <v>1609553-4</v>
          </cell>
          <cell r="AU151" t="str">
            <v>1609553-5</v>
          </cell>
          <cell r="AV151" t="str">
            <v>1609553-6</v>
          </cell>
          <cell r="AW151" t="str">
            <v>1903065-7</v>
          </cell>
          <cell r="AY151">
            <v>0</v>
          </cell>
          <cell r="AZ151">
            <v>0</v>
          </cell>
          <cell r="BA151" t="str">
            <v>1100x850</v>
          </cell>
          <cell r="BB151" t="str">
            <v>K2</v>
          </cell>
        </row>
        <row r="152">
          <cell r="A152" t="str">
            <v>sp 644</v>
          </cell>
          <cell r="B152" t="str">
            <v>Túi lúa mới N97NC 40kg Thái Bình</v>
          </cell>
          <cell r="C152">
            <v>6.6999999999999993</v>
          </cell>
          <cell r="D152" t="str">
            <v>OPP 18x690</v>
          </cell>
          <cell r="E152">
            <v>4</v>
          </cell>
          <cell r="F152">
            <v>7</v>
          </cell>
          <cell r="G152" t="str">
            <v xml:space="preserve">OPP </v>
          </cell>
          <cell r="H152">
            <v>0.1</v>
          </cell>
          <cell r="I152">
            <v>3</v>
          </cell>
          <cell r="J152">
            <v>0.2</v>
          </cell>
          <cell r="K152">
            <v>0.6</v>
          </cell>
          <cell r="L152">
            <v>1.3</v>
          </cell>
          <cell r="M152">
            <v>0</v>
          </cell>
          <cell r="N152">
            <v>0</v>
          </cell>
          <cell r="O152">
            <v>0.1</v>
          </cell>
          <cell r="P152">
            <v>0</v>
          </cell>
          <cell r="Q152">
            <v>0</v>
          </cell>
          <cell r="R152">
            <v>0</v>
          </cell>
          <cell r="S152">
            <v>0</v>
          </cell>
          <cell r="T152">
            <v>1.4</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t="str">
            <v>Cuộn</v>
          </cell>
          <cell r="AN152">
            <v>0</v>
          </cell>
          <cell r="AO152" t="str">
            <v>Công ty Thái Bình</v>
          </cell>
          <cell r="AP152">
            <v>0</v>
          </cell>
          <cell r="AQ152" t="str">
            <v>1903066-1</v>
          </cell>
          <cell r="AR152" t="str">
            <v>1609553-2</v>
          </cell>
          <cell r="AS152" t="str">
            <v>1609553-3</v>
          </cell>
          <cell r="AT152" t="str">
            <v>1609553-4</v>
          </cell>
          <cell r="AU152" t="str">
            <v>1903066-5</v>
          </cell>
          <cell r="AV152" t="str">
            <v>1609554-6</v>
          </cell>
          <cell r="AW152" t="str">
            <v>1903066-7</v>
          </cell>
          <cell r="AY152">
            <v>0</v>
          </cell>
          <cell r="AZ152">
            <v>0</v>
          </cell>
          <cell r="BA152" t="str">
            <v>1100x850</v>
          </cell>
          <cell r="BB152" t="str">
            <v>K2</v>
          </cell>
          <cell r="BC152" t="str">
            <v>in chung cây XD,ĐS,V, với sp 643</v>
          </cell>
        </row>
        <row r="153">
          <cell r="A153" t="str">
            <v>sp 645</v>
          </cell>
          <cell r="B153" t="str">
            <v>Túi lúa mới hương thơm 1 40kg Thái Bình</v>
          </cell>
          <cell r="C153">
            <v>6.6999999999999993</v>
          </cell>
          <cell r="D153" t="str">
            <v>OPP 18x690</v>
          </cell>
          <cell r="E153">
            <v>1</v>
          </cell>
          <cell r="F153">
            <v>7</v>
          </cell>
          <cell r="G153" t="str">
            <v xml:space="preserve">OPP </v>
          </cell>
          <cell r="H153">
            <v>0.1</v>
          </cell>
          <cell r="I153">
            <v>3</v>
          </cell>
          <cell r="J153">
            <v>0.2</v>
          </cell>
          <cell r="K153">
            <v>0.6</v>
          </cell>
          <cell r="L153">
            <v>1.3</v>
          </cell>
          <cell r="M153">
            <v>0</v>
          </cell>
          <cell r="N153">
            <v>0</v>
          </cell>
          <cell r="O153">
            <v>0.1</v>
          </cell>
          <cell r="P153">
            <v>0</v>
          </cell>
          <cell r="Q153">
            <v>0</v>
          </cell>
          <cell r="R153">
            <v>0</v>
          </cell>
          <cell r="S153">
            <v>0</v>
          </cell>
          <cell r="T153">
            <v>1.4</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t="str">
            <v>Cuộn</v>
          </cell>
          <cell r="AN153">
            <v>0</v>
          </cell>
          <cell r="AO153" t="str">
            <v>Công ty Thái Bình</v>
          </cell>
          <cell r="AP153">
            <v>0</v>
          </cell>
          <cell r="AQ153" t="str">
            <v>1903066-1</v>
          </cell>
          <cell r="AR153" t="str">
            <v>1609553-2</v>
          </cell>
          <cell r="AS153" t="str">
            <v>1609553-3</v>
          </cell>
          <cell r="AT153" t="str">
            <v>1609553-4</v>
          </cell>
          <cell r="AU153" t="str">
            <v>1903066-5</v>
          </cell>
          <cell r="AV153" t="str">
            <v>1609555-6</v>
          </cell>
          <cell r="AW153" t="str">
            <v>1903066-7</v>
          </cell>
          <cell r="BA153" t="str">
            <v>1100x850</v>
          </cell>
          <cell r="BB153" t="str">
            <v>K2</v>
          </cell>
          <cell r="BC153" t="str">
            <v>in chung (2,3,4) với sp 643;  (1,5,7) với sp 644</v>
          </cell>
        </row>
        <row r="154">
          <cell r="A154" t="str">
            <v>sp 646</v>
          </cell>
          <cell r="B154" t="str">
            <v>Túi lúa mới Q5 NC 40kg Thái Bình</v>
          </cell>
          <cell r="C154">
            <v>5.9999999999999991</v>
          </cell>
          <cell r="D154" t="str">
            <v>OPP 18x690</v>
          </cell>
          <cell r="E154">
            <v>1</v>
          </cell>
          <cell r="F154">
            <v>7</v>
          </cell>
          <cell r="G154" t="str">
            <v xml:space="preserve">OPP </v>
          </cell>
          <cell r="H154">
            <v>0.1</v>
          </cell>
          <cell r="I154">
            <v>3</v>
          </cell>
          <cell r="J154">
            <v>0.1</v>
          </cell>
          <cell r="K154">
            <v>0.3</v>
          </cell>
          <cell r="L154">
            <v>0.5</v>
          </cell>
          <cell r="M154">
            <v>0</v>
          </cell>
          <cell r="N154">
            <v>0</v>
          </cell>
          <cell r="O154">
            <v>0.1</v>
          </cell>
          <cell r="P154">
            <v>0</v>
          </cell>
          <cell r="Q154">
            <v>0</v>
          </cell>
          <cell r="R154">
            <v>0</v>
          </cell>
          <cell r="S154">
            <v>0</v>
          </cell>
          <cell r="T154">
            <v>0.1</v>
          </cell>
          <cell r="U154">
            <v>0</v>
          </cell>
          <cell r="V154">
            <v>0</v>
          </cell>
          <cell r="W154">
            <v>1.8</v>
          </cell>
          <cell r="X154">
            <v>0</v>
          </cell>
          <cell r="Y154">
            <v>1.8</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t="str">
            <v>Cuộn</v>
          </cell>
          <cell r="AN154">
            <v>0</v>
          </cell>
          <cell r="AO154" t="str">
            <v>Công ty Thái Bình</v>
          </cell>
          <cell r="AP154">
            <v>0</v>
          </cell>
          <cell r="AQ154" t="str">
            <v>1903066-1</v>
          </cell>
          <cell r="AR154" t="str">
            <v>1609553-2</v>
          </cell>
          <cell r="AS154" t="str">
            <v>1609553-3</v>
          </cell>
          <cell r="AT154" t="str">
            <v>1609553-4</v>
          </cell>
          <cell r="AU154" t="str">
            <v>1903066-5</v>
          </cell>
          <cell r="AV154" t="str">
            <v>1609556-6</v>
          </cell>
          <cell r="AW154" t="str">
            <v>1903066-7</v>
          </cell>
          <cell r="BA154" t="str">
            <v>1100x850</v>
          </cell>
          <cell r="BB154" t="str">
            <v>K3</v>
          </cell>
          <cell r="BC154" t="str">
            <v>in chung  với sp 644</v>
          </cell>
        </row>
        <row r="155">
          <cell r="A155" t="str">
            <v>sp 647</v>
          </cell>
          <cell r="B155" t="str">
            <v>Túi lúa mới KD18 NC 40kg Thái Bình</v>
          </cell>
          <cell r="C155">
            <v>5.9</v>
          </cell>
          <cell r="D155" t="str">
            <v>OPP 18x690</v>
          </cell>
          <cell r="E155">
            <v>1</v>
          </cell>
          <cell r="F155">
            <v>7</v>
          </cell>
          <cell r="G155" t="str">
            <v xml:space="preserve">OPP </v>
          </cell>
          <cell r="H155">
            <v>0.1</v>
          </cell>
          <cell r="I155">
            <v>3</v>
          </cell>
          <cell r="J155">
            <v>0.1</v>
          </cell>
          <cell r="K155">
            <v>0.2</v>
          </cell>
          <cell r="L155">
            <v>1.5</v>
          </cell>
          <cell r="M155">
            <v>0.5</v>
          </cell>
          <cell r="N155">
            <v>0</v>
          </cell>
          <cell r="O155">
            <v>0.4</v>
          </cell>
          <cell r="P155">
            <v>0</v>
          </cell>
          <cell r="Q155">
            <v>0</v>
          </cell>
          <cell r="R155">
            <v>0</v>
          </cell>
          <cell r="S155">
            <v>0</v>
          </cell>
          <cell r="T155">
            <v>0.1</v>
          </cell>
          <cell r="U155">
            <v>0</v>
          </cell>
          <cell r="V155">
            <v>0</v>
          </cell>
          <cell r="W155">
            <v>0</v>
          </cell>
          <cell r="X155">
            <v>0</v>
          </cell>
          <cell r="Y155">
            <v>0</v>
          </cell>
          <cell r="Z155">
            <v>0.1</v>
          </cell>
          <cell r="AA155">
            <v>0</v>
          </cell>
          <cell r="AB155">
            <v>0</v>
          </cell>
          <cell r="AC155">
            <v>0</v>
          </cell>
          <cell r="AD155">
            <v>0</v>
          </cell>
          <cell r="AE155">
            <v>0</v>
          </cell>
          <cell r="AF155">
            <v>0</v>
          </cell>
          <cell r="AG155">
            <v>0</v>
          </cell>
          <cell r="AH155">
            <v>0</v>
          </cell>
          <cell r="AI155">
            <v>0</v>
          </cell>
          <cell r="AJ155">
            <v>0</v>
          </cell>
          <cell r="AK155">
            <v>0</v>
          </cell>
          <cell r="AL155">
            <v>0</v>
          </cell>
          <cell r="AM155" t="str">
            <v>Cuộn</v>
          </cell>
          <cell r="AN155">
            <v>0</v>
          </cell>
          <cell r="AO155" t="str">
            <v>Công ty Thái Bình</v>
          </cell>
          <cell r="AP155">
            <v>0</v>
          </cell>
          <cell r="AQ155" t="str">
            <v>1903066-1</v>
          </cell>
          <cell r="AR155" t="str">
            <v>1609553-2</v>
          </cell>
          <cell r="AS155" t="str">
            <v>1609553-3</v>
          </cell>
          <cell r="AT155" t="str">
            <v>1609553-4</v>
          </cell>
          <cell r="AU155" t="str">
            <v>1903066-5</v>
          </cell>
          <cell r="AV155" t="str">
            <v>1609557-6</v>
          </cell>
          <cell r="AW155" t="str">
            <v>1903066-7</v>
          </cell>
          <cell r="BA155" t="str">
            <v>1100x850</v>
          </cell>
          <cell r="BB155" t="str">
            <v>K3</v>
          </cell>
          <cell r="BC155" t="str">
            <v>in chung sp 644:( 1,5,7);chung sp 643:( 2,3,4)</v>
          </cell>
        </row>
        <row r="156">
          <cell r="A156" t="str">
            <v>sp 648</v>
          </cell>
          <cell r="B156" t="str">
            <v>Túi lúa mới Q5 nguyên chủng 1kg Thái Bình</v>
          </cell>
          <cell r="C156">
            <v>4.9000000000000004</v>
          </cell>
          <cell r="D156" t="str">
            <v>OPP 20x900</v>
          </cell>
          <cell r="E156">
            <v>8</v>
          </cell>
          <cell r="F156">
            <v>8</v>
          </cell>
          <cell r="G156" t="str">
            <v xml:space="preserve">OPP </v>
          </cell>
          <cell r="H156">
            <v>0.1</v>
          </cell>
          <cell r="I156">
            <v>2.7</v>
          </cell>
          <cell r="J156">
            <v>0.1</v>
          </cell>
          <cell r="K156">
            <v>0.1</v>
          </cell>
          <cell r="L156">
            <v>0.5</v>
          </cell>
          <cell r="M156">
            <v>0</v>
          </cell>
          <cell r="N156">
            <v>0</v>
          </cell>
          <cell r="O156">
            <v>0.1</v>
          </cell>
          <cell r="P156">
            <v>0</v>
          </cell>
          <cell r="Q156">
            <v>0</v>
          </cell>
          <cell r="R156">
            <v>0</v>
          </cell>
          <cell r="S156">
            <v>0</v>
          </cell>
          <cell r="T156">
            <v>0.1</v>
          </cell>
          <cell r="U156">
            <v>0</v>
          </cell>
          <cell r="V156">
            <v>0</v>
          </cell>
          <cell r="W156">
            <v>1.2</v>
          </cell>
          <cell r="X156">
            <v>0</v>
          </cell>
          <cell r="Y156">
            <v>1.2</v>
          </cell>
          <cell r="Z156">
            <v>0</v>
          </cell>
          <cell r="AA156">
            <v>0</v>
          </cell>
          <cell r="AB156">
            <v>0</v>
          </cell>
          <cell r="AC156">
            <v>0</v>
          </cell>
          <cell r="AD156">
            <v>0</v>
          </cell>
          <cell r="AE156" t="str">
            <v>PE 80x900</v>
          </cell>
          <cell r="AF156">
            <v>0</v>
          </cell>
          <cell r="AG156">
            <v>8.2980000000000012E-2</v>
          </cell>
          <cell r="AH156">
            <v>1.4833333333333334</v>
          </cell>
          <cell r="AI156">
            <v>0</v>
          </cell>
          <cell r="AJ156">
            <v>9530</v>
          </cell>
          <cell r="AK156">
            <v>2.5000000000000001E-3</v>
          </cell>
          <cell r="AL156">
            <v>0</v>
          </cell>
          <cell r="AM156" t="str">
            <v>Cuộn</v>
          </cell>
          <cell r="AN156">
            <v>0</v>
          </cell>
          <cell r="AO156" t="str">
            <v>Công ty Thái Bình</v>
          </cell>
          <cell r="AP156">
            <v>0</v>
          </cell>
          <cell r="AQ156" t="str">
            <v>1902526-1</v>
          </cell>
          <cell r="AR156" t="str">
            <v>19041070-2</v>
          </cell>
          <cell r="AS156" t="str">
            <v>1609558-3</v>
          </cell>
          <cell r="AT156" t="str">
            <v>1609558-4</v>
          </cell>
          <cell r="AU156" t="str">
            <v>1902526-5</v>
          </cell>
          <cell r="AV156" t="str">
            <v>1609558-6</v>
          </cell>
          <cell r="AW156" t="str">
            <v>1902526-7</v>
          </cell>
          <cell r="AX156" t="str">
            <v>1807922-8</v>
          </cell>
          <cell r="BA156" t="str">
            <v>620x1100</v>
          </cell>
          <cell r="BB156" t="str">
            <v>I1</v>
          </cell>
        </row>
        <row r="157">
          <cell r="A157" t="str">
            <v>sp 649</v>
          </cell>
          <cell r="B157" t="str">
            <v>Túi lúa mới khang dân 18 NC 1kg Thái Bình</v>
          </cell>
          <cell r="C157">
            <v>6.1999999999999993</v>
          </cell>
          <cell r="D157" t="str">
            <v>OPP 20x900</v>
          </cell>
          <cell r="E157">
            <v>2</v>
          </cell>
          <cell r="F157">
            <v>8</v>
          </cell>
          <cell r="G157" t="str">
            <v xml:space="preserve">OPP </v>
          </cell>
          <cell r="H157">
            <v>0.1</v>
          </cell>
          <cell r="I157">
            <v>2.7</v>
          </cell>
          <cell r="J157">
            <v>0.1</v>
          </cell>
          <cell r="K157">
            <v>0.1</v>
          </cell>
          <cell r="L157">
            <v>1.5</v>
          </cell>
          <cell r="M157">
            <v>0.5</v>
          </cell>
          <cell r="N157">
            <v>0</v>
          </cell>
          <cell r="O157">
            <v>0.1</v>
          </cell>
          <cell r="P157">
            <v>0</v>
          </cell>
          <cell r="Q157">
            <v>0.1</v>
          </cell>
          <cell r="R157">
            <v>0</v>
          </cell>
          <cell r="S157">
            <v>0</v>
          </cell>
          <cell r="T157">
            <v>0.5</v>
          </cell>
          <cell r="U157">
            <v>0.5</v>
          </cell>
          <cell r="V157">
            <v>0</v>
          </cell>
          <cell r="W157">
            <v>0</v>
          </cell>
          <cell r="X157">
            <v>0</v>
          </cell>
          <cell r="Y157">
            <v>0</v>
          </cell>
          <cell r="Z157">
            <v>0</v>
          </cell>
          <cell r="AA157">
            <v>0.5</v>
          </cell>
          <cell r="AB157">
            <v>0</v>
          </cell>
          <cell r="AC157">
            <v>0</v>
          </cell>
          <cell r="AD157">
            <v>0</v>
          </cell>
          <cell r="AE157" t="str">
            <v>PE 80x900</v>
          </cell>
          <cell r="AF157">
            <v>0</v>
          </cell>
          <cell r="AG157">
            <v>8.2980000000000012E-2</v>
          </cell>
          <cell r="AH157">
            <v>1.4833333333333334</v>
          </cell>
          <cell r="AI157">
            <v>0</v>
          </cell>
          <cell r="AJ157">
            <v>9530</v>
          </cell>
          <cell r="AK157">
            <v>2.5000000000000001E-3</v>
          </cell>
          <cell r="AL157">
            <v>0</v>
          </cell>
          <cell r="AM157" t="str">
            <v>túi ba biên hoặc cuộn 800m</v>
          </cell>
          <cell r="AN157">
            <v>310</v>
          </cell>
          <cell r="AO157" t="str">
            <v>Công ty Thái Bình</v>
          </cell>
          <cell r="AP157">
            <v>0</v>
          </cell>
          <cell r="AQ157" t="str">
            <v>1902527-1</v>
          </cell>
          <cell r="AR157" t="str">
            <v>19041070-2</v>
          </cell>
          <cell r="AS157" t="str">
            <v>1609558-3</v>
          </cell>
          <cell r="AT157" t="str">
            <v>1609558-4</v>
          </cell>
          <cell r="AU157" t="str">
            <v>1902526-5</v>
          </cell>
          <cell r="AV157" t="str">
            <v>1609559-6</v>
          </cell>
          <cell r="AW157" t="str">
            <v>1902526-7</v>
          </cell>
          <cell r="AX157" t="str">
            <v>1807922-8</v>
          </cell>
          <cell r="BA157" t="str">
            <v>620x1100</v>
          </cell>
          <cell r="BB157" t="str">
            <v>I2</v>
          </cell>
          <cell r="BC157" t="str">
            <v>in chung  cây sp 648 (2,3,4;5,7)</v>
          </cell>
        </row>
        <row r="158">
          <cell r="A158" t="str">
            <v>sp 650</v>
          </cell>
          <cell r="B158" t="str">
            <v>Túi lúa mới Bắc thơm 7 nguyên chủng 1kg Thái Bình</v>
          </cell>
          <cell r="C158">
            <v>6.8</v>
          </cell>
          <cell r="D158" t="str">
            <v>OPP 20x900</v>
          </cell>
          <cell r="E158">
            <v>4</v>
          </cell>
          <cell r="F158">
            <v>8</v>
          </cell>
          <cell r="G158" t="str">
            <v xml:space="preserve">OPP </v>
          </cell>
          <cell r="H158">
            <v>0.2</v>
          </cell>
          <cell r="I158">
            <v>2.7</v>
          </cell>
          <cell r="J158">
            <v>0.1</v>
          </cell>
          <cell r="K158">
            <v>0.1</v>
          </cell>
          <cell r="L158">
            <v>1.5</v>
          </cell>
          <cell r="M158">
            <v>0.7</v>
          </cell>
          <cell r="N158">
            <v>0</v>
          </cell>
          <cell r="O158">
            <v>0.1</v>
          </cell>
          <cell r="P158">
            <v>0</v>
          </cell>
          <cell r="Q158">
            <v>0.1</v>
          </cell>
          <cell r="R158">
            <v>0</v>
          </cell>
          <cell r="S158">
            <v>0</v>
          </cell>
          <cell r="T158">
            <v>1.3</v>
          </cell>
          <cell r="U158">
            <v>0</v>
          </cell>
          <cell r="V158">
            <v>0</v>
          </cell>
          <cell r="W158">
            <v>0</v>
          </cell>
          <cell r="X158">
            <v>0</v>
          </cell>
          <cell r="Y158">
            <v>0</v>
          </cell>
          <cell r="Z158">
            <v>0</v>
          </cell>
          <cell r="AA158">
            <v>0</v>
          </cell>
          <cell r="AB158">
            <v>0</v>
          </cell>
          <cell r="AC158">
            <v>0</v>
          </cell>
          <cell r="AD158">
            <v>0</v>
          </cell>
          <cell r="AE158" t="str">
            <v>PE 80x900</v>
          </cell>
          <cell r="AF158">
            <v>0</v>
          </cell>
          <cell r="AG158">
            <v>8.2980000000000012E-2</v>
          </cell>
          <cell r="AH158">
            <v>1.4833333333333334</v>
          </cell>
          <cell r="AI158">
            <v>0</v>
          </cell>
          <cell r="AJ158">
            <v>9530</v>
          </cell>
          <cell r="AK158">
            <v>2.5000000000000001E-3</v>
          </cell>
          <cell r="AL158">
            <v>0</v>
          </cell>
          <cell r="AM158" t="str">
            <v>Túi</v>
          </cell>
          <cell r="AN158">
            <v>0</v>
          </cell>
          <cell r="AO158" t="str">
            <v>Công ty Thái Bình</v>
          </cell>
          <cell r="AP158">
            <v>0</v>
          </cell>
          <cell r="AQ158" t="str">
            <v>1609560-1</v>
          </cell>
          <cell r="AR158" t="str">
            <v>19041070-2</v>
          </cell>
          <cell r="AS158" t="str">
            <v>1609558-3</v>
          </cell>
          <cell r="AT158" t="str">
            <v>1609558-4</v>
          </cell>
          <cell r="AU158" t="str">
            <v>1609560-5</v>
          </cell>
          <cell r="AV158" t="str">
            <v>1609560-6</v>
          </cell>
          <cell r="AW158" t="str">
            <v>1902529-7</v>
          </cell>
          <cell r="AX158" t="str">
            <v>1807922-8</v>
          </cell>
          <cell r="BA158" t="str">
            <v>620x1100</v>
          </cell>
          <cell r="BB158" t="str">
            <v>I2</v>
          </cell>
          <cell r="BC158" t="str">
            <v>in chung sp 648 :(đs,xd,vàng )</v>
          </cell>
        </row>
        <row r="159">
          <cell r="A159" t="str">
            <v>sp 651</v>
          </cell>
          <cell r="B159" t="str">
            <v>Túi lúa mới hương thơm 1 nguyên chủng 1kg 
Thái Bình</v>
          </cell>
          <cell r="C159">
            <v>4.58</v>
          </cell>
          <cell r="D159" t="str">
            <v>OPP 20x900</v>
          </cell>
          <cell r="E159">
            <v>2</v>
          </cell>
          <cell r="F159">
            <v>8</v>
          </cell>
          <cell r="G159" t="str">
            <v xml:space="preserve">OPP </v>
          </cell>
          <cell r="H159">
            <v>0.14000000000000001</v>
          </cell>
          <cell r="I159">
            <v>2.7</v>
          </cell>
          <cell r="J159">
            <v>0.2</v>
          </cell>
          <cell r="K159">
            <v>0.14000000000000001</v>
          </cell>
          <cell r="L159">
            <v>0.3</v>
          </cell>
          <cell r="M159">
            <v>0.7</v>
          </cell>
          <cell r="N159">
            <v>0</v>
          </cell>
          <cell r="O159">
            <v>0.1</v>
          </cell>
          <cell r="P159">
            <v>0</v>
          </cell>
          <cell r="Q159">
            <v>0.1</v>
          </cell>
          <cell r="R159">
            <v>0</v>
          </cell>
          <cell r="S159">
            <v>0</v>
          </cell>
          <cell r="T159">
            <v>0.2</v>
          </cell>
          <cell r="U159">
            <v>0</v>
          </cell>
          <cell r="V159">
            <v>0</v>
          </cell>
          <cell r="W159">
            <v>0</v>
          </cell>
          <cell r="X159">
            <v>0</v>
          </cell>
          <cell r="Y159">
            <v>0</v>
          </cell>
          <cell r="Z159">
            <v>0</v>
          </cell>
          <cell r="AA159">
            <v>0</v>
          </cell>
          <cell r="AB159">
            <v>0</v>
          </cell>
          <cell r="AC159">
            <v>0</v>
          </cell>
          <cell r="AD159">
            <v>0</v>
          </cell>
          <cell r="AE159" t="str">
            <v>PE 80x900</v>
          </cell>
          <cell r="AF159">
            <v>0</v>
          </cell>
          <cell r="AG159">
            <v>8.2980000000000012E-2</v>
          </cell>
          <cell r="AH159">
            <v>1.4833333333333334</v>
          </cell>
          <cell r="AI159">
            <v>0</v>
          </cell>
          <cell r="AJ159">
            <v>9530</v>
          </cell>
          <cell r="AK159">
            <v>2.5000000000000001E-3</v>
          </cell>
          <cell r="AL159">
            <v>0</v>
          </cell>
          <cell r="AM159" t="str">
            <v>Túi</v>
          </cell>
          <cell r="AN159">
            <v>0</v>
          </cell>
          <cell r="AO159" t="str">
            <v>Công ty Thái Bình</v>
          </cell>
          <cell r="AP159">
            <v>0</v>
          </cell>
          <cell r="AQ159" t="str">
            <v>1902528-1</v>
          </cell>
          <cell r="AR159" t="str">
            <v>19041070-2</v>
          </cell>
          <cell r="AS159" t="str">
            <v>1609558-3</v>
          </cell>
          <cell r="AT159" t="str">
            <v>1609558-4</v>
          </cell>
          <cell r="AU159" t="str">
            <v>1902526-5</v>
          </cell>
          <cell r="AV159" t="str">
            <v>1609561-6</v>
          </cell>
          <cell r="AW159" t="str">
            <v>1902526-7</v>
          </cell>
          <cell r="AX159" t="str">
            <v>1807922-8</v>
          </cell>
          <cell r="BA159" t="str">
            <v>620x1100</v>
          </cell>
          <cell r="BB159" t="str">
            <v>I2</v>
          </cell>
          <cell r="BC159" t="str">
            <v xml:space="preserve">in chung với bộ sp 648: trừ  Đen+ Nâu </v>
          </cell>
        </row>
        <row r="160">
          <cell r="A160" t="str">
            <v>sp 652</v>
          </cell>
          <cell r="B160" t="str">
            <v>Túi lúa mới N97 nguyên chủng 1kg Thái Bình</v>
          </cell>
          <cell r="C160">
            <v>5.7999999999999989</v>
          </cell>
          <cell r="D160" t="str">
            <v>OPP 20x900</v>
          </cell>
          <cell r="E160">
            <v>2</v>
          </cell>
          <cell r="F160">
            <v>8</v>
          </cell>
          <cell r="G160" t="str">
            <v xml:space="preserve">OPP </v>
          </cell>
          <cell r="H160">
            <v>0.1</v>
          </cell>
          <cell r="I160">
            <v>2.7</v>
          </cell>
          <cell r="J160">
            <v>0.1</v>
          </cell>
          <cell r="K160">
            <v>0.1</v>
          </cell>
          <cell r="L160">
            <v>0.5</v>
          </cell>
          <cell r="M160">
            <v>0.7</v>
          </cell>
          <cell r="N160">
            <v>0</v>
          </cell>
          <cell r="O160">
            <v>0.1</v>
          </cell>
          <cell r="P160">
            <v>0</v>
          </cell>
          <cell r="Q160">
            <v>0</v>
          </cell>
          <cell r="R160">
            <v>0</v>
          </cell>
          <cell r="S160">
            <v>0</v>
          </cell>
          <cell r="T160">
            <v>0.1</v>
          </cell>
          <cell r="U160">
            <v>0</v>
          </cell>
          <cell r="V160">
            <v>0</v>
          </cell>
          <cell r="W160">
            <v>1.4</v>
          </cell>
          <cell r="X160">
            <v>0</v>
          </cell>
          <cell r="Y160">
            <v>1.4</v>
          </cell>
          <cell r="Z160">
            <v>0</v>
          </cell>
          <cell r="AA160">
            <v>0</v>
          </cell>
          <cell r="AB160">
            <v>0</v>
          </cell>
          <cell r="AC160">
            <v>0</v>
          </cell>
          <cell r="AD160">
            <v>0</v>
          </cell>
          <cell r="AE160" t="str">
            <v>PE 80x900</v>
          </cell>
          <cell r="AF160">
            <v>0</v>
          </cell>
          <cell r="AG160">
            <v>8.2980000000000012E-2</v>
          </cell>
          <cell r="AH160">
            <v>1.4833333333333334</v>
          </cell>
          <cell r="AI160">
            <v>0</v>
          </cell>
          <cell r="AJ160">
            <v>9530</v>
          </cell>
          <cell r="AK160">
            <v>2.5000000000000001E-3</v>
          </cell>
          <cell r="AL160">
            <v>0</v>
          </cell>
          <cell r="AM160" t="str">
            <v>Túi</v>
          </cell>
          <cell r="AN160">
            <v>0</v>
          </cell>
          <cell r="AO160" t="str">
            <v>Công ty Thái Bình</v>
          </cell>
          <cell r="AP160">
            <v>0</v>
          </cell>
          <cell r="AQ160" t="str">
            <v>1902570-1</v>
          </cell>
          <cell r="AR160" t="str">
            <v>19041070-2</v>
          </cell>
          <cell r="AS160" t="str">
            <v>1609558-3</v>
          </cell>
          <cell r="AT160" t="str">
            <v>1609558-4</v>
          </cell>
          <cell r="AU160" t="str">
            <v>1902526-5</v>
          </cell>
          <cell r="AV160" t="str">
            <v>1609562-6</v>
          </cell>
          <cell r="AW160" t="str">
            <v>1902526-7</v>
          </cell>
          <cell r="AX160" t="str">
            <v>1807922-8</v>
          </cell>
          <cell r="BA160" t="str">
            <v>620x1100</v>
          </cell>
          <cell r="BB160" t="str">
            <v>I2</v>
          </cell>
          <cell r="BC160" t="str">
            <v>in chung 6 cây sp  648:</v>
          </cell>
        </row>
        <row r="161">
          <cell r="A161" t="str">
            <v>sp 661</v>
          </cell>
          <cell r="B161" t="str">
            <v>Cuộn bánh bao màu nâu barkey Phú Mỹ KT 
270x130</v>
          </cell>
          <cell r="C161">
            <v>2.1</v>
          </cell>
          <cell r="D161" t="str">
            <v>OPP 20x560</v>
          </cell>
          <cell r="E161">
            <v>2</v>
          </cell>
          <cell r="F161">
            <v>2</v>
          </cell>
          <cell r="G161" t="str">
            <v xml:space="preserve">OPP </v>
          </cell>
          <cell r="H161">
            <v>0</v>
          </cell>
          <cell r="I161">
            <v>1.1000000000000001</v>
          </cell>
          <cell r="J161">
            <v>0</v>
          </cell>
          <cell r="K161">
            <v>0</v>
          </cell>
          <cell r="L161">
            <v>0</v>
          </cell>
          <cell r="M161">
            <v>0</v>
          </cell>
          <cell r="N161">
            <v>0</v>
          </cell>
          <cell r="O161">
            <v>0</v>
          </cell>
          <cell r="P161">
            <v>0.5</v>
          </cell>
          <cell r="Q161">
            <v>0</v>
          </cell>
          <cell r="R161">
            <v>0</v>
          </cell>
          <cell r="S161">
            <v>0</v>
          </cell>
          <cell r="T161">
            <v>0.5</v>
          </cell>
          <cell r="U161">
            <v>0</v>
          </cell>
          <cell r="V161">
            <v>0</v>
          </cell>
          <cell r="W161">
            <v>0</v>
          </cell>
          <cell r="X161">
            <v>0</v>
          </cell>
          <cell r="Y161">
            <v>0</v>
          </cell>
          <cell r="Z161">
            <v>0</v>
          </cell>
          <cell r="AA161">
            <v>0</v>
          </cell>
          <cell r="AB161">
            <v>0</v>
          </cell>
          <cell r="AC161">
            <v>0</v>
          </cell>
          <cell r="AD161">
            <v>0</v>
          </cell>
          <cell r="AE161" t="str">
            <v>CPP20x560</v>
          </cell>
          <cell r="AF161">
            <v>0</v>
          </cell>
          <cell r="AG161">
            <v>2.0384000000000003E-2</v>
          </cell>
          <cell r="AH161">
            <v>0.66</v>
          </cell>
          <cell r="AI161">
            <v>0</v>
          </cell>
          <cell r="AJ161">
            <v>9530</v>
          </cell>
          <cell r="AK161">
            <v>1.8E-3</v>
          </cell>
          <cell r="AL161">
            <v>0</v>
          </cell>
          <cell r="AM161" t="str">
            <v>Cuộn</v>
          </cell>
          <cell r="AN161">
            <v>0</v>
          </cell>
          <cell r="AO161" t="str">
            <v>Công ty Phú Mỹ</v>
          </cell>
          <cell r="AP161">
            <v>0</v>
          </cell>
          <cell r="AQ161" t="str">
            <v>16101152-1</v>
          </cell>
          <cell r="AR161" t="str">
            <v>16101152-2</v>
          </cell>
          <cell r="BA161" t="str">
            <v>520x750</v>
          </cell>
          <cell r="BB161" t="str">
            <v>V2</v>
          </cell>
        </row>
        <row r="162">
          <cell r="A162" t="str">
            <v>sp 662</v>
          </cell>
          <cell r="B162" t="str">
            <v>Túi lúa mới bao chung NC 10kg Thái Bình</v>
          </cell>
          <cell r="C162">
            <v>3.1</v>
          </cell>
          <cell r="D162" t="str">
            <v>OPP 20x840</v>
          </cell>
          <cell r="E162">
            <v>7</v>
          </cell>
          <cell r="F162">
            <v>7</v>
          </cell>
          <cell r="G162" t="str">
            <v xml:space="preserve">OPP </v>
          </cell>
          <cell r="H162">
            <v>0.1</v>
          </cell>
          <cell r="I162">
            <v>0.6</v>
          </cell>
          <cell r="J162">
            <v>0.2</v>
          </cell>
          <cell r="K162">
            <v>0.1</v>
          </cell>
          <cell r="L162">
            <v>0.9</v>
          </cell>
          <cell r="M162">
            <v>0.3</v>
          </cell>
          <cell r="N162">
            <v>0</v>
          </cell>
          <cell r="O162">
            <v>0.5</v>
          </cell>
          <cell r="P162">
            <v>0.2</v>
          </cell>
          <cell r="Q162">
            <v>0.1</v>
          </cell>
          <cell r="R162">
            <v>0</v>
          </cell>
          <cell r="S162">
            <v>0</v>
          </cell>
          <cell r="T162">
            <v>0.1</v>
          </cell>
          <cell r="U162">
            <v>0</v>
          </cell>
          <cell r="V162">
            <v>0</v>
          </cell>
          <cell r="W162">
            <v>0</v>
          </cell>
          <cell r="X162">
            <v>0</v>
          </cell>
          <cell r="Y162">
            <v>0.2</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t="str">
            <v>Công ty Thái Bình</v>
          </cell>
          <cell r="AP162">
            <v>0</v>
          </cell>
          <cell r="AQ162" t="str">
            <v>1803915-1</v>
          </cell>
          <cell r="AR162" t="str">
            <v>16100638-2</v>
          </cell>
          <cell r="AS162" t="str">
            <v>1610638-3</v>
          </cell>
          <cell r="AT162" t="str">
            <v>1610638-4</v>
          </cell>
          <cell r="AU162" t="str">
            <v>19031105-5</v>
          </cell>
          <cell r="AV162" t="str">
            <v>1610638-6</v>
          </cell>
          <cell r="AW162" t="str">
            <v>19031031-7</v>
          </cell>
          <cell r="AX162">
            <v>0</v>
          </cell>
          <cell r="BA162" t="str">
            <v>670x1100</v>
          </cell>
          <cell r="BB162" t="str">
            <v>J1</v>
          </cell>
          <cell r="BC162" t="str">
            <v>cây nền chung sp 1022</v>
          </cell>
        </row>
        <row r="163">
          <cell r="A163" t="str">
            <v>sp 663</v>
          </cell>
          <cell r="B163" t="str">
            <v>Túi chè lụa màu xanh tân cương và đặc sản 100g</v>
          </cell>
          <cell r="C163">
            <v>5.5700000000000012</v>
          </cell>
          <cell r="D163" t="str">
            <v>OPP mờ 20x740</v>
          </cell>
          <cell r="E163" t="str">
            <v>sp 566</v>
          </cell>
          <cell r="F163">
            <v>7</v>
          </cell>
          <cell r="G163" t="str">
            <v xml:space="preserve">OPP </v>
          </cell>
          <cell r="H163">
            <v>0.2</v>
          </cell>
          <cell r="I163">
            <v>2</v>
          </cell>
          <cell r="J163">
            <v>0.34</v>
          </cell>
          <cell r="K163">
            <v>0.2</v>
          </cell>
          <cell r="L163">
            <v>1.1000000000000001</v>
          </cell>
          <cell r="M163">
            <v>0.6</v>
          </cell>
          <cell r="N163">
            <v>0</v>
          </cell>
          <cell r="O163">
            <v>0.9</v>
          </cell>
          <cell r="P163">
            <v>0</v>
          </cell>
          <cell r="Q163">
            <v>0</v>
          </cell>
          <cell r="R163">
            <v>0</v>
          </cell>
          <cell r="S163">
            <v>0.23</v>
          </cell>
          <cell r="T163">
            <v>0</v>
          </cell>
          <cell r="U163" t="str">
            <v xml:space="preserve"> </v>
          </cell>
          <cell r="V163">
            <v>0</v>
          </cell>
          <cell r="W163">
            <v>0</v>
          </cell>
          <cell r="X163">
            <v>0</v>
          </cell>
          <cell r="Y163">
            <v>0</v>
          </cell>
          <cell r="Z163">
            <v>0</v>
          </cell>
          <cell r="AA163">
            <v>0</v>
          </cell>
          <cell r="AB163">
            <v>0</v>
          </cell>
          <cell r="AC163">
            <v>0</v>
          </cell>
          <cell r="AD163">
            <v>0</v>
          </cell>
          <cell r="AE163" t="str">
            <v>MPET 12x740</v>
          </cell>
          <cell r="AF163" t="str">
            <v>PE 65x740</v>
          </cell>
          <cell r="AG163">
            <v>7.0392500000000011E-2</v>
          </cell>
          <cell r="AH163">
            <v>1.2166666666666668</v>
          </cell>
          <cell r="AI163">
            <v>1.46</v>
          </cell>
          <cell r="AJ163">
            <v>9530</v>
          </cell>
          <cell r="AK163" t="str">
            <v>0,0055(0,0025;0,003)</v>
          </cell>
          <cell r="AL163">
            <v>0</v>
          </cell>
          <cell r="AM163" t="str">
            <v>Túi</v>
          </cell>
          <cell r="AN163">
            <v>0</v>
          </cell>
          <cell r="AO163" t="str">
            <v>Bùi Văn Sỹ</v>
          </cell>
          <cell r="AP163">
            <v>0</v>
          </cell>
          <cell r="AQ163" t="str">
            <v>1607495-1</v>
          </cell>
          <cell r="AR163" t="str">
            <v>1812617-2</v>
          </cell>
          <cell r="AS163" t="str">
            <v>1607495-3</v>
          </cell>
          <cell r="AT163" t="str">
            <v>1607495-4</v>
          </cell>
          <cell r="AU163" t="str">
            <v>1607495-5</v>
          </cell>
          <cell r="AV163" t="str">
            <v>1607495-6</v>
          </cell>
          <cell r="AW163" t="str">
            <v>1607495-7</v>
          </cell>
          <cell r="BA163" t="str">
            <v>540x850</v>
          </cell>
          <cell r="BB163" t="str">
            <v>F1</v>
          </cell>
          <cell r="BC163" t="str">
            <v>in chung sp 566+794</v>
          </cell>
        </row>
        <row r="164">
          <cell r="A164" t="str">
            <v>sp 664</v>
          </cell>
          <cell r="B164" t="str">
            <v>Túi ngô LVN10 cấp giống lai F1 1kg Thái Bình</v>
          </cell>
          <cell r="C164">
            <v>6.6999999999999993</v>
          </cell>
          <cell r="D164" t="str">
            <v>PET 12x820</v>
          </cell>
          <cell r="E164">
            <v>8</v>
          </cell>
          <cell r="F164">
            <v>7</v>
          </cell>
          <cell r="G164" t="str">
            <v xml:space="preserve">PET </v>
          </cell>
          <cell r="H164">
            <v>0.1</v>
          </cell>
          <cell r="I164">
            <v>2.7</v>
          </cell>
          <cell r="J164">
            <v>0.1</v>
          </cell>
          <cell r="K164">
            <v>0.1</v>
          </cell>
          <cell r="L164">
            <v>2.5</v>
          </cell>
          <cell r="M164">
            <v>0.8</v>
          </cell>
          <cell r="N164">
            <v>0</v>
          </cell>
          <cell r="O164">
            <v>0.1</v>
          </cell>
          <cell r="P164">
            <v>0.2</v>
          </cell>
          <cell r="Q164">
            <v>0</v>
          </cell>
          <cell r="R164">
            <v>0</v>
          </cell>
          <cell r="S164">
            <v>0</v>
          </cell>
          <cell r="T164">
            <v>0.1</v>
          </cell>
          <cell r="U164">
            <v>0</v>
          </cell>
          <cell r="V164">
            <v>0</v>
          </cell>
          <cell r="W164">
            <v>0</v>
          </cell>
          <cell r="X164">
            <v>0</v>
          </cell>
          <cell r="Y164">
            <v>0</v>
          </cell>
          <cell r="Z164">
            <v>0</v>
          </cell>
          <cell r="AA164">
            <v>0</v>
          </cell>
          <cell r="AB164">
            <v>0</v>
          </cell>
          <cell r="AC164">
            <v>0</v>
          </cell>
          <cell r="AD164">
            <v>0</v>
          </cell>
          <cell r="AE164" t="str">
            <v>MPET 12x820</v>
          </cell>
          <cell r="AF164" t="str">
            <v>PE 85x820</v>
          </cell>
          <cell r="AG164">
            <v>9.2024500000000009E-2</v>
          </cell>
          <cell r="AH164">
            <v>1.242</v>
          </cell>
          <cell r="AI164">
            <v>1.64</v>
          </cell>
          <cell r="AJ164">
            <v>9530</v>
          </cell>
          <cell r="AK164" t="str">
            <v>0,0053(0,0023;0,003)</v>
          </cell>
          <cell r="AL164">
            <v>0</v>
          </cell>
          <cell r="AM164" t="str">
            <v>Túi</v>
          </cell>
          <cell r="AN164">
            <v>0</v>
          </cell>
          <cell r="AO164" t="str">
            <v>Công ty Thái Bình</v>
          </cell>
          <cell r="AP164">
            <v>0</v>
          </cell>
          <cell r="AQ164" t="str">
            <v>1903483-1</v>
          </cell>
          <cell r="AR164" t="str">
            <v>1610846-2</v>
          </cell>
          <cell r="AS164" t="str">
            <v>1610846-3</v>
          </cell>
          <cell r="AT164" t="str">
            <v>1610846-4</v>
          </cell>
          <cell r="AU164" t="str">
            <v>1903483-5</v>
          </cell>
          <cell r="AV164" t="str">
            <v>1610846-6</v>
          </cell>
          <cell r="AW164" t="str">
            <v>1610846-7</v>
          </cell>
          <cell r="AX164" t="str">
            <v>1610846-5 củ</v>
          </cell>
          <cell r="BA164" t="str">
            <v>570x1100</v>
          </cell>
          <cell r="BB164" t="str">
            <v>I2</v>
          </cell>
        </row>
        <row r="165">
          <cell r="A165" t="str">
            <v>sp 665</v>
          </cell>
          <cell r="B165" t="str">
            <v>Túi ngô LVN10 cấp giống lai F1 20kg Thái Bình</v>
          </cell>
          <cell r="C165">
            <v>3.24</v>
          </cell>
          <cell r="D165" t="str">
            <v>OPP 20x520</v>
          </cell>
          <cell r="E165">
            <v>7</v>
          </cell>
          <cell r="F165">
            <v>7</v>
          </cell>
          <cell r="G165" t="str">
            <v xml:space="preserve">OPP </v>
          </cell>
          <cell r="H165">
            <v>0.3</v>
          </cell>
          <cell r="I165">
            <v>0</v>
          </cell>
          <cell r="J165">
            <v>0.24</v>
          </cell>
          <cell r="K165">
            <v>0.36</v>
          </cell>
          <cell r="L165">
            <v>0.84</v>
          </cell>
          <cell r="M165">
            <v>0.5</v>
          </cell>
          <cell r="N165">
            <v>0</v>
          </cell>
          <cell r="O165">
            <v>0.5</v>
          </cell>
          <cell r="P165">
            <v>0</v>
          </cell>
          <cell r="Q165">
            <v>0</v>
          </cell>
          <cell r="R165">
            <v>0</v>
          </cell>
          <cell r="S165">
            <v>0</v>
          </cell>
          <cell r="T165">
            <v>0.5</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t="str">
            <v>Túi</v>
          </cell>
          <cell r="AN165">
            <v>0</v>
          </cell>
          <cell r="AO165" t="str">
            <v>Công ty Thái Bình</v>
          </cell>
          <cell r="AP165">
            <v>0</v>
          </cell>
          <cell r="AQ165" t="str">
            <v>1903482-1</v>
          </cell>
          <cell r="AR165" t="str">
            <v>1610847-2</v>
          </cell>
          <cell r="AS165" t="str">
            <v>1610847-3</v>
          </cell>
          <cell r="AT165" t="str">
            <v>1610847-4</v>
          </cell>
          <cell r="AU165" t="str">
            <v>1903482-5</v>
          </cell>
          <cell r="AV165" t="str">
            <v>1610847-6</v>
          </cell>
          <cell r="AW165" t="str">
            <v>1610847-7</v>
          </cell>
          <cell r="AX165">
            <v>0</v>
          </cell>
          <cell r="BA165" t="str">
            <v>770x750</v>
          </cell>
          <cell r="BB165" t="str">
            <v>J1</v>
          </cell>
        </row>
        <row r="166">
          <cell r="A166" t="str">
            <v>sp 666</v>
          </cell>
          <cell r="B166" t="str">
            <v>Túi chè HCK 200g Hùng An</v>
          </cell>
          <cell r="C166">
            <v>5.3100000000000005</v>
          </cell>
          <cell r="D166" t="str">
            <v>PET 12x620</v>
          </cell>
          <cell r="E166">
            <v>6</v>
          </cell>
          <cell r="F166">
            <v>6</v>
          </cell>
          <cell r="G166" t="str">
            <v xml:space="preserve">PET </v>
          </cell>
          <cell r="H166">
            <v>0.1</v>
          </cell>
          <cell r="I166">
            <v>2.2999999999999998</v>
          </cell>
          <cell r="J166">
            <v>0.1</v>
          </cell>
          <cell r="K166">
            <v>0.5</v>
          </cell>
          <cell r="L166">
            <v>1.81</v>
          </cell>
          <cell r="M166">
            <v>0.5</v>
          </cell>
          <cell r="N166">
            <v>0</v>
          </cell>
          <cell r="O166">
            <v>0</v>
          </cell>
          <cell r="P166" t="str">
            <v xml:space="preserve"> </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t="str">
            <v>MPET 12x620</v>
          </cell>
          <cell r="AF166" t="str">
            <v>PE 75x620</v>
          </cell>
          <cell r="AG166">
            <v>2.5133249999999999E-2</v>
          </cell>
          <cell r="AH166">
            <v>0.93533333333333324</v>
          </cell>
          <cell r="AI166">
            <v>1.22</v>
          </cell>
          <cell r="AJ166">
            <v>9530</v>
          </cell>
          <cell r="AK166" t="str">
            <v>0,0053(0,0023;0,003)</v>
          </cell>
          <cell r="AL166">
            <v>0</v>
          </cell>
          <cell r="AM166" t="str">
            <v>Túi</v>
          </cell>
          <cell r="AN166">
            <v>0</v>
          </cell>
          <cell r="AO166" t="str">
            <v>Công ty Hùng An</v>
          </cell>
          <cell r="AP166">
            <v>0</v>
          </cell>
          <cell r="AQ166" t="str">
            <v>20110088-1</v>
          </cell>
          <cell r="AR166" t="str">
            <v>1807146-2</v>
          </cell>
          <cell r="AS166" t="str">
            <v>1610805-3</v>
          </cell>
          <cell r="AT166" t="str">
            <v>1610805-4</v>
          </cell>
          <cell r="AU166" t="str">
            <v>20110088-5</v>
          </cell>
          <cell r="AV166" t="str">
            <v>20110088-6</v>
          </cell>
          <cell r="BA166" t="str">
            <v>680x750</v>
          </cell>
          <cell r="BB166" t="str">
            <v>O1</v>
          </cell>
        </row>
        <row r="167">
          <cell r="A167" t="str">
            <v>sp 667</v>
          </cell>
          <cell r="B167" t="str">
            <v>Túi chè HCK 500g Hùng An</v>
          </cell>
          <cell r="C167">
            <v>5.1100000000000003</v>
          </cell>
          <cell r="D167" t="str">
            <v>OPP mờ 20x760</v>
          </cell>
          <cell r="E167">
            <v>5</v>
          </cell>
          <cell r="F167">
            <v>5</v>
          </cell>
          <cell r="G167" t="str">
            <v xml:space="preserve">OPP </v>
          </cell>
          <cell r="H167">
            <v>0.2</v>
          </cell>
          <cell r="I167">
            <v>2.2999999999999998</v>
          </cell>
          <cell r="J167">
            <v>0.1</v>
          </cell>
          <cell r="K167">
            <v>0.2</v>
          </cell>
          <cell r="L167">
            <v>1.81</v>
          </cell>
          <cell r="M167">
            <v>0.5</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t="str">
            <v>MPET 12x760</v>
          </cell>
          <cell r="AF167" t="str">
            <v>PE75x760</v>
          </cell>
          <cell r="AG167">
            <v>7.9325000000000007E-2</v>
          </cell>
          <cell r="AH167">
            <v>1.1499999999999999</v>
          </cell>
          <cell r="AI167">
            <v>1.5</v>
          </cell>
          <cell r="AJ167">
            <v>9530</v>
          </cell>
          <cell r="AK167" t="str">
            <v>0,0053(0,0023;0,003)</v>
          </cell>
          <cell r="AL167">
            <v>0</v>
          </cell>
          <cell r="AM167" t="str">
            <v>Túi</v>
          </cell>
          <cell r="AN167">
            <v>0</v>
          </cell>
          <cell r="AO167" t="str">
            <v>Công ty Hùng An</v>
          </cell>
          <cell r="AP167">
            <v>0</v>
          </cell>
          <cell r="AQ167" t="str">
            <v>1610804-1</v>
          </cell>
          <cell r="AR167" t="str">
            <v>1610804-2</v>
          </cell>
          <cell r="AS167" t="str">
            <v>1610804-3</v>
          </cell>
          <cell r="AT167" t="str">
            <v>1610804-4</v>
          </cell>
          <cell r="AU167" t="str">
            <v>1610804-5</v>
          </cell>
          <cell r="BA167" t="str">
            <v>420x850</v>
          </cell>
          <cell r="BB167" t="str">
            <v>O1</v>
          </cell>
        </row>
        <row r="168">
          <cell r="A168" t="str">
            <v>sp 668</v>
          </cell>
          <cell r="B168" t="str">
            <v>Túi chè thường 200g Hùng An</v>
          </cell>
          <cell r="C168">
            <v>5.0999999999999996</v>
          </cell>
          <cell r="D168" t="str">
            <v>OPP 20x740</v>
          </cell>
          <cell r="E168">
            <v>5</v>
          </cell>
          <cell r="F168">
            <v>5</v>
          </cell>
          <cell r="G168" t="str">
            <v xml:space="preserve">OPP </v>
          </cell>
          <cell r="H168">
            <v>0.7</v>
          </cell>
          <cell r="I168">
            <v>2.5</v>
          </cell>
          <cell r="J168">
            <v>0.3</v>
          </cell>
          <cell r="K168">
            <v>0.1</v>
          </cell>
          <cell r="L168">
            <v>0.5</v>
          </cell>
          <cell r="M168">
            <v>1</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t="str">
            <v>PE 60x740</v>
          </cell>
          <cell r="AF168">
            <v>0</v>
          </cell>
          <cell r="AG168">
            <v>5.4538000000000003E-2</v>
          </cell>
          <cell r="AH168">
            <v>9.7333333333333343</v>
          </cell>
          <cell r="AI168">
            <v>0</v>
          </cell>
          <cell r="AJ168">
            <v>9530</v>
          </cell>
          <cell r="AK168">
            <v>2E-3</v>
          </cell>
          <cell r="AL168">
            <v>0</v>
          </cell>
          <cell r="AM168" t="str">
            <v>Túi</v>
          </cell>
          <cell r="AN168">
            <v>0</v>
          </cell>
          <cell r="AO168" t="str">
            <v>Công ty Hùng An</v>
          </cell>
          <cell r="AP168">
            <v>0</v>
          </cell>
          <cell r="AQ168" t="str">
            <v>1610806-1</v>
          </cell>
          <cell r="AR168" t="str">
            <v>1610806-2</v>
          </cell>
          <cell r="AS168" t="str">
            <v>1610806-3</v>
          </cell>
          <cell r="AT168" t="str">
            <v>1610806-4</v>
          </cell>
          <cell r="AU168" t="str">
            <v>1610806-5</v>
          </cell>
          <cell r="BA168" t="str">
            <v>500x850</v>
          </cell>
          <cell r="BB168" t="str">
            <v>O1</v>
          </cell>
        </row>
        <row r="169">
          <cell r="A169" t="str">
            <v>sp 673</v>
          </cell>
          <cell r="B169" t="str">
            <v>Cuộn lúa GS55 1kg Đại Thành</v>
          </cell>
          <cell r="C169">
            <v>4.8499999999999996</v>
          </cell>
          <cell r="D169" t="str">
            <v>OPP 20x460</v>
          </cell>
          <cell r="E169">
            <v>7</v>
          </cell>
          <cell r="F169">
            <v>7</v>
          </cell>
          <cell r="G169" t="str">
            <v xml:space="preserve">OPP </v>
          </cell>
          <cell r="H169">
            <v>0.1</v>
          </cell>
          <cell r="I169">
            <v>3.3</v>
          </cell>
          <cell r="J169">
            <v>0.1</v>
          </cell>
          <cell r="K169">
            <v>0.15</v>
          </cell>
          <cell r="L169">
            <v>0.2</v>
          </cell>
          <cell r="M169">
            <v>0.6</v>
          </cell>
          <cell r="N169">
            <v>0</v>
          </cell>
          <cell r="O169">
            <v>0</v>
          </cell>
          <cell r="P169">
            <v>0.1</v>
          </cell>
          <cell r="Q169">
            <v>0</v>
          </cell>
          <cell r="R169">
            <v>0.3</v>
          </cell>
          <cell r="S169">
            <v>0</v>
          </cell>
          <cell r="T169">
            <v>0</v>
          </cell>
          <cell r="U169">
            <v>0</v>
          </cell>
          <cell r="V169">
            <v>0</v>
          </cell>
          <cell r="W169">
            <v>0</v>
          </cell>
          <cell r="X169">
            <v>0</v>
          </cell>
          <cell r="Y169">
            <v>0</v>
          </cell>
          <cell r="Z169">
            <v>0</v>
          </cell>
          <cell r="AA169">
            <v>0</v>
          </cell>
          <cell r="AB169">
            <v>0</v>
          </cell>
          <cell r="AC169">
            <v>0</v>
          </cell>
          <cell r="AD169">
            <v>0</v>
          </cell>
          <cell r="AE169" t="str">
            <v>PE 70x460</v>
          </cell>
          <cell r="AF169">
            <v>0</v>
          </cell>
          <cell r="AG169">
            <v>3.815700000000001E-2</v>
          </cell>
          <cell r="AH169">
            <v>0.69</v>
          </cell>
          <cell r="AI169">
            <v>0</v>
          </cell>
          <cell r="AJ169">
            <v>9530</v>
          </cell>
          <cell r="AK169">
            <v>2.3E-3</v>
          </cell>
          <cell r="AL169">
            <v>0</v>
          </cell>
          <cell r="AM169" t="str">
            <v>Cuộn</v>
          </cell>
          <cell r="AN169">
            <v>0</v>
          </cell>
          <cell r="AO169" t="str">
            <v>Công ty Đại Thành</v>
          </cell>
          <cell r="AP169">
            <v>0</v>
          </cell>
          <cell r="AQ169" t="str">
            <v>F115552G1-1</v>
          </cell>
          <cell r="AR169" t="str">
            <v>F115552-2</v>
          </cell>
          <cell r="AS169" t="str">
            <v>F115552-3</v>
          </cell>
          <cell r="AT169" t="str">
            <v>F115552-4</v>
          </cell>
          <cell r="AU169" t="str">
            <v>F115552-5</v>
          </cell>
          <cell r="AV169" t="str">
            <v>F115552-6</v>
          </cell>
          <cell r="AW169" t="str">
            <v>F115552-7</v>
          </cell>
          <cell r="BA169" t="str">
            <v>750x610</v>
          </cell>
          <cell r="BB169" t="str">
            <v>O1</v>
          </cell>
        </row>
        <row r="170">
          <cell r="A170" t="str">
            <v>sp 674</v>
          </cell>
          <cell r="B170" t="str">
            <v>Túi chè hạnh phúc, phúc lộc thọ, đặc sản 10g</v>
          </cell>
          <cell r="C170">
            <v>6.2</v>
          </cell>
          <cell r="D170" t="str">
            <v>PET 12x700</v>
          </cell>
          <cell r="E170">
            <v>8</v>
          </cell>
          <cell r="F170">
            <v>8</v>
          </cell>
          <cell r="G170" t="str">
            <v xml:space="preserve">PET </v>
          </cell>
          <cell r="H170">
            <v>0.1</v>
          </cell>
          <cell r="I170">
            <v>2.1</v>
          </cell>
          <cell r="J170">
            <v>0.1</v>
          </cell>
          <cell r="K170">
            <v>0.1</v>
          </cell>
          <cell r="L170">
            <v>3</v>
          </cell>
          <cell r="M170">
            <v>0</v>
          </cell>
          <cell r="N170">
            <v>0</v>
          </cell>
          <cell r="O170">
            <v>0</v>
          </cell>
          <cell r="P170">
            <v>0.6</v>
          </cell>
          <cell r="Q170">
            <v>0</v>
          </cell>
          <cell r="R170">
            <v>0</v>
          </cell>
          <cell r="S170">
            <v>0.2</v>
          </cell>
          <cell r="T170">
            <v>0</v>
          </cell>
          <cell r="U170">
            <v>0</v>
          </cell>
          <cell r="V170">
            <v>0</v>
          </cell>
          <cell r="W170">
            <v>0</v>
          </cell>
          <cell r="X170">
            <v>0</v>
          </cell>
          <cell r="Y170">
            <v>0</v>
          </cell>
          <cell r="Z170">
            <v>0</v>
          </cell>
          <cell r="AA170">
            <v>0</v>
          </cell>
          <cell r="AB170">
            <v>0</v>
          </cell>
          <cell r="AC170">
            <v>0</v>
          </cell>
          <cell r="AD170">
            <v>0</v>
          </cell>
          <cell r="AE170" t="str">
            <v>MPET 12x700</v>
          </cell>
          <cell r="AF170" t="str">
            <v>PE 30x700</v>
          </cell>
          <cell r="AG170">
            <v>4.2944999999999997E-2</v>
          </cell>
          <cell r="AH170">
            <v>1.012</v>
          </cell>
          <cell r="AI170">
            <v>1.012</v>
          </cell>
          <cell r="AJ170">
            <v>9530</v>
          </cell>
          <cell r="AK170" t="str">
            <v>0,0044(0,0022;0,0022)</v>
          </cell>
          <cell r="AL170">
            <v>0</v>
          </cell>
          <cell r="AM170" t="str">
            <v>Túi</v>
          </cell>
          <cell r="AN170">
            <v>0</v>
          </cell>
          <cell r="AO170" t="str">
            <v>Bùi Văn Sỹ</v>
          </cell>
          <cell r="AP170">
            <v>0</v>
          </cell>
          <cell r="AQ170" t="str">
            <v>1611038-1</v>
          </cell>
          <cell r="AR170" t="str">
            <v>1611038-2</v>
          </cell>
          <cell r="AS170" t="str">
            <v>1611038-3</v>
          </cell>
          <cell r="AT170" t="str">
            <v>1611038-4</v>
          </cell>
          <cell r="AU170" t="str">
            <v>1611038-5</v>
          </cell>
          <cell r="AV170" t="str">
            <v>1611038-6</v>
          </cell>
          <cell r="AW170" t="str">
            <v>1611038-7</v>
          </cell>
          <cell r="AX170">
            <v>0</v>
          </cell>
          <cell r="BA170" t="str">
            <v>460x750</v>
          </cell>
          <cell r="BB170" t="str">
            <v>F2</v>
          </cell>
        </row>
        <row r="171">
          <cell r="A171" t="str">
            <v>sp 675</v>
          </cell>
          <cell r="B171" t="str">
            <v>Túi trà chúc mừng năm mới 100g</v>
          </cell>
          <cell r="C171">
            <v>4.5999999999999996</v>
          </cell>
          <cell r="D171" t="str">
            <v>PET 12x740</v>
          </cell>
          <cell r="E171">
            <v>7</v>
          </cell>
          <cell r="F171">
            <v>7</v>
          </cell>
          <cell r="G171" t="str">
            <v xml:space="preserve">PET </v>
          </cell>
          <cell r="H171">
            <v>0.1</v>
          </cell>
          <cell r="I171">
            <v>1.2</v>
          </cell>
          <cell r="J171">
            <v>0.2</v>
          </cell>
          <cell r="K171">
            <v>0.2</v>
          </cell>
          <cell r="L171">
            <v>1.5</v>
          </cell>
          <cell r="M171">
            <v>0</v>
          </cell>
          <cell r="N171">
            <v>0</v>
          </cell>
          <cell r="O171">
            <v>0</v>
          </cell>
          <cell r="P171">
            <v>0.4</v>
          </cell>
          <cell r="Q171">
            <v>0</v>
          </cell>
          <cell r="R171">
            <v>0</v>
          </cell>
          <cell r="S171">
            <v>0</v>
          </cell>
          <cell r="T171">
            <v>0</v>
          </cell>
          <cell r="U171">
            <v>1</v>
          </cell>
          <cell r="V171">
            <v>0</v>
          </cell>
          <cell r="W171">
            <v>0</v>
          </cell>
          <cell r="X171">
            <v>0</v>
          </cell>
          <cell r="Y171">
            <v>0</v>
          </cell>
          <cell r="Z171">
            <v>0</v>
          </cell>
          <cell r="AA171">
            <v>0</v>
          </cell>
          <cell r="AB171">
            <v>0</v>
          </cell>
          <cell r="AC171">
            <v>0</v>
          </cell>
          <cell r="AD171">
            <v>0</v>
          </cell>
          <cell r="AE171" t="str">
            <v>MPET 12x740</v>
          </cell>
          <cell r="AF171" t="str">
            <v>PE 75x740</v>
          </cell>
          <cell r="AG171">
            <v>7.6201500000000005E-2</v>
          </cell>
          <cell r="AH171">
            <v>1.1193333333333333</v>
          </cell>
          <cell r="AI171">
            <v>1.46</v>
          </cell>
          <cell r="AJ171">
            <v>9530</v>
          </cell>
          <cell r="AK171" t="str">
            <v>0,0053(0,0023;0,003)</v>
          </cell>
          <cell r="AL171">
            <v>0</v>
          </cell>
          <cell r="AM171" t="str">
            <v>Túi</v>
          </cell>
          <cell r="AN171">
            <v>0</v>
          </cell>
          <cell r="AO171" t="str">
            <v>Bùi Văn Sỹ</v>
          </cell>
          <cell r="AP171">
            <v>0</v>
          </cell>
          <cell r="AQ171" t="str">
            <v>16101031-1</v>
          </cell>
          <cell r="AR171" t="str">
            <v>16101031-2</v>
          </cell>
          <cell r="AS171" t="str">
            <v>16101031-3</v>
          </cell>
          <cell r="AT171" t="str">
            <v>16101031-4</v>
          </cell>
          <cell r="AU171" t="str">
            <v>16101031-5</v>
          </cell>
          <cell r="AV171" t="str">
            <v>16101031-6</v>
          </cell>
          <cell r="AW171" t="str">
            <v>16101031-7</v>
          </cell>
          <cell r="AX171">
            <v>0</v>
          </cell>
          <cell r="BA171" t="str">
            <v>540x850</v>
          </cell>
          <cell r="BB171" t="str">
            <v>F2</v>
          </cell>
        </row>
        <row r="172">
          <cell r="A172" t="str">
            <v>sp 676</v>
          </cell>
          <cell r="B172" t="str">
            <v>Túi trà đồi núi 100g</v>
          </cell>
          <cell r="C172">
            <v>6.6000000000000005</v>
          </cell>
          <cell r="D172" t="str">
            <v>PET 12x740</v>
          </cell>
          <cell r="E172">
            <v>7</v>
          </cell>
          <cell r="F172">
            <v>7</v>
          </cell>
          <cell r="G172" t="str">
            <v xml:space="preserve">PET </v>
          </cell>
          <cell r="H172">
            <v>0.2</v>
          </cell>
          <cell r="I172">
            <v>1.5</v>
          </cell>
          <cell r="J172">
            <v>1.2</v>
          </cell>
          <cell r="K172">
            <v>0.2</v>
          </cell>
          <cell r="L172">
            <v>2.7</v>
          </cell>
          <cell r="M172">
            <v>0.7</v>
          </cell>
          <cell r="N172">
            <v>0</v>
          </cell>
          <cell r="O172">
            <v>0</v>
          </cell>
          <cell r="P172">
            <v>0</v>
          </cell>
          <cell r="Q172">
            <v>0</v>
          </cell>
          <cell r="R172">
            <v>0</v>
          </cell>
          <cell r="S172">
            <v>0.1</v>
          </cell>
          <cell r="T172">
            <v>0</v>
          </cell>
          <cell r="U172">
            <v>0</v>
          </cell>
          <cell r="V172">
            <v>0</v>
          </cell>
          <cell r="W172">
            <v>0</v>
          </cell>
          <cell r="X172">
            <v>0</v>
          </cell>
          <cell r="Y172">
            <v>0</v>
          </cell>
          <cell r="Z172">
            <v>0</v>
          </cell>
          <cell r="AA172">
            <v>0</v>
          </cell>
          <cell r="AB172">
            <v>0</v>
          </cell>
          <cell r="AC172">
            <v>0</v>
          </cell>
          <cell r="AD172">
            <v>0</v>
          </cell>
          <cell r="AE172" t="str">
            <v>MPET 12x740</v>
          </cell>
          <cell r="AF172" t="str">
            <v>PE 75x740</v>
          </cell>
          <cell r="AG172">
            <v>7.6201500000000005E-2</v>
          </cell>
          <cell r="AH172">
            <v>1.1193333333333333</v>
          </cell>
          <cell r="AI172">
            <v>1.46</v>
          </cell>
          <cell r="AJ172">
            <v>9530</v>
          </cell>
          <cell r="AK172" t="str">
            <v>0,0053(0,0023;0,003)</v>
          </cell>
          <cell r="AL172">
            <v>0</v>
          </cell>
          <cell r="AM172" t="str">
            <v>Túi</v>
          </cell>
          <cell r="AN172">
            <v>0</v>
          </cell>
          <cell r="AO172" t="str">
            <v>Bùi Văn Sỹ</v>
          </cell>
          <cell r="AP172">
            <v>0</v>
          </cell>
          <cell r="AQ172" t="str">
            <v>16101032-1</v>
          </cell>
          <cell r="AR172" t="str">
            <v>16101032-2</v>
          </cell>
          <cell r="AS172" t="str">
            <v>16101032-3</v>
          </cell>
          <cell r="AT172" t="str">
            <v>16101032-4</v>
          </cell>
          <cell r="AU172" t="str">
            <v>16101032-5</v>
          </cell>
          <cell r="AV172" t="str">
            <v>16101032-6</v>
          </cell>
          <cell r="AW172" t="str">
            <v>16101032-7</v>
          </cell>
          <cell r="BA172" t="str">
            <v>540x850</v>
          </cell>
          <cell r="BB172" t="str">
            <v>F2</v>
          </cell>
        </row>
        <row r="173">
          <cell r="A173" t="str">
            <v>sp 678</v>
          </cell>
          <cell r="B173" t="str">
            <v>Túi thuốc trị nấm fovathane 80WP loại 90g</v>
          </cell>
          <cell r="C173">
            <v>1.9</v>
          </cell>
          <cell r="D173" t="str">
            <v>PET 12x640</v>
          </cell>
          <cell r="E173">
            <v>6</v>
          </cell>
          <cell r="F173">
            <v>6</v>
          </cell>
          <cell r="G173" t="str">
            <v xml:space="preserve">PET </v>
          </cell>
          <cell r="H173">
            <v>0.1</v>
          </cell>
          <cell r="I173">
            <v>0.4</v>
          </cell>
          <cell r="J173">
            <v>0.1</v>
          </cell>
          <cell r="K173">
            <v>0.1</v>
          </cell>
          <cell r="L173">
            <v>0.2</v>
          </cell>
          <cell r="M173">
            <v>0.9</v>
          </cell>
          <cell r="N173">
            <v>0</v>
          </cell>
          <cell r="O173">
            <v>0</v>
          </cell>
          <cell r="P173">
            <v>0</v>
          </cell>
          <cell r="Q173">
            <v>0</v>
          </cell>
          <cell r="R173">
            <v>0.1</v>
          </cell>
          <cell r="S173">
            <v>0</v>
          </cell>
          <cell r="T173">
            <v>0</v>
          </cell>
          <cell r="U173">
            <v>0</v>
          </cell>
          <cell r="V173">
            <v>0</v>
          </cell>
          <cell r="W173">
            <v>0</v>
          </cell>
          <cell r="X173">
            <v>0</v>
          </cell>
          <cell r="Y173">
            <v>0</v>
          </cell>
          <cell r="Z173">
            <v>0</v>
          </cell>
          <cell r="AA173">
            <v>0</v>
          </cell>
          <cell r="AB173">
            <v>0</v>
          </cell>
          <cell r="AC173">
            <v>0</v>
          </cell>
          <cell r="AD173">
            <v>0</v>
          </cell>
          <cell r="AE173" t="str">
            <v>Al 6x640</v>
          </cell>
          <cell r="AF173" t="str">
            <v>PE 75x650</v>
          </cell>
          <cell r="AG173">
            <v>6.5558400000000003E-2</v>
          </cell>
          <cell r="AH173">
            <v>0.96599999999999997</v>
          </cell>
          <cell r="AI173">
            <v>1.26</v>
          </cell>
          <cell r="AJ173">
            <v>9530</v>
          </cell>
          <cell r="AK173" t="str">
            <v>0,0053(0,0023;0,003)</v>
          </cell>
          <cell r="AL173">
            <v>0</v>
          </cell>
          <cell r="AM173" t="str">
            <v>Túi</v>
          </cell>
          <cell r="AN173">
            <v>0</v>
          </cell>
          <cell r="AO173" t="str">
            <v>Công ty Việt Thắng</v>
          </cell>
          <cell r="AP173">
            <v>0</v>
          </cell>
          <cell r="AQ173" t="str">
            <v>F115666G2-1</v>
          </cell>
          <cell r="AR173" t="str">
            <v>F115666-2</v>
          </cell>
          <cell r="AS173" t="str">
            <v>F115666-3</v>
          </cell>
          <cell r="AT173" t="str">
            <v>F115666-4</v>
          </cell>
          <cell r="AU173" t="str">
            <v>F115666-5</v>
          </cell>
          <cell r="AV173" t="str">
            <v>F115666-6</v>
          </cell>
          <cell r="BA173" t="str">
            <v>420x750</v>
          </cell>
          <cell r="BB173" t="str">
            <v>D2</v>
          </cell>
        </row>
        <row r="174">
          <cell r="A174" t="str">
            <v>sp 679</v>
          </cell>
          <cell r="B174" t="str">
            <v>Túi thuốc trị nấm fovanthane 80WP loại 450g</v>
          </cell>
          <cell r="C174">
            <v>2.8000000000000003</v>
          </cell>
          <cell r="D174" t="str">
            <v>PET 12x620</v>
          </cell>
          <cell r="E174">
            <v>6</v>
          </cell>
          <cell r="F174">
            <v>6</v>
          </cell>
          <cell r="G174" t="str">
            <v xml:space="preserve">PET </v>
          </cell>
          <cell r="H174">
            <v>0.1</v>
          </cell>
          <cell r="I174">
            <v>0.7</v>
          </cell>
          <cell r="J174">
            <v>0.2</v>
          </cell>
          <cell r="K174">
            <v>0.1</v>
          </cell>
          <cell r="L174">
            <v>0.3</v>
          </cell>
          <cell r="M174">
            <v>1.3</v>
          </cell>
          <cell r="N174">
            <v>0</v>
          </cell>
          <cell r="O174">
            <v>0</v>
          </cell>
          <cell r="P174">
            <v>0</v>
          </cell>
          <cell r="Q174">
            <v>0</v>
          </cell>
          <cell r="R174">
            <v>0.1</v>
          </cell>
          <cell r="S174">
            <v>0</v>
          </cell>
          <cell r="T174">
            <v>0</v>
          </cell>
          <cell r="U174">
            <v>0</v>
          </cell>
          <cell r="V174">
            <v>0</v>
          </cell>
          <cell r="W174">
            <v>0</v>
          </cell>
          <cell r="X174">
            <v>0</v>
          </cell>
          <cell r="Y174">
            <v>0</v>
          </cell>
          <cell r="Z174">
            <v>0</v>
          </cell>
          <cell r="AA174">
            <v>0</v>
          </cell>
          <cell r="AB174">
            <v>0</v>
          </cell>
          <cell r="AC174">
            <v>0</v>
          </cell>
          <cell r="AD174">
            <v>0</v>
          </cell>
          <cell r="AE174" t="str">
            <v>Al 6x620</v>
          </cell>
          <cell r="AF174" t="str">
            <v>PET 75x630</v>
          </cell>
          <cell r="AG174">
            <v>6.3509700000000002E-2</v>
          </cell>
          <cell r="AH174">
            <v>0.93533333333333324</v>
          </cell>
          <cell r="AI174">
            <v>1.22</v>
          </cell>
          <cell r="AJ174">
            <v>9530</v>
          </cell>
          <cell r="AK174" t="str">
            <v>0,0053(0,0023;0,003)</v>
          </cell>
          <cell r="AL174">
            <v>0</v>
          </cell>
          <cell r="AM174" t="str">
            <v>Túi</v>
          </cell>
          <cell r="AN174">
            <v>0</v>
          </cell>
          <cell r="AO174" t="str">
            <v>Công ty Việt Thắng</v>
          </cell>
          <cell r="AP174">
            <v>0</v>
          </cell>
          <cell r="AQ174" t="str">
            <v>F115667-1</v>
          </cell>
          <cell r="AR174" t="str">
            <v>F115667-2</v>
          </cell>
          <cell r="AS174" t="str">
            <v>F115667-3</v>
          </cell>
          <cell r="AT174" t="str">
            <v>F115667-4</v>
          </cell>
          <cell r="AU174" t="str">
            <v>F115667-5</v>
          </cell>
          <cell r="AV174" t="str">
            <v>F115667-6</v>
          </cell>
          <cell r="BA174" t="str">
            <v>420x750</v>
          </cell>
          <cell r="BB174" t="str">
            <v>D2</v>
          </cell>
        </row>
        <row r="175">
          <cell r="A175" t="str">
            <v>sp 680</v>
          </cell>
          <cell r="B175" t="str">
            <v>Túi thuốc trị nấm fovathane 80WP loại 900g</v>
          </cell>
          <cell r="C175">
            <v>2.9</v>
          </cell>
          <cell r="D175" t="str">
            <v>PET 12x740</v>
          </cell>
          <cell r="E175">
            <v>6</v>
          </cell>
          <cell r="F175">
            <v>6</v>
          </cell>
          <cell r="G175" t="str">
            <v xml:space="preserve">PET </v>
          </cell>
          <cell r="H175">
            <v>0.2</v>
          </cell>
          <cell r="I175">
            <v>0.7</v>
          </cell>
          <cell r="J175">
            <v>0.2</v>
          </cell>
          <cell r="K175">
            <v>0.1</v>
          </cell>
          <cell r="L175">
            <v>0.3</v>
          </cell>
          <cell r="M175">
            <v>1.3</v>
          </cell>
          <cell r="N175">
            <v>0</v>
          </cell>
          <cell r="O175">
            <v>0</v>
          </cell>
          <cell r="P175">
            <v>0</v>
          </cell>
          <cell r="Q175">
            <v>0</v>
          </cell>
          <cell r="R175">
            <v>0.1</v>
          </cell>
          <cell r="S175">
            <v>0</v>
          </cell>
          <cell r="T175">
            <v>0</v>
          </cell>
          <cell r="U175">
            <v>0</v>
          </cell>
          <cell r="V175">
            <v>0</v>
          </cell>
          <cell r="W175">
            <v>0</v>
          </cell>
          <cell r="X175">
            <v>0</v>
          </cell>
          <cell r="Y175">
            <v>0</v>
          </cell>
          <cell r="Z175">
            <v>0</v>
          </cell>
          <cell r="AA175">
            <v>0</v>
          </cell>
          <cell r="AB175">
            <v>0</v>
          </cell>
          <cell r="AC175">
            <v>0</v>
          </cell>
          <cell r="AD175">
            <v>0</v>
          </cell>
          <cell r="AE175" t="str">
            <v>Al 6x740</v>
          </cell>
          <cell r="AF175" t="str">
            <v>PE 75x750</v>
          </cell>
          <cell r="AG175">
            <v>7.5801899999999992E-2</v>
          </cell>
          <cell r="AH175">
            <v>1.1193333333333333</v>
          </cell>
          <cell r="AI175">
            <v>1.46</v>
          </cell>
          <cell r="AJ175">
            <v>9530</v>
          </cell>
          <cell r="AK175" t="str">
            <v>0,0053(0,0023;0,003)</v>
          </cell>
          <cell r="AL175">
            <v>0</v>
          </cell>
          <cell r="AM175" t="str">
            <v>Túi</v>
          </cell>
          <cell r="AN175">
            <v>0</v>
          </cell>
          <cell r="AO175" t="str">
            <v>Công ty Việt Thắng</v>
          </cell>
          <cell r="AP175">
            <v>0</v>
          </cell>
          <cell r="AQ175" t="str">
            <v>F115668-1</v>
          </cell>
          <cell r="AR175" t="str">
            <v>F115668-2</v>
          </cell>
          <cell r="AS175" t="str">
            <v>F115668-3</v>
          </cell>
          <cell r="AT175" t="str">
            <v>F115668-4</v>
          </cell>
          <cell r="AU175" t="str">
            <v>F115668-5</v>
          </cell>
          <cell r="AV175" t="str">
            <v>F115668-6</v>
          </cell>
          <cell r="BA175" t="str">
            <v>480x850</v>
          </cell>
          <cell r="BB175" t="str">
            <v>D2</v>
          </cell>
        </row>
        <row r="176">
          <cell r="A176" t="str">
            <v>sp 681</v>
          </cell>
          <cell r="B176" t="str">
            <v>Trục in túi trà táo đỏ Vĩnh Phúc 400x850</v>
          </cell>
          <cell r="C176">
            <v>0</v>
          </cell>
          <cell r="D176">
            <v>0</v>
          </cell>
          <cell r="E176">
            <v>1</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t="str">
            <v>Công ty Vĩnh Phúc</v>
          </cell>
          <cell r="AP176">
            <v>0</v>
          </cell>
          <cell r="AQ176">
            <v>16110495</v>
          </cell>
          <cell r="AR176">
            <v>0</v>
          </cell>
          <cell r="AS176">
            <v>0</v>
          </cell>
          <cell r="AT176">
            <v>0</v>
          </cell>
          <cell r="AU176">
            <v>0</v>
          </cell>
          <cell r="AV176">
            <v>0</v>
          </cell>
          <cell r="BA176" t="str">
            <v xml:space="preserve"> 400x850</v>
          </cell>
          <cell r="BB176" t="str">
            <v>A1</v>
          </cell>
        </row>
        <row r="177">
          <cell r="A177" t="str">
            <v>sp 682</v>
          </cell>
          <cell r="B177" t="str">
            <v>Túi lúa mới TBR45XN1 40kg Thái Bình</v>
          </cell>
          <cell r="C177">
            <v>3.4000000000000004</v>
          </cell>
          <cell r="D177" t="str">
            <v>OPP 18x690</v>
          </cell>
          <cell r="E177">
            <v>2</v>
          </cell>
          <cell r="F177">
            <v>7</v>
          </cell>
          <cell r="G177" t="str">
            <v xml:space="preserve">OPP </v>
          </cell>
          <cell r="H177">
            <v>0.4</v>
          </cell>
          <cell r="I177">
            <v>0.9</v>
          </cell>
          <cell r="J177">
            <v>0.8</v>
          </cell>
          <cell r="K177">
            <v>0.2</v>
          </cell>
          <cell r="L177">
            <v>0.7</v>
          </cell>
          <cell r="M177">
            <v>0</v>
          </cell>
          <cell r="N177">
            <v>0</v>
          </cell>
          <cell r="O177">
            <v>0.2</v>
          </cell>
          <cell r="P177">
            <v>0</v>
          </cell>
          <cell r="Q177">
            <v>0</v>
          </cell>
          <cell r="R177">
            <v>0</v>
          </cell>
          <cell r="S177">
            <v>0</v>
          </cell>
          <cell r="T177">
            <v>0.2</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t="str">
            <v>Công ty Thái Bình</v>
          </cell>
          <cell r="AP177">
            <v>0</v>
          </cell>
          <cell r="AQ177" t="str">
            <v>1903035-1</v>
          </cell>
          <cell r="AR177" t="str">
            <v>1609242-2</v>
          </cell>
          <cell r="AS177" t="str">
            <v>17101029-3</v>
          </cell>
          <cell r="AT177" t="str">
            <v>1710745-4</v>
          </cell>
          <cell r="AU177" t="str">
            <v>1903484-5</v>
          </cell>
          <cell r="AV177" t="str">
            <v>1703398-6</v>
          </cell>
          <cell r="AW177" t="str">
            <v>1903035-7</v>
          </cell>
          <cell r="BA177" t="str">
            <v>1100x850</v>
          </cell>
          <cell r="BB177" t="str">
            <v>K3</v>
          </cell>
          <cell r="BC177" t="str">
            <v xml:space="preserve">in chung sp 634(2,3,4):;với sp 642: (1,7) </v>
          </cell>
        </row>
        <row r="178">
          <cell r="A178" t="str">
            <v>sp 683</v>
          </cell>
          <cell r="B178" t="str">
            <v>Túi lúa mới bao chung nguyên chủng 1kg Thái Bình</v>
          </cell>
          <cell r="C178">
            <v>5.3</v>
          </cell>
          <cell r="D178" t="str">
            <v>OPP 20x900</v>
          </cell>
          <cell r="E178">
            <v>6</v>
          </cell>
          <cell r="F178">
            <v>8</v>
          </cell>
          <cell r="G178" t="str">
            <v xml:space="preserve">OPP </v>
          </cell>
          <cell r="H178">
            <v>0.1</v>
          </cell>
          <cell r="I178">
            <v>2.6</v>
          </cell>
          <cell r="J178">
            <v>0.6</v>
          </cell>
          <cell r="K178">
            <v>0.1</v>
          </cell>
          <cell r="L178">
            <v>0.5</v>
          </cell>
          <cell r="M178">
            <v>1</v>
          </cell>
          <cell r="N178">
            <v>0</v>
          </cell>
          <cell r="O178">
            <v>0.3</v>
          </cell>
          <cell r="P178">
            <v>0</v>
          </cell>
          <cell r="Q178">
            <v>0</v>
          </cell>
          <cell r="R178">
            <v>0</v>
          </cell>
          <cell r="S178">
            <v>0</v>
          </cell>
          <cell r="T178">
            <v>0.1</v>
          </cell>
          <cell r="U178">
            <v>0</v>
          </cell>
          <cell r="V178">
            <v>0</v>
          </cell>
          <cell r="W178">
            <v>0</v>
          </cell>
          <cell r="X178">
            <v>0</v>
          </cell>
          <cell r="Y178">
            <v>0</v>
          </cell>
          <cell r="Z178">
            <v>0</v>
          </cell>
          <cell r="AA178">
            <v>0</v>
          </cell>
          <cell r="AB178">
            <v>0</v>
          </cell>
          <cell r="AC178">
            <v>0</v>
          </cell>
          <cell r="AD178">
            <v>0</v>
          </cell>
          <cell r="AE178" t="str">
            <v>PE 80x900</v>
          </cell>
          <cell r="AF178">
            <v>0</v>
          </cell>
          <cell r="AG178">
            <v>8.2980000000000012E-2</v>
          </cell>
          <cell r="AH178">
            <v>1.4833333333333334</v>
          </cell>
          <cell r="AI178">
            <v>0</v>
          </cell>
          <cell r="AJ178">
            <v>9530</v>
          </cell>
          <cell r="AK178">
            <v>2.5000000000000001E-3</v>
          </cell>
          <cell r="AL178">
            <v>0</v>
          </cell>
          <cell r="AM178">
            <v>0</v>
          </cell>
          <cell r="AN178">
            <v>0</v>
          </cell>
          <cell r="AO178" t="str">
            <v>Công ty Thái Bình</v>
          </cell>
          <cell r="AP178">
            <v>0</v>
          </cell>
          <cell r="AQ178" t="str">
            <v>1903696-1</v>
          </cell>
          <cell r="AR178" t="str">
            <v>19041070-2</v>
          </cell>
          <cell r="AS178" t="str">
            <v>1611196-3</v>
          </cell>
          <cell r="AT178" t="str">
            <v>1611196-4</v>
          </cell>
          <cell r="AU178" t="str">
            <v>1903696-5</v>
          </cell>
          <cell r="AV178" t="str">
            <v>1611196-6</v>
          </cell>
          <cell r="AW178" t="str">
            <v>1903696-7</v>
          </cell>
          <cell r="AX178" t="str">
            <v>1807922-8</v>
          </cell>
          <cell r="BA178" t="str">
            <v>620x1100</v>
          </cell>
          <cell r="BB178" t="str">
            <v>I2</v>
          </cell>
          <cell r="BC178" t="str">
            <v>in chung (2)với sp 648: 1609558</v>
          </cell>
        </row>
        <row r="179">
          <cell r="A179" t="str">
            <v>sp 684</v>
          </cell>
          <cell r="B179" t="str">
            <v>Túi lúa mới TBR36XN1 40kg Thái Bình</v>
          </cell>
          <cell r="C179">
            <v>3</v>
          </cell>
          <cell r="D179" t="str">
            <v>OPP 18x690</v>
          </cell>
          <cell r="E179">
            <v>1</v>
          </cell>
          <cell r="F179">
            <v>7</v>
          </cell>
          <cell r="G179" t="str">
            <v xml:space="preserve">OPP </v>
          </cell>
          <cell r="H179">
            <v>0.3</v>
          </cell>
          <cell r="I179">
            <v>0.9</v>
          </cell>
          <cell r="J179">
            <v>0.5</v>
          </cell>
          <cell r="K179">
            <v>0.2</v>
          </cell>
          <cell r="L179">
            <v>0.7</v>
          </cell>
          <cell r="M179">
            <v>0</v>
          </cell>
          <cell r="N179">
            <v>0</v>
          </cell>
          <cell r="O179">
            <v>0.2</v>
          </cell>
          <cell r="P179">
            <v>0</v>
          </cell>
          <cell r="Q179">
            <v>0</v>
          </cell>
          <cell r="R179">
            <v>0</v>
          </cell>
          <cell r="S179">
            <v>0</v>
          </cell>
          <cell r="T179">
            <v>0.2</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t="str">
            <v>Công ty Thái Bình</v>
          </cell>
          <cell r="AP179">
            <v>0</v>
          </cell>
          <cell r="AQ179" t="str">
            <v>1903035-1</v>
          </cell>
          <cell r="AR179" t="str">
            <v>1609242-2</v>
          </cell>
          <cell r="AS179" t="str">
            <v>17101029-3</v>
          </cell>
          <cell r="AT179" t="str">
            <v>1710745-4</v>
          </cell>
          <cell r="AU179" t="str">
            <v>19031034-5</v>
          </cell>
          <cell r="AV179" t="str">
            <v>1703399-6</v>
          </cell>
          <cell r="AW179" t="str">
            <v>1903035-7</v>
          </cell>
          <cell r="BA179" t="str">
            <v>1100x850</v>
          </cell>
          <cell r="BB179" t="str">
            <v>K3</v>
          </cell>
          <cell r="BC179" t="str">
            <v>in chung sp 634(2,3,4):;với sp 642: (1,7) ,(5) với sp 682</v>
          </cell>
        </row>
        <row r="180">
          <cell r="A180" t="str">
            <v>sp 685</v>
          </cell>
          <cell r="B180" t="str">
            <v>Túi lúa mới bao chung NC 40kg Thái Bình</v>
          </cell>
          <cell r="C180">
            <v>3.1999999999999997</v>
          </cell>
          <cell r="D180" t="str">
            <v>OPP 18x690</v>
          </cell>
          <cell r="E180">
            <v>2</v>
          </cell>
          <cell r="F180">
            <v>7</v>
          </cell>
          <cell r="G180" t="str">
            <v xml:space="preserve">OPP </v>
          </cell>
          <cell r="H180">
            <v>0.1</v>
          </cell>
          <cell r="I180">
            <v>0.5</v>
          </cell>
          <cell r="J180">
            <v>0.6</v>
          </cell>
          <cell r="K180">
            <v>0.2</v>
          </cell>
          <cell r="L180">
            <v>0.9</v>
          </cell>
          <cell r="M180">
            <v>0</v>
          </cell>
          <cell r="N180">
            <v>0</v>
          </cell>
          <cell r="O180">
            <v>0.3</v>
          </cell>
          <cell r="P180">
            <v>0</v>
          </cell>
          <cell r="Q180">
            <v>0.4</v>
          </cell>
          <cell r="R180">
            <v>0</v>
          </cell>
          <cell r="S180">
            <v>0</v>
          </cell>
          <cell r="T180">
            <v>0.2</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t="str">
            <v>Công ty Thái Bình</v>
          </cell>
          <cell r="AP180">
            <v>0</v>
          </cell>
          <cell r="AQ180" t="str">
            <v>1903066-1</v>
          </cell>
          <cell r="AR180" t="str">
            <v>1609553-2</v>
          </cell>
          <cell r="AS180" t="str">
            <v>1609553-3</v>
          </cell>
          <cell r="AT180" t="str">
            <v>1609553-4</v>
          </cell>
          <cell r="AU180" t="str">
            <v>19031034-5</v>
          </cell>
          <cell r="AV180" t="str">
            <v>1611200-6</v>
          </cell>
          <cell r="AW180" t="str">
            <v>1903066-7</v>
          </cell>
          <cell r="BA180" t="str">
            <v>1100x850</v>
          </cell>
          <cell r="BB180" t="str">
            <v>K3</v>
          </cell>
          <cell r="BC180" t="str">
            <v>in chung với sp 644 : (1,7);với sp 643: (2,3,4)</v>
          </cell>
        </row>
        <row r="181">
          <cell r="A181" t="str">
            <v>sp 686</v>
          </cell>
          <cell r="B181" t="str">
            <v>Túi lúa mới TBR1 40kg Thái Bình</v>
          </cell>
          <cell r="C181">
            <v>3.4</v>
          </cell>
          <cell r="D181" t="str">
            <v>OPP 18x690</v>
          </cell>
          <cell r="E181">
            <v>2</v>
          </cell>
          <cell r="F181">
            <v>7</v>
          </cell>
          <cell r="G181" t="str">
            <v xml:space="preserve">OPP </v>
          </cell>
          <cell r="H181">
            <v>0.7</v>
          </cell>
          <cell r="I181">
            <v>0</v>
          </cell>
          <cell r="J181">
            <v>0.8</v>
          </cell>
          <cell r="K181">
            <v>0.5</v>
          </cell>
          <cell r="L181">
            <v>0.8</v>
          </cell>
          <cell r="M181">
            <v>0</v>
          </cell>
          <cell r="N181">
            <v>0</v>
          </cell>
          <cell r="O181">
            <v>0.5</v>
          </cell>
          <cell r="P181">
            <v>0</v>
          </cell>
          <cell r="Q181">
            <v>0</v>
          </cell>
          <cell r="R181">
            <v>0</v>
          </cell>
          <cell r="S181">
            <v>0</v>
          </cell>
          <cell r="T181">
            <v>0.1</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t="str">
            <v>dạng cuộn</v>
          </cell>
          <cell r="AN181">
            <v>670</v>
          </cell>
          <cell r="AO181" t="str">
            <v>Công ty Thái Bình</v>
          </cell>
          <cell r="AP181">
            <v>0</v>
          </cell>
          <cell r="AQ181" t="str">
            <v>17101029-1</v>
          </cell>
          <cell r="AR181" t="str">
            <v>1609242-2</v>
          </cell>
          <cell r="AS181" t="str">
            <v>17101029-3</v>
          </cell>
          <cell r="AT181" t="str">
            <v>1710745-4</v>
          </cell>
          <cell r="AU181" t="str">
            <v>1611199-5</v>
          </cell>
          <cell r="AV181" t="str">
            <v>1611199-6</v>
          </cell>
          <cell r="AW181" t="str">
            <v>1903062-7</v>
          </cell>
          <cell r="BA181" t="str">
            <v>1100x850</v>
          </cell>
          <cell r="BB181" t="str">
            <v>K3</v>
          </cell>
          <cell r="BC181" t="str">
            <v>in chung 5 cây :với sp 634:(1,3,7);(2);(4)</v>
          </cell>
        </row>
        <row r="182">
          <cell r="A182" t="str">
            <v>sp 689</v>
          </cell>
          <cell r="B182" t="str">
            <v>Trục in túi trà trong albee tea 200g Vĩnh Phúc 400x850</v>
          </cell>
          <cell r="C182">
            <v>0</v>
          </cell>
          <cell r="D182">
            <v>0</v>
          </cell>
          <cell r="E182">
            <v>1</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t="str">
            <v>Công ty Vĩnh Phúc</v>
          </cell>
          <cell r="AP182">
            <v>0</v>
          </cell>
          <cell r="AQ182" t="str">
            <v>16110494</v>
          </cell>
          <cell r="AR182">
            <v>0</v>
          </cell>
          <cell r="AT182">
            <v>0</v>
          </cell>
          <cell r="BA182" t="str">
            <v>400x850</v>
          </cell>
          <cell r="BB182" t="str">
            <v>A1</v>
          </cell>
        </row>
        <row r="183">
          <cell r="A183" t="str">
            <v>sp 690</v>
          </cell>
          <cell r="B183" t="str">
            <v>Túi trà ngoài albee tea 200g Vĩnh Phúc</v>
          </cell>
          <cell r="C183">
            <v>4.3</v>
          </cell>
          <cell r="D183" t="str">
            <v>OPP 20x660</v>
          </cell>
          <cell r="E183">
            <v>5</v>
          </cell>
          <cell r="F183">
            <v>5</v>
          </cell>
          <cell r="G183" t="str">
            <v xml:space="preserve">OPP </v>
          </cell>
          <cell r="H183">
            <v>0.2</v>
          </cell>
          <cell r="I183">
            <v>0</v>
          </cell>
          <cell r="J183">
            <v>2.1</v>
          </cell>
          <cell r="K183">
            <v>0.5</v>
          </cell>
          <cell r="L183">
            <v>0.6</v>
          </cell>
          <cell r="M183">
            <v>0.8</v>
          </cell>
          <cell r="N183">
            <v>0</v>
          </cell>
          <cell r="O183">
            <v>0</v>
          </cell>
          <cell r="P183">
            <v>0</v>
          </cell>
          <cell r="Q183">
            <v>0</v>
          </cell>
          <cell r="R183">
            <v>0</v>
          </cell>
          <cell r="S183">
            <v>0.1</v>
          </cell>
          <cell r="T183">
            <v>0</v>
          </cell>
          <cell r="U183">
            <v>0</v>
          </cell>
          <cell r="V183">
            <v>0</v>
          </cell>
          <cell r="W183">
            <v>0</v>
          </cell>
          <cell r="X183">
            <v>0</v>
          </cell>
          <cell r="Y183">
            <v>0</v>
          </cell>
          <cell r="Z183">
            <v>0</v>
          </cell>
          <cell r="AA183">
            <v>0</v>
          </cell>
          <cell r="AB183">
            <v>0</v>
          </cell>
          <cell r="AC183">
            <v>0</v>
          </cell>
          <cell r="AD183">
            <v>0</v>
          </cell>
          <cell r="AE183" t="str">
            <v>PE sứ 60x660</v>
          </cell>
          <cell r="AF183">
            <v>0</v>
          </cell>
          <cell r="AG183">
            <v>4.8642000000000005E-2</v>
          </cell>
          <cell r="AH183">
            <v>1.5333333333333332</v>
          </cell>
          <cell r="AI183">
            <v>0</v>
          </cell>
          <cell r="AJ183">
            <v>9530</v>
          </cell>
          <cell r="AK183">
            <v>2.3E-3</v>
          </cell>
          <cell r="AL183">
            <v>0</v>
          </cell>
          <cell r="AM183" t="str">
            <v>Túi</v>
          </cell>
          <cell r="AN183">
            <v>0</v>
          </cell>
          <cell r="AO183" t="str">
            <v>Công ty Vĩnh Phúc</v>
          </cell>
          <cell r="AP183">
            <v>0</v>
          </cell>
          <cell r="AQ183" t="str">
            <v>1611757-1</v>
          </cell>
          <cell r="AR183" t="str">
            <v>1611757-2</v>
          </cell>
          <cell r="AS183" t="str">
            <v>1611757-3</v>
          </cell>
          <cell r="AT183" t="str">
            <v>1611757-4</v>
          </cell>
          <cell r="AU183" t="str">
            <v>1611757-5</v>
          </cell>
          <cell r="BA183" t="str">
            <v>520x750</v>
          </cell>
          <cell r="BB183" t="str">
            <v>A1</v>
          </cell>
        </row>
        <row r="184">
          <cell r="A184" t="str">
            <v>sp 695</v>
          </cell>
          <cell r="B184" t="str">
            <v>Túi thuốc trừ ốc clodan super 700WP loại 12g</v>
          </cell>
          <cell r="C184">
            <v>6.6999999999999993</v>
          </cell>
          <cell r="D184" t="str">
            <v>PET 12x680</v>
          </cell>
          <cell r="E184">
            <v>7</v>
          </cell>
          <cell r="F184">
            <v>7</v>
          </cell>
          <cell r="G184" t="str">
            <v xml:space="preserve">PET </v>
          </cell>
          <cell r="H184">
            <v>0.1</v>
          </cell>
          <cell r="I184">
            <v>3.6</v>
          </cell>
          <cell r="J184">
            <v>0.3</v>
          </cell>
          <cell r="K184">
            <v>0.1</v>
          </cell>
          <cell r="L184">
            <v>0.6</v>
          </cell>
          <cell r="M184">
            <v>1.7</v>
          </cell>
          <cell r="N184">
            <v>0</v>
          </cell>
          <cell r="O184">
            <v>0.1</v>
          </cell>
          <cell r="P184">
            <v>0.2</v>
          </cell>
          <cell r="Q184">
            <v>0</v>
          </cell>
          <cell r="R184">
            <v>0</v>
          </cell>
          <cell r="S184">
            <v>0</v>
          </cell>
          <cell r="T184">
            <v>0</v>
          </cell>
          <cell r="U184">
            <v>0</v>
          </cell>
          <cell r="V184">
            <v>0</v>
          </cell>
          <cell r="W184">
            <v>0</v>
          </cell>
          <cell r="X184">
            <v>0</v>
          </cell>
          <cell r="Y184">
            <v>0.1</v>
          </cell>
          <cell r="Z184">
            <v>0</v>
          </cell>
          <cell r="AA184">
            <v>0</v>
          </cell>
          <cell r="AB184">
            <v>0</v>
          </cell>
          <cell r="AC184">
            <v>0</v>
          </cell>
          <cell r="AD184">
            <v>0</v>
          </cell>
          <cell r="AE184" t="str">
            <v>MPET 12x680</v>
          </cell>
          <cell r="AF184" t="str">
            <v>PE 75x680</v>
          </cell>
          <cell r="AG184">
            <v>7.0023000000000016E-2</v>
          </cell>
          <cell r="AH184">
            <v>1.0273333333333332</v>
          </cell>
          <cell r="AI184">
            <v>1.0273333333333332</v>
          </cell>
          <cell r="AJ184">
            <v>9530</v>
          </cell>
          <cell r="AK184" t="str">
            <v>0,0046(0,0023;0,0023)</v>
          </cell>
          <cell r="AL184">
            <v>0</v>
          </cell>
          <cell r="AM184" t="str">
            <v>túi ba biên</v>
          </cell>
          <cell r="AN184">
            <v>135</v>
          </cell>
          <cell r="AO184" t="str">
            <v>Công ty Quốc tế Hòa Bình</v>
          </cell>
          <cell r="AP184">
            <v>0</v>
          </cell>
          <cell r="AQ184" t="str">
            <v>1611566-1</v>
          </cell>
          <cell r="AR184" t="str">
            <v>1611566-2</v>
          </cell>
          <cell r="AS184" t="str">
            <v>1611566-3</v>
          </cell>
          <cell r="AT184" t="str">
            <v>1611566-4</v>
          </cell>
          <cell r="AU184" t="str">
            <v>1611566-5</v>
          </cell>
          <cell r="AV184" t="str">
            <v>1611566-6</v>
          </cell>
          <cell r="AW184" t="str">
            <v>1906513-7</v>
          </cell>
          <cell r="BA184" t="str">
            <v>405x750</v>
          </cell>
          <cell r="BB184" t="str">
            <v>T1</v>
          </cell>
        </row>
        <row r="185">
          <cell r="A185" t="str">
            <v>sp 696</v>
          </cell>
          <cell r="B185" t="str">
            <v>Túi địch bách trùng 90SP loại 20g Việt Thắng</v>
          </cell>
          <cell r="C185">
            <v>2.8</v>
          </cell>
          <cell r="D185" t="str">
            <v>OPP 20x710</v>
          </cell>
          <cell r="E185">
            <v>5</v>
          </cell>
          <cell r="F185">
            <v>5</v>
          </cell>
          <cell r="G185" t="str">
            <v xml:space="preserve">OPP </v>
          </cell>
          <cell r="H185">
            <v>0.2</v>
          </cell>
          <cell r="I185">
            <v>0</v>
          </cell>
          <cell r="J185">
            <v>0.2</v>
          </cell>
          <cell r="K185">
            <v>0.4</v>
          </cell>
          <cell r="L185">
            <v>1.7</v>
          </cell>
          <cell r="M185">
            <v>0</v>
          </cell>
          <cell r="N185">
            <v>0</v>
          </cell>
          <cell r="O185">
            <v>0</v>
          </cell>
          <cell r="P185">
            <v>0</v>
          </cell>
          <cell r="Q185">
            <v>0</v>
          </cell>
          <cell r="R185">
            <v>0.3</v>
          </cell>
          <cell r="S185">
            <v>0</v>
          </cell>
          <cell r="T185">
            <v>0</v>
          </cell>
          <cell r="U185">
            <v>0</v>
          </cell>
          <cell r="V185">
            <v>0</v>
          </cell>
          <cell r="W185">
            <v>0</v>
          </cell>
          <cell r="X185">
            <v>0</v>
          </cell>
          <cell r="Y185">
            <v>0</v>
          </cell>
          <cell r="Z185">
            <v>0</v>
          </cell>
          <cell r="AA185">
            <v>0</v>
          </cell>
          <cell r="AB185">
            <v>0</v>
          </cell>
          <cell r="AC185">
            <v>0</v>
          </cell>
          <cell r="AD185">
            <v>0</v>
          </cell>
          <cell r="AE185" t="str">
            <v>PE sứ 65x710</v>
          </cell>
          <cell r="AF185">
            <v>0</v>
          </cell>
          <cell r="AG185">
            <v>5.561075E-2</v>
          </cell>
          <cell r="AH185">
            <v>1.0733333333333333</v>
          </cell>
          <cell r="AI185">
            <v>0</v>
          </cell>
          <cell r="AJ185">
            <v>9530</v>
          </cell>
          <cell r="AK185">
            <v>2.3E-3</v>
          </cell>
          <cell r="AL185">
            <v>0</v>
          </cell>
          <cell r="AM185" t="str">
            <v>túi hàn 3 biên</v>
          </cell>
          <cell r="AN185">
            <v>0</v>
          </cell>
          <cell r="AO185" t="str">
            <v>Công ty Việt Thắng</v>
          </cell>
          <cell r="AP185">
            <v>0</v>
          </cell>
          <cell r="AQ185" t="str">
            <v>F115954-1</v>
          </cell>
          <cell r="AR185" t="str">
            <v>F115954-2</v>
          </cell>
          <cell r="AS185" t="str">
            <v>F115954-3</v>
          </cell>
          <cell r="AT185" t="str">
            <v>F115954-4</v>
          </cell>
          <cell r="AU185" t="str">
            <v>F115954-5</v>
          </cell>
          <cell r="BA185" t="str">
            <v>425x840</v>
          </cell>
          <cell r="BB185" t="str">
            <v>D2</v>
          </cell>
        </row>
        <row r="186">
          <cell r="A186" t="str">
            <v>sp 699</v>
          </cell>
          <cell r="B186" t="str">
            <v>Túi thuốc trừ ốc clodan super 700WP loại 10g</v>
          </cell>
          <cell r="C186">
            <v>5.6</v>
          </cell>
          <cell r="D186" t="str">
            <v>PET 12x620</v>
          </cell>
          <cell r="E186">
            <v>6</v>
          </cell>
          <cell r="F186">
            <v>7</v>
          </cell>
          <cell r="G186" t="str">
            <v xml:space="preserve">PET </v>
          </cell>
          <cell r="H186">
            <v>0.1</v>
          </cell>
          <cell r="I186">
            <v>3.6</v>
          </cell>
          <cell r="J186">
            <v>0.2</v>
          </cell>
          <cell r="K186">
            <v>0.1</v>
          </cell>
          <cell r="L186">
            <v>0.4</v>
          </cell>
          <cell r="M186">
            <v>1.1000000000000001</v>
          </cell>
          <cell r="N186">
            <v>0</v>
          </cell>
          <cell r="O186">
            <v>0</v>
          </cell>
          <cell r="P186">
            <v>0.1</v>
          </cell>
          <cell r="Q186" t="str">
            <v xml:space="preserve"> </v>
          </cell>
          <cell r="R186" t="str">
            <v xml:space="preserve"> </v>
          </cell>
          <cell r="S186">
            <v>0</v>
          </cell>
          <cell r="T186">
            <v>0</v>
          </cell>
          <cell r="U186">
            <v>0</v>
          </cell>
          <cell r="V186">
            <v>0</v>
          </cell>
          <cell r="W186">
            <v>0</v>
          </cell>
          <cell r="X186">
            <v>0</v>
          </cell>
          <cell r="Y186">
            <v>0</v>
          </cell>
          <cell r="Z186">
            <v>0</v>
          </cell>
          <cell r="AA186">
            <v>0</v>
          </cell>
          <cell r="AB186">
            <v>0</v>
          </cell>
          <cell r="AC186">
            <v>0</v>
          </cell>
          <cell r="AD186">
            <v>0</v>
          </cell>
          <cell r="AE186" t="str">
            <v>MPET 12x620</v>
          </cell>
          <cell r="AF186" t="str">
            <v>PE 75x620</v>
          </cell>
          <cell r="AG186">
            <v>6.3844500000000012E-2</v>
          </cell>
          <cell r="AH186">
            <v>0.93533333333333324</v>
          </cell>
          <cell r="AI186">
            <v>1.22</v>
          </cell>
          <cell r="AJ186">
            <v>9530</v>
          </cell>
          <cell r="AK186" t="str">
            <v>0,0053(0,0023;0,003)</v>
          </cell>
          <cell r="AL186">
            <v>0</v>
          </cell>
          <cell r="AM186">
            <v>0</v>
          </cell>
          <cell r="AN186">
            <v>0</v>
          </cell>
          <cell r="AO186" t="str">
            <v>Công ty Quốc tế Hòa Bình</v>
          </cell>
          <cell r="AP186">
            <v>0</v>
          </cell>
          <cell r="AQ186" t="str">
            <v>1612235-1</v>
          </cell>
          <cell r="AR186" t="str">
            <v>1612235-2</v>
          </cell>
          <cell r="AS186" t="str">
            <v>1612235-3</v>
          </cell>
          <cell r="AT186" t="str">
            <v>1612235-4</v>
          </cell>
          <cell r="AU186" t="str">
            <v>1612235-5</v>
          </cell>
          <cell r="AV186" t="str">
            <v>1612235-6</v>
          </cell>
          <cell r="AW186" t="str">
            <v>1612235-7</v>
          </cell>
          <cell r="BA186" t="str">
            <v>500x750</v>
          </cell>
          <cell r="BB186" t="str">
            <v>T1</v>
          </cell>
        </row>
        <row r="187">
          <cell r="A187" t="str">
            <v>sp 701</v>
          </cell>
          <cell r="B187" t="str">
            <v>Túi trà phúc lộc thọ 10g</v>
          </cell>
          <cell r="C187">
            <v>4.2</v>
          </cell>
          <cell r="D187" t="str">
            <v>PET 12x700</v>
          </cell>
          <cell r="E187">
            <v>7</v>
          </cell>
          <cell r="F187">
            <v>7</v>
          </cell>
          <cell r="G187" t="str">
            <v xml:space="preserve">PET </v>
          </cell>
          <cell r="H187">
            <v>0.3</v>
          </cell>
          <cell r="I187">
            <v>2.1</v>
          </cell>
          <cell r="J187">
            <v>0.1</v>
          </cell>
          <cell r="K187">
            <v>0.1</v>
          </cell>
          <cell r="L187">
            <v>0.8</v>
          </cell>
          <cell r="M187">
            <v>0.7</v>
          </cell>
          <cell r="N187">
            <v>0</v>
          </cell>
          <cell r="O187">
            <v>0</v>
          </cell>
          <cell r="P187">
            <v>0.1</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t="str">
            <v>MPET 12x700</v>
          </cell>
          <cell r="AF187" t="str">
            <v>PE 30x700</v>
          </cell>
          <cell r="AG187">
            <v>4.2944999999999997E-2</v>
          </cell>
          <cell r="AH187">
            <v>1.012</v>
          </cell>
          <cell r="AI187">
            <v>1.38</v>
          </cell>
          <cell r="AJ187">
            <v>9530</v>
          </cell>
          <cell r="AK187" t="str">
            <v>0,0044(0,0022;0,0022)</v>
          </cell>
          <cell r="AL187">
            <v>0</v>
          </cell>
          <cell r="AM187">
            <v>0</v>
          </cell>
          <cell r="AN187">
            <v>0</v>
          </cell>
          <cell r="AO187" t="str">
            <v>Bùi Văn Sỹ</v>
          </cell>
          <cell r="AP187">
            <v>0</v>
          </cell>
          <cell r="AQ187" t="str">
            <v>1612405-1</v>
          </cell>
          <cell r="AR187" t="str">
            <v>1612405-2</v>
          </cell>
          <cell r="AS187" t="str">
            <v>1612405-3</v>
          </cell>
          <cell r="AT187" t="str">
            <v>1612405-4</v>
          </cell>
          <cell r="AU187" t="str">
            <v>1612405-5</v>
          </cell>
          <cell r="AV187" t="str">
            <v>1612405-6</v>
          </cell>
          <cell r="AW187" t="str">
            <v>1612405-7</v>
          </cell>
          <cell r="BA187" t="str">
            <v>460x750</v>
          </cell>
          <cell r="BB187" t="str">
            <v>F2</v>
          </cell>
        </row>
        <row r="188">
          <cell r="A188" t="str">
            <v>sp 702</v>
          </cell>
          <cell r="B188" t="str">
            <v>Túi gạo HCK 1kg Thái Bình</v>
          </cell>
          <cell r="C188">
            <v>9.5000000000000018</v>
          </cell>
          <cell r="D188" t="str">
            <v>PA 15x580</v>
          </cell>
          <cell r="E188">
            <v>7</v>
          </cell>
          <cell r="F188">
            <v>7</v>
          </cell>
          <cell r="G188" t="str">
            <v xml:space="preserve">PA </v>
          </cell>
          <cell r="H188">
            <v>0.1</v>
          </cell>
          <cell r="I188">
            <v>3.2</v>
          </cell>
          <cell r="J188">
            <v>0.4</v>
          </cell>
          <cell r="K188">
            <v>1.1000000000000001</v>
          </cell>
          <cell r="L188">
            <v>1.5</v>
          </cell>
          <cell r="M188">
            <v>1.9</v>
          </cell>
          <cell r="N188">
            <v>0</v>
          </cell>
          <cell r="O188">
            <v>0.9</v>
          </cell>
          <cell r="P188">
            <v>0</v>
          </cell>
          <cell r="Q188">
            <v>0</v>
          </cell>
          <cell r="R188">
            <v>0</v>
          </cell>
          <cell r="S188">
            <v>0</v>
          </cell>
          <cell r="T188">
            <v>0.4</v>
          </cell>
          <cell r="U188">
            <v>0</v>
          </cell>
          <cell r="V188">
            <v>0</v>
          </cell>
          <cell r="W188">
            <v>0</v>
          </cell>
          <cell r="X188">
            <v>0</v>
          </cell>
          <cell r="Y188">
            <v>0</v>
          </cell>
          <cell r="Z188">
            <v>0</v>
          </cell>
          <cell r="AA188">
            <v>0</v>
          </cell>
          <cell r="AB188">
            <v>0</v>
          </cell>
          <cell r="AC188">
            <v>0</v>
          </cell>
          <cell r="AD188">
            <v>0</v>
          </cell>
          <cell r="AE188" t="str">
            <v>PE 85x580</v>
          </cell>
          <cell r="AF188">
            <v>0</v>
          </cell>
          <cell r="AG188">
            <v>5.5607500000000004E-2</v>
          </cell>
          <cell r="AH188">
            <v>0.95</v>
          </cell>
          <cell r="AI188">
            <v>0</v>
          </cell>
          <cell r="AJ188">
            <v>9530</v>
          </cell>
          <cell r="AK188">
            <v>2.5000000000000001E-3</v>
          </cell>
          <cell r="AL188">
            <v>0</v>
          </cell>
          <cell r="AM188">
            <v>0</v>
          </cell>
          <cell r="AN188">
            <v>0</v>
          </cell>
          <cell r="AO188" t="str">
            <v>Công ty Thái Bình</v>
          </cell>
          <cell r="AP188">
            <v>0</v>
          </cell>
          <cell r="AQ188" t="str">
            <v>1612337-1</v>
          </cell>
          <cell r="AR188" t="str">
            <v>1612337-2</v>
          </cell>
          <cell r="AS188" t="str">
            <v>1612337-3</v>
          </cell>
          <cell r="AT188" t="str">
            <v>1612337-4</v>
          </cell>
          <cell r="AU188" t="str">
            <v>1612337-5</v>
          </cell>
          <cell r="AV188" t="str">
            <v>1704431-6</v>
          </cell>
          <cell r="AW188" t="str">
            <v>1612337-7</v>
          </cell>
          <cell r="BA188" t="str">
            <v>400x750</v>
          </cell>
          <cell r="BB188" t="str">
            <v>I2</v>
          </cell>
        </row>
        <row r="189">
          <cell r="A189" t="str">
            <v>sp 703</v>
          </cell>
          <cell r="B189" t="str">
            <v>Túi gạo HCK 3kg Thái Bình</v>
          </cell>
          <cell r="C189">
            <v>9.3000000000000025</v>
          </cell>
          <cell r="D189" t="str">
            <v>PA 15x560</v>
          </cell>
          <cell r="E189">
            <v>7</v>
          </cell>
          <cell r="F189">
            <v>7</v>
          </cell>
          <cell r="G189" t="str">
            <v xml:space="preserve">PA </v>
          </cell>
          <cell r="H189">
            <v>0.1</v>
          </cell>
          <cell r="I189">
            <v>3.2</v>
          </cell>
          <cell r="J189">
            <v>0.5</v>
          </cell>
          <cell r="K189">
            <v>1</v>
          </cell>
          <cell r="L189">
            <v>1.4</v>
          </cell>
          <cell r="M189">
            <v>1.9</v>
          </cell>
          <cell r="N189">
            <v>0</v>
          </cell>
          <cell r="O189">
            <v>0.9</v>
          </cell>
          <cell r="P189">
            <v>0</v>
          </cell>
          <cell r="Q189">
            <v>0</v>
          </cell>
          <cell r="R189">
            <v>0</v>
          </cell>
          <cell r="S189">
            <v>0</v>
          </cell>
          <cell r="T189">
            <v>0.3</v>
          </cell>
          <cell r="U189">
            <v>0</v>
          </cell>
          <cell r="V189">
            <v>0</v>
          </cell>
          <cell r="W189">
            <v>0</v>
          </cell>
          <cell r="X189">
            <v>0</v>
          </cell>
          <cell r="Y189">
            <v>0</v>
          </cell>
          <cell r="Z189">
            <v>0</v>
          </cell>
          <cell r="AA189">
            <v>0</v>
          </cell>
          <cell r="AB189">
            <v>0</v>
          </cell>
          <cell r="AC189">
            <v>0</v>
          </cell>
          <cell r="AD189">
            <v>0</v>
          </cell>
          <cell r="AE189" t="str">
            <v>PE 110x560</v>
          </cell>
          <cell r="AF189">
            <v>0</v>
          </cell>
          <cell r="AG189">
            <v>6.6640000000000005E-2</v>
          </cell>
          <cell r="AH189">
            <v>1.4666666666666668</v>
          </cell>
          <cell r="AI189">
            <v>0</v>
          </cell>
          <cell r="AJ189">
            <v>9530</v>
          </cell>
          <cell r="AK189">
            <v>4.0000000000000001E-3</v>
          </cell>
          <cell r="AL189">
            <v>0</v>
          </cell>
          <cell r="AM189">
            <v>0</v>
          </cell>
          <cell r="AN189">
            <v>0</v>
          </cell>
          <cell r="AO189" t="str">
            <v>Công ty Thái Bình</v>
          </cell>
          <cell r="AP189">
            <v>0</v>
          </cell>
          <cell r="AQ189" t="str">
            <v>1612350-1</v>
          </cell>
          <cell r="AR189" t="str">
            <v>1612350-2</v>
          </cell>
          <cell r="AS189" t="str">
            <v>1612350-3</v>
          </cell>
          <cell r="AT189" t="str">
            <v>1612350-4</v>
          </cell>
          <cell r="AU189" t="str">
            <v>1612350-5</v>
          </cell>
          <cell r="AV189" t="str">
            <v>1704432-6</v>
          </cell>
          <cell r="AW189" t="str">
            <v>1612350-7</v>
          </cell>
          <cell r="BA189" t="str">
            <v>410x750</v>
          </cell>
          <cell r="BB189" t="str">
            <v>J1</v>
          </cell>
        </row>
        <row r="190">
          <cell r="A190" t="str">
            <v>sp 707</v>
          </cell>
          <cell r="B190" t="str">
            <v>Cuộn màng thuốc trừ sâu Belazole 75WP loại 8g Việt Thắng</v>
          </cell>
          <cell r="C190">
            <v>3.5000000000000004</v>
          </cell>
          <cell r="D190" t="str">
            <v>PET 12x800</v>
          </cell>
          <cell r="E190">
            <v>6</v>
          </cell>
          <cell r="F190">
            <v>6</v>
          </cell>
          <cell r="G190" t="str">
            <v xml:space="preserve">PET </v>
          </cell>
          <cell r="H190">
            <v>0.1</v>
          </cell>
          <cell r="I190">
            <v>2.1</v>
          </cell>
          <cell r="J190">
            <v>0.2</v>
          </cell>
          <cell r="K190">
            <v>0</v>
          </cell>
          <cell r="L190">
            <v>0.5</v>
          </cell>
          <cell r="M190">
            <v>0.4</v>
          </cell>
          <cell r="N190">
            <v>0</v>
          </cell>
          <cell r="O190">
            <v>0</v>
          </cell>
          <cell r="P190">
            <v>0.1</v>
          </cell>
          <cell r="Q190">
            <v>0</v>
          </cell>
          <cell r="R190">
            <v>0.1</v>
          </cell>
          <cell r="S190">
            <v>0</v>
          </cell>
          <cell r="T190">
            <v>0</v>
          </cell>
          <cell r="U190">
            <v>0</v>
          </cell>
          <cell r="V190">
            <v>0</v>
          </cell>
          <cell r="W190">
            <v>0</v>
          </cell>
          <cell r="X190">
            <v>0</v>
          </cell>
          <cell r="Y190">
            <v>0</v>
          </cell>
          <cell r="Z190">
            <v>0</v>
          </cell>
          <cell r="AA190">
            <v>0</v>
          </cell>
          <cell r="AB190">
            <v>0</v>
          </cell>
          <cell r="AC190">
            <v>0</v>
          </cell>
          <cell r="AD190">
            <v>0</v>
          </cell>
          <cell r="AE190" t="str">
            <v>Al 12x800</v>
          </cell>
          <cell r="AF190" t="str">
            <v>PE 75x810</v>
          </cell>
          <cell r="AG190">
            <v>9.4956000000000013E-2</v>
          </cell>
          <cell r="AH190">
            <v>1.2113333333333334</v>
          </cell>
          <cell r="AI190">
            <v>1.58</v>
          </cell>
          <cell r="AJ190">
            <v>9530</v>
          </cell>
          <cell r="AK190" t="str">
            <v>0,0053(0,0023;0,003)</v>
          </cell>
          <cell r="AL190">
            <v>0</v>
          </cell>
          <cell r="AM190">
            <v>0</v>
          </cell>
          <cell r="AN190">
            <v>0</v>
          </cell>
          <cell r="AO190" t="str">
            <v>Công ty Việt Thắng</v>
          </cell>
          <cell r="AP190">
            <v>0</v>
          </cell>
          <cell r="AQ190" t="str">
            <v>F116232-1</v>
          </cell>
          <cell r="AR190" t="str">
            <v>F116232-2</v>
          </cell>
          <cell r="AS190" t="str">
            <v>F116232-3</v>
          </cell>
          <cell r="AT190" t="str">
            <v>F116232-4</v>
          </cell>
          <cell r="AU190" t="str">
            <v>F116232-5</v>
          </cell>
          <cell r="AV190" t="str">
            <v>F116232-6</v>
          </cell>
          <cell r="AW190" t="str">
            <v>F116232-7</v>
          </cell>
          <cell r="BA190" t="str">
            <v>450x850</v>
          </cell>
          <cell r="BB190" t="str">
            <v>D2</v>
          </cell>
        </row>
        <row r="191">
          <cell r="A191" t="str">
            <v>sp 710</v>
          </cell>
          <cell r="B191" t="str">
            <v>Cuộn thuốc trừ bệnh Kanra 72WP loại 25g</v>
          </cell>
          <cell r="C191">
            <v>5.6000000000000005</v>
          </cell>
          <cell r="D191" t="str">
            <v>PET 12x600</v>
          </cell>
          <cell r="E191">
            <v>6</v>
          </cell>
          <cell r="F191">
            <v>6</v>
          </cell>
          <cell r="G191" t="str">
            <v xml:space="preserve">PET </v>
          </cell>
          <cell r="H191">
            <v>0.1</v>
          </cell>
          <cell r="I191">
            <v>3</v>
          </cell>
          <cell r="J191">
            <v>0.5</v>
          </cell>
          <cell r="K191">
            <v>0.1</v>
          </cell>
          <cell r="L191">
            <v>1.1000000000000001</v>
          </cell>
          <cell r="M191">
            <v>0.6</v>
          </cell>
          <cell r="N191">
            <v>0</v>
          </cell>
          <cell r="O191">
            <v>0.2</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t="str">
            <v>Al 6x600</v>
          </cell>
          <cell r="AF191" t="str">
            <v>PE 75x610</v>
          </cell>
          <cell r="AG191">
            <v>6.1460999999999995E-2</v>
          </cell>
          <cell r="AH191">
            <v>0.90466666666666651</v>
          </cell>
          <cell r="AI191">
            <v>1.18</v>
          </cell>
          <cell r="AJ191">
            <v>9530</v>
          </cell>
          <cell r="AK191" t="str">
            <v>0,0053(0,0023;0,003)</v>
          </cell>
          <cell r="AL191">
            <v>0</v>
          </cell>
          <cell r="AM191" t="str">
            <v>Cuộn</v>
          </cell>
          <cell r="AN191">
            <v>0</v>
          </cell>
          <cell r="AO191" t="str">
            <v>Công ty Việt Thắng</v>
          </cell>
          <cell r="AP191">
            <v>0</v>
          </cell>
          <cell r="AQ191" t="str">
            <v>F116420G1-1</v>
          </cell>
          <cell r="AR191" t="str">
            <v>F116420-2</v>
          </cell>
          <cell r="AS191" t="str">
            <v>F116420-3</v>
          </cell>
          <cell r="AT191" t="str">
            <v>F116420-4</v>
          </cell>
          <cell r="AU191" t="str">
            <v>F116420-5</v>
          </cell>
          <cell r="AV191" t="str">
            <v>F116420-6</v>
          </cell>
          <cell r="BA191" t="str">
            <v>450x750</v>
          </cell>
          <cell r="BB191" t="str">
            <v>D2</v>
          </cell>
        </row>
        <row r="192">
          <cell r="A192" t="str">
            <v>sp 711</v>
          </cell>
          <cell r="B192" t="str">
            <v>Cuộn thuốc trừ sâu vithadan 95WP loại 30g Việt Thắng</v>
          </cell>
          <cell r="C192">
            <v>6</v>
          </cell>
          <cell r="D192" t="str">
            <v>PET 12x600</v>
          </cell>
          <cell r="E192">
            <v>5</v>
          </cell>
          <cell r="F192">
            <v>5</v>
          </cell>
          <cell r="G192" t="str">
            <v xml:space="preserve">PET </v>
          </cell>
          <cell r="H192">
            <v>0.1</v>
          </cell>
          <cell r="I192">
            <v>3.8</v>
          </cell>
          <cell r="J192">
            <v>0.1</v>
          </cell>
          <cell r="K192">
            <v>1.9</v>
          </cell>
          <cell r="L192">
            <v>0.1</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t="str">
            <v>Al 6x600</v>
          </cell>
          <cell r="AF192" t="str">
            <v>PE 75x610</v>
          </cell>
          <cell r="AG192">
            <v>6.1460999999999995E-2</v>
          </cell>
          <cell r="AH192">
            <v>0.90466666666666651</v>
          </cell>
          <cell r="AI192">
            <v>1.18</v>
          </cell>
          <cell r="AJ192">
            <v>9530</v>
          </cell>
          <cell r="AK192" t="str">
            <v>0,0053(0,0023;0,003)</v>
          </cell>
          <cell r="AL192">
            <v>0</v>
          </cell>
          <cell r="AM192" t="str">
            <v>Cuộn</v>
          </cell>
          <cell r="AN192">
            <v>0</v>
          </cell>
          <cell r="AO192" t="str">
            <v>Công ty Việt Thắng</v>
          </cell>
          <cell r="AP192">
            <v>0</v>
          </cell>
          <cell r="AQ192" t="str">
            <v>F116421-1</v>
          </cell>
          <cell r="AR192" t="str">
            <v>F116421-2</v>
          </cell>
          <cell r="AS192" t="str">
            <v>F116421-3</v>
          </cell>
          <cell r="AT192" t="str">
            <v>F116421-4</v>
          </cell>
          <cell r="AU192" t="str">
            <v>F116421-5</v>
          </cell>
          <cell r="AV192">
            <v>0</v>
          </cell>
          <cell r="BA192" t="str">
            <v>450x750</v>
          </cell>
          <cell r="BB192" t="str">
            <v>D2</v>
          </cell>
        </row>
        <row r="193">
          <cell r="A193" t="str">
            <v>sp 715</v>
          </cell>
          <cell r="B193" t="str">
            <v>Cuộn thuốc trừ sâu PN - Linhcide 1,2EW loại 15ml</v>
          </cell>
          <cell r="C193">
            <v>0</v>
          </cell>
          <cell r="D193">
            <v>0</v>
          </cell>
          <cell r="E193">
            <v>6</v>
          </cell>
          <cell r="F193">
            <v>6</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t="str">
            <v>Công ty Tâm Nông</v>
          </cell>
          <cell r="AP193">
            <v>0</v>
          </cell>
          <cell r="AQ193" t="str">
            <v>1702484-1</v>
          </cell>
          <cell r="AR193" t="str">
            <v>1702484-2</v>
          </cell>
          <cell r="AS193" t="str">
            <v>1702484-3</v>
          </cell>
          <cell r="AT193" t="str">
            <v>1702484-4</v>
          </cell>
          <cell r="AU193" t="str">
            <v>1702484-5</v>
          </cell>
          <cell r="AV193" t="str">
            <v>1702484-6</v>
          </cell>
          <cell r="AW193">
            <v>0</v>
          </cell>
          <cell r="AX193">
            <v>0</v>
          </cell>
          <cell r="AY193">
            <v>0</v>
          </cell>
          <cell r="AZ193">
            <v>0</v>
          </cell>
          <cell r="BA193" t="str">
            <v>500x750</v>
          </cell>
          <cell r="BB193" t="str">
            <v>O1</v>
          </cell>
          <cell r="BC193">
            <v>0</v>
          </cell>
        </row>
        <row r="194">
          <cell r="A194" t="str">
            <v>sp 716</v>
          </cell>
          <cell r="B194" t="str">
            <v>cuộn thuốc trừ sâu Danobull 8g</v>
          </cell>
          <cell r="C194">
            <v>0</v>
          </cell>
          <cell r="D194">
            <v>0</v>
          </cell>
          <cell r="E194">
            <v>5</v>
          </cell>
          <cell r="F194">
            <v>5</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t="str">
            <v>Công ty Việt Đức</v>
          </cell>
          <cell r="AP194">
            <v>0</v>
          </cell>
          <cell r="AQ194" t="str">
            <v>F416293-1</v>
          </cell>
          <cell r="AR194" t="str">
            <v>F416293-2</v>
          </cell>
          <cell r="AS194" t="str">
            <v>F416293-3</v>
          </cell>
          <cell r="AT194" t="str">
            <v>F416293-4</v>
          </cell>
          <cell r="AU194" t="str">
            <v>F416293-5</v>
          </cell>
          <cell r="AV194">
            <v>0</v>
          </cell>
          <cell r="AW194">
            <v>0</v>
          </cell>
          <cell r="AX194">
            <v>0</v>
          </cell>
          <cell r="AY194">
            <v>0</v>
          </cell>
          <cell r="AZ194">
            <v>0</v>
          </cell>
          <cell r="BA194" t="str">
            <v xml:space="preserve"> 750x417</v>
          </cell>
          <cell r="BB194" t="str">
            <v>O1</v>
          </cell>
          <cell r="BC194">
            <v>0</v>
          </cell>
        </row>
        <row r="195">
          <cell r="A195" t="str">
            <v>sp 718</v>
          </cell>
          <cell r="B195" t="str">
            <v>Cuộn thuốc trừ sâu bác sỹ Javizole 777WP loại 18g Việt Đức</v>
          </cell>
          <cell r="C195">
            <v>6.8000000000000007</v>
          </cell>
          <cell r="D195" t="str">
            <v>PET 12x740</v>
          </cell>
          <cell r="E195">
            <v>6</v>
          </cell>
          <cell r="F195">
            <v>6</v>
          </cell>
          <cell r="G195" t="str">
            <v xml:space="preserve">PET </v>
          </cell>
          <cell r="H195">
            <v>0.1</v>
          </cell>
          <cell r="I195">
            <v>2.4</v>
          </cell>
          <cell r="J195">
            <v>0.1</v>
          </cell>
          <cell r="K195">
            <v>0.1</v>
          </cell>
          <cell r="L195">
            <v>1.7</v>
          </cell>
          <cell r="M195">
            <v>2</v>
          </cell>
          <cell r="N195">
            <v>0</v>
          </cell>
          <cell r="O195">
            <v>0</v>
          </cell>
          <cell r="P195">
            <v>0.4</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t="str">
            <v>MPET 12x740</v>
          </cell>
          <cell r="AF195" t="str">
            <v>PE 75x740</v>
          </cell>
          <cell r="AG195">
            <v>7.6201500000000005E-2</v>
          </cell>
          <cell r="AH195">
            <v>1.1193333333333333</v>
          </cell>
          <cell r="AI195">
            <v>1.46</v>
          </cell>
          <cell r="AJ195">
            <v>9530</v>
          </cell>
          <cell r="AK195" t="str">
            <v>0,0053(0,0023;0,003)</v>
          </cell>
          <cell r="AL195">
            <v>0</v>
          </cell>
          <cell r="AM195" t="str">
            <v>Cuộn</v>
          </cell>
          <cell r="AN195">
            <v>0</v>
          </cell>
          <cell r="AO195" t="str">
            <v>Công ty Việt Đức</v>
          </cell>
          <cell r="AP195">
            <v>0</v>
          </cell>
          <cell r="AQ195" t="str">
            <v>1703542-1</v>
          </cell>
          <cell r="AR195" t="str">
            <v>1703542-2</v>
          </cell>
          <cell r="AS195" t="str">
            <v>1703542-3</v>
          </cell>
          <cell r="AT195" t="str">
            <v>1703542-4</v>
          </cell>
          <cell r="AU195" t="str">
            <v>1703542-5</v>
          </cell>
          <cell r="AV195" t="str">
            <v>1703542-6</v>
          </cell>
          <cell r="AW195">
            <v>0</v>
          </cell>
          <cell r="AX195">
            <v>0</v>
          </cell>
          <cell r="AY195">
            <v>0</v>
          </cell>
          <cell r="AZ195">
            <v>0</v>
          </cell>
          <cell r="BA195" t="str">
            <v>480x750</v>
          </cell>
          <cell r="BB195" t="str">
            <v>O1</v>
          </cell>
          <cell r="BC195">
            <v>0</v>
          </cell>
        </row>
        <row r="196">
          <cell r="A196" t="str">
            <v>sp 719</v>
          </cell>
          <cell r="B196" t="str">
            <v>Cuộn thuốc trừ sâu xài ong vàng Javizole 777WP loại 18gr Việt Đức</v>
          </cell>
          <cell r="C196">
            <v>4.4000000000000004</v>
          </cell>
          <cell r="D196" t="str">
            <v>PET 12x740</v>
          </cell>
          <cell r="E196">
            <v>5</v>
          </cell>
          <cell r="F196">
            <v>5</v>
          </cell>
          <cell r="G196" t="str">
            <v xml:space="preserve">PET </v>
          </cell>
          <cell r="H196">
            <v>0.1</v>
          </cell>
          <cell r="I196">
            <v>3.5</v>
          </cell>
          <cell r="J196">
            <v>0.2</v>
          </cell>
          <cell r="K196">
            <v>0.3</v>
          </cell>
          <cell r="L196">
            <v>0.3</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t="str">
            <v>MPET 12x740</v>
          </cell>
          <cell r="AF196" t="str">
            <v>PE 75x740</v>
          </cell>
          <cell r="AG196">
            <v>7.6201500000000005E-2</v>
          </cell>
          <cell r="AH196">
            <v>1.1193333333333333</v>
          </cell>
          <cell r="AI196">
            <v>1.46</v>
          </cell>
          <cell r="AJ196">
            <v>9530</v>
          </cell>
          <cell r="AK196" t="str">
            <v>0,0053(0,0023;0,003)</v>
          </cell>
          <cell r="AL196">
            <v>0</v>
          </cell>
          <cell r="AM196" t="str">
            <v>Cuộn</v>
          </cell>
          <cell r="AN196">
            <v>0</v>
          </cell>
          <cell r="AO196" t="str">
            <v>Công ty Việt Đức</v>
          </cell>
          <cell r="AP196">
            <v>0</v>
          </cell>
          <cell r="AQ196" t="str">
            <v>1703541-1</v>
          </cell>
          <cell r="AR196" t="str">
            <v>1703541-2</v>
          </cell>
          <cell r="AS196" t="str">
            <v>1703541-3</v>
          </cell>
          <cell r="AT196" t="str">
            <v>1703541-4</v>
          </cell>
          <cell r="AU196" t="str">
            <v>1703541-5</v>
          </cell>
          <cell r="AV196">
            <v>0</v>
          </cell>
          <cell r="AW196">
            <v>0</v>
          </cell>
          <cell r="AX196">
            <v>0</v>
          </cell>
          <cell r="AY196">
            <v>0</v>
          </cell>
          <cell r="AZ196">
            <v>0</v>
          </cell>
          <cell r="BA196" t="str">
            <v>480x750</v>
          </cell>
          <cell r="BB196" t="str">
            <v>O1</v>
          </cell>
          <cell r="BC196">
            <v>0</v>
          </cell>
        </row>
        <row r="197">
          <cell r="A197" t="str">
            <v>sp 721</v>
          </cell>
          <cell r="B197" t="str">
            <v>Túi thuốc trừ sâu starbem 500WP loại 15g Hòa bình</v>
          </cell>
          <cell r="C197">
            <v>5.8</v>
          </cell>
          <cell r="D197" t="str">
            <v>PET 12x770</v>
          </cell>
          <cell r="E197">
            <v>7</v>
          </cell>
          <cell r="F197">
            <v>7</v>
          </cell>
          <cell r="G197" t="str">
            <v xml:space="preserve">PET </v>
          </cell>
          <cell r="H197">
            <v>0.2</v>
          </cell>
          <cell r="I197">
            <v>3.2</v>
          </cell>
          <cell r="J197">
            <v>0.3</v>
          </cell>
          <cell r="K197">
            <v>0.1</v>
          </cell>
          <cell r="L197">
            <v>1.4</v>
          </cell>
          <cell r="M197">
            <v>0</v>
          </cell>
          <cell r="N197">
            <v>0</v>
          </cell>
          <cell r="O197">
            <v>0.1</v>
          </cell>
          <cell r="P197">
            <v>0.5</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t="str">
            <v>MPET 12x770</v>
          </cell>
          <cell r="AF197" t="str">
            <v>PE 75x770</v>
          </cell>
          <cell r="AG197">
            <v>7.9290750000000007E-2</v>
          </cell>
          <cell r="AH197">
            <v>1.1653333333333333</v>
          </cell>
          <cell r="AI197">
            <v>1.52</v>
          </cell>
          <cell r="AJ197">
            <v>9530</v>
          </cell>
          <cell r="AK197" t="str">
            <v>0,0053(0,0023;0,003)</v>
          </cell>
          <cell r="AL197">
            <v>0</v>
          </cell>
          <cell r="AM197" t="str">
            <v>Ba biên</v>
          </cell>
          <cell r="AN197">
            <v>0</v>
          </cell>
          <cell r="AO197" t="str">
            <v>Công ty Quốc tế Hòa Bình</v>
          </cell>
          <cell r="AP197">
            <v>0</v>
          </cell>
          <cell r="AQ197" t="str">
            <v>1703749-1</v>
          </cell>
          <cell r="AR197" t="str">
            <v>1703749-2</v>
          </cell>
          <cell r="AS197" t="str">
            <v>1703749-3</v>
          </cell>
          <cell r="AT197" t="str">
            <v>1703749-4</v>
          </cell>
          <cell r="AU197" t="str">
            <v>1703749-5</v>
          </cell>
          <cell r="AV197" t="str">
            <v>1703749-6</v>
          </cell>
          <cell r="AW197" t="str">
            <v>1703749-7</v>
          </cell>
          <cell r="BA197" t="str">
            <v>400x850</v>
          </cell>
          <cell r="BB197" t="str">
            <v>T1</v>
          </cell>
        </row>
        <row r="198">
          <cell r="A198" t="str">
            <v>sp 722</v>
          </cell>
          <cell r="B198" t="str">
            <v>Túi thuốc trừ sâu Aperlaur hiệu dế mèn 100WP loại 50gr</v>
          </cell>
          <cell r="C198">
            <v>3.8000000000000003</v>
          </cell>
          <cell r="D198" t="str">
            <v>PET 12x800</v>
          </cell>
          <cell r="E198">
            <v>7</v>
          </cell>
          <cell r="F198">
            <v>7</v>
          </cell>
          <cell r="G198" t="str">
            <v xml:space="preserve">PET </v>
          </cell>
          <cell r="H198">
            <v>0.1</v>
          </cell>
          <cell r="I198">
            <v>2.5</v>
          </cell>
          <cell r="J198">
            <v>0.1</v>
          </cell>
          <cell r="K198">
            <v>0.1</v>
          </cell>
          <cell r="L198">
            <v>0.6</v>
          </cell>
          <cell r="M198">
            <v>0</v>
          </cell>
          <cell r="N198">
            <v>0</v>
          </cell>
          <cell r="O198">
            <v>0.3</v>
          </cell>
          <cell r="P198">
            <v>0.1</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t="str">
            <v>MPET 12x800</v>
          </cell>
          <cell r="AF198" t="str">
            <v>PE 75x800</v>
          </cell>
          <cell r="AG198">
            <v>8.2380000000000009E-2</v>
          </cell>
          <cell r="AH198">
            <v>1.2113333333333334</v>
          </cell>
          <cell r="AI198">
            <v>1.58</v>
          </cell>
          <cell r="AJ198">
            <v>9530</v>
          </cell>
          <cell r="AK198" t="str">
            <v>0,0053(0,0023;0,003)</v>
          </cell>
          <cell r="AL198">
            <v>0</v>
          </cell>
          <cell r="AM198" t="str">
            <v>Ba biên</v>
          </cell>
          <cell r="AN198">
            <v>0</v>
          </cell>
          <cell r="AO198" t="str">
            <v>Công ty Quốc tế Hòa Bình</v>
          </cell>
          <cell r="AP198">
            <v>0</v>
          </cell>
          <cell r="AQ198" t="str">
            <v>17031055-1</v>
          </cell>
          <cell r="AR198" t="str">
            <v>17031055-2</v>
          </cell>
          <cell r="AS198" t="str">
            <v>17031055-3</v>
          </cell>
          <cell r="AT198" t="str">
            <v>17031055-4</v>
          </cell>
          <cell r="AU198" t="str">
            <v>17031055-5</v>
          </cell>
          <cell r="AV198" t="str">
            <v>17031055-6</v>
          </cell>
          <cell r="AW198" t="str">
            <v>17031055-7</v>
          </cell>
          <cell r="BA198" t="str">
            <v>405x850</v>
          </cell>
          <cell r="BB198" t="str">
            <v>T1</v>
          </cell>
        </row>
        <row r="199">
          <cell r="A199" t="str">
            <v>sp 724</v>
          </cell>
          <cell r="B199" t="str">
            <v>Túi hạt giống lúa lai Mahyco TH 3-5 1kg mới</v>
          </cell>
          <cell r="C199">
            <v>5.8999999999999995</v>
          </cell>
          <cell r="D199" t="str">
            <v>OPP 20x900</v>
          </cell>
          <cell r="E199">
            <v>6</v>
          </cell>
          <cell r="F199">
            <v>6</v>
          </cell>
          <cell r="G199" t="str">
            <v xml:space="preserve">OPP </v>
          </cell>
          <cell r="H199">
            <v>0.1</v>
          </cell>
          <cell r="I199">
            <v>3</v>
          </cell>
          <cell r="J199">
            <v>0.3</v>
          </cell>
          <cell r="K199">
            <v>0</v>
          </cell>
          <cell r="L199">
            <v>2.1</v>
          </cell>
          <cell r="M199">
            <v>0</v>
          </cell>
          <cell r="N199">
            <v>0</v>
          </cell>
          <cell r="O199">
            <v>0.1</v>
          </cell>
          <cell r="P199">
            <v>0.2</v>
          </cell>
          <cell r="Q199">
            <v>0.1</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t="str">
            <v>PE 90x900</v>
          </cell>
          <cell r="AF199">
            <v>0</v>
          </cell>
          <cell r="AG199">
            <v>9.1305000000000011E-2</v>
          </cell>
          <cell r="AH199">
            <v>1.4833333333333334</v>
          </cell>
          <cell r="AI199">
            <v>0</v>
          </cell>
          <cell r="AJ199">
            <v>9530</v>
          </cell>
          <cell r="AK199">
            <v>2.5000000000000001E-3</v>
          </cell>
          <cell r="AL199">
            <v>0</v>
          </cell>
          <cell r="AM199" t="str">
            <v>Ba biên</v>
          </cell>
          <cell r="AN199">
            <v>0</v>
          </cell>
          <cell r="AO199" t="str">
            <v>Công ty Mahyco</v>
          </cell>
          <cell r="AP199">
            <v>0</v>
          </cell>
          <cell r="AQ199" t="str">
            <v>18101257-1</v>
          </cell>
          <cell r="AR199" t="str">
            <v>1704290-2</v>
          </cell>
          <cell r="AS199" t="str">
            <v>1704290-3</v>
          </cell>
          <cell r="AT199" t="str">
            <v>1704290-4</v>
          </cell>
          <cell r="AU199" t="str">
            <v>1704290-5</v>
          </cell>
          <cell r="AV199" t="str">
            <v>1704290-6</v>
          </cell>
          <cell r="BA199" t="str">
            <v>620x1100</v>
          </cell>
          <cell r="BB199" t="str">
            <v>O1</v>
          </cell>
        </row>
        <row r="200">
          <cell r="A200" t="str">
            <v>sp 742</v>
          </cell>
          <cell r="B200" t="str">
            <v>Cuộn màng trà sữa</v>
          </cell>
          <cell r="C200">
            <v>0</v>
          </cell>
          <cell r="D200">
            <v>0</v>
          </cell>
          <cell r="E200">
            <v>5</v>
          </cell>
          <cell r="F200">
            <v>5</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t="str">
            <v>TN Hà Văn Quang</v>
          </cell>
          <cell r="AP200">
            <v>0</v>
          </cell>
          <cell r="AQ200" t="str">
            <v>17041080-1</v>
          </cell>
          <cell r="AR200" t="str">
            <v>17041080-2</v>
          </cell>
          <cell r="AS200" t="str">
            <v>17041080-3</v>
          </cell>
          <cell r="AT200" t="str">
            <v>17041080-4</v>
          </cell>
          <cell r="AU200" t="str">
            <v>17041080-5</v>
          </cell>
          <cell r="AV200">
            <v>0</v>
          </cell>
          <cell r="AW200">
            <v>0</v>
          </cell>
          <cell r="AX200">
            <v>0</v>
          </cell>
          <cell r="AY200">
            <v>0</v>
          </cell>
          <cell r="AZ200">
            <v>0</v>
          </cell>
          <cell r="BA200" t="str">
            <v>460x850</v>
          </cell>
          <cell r="BB200" t="str">
            <v>O2</v>
          </cell>
          <cell r="BC200">
            <v>0</v>
          </cell>
        </row>
        <row r="201">
          <cell r="A201" t="str">
            <v>sp 751</v>
          </cell>
          <cell r="B201" t="str">
            <v>Túi lộc phát trà màu xanh 100g</v>
          </cell>
          <cell r="C201">
            <v>0</v>
          </cell>
          <cell r="D201">
            <v>0</v>
          </cell>
          <cell r="E201">
            <v>3</v>
          </cell>
          <cell r="F201">
            <v>3</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t="str">
            <v>Bùi Văn Sỹ</v>
          </cell>
          <cell r="AP201">
            <v>0</v>
          </cell>
          <cell r="AQ201" t="str">
            <v>F117906-1</v>
          </cell>
          <cell r="AR201" t="str">
            <v>F117906-2</v>
          </cell>
          <cell r="AS201" t="str">
            <v>F117906-3</v>
          </cell>
          <cell r="AT201">
            <v>0</v>
          </cell>
          <cell r="AU201">
            <v>0</v>
          </cell>
          <cell r="AV201">
            <v>0</v>
          </cell>
          <cell r="BA201" t="str">
            <v>470x840</v>
          </cell>
          <cell r="BB201" t="str">
            <v>F2</v>
          </cell>
        </row>
        <row r="202">
          <cell r="A202" t="str">
            <v>sp 752</v>
          </cell>
          <cell r="B202" t="str">
            <v>Túi lộc phát trà màu tím 100g</v>
          </cell>
          <cell r="C202">
            <v>0</v>
          </cell>
          <cell r="D202">
            <v>0</v>
          </cell>
          <cell r="E202">
            <v>1</v>
          </cell>
          <cell r="F202">
            <v>3</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t="str">
            <v>Bùi Văn Sỹ</v>
          </cell>
          <cell r="AP202">
            <v>0</v>
          </cell>
          <cell r="AQ202" t="str">
            <v>F117927-1</v>
          </cell>
          <cell r="AR202" t="str">
            <v>F117906-2</v>
          </cell>
          <cell r="AS202" t="str">
            <v>F117906-3</v>
          </cell>
          <cell r="AT202">
            <v>0</v>
          </cell>
          <cell r="AU202">
            <v>0</v>
          </cell>
          <cell r="AV202">
            <v>0</v>
          </cell>
          <cell r="BA202" t="str">
            <v>470x840</v>
          </cell>
          <cell r="BB202" t="str">
            <v>F2</v>
          </cell>
          <cell r="BC202" t="str">
            <v>in chung cây 2,3 với sp 751 : F117906</v>
          </cell>
        </row>
        <row r="203">
          <cell r="A203" t="str">
            <v>sp 753</v>
          </cell>
          <cell r="B203" t="str">
            <v>Túi lộc phát trà màu hồng 100g</v>
          </cell>
          <cell r="C203">
            <v>0</v>
          </cell>
          <cell r="D203">
            <v>0</v>
          </cell>
          <cell r="E203">
            <v>1</v>
          </cell>
          <cell r="F203">
            <v>3</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t="str">
            <v>Bùi Văn Sỹ</v>
          </cell>
          <cell r="AP203">
            <v>0</v>
          </cell>
          <cell r="AQ203" t="str">
            <v>F117928-1</v>
          </cell>
          <cell r="AR203" t="str">
            <v>F117906-2</v>
          </cell>
          <cell r="AS203" t="str">
            <v>F117906-3</v>
          </cell>
          <cell r="AT203">
            <v>0</v>
          </cell>
          <cell r="AU203">
            <v>0</v>
          </cell>
          <cell r="AV203">
            <v>0</v>
          </cell>
          <cell r="BA203" t="str">
            <v>470x840</v>
          </cell>
          <cell r="BB203" t="str">
            <v>F2</v>
          </cell>
          <cell r="BC203">
            <v>0</v>
          </cell>
        </row>
        <row r="204">
          <cell r="A204" t="str">
            <v>sp 761</v>
          </cell>
          <cell r="B204" t="str">
            <v>Cuộn thạch hoa quả siêu nhân Anh Đức</v>
          </cell>
          <cell r="C204">
            <v>0</v>
          </cell>
          <cell r="D204">
            <v>0</v>
          </cell>
          <cell r="E204">
            <v>5</v>
          </cell>
          <cell r="F204">
            <v>5</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t="str">
            <v>Công ty Đồng Phát</v>
          </cell>
          <cell r="AP204">
            <v>0</v>
          </cell>
          <cell r="AQ204" t="str">
            <v>1705254-1</v>
          </cell>
          <cell r="AR204" t="str">
            <v>1705254-2</v>
          </cell>
          <cell r="AS204" t="str">
            <v>1705254-3</v>
          </cell>
          <cell r="AT204" t="str">
            <v>1705254-4</v>
          </cell>
          <cell r="AU204" t="str">
            <v>1705254-5</v>
          </cell>
          <cell r="AV204">
            <v>0</v>
          </cell>
          <cell r="BA204" t="str">
            <v>419x750</v>
          </cell>
          <cell r="BB204" t="str">
            <v>O2</v>
          </cell>
        </row>
        <row r="205">
          <cell r="A205" t="str">
            <v>sp 763</v>
          </cell>
          <cell r="B205" t="str">
            <v>Túi thuốc trừ sâu techtimex 50WG hiệu chim sẻ loại 10g</v>
          </cell>
          <cell r="C205">
            <v>4.96</v>
          </cell>
          <cell r="D205" t="str">
            <v>PET 12x770</v>
          </cell>
          <cell r="E205">
            <v>7</v>
          </cell>
          <cell r="F205">
            <v>7</v>
          </cell>
          <cell r="G205" t="str">
            <v>PET</v>
          </cell>
          <cell r="H205">
            <v>0.1</v>
          </cell>
          <cell r="I205">
            <v>3</v>
          </cell>
          <cell r="J205">
            <v>0.1</v>
          </cell>
          <cell r="K205">
            <v>0.16</v>
          </cell>
          <cell r="L205">
            <v>1.3</v>
          </cell>
          <cell r="M205">
            <v>0</v>
          </cell>
          <cell r="N205">
            <v>0</v>
          </cell>
          <cell r="O205">
            <v>0</v>
          </cell>
          <cell r="P205">
            <v>0.2</v>
          </cell>
          <cell r="Q205">
            <v>0</v>
          </cell>
          <cell r="R205">
            <v>0.1</v>
          </cell>
          <cell r="S205">
            <v>0</v>
          </cell>
          <cell r="T205">
            <v>0</v>
          </cell>
          <cell r="U205">
            <v>0</v>
          </cell>
          <cell r="V205">
            <v>0</v>
          </cell>
          <cell r="W205">
            <v>0</v>
          </cell>
          <cell r="X205">
            <v>0</v>
          </cell>
          <cell r="Y205">
            <v>0</v>
          </cell>
          <cell r="Z205">
            <v>0</v>
          </cell>
          <cell r="AA205">
            <v>0</v>
          </cell>
          <cell r="AB205">
            <v>0</v>
          </cell>
          <cell r="AC205">
            <v>0</v>
          </cell>
          <cell r="AD205">
            <v>0</v>
          </cell>
          <cell r="AE205" t="str">
            <v>MPET 12x770</v>
          </cell>
          <cell r="AF205" t="str">
            <v>PE 75x770</v>
          </cell>
          <cell r="AG205">
            <v>7.9290750000000007E-2</v>
          </cell>
          <cell r="AH205">
            <v>1.1653333333333333</v>
          </cell>
          <cell r="AI205">
            <v>1.52</v>
          </cell>
          <cell r="AJ205">
            <v>9530</v>
          </cell>
          <cell r="AK205" t="str">
            <v>0,0053(0,0023;0,003)</v>
          </cell>
          <cell r="AL205">
            <v>0</v>
          </cell>
          <cell r="AM205">
            <v>0</v>
          </cell>
          <cell r="AN205">
            <v>0</v>
          </cell>
          <cell r="AO205" t="str">
            <v>Công ty American</v>
          </cell>
          <cell r="AP205">
            <v>0</v>
          </cell>
          <cell r="AQ205" t="str">
            <v>18091255-1</v>
          </cell>
          <cell r="AR205" t="str">
            <v>1705790-2</v>
          </cell>
          <cell r="AS205" t="str">
            <v>1705790-3</v>
          </cell>
          <cell r="AT205" t="str">
            <v>1705790-4</v>
          </cell>
          <cell r="AU205" t="str">
            <v>1705790-5</v>
          </cell>
          <cell r="AV205" t="str">
            <v>1705790-6</v>
          </cell>
          <cell r="AW205" t="str">
            <v>1705790-7</v>
          </cell>
          <cell r="BA205" t="str">
            <v>485x850</v>
          </cell>
          <cell r="BB205" t="str">
            <v>O2</v>
          </cell>
        </row>
        <row r="206">
          <cell r="A206" t="str">
            <v>sp 769</v>
          </cell>
          <cell r="B206" t="str">
            <v>Túi thuốc trừ sâu techtimex 50WG hiệu siêu nhân mỹ lợi loại 12g</v>
          </cell>
          <cell r="C206">
            <v>6</v>
          </cell>
          <cell r="D206" t="str">
            <v>PET 12x632</v>
          </cell>
          <cell r="E206">
            <v>7</v>
          </cell>
          <cell r="F206">
            <v>7</v>
          </cell>
          <cell r="G206" t="str">
            <v>PET</v>
          </cell>
          <cell r="H206">
            <v>0.6</v>
          </cell>
          <cell r="I206">
            <v>3</v>
          </cell>
          <cell r="J206">
            <v>0.8</v>
          </cell>
          <cell r="K206">
            <v>0.4</v>
          </cell>
          <cell r="L206">
            <v>0.1</v>
          </cell>
          <cell r="M206">
            <v>0</v>
          </cell>
          <cell r="N206">
            <v>0</v>
          </cell>
          <cell r="O206">
            <v>0</v>
          </cell>
          <cell r="P206">
            <v>1</v>
          </cell>
          <cell r="Q206">
            <v>0</v>
          </cell>
          <cell r="R206">
            <v>0.1</v>
          </cell>
          <cell r="S206">
            <v>0</v>
          </cell>
          <cell r="T206">
            <v>0</v>
          </cell>
          <cell r="U206">
            <v>0</v>
          </cell>
          <cell r="V206">
            <v>0</v>
          </cell>
          <cell r="W206">
            <v>0</v>
          </cell>
          <cell r="X206">
            <v>0</v>
          </cell>
          <cell r="Y206">
            <v>0</v>
          </cell>
          <cell r="Z206">
            <v>0</v>
          </cell>
          <cell r="AA206">
            <v>0</v>
          </cell>
          <cell r="AB206">
            <v>0</v>
          </cell>
          <cell r="AC206">
            <v>0</v>
          </cell>
          <cell r="AD206">
            <v>0</v>
          </cell>
          <cell r="AE206" t="str">
            <v>MPET 12x632</v>
          </cell>
          <cell r="AF206" t="str">
            <v>PE 75x632</v>
          </cell>
          <cell r="AG206">
            <v>6.5080200000000005E-2</v>
          </cell>
          <cell r="AH206">
            <v>0.95373333333333321</v>
          </cell>
          <cell r="AI206">
            <v>1.244</v>
          </cell>
          <cell r="AJ206">
            <v>9530</v>
          </cell>
          <cell r="AK206" t="str">
            <v>0,0053(0,0023;0,003)</v>
          </cell>
          <cell r="AL206">
            <v>0</v>
          </cell>
          <cell r="AM206">
            <v>0</v>
          </cell>
          <cell r="AN206">
            <v>0</v>
          </cell>
          <cell r="AO206" t="str">
            <v>Công ty American</v>
          </cell>
          <cell r="AP206">
            <v>0</v>
          </cell>
          <cell r="AQ206" t="str">
            <v>17051024-1</v>
          </cell>
          <cell r="AR206" t="str">
            <v>17051024-2</v>
          </cell>
          <cell r="AS206" t="str">
            <v>17051024-3</v>
          </cell>
          <cell r="AT206" t="str">
            <v>17051024-4</v>
          </cell>
          <cell r="AU206" t="str">
            <v>17051024-5</v>
          </cell>
          <cell r="AV206" t="str">
            <v>17051024-6</v>
          </cell>
          <cell r="AW206" t="str">
            <v>17051024-7</v>
          </cell>
          <cell r="BA206" t="str">
            <v>435x750</v>
          </cell>
          <cell r="BB206" t="str">
            <v>O2</v>
          </cell>
        </row>
        <row r="207">
          <cell r="A207" t="str">
            <v>sp 770</v>
          </cell>
          <cell r="B207" t="str">
            <v>Túi thuốc trừ sâu clodan super 700WP hiệu vua ốc loại 30g</v>
          </cell>
          <cell r="C207">
            <v>6.26</v>
          </cell>
          <cell r="D207" t="str">
            <v>PET 12x680</v>
          </cell>
          <cell r="E207">
            <v>7</v>
          </cell>
          <cell r="F207">
            <v>7</v>
          </cell>
          <cell r="G207" t="str">
            <v>PET</v>
          </cell>
          <cell r="H207">
            <v>0.18</v>
          </cell>
          <cell r="I207">
            <v>2.8</v>
          </cell>
          <cell r="J207">
            <v>0.1</v>
          </cell>
          <cell r="K207">
            <v>0.28000000000000003</v>
          </cell>
          <cell r="L207">
            <v>1</v>
          </cell>
          <cell r="M207">
            <v>0.7</v>
          </cell>
          <cell r="N207">
            <v>0</v>
          </cell>
          <cell r="O207">
            <v>0</v>
          </cell>
          <cell r="P207">
            <v>1.1000000000000001</v>
          </cell>
          <cell r="Q207">
            <v>0</v>
          </cell>
          <cell r="R207">
            <v>0.1</v>
          </cell>
          <cell r="S207">
            <v>0</v>
          </cell>
          <cell r="T207">
            <v>0</v>
          </cell>
          <cell r="U207">
            <v>0</v>
          </cell>
          <cell r="V207">
            <v>0</v>
          </cell>
          <cell r="W207">
            <v>0</v>
          </cell>
          <cell r="X207">
            <v>0</v>
          </cell>
          <cell r="Y207">
            <v>0</v>
          </cell>
          <cell r="Z207">
            <v>0</v>
          </cell>
          <cell r="AA207">
            <v>0</v>
          </cell>
          <cell r="AB207">
            <v>0</v>
          </cell>
          <cell r="AC207">
            <v>0</v>
          </cell>
          <cell r="AD207">
            <v>0</v>
          </cell>
          <cell r="AE207" t="str">
            <v>MPET 12x680</v>
          </cell>
          <cell r="AF207" t="str">
            <v>PE 75x680</v>
          </cell>
          <cell r="AG207">
            <v>7.0023000000000016E-2</v>
          </cell>
          <cell r="AH207">
            <v>1.0273333333333332</v>
          </cell>
          <cell r="AI207">
            <v>1.34</v>
          </cell>
          <cell r="AJ207">
            <v>9530</v>
          </cell>
          <cell r="AK207" t="str">
            <v>0,0053(0,0023;0,003)</v>
          </cell>
          <cell r="AL207">
            <v>0</v>
          </cell>
          <cell r="AM207">
            <v>0</v>
          </cell>
          <cell r="AN207">
            <v>0</v>
          </cell>
          <cell r="AO207" t="str">
            <v>Công ty American</v>
          </cell>
          <cell r="AP207">
            <v>0</v>
          </cell>
          <cell r="AQ207" t="str">
            <v>20050199-1</v>
          </cell>
          <cell r="AR207" t="str">
            <v>17051023-2</v>
          </cell>
          <cell r="AS207" t="str">
            <v>17051023-3</v>
          </cell>
          <cell r="AT207" t="str">
            <v>17051023-4</v>
          </cell>
          <cell r="AU207" t="str">
            <v>20050199-5</v>
          </cell>
          <cell r="AV207" t="str">
            <v>20050199-6</v>
          </cell>
          <cell r="AW207" t="str">
            <v>17051023-7</v>
          </cell>
          <cell r="BA207" t="str">
            <v>460x750</v>
          </cell>
          <cell r="BB207" t="str">
            <v>O2</v>
          </cell>
        </row>
        <row r="208">
          <cell r="A208" t="str">
            <v>sp 775</v>
          </cell>
          <cell r="B208" t="str">
            <v>Túi thuốc trừ sâu clodan super 700WP loại 25gr</v>
          </cell>
          <cell r="C208">
            <v>4.43</v>
          </cell>
          <cell r="D208" t="str">
            <v>PET 12x740</v>
          </cell>
          <cell r="E208">
            <v>7</v>
          </cell>
          <cell r="F208">
            <v>7</v>
          </cell>
          <cell r="G208" t="str">
            <v>PET</v>
          </cell>
          <cell r="H208">
            <v>0.23</v>
          </cell>
          <cell r="I208">
            <v>2</v>
          </cell>
          <cell r="J208">
            <v>0.1</v>
          </cell>
          <cell r="K208">
            <v>0.1</v>
          </cell>
          <cell r="L208">
            <v>0.4</v>
          </cell>
          <cell r="M208">
            <v>0.8</v>
          </cell>
          <cell r="N208">
            <v>0</v>
          </cell>
          <cell r="O208">
            <v>0.7</v>
          </cell>
          <cell r="P208">
            <v>0.1</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t="str">
            <v>MPET 12x740</v>
          </cell>
          <cell r="AF208" t="str">
            <v>PE 75x740</v>
          </cell>
          <cell r="AG208">
            <v>7.6201500000000005E-2</v>
          </cell>
          <cell r="AH208">
            <v>1.1193333333333333</v>
          </cell>
          <cell r="AI208">
            <v>1.46</v>
          </cell>
          <cell r="AJ208">
            <v>9530</v>
          </cell>
          <cell r="AK208" t="str">
            <v>0,0053(0,0023;0,003)</v>
          </cell>
          <cell r="AL208">
            <v>0</v>
          </cell>
          <cell r="AM208">
            <v>0</v>
          </cell>
          <cell r="AN208">
            <v>0</v>
          </cell>
          <cell r="AO208" t="str">
            <v>Công ty Quốc tế Hòa Bình</v>
          </cell>
          <cell r="AP208">
            <v>0</v>
          </cell>
          <cell r="AQ208" t="str">
            <v>1812794-1</v>
          </cell>
          <cell r="AR208" t="str">
            <v>1706046-2</v>
          </cell>
          <cell r="AS208" t="str">
            <v>1812794-3</v>
          </cell>
          <cell r="AT208" t="str">
            <v>1706046-4</v>
          </cell>
          <cell r="AU208" t="str">
            <v>1812794-5</v>
          </cell>
          <cell r="AV208" t="str">
            <v>1812794-6</v>
          </cell>
          <cell r="AW208" t="str">
            <v>1706046-7</v>
          </cell>
          <cell r="BA208" t="str">
            <v>480x850</v>
          </cell>
          <cell r="BB208" t="str">
            <v>T1</v>
          </cell>
        </row>
        <row r="209">
          <cell r="A209" t="str">
            <v>sp 782</v>
          </cell>
          <cell r="B209" t="str">
            <v>Túi địch bách trùng 90SP loại 40g Việt Thắng</v>
          </cell>
          <cell r="C209">
            <v>2.3000000000000003</v>
          </cell>
          <cell r="D209" t="str">
            <v>OPP 20x800</v>
          </cell>
          <cell r="E209">
            <v>5</v>
          </cell>
          <cell r="F209">
            <v>5</v>
          </cell>
          <cell r="G209" t="str">
            <v>OPP</v>
          </cell>
          <cell r="H209">
            <v>0.3</v>
          </cell>
          <cell r="I209">
            <v>0</v>
          </cell>
          <cell r="J209">
            <v>0.1</v>
          </cell>
          <cell r="K209">
            <v>0.1</v>
          </cell>
          <cell r="L209">
            <v>1.2</v>
          </cell>
          <cell r="M209">
            <v>0.4</v>
          </cell>
          <cell r="N209">
            <v>0</v>
          </cell>
          <cell r="O209">
            <v>0</v>
          </cell>
          <cell r="P209">
            <v>0.1</v>
          </cell>
          <cell r="Q209">
            <v>0</v>
          </cell>
          <cell r="R209">
            <v>0.1</v>
          </cell>
          <cell r="S209">
            <v>0</v>
          </cell>
          <cell r="T209">
            <v>0</v>
          </cell>
          <cell r="U209">
            <v>0</v>
          </cell>
          <cell r="V209">
            <v>0</v>
          </cell>
          <cell r="W209">
            <v>0</v>
          </cell>
          <cell r="X209">
            <v>0</v>
          </cell>
          <cell r="Y209">
            <v>0</v>
          </cell>
          <cell r="Z209">
            <v>0</v>
          </cell>
          <cell r="AA209">
            <v>0</v>
          </cell>
          <cell r="AB209">
            <v>0</v>
          </cell>
          <cell r="AC209">
            <v>0</v>
          </cell>
          <cell r="AD209">
            <v>0</v>
          </cell>
          <cell r="AE209" t="str">
            <v>PE sứ 65x800</v>
          </cell>
          <cell r="AF209">
            <v>0</v>
          </cell>
          <cell r="AG209">
            <v>6.2660000000000007E-2</v>
          </cell>
          <cell r="AH209">
            <v>1.2113333333333334</v>
          </cell>
          <cell r="AI209">
            <v>0</v>
          </cell>
          <cell r="AJ209">
            <v>9530</v>
          </cell>
          <cell r="AK209">
            <v>2.3E-3</v>
          </cell>
          <cell r="AL209">
            <v>0</v>
          </cell>
          <cell r="AM209" t="str">
            <v>túi ba biên</v>
          </cell>
          <cell r="AN209">
            <v>90</v>
          </cell>
          <cell r="AO209" t="str">
            <v>Công ty Việt Thắng</v>
          </cell>
          <cell r="AP209">
            <v>0</v>
          </cell>
          <cell r="AQ209" t="str">
            <v>F118249-1</v>
          </cell>
          <cell r="AR209" t="str">
            <v>F118249-2</v>
          </cell>
          <cell r="AS209" t="str">
            <v>F118249-3</v>
          </cell>
          <cell r="AT209" t="str">
            <v>F118249-4</v>
          </cell>
          <cell r="AU209" t="str">
            <v>F118249-5</v>
          </cell>
          <cell r="BA209" t="str">
            <v>450x860</v>
          </cell>
          <cell r="BB209" t="str">
            <v>D2</v>
          </cell>
        </row>
        <row r="210">
          <cell r="A210" t="str">
            <v>sp 786</v>
          </cell>
          <cell r="B210" t="str">
            <v>Cuộn trà xanh harada Vĩnh phúc</v>
          </cell>
          <cell r="C210">
            <v>0</v>
          </cell>
          <cell r="D210">
            <v>0</v>
          </cell>
          <cell r="E210">
            <v>3</v>
          </cell>
          <cell r="F210">
            <v>3</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t="str">
            <v>Công ty Vĩnh Phúc</v>
          </cell>
          <cell r="AP210">
            <v>0</v>
          </cell>
          <cell r="AQ210" t="str">
            <v>F118291-1</v>
          </cell>
          <cell r="AR210" t="str">
            <v>F118291-2</v>
          </cell>
          <cell r="AS210" t="str">
            <v>F118291-3</v>
          </cell>
          <cell r="AT210">
            <v>0</v>
          </cell>
          <cell r="AU210">
            <v>0</v>
          </cell>
          <cell r="AV210">
            <v>0</v>
          </cell>
          <cell r="BA210" t="str">
            <v>462x750</v>
          </cell>
          <cell r="BB210" t="str">
            <v>A1</v>
          </cell>
        </row>
        <row r="211">
          <cell r="A211" t="str">
            <v>sp 793</v>
          </cell>
          <cell r="B211" t="str">
            <v>Túi thuốc trừ bệnh number 1 trị loét 500g</v>
          </cell>
          <cell r="C211">
            <v>5.7</v>
          </cell>
          <cell r="D211" t="str">
            <v>PET 12x590</v>
          </cell>
          <cell r="E211">
            <v>6</v>
          </cell>
          <cell r="F211">
            <v>6</v>
          </cell>
          <cell r="G211" t="str">
            <v>PET</v>
          </cell>
          <cell r="H211">
            <v>0.4</v>
          </cell>
          <cell r="I211">
            <v>3.4</v>
          </cell>
          <cell r="J211">
            <v>0.4</v>
          </cell>
          <cell r="K211">
            <v>0.4</v>
          </cell>
          <cell r="L211">
            <v>0.1</v>
          </cell>
          <cell r="M211">
            <v>0</v>
          </cell>
          <cell r="N211">
            <v>0</v>
          </cell>
          <cell r="O211">
            <v>1</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t="str">
            <v>Al 60x590</v>
          </cell>
          <cell r="AF211" t="str">
            <v>PE 75x600</v>
          </cell>
          <cell r="AG211">
            <v>6.0436649999999995E-2</v>
          </cell>
          <cell r="AH211">
            <v>0.8893333333333332</v>
          </cell>
          <cell r="AI211">
            <v>1.1599999999999999</v>
          </cell>
          <cell r="AJ211">
            <v>9530</v>
          </cell>
          <cell r="AK211" t="str">
            <v>0,0053(0,0023;0,003)</v>
          </cell>
          <cell r="AL211">
            <v>0</v>
          </cell>
          <cell r="AM211" t="str">
            <v>túi ba biên</v>
          </cell>
          <cell r="AN211">
            <v>225</v>
          </cell>
          <cell r="AO211" t="str">
            <v>Công ty Việt Thắng</v>
          </cell>
          <cell r="AP211">
            <v>0</v>
          </cell>
          <cell r="AQ211" t="str">
            <v>F416562-1</v>
          </cell>
          <cell r="AR211" t="str">
            <v>F416562-2</v>
          </cell>
          <cell r="AS211" t="str">
            <v>F416562-3</v>
          </cell>
          <cell r="AT211" t="str">
            <v>F416562-4</v>
          </cell>
          <cell r="AU211" t="str">
            <v>F416562-5</v>
          </cell>
          <cell r="AV211" t="str">
            <v>F416562-6</v>
          </cell>
          <cell r="BA211" t="str">
            <v>450x750</v>
          </cell>
          <cell r="BB211" t="str">
            <v>D2</v>
          </cell>
        </row>
        <row r="212">
          <cell r="A212" t="str">
            <v>sp 794</v>
          </cell>
          <cell r="B212" t="str">
            <v>Túi chè lụa trắng tân cương và đặc sản 100g</v>
          </cell>
          <cell r="C212">
            <v>5.8</v>
          </cell>
          <cell r="D212" t="str">
            <v>OPP mờ 20x740</v>
          </cell>
          <cell r="E212" t="str">
            <v>sp 566</v>
          </cell>
          <cell r="F212">
            <v>7</v>
          </cell>
          <cell r="G212" t="str">
            <v>OPP</v>
          </cell>
          <cell r="H212">
            <v>0.2</v>
          </cell>
          <cell r="I212">
            <v>3.4</v>
          </cell>
          <cell r="J212">
            <v>0.3</v>
          </cell>
          <cell r="K212">
            <v>0.6</v>
          </cell>
          <cell r="L212">
            <v>0.1</v>
          </cell>
          <cell r="M212">
            <v>0.9</v>
          </cell>
          <cell r="N212">
            <v>0</v>
          </cell>
          <cell r="O212">
            <v>0</v>
          </cell>
          <cell r="P212">
            <v>0</v>
          </cell>
          <cell r="Q212">
            <v>0</v>
          </cell>
          <cell r="R212">
            <v>0</v>
          </cell>
          <cell r="S212">
            <v>0.3</v>
          </cell>
          <cell r="T212">
            <v>0</v>
          </cell>
          <cell r="U212">
            <v>0</v>
          </cell>
          <cell r="V212">
            <v>0</v>
          </cell>
          <cell r="W212">
            <v>0</v>
          </cell>
          <cell r="X212">
            <v>0</v>
          </cell>
          <cell r="Y212">
            <v>0</v>
          </cell>
          <cell r="Z212">
            <v>0</v>
          </cell>
          <cell r="AA212">
            <v>0</v>
          </cell>
          <cell r="AB212">
            <v>0</v>
          </cell>
          <cell r="AC212">
            <v>0</v>
          </cell>
          <cell r="AD212">
            <v>0</v>
          </cell>
          <cell r="AE212" t="str">
            <v>MPET 12x740</v>
          </cell>
          <cell r="AF212" t="str">
            <v>PE 75x740</v>
          </cell>
          <cell r="AG212">
            <v>7.7237500000000001E-2</v>
          </cell>
          <cell r="AH212">
            <v>1.1193333333333333</v>
          </cell>
          <cell r="AI212">
            <v>1.46</v>
          </cell>
          <cell r="AJ212">
            <v>9530</v>
          </cell>
          <cell r="AK212" t="str">
            <v>0,0053(0,0023;0,003)</v>
          </cell>
          <cell r="AL212">
            <v>0</v>
          </cell>
          <cell r="AM212" t="str">
            <v>túi hàn lưng xếp hông</v>
          </cell>
          <cell r="AN212">
            <v>270</v>
          </cell>
          <cell r="AO212" t="str">
            <v>Bùi Văn Sỹ</v>
          </cell>
          <cell r="AP212">
            <v>0</v>
          </cell>
          <cell r="AQ212" t="str">
            <v>1607495-1</v>
          </cell>
          <cell r="AR212" t="str">
            <v>1812617-2</v>
          </cell>
          <cell r="AS212" t="str">
            <v>1607495-3</v>
          </cell>
          <cell r="AT212" t="str">
            <v>1607495-4</v>
          </cell>
          <cell r="AU212" t="str">
            <v>1607495-5</v>
          </cell>
          <cell r="AV212" t="str">
            <v>1607495-6</v>
          </cell>
          <cell r="AW212" t="str">
            <v>1607495-7</v>
          </cell>
          <cell r="BA212" t="str">
            <v>540x850</v>
          </cell>
          <cell r="BB212" t="str">
            <v>F1</v>
          </cell>
          <cell r="BC212" t="str">
            <v>in chung sp 566</v>
          </cell>
        </row>
        <row r="213">
          <cell r="A213" t="str">
            <v>sp 796</v>
          </cell>
          <cell r="B213" t="str">
            <v>Túi gạo lứt đỏ KB333 1kg bản nội địa Đại Thành</v>
          </cell>
          <cell r="C213">
            <v>7.9999999999999991</v>
          </cell>
          <cell r="D213" t="str">
            <v>PET 12x760</v>
          </cell>
          <cell r="E213">
            <v>7</v>
          </cell>
          <cell r="F213">
            <v>7</v>
          </cell>
          <cell r="G213" t="str">
            <v>PET</v>
          </cell>
          <cell r="H213">
            <v>0.4</v>
          </cell>
          <cell r="I213">
            <v>3</v>
          </cell>
          <cell r="J213">
            <v>0.6</v>
          </cell>
          <cell r="K213">
            <v>2</v>
          </cell>
          <cell r="L213">
            <v>0.8</v>
          </cell>
          <cell r="M213">
            <v>1</v>
          </cell>
          <cell r="N213">
            <v>0</v>
          </cell>
          <cell r="O213">
            <v>0.1</v>
          </cell>
          <cell r="P213">
            <v>0</v>
          </cell>
          <cell r="Q213">
            <v>0</v>
          </cell>
          <cell r="R213">
            <v>0.1</v>
          </cell>
          <cell r="S213">
            <v>0</v>
          </cell>
          <cell r="T213">
            <v>0</v>
          </cell>
          <cell r="U213">
            <v>0</v>
          </cell>
          <cell r="V213">
            <v>0</v>
          </cell>
          <cell r="W213">
            <v>0</v>
          </cell>
          <cell r="X213">
            <v>0</v>
          </cell>
          <cell r="Y213">
            <v>0</v>
          </cell>
          <cell r="Z213">
            <v>0</v>
          </cell>
          <cell r="AA213">
            <v>0</v>
          </cell>
          <cell r="AB213">
            <v>0</v>
          </cell>
          <cell r="AC213">
            <v>0</v>
          </cell>
          <cell r="AD213">
            <v>0</v>
          </cell>
          <cell r="AE213" t="str">
            <v>PET12x380/MPET 12x380</v>
          </cell>
          <cell r="AF213" t="str">
            <v>PE 100x760</v>
          </cell>
          <cell r="AG213">
            <v>9.5836000000000005E-2</v>
          </cell>
          <cell r="AH213">
            <v>1.1499999999999999</v>
          </cell>
          <cell r="AI213">
            <v>1.5</v>
          </cell>
          <cell r="AJ213">
            <v>9530</v>
          </cell>
          <cell r="AK213" t="str">
            <v>0,0053(0,0023;0,003)</v>
          </cell>
          <cell r="AL213">
            <v>0</v>
          </cell>
          <cell r="AM213" t="str">
            <v>túi ba biên</v>
          </cell>
          <cell r="AN213">
            <v>290</v>
          </cell>
          <cell r="AO213" t="str">
            <v>Công ty Đại Thành</v>
          </cell>
          <cell r="AP213">
            <v>0</v>
          </cell>
          <cell r="AQ213" t="str">
            <v>F118475-1</v>
          </cell>
          <cell r="AR213" t="str">
            <v>F118475-2</v>
          </cell>
          <cell r="AS213" t="str">
            <v>F118475-3</v>
          </cell>
          <cell r="AT213" t="str">
            <v>F118475-4</v>
          </cell>
          <cell r="AU213" t="str">
            <v>F118475-5</v>
          </cell>
          <cell r="AV213" t="str">
            <v>F118475-6</v>
          </cell>
          <cell r="AW213" t="str">
            <v>F118475-7</v>
          </cell>
          <cell r="BA213" t="str">
            <v>580x850</v>
          </cell>
          <cell r="BB213" t="str">
            <v>O2</v>
          </cell>
        </row>
        <row r="214">
          <cell r="A214" t="str">
            <v>sp 798</v>
          </cell>
          <cell r="B214" t="str">
            <v xml:space="preserve"> Túi gạo trắng bani999 2kg nội địa màu vàng </v>
          </cell>
          <cell r="C214">
            <v>0</v>
          </cell>
          <cell r="D214">
            <v>0</v>
          </cell>
          <cell r="E214">
            <v>6</v>
          </cell>
          <cell r="F214">
            <v>6</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t="str">
            <v>Công ty Đại Thành</v>
          </cell>
          <cell r="AP214">
            <v>0</v>
          </cell>
          <cell r="AQ214" t="str">
            <v>F118476-1</v>
          </cell>
          <cell r="AR214" t="str">
            <v>F118476-2</v>
          </cell>
          <cell r="AS214" t="str">
            <v>F118476-3</v>
          </cell>
          <cell r="AT214" t="str">
            <v>F118476-4</v>
          </cell>
          <cell r="AU214" t="str">
            <v>F118476-5</v>
          </cell>
          <cell r="AV214" t="str">
            <v>F118476-6</v>
          </cell>
          <cell r="AW214">
            <v>0</v>
          </cell>
          <cell r="BA214" t="str">
            <v>700 x 750</v>
          </cell>
          <cell r="BB214" t="str">
            <v>O2</v>
          </cell>
        </row>
        <row r="215">
          <cell r="A215" t="str">
            <v>sp 802</v>
          </cell>
          <cell r="B215" t="str">
            <v>Cuộn trà gừng mật ong dạng cốm 20g Sing Việt</v>
          </cell>
          <cell r="C215">
            <v>6.2</v>
          </cell>
          <cell r="D215" t="str">
            <v>PET 12x660</v>
          </cell>
          <cell r="E215">
            <v>5</v>
          </cell>
          <cell r="F215">
            <v>5</v>
          </cell>
          <cell r="G215" t="str">
            <v>PET</v>
          </cell>
          <cell r="H215">
            <v>0</v>
          </cell>
          <cell r="I215">
            <v>2.9</v>
          </cell>
          <cell r="J215">
            <v>0.5</v>
          </cell>
          <cell r="K215">
            <v>0.4</v>
          </cell>
          <cell r="L215">
            <v>1.6</v>
          </cell>
          <cell r="M215">
            <v>0.8</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t="str">
            <v>Al 6x660</v>
          </cell>
          <cell r="AF215" t="str">
            <v>PE 55x670</v>
          </cell>
          <cell r="AG215">
            <v>0.15198150000000002</v>
          </cell>
          <cell r="AH215">
            <v>0.99666666666666659</v>
          </cell>
          <cell r="AI215">
            <v>1.0833333333333335</v>
          </cell>
          <cell r="AJ215">
            <v>9530</v>
          </cell>
          <cell r="AK215" t="str">
            <v>0,0048(0,0023;0,0025)</v>
          </cell>
          <cell r="AL215">
            <v>0</v>
          </cell>
          <cell r="AM215" t="str">
            <v>dạng cuộn 1000m</v>
          </cell>
          <cell r="AN215">
            <v>160</v>
          </cell>
          <cell r="AO215" t="str">
            <v>Công ty CP Sinh Việt</v>
          </cell>
          <cell r="AP215">
            <v>0</v>
          </cell>
          <cell r="AQ215" t="str">
            <v>F118539G2-1</v>
          </cell>
          <cell r="AR215" t="str">
            <v>F118539-2</v>
          </cell>
          <cell r="AS215" t="str">
            <v>F118539-3</v>
          </cell>
          <cell r="AT215" t="str">
            <v>F118539-4</v>
          </cell>
          <cell r="AU215" t="str">
            <v>F118539-5</v>
          </cell>
          <cell r="BA215" t="str">
            <v>428x750</v>
          </cell>
          <cell r="BB215" t="str">
            <v>O2</v>
          </cell>
        </row>
        <row r="216">
          <cell r="A216" t="str">
            <v>sp 803</v>
          </cell>
          <cell r="B216" t="str">
            <v>Túi trà gừng mật ong dạng cốm 400g Sing Việt</v>
          </cell>
          <cell r="C216">
            <v>1.3</v>
          </cell>
          <cell r="D216" t="str">
            <v>PET 12x700</v>
          </cell>
          <cell r="E216">
            <v>4</v>
          </cell>
          <cell r="F216">
            <v>4</v>
          </cell>
          <cell r="G216" t="str">
            <v>PET</v>
          </cell>
          <cell r="H216">
            <v>0.1</v>
          </cell>
          <cell r="I216">
            <v>0</v>
          </cell>
          <cell r="J216">
            <v>0.1</v>
          </cell>
          <cell r="K216">
            <v>0.1</v>
          </cell>
          <cell r="L216">
            <v>1</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t="str">
            <v>PE sứ 140x700</v>
          </cell>
          <cell r="AF216">
            <v>0</v>
          </cell>
          <cell r="AG216">
            <v>0.91825999999999985</v>
          </cell>
          <cell r="AH216">
            <v>1.4</v>
          </cell>
          <cell r="AI216">
            <v>0</v>
          </cell>
          <cell r="AJ216">
            <v>9530</v>
          </cell>
          <cell r="AK216">
            <v>3.0000000000000001E-3</v>
          </cell>
          <cell r="AL216">
            <v>0</v>
          </cell>
          <cell r="AM216" t="str">
            <v>túi ba biên đáy đứng zipper</v>
          </cell>
          <cell r="AN216">
            <v>230</v>
          </cell>
          <cell r="AO216" t="str">
            <v>Công ty CP Sinh Việt</v>
          </cell>
          <cell r="AP216">
            <v>0</v>
          </cell>
          <cell r="AQ216" t="str">
            <v>F118705G2-1</v>
          </cell>
          <cell r="AR216" t="str">
            <v>F118705G1-2</v>
          </cell>
          <cell r="AS216" t="str">
            <v>F118705G1-3</v>
          </cell>
          <cell r="AT216" t="str">
            <v>F118705-4</v>
          </cell>
          <cell r="BA216" t="str">
            <v>460x750</v>
          </cell>
          <cell r="BB216" t="str">
            <v>O2</v>
          </cell>
        </row>
        <row r="217">
          <cell r="A217" t="str">
            <v>sp 804</v>
          </cell>
          <cell r="B217" t="str">
            <v>Cuộn oresol Zin C mới Hải Phòng</v>
          </cell>
          <cell r="C217">
            <v>0</v>
          </cell>
          <cell r="D217" t="str">
            <v>PET 12x620</v>
          </cell>
          <cell r="E217">
            <v>5</v>
          </cell>
          <cell r="F217">
            <v>5</v>
          </cell>
          <cell r="G217" t="str">
            <v>PET</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t="str">
            <v>Al 6x620</v>
          </cell>
          <cell r="AF217" t="str">
            <v>PE 75x630</v>
          </cell>
          <cell r="AG217">
            <v>6.3509700000000002E-2</v>
          </cell>
          <cell r="AH217">
            <v>0.93533333333333324</v>
          </cell>
          <cell r="AI217">
            <v>1.22</v>
          </cell>
          <cell r="AJ217">
            <v>9530</v>
          </cell>
          <cell r="AK217" t="str">
            <v>0,0053(0,0023;0,003)</v>
          </cell>
          <cell r="AL217">
            <v>0</v>
          </cell>
          <cell r="AM217" t="str">
            <v>dạng cuộn 500m</v>
          </cell>
          <cell r="AN217">
            <v>120</v>
          </cell>
          <cell r="AO217" t="str">
            <v>Công ty  Dược Hải Phòng</v>
          </cell>
          <cell r="AP217">
            <v>0</v>
          </cell>
          <cell r="AQ217" t="str">
            <v>1708889-1</v>
          </cell>
          <cell r="AR217" t="str">
            <v>1708889-2</v>
          </cell>
          <cell r="AS217" t="str">
            <v>1708889-3</v>
          </cell>
          <cell r="AT217" t="str">
            <v>1708889-4</v>
          </cell>
          <cell r="AU217" t="str">
            <v>1708889-5</v>
          </cell>
          <cell r="BA217" t="str">
            <v>400x750</v>
          </cell>
          <cell r="BB217" t="str">
            <v>O2</v>
          </cell>
        </row>
        <row r="218">
          <cell r="A218" t="str">
            <v>sp 805 củ</v>
          </cell>
          <cell r="B218" t="str">
            <v>Trục in cuộn snack rong biển Ahihi ba màu 15g</v>
          </cell>
          <cell r="C218">
            <v>0</v>
          </cell>
          <cell r="D218">
            <v>0</v>
          </cell>
          <cell r="E218">
            <v>5</v>
          </cell>
          <cell r="F218">
            <v>5</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t="str">
            <v>Công ty Ahihi</v>
          </cell>
          <cell r="AP218">
            <v>0</v>
          </cell>
          <cell r="AQ218" t="str">
            <v>F118615-1</v>
          </cell>
          <cell r="AR218" t="str">
            <v>F118615-2</v>
          </cell>
          <cell r="AS218" t="str">
            <v>F118615-3</v>
          </cell>
          <cell r="AT218" t="str">
            <v>F118615-4</v>
          </cell>
          <cell r="AU218" t="str">
            <v>F118615-5</v>
          </cell>
        </row>
        <row r="219">
          <cell r="A219" t="str">
            <v>sp 805 mới</v>
          </cell>
          <cell r="B219" t="str">
            <v>Cuộn snack rong biển ba màu ahihi 15g</v>
          </cell>
          <cell r="C219">
            <v>0</v>
          </cell>
          <cell r="D219">
            <v>0</v>
          </cell>
          <cell r="E219">
            <v>5</v>
          </cell>
          <cell r="F219">
            <v>5</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t="str">
            <v>Công ty Ahihi</v>
          </cell>
          <cell r="AP219">
            <v>0</v>
          </cell>
          <cell r="AQ219" t="str">
            <v>F118902-1</v>
          </cell>
          <cell r="AR219" t="str">
            <v>F118902-2</v>
          </cell>
          <cell r="AS219" t="str">
            <v>F118902-3</v>
          </cell>
          <cell r="AT219" t="str">
            <v>F118902-4</v>
          </cell>
          <cell r="AU219" t="str">
            <v>F118902-5</v>
          </cell>
          <cell r="BA219" t="str">
            <v>400x1100</v>
          </cell>
          <cell r="BB219" t="str">
            <v>O2</v>
          </cell>
        </row>
        <row r="220">
          <cell r="A220" t="str">
            <v>sp 808</v>
          </cell>
          <cell r="B220" t="str">
            <v>Túi chè lụa tân cương 500g loại 5</v>
          </cell>
          <cell r="C220">
            <v>8.9</v>
          </cell>
          <cell r="D220" t="str">
            <v>OPP mờ 20x760</v>
          </cell>
          <cell r="E220">
            <v>6</v>
          </cell>
          <cell r="F220">
            <v>7</v>
          </cell>
          <cell r="G220" t="str">
            <v>OPP</v>
          </cell>
          <cell r="H220">
            <v>0.1</v>
          </cell>
          <cell r="I220">
            <v>3.6</v>
          </cell>
          <cell r="J220">
            <v>0.7</v>
          </cell>
          <cell r="K220">
            <v>0.2</v>
          </cell>
          <cell r="L220">
            <v>3.7</v>
          </cell>
          <cell r="M220">
            <v>0.5</v>
          </cell>
          <cell r="N220">
            <v>0</v>
          </cell>
          <cell r="O220">
            <v>0</v>
          </cell>
          <cell r="P220">
            <v>0</v>
          </cell>
          <cell r="Q220">
            <v>0</v>
          </cell>
          <cell r="R220">
            <v>0</v>
          </cell>
          <cell r="S220">
            <v>0.1</v>
          </cell>
          <cell r="T220">
            <v>0</v>
          </cell>
          <cell r="U220">
            <v>0</v>
          </cell>
          <cell r="V220">
            <v>0</v>
          </cell>
          <cell r="W220">
            <v>0</v>
          </cell>
          <cell r="X220">
            <v>0</v>
          </cell>
          <cell r="Y220">
            <v>0</v>
          </cell>
          <cell r="Z220">
            <v>0</v>
          </cell>
          <cell r="AA220">
            <v>0</v>
          </cell>
          <cell r="AB220">
            <v>0</v>
          </cell>
          <cell r="AC220">
            <v>0</v>
          </cell>
          <cell r="AD220">
            <v>0</v>
          </cell>
          <cell r="AE220" t="str">
            <v>MPET 12x760</v>
          </cell>
          <cell r="AF220" t="str">
            <v>PE 75x760</v>
          </cell>
          <cell r="AG220">
            <v>7.9325000000000007E-2</v>
          </cell>
          <cell r="AH220">
            <v>1.1499999999999999</v>
          </cell>
          <cell r="AI220">
            <v>1.5</v>
          </cell>
          <cell r="AJ220">
            <v>9530</v>
          </cell>
          <cell r="AK220" t="str">
            <v>0,0053(0,0023;0,003)</v>
          </cell>
          <cell r="AL220">
            <v>0</v>
          </cell>
          <cell r="AM220" t="str">
            <v>túi hàn lưng xếp hông</v>
          </cell>
          <cell r="AN220">
            <v>420</v>
          </cell>
          <cell r="AO220" t="str">
            <v>Bùi Văn Sỹ</v>
          </cell>
          <cell r="AP220">
            <v>0</v>
          </cell>
          <cell r="AQ220" t="str">
            <v>1708584-1</v>
          </cell>
          <cell r="AR220" t="str">
            <v>1708584-2</v>
          </cell>
          <cell r="AS220" t="str">
            <v>1708584-3</v>
          </cell>
          <cell r="AT220" t="str">
            <v>1708584-4</v>
          </cell>
          <cell r="AU220" t="str">
            <v>1708584-5</v>
          </cell>
          <cell r="AV220" t="str">
            <v>1708584-6</v>
          </cell>
          <cell r="AW220" t="str">
            <v>1607497-7</v>
          </cell>
          <cell r="BA220" t="str">
            <v>420x850</v>
          </cell>
          <cell r="BB220" t="str">
            <v>F2</v>
          </cell>
          <cell r="BC220" t="str">
            <v>in chung bộ sp 832,cây trắng với sp 568</v>
          </cell>
        </row>
        <row r="221">
          <cell r="A221" t="str">
            <v>sp 809</v>
          </cell>
          <cell r="B221" t="str">
            <v>Cuộn bánh gạo sasaki Nhật Minh Phát</v>
          </cell>
          <cell r="C221">
            <v>1.5000000000000002</v>
          </cell>
          <cell r="D221" t="str">
            <v>OPP mờ 20x945</v>
          </cell>
          <cell r="E221">
            <v>3</v>
          </cell>
          <cell r="F221">
            <v>3</v>
          </cell>
          <cell r="G221" t="str">
            <v>OPP</v>
          </cell>
          <cell r="H221">
            <v>0.1</v>
          </cell>
          <cell r="I221">
            <v>0</v>
          </cell>
          <cell r="J221">
            <v>0</v>
          </cell>
          <cell r="K221">
            <v>0</v>
          </cell>
          <cell r="L221">
            <v>1.3</v>
          </cell>
          <cell r="M221">
            <v>0</v>
          </cell>
          <cell r="N221">
            <v>0</v>
          </cell>
          <cell r="O221">
            <v>0</v>
          </cell>
          <cell r="P221">
            <v>0</v>
          </cell>
          <cell r="Q221">
            <v>0.1</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t="str">
            <v>CPP 25x945</v>
          </cell>
          <cell r="AF221">
            <v>0</v>
          </cell>
          <cell r="AG221">
            <v>3.8697749999999996E-2</v>
          </cell>
          <cell r="AH221">
            <v>1.1220000000000001</v>
          </cell>
          <cell r="AI221">
            <v>0</v>
          </cell>
          <cell r="AJ221">
            <v>9530</v>
          </cell>
          <cell r="AK221">
            <v>1.8E-3</v>
          </cell>
          <cell r="AL221">
            <v>0</v>
          </cell>
          <cell r="AM221" t="str">
            <v>dạng cuộn 1000m</v>
          </cell>
          <cell r="AN221">
            <v>185</v>
          </cell>
          <cell r="AO221" t="str">
            <v>Công ty Minh Phát</v>
          </cell>
          <cell r="AP221">
            <v>0</v>
          </cell>
          <cell r="AQ221" t="str">
            <v>F118711-1</v>
          </cell>
          <cell r="AR221" t="str">
            <v>F118711-2</v>
          </cell>
          <cell r="AS221" t="str">
            <v>F118711-3</v>
          </cell>
          <cell r="BA221" t="str">
            <v>400x1100</v>
          </cell>
          <cell r="BB221" t="str">
            <v>P1</v>
          </cell>
        </row>
        <row r="222">
          <cell r="A222" t="str">
            <v>sp 810</v>
          </cell>
          <cell r="B222" t="str">
            <v>Túi bánh gạo nhật sasaka 100g Minh Phát</v>
          </cell>
          <cell r="C222">
            <v>6.0500000000000007</v>
          </cell>
          <cell r="D222" t="str">
            <v>OPP 20x800</v>
          </cell>
          <cell r="E222">
            <v>7</v>
          </cell>
          <cell r="F222">
            <v>7</v>
          </cell>
          <cell r="G222" t="str">
            <v>OPP</v>
          </cell>
          <cell r="H222">
            <v>0.85</v>
          </cell>
          <cell r="I222">
            <v>2.4</v>
          </cell>
          <cell r="J222">
            <v>0.1</v>
          </cell>
          <cell r="K222">
            <v>0.6</v>
          </cell>
          <cell r="L222">
            <v>0.1</v>
          </cell>
          <cell r="M222">
            <v>1.6</v>
          </cell>
          <cell r="N222">
            <v>0</v>
          </cell>
          <cell r="O222">
            <v>0</v>
          </cell>
          <cell r="P222">
            <v>0.4</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t="str">
            <v>MPET 12x800</v>
          </cell>
          <cell r="AF222" t="str">
            <v>PE 30x800</v>
          </cell>
          <cell r="AG222">
            <v>5.0200000000000002E-2</v>
          </cell>
          <cell r="AH222">
            <v>1.196</v>
          </cell>
          <cell r="AI222">
            <v>1.196</v>
          </cell>
          <cell r="AJ222">
            <v>9530</v>
          </cell>
          <cell r="AK222" t="str">
            <v>0,0046(0,0023;0,0023)</v>
          </cell>
          <cell r="AL222">
            <v>0</v>
          </cell>
          <cell r="AM222" t="str">
            <v>túi hàn lưng</v>
          </cell>
          <cell r="AN222">
            <v>280</v>
          </cell>
          <cell r="AO222" t="str">
            <v>Công ty Minh Phát</v>
          </cell>
          <cell r="AP222">
            <v>0</v>
          </cell>
          <cell r="AQ222" t="str">
            <v>F118710-1</v>
          </cell>
          <cell r="AR222" t="str">
            <v>F118710-2</v>
          </cell>
          <cell r="AS222" t="str">
            <v>F118710-3</v>
          </cell>
          <cell r="AT222" t="str">
            <v>F118710-4</v>
          </cell>
          <cell r="AU222" t="str">
            <v>F118710-5</v>
          </cell>
          <cell r="AV222" t="str">
            <v>F118710-6</v>
          </cell>
          <cell r="AW222" t="str">
            <v>F118710-7</v>
          </cell>
          <cell r="BB222" t="str">
            <v>P1</v>
          </cell>
        </row>
        <row r="223">
          <cell r="A223" t="str">
            <v>sp 811</v>
          </cell>
          <cell r="B223" t="str">
            <v>Túi kẹo socola viên Sọc nâu</v>
          </cell>
          <cell r="C223">
            <v>0</v>
          </cell>
          <cell r="D223">
            <v>0</v>
          </cell>
          <cell r="E223">
            <v>5</v>
          </cell>
          <cell r="F223">
            <v>6</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t="str">
            <v>Công ty Marika</v>
          </cell>
          <cell r="AP223">
            <v>0</v>
          </cell>
          <cell r="AQ223" t="str">
            <v>F118717-1</v>
          </cell>
          <cell r="AR223" t="str">
            <v>F118717-2</v>
          </cell>
          <cell r="AS223" t="str">
            <v>F118717-3</v>
          </cell>
          <cell r="AT223" t="str">
            <v>F118717-4</v>
          </cell>
          <cell r="AU223" t="str">
            <v>F118717-5</v>
          </cell>
          <cell r="AV223" t="str">
            <v>F118715-6</v>
          </cell>
          <cell r="AW223">
            <v>0</v>
          </cell>
          <cell r="BA223" t="str">
            <v>540x750</v>
          </cell>
        </row>
        <row r="224">
          <cell r="A224" t="str">
            <v>sp 812</v>
          </cell>
          <cell r="B224" t="str">
            <v>Túi kẹo viên socola Sọc trắng</v>
          </cell>
          <cell r="C224">
            <v>0</v>
          </cell>
          <cell r="D224">
            <v>0</v>
          </cell>
          <cell r="E224">
            <v>6</v>
          </cell>
          <cell r="F224">
            <v>6</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t="str">
            <v>Công ty Marika</v>
          </cell>
          <cell r="AP224">
            <v>0</v>
          </cell>
          <cell r="AQ224" t="str">
            <v>F118715-1</v>
          </cell>
          <cell r="AR224" t="str">
            <v>F118715-2</v>
          </cell>
          <cell r="AS224" t="str">
            <v>F118715-3</v>
          </cell>
          <cell r="AT224" t="str">
            <v>F118715-4</v>
          </cell>
          <cell r="AU224" t="str">
            <v>F118715-5</v>
          </cell>
          <cell r="AV224" t="str">
            <v>F118715-6</v>
          </cell>
          <cell r="AW224">
            <v>0</v>
          </cell>
          <cell r="BA224" t="str">
            <v>540x750</v>
          </cell>
        </row>
        <row r="225">
          <cell r="A225" t="str">
            <v>sp 823</v>
          </cell>
          <cell r="B225" t="str">
            <v>Túi in thú y KT220x310 Redfood</v>
          </cell>
          <cell r="C225">
            <v>1.6</v>
          </cell>
          <cell r="D225" t="str">
            <v>PA 15x640</v>
          </cell>
          <cell r="E225">
            <v>3</v>
          </cell>
          <cell r="F225">
            <v>3</v>
          </cell>
          <cell r="G225" t="str">
            <v>PET</v>
          </cell>
          <cell r="H225">
            <v>0</v>
          </cell>
          <cell r="I225">
            <v>0.5</v>
          </cell>
          <cell r="J225">
            <v>0</v>
          </cell>
          <cell r="K225">
            <v>0</v>
          </cell>
          <cell r="L225">
            <v>0.7</v>
          </cell>
          <cell r="M225">
            <v>0</v>
          </cell>
          <cell r="N225">
            <v>0</v>
          </cell>
          <cell r="O225">
            <v>0</v>
          </cell>
          <cell r="P225">
            <v>0.4</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t="str">
            <v>PE 75x640</v>
          </cell>
          <cell r="AF225">
            <v>0</v>
          </cell>
          <cell r="AG225">
            <v>5.5440000000000003E-2</v>
          </cell>
          <cell r="AH225">
            <v>0.84</v>
          </cell>
          <cell r="AI225">
            <v>0</v>
          </cell>
          <cell r="AJ225">
            <v>9530</v>
          </cell>
          <cell r="AK225">
            <v>2E-3</v>
          </cell>
          <cell r="AL225">
            <v>0</v>
          </cell>
          <cell r="AM225" t="str">
            <v>túi ba biên</v>
          </cell>
          <cell r="AN225">
            <v>220</v>
          </cell>
          <cell r="AO225" t="str">
            <v>Công ty Redfood</v>
          </cell>
          <cell r="AP225">
            <v>0</v>
          </cell>
          <cell r="AQ225" t="str">
            <v>1710415-1</v>
          </cell>
          <cell r="AR225" t="str">
            <v>1710415-2</v>
          </cell>
          <cell r="AS225" t="str">
            <v>1710415-3</v>
          </cell>
          <cell r="BA225" t="str">
            <v>440x750</v>
          </cell>
          <cell r="BB225" t="str">
            <v>P1</v>
          </cell>
        </row>
        <row r="226">
          <cell r="A226" t="str">
            <v>sp 824</v>
          </cell>
          <cell r="B226" t="str">
            <v xml:space="preserve">Cuộn bánh trứng lipo hương bơ hàng cân 3000gr dải cam </v>
          </cell>
          <cell r="C226">
            <v>6.6999999999999993</v>
          </cell>
          <cell r="D226" t="str">
            <v>OPP 20x700</v>
          </cell>
          <cell r="E226">
            <v>4</v>
          </cell>
          <cell r="F226">
            <v>8</v>
          </cell>
          <cell r="G226" t="str">
            <v>OPP</v>
          </cell>
          <cell r="H226">
            <v>0.1</v>
          </cell>
          <cell r="I226">
            <v>3.4</v>
          </cell>
          <cell r="J226">
            <v>0.1</v>
          </cell>
          <cell r="K226">
            <v>0.1</v>
          </cell>
          <cell r="L226">
            <v>1.3</v>
          </cell>
          <cell r="M226">
            <v>0.5</v>
          </cell>
          <cell r="N226">
            <v>0</v>
          </cell>
          <cell r="O226">
            <v>0.6</v>
          </cell>
          <cell r="P226">
            <v>0.1</v>
          </cell>
          <cell r="Q226">
            <v>0.5</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t="str">
            <v>MCPP 25x700</v>
          </cell>
          <cell r="AF226">
            <v>0</v>
          </cell>
          <cell r="AG226">
            <v>2.4275999999999999E-2</v>
          </cell>
          <cell r="AH226">
            <v>1.0579999999999998</v>
          </cell>
          <cell r="AI226">
            <v>0</v>
          </cell>
          <cell r="AJ226">
            <v>9530</v>
          </cell>
          <cell r="AK226">
            <v>2.3E-3</v>
          </cell>
          <cell r="AL226">
            <v>0</v>
          </cell>
          <cell r="AM226" t="str">
            <v>dạng cuộn 1000m</v>
          </cell>
          <cell r="AN226">
            <v>170</v>
          </cell>
          <cell r="AO226" t="str">
            <v>Công ty Quốc tế Alpha</v>
          </cell>
          <cell r="AP226">
            <v>0</v>
          </cell>
          <cell r="AQ226" t="str">
            <v>F119027G2-1</v>
          </cell>
          <cell r="AR226" t="str">
            <v>F119025 -2</v>
          </cell>
          <cell r="AS226" t="str">
            <v>F119025 -3</v>
          </cell>
          <cell r="AT226" t="str">
            <v>F119025G3-4</v>
          </cell>
          <cell r="AU226" t="str">
            <v>F119027-5</v>
          </cell>
          <cell r="AV226" t="str">
            <v>F119027-6</v>
          </cell>
          <cell r="AW226" t="str">
            <v>F119027G1NG1-7</v>
          </cell>
          <cell r="AX226" t="str">
            <v>F119025 -8</v>
          </cell>
          <cell r="BA226" t="str">
            <v>500x850</v>
          </cell>
          <cell r="BB226" t="str">
            <v>C1</v>
          </cell>
          <cell r="BC226" t="str">
            <v>in chung 2,3,4,8 vơi sp 825</v>
          </cell>
        </row>
        <row r="227">
          <cell r="A227" t="str">
            <v>sp 825</v>
          </cell>
          <cell r="B227" t="str">
            <v>Cuộn bánh trứng lipo hương sữa hàng cân 3000gr dải đỏ</v>
          </cell>
          <cell r="C227">
            <v>6.6999999999999993</v>
          </cell>
          <cell r="D227" t="str">
            <v>OPP 20x700</v>
          </cell>
          <cell r="E227">
            <v>8</v>
          </cell>
          <cell r="F227">
            <v>8</v>
          </cell>
          <cell r="G227" t="str">
            <v>OPP</v>
          </cell>
          <cell r="H227">
            <v>0.1</v>
          </cell>
          <cell r="I227">
            <v>3.4</v>
          </cell>
          <cell r="J227">
            <v>0.1</v>
          </cell>
          <cell r="K227">
            <v>0.1</v>
          </cell>
          <cell r="L227">
            <v>1.3</v>
          </cell>
          <cell r="M227">
            <v>0.5</v>
          </cell>
          <cell r="N227">
            <v>0</v>
          </cell>
          <cell r="O227">
            <v>0.6</v>
          </cell>
          <cell r="P227">
            <v>0.5</v>
          </cell>
          <cell r="Q227">
            <v>0.1</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t="str">
            <v>MCPP 25x700</v>
          </cell>
          <cell r="AF227">
            <v>0</v>
          </cell>
          <cell r="AG227">
            <v>2.4275999999999999E-2</v>
          </cell>
          <cell r="AH227">
            <v>1.0579999999999998</v>
          </cell>
          <cell r="AI227">
            <v>0</v>
          </cell>
          <cell r="AJ227">
            <v>9530</v>
          </cell>
          <cell r="AK227">
            <v>2.3E-3</v>
          </cell>
          <cell r="AL227">
            <v>0</v>
          </cell>
          <cell r="AM227" t="str">
            <v>dạng cuộn 1000m</v>
          </cell>
          <cell r="AN227">
            <v>170</v>
          </cell>
          <cell r="AO227" t="str">
            <v>Công ty Quốc tế Alpha</v>
          </cell>
          <cell r="AP227">
            <v>0</v>
          </cell>
          <cell r="AQ227" t="str">
            <v>F119025 -1</v>
          </cell>
          <cell r="AR227" t="str">
            <v>F119025 -2</v>
          </cell>
          <cell r="AS227" t="str">
            <v>F119025 -3</v>
          </cell>
          <cell r="AT227" t="str">
            <v>F119025G3NG1-4</v>
          </cell>
          <cell r="AU227" t="str">
            <v>F119025 -5</v>
          </cell>
          <cell r="AV227" t="str">
            <v>F119025-6</v>
          </cell>
          <cell r="AW227" t="str">
            <v>F119025 -7</v>
          </cell>
          <cell r="AX227" t="str">
            <v>F119025 -8</v>
          </cell>
          <cell r="BA227">
            <v>0</v>
          </cell>
          <cell r="BB227" t="str">
            <v>C2</v>
          </cell>
          <cell r="BC227" t="str">
            <v>in chung 2,3,4,8 vơi sp 824</v>
          </cell>
        </row>
        <row r="228">
          <cell r="A228" t="str">
            <v>sp 826</v>
          </cell>
          <cell r="B228" t="str">
            <v>Cuộn bột giặt Đức Giang siêu sạch 250gr</v>
          </cell>
          <cell r="C228">
            <v>1.8</v>
          </cell>
          <cell r="D228" t="str">
            <v>PET 12x680</v>
          </cell>
          <cell r="E228">
            <v>7</v>
          </cell>
          <cell r="F228">
            <v>7</v>
          </cell>
          <cell r="G228" t="str">
            <v>PET</v>
          </cell>
          <cell r="H228">
            <v>0.1</v>
          </cell>
          <cell r="I228" t="str">
            <v>2.6</v>
          </cell>
          <cell r="J228">
            <v>0.4</v>
          </cell>
          <cell r="K228" t="str">
            <v>1.3</v>
          </cell>
          <cell r="L228" t="str">
            <v>0.7</v>
          </cell>
          <cell r="M228">
            <v>0</v>
          </cell>
          <cell r="N228">
            <v>0</v>
          </cell>
          <cell r="O228">
            <v>0</v>
          </cell>
          <cell r="P228">
            <v>1.2</v>
          </cell>
          <cell r="Q228">
            <v>0</v>
          </cell>
          <cell r="R228">
            <v>0.1</v>
          </cell>
          <cell r="S228">
            <v>0</v>
          </cell>
          <cell r="T228">
            <v>0</v>
          </cell>
          <cell r="U228">
            <v>0</v>
          </cell>
          <cell r="V228">
            <v>0</v>
          </cell>
          <cell r="W228">
            <v>0</v>
          </cell>
          <cell r="X228">
            <v>0</v>
          </cell>
          <cell r="Y228">
            <v>0</v>
          </cell>
          <cell r="Z228">
            <v>0</v>
          </cell>
          <cell r="AA228">
            <v>0</v>
          </cell>
          <cell r="AB228">
            <v>0</v>
          </cell>
          <cell r="AC228">
            <v>0</v>
          </cell>
          <cell r="AD228">
            <v>0</v>
          </cell>
          <cell r="AE228" t="str">
            <v>PE sứ 60x680</v>
          </cell>
          <cell r="AF228">
            <v>0</v>
          </cell>
          <cell r="AG228">
            <v>4.9164000000000006E-2</v>
          </cell>
          <cell r="AH228">
            <v>1.34</v>
          </cell>
          <cell r="AI228">
            <v>0</v>
          </cell>
          <cell r="AJ228">
            <v>9530</v>
          </cell>
          <cell r="AK228">
            <v>3.0000000000000001E-3</v>
          </cell>
          <cell r="AL228">
            <v>0</v>
          </cell>
          <cell r="AM228" t="str">
            <v>dạng cuộn 1000m</v>
          </cell>
          <cell r="AN228">
            <v>330</v>
          </cell>
          <cell r="AO228" t="str">
            <v>Công ty Đức Giang</v>
          </cell>
          <cell r="AP228">
            <v>0</v>
          </cell>
          <cell r="AQ228" t="str">
            <v>1710303-1</v>
          </cell>
          <cell r="AR228" t="str">
            <v>20081310-2</v>
          </cell>
          <cell r="AS228" t="str">
            <v>20081310-3</v>
          </cell>
          <cell r="AT228" t="str">
            <v>1710303-4</v>
          </cell>
          <cell r="AU228" t="str">
            <v>1710303-5</v>
          </cell>
          <cell r="AV228" t="str">
            <v>1710303-6</v>
          </cell>
          <cell r="BA228" t="str">
            <v>430x750</v>
          </cell>
          <cell r="BB228" t="str">
            <v>U1</v>
          </cell>
        </row>
        <row r="229">
          <cell r="A229" t="str">
            <v>sp 830</v>
          </cell>
          <cell r="B229" t="str">
            <v>Cuộn bánh bao nhân thập cẩm Finefood 300g Phú Mỹ</v>
          </cell>
          <cell r="C229">
            <v>0</v>
          </cell>
          <cell r="D229" t="str">
            <v>OPP 20x730</v>
          </cell>
          <cell r="E229">
            <v>6</v>
          </cell>
          <cell r="F229">
            <v>6</v>
          </cell>
          <cell r="G229" t="str">
            <v>OPP</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t="str">
            <v>PE 70x730</v>
          </cell>
          <cell r="AF229">
            <v>0</v>
          </cell>
          <cell r="AG229">
            <v>6.0553500000000017E-2</v>
          </cell>
          <cell r="AH229">
            <v>1.1039999999999999</v>
          </cell>
          <cell r="AI229">
            <v>0</v>
          </cell>
          <cell r="AJ229">
            <v>9530</v>
          </cell>
          <cell r="AK229">
            <v>2.3E-3</v>
          </cell>
          <cell r="AL229">
            <v>0</v>
          </cell>
          <cell r="AM229" t="str">
            <v>dạng cuộn 500m</v>
          </cell>
          <cell r="AN229">
            <v>354</v>
          </cell>
          <cell r="AO229" t="str">
            <v>Công ty Phú Mỹ</v>
          </cell>
          <cell r="AP229">
            <v>0</v>
          </cell>
          <cell r="AQ229" t="str">
            <v>1710373-1</v>
          </cell>
          <cell r="AR229" t="str">
            <v>1710373-2</v>
          </cell>
          <cell r="AS229" t="str">
            <v>1710373-3</v>
          </cell>
          <cell r="AT229" t="str">
            <v>1710373-4</v>
          </cell>
          <cell r="AU229" t="str">
            <v>1710373-5</v>
          </cell>
          <cell r="AV229" t="str">
            <v>1710373-6</v>
          </cell>
          <cell r="BA229" t="str">
            <v>532x850</v>
          </cell>
          <cell r="BB229" t="str">
            <v>V2</v>
          </cell>
        </row>
        <row r="230">
          <cell r="A230" t="str">
            <v>sp 831</v>
          </cell>
          <cell r="B230" t="str">
            <v>Cuộn bánh bao nhân sữa dừa Finefood 300gr</v>
          </cell>
          <cell r="C230">
            <v>0</v>
          </cell>
          <cell r="D230" t="str">
            <v>OPP 20x730</v>
          </cell>
          <cell r="E230">
            <v>5</v>
          </cell>
          <cell r="F230">
            <v>6</v>
          </cell>
          <cell r="G230" t="str">
            <v>OPP</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t="str">
            <v>PE 70x730</v>
          </cell>
          <cell r="AF230">
            <v>0</v>
          </cell>
          <cell r="AG230">
            <v>6.0553500000000017E-2</v>
          </cell>
          <cell r="AH230">
            <v>1.1039999999999999</v>
          </cell>
          <cell r="AI230">
            <v>0</v>
          </cell>
          <cell r="AJ230">
            <v>9530</v>
          </cell>
          <cell r="AK230">
            <v>2.3E-3</v>
          </cell>
          <cell r="AL230">
            <v>0</v>
          </cell>
          <cell r="AM230" t="str">
            <v>dạng cuộn 500m</v>
          </cell>
          <cell r="AN230">
            <v>354</v>
          </cell>
          <cell r="AO230" t="str">
            <v>Công ty Phú Mỹ</v>
          </cell>
          <cell r="AP230">
            <v>0</v>
          </cell>
          <cell r="AQ230" t="str">
            <v>1710374-1</v>
          </cell>
          <cell r="AR230" t="str">
            <v>1710374-2</v>
          </cell>
          <cell r="AS230" t="str">
            <v>1710374-3</v>
          </cell>
          <cell r="AT230" t="str">
            <v>1710374-4</v>
          </cell>
          <cell r="AU230" t="str">
            <v>1710374-5</v>
          </cell>
          <cell r="AV230" t="str">
            <v>1710373-6</v>
          </cell>
          <cell r="BA230" t="str">
            <v>532x850</v>
          </cell>
          <cell r="BB230" t="str">
            <v>V2</v>
          </cell>
          <cell r="BC230" t="str">
            <v>in chung cây Trắng vs sp 830</v>
          </cell>
        </row>
        <row r="231">
          <cell r="A231" t="str">
            <v>sp 832</v>
          </cell>
          <cell r="B231" t="str">
            <v>Túi trà chữ đỏ Tân Cương 500gr loại 7</v>
          </cell>
          <cell r="C231">
            <v>0</v>
          </cell>
          <cell r="D231" t="str">
            <v>PET 12x760</v>
          </cell>
          <cell r="E231" t="str">
            <v>sp 808</v>
          </cell>
          <cell r="F231">
            <v>7</v>
          </cell>
          <cell r="G231" t="str">
            <v>PET</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t="str">
            <v>MPET 12x760</v>
          </cell>
          <cell r="AF231" t="str">
            <v>PE 75x760</v>
          </cell>
          <cell r="AG231">
            <v>7.8261000000000011E-2</v>
          </cell>
          <cell r="AH231">
            <v>1.1499999999999999</v>
          </cell>
          <cell r="AI231">
            <v>1.5</v>
          </cell>
          <cell r="AJ231">
            <v>9530</v>
          </cell>
          <cell r="AK231" t="str">
            <v>0,0053(0,0023;0,003)</v>
          </cell>
          <cell r="AL231">
            <v>0</v>
          </cell>
          <cell r="AM231" t="str">
            <v>hàn lưng xếp hông</v>
          </cell>
          <cell r="AN231">
            <v>420</v>
          </cell>
          <cell r="AO231" t="str">
            <v>Bùi Văn Sỹ</v>
          </cell>
          <cell r="AP231">
            <v>0</v>
          </cell>
          <cell r="AQ231" t="str">
            <v>1708584-1</v>
          </cell>
          <cell r="AR231" t="str">
            <v>1708584-2</v>
          </cell>
          <cell r="AS231" t="str">
            <v>1708584-3</v>
          </cell>
          <cell r="AT231" t="str">
            <v>1708584-4</v>
          </cell>
          <cell r="AU231" t="str">
            <v>1708584-5</v>
          </cell>
          <cell r="AV231" t="str">
            <v>1708584-6</v>
          </cell>
          <cell r="AW231" t="str">
            <v>1607497-7</v>
          </cell>
          <cell r="BA231" t="str">
            <v>420x850</v>
          </cell>
          <cell r="BB231" t="str">
            <v>F2+ F1</v>
          </cell>
          <cell r="BC231" t="str">
            <v>in chung sp 808;cây trắng với sp 568</v>
          </cell>
        </row>
        <row r="232">
          <cell r="A232" t="str">
            <v>sp 834</v>
          </cell>
          <cell r="B232" t="str">
            <v>Túi hạt giống Đông A cấp giống XN1 1kg Thái Bình</v>
          </cell>
          <cell r="C232">
            <v>8.4699999999999989</v>
          </cell>
          <cell r="D232" t="str">
            <v>OPP 20x900</v>
          </cell>
          <cell r="E232">
            <v>4</v>
          </cell>
          <cell r="F232">
            <v>8</v>
          </cell>
          <cell r="G232" t="str">
            <v>OPP</v>
          </cell>
          <cell r="H232">
            <v>0.56999999999999995</v>
          </cell>
          <cell r="I232">
            <v>5.4</v>
          </cell>
          <cell r="J232">
            <v>0.1</v>
          </cell>
          <cell r="K232">
            <v>0.4</v>
          </cell>
          <cell r="L232">
            <v>1.7</v>
          </cell>
          <cell r="M232">
            <v>0</v>
          </cell>
          <cell r="N232">
            <v>0</v>
          </cell>
          <cell r="O232">
            <v>0.1</v>
          </cell>
          <cell r="P232">
            <v>0</v>
          </cell>
          <cell r="Q232">
            <v>0</v>
          </cell>
          <cell r="R232">
            <v>0</v>
          </cell>
          <cell r="S232">
            <v>0</v>
          </cell>
          <cell r="T232">
            <v>0.2</v>
          </cell>
          <cell r="U232">
            <v>0</v>
          </cell>
          <cell r="V232">
            <v>0</v>
          </cell>
          <cell r="W232">
            <v>0</v>
          </cell>
          <cell r="X232">
            <v>0</v>
          </cell>
          <cell r="Y232">
            <v>0</v>
          </cell>
          <cell r="Z232">
            <v>0</v>
          </cell>
          <cell r="AA232">
            <v>0</v>
          </cell>
          <cell r="AB232">
            <v>0</v>
          </cell>
          <cell r="AC232">
            <v>0</v>
          </cell>
          <cell r="AD232">
            <v>0</v>
          </cell>
          <cell r="AE232" t="str">
            <v>PE 80x900</v>
          </cell>
          <cell r="AF232">
            <v>0</v>
          </cell>
          <cell r="AG232">
            <v>8.2980000000000012E-2</v>
          </cell>
          <cell r="AH232">
            <v>1.3646666666666665</v>
          </cell>
          <cell r="AI232">
            <v>0</v>
          </cell>
          <cell r="AJ232">
            <v>9530</v>
          </cell>
          <cell r="AK232">
            <v>2.3E-3</v>
          </cell>
          <cell r="AL232">
            <v>0</v>
          </cell>
          <cell r="AM232" t="str">
            <v>dạng cuộn or túi ba biên</v>
          </cell>
          <cell r="AN232">
            <v>310</v>
          </cell>
          <cell r="AO232" t="str">
            <v>Công ty Thái Bình</v>
          </cell>
          <cell r="AP232">
            <v>0</v>
          </cell>
          <cell r="AQ232" t="str">
            <v>1902525-1</v>
          </cell>
          <cell r="AR232" t="str">
            <v>1903063-2</v>
          </cell>
          <cell r="AS232" t="str">
            <v>1609240-3</v>
          </cell>
          <cell r="AT232" t="str">
            <v>1903063-4</v>
          </cell>
          <cell r="AU232" t="str">
            <v>1902525-5</v>
          </cell>
          <cell r="AV232" t="str">
            <v>1710724-6</v>
          </cell>
          <cell r="AW232" t="str">
            <v>1710724-7</v>
          </cell>
          <cell r="AX232" t="str">
            <v>1807922-8</v>
          </cell>
          <cell r="BA232" t="str">
            <v>620x1100</v>
          </cell>
          <cell r="BB232" t="str">
            <v>I2</v>
          </cell>
        </row>
        <row r="233">
          <cell r="A233" t="str">
            <v>sp 835</v>
          </cell>
          <cell r="B233" t="str">
            <v>Túi hạt giống Đông A cấp giống XN1 40kg Thái Bình</v>
          </cell>
          <cell r="C233">
            <v>0</v>
          </cell>
          <cell r="D233" t="str">
            <v>OPP 20x900</v>
          </cell>
          <cell r="E233">
            <v>3</v>
          </cell>
          <cell r="F233">
            <v>7</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0</v>
          </cell>
          <cell r="AM233">
            <v>0</v>
          </cell>
          <cell r="AN233">
            <v>0</v>
          </cell>
          <cell r="AO233" t="str">
            <v>Công ty Thái Bình</v>
          </cell>
          <cell r="AP233">
            <v>0</v>
          </cell>
          <cell r="AQ233" t="str">
            <v>17101029-1</v>
          </cell>
          <cell r="AR233" t="str">
            <v>1602242-2</v>
          </cell>
          <cell r="AS233" t="str">
            <v>17101029-3</v>
          </cell>
          <cell r="AT233" t="str">
            <v>1710745-4</v>
          </cell>
          <cell r="AU233" t="str">
            <v>1903064-5</v>
          </cell>
          <cell r="AV233" t="str">
            <v>1710723-6</v>
          </cell>
          <cell r="AW233" t="str">
            <v>1903064-7</v>
          </cell>
          <cell r="AX233">
            <v>0</v>
          </cell>
          <cell r="BA233" t="str">
            <v>1100x850</v>
          </cell>
          <cell r="BB233" t="str">
            <v>K4</v>
          </cell>
        </row>
        <row r="234">
          <cell r="A234" t="str">
            <v>sp 837</v>
          </cell>
          <cell r="B234" t="str">
            <v>Túi đựng cá KT 160x500 Hạ Long</v>
          </cell>
          <cell r="C234">
            <v>8.4</v>
          </cell>
          <cell r="D234" t="str">
            <v>PA 15x660</v>
          </cell>
          <cell r="E234">
            <v>6</v>
          </cell>
          <cell r="F234">
            <v>6</v>
          </cell>
          <cell r="G234" t="str">
            <v>PET</v>
          </cell>
          <cell r="H234">
            <v>0</v>
          </cell>
          <cell r="I234">
            <v>2.2000000000000002</v>
          </cell>
          <cell r="J234">
            <v>0.1</v>
          </cell>
          <cell r="K234">
            <v>1.7</v>
          </cell>
          <cell r="L234">
            <v>0.9</v>
          </cell>
          <cell r="M234">
            <v>3</v>
          </cell>
          <cell r="N234">
            <v>0</v>
          </cell>
          <cell r="O234">
            <v>0</v>
          </cell>
          <cell r="P234">
            <v>0.5</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t="str">
            <v>PE 65x660</v>
          </cell>
          <cell r="AF234">
            <v>0</v>
          </cell>
          <cell r="AG234">
            <v>5.1067500000000002E-2</v>
          </cell>
          <cell r="AH234">
            <v>0.99666666666666659</v>
          </cell>
          <cell r="AI234">
            <v>0</v>
          </cell>
          <cell r="AJ234">
            <v>9530</v>
          </cell>
          <cell r="AK234">
            <v>2.3E-3</v>
          </cell>
          <cell r="AL234">
            <v>0</v>
          </cell>
          <cell r="AM234" t="str">
            <v>túi ba biên</v>
          </cell>
          <cell r="AN234">
            <v>500</v>
          </cell>
          <cell r="AO234" t="str">
            <v>Công ty Hạ Long</v>
          </cell>
          <cell r="AP234">
            <v>0</v>
          </cell>
          <cell r="AQ234" t="str">
            <v>X101819-1</v>
          </cell>
          <cell r="AR234" t="str">
            <v>X101819-2</v>
          </cell>
          <cell r="AS234" t="str">
            <v>X101819-3</v>
          </cell>
          <cell r="AT234" t="str">
            <v>X101819-4</v>
          </cell>
          <cell r="AU234" t="str">
            <v>X101819-5</v>
          </cell>
          <cell r="AV234" t="str">
            <v>X101819-6</v>
          </cell>
          <cell r="BA234" t="str">
            <v>500x750</v>
          </cell>
          <cell r="BB234" t="str">
            <v>P1</v>
          </cell>
        </row>
        <row r="235">
          <cell r="A235" t="str">
            <v>sp 840</v>
          </cell>
          <cell r="B235" t="str">
            <v>Túi hạt giống lúa DTR  667 1kg Đại Thành</v>
          </cell>
          <cell r="C235">
            <v>7</v>
          </cell>
          <cell r="D235" t="str">
            <v>OPP 20x460</v>
          </cell>
          <cell r="E235">
            <v>8</v>
          </cell>
          <cell r="F235">
            <v>8</v>
          </cell>
          <cell r="G235" t="str">
            <v xml:space="preserve">OPP </v>
          </cell>
          <cell r="H235">
            <v>0.1</v>
          </cell>
          <cell r="I235">
            <v>2.8</v>
          </cell>
          <cell r="J235">
            <v>2.5</v>
          </cell>
          <cell r="K235">
            <v>0.4</v>
          </cell>
          <cell r="L235">
            <v>0.1</v>
          </cell>
          <cell r="M235">
            <v>1</v>
          </cell>
          <cell r="N235">
            <v>0</v>
          </cell>
          <cell r="O235">
            <v>0.1</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t="str">
            <v>PE 70x460</v>
          </cell>
          <cell r="AF235">
            <v>0</v>
          </cell>
          <cell r="AG235">
            <v>3.815700000000001E-2</v>
          </cell>
          <cell r="AH235">
            <v>0.75</v>
          </cell>
          <cell r="AI235">
            <v>0</v>
          </cell>
          <cell r="AJ235">
            <v>9530</v>
          </cell>
          <cell r="AK235">
            <v>2.5000000000000001E-3</v>
          </cell>
          <cell r="AL235">
            <v>0</v>
          </cell>
          <cell r="AM235" t="str">
            <v>dạng cuộn 500m</v>
          </cell>
          <cell r="AN235">
            <v>440</v>
          </cell>
          <cell r="AO235" t="str">
            <v>Công ty Đại Thành</v>
          </cell>
          <cell r="AP235">
            <v>0</v>
          </cell>
          <cell r="AQ235" t="str">
            <v>1711632-1</v>
          </cell>
          <cell r="AR235" t="str">
            <v>1711632-2</v>
          </cell>
          <cell r="AS235" t="str">
            <v>1711632-3</v>
          </cell>
          <cell r="AT235" t="str">
            <v>1711632-4</v>
          </cell>
          <cell r="AU235" t="str">
            <v>1711632-5</v>
          </cell>
          <cell r="AV235" t="str">
            <v>1711632-6</v>
          </cell>
          <cell r="AW235" t="str">
            <v>1711632-7</v>
          </cell>
          <cell r="AX235" t="str">
            <v>1711632-8</v>
          </cell>
          <cell r="BA235" t="str">
            <v>610x750</v>
          </cell>
          <cell r="BB235" t="str">
            <v>P1</v>
          </cell>
        </row>
        <row r="236">
          <cell r="A236" t="str">
            <v>sp 841</v>
          </cell>
          <cell r="B236" t="str">
            <v>Túi đựng quà Tết Nhật Nguyệt</v>
          </cell>
          <cell r="C236">
            <v>1.1499999999999999</v>
          </cell>
          <cell r="D236" t="str">
            <v>OPP mờ 20x600</v>
          </cell>
          <cell r="E236">
            <v>2</v>
          </cell>
          <cell r="F236">
            <v>2</v>
          </cell>
          <cell r="G236" t="str">
            <v>OPP</v>
          </cell>
          <cell r="H236">
            <v>0</v>
          </cell>
          <cell r="I236">
            <v>0.5</v>
          </cell>
          <cell r="J236">
            <v>0</v>
          </cell>
          <cell r="K236">
            <v>0</v>
          </cell>
          <cell r="L236">
            <v>0</v>
          </cell>
          <cell r="M236">
            <v>0</v>
          </cell>
          <cell r="N236">
            <v>0</v>
          </cell>
          <cell r="O236">
            <v>0</v>
          </cell>
          <cell r="P236">
            <v>0</v>
          </cell>
          <cell r="Q236">
            <v>0</v>
          </cell>
          <cell r="R236">
            <v>0</v>
          </cell>
          <cell r="S236">
            <v>0.65</v>
          </cell>
          <cell r="T236">
            <v>0</v>
          </cell>
          <cell r="U236">
            <v>0</v>
          </cell>
          <cell r="V236">
            <v>0</v>
          </cell>
          <cell r="W236">
            <v>0</v>
          </cell>
          <cell r="X236">
            <v>0</v>
          </cell>
          <cell r="Y236">
            <v>0</v>
          </cell>
          <cell r="Z236">
            <v>0</v>
          </cell>
          <cell r="AA236">
            <v>0</v>
          </cell>
          <cell r="AB236">
            <v>0</v>
          </cell>
          <cell r="AC236">
            <v>0</v>
          </cell>
          <cell r="AD236">
            <v>0</v>
          </cell>
          <cell r="AE236" t="str">
            <v>CPP 45x600</v>
          </cell>
          <cell r="AF236">
            <v>0</v>
          </cell>
          <cell r="AG236">
            <v>3.5490000000000001E-2</v>
          </cell>
          <cell r="AH236">
            <v>0.90466666666666651</v>
          </cell>
          <cell r="AI236">
            <v>0</v>
          </cell>
          <cell r="AJ236">
            <v>9530</v>
          </cell>
          <cell r="AK236">
            <v>2.3E-3</v>
          </cell>
          <cell r="AL236">
            <v>0</v>
          </cell>
          <cell r="AM236" t="str">
            <v>túi hàn lưng xếp hông</v>
          </cell>
          <cell r="AN236">
            <v>155</v>
          </cell>
          <cell r="AO236" t="str">
            <v>Công ty Nhật Nguyệt</v>
          </cell>
          <cell r="AP236">
            <v>0</v>
          </cell>
          <cell r="AQ236" t="str">
            <v>F119426-1</v>
          </cell>
          <cell r="AR236" t="str">
            <v>F119426-2</v>
          </cell>
          <cell r="BA236" t="str">
            <v>465x860</v>
          </cell>
          <cell r="BB236" t="str">
            <v>P1</v>
          </cell>
        </row>
        <row r="237">
          <cell r="A237" t="str">
            <v>sp 842</v>
          </cell>
          <cell r="B237" t="str">
            <v>Túi lúa nếp A Sào 1kg thái bình</v>
          </cell>
          <cell r="C237">
            <v>15.5</v>
          </cell>
          <cell r="D237" t="str">
            <v>PA 15x580</v>
          </cell>
          <cell r="E237">
            <v>7</v>
          </cell>
          <cell r="F237">
            <v>7</v>
          </cell>
          <cell r="G237" t="str">
            <v>PET</v>
          </cell>
          <cell r="H237">
            <v>0.9</v>
          </cell>
          <cell r="I237">
            <v>5.2</v>
          </cell>
          <cell r="J237">
            <v>2.5</v>
          </cell>
          <cell r="K237">
            <v>0.1</v>
          </cell>
          <cell r="L237">
            <v>5.5</v>
          </cell>
          <cell r="M237">
            <v>1</v>
          </cell>
          <cell r="N237">
            <v>0</v>
          </cell>
          <cell r="O237">
            <v>0.1</v>
          </cell>
          <cell r="P237">
            <v>0</v>
          </cell>
          <cell r="Q237">
            <v>0</v>
          </cell>
          <cell r="R237">
            <v>0</v>
          </cell>
          <cell r="S237">
            <v>0</v>
          </cell>
          <cell r="T237">
            <v>0.2</v>
          </cell>
          <cell r="U237">
            <v>0</v>
          </cell>
          <cell r="V237">
            <v>0</v>
          </cell>
          <cell r="W237">
            <v>0</v>
          </cell>
          <cell r="X237">
            <v>0</v>
          </cell>
          <cell r="Y237">
            <v>0</v>
          </cell>
          <cell r="Z237">
            <v>0</v>
          </cell>
          <cell r="AA237">
            <v>0</v>
          </cell>
          <cell r="AB237">
            <v>0</v>
          </cell>
          <cell r="AC237">
            <v>0</v>
          </cell>
          <cell r="AD237">
            <v>0</v>
          </cell>
          <cell r="AE237" t="str">
            <v>PE 85x580</v>
          </cell>
          <cell r="AF237">
            <v>0</v>
          </cell>
          <cell r="AG237">
            <v>5.3690000000000015E-2</v>
          </cell>
          <cell r="AH237">
            <v>0.87399999999999989</v>
          </cell>
          <cell r="AI237">
            <v>0</v>
          </cell>
          <cell r="AJ237">
            <v>9530</v>
          </cell>
          <cell r="AK237">
            <v>2.3E-3</v>
          </cell>
          <cell r="AL237">
            <v>0</v>
          </cell>
          <cell r="AM237" t="str">
            <v>túi ba biên</v>
          </cell>
          <cell r="AN237">
            <v>200</v>
          </cell>
          <cell r="AO237" t="str">
            <v>Công ty Thái Bình</v>
          </cell>
          <cell r="AP237">
            <v>0</v>
          </cell>
          <cell r="AQ237" t="str">
            <v>1711961-1</v>
          </cell>
          <cell r="AR237" t="str">
            <v>1711961-2</v>
          </cell>
          <cell r="AS237" t="str">
            <v>1711961-3</v>
          </cell>
          <cell r="AT237" t="str">
            <v>1711961-4</v>
          </cell>
          <cell r="AU237" t="str">
            <v>1711961-5</v>
          </cell>
          <cell r="AV237" t="str">
            <v>1711961-6</v>
          </cell>
          <cell r="AW237" t="str">
            <v>1711961-7</v>
          </cell>
          <cell r="BA237" t="str">
            <v>840x456</v>
          </cell>
          <cell r="BB237" t="str">
            <v>I3</v>
          </cell>
        </row>
        <row r="238">
          <cell r="A238" t="str">
            <v>sp 844</v>
          </cell>
          <cell r="B238" t="str">
            <v>Cuộn thuốc trừ sâu Bemab khủng long 52WG 800 loại 10g</v>
          </cell>
          <cell r="C238">
            <v>4.5999999999999996</v>
          </cell>
          <cell r="D238" t="str">
            <v>PET 12x620</v>
          </cell>
          <cell r="E238">
            <v>7</v>
          </cell>
          <cell r="F238">
            <v>7</v>
          </cell>
          <cell r="G238" t="str">
            <v>PET</v>
          </cell>
          <cell r="H238">
            <v>0</v>
          </cell>
          <cell r="I238">
            <v>2.5</v>
          </cell>
          <cell r="J238">
            <v>0.1</v>
          </cell>
          <cell r="K238">
            <v>0.1</v>
          </cell>
          <cell r="L238">
            <v>0.4</v>
          </cell>
          <cell r="M238">
            <v>1</v>
          </cell>
          <cell r="N238">
            <v>0</v>
          </cell>
          <cell r="O238">
            <v>0</v>
          </cell>
          <cell r="P238">
            <v>0.4</v>
          </cell>
          <cell r="Q238">
            <v>0</v>
          </cell>
          <cell r="R238">
            <v>0.1</v>
          </cell>
          <cell r="S238">
            <v>0</v>
          </cell>
          <cell r="T238">
            <v>0</v>
          </cell>
          <cell r="U238">
            <v>0</v>
          </cell>
          <cell r="V238">
            <v>0</v>
          </cell>
          <cell r="W238">
            <v>0</v>
          </cell>
          <cell r="X238">
            <v>0</v>
          </cell>
          <cell r="Y238">
            <v>0</v>
          </cell>
          <cell r="Z238">
            <v>0</v>
          </cell>
          <cell r="AA238">
            <v>0</v>
          </cell>
          <cell r="AB238">
            <v>0</v>
          </cell>
          <cell r="AC238">
            <v>0</v>
          </cell>
          <cell r="AD238">
            <v>0</v>
          </cell>
          <cell r="AE238" t="str">
            <v>Al 6x620</v>
          </cell>
          <cell r="AF238" t="str">
            <v>PE 75x630</v>
          </cell>
          <cell r="AG238">
            <v>6.4534049999999996E-2</v>
          </cell>
          <cell r="AH238">
            <v>0.93533333333333324</v>
          </cell>
          <cell r="AI238">
            <v>0.93533333333333324</v>
          </cell>
          <cell r="AJ238">
            <v>9530</v>
          </cell>
          <cell r="AK238" t="str">
            <v>0,0046(0,0023;0,0023)</v>
          </cell>
          <cell r="AL238">
            <v>0</v>
          </cell>
          <cell r="AM238" t="str">
            <v>dạng cuộn 700m</v>
          </cell>
          <cell r="AN238">
            <v>200</v>
          </cell>
          <cell r="AO238" t="str">
            <v>Công ty Việt Thắng</v>
          </cell>
          <cell r="AP238">
            <v>0</v>
          </cell>
          <cell r="AQ238" t="str">
            <v>F119474G5-1</v>
          </cell>
          <cell r="AR238" t="str">
            <v>F119474-2</v>
          </cell>
          <cell r="AS238" t="str">
            <v>F119474-3</v>
          </cell>
          <cell r="AT238" t="str">
            <v>F119474G3-4</v>
          </cell>
          <cell r="AU238" t="str">
            <v>F119474-5</v>
          </cell>
          <cell r="AV238" t="str">
            <v>F119474-6</v>
          </cell>
          <cell r="AW238" t="str">
            <v>F119474G4-7</v>
          </cell>
          <cell r="BA238" t="str">
            <v>405x750</v>
          </cell>
          <cell r="BB238" t="str">
            <v>D2</v>
          </cell>
        </row>
        <row r="239">
          <cell r="A239" t="str">
            <v>sp 845</v>
          </cell>
          <cell r="B239" t="str">
            <v>Cuộn thuốc trừ sâu Bemab  khủng long 52WG 900 loại 15g</v>
          </cell>
          <cell r="C239">
            <v>0</v>
          </cell>
          <cell r="D239" t="str">
            <v>PET 12x620</v>
          </cell>
          <cell r="E239">
            <v>2</v>
          </cell>
          <cell r="F239">
            <v>7</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t="str">
            <v>Công ty Việt Thắng</v>
          </cell>
          <cell r="AP239">
            <v>0</v>
          </cell>
          <cell r="AQ239" t="str">
            <v>F119474G3-1</v>
          </cell>
          <cell r="AR239" t="str">
            <v>F119474-2</v>
          </cell>
          <cell r="AS239" t="str">
            <v>F120892-3</v>
          </cell>
          <cell r="AT239" t="str">
            <v>F120892-4</v>
          </cell>
          <cell r="AU239" t="str">
            <v>F119474-5</v>
          </cell>
          <cell r="AV239" t="str">
            <v>F119474-6</v>
          </cell>
          <cell r="AW239" t="str">
            <v>F119474-7</v>
          </cell>
          <cell r="BA239" t="str">
            <v>405x750</v>
          </cell>
          <cell r="BB239" t="str">
            <v>D2</v>
          </cell>
          <cell r="BC239" t="str">
            <v>in chung bộ sp 844 trừ cây Z đỏ + XD</v>
          </cell>
        </row>
        <row r="240">
          <cell r="A240" t="str">
            <v>sp 846</v>
          </cell>
          <cell r="B240" t="str">
            <v xml:space="preserve">Túi khủng long Bemad 400WG loại 22g  </v>
          </cell>
          <cell r="C240">
            <v>5.15</v>
          </cell>
          <cell r="D240" t="str">
            <v>PET 12x620</v>
          </cell>
          <cell r="E240">
            <v>6</v>
          </cell>
          <cell r="F240">
            <v>6</v>
          </cell>
          <cell r="G240" t="str">
            <v>PET</v>
          </cell>
          <cell r="H240">
            <v>0.1</v>
          </cell>
          <cell r="I240">
            <v>2.2999999999999998</v>
          </cell>
          <cell r="J240">
            <v>0.2</v>
          </cell>
          <cell r="K240">
            <v>0.1</v>
          </cell>
          <cell r="L240">
            <v>1.25</v>
          </cell>
          <cell r="M240">
            <v>0.9</v>
          </cell>
          <cell r="N240">
            <v>0</v>
          </cell>
          <cell r="O240">
            <v>0</v>
          </cell>
          <cell r="P240">
            <v>0.3</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t="str">
            <v>Al 6x620</v>
          </cell>
          <cell r="AF240" t="str">
            <v>PE 75x630</v>
          </cell>
          <cell r="AG240">
            <v>6.3277200000000006E-2</v>
          </cell>
          <cell r="AH240">
            <v>0.93533333333333324</v>
          </cell>
          <cell r="AI240">
            <v>0.93533333333333324</v>
          </cell>
          <cell r="AJ240">
            <v>9530</v>
          </cell>
          <cell r="AK240" t="str">
            <v>0,0046(0,0023;0,0023)</v>
          </cell>
          <cell r="AL240">
            <v>0</v>
          </cell>
          <cell r="AM240" t="str">
            <v>dạng cuộn 700m</v>
          </cell>
          <cell r="AN240">
            <v>200</v>
          </cell>
          <cell r="AO240" t="str">
            <v>Công ty Việt Thắng</v>
          </cell>
          <cell r="AP240">
            <v>0</v>
          </cell>
          <cell r="AQ240" t="str">
            <v>1904288-1</v>
          </cell>
          <cell r="AR240" t="str">
            <v>1712349-2</v>
          </cell>
          <cell r="AS240" t="str">
            <v>1712349-3</v>
          </cell>
          <cell r="AT240" t="str">
            <v>1712349-4</v>
          </cell>
          <cell r="AU240" t="str">
            <v>1712349-5</v>
          </cell>
          <cell r="AV240" t="str">
            <v>1712349-6</v>
          </cell>
          <cell r="BA240" t="str">
            <v>420x750</v>
          </cell>
          <cell r="BB240" t="str">
            <v>D3</v>
          </cell>
        </row>
        <row r="241">
          <cell r="A241" t="str">
            <v>sp 847</v>
          </cell>
          <cell r="B241" t="str">
            <v>Túi thuốc trừ sâu Tasieu 2WG loại 10g Việt Thắng</v>
          </cell>
          <cell r="C241">
            <v>3.6</v>
          </cell>
          <cell r="D241" t="str">
            <v>PET 12x740</v>
          </cell>
          <cell r="E241">
            <v>2</v>
          </cell>
          <cell r="F241">
            <v>7</v>
          </cell>
          <cell r="G241" t="str">
            <v>PET</v>
          </cell>
          <cell r="H241">
            <v>0</v>
          </cell>
          <cell r="I241">
            <v>1.7</v>
          </cell>
          <cell r="J241">
            <v>0.3</v>
          </cell>
          <cell r="K241">
            <v>0.4</v>
          </cell>
          <cell r="L241">
            <v>0.5</v>
          </cell>
          <cell r="M241">
            <v>0.4</v>
          </cell>
          <cell r="N241">
            <v>0</v>
          </cell>
          <cell r="O241">
            <v>0</v>
          </cell>
          <cell r="P241">
            <v>0.2</v>
          </cell>
          <cell r="Q241">
            <v>0</v>
          </cell>
          <cell r="R241">
            <v>0.1</v>
          </cell>
          <cell r="S241">
            <v>0</v>
          </cell>
          <cell r="T241">
            <v>0</v>
          </cell>
          <cell r="U241">
            <v>0</v>
          </cell>
          <cell r="V241">
            <v>0</v>
          </cell>
          <cell r="W241">
            <v>0</v>
          </cell>
          <cell r="X241">
            <v>0</v>
          </cell>
          <cell r="Y241">
            <v>0</v>
          </cell>
          <cell r="Z241">
            <v>0</v>
          </cell>
          <cell r="AA241">
            <v>0</v>
          </cell>
          <cell r="AB241">
            <v>0</v>
          </cell>
          <cell r="AC241">
            <v>0</v>
          </cell>
          <cell r="AD241">
            <v>0</v>
          </cell>
          <cell r="AE241" t="str">
            <v>Al 6x740</v>
          </cell>
          <cell r="AF241" t="str">
            <v>PE75x750</v>
          </cell>
          <cell r="AG241">
            <v>7.5801899999999992E-2</v>
          </cell>
          <cell r="AH241">
            <v>1.1193333333333333</v>
          </cell>
          <cell r="AI241">
            <v>1.46</v>
          </cell>
          <cell r="AJ241">
            <v>9530</v>
          </cell>
          <cell r="AK241" t="str">
            <v>0,0053(0,0023;0,003)</v>
          </cell>
          <cell r="AL241">
            <v>0</v>
          </cell>
          <cell r="AM241" t="str">
            <v>dạng cuộn 700m</v>
          </cell>
          <cell r="AN241">
            <v>180</v>
          </cell>
          <cell r="AO241" t="str">
            <v>Công ty Việt Thắng</v>
          </cell>
          <cell r="AP241">
            <v>0</v>
          </cell>
          <cell r="AQ241" t="str">
            <v>F114487G6-1</v>
          </cell>
          <cell r="AR241" t="str">
            <v>F114487G3-2</v>
          </cell>
          <cell r="AS241" t="str">
            <v>F114487-3</v>
          </cell>
          <cell r="AT241" t="str">
            <v>F114487-4</v>
          </cell>
          <cell r="AU241" t="str">
            <v>F114487-5</v>
          </cell>
          <cell r="AV241" t="str">
            <v>F114487-6</v>
          </cell>
          <cell r="AW241" t="str">
            <v>F114487-7</v>
          </cell>
          <cell r="BA241" t="str">
            <v>456x850</v>
          </cell>
          <cell r="BB241" t="str">
            <v>D3</v>
          </cell>
          <cell r="BC241" t="str">
            <v>chung 5 cây của bộ sp 557 : trừ đen + ĐC</v>
          </cell>
        </row>
        <row r="242">
          <cell r="A242" t="str">
            <v>sp 851</v>
          </cell>
          <cell r="B242" t="str">
            <v>Túi miến lẩu đặc biệt bản xèo 500g</v>
          </cell>
          <cell r="C242">
            <v>4.3000000000000007</v>
          </cell>
          <cell r="D242" t="str">
            <v>PA 15x490</v>
          </cell>
          <cell r="E242">
            <v>5</v>
          </cell>
          <cell r="F242">
            <v>5</v>
          </cell>
          <cell r="G242" t="str">
            <v>PET</v>
          </cell>
          <cell r="H242">
            <v>0</v>
          </cell>
          <cell r="I242">
            <v>1.7</v>
          </cell>
          <cell r="J242">
            <v>0.4</v>
          </cell>
          <cell r="K242">
            <v>0.6</v>
          </cell>
          <cell r="L242">
            <v>1.1000000000000001</v>
          </cell>
          <cell r="M242">
            <v>0.5</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t="str">
            <v>PE 80x490</v>
          </cell>
          <cell r="AF242">
            <v>0</v>
          </cell>
          <cell r="AG242">
            <v>4.4712500000000002E-2</v>
          </cell>
          <cell r="AH242">
            <v>0.73599999999999988</v>
          </cell>
          <cell r="AI242">
            <v>0</v>
          </cell>
          <cell r="AJ242">
            <v>9530</v>
          </cell>
          <cell r="AK242">
            <v>2.3E-3</v>
          </cell>
          <cell r="AL242">
            <v>0</v>
          </cell>
          <cell r="AM242" t="str">
            <v>túi hàn lưng xếp hông</v>
          </cell>
          <cell r="AN242">
            <v>350</v>
          </cell>
          <cell r="AO242" t="str">
            <v>HTX Thành Sơn, Bản Xèo, Lào Cai</v>
          </cell>
          <cell r="AP242">
            <v>0</v>
          </cell>
          <cell r="AQ242" t="str">
            <v>17121376-1</v>
          </cell>
          <cell r="AR242" t="str">
            <v>17121376-2</v>
          </cell>
          <cell r="AS242" t="str">
            <v>17121376-3</v>
          </cell>
          <cell r="AT242" t="str">
            <v>17121376-4</v>
          </cell>
          <cell r="AU242" t="str">
            <v>17121376-5</v>
          </cell>
          <cell r="BA242" t="str">
            <v>700x750</v>
          </cell>
          <cell r="BB242" t="str">
            <v>P1</v>
          </cell>
        </row>
        <row r="243">
          <cell r="A243" t="str">
            <v>sp 853</v>
          </cell>
          <cell r="B243" t="str">
            <v>Túi thuốc trừ sâu Goldsai hiệu Metalaxyl 350WP loại 250g USA</v>
          </cell>
          <cell r="C243">
            <v>6.1999999999999993</v>
          </cell>
          <cell r="D243" t="str">
            <v>PET 12x660</v>
          </cell>
          <cell r="E243">
            <v>7</v>
          </cell>
          <cell r="F243">
            <v>7</v>
          </cell>
          <cell r="G243" t="str">
            <v>PET</v>
          </cell>
          <cell r="H243">
            <v>0.1</v>
          </cell>
          <cell r="I243">
            <v>2.9</v>
          </cell>
          <cell r="J243">
            <v>1</v>
          </cell>
          <cell r="K243">
            <v>0.1</v>
          </cell>
          <cell r="L243">
            <v>0.9</v>
          </cell>
          <cell r="M243">
            <v>1</v>
          </cell>
          <cell r="N243">
            <v>0</v>
          </cell>
          <cell r="O243">
            <v>0</v>
          </cell>
          <cell r="P243">
            <v>0.1</v>
          </cell>
          <cell r="Q243">
            <v>0</v>
          </cell>
          <cell r="R243">
            <v>0.1</v>
          </cell>
          <cell r="S243">
            <v>0</v>
          </cell>
          <cell r="T243">
            <v>0</v>
          </cell>
          <cell r="U243">
            <v>0</v>
          </cell>
          <cell r="V243">
            <v>0</v>
          </cell>
          <cell r="W243">
            <v>0</v>
          </cell>
          <cell r="X243">
            <v>0</v>
          </cell>
          <cell r="Y243">
            <v>0</v>
          </cell>
          <cell r="Z243">
            <v>0</v>
          </cell>
          <cell r="AA243">
            <v>0</v>
          </cell>
          <cell r="AB243">
            <v>0</v>
          </cell>
          <cell r="AC243">
            <v>0</v>
          </cell>
          <cell r="AD243">
            <v>0</v>
          </cell>
          <cell r="AE243" t="str">
            <v>MPET 12x660</v>
          </cell>
          <cell r="AF243" t="str">
            <v>PE 75x660</v>
          </cell>
          <cell r="AG243">
            <v>6.796350000000001E-2</v>
          </cell>
          <cell r="AH243">
            <v>0.99666666666666659</v>
          </cell>
          <cell r="AI243">
            <v>0.99666666666666659</v>
          </cell>
          <cell r="AJ243">
            <v>9530</v>
          </cell>
          <cell r="AK243" t="str">
            <v>0,0046(0,0023;0,0023)</v>
          </cell>
          <cell r="AL243">
            <v>0</v>
          </cell>
          <cell r="AM243" t="str">
            <v>túi ba biên</v>
          </cell>
          <cell r="AN243">
            <v>220</v>
          </cell>
          <cell r="AO243" t="str">
            <v xml:space="preserve"> USA</v>
          </cell>
          <cell r="AP243">
            <v>0</v>
          </cell>
          <cell r="AQ243" t="str">
            <v>20072047-1</v>
          </cell>
          <cell r="AR243" t="str">
            <v>20072047-2</v>
          </cell>
          <cell r="AS243" t="str">
            <v>20072047-3</v>
          </cell>
          <cell r="AT243" t="str">
            <v>1801210-4</v>
          </cell>
          <cell r="AU243" t="str">
            <v>20070247-5</v>
          </cell>
          <cell r="AV243" t="str">
            <v>20070247-6</v>
          </cell>
          <cell r="AW243" t="str">
            <v>1801210-7</v>
          </cell>
          <cell r="AX243">
            <v>0</v>
          </cell>
          <cell r="AY243">
            <v>0</v>
          </cell>
          <cell r="AZ243">
            <v>0</v>
          </cell>
          <cell r="BA243" t="str">
            <v>440x750</v>
          </cell>
          <cell r="BB243" t="str">
            <v>P1</v>
          </cell>
          <cell r="BC243">
            <v>0</v>
          </cell>
        </row>
        <row r="244">
          <cell r="A244" t="str">
            <v>sp 854</v>
          </cell>
          <cell r="B244" t="str">
            <v>Túi thuốc trừ sâu Goldsai hiệu Metalaxyl 350WP loại 18g USA</v>
          </cell>
          <cell r="C244">
            <v>5.1499999999999995</v>
          </cell>
          <cell r="D244" t="str">
            <v>PET 12x680</v>
          </cell>
          <cell r="E244">
            <v>7</v>
          </cell>
          <cell r="F244">
            <v>7</v>
          </cell>
          <cell r="G244" t="str">
            <v>PET</v>
          </cell>
          <cell r="H244">
            <v>0.15</v>
          </cell>
          <cell r="I244">
            <v>2.1</v>
          </cell>
          <cell r="J244">
            <v>0.4</v>
          </cell>
          <cell r="K244">
            <v>0.5</v>
          </cell>
          <cell r="L244">
            <v>0.8</v>
          </cell>
          <cell r="M244">
            <v>1</v>
          </cell>
          <cell r="N244">
            <v>0</v>
          </cell>
          <cell r="O244">
            <v>0</v>
          </cell>
          <cell r="P244">
            <v>0.1</v>
          </cell>
          <cell r="Q244">
            <v>0</v>
          </cell>
          <cell r="R244">
            <v>0.1</v>
          </cell>
          <cell r="S244">
            <v>0</v>
          </cell>
          <cell r="T244">
            <v>0</v>
          </cell>
          <cell r="U244">
            <v>0</v>
          </cell>
          <cell r="V244">
            <v>0</v>
          </cell>
          <cell r="W244">
            <v>0</v>
          </cell>
          <cell r="X244">
            <v>0</v>
          </cell>
          <cell r="Y244">
            <v>0</v>
          </cell>
          <cell r="Z244">
            <v>0</v>
          </cell>
          <cell r="AA244">
            <v>0</v>
          </cell>
          <cell r="AB244">
            <v>0</v>
          </cell>
          <cell r="AC244">
            <v>0</v>
          </cell>
          <cell r="AD244">
            <v>0</v>
          </cell>
          <cell r="AE244" t="str">
            <v>MPET 12x680</v>
          </cell>
          <cell r="AF244" t="str">
            <v>PE75x680</v>
          </cell>
          <cell r="AG244">
            <v>7.0023000000000016E-2</v>
          </cell>
          <cell r="AH244">
            <v>1.0273333333333332</v>
          </cell>
          <cell r="AI244">
            <v>1.0273333333333332</v>
          </cell>
          <cell r="AJ244">
            <v>9530</v>
          </cell>
          <cell r="AK244" t="str">
            <v>0,0046(0,0023;0,0023)</v>
          </cell>
          <cell r="AL244">
            <v>0</v>
          </cell>
          <cell r="AM244" t="str">
            <v>túi ba biên</v>
          </cell>
          <cell r="AN244">
            <v>145</v>
          </cell>
          <cell r="AO244" t="str">
            <v xml:space="preserve"> USA</v>
          </cell>
          <cell r="AP244">
            <v>0</v>
          </cell>
          <cell r="AQ244" t="str">
            <v>1801209-1</v>
          </cell>
          <cell r="AR244" t="str">
            <v>1801209-2</v>
          </cell>
          <cell r="AS244" t="str">
            <v>1801209-3</v>
          </cell>
          <cell r="AT244" t="str">
            <v>1801209-4</v>
          </cell>
          <cell r="AU244" t="str">
            <v>1801209-5</v>
          </cell>
          <cell r="AV244" t="str">
            <v>1801209-6</v>
          </cell>
          <cell r="AW244" t="str">
            <v>1801209-7</v>
          </cell>
          <cell r="BA244" t="str">
            <v>435x750</v>
          </cell>
          <cell r="BB244" t="str">
            <v>P1</v>
          </cell>
        </row>
        <row r="245">
          <cell r="A245" t="str">
            <v>sp 855</v>
          </cell>
          <cell r="B245" t="str">
            <v>Túi chè lụa trắng Tân cương và đặc sản 200g loại 5</v>
          </cell>
          <cell r="C245">
            <v>7.6999999999999993</v>
          </cell>
          <cell r="D245" t="str">
            <v>OPP mờ 20x920</v>
          </cell>
          <cell r="E245" t="str">
            <v>sp 567</v>
          </cell>
          <cell r="F245">
            <v>7</v>
          </cell>
          <cell r="G245" t="str">
            <v>OPP</v>
          </cell>
          <cell r="H245">
            <v>0.2</v>
          </cell>
          <cell r="I245">
            <v>6.1</v>
          </cell>
          <cell r="J245">
            <v>0.7</v>
          </cell>
          <cell r="K245">
            <v>0.1</v>
          </cell>
          <cell r="L245">
            <v>0.6</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t="str">
            <v>MPET 12x920</v>
          </cell>
          <cell r="AF245" t="str">
            <v>PE 75x920</v>
          </cell>
          <cell r="AG245">
            <v>9.6025000000000013E-2</v>
          </cell>
          <cell r="AH245">
            <v>1.3953333333333333</v>
          </cell>
          <cell r="AI245">
            <v>1.82</v>
          </cell>
          <cell r="AJ245">
            <v>9530</v>
          </cell>
          <cell r="AK245" t="str">
            <v>0,0053(0,0023;0,003)</v>
          </cell>
          <cell r="AL245">
            <v>0</v>
          </cell>
          <cell r="AM245" t="str">
            <v>túi hàn lưng xếp hông</v>
          </cell>
          <cell r="AN245">
            <v>340</v>
          </cell>
          <cell r="AO245" t="str">
            <v>Bùi Văn Sỹ</v>
          </cell>
          <cell r="AP245">
            <v>0</v>
          </cell>
          <cell r="AQ245" t="str">
            <v>1607496-1</v>
          </cell>
          <cell r="AR245" t="str">
            <v>1607496-2</v>
          </cell>
          <cell r="AS245" t="str">
            <v>1607496-3</v>
          </cell>
          <cell r="AT245" t="str">
            <v>1607496-4</v>
          </cell>
          <cell r="AU245" t="str">
            <v>1607496-5</v>
          </cell>
          <cell r="AV245" t="str">
            <v>1607496-6</v>
          </cell>
          <cell r="AW245" t="str">
            <v>1607496-7</v>
          </cell>
          <cell r="BA245" t="str">
            <v>680x1100</v>
          </cell>
          <cell r="BB245" t="str">
            <v>F1</v>
          </cell>
          <cell r="BC245" t="str">
            <v>in chung vs sp 567</v>
          </cell>
        </row>
        <row r="246">
          <cell r="A246" t="str">
            <v>sp 856</v>
          </cell>
          <cell r="B246" t="str">
            <v>Túi chè lụa trắng Tân cương và đặc sản 500g loại 5</v>
          </cell>
          <cell r="C246">
            <v>9.7999999999999989</v>
          </cell>
          <cell r="D246" t="str">
            <v>OPP mờ 20x760</v>
          </cell>
          <cell r="E246" t="str">
            <v>sp568</v>
          </cell>
          <cell r="F246">
            <v>7</v>
          </cell>
          <cell r="G246" t="str">
            <v>OPP</v>
          </cell>
          <cell r="H246">
            <v>0.2</v>
          </cell>
          <cell r="I246">
            <v>5</v>
          </cell>
          <cell r="J246">
            <v>0.5</v>
          </cell>
          <cell r="K246">
            <v>0.1</v>
          </cell>
          <cell r="L246">
            <v>2.4</v>
          </cell>
          <cell r="M246">
            <v>1.5</v>
          </cell>
          <cell r="N246">
            <v>0</v>
          </cell>
          <cell r="O246">
            <v>0</v>
          </cell>
          <cell r="P246">
            <v>0</v>
          </cell>
          <cell r="Q246">
            <v>0</v>
          </cell>
          <cell r="R246">
            <v>0</v>
          </cell>
          <cell r="S246">
            <v>0.1</v>
          </cell>
          <cell r="T246">
            <v>0</v>
          </cell>
          <cell r="U246">
            <v>0</v>
          </cell>
          <cell r="V246">
            <v>0</v>
          </cell>
          <cell r="W246">
            <v>0</v>
          </cell>
          <cell r="X246">
            <v>0</v>
          </cell>
          <cell r="Y246">
            <v>0</v>
          </cell>
          <cell r="Z246">
            <v>0</v>
          </cell>
          <cell r="AA246">
            <v>0</v>
          </cell>
          <cell r="AB246">
            <v>0</v>
          </cell>
          <cell r="AC246">
            <v>0</v>
          </cell>
          <cell r="AD246">
            <v>0</v>
          </cell>
          <cell r="AE246" t="str">
            <v>MPET 12x760</v>
          </cell>
          <cell r="AF246" t="str">
            <v>PE 75x760</v>
          </cell>
          <cell r="AG246">
            <v>7.9325000000000007E-2</v>
          </cell>
          <cell r="AH246">
            <v>1.1499999999999999</v>
          </cell>
          <cell r="AI246">
            <v>1.5</v>
          </cell>
          <cell r="AJ246">
            <v>9530</v>
          </cell>
          <cell r="AK246" t="str">
            <v>0,0053(0,0023;0,003)</v>
          </cell>
          <cell r="AL246">
            <v>0</v>
          </cell>
          <cell r="AM246" t="str">
            <v>túi hàn lưng xếp hông</v>
          </cell>
          <cell r="AN246">
            <v>420</v>
          </cell>
          <cell r="AO246" t="str">
            <v>Bùi Văn Sỹ</v>
          </cell>
          <cell r="AP246">
            <v>0</v>
          </cell>
          <cell r="AQ246" t="str">
            <v>1607497-1</v>
          </cell>
          <cell r="AR246" t="str">
            <v>1607497-2</v>
          </cell>
          <cell r="AS246" t="str">
            <v>1607497-3</v>
          </cell>
          <cell r="AT246" t="str">
            <v>1607497-4</v>
          </cell>
          <cell r="AU246" t="str">
            <v>1607497-5</v>
          </cell>
          <cell r="AV246" t="str">
            <v>1607497-6</v>
          </cell>
          <cell r="AW246" t="str">
            <v>1607497-7</v>
          </cell>
          <cell r="BA246" t="str">
            <v>420x850</v>
          </cell>
          <cell r="BB246" t="str">
            <v>F1</v>
          </cell>
          <cell r="BC246" t="str">
            <v>in chung vs sp 568</v>
          </cell>
        </row>
        <row r="247">
          <cell r="A247" t="str">
            <v>sp 857</v>
          </cell>
          <cell r="B247" t="str">
            <v>Cuộn in 1 màu Nhật Nguyên</v>
          </cell>
          <cell r="C247">
            <v>0.1</v>
          </cell>
          <cell r="D247" t="str">
            <v>PET 12x740</v>
          </cell>
          <cell r="E247">
            <v>1</v>
          </cell>
          <cell r="F247">
            <v>1</v>
          </cell>
          <cell r="G247" t="str">
            <v>PET</v>
          </cell>
          <cell r="H247">
            <v>0.1</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t="str">
            <v>CPP 35x740</v>
          </cell>
          <cell r="AF247">
            <v>0</v>
          </cell>
          <cell r="AG247">
            <v>3.6000999999999998E-2</v>
          </cell>
          <cell r="AH247">
            <v>0.97333333333333327</v>
          </cell>
          <cell r="AI247">
            <v>0</v>
          </cell>
          <cell r="AJ247">
            <v>9530</v>
          </cell>
          <cell r="AK247">
            <v>2E-3</v>
          </cell>
          <cell r="AL247">
            <v>0</v>
          </cell>
          <cell r="AM247" t="str">
            <v>dạng cuộn 500</v>
          </cell>
          <cell r="AN247">
            <v>360</v>
          </cell>
          <cell r="AO247" t="str">
            <v>Công ty Nhật Nguyệt</v>
          </cell>
          <cell r="AP247">
            <v>0</v>
          </cell>
          <cell r="AQ247" t="str">
            <v>X102176-1</v>
          </cell>
          <cell r="AR247">
            <v>0</v>
          </cell>
          <cell r="BA247" t="str">
            <v>520x850</v>
          </cell>
          <cell r="BB247" t="str">
            <v>P1</v>
          </cell>
          <cell r="BC247" t="str">
            <v>in chung sản phẩm 1165</v>
          </cell>
        </row>
        <row r="248">
          <cell r="A248" t="str">
            <v>sp 858</v>
          </cell>
          <cell r="B248" t="str">
            <v xml:space="preserve">Túi bánh trứng vị bơ 200gr
</v>
          </cell>
          <cell r="C248">
            <v>7.2499999999999991</v>
          </cell>
          <cell r="D248" t="str">
            <v>OPP 20x550</v>
          </cell>
          <cell r="E248">
            <v>8</v>
          </cell>
          <cell r="F248">
            <v>8</v>
          </cell>
          <cell r="G248" t="str">
            <v>OPP</v>
          </cell>
          <cell r="H248">
            <v>0.1</v>
          </cell>
          <cell r="I248">
            <v>4</v>
          </cell>
          <cell r="J248">
            <v>0.25</v>
          </cell>
          <cell r="K248">
            <v>0.25</v>
          </cell>
          <cell r="L248">
            <v>0.5</v>
          </cell>
          <cell r="M248">
            <v>1.1000000000000001</v>
          </cell>
          <cell r="N248">
            <v>0</v>
          </cell>
          <cell r="O248">
            <v>0.1</v>
          </cell>
          <cell r="P248">
            <v>0</v>
          </cell>
          <cell r="Q248">
            <v>0.05</v>
          </cell>
          <cell r="R248">
            <v>0.2</v>
          </cell>
          <cell r="S248">
            <v>0</v>
          </cell>
          <cell r="T248">
            <v>0</v>
          </cell>
          <cell r="U248">
            <v>0.7</v>
          </cell>
          <cell r="V248">
            <v>0</v>
          </cell>
          <cell r="W248">
            <v>0</v>
          </cell>
          <cell r="X248">
            <v>0</v>
          </cell>
          <cell r="Y248">
            <v>0</v>
          </cell>
          <cell r="Z248">
            <v>0</v>
          </cell>
          <cell r="AA248">
            <v>0</v>
          </cell>
          <cell r="AB248">
            <v>0</v>
          </cell>
          <cell r="AC248">
            <v>0</v>
          </cell>
          <cell r="AD248">
            <v>0</v>
          </cell>
          <cell r="AE248" t="str">
            <v>PE 60x550</v>
          </cell>
          <cell r="AF248">
            <v>0</v>
          </cell>
          <cell r="AG248">
            <v>4.0535000000000002E-2</v>
          </cell>
          <cell r="AH248">
            <v>0.82799999999999996</v>
          </cell>
          <cell r="AI248">
            <v>0</v>
          </cell>
          <cell r="AJ248">
            <v>9530</v>
          </cell>
          <cell r="AK248">
            <v>2.3E-3</v>
          </cell>
          <cell r="AL248">
            <v>0</v>
          </cell>
          <cell r="AM248" t="str">
            <v>túi ba biên</v>
          </cell>
          <cell r="AN248">
            <v>300</v>
          </cell>
          <cell r="AO248" t="str">
            <v>Công ty Quốc tế Alpha</v>
          </cell>
          <cell r="AP248">
            <v>0</v>
          </cell>
          <cell r="AQ248" t="str">
            <v>F119780NG2-1</v>
          </cell>
          <cell r="AR248" t="str">
            <v>F119780-2</v>
          </cell>
          <cell r="AS248" t="str">
            <v>F119780-3 có hanla</v>
          </cell>
          <cell r="AU248" t="str">
            <v>F119780-5</v>
          </cell>
          <cell r="AV248" t="str">
            <v>F119780-6</v>
          </cell>
          <cell r="AW248" t="str">
            <v>F119780-7</v>
          </cell>
          <cell r="AX248" t="str">
            <v>F119780-8</v>
          </cell>
          <cell r="AY248" t="str">
            <v>F119780G3-3 k hanal</v>
          </cell>
          <cell r="AZ248" t="str">
            <v>F119780G4-4 k hanal</v>
          </cell>
          <cell r="BA248" t="str">
            <v>600x750</v>
          </cell>
          <cell r="BB248" t="str">
            <v>C2</v>
          </cell>
        </row>
        <row r="249">
          <cell r="A249" t="str">
            <v>sp 859</v>
          </cell>
          <cell r="B249" t="str">
            <v>Túi bánh trứng vị bơ 300gr Alpha</v>
          </cell>
          <cell r="C249">
            <v>7.5499999999999989</v>
          </cell>
          <cell r="D249" t="str">
            <v>OPP 20x660</v>
          </cell>
          <cell r="E249">
            <v>8</v>
          </cell>
          <cell r="F249">
            <v>8</v>
          </cell>
          <cell r="G249" t="str">
            <v>OPP</v>
          </cell>
          <cell r="H249">
            <v>0.1</v>
          </cell>
          <cell r="I249">
            <v>4</v>
          </cell>
          <cell r="J249">
            <v>0.25</v>
          </cell>
          <cell r="K249">
            <v>0.25</v>
          </cell>
          <cell r="L249">
            <v>0.6</v>
          </cell>
          <cell r="M249">
            <v>1.3</v>
          </cell>
          <cell r="N249">
            <v>0</v>
          </cell>
          <cell r="O249">
            <v>0.1</v>
          </cell>
          <cell r="P249">
            <v>0.05</v>
          </cell>
          <cell r="Q249">
            <v>0</v>
          </cell>
          <cell r="R249">
            <v>0.2</v>
          </cell>
          <cell r="S249">
            <v>0</v>
          </cell>
          <cell r="T249">
            <v>0</v>
          </cell>
          <cell r="U249">
            <v>0.7</v>
          </cell>
          <cell r="V249">
            <v>0</v>
          </cell>
          <cell r="W249">
            <v>0</v>
          </cell>
          <cell r="X249">
            <v>0</v>
          </cell>
          <cell r="Y249">
            <v>0</v>
          </cell>
          <cell r="Z249">
            <v>0</v>
          </cell>
          <cell r="AA249">
            <v>0</v>
          </cell>
          <cell r="AB249">
            <v>0</v>
          </cell>
          <cell r="AC249">
            <v>0</v>
          </cell>
          <cell r="AD249">
            <v>0</v>
          </cell>
          <cell r="AE249" t="str">
            <v>PE 60x660</v>
          </cell>
          <cell r="AF249">
            <v>0</v>
          </cell>
          <cell r="AG249">
            <v>4.8642000000000005E-2</v>
          </cell>
          <cell r="AH249">
            <v>0.99666666666666659</v>
          </cell>
          <cell r="AI249">
            <v>0</v>
          </cell>
          <cell r="AJ249">
            <v>9530</v>
          </cell>
          <cell r="AK249">
            <v>2.3E-3</v>
          </cell>
          <cell r="AL249">
            <v>0</v>
          </cell>
          <cell r="AM249" t="str">
            <v>túi ba biên</v>
          </cell>
          <cell r="AN249">
            <v>350</v>
          </cell>
          <cell r="AO249" t="str">
            <v>Công ty Quốc tế Alpha</v>
          </cell>
          <cell r="AP249">
            <v>0</v>
          </cell>
          <cell r="AQ249" t="str">
            <v>F119781NG2-1</v>
          </cell>
          <cell r="AR249" t="str">
            <v>F119781NG3-2</v>
          </cell>
          <cell r="AT249" t="str">
            <v>F119781-4</v>
          </cell>
          <cell r="AU249" t="str">
            <v>F119781-5</v>
          </cell>
          <cell r="AV249" t="str">
            <v>F119781-6</v>
          </cell>
          <cell r="AW249">
            <v>0</v>
          </cell>
          <cell r="AX249" t="str">
            <v>F119781-8</v>
          </cell>
          <cell r="AY249" t="str">
            <v>F119781G3-3 k hanal</v>
          </cell>
          <cell r="AZ249" t="str">
            <v>F119781G4-4 k hanal</v>
          </cell>
          <cell r="BA249" t="str">
            <v>700x750</v>
          </cell>
          <cell r="BB249" t="str">
            <v>C2</v>
          </cell>
        </row>
        <row r="250">
          <cell r="A250" t="str">
            <v>sp 860</v>
          </cell>
          <cell r="B250" t="str">
            <v>Cuộn bánh trứng lipo bơ Alpha</v>
          </cell>
          <cell r="C250">
            <v>7.25</v>
          </cell>
          <cell r="D250" t="str">
            <v>OPP 20x700</v>
          </cell>
          <cell r="E250">
            <v>8</v>
          </cell>
          <cell r="F250">
            <v>8</v>
          </cell>
          <cell r="G250" t="str">
            <v>OPP</v>
          </cell>
          <cell r="H250">
            <v>0.1</v>
          </cell>
          <cell r="I250">
            <v>4</v>
          </cell>
          <cell r="J250">
            <v>0.25</v>
          </cell>
          <cell r="K250">
            <v>0.25</v>
          </cell>
          <cell r="L250">
            <v>0.5</v>
          </cell>
          <cell r="M250">
            <v>0.9</v>
          </cell>
          <cell r="N250">
            <v>0</v>
          </cell>
          <cell r="O250">
            <v>0.1</v>
          </cell>
          <cell r="P250">
            <v>0.2</v>
          </cell>
          <cell r="Q250">
            <v>0.05</v>
          </cell>
          <cell r="R250">
            <v>0.2</v>
          </cell>
          <cell r="S250">
            <v>0</v>
          </cell>
          <cell r="T250">
            <v>0</v>
          </cell>
          <cell r="U250">
            <v>0.7</v>
          </cell>
          <cell r="V250">
            <v>0</v>
          </cell>
          <cell r="W250">
            <v>0</v>
          </cell>
          <cell r="X250">
            <v>0</v>
          </cell>
          <cell r="Y250">
            <v>0</v>
          </cell>
          <cell r="Z250">
            <v>0</v>
          </cell>
          <cell r="AA250">
            <v>0</v>
          </cell>
          <cell r="AB250">
            <v>0</v>
          </cell>
          <cell r="AC250">
            <v>0</v>
          </cell>
          <cell r="AD250">
            <v>0</v>
          </cell>
          <cell r="AE250" t="str">
            <v>MCPP 25x700</v>
          </cell>
          <cell r="AF250">
            <v>0</v>
          </cell>
          <cell r="AG250">
            <v>2.8665E-2</v>
          </cell>
          <cell r="AH250">
            <v>1.0579999999999998</v>
          </cell>
          <cell r="AI250">
            <v>0</v>
          </cell>
          <cell r="AJ250">
            <v>9530</v>
          </cell>
          <cell r="AK250">
            <v>2.3E-3</v>
          </cell>
          <cell r="AL250">
            <v>0</v>
          </cell>
          <cell r="AM250" t="str">
            <v>dạng cuộn 1000m</v>
          </cell>
          <cell r="AN250">
            <v>170</v>
          </cell>
          <cell r="AO250" t="str">
            <v>Công ty Quốc tế Alpha</v>
          </cell>
          <cell r="AP250">
            <v>0</v>
          </cell>
          <cell r="AQ250" t="str">
            <v>F119779-1</v>
          </cell>
          <cell r="AR250" t="str">
            <v>F119779-2</v>
          </cell>
          <cell r="AT250" t="str">
            <v>F119779-4</v>
          </cell>
          <cell r="AU250" t="str">
            <v>F119779-5</v>
          </cell>
          <cell r="AV250" t="str">
            <v>F119779-6</v>
          </cell>
          <cell r="AW250" t="str">
            <v>F119779-7</v>
          </cell>
          <cell r="AX250" t="str">
            <v>F119779-8</v>
          </cell>
          <cell r="AY250" t="str">
            <v>F119779G1-3</v>
          </cell>
          <cell r="BA250" t="str">
            <v>500x850</v>
          </cell>
          <cell r="BB250" t="str">
            <v>C2</v>
          </cell>
        </row>
        <row r="251">
          <cell r="A251" t="str">
            <v>sp 861</v>
          </cell>
          <cell r="B251" t="str">
            <v>Cuộn thuốc trừ bệnh nhật Daconil 75WP loại 30gr Việt Thắng</v>
          </cell>
          <cell r="C251">
            <v>4.3999999999999995</v>
          </cell>
          <cell r="D251" t="str">
            <v>PET 12x640</v>
          </cell>
          <cell r="E251">
            <v>6</v>
          </cell>
          <cell r="F251">
            <v>6</v>
          </cell>
          <cell r="G251" t="str">
            <v>PET</v>
          </cell>
          <cell r="H251">
            <v>0.1</v>
          </cell>
          <cell r="I251">
            <v>2.2999999999999998</v>
          </cell>
          <cell r="J251">
            <v>0.1</v>
          </cell>
          <cell r="K251">
            <v>0.1</v>
          </cell>
          <cell r="L251">
            <v>0.8</v>
          </cell>
          <cell r="M251">
            <v>0.3</v>
          </cell>
          <cell r="N251">
            <v>0</v>
          </cell>
          <cell r="O251">
            <v>0</v>
          </cell>
          <cell r="P251">
            <v>0.6</v>
          </cell>
          <cell r="Q251">
            <v>0</v>
          </cell>
          <cell r="R251">
            <v>0.1</v>
          </cell>
          <cell r="S251">
            <v>0</v>
          </cell>
          <cell r="T251">
            <v>0</v>
          </cell>
          <cell r="U251">
            <v>0</v>
          </cell>
          <cell r="V251">
            <v>0</v>
          </cell>
          <cell r="W251">
            <v>0</v>
          </cell>
          <cell r="X251">
            <v>0</v>
          </cell>
          <cell r="Y251">
            <v>0</v>
          </cell>
          <cell r="Z251">
            <v>0</v>
          </cell>
          <cell r="AA251">
            <v>0</v>
          </cell>
          <cell r="AB251">
            <v>0</v>
          </cell>
          <cell r="AC251">
            <v>0</v>
          </cell>
          <cell r="AD251">
            <v>0</v>
          </cell>
          <cell r="AE251" t="str">
            <v>Al 6x640</v>
          </cell>
          <cell r="AF251" t="str">
            <v>PE 75x650</v>
          </cell>
          <cell r="AG251">
            <v>6.5558400000000003E-2</v>
          </cell>
          <cell r="AH251">
            <v>0.96599999999999997</v>
          </cell>
          <cell r="AI251">
            <v>0.96599999999999997</v>
          </cell>
          <cell r="AJ251">
            <v>9530</v>
          </cell>
          <cell r="AK251" t="str">
            <v>0,0046(0,0023;0,0023)</v>
          </cell>
          <cell r="AL251">
            <v>0</v>
          </cell>
          <cell r="AM251" t="str">
            <v>dạng cuộn 700m</v>
          </cell>
          <cell r="AN251">
            <v>310</v>
          </cell>
          <cell r="AO251" t="str">
            <v>Công ty Việt Thắng</v>
          </cell>
          <cell r="AP251">
            <v>0</v>
          </cell>
          <cell r="AQ251" t="str">
            <v>1902335-1</v>
          </cell>
          <cell r="AR251" t="str">
            <v>1801705-2</v>
          </cell>
          <cell r="AS251" t="str">
            <v>1801705-3</v>
          </cell>
          <cell r="AT251" t="str">
            <v>1801705-4</v>
          </cell>
          <cell r="AU251" t="str">
            <v>1801705-5</v>
          </cell>
          <cell r="AV251" t="str">
            <v>1801705-6</v>
          </cell>
          <cell r="BA251" t="str">
            <v>440x750</v>
          </cell>
          <cell r="BB251" t="str">
            <v>D3</v>
          </cell>
        </row>
        <row r="252">
          <cell r="A252" t="str">
            <v>sp 862</v>
          </cell>
          <cell r="B252" t="str">
            <v>Cuộn thuốc trừ sâu Anvado 100WP hiệu súng máy loại 10gr Việt Thắng</v>
          </cell>
          <cell r="C252">
            <v>3.8</v>
          </cell>
          <cell r="D252" t="str">
            <v>PET 12x800</v>
          </cell>
          <cell r="E252">
            <v>6</v>
          </cell>
          <cell r="F252">
            <v>6</v>
          </cell>
          <cell r="G252" t="str">
            <v>PET</v>
          </cell>
          <cell r="H252">
            <v>0.15</v>
          </cell>
          <cell r="I252">
            <v>2.1</v>
          </cell>
          <cell r="J252">
            <v>0.5</v>
          </cell>
          <cell r="K252">
            <v>0.15</v>
          </cell>
          <cell r="L252">
            <v>0.4</v>
          </cell>
          <cell r="M252">
            <v>0.4</v>
          </cell>
          <cell r="N252">
            <v>0</v>
          </cell>
          <cell r="O252">
            <v>0</v>
          </cell>
          <cell r="P252">
            <v>0</v>
          </cell>
          <cell r="Q252">
            <v>0</v>
          </cell>
          <cell r="R252">
            <v>0.1</v>
          </cell>
          <cell r="S252">
            <v>0</v>
          </cell>
          <cell r="T252">
            <v>0</v>
          </cell>
          <cell r="U252">
            <v>0</v>
          </cell>
          <cell r="V252">
            <v>0</v>
          </cell>
          <cell r="W252">
            <v>0</v>
          </cell>
          <cell r="X252">
            <v>0</v>
          </cell>
          <cell r="Y252">
            <v>0</v>
          </cell>
          <cell r="Z252">
            <v>0</v>
          </cell>
          <cell r="AA252">
            <v>0</v>
          </cell>
          <cell r="AB252">
            <v>0</v>
          </cell>
          <cell r="AC252">
            <v>0</v>
          </cell>
          <cell r="AD252">
            <v>0</v>
          </cell>
          <cell r="AE252" t="str">
            <v>Al 6x800</v>
          </cell>
          <cell r="AF252" t="str">
            <v>PE 75x810</v>
          </cell>
          <cell r="AG252">
            <v>8.1948000000000007E-2</v>
          </cell>
          <cell r="AH252">
            <v>1.2113333333333334</v>
          </cell>
          <cell r="AI252">
            <v>1.2113333333333334</v>
          </cell>
          <cell r="AJ252">
            <v>9530</v>
          </cell>
          <cell r="AK252" t="str">
            <v>0,0046(0,0023;0,0023)</v>
          </cell>
          <cell r="AL252">
            <v>0</v>
          </cell>
          <cell r="AM252" t="str">
            <v>dạng cuộn 700m</v>
          </cell>
          <cell r="AN252">
            <v>260</v>
          </cell>
          <cell r="AO252" t="str">
            <v>Công ty Việt Thắng</v>
          </cell>
          <cell r="AP252">
            <v>0</v>
          </cell>
          <cell r="AQ252" t="str">
            <v>1801706-1</v>
          </cell>
          <cell r="AR252" t="str">
            <v>1801706-2</v>
          </cell>
          <cell r="AS252" t="str">
            <v>1801706-3</v>
          </cell>
          <cell r="AT252" t="str">
            <v>1801706-4</v>
          </cell>
          <cell r="AU252" t="str">
            <v>1801706-5</v>
          </cell>
          <cell r="AV252" t="str">
            <v>1801706-6</v>
          </cell>
          <cell r="BA252" t="str">
            <v>450x850</v>
          </cell>
          <cell r="BB252" t="str">
            <v>D3</v>
          </cell>
        </row>
        <row r="253">
          <cell r="A253" t="str">
            <v>sp 863</v>
          </cell>
          <cell r="B253" t="str">
            <v>Cuộn thuốc trừ cỏ Rorax 10WP loại 6gr Việt Thắng</v>
          </cell>
          <cell r="C253">
            <v>3.8</v>
          </cell>
          <cell r="D253" t="str">
            <v>PET 12x800</v>
          </cell>
          <cell r="E253">
            <v>6</v>
          </cell>
          <cell r="F253">
            <v>6</v>
          </cell>
          <cell r="G253" t="str">
            <v>PET</v>
          </cell>
          <cell r="H253">
            <v>0.15</v>
          </cell>
          <cell r="I253">
            <v>2.1</v>
          </cell>
          <cell r="J253">
            <v>0.5</v>
          </cell>
          <cell r="K253">
            <v>0.15</v>
          </cell>
          <cell r="L253">
            <v>0.4</v>
          </cell>
          <cell r="M253">
            <v>0.4</v>
          </cell>
          <cell r="N253">
            <v>0</v>
          </cell>
          <cell r="O253">
            <v>0.1</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t="str">
            <v>Al 6x800</v>
          </cell>
          <cell r="AF253" t="str">
            <v>PE 75x810</v>
          </cell>
          <cell r="AG253">
            <v>8.1948000000000007E-2</v>
          </cell>
          <cell r="AH253">
            <v>1.2113333333333334</v>
          </cell>
          <cell r="AI253">
            <v>1.2113333333333334</v>
          </cell>
          <cell r="AJ253">
            <v>9530</v>
          </cell>
          <cell r="AK253" t="str">
            <v>0,0046(0,0023;0,0023)</v>
          </cell>
          <cell r="AL253">
            <v>0</v>
          </cell>
          <cell r="AM253" t="str">
            <v>dạng cuộn 700m</v>
          </cell>
          <cell r="AN253">
            <v>260</v>
          </cell>
          <cell r="AO253" t="str">
            <v>Công ty Việt Thắng</v>
          </cell>
          <cell r="AP253">
            <v>0</v>
          </cell>
          <cell r="AQ253" t="str">
            <v>1812981-1</v>
          </cell>
          <cell r="AR253" t="str">
            <v>1801707-2</v>
          </cell>
          <cell r="AS253" t="str">
            <v>1801707-3</v>
          </cell>
          <cell r="AT253" t="str">
            <v>1801707-4</v>
          </cell>
          <cell r="AU253" t="str">
            <v>1801707-5</v>
          </cell>
          <cell r="AV253" t="str">
            <v>1801707-6</v>
          </cell>
          <cell r="BA253" t="str">
            <v>450x850</v>
          </cell>
          <cell r="BB253" t="str">
            <v>D3</v>
          </cell>
        </row>
        <row r="254">
          <cell r="A254" t="str">
            <v>sp 865</v>
          </cell>
          <cell r="B254" t="str">
            <v>Cuộn bột giặt Đức Giang siêu sạch 200gr</v>
          </cell>
          <cell r="C254">
            <v>4.6999999999999993</v>
          </cell>
          <cell r="D254" t="str">
            <v>PET 12x580</v>
          </cell>
          <cell r="E254">
            <v>6</v>
          </cell>
          <cell r="F254">
            <v>6</v>
          </cell>
          <cell r="G254" t="str">
            <v>PET</v>
          </cell>
          <cell r="H254">
            <v>0.2</v>
          </cell>
          <cell r="I254">
            <v>0</v>
          </cell>
          <cell r="J254">
            <v>0.7</v>
          </cell>
          <cell r="K254">
            <v>1.6</v>
          </cell>
          <cell r="L254">
            <v>2</v>
          </cell>
          <cell r="M254">
            <v>0</v>
          </cell>
          <cell r="N254">
            <v>0</v>
          </cell>
          <cell r="O254">
            <v>0</v>
          </cell>
          <cell r="P254">
            <v>0.1</v>
          </cell>
          <cell r="Q254">
            <v>0</v>
          </cell>
          <cell r="R254">
            <v>0.1</v>
          </cell>
          <cell r="S254">
            <v>0</v>
          </cell>
          <cell r="T254">
            <v>0</v>
          </cell>
          <cell r="U254">
            <v>0</v>
          </cell>
          <cell r="V254">
            <v>0</v>
          </cell>
          <cell r="W254">
            <v>0</v>
          </cell>
          <cell r="X254">
            <v>0</v>
          </cell>
          <cell r="Y254">
            <v>0</v>
          </cell>
          <cell r="Z254">
            <v>0</v>
          </cell>
          <cell r="AA254">
            <v>0</v>
          </cell>
          <cell r="AB254">
            <v>0</v>
          </cell>
          <cell r="AC254">
            <v>0</v>
          </cell>
          <cell r="AD254">
            <v>0</v>
          </cell>
          <cell r="AE254" t="str">
            <v>PE sứ 60x580</v>
          </cell>
          <cell r="AF254">
            <v>0</v>
          </cell>
          <cell r="AG254">
            <v>4.1933999999999999E-2</v>
          </cell>
          <cell r="AH254">
            <v>1.1399999999999999</v>
          </cell>
          <cell r="AI254">
            <v>0</v>
          </cell>
          <cell r="AJ254">
            <v>9530</v>
          </cell>
          <cell r="AK254">
            <v>3.0000000000000001E-3</v>
          </cell>
          <cell r="AL254">
            <v>0</v>
          </cell>
          <cell r="AM254" t="str">
            <v>dạng cuộn 1000m</v>
          </cell>
          <cell r="AN254">
            <v>280</v>
          </cell>
          <cell r="AO254" t="str">
            <v>Công ty Đức Giang</v>
          </cell>
          <cell r="AP254">
            <v>0</v>
          </cell>
          <cell r="AQ254" t="str">
            <v>1801917-1</v>
          </cell>
          <cell r="AR254" t="str">
            <v>1801917-2</v>
          </cell>
          <cell r="AS254" t="str">
            <v>19041179-3</v>
          </cell>
          <cell r="AT254" t="str">
            <v>1801917-4</v>
          </cell>
          <cell r="AU254" t="str">
            <v>1801917-5</v>
          </cell>
          <cell r="AV254" t="str">
            <v>1801917-6</v>
          </cell>
          <cell r="BA254" t="str">
            <v>420x750</v>
          </cell>
          <cell r="BB254" t="str">
            <v>U1</v>
          </cell>
        </row>
        <row r="255">
          <cell r="A255" t="str">
            <v>sp 866</v>
          </cell>
          <cell r="B255" t="str">
            <v>cuộn trà cà gai leo 5gr CNC TL</v>
          </cell>
          <cell r="C255">
            <v>7.4</v>
          </cell>
          <cell r="D255" t="str">
            <v>PET 12x740</v>
          </cell>
          <cell r="E255">
            <v>6</v>
          </cell>
          <cell r="F255">
            <v>6</v>
          </cell>
          <cell r="G255" t="str">
            <v>PET</v>
          </cell>
          <cell r="H255">
            <v>0.2</v>
          </cell>
          <cell r="I255">
            <v>3</v>
          </cell>
          <cell r="J255">
            <v>0.1</v>
          </cell>
          <cell r="K255">
            <v>0.1</v>
          </cell>
          <cell r="L255">
            <v>0.8</v>
          </cell>
          <cell r="M255">
            <v>1.5</v>
          </cell>
          <cell r="N255">
            <v>0</v>
          </cell>
          <cell r="O255">
            <v>1.7</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t="str">
            <v>Al 6x740</v>
          </cell>
          <cell r="AF255" t="str">
            <v>PE 75x750</v>
          </cell>
          <cell r="AG255">
            <v>7.5801899999999992E-2</v>
          </cell>
          <cell r="AH255">
            <v>1.1193333333333333</v>
          </cell>
          <cell r="AI255">
            <v>1.46</v>
          </cell>
          <cell r="AJ255">
            <v>9530</v>
          </cell>
          <cell r="AK255" t="str">
            <v>0,0053(0,0023;0,003)</v>
          </cell>
          <cell r="AL255">
            <v>0</v>
          </cell>
          <cell r="AM255" t="str">
            <v>dạng cuộn 500m</v>
          </cell>
          <cell r="AN255">
            <v>120</v>
          </cell>
          <cell r="AO255" t="str">
            <v>Công ty CNC Thăng Long</v>
          </cell>
          <cell r="AP255">
            <v>0</v>
          </cell>
          <cell r="AQ255" t="str">
            <v>1801932-1</v>
          </cell>
          <cell r="AR255" t="str">
            <v>1801932-2</v>
          </cell>
          <cell r="AS255" t="str">
            <v>1801932-3</v>
          </cell>
          <cell r="AT255" t="str">
            <v>1801932-4</v>
          </cell>
          <cell r="AU255" t="str">
            <v>1801932-5</v>
          </cell>
          <cell r="AV255" t="str">
            <v>1801932-6</v>
          </cell>
          <cell r="BA255" t="str">
            <v>450x850</v>
          </cell>
          <cell r="BB255" t="str">
            <v>P1</v>
          </cell>
        </row>
        <row r="256">
          <cell r="A256" t="str">
            <v>sp 867</v>
          </cell>
          <cell r="B256" t="str">
            <v>Cuộn bột giặt cao cấp 270gr Đức Giang</v>
          </cell>
          <cell r="C256">
            <v>2.0499999999999998</v>
          </cell>
          <cell r="D256" t="str">
            <v>PET 12x680</v>
          </cell>
          <cell r="E256">
            <v>6</v>
          </cell>
          <cell r="F256">
            <v>6</v>
          </cell>
          <cell r="G256" t="str">
            <v>PET</v>
          </cell>
          <cell r="H256">
            <v>0.1</v>
          </cell>
          <cell r="I256">
            <v>0</v>
          </cell>
          <cell r="J256">
            <v>0.5</v>
          </cell>
          <cell r="K256">
            <v>0.2</v>
          </cell>
          <cell r="L256">
            <v>0.6</v>
          </cell>
          <cell r="M256">
            <v>0.05</v>
          </cell>
          <cell r="N256">
            <v>0</v>
          </cell>
          <cell r="O256">
            <v>0</v>
          </cell>
          <cell r="P256">
            <v>0.5</v>
          </cell>
          <cell r="Q256">
            <v>0</v>
          </cell>
          <cell r="R256">
            <v>0.1</v>
          </cell>
          <cell r="S256">
            <v>0</v>
          </cell>
          <cell r="T256">
            <v>0</v>
          </cell>
          <cell r="U256">
            <v>0</v>
          </cell>
          <cell r="V256">
            <v>0</v>
          </cell>
          <cell r="W256">
            <v>0</v>
          </cell>
          <cell r="X256">
            <v>0</v>
          </cell>
          <cell r="Y256">
            <v>0</v>
          </cell>
          <cell r="Z256">
            <v>0</v>
          </cell>
          <cell r="AA256">
            <v>0</v>
          </cell>
          <cell r="AB256">
            <v>0</v>
          </cell>
          <cell r="AC256">
            <v>0</v>
          </cell>
          <cell r="AD256">
            <v>0</v>
          </cell>
          <cell r="AE256" t="str">
            <v>PE sứ 60x680</v>
          </cell>
          <cell r="AF256">
            <v>0</v>
          </cell>
          <cell r="AG256">
            <v>4.9164000000000006E-2</v>
          </cell>
          <cell r="AH256">
            <v>1.34</v>
          </cell>
          <cell r="AI256">
            <v>0</v>
          </cell>
          <cell r="AJ256">
            <v>9530</v>
          </cell>
          <cell r="AK256">
            <v>3.0000000000000001E-3</v>
          </cell>
          <cell r="AL256">
            <v>0</v>
          </cell>
          <cell r="AM256" t="str">
            <v>dạng cuộn 1000m</v>
          </cell>
          <cell r="AN256">
            <v>330</v>
          </cell>
          <cell r="AO256" t="str">
            <v>Công ty Đức Giang</v>
          </cell>
          <cell r="AP256">
            <v>0</v>
          </cell>
          <cell r="AQ256" t="str">
            <v>18011035-1</v>
          </cell>
          <cell r="AR256" t="str">
            <v>18011035-2</v>
          </cell>
          <cell r="AS256" t="str">
            <v>19041180-3</v>
          </cell>
          <cell r="AT256" t="str">
            <v>18011035-4</v>
          </cell>
          <cell r="AU256" t="str">
            <v>18011035-5</v>
          </cell>
          <cell r="AV256" t="str">
            <v>18011035-6</v>
          </cell>
          <cell r="AW256">
            <v>0</v>
          </cell>
          <cell r="BA256" t="str">
            <v>440x750</v>
          </cell>
          <cell r="BB256" t="str">
            <v>U1</v>
          </cell>
        </row>
        <row r="257">
          <cell r="A257" t="str">
            <v>sp 868</v>
          </cell>
          <cell r="B257" t="str">
            <v>Cuộn bột giặt cao cấp 350gr Đức Giang</v>
          </cell>
          <cell r="C257">
            <v>2.6</v>
          </cell>
          <cell r="D257" t="str">
            <v>PET 12x690</v>
          </cell>
          <cell r="E257">
            <v>6</v>
          </cell>
          <cell r="F257">
            <v>6</v>
          </cell>
          <cell r="G257" t="str">
            <v>PET</v>
          </cell>
          <cell r="H257">
            <v>0.2</v>
          </cell>
          <cell r="I257">
            <v>0</v>
          </cell>
          <cell r="J257">
            <v>0.9</v>
          </cell>
          <cell r="K257">
            <v>0.7</v>
          </cell>
          <cell r="L257">
            <v>0.6</v>
          </cell>
          <cell r="M257">
            <v>0</v>
          </cell>
          <cell r="N257">
            <v>0</v>
          </cell>
          <cell r="O257">
            <v>0</v>
          </cell>
          <cell r="P257">
            <v>0.1</v>
          </cell>
          <cell r="Q257">
            <v>0</v>
          </cell>
          <cell r="R257">
            <v>0.1</v>
          </cell>
          <cell r="S257">
            <v>0</v>
          </cell>
          <cell r="T257">
            <v>0</v>
          </cell>
          <cell r="U257">
            <v>0</v>
          </cell>
          <cell r="V257">
            <v>0</v>
          </cell>
          <cell r="W257">
            <v>0</v>
          </cell>
          <cell r="X257">
            <v>0</v>
          </cell>
          <cell r="Y257">
            <v>0</v>
          </cell>
          <cell r="Z257">
            <v>0</v>
          </cell>
          <cell r="AA257">
            <v>0</v>
          </cell>
          <cell r="AB257">
            <v>0</v>
          </cell>
          <cell r="AC257">
            <v>0</v>
          </cell>
          <cell r="AD257">
            <v>0</v>
          </cell>
          <cell r="AE257" t="str">
            <v>PE sứ 60x690</v>
          </cell>
          <cell r="AF257">
            <v>0</v>
          </cell>
          <cell r="AG257">
            <v>4.9887000000000001E-2</v>
          </cell>
          <cell r="AH257">
            <v>1.36</v>
          </cell>
          <cell r="AI257">
            <v>0</v>
          </cell>
          <cell r="AJ257">
            <v>9530</v>
          </cell>
          <cell r="AK257">
            <v>3.0000000000000001E-3</v>
          </cell>
          <cell r="AL257">
            <v>0</v>
          </cell>
          <cell r="AM257" t="str">
            <v>dạng cuộn 1000m</v>
          </cell>
          <cell r="AN257">
            <v>334</v>
          </cell>
          <cell r="AO257" t="str">
            <v>Công ty Đức Giang</v>
          </cell>
          <cell r="AP257">
            <v>0</v>
          </cell>
          <cell r="AQ257" t="str">
            <v>18011036-1</v>
          </cell>
          <cell r="AR257" t="str">
            <v>18011036-2</v>
          </cell>
          <cell r="AS257" t="str">
            <v>19041181-3</v>
          </cell>
          <cell r="AT257" t="str">
            <v>18011036-4</v>
          </cell>
          <cell r="AU257" t="str">
            <v>18011036-5</v>
          </cell>
          <cell r="AV257" t="str">
            <v>18011036-6</v>
          </cell>
          <cell r="BA257" t="str">
            <v>470x750</v>
          </cell>
          <cell r="BB257" t="str">
            <v>U1</v>
          </cell>
        </row>
        <row r="258">
          <cell r="A258" t="str">
            <v>sp 869</v>
          </cell>
          <cell r="B258" t="str">
            <v>Cuộn bột giặt cao cấp 700gr Đức Giang</v>
          </cell>
          <cell r="C258">
            <v>3.5500000000000003</v>
          </cell>
          <cell r="D258" t="str">
            <v>PET 12x900</v>
          </cell>
          <cell r="E258">
            <v>6</v>
          </cell>
          <cell r="F258">
            <v>6</v>
          </cell>
          <cell r="G258" t="str">
            <v>PET</v>
          </cell>
          <cell r="H258">
            <v>0.1</v>
          </cell>
          <cell r="I258">
            <v>0</v>
          </cell>
          <cell r="J258">
            <v>0.5</v>
          </cell>
          <cell r="K258">
            <v>0.7</v>
          </cell>
          <cell r="L258">
            <v>0.6</v>
          </cell>
          <cell r="M258">
            <v>0.05</v>
          </cell>
          <cell r="N258">
            <v>0</v>
          </cell>
          <cell r="O258">
            <v>0</v>
          </cell>
          <cell r="P258">
            <v>1.5</v>
          </cell>
          <cell r="Q258">
            <v>0</v>
          </cell>
          <cell r="R258">
            <v>0.1</v>
          </cell>
          <cell r="S258">
            <v>0</v>
          </cell>
          <cell r="T258">
            <v>0</v>
          </cell>
          <cell r="U258">
            <v>0</v>
          </cell>
          <cell r="V258">
            <v>0</v>
          </cell>
          <cell r="W258">
            <v>0</v>
          </cell>
          <cell r="X258">
            <v>0</v>
          </cell>
          <cell r="Y258">
            <v>0</v>
          </cell>
          <cell r="Z258">
            <v>0</v>
          </cell>
          <cell r="AA258">
            <v>0</v>
          </cell>
          <cell r="AB258">
            <v>0</v>
          </cell>
          <cell r="AC258">
            <v>0</v>
          </cell>
          <cell r="AD258">
            <v>0</v>
          </cell>
          <cell r="AE258" t="str">
            <v>PE sứ 70x900</v>
          </cell>
          <cell r="AF258">
            <v>0</v>
          </cell>
          <cell r="AG258">
            <v>7.3395000000000016E-2</v>
          </cell>
          <cell r="AH258">
            <v>1.78</v>
          </cell>
          <cell r="AI258">
            <v>0</v>
          </cell>
          <cell r="AJ258">
            <v>9530</v>
          </cell>
          <cell r="AK258">
            <v>3.0000000000000001E-3</v>
          </cell>
          <cell r="AL258">
            <v>0</v>
          </cell>
          <cell r="AM258" t="str">
            <v>dạng cuộn 1000m</v>
          </cell>
          <cell r="AN258">
            <v>440</v>
          </cell>
          <cell r="AO258" t="str">
            <v>Công ty Đức Giang</v>
          </cell>
          <cell r="AP258">
            <v>0</v>
          </cell>
          <cell r="AQ258" t="str">
            <v>18011037-1</v>
          </cell>
          <cell r="AR258" t="str">
            <v>18011037-2</v>
          </cell>
          <cell r="AS258" t="str">
            <v>19041182-3</v>
          </cell>
          <cell r="AT258" t="str">
            <v>18011037-4</v>
          </cell>
          <cell r="AU258" t="str">
            <v>18011037-5</v>
          </cell>
          <cell r="AV258" t="str">
            <v>18011037-6</v>
          </cell>
          <cell r="BA258" t="str">
            <v>544x1100</v>
          </cell>
          <cell r="BB258" t="str">
            <v>U1</v>
          </cell>
        </row>
        <row r="259">
          <cell r="A259" t="str">
            <v>sp 870</v>
          </cell>
          <cell r="B259" t="str">
            <v>Cuộn bột giặt cao cấp 2kg Đức Giang</v>
          </cell>
          <cell r="C259">
            <v>3.3000000000000003</v>
          </cell>
          <cell r="D259" t="str">
            <v>PET 12x590</v>
          </cell>
          <cell r="E259">
            <v>6</v>
          </cell>
          <cell r="F259">
            <v>6</v>
          </cell>
          <cell r="G259" t="str">
            <v>PET</v>
          </cell>
          <cell r="H259">
            <v>0.2</v>
          </cell>
          <cell r="I259">
            <v>0</v>
          </cell>
          <cell r="J259">
            <v>0.4</v>
          </cell>
          <cell r="K259">
            <v>0.6</v>
          </cell>
          <cell r="L259">
            <v>0.8</v>
          </cell>
          <cell r="M259">
            <v>0</v>
          </cell>
          <cell r="N259">
            <v>0</v>
          </cell>
          <cell r="O259">
            <v>0</v>
          </cell>
          <cell r="P259">
            <v>1.2</v>
          </cell>
          <cell r="Q259">
            <v>0</v>
          </cell>
          <cell r="R259">
            <v>0.1</v>
          </cell>
          <cell r="S259">
            <v>0</v>
          </cell>
          <cell r="T259">
            <v>0</v>
          </cell>
          <cell r="U259">
            <v>0</v>
          </cell>
          <cell r="V259">
            <v>0</v>
          </cell>
          <cell r="W259">
            <v>0</v>
          </cell>
          <cell r="X259">
            <v>0</v>
          </cell>
          <cell r="Y259">
            <v>0</v>
          </cell>
          <cell r="Z259">
            <v>0</v>
          </cell>
          <cell r="AA259">
            <v>0</v>
          </cell>
          <cell r="AB259">
            <v>0</v>
          </cell>
          <cell r="AC259">
            <v>0</v>
          </cell>
          <cell r="AD259">
            <v>0</v>
          </cell>
          <cell r="AE259" t="str">
            <v>PE sứ 90x590</v>
          </cell>
          <cell r="AF259">
            <v>0</v>
          </cell>
          <cell r="AG259">
            <v>5.9029499999999999E-2</v>
          </cell>
          <cell r="AH259">
            <v>1.5733333333333333</v>
          </cell>
          <cell r="AI259">
            <v>0</v>
          </cell>
          <cell r="AJ259">
            <v>9530</v>
          </cell>
          <cell r="AK259">
            <v>4.0000000000000001E-3</v>
          </cell>
          <cell r="AL259">
            <v>0</v>
          </cell>
          <cell r="AM259" t="str">
            <v>túi hàn lưng xếp hông</v>
          </cell>
          <cell r="AN259">
            <v>393</v>
          </cell>
          <cell r="AO259" t="str">
            <v>Công ty Đức Giang</v>
          </cell>
          <cell r="AP259">
            <v>0</v>
          </cell>
          <cell r="AQ259" t="str">
            <v>18011038-1</v>
          </cell>
          <cell r="AR259" t="str">
            <v>18011038-2</v>
          </cell>
          <cell r="AS259" t="str">
            <v>19041183-3</v>
          </cell>
          <cell r="AT259" t="str">
            <v>18011038-4</v>
          </cell>
          <cell r="AU259" t="str">
            <v>18011038-5</v>
          </cell>
          <cell r="AV259" t="str">
            <v>18011038-6</v>
          </cell>
          <cell r="BA259" t="str">
            <v>786x750</v>
          </cell>
          <cell r="BB259" t="str">
            <v>U1</v>
          </cell>
        </row>
        <row r="260">
          <cell r="A260" t="str">
            <v>sp 871</v>
          </cell>
          <cell r="B260" t="str">
            <v>Cuộn bột giặt cao cấp 2,5kg Đức Giang</v>
          </cell>
          <cell r="C260">
            <v>3.3000000000000003</v>
          </cell>
          <cell r="D260" t="str">
            <v>PET 12x630</v>
          </cell>
          <cell r="E260">
            <v>6</v>
          </cell>
          <cell r="F260">
            <v>6</v>
          </cell>
          <cell r="G260" t="str">
            <v>PET</v>
          </cell>
          <cell r="H260">
            <v>0.2</v>
          </cell>
          <cell r="I260">
            <v>0</v>
          </cell>
          <cell r="J260">
            <v>0.3</v>
          </cell>
          <cell r="K260">
            <v>1</v>
          </cell>
          <cell r="L260">
            <v>0.7</v>
          </cell>
          <cell r="M260">
            <v>0</v>
          </cell>
          <cell r="N260">
            <v>0</v>
          </cell>
          <cell r="O260">
            <v>0</v>
          </cell>
          <cell r="P260">
            <v>1</v>
          </cell>
          <cell r="Q260">
            <v>0</v>
          </cell>
          <cell r="R260">
            <v>0.1</v>
          </cell>
          <cell r="S260">
            <v>0</v>
          </cell>
          <cell r="T260">
            <v>0</v>
          </cell>
          <cell r="U260">
            <v>0</v>
          </cell>
          <cell r="V260">
            <v>0</v>
          </cell>
          <cell r="W260">
            <v>0</v>
          </cell>
          <cell r="X260">
            <v>0</v>
          </cell>
          <cell r="Y260">
            <v>0</v>
          </cell>
          <cell r="Z260">
            <v>0</v>
          </cell>
          <cell r="AA260">
            <v>0</v>
          </cell>
          <cell r="AB260">
            <v>0</v>
          </cell>
          <cell r="AC260">
            <v>0</v>
          </cell>
          <cell r="AD260">
            <v>0</v>
          </cell>
          <cell r="AE260" t="str">
            <v>PE sứ 90x630</v>
          </cell>
          <cell r="AF260">
            <v>0</v>
          </cell>
          <cell r="AG260">
            <v>6.3031500000000004E-2</v>
          </cell>
          <cell r="AH260">
            <v>1.6533333333333333</v>
          </cell>
          <cell r="AI260">
            <v>0</v>
          </cell>
          <cell r="AJ260">
            <v>9530</v>
          </cell>
          <cell r="AK260">
            <v>4.0000000000000001E-3</v>
          </cell>
          <cell r="AL260">
            <v>0</v>
          </cell>
          <cell r="AM260" t="str">
            <v>túi hàn lưng xếp hông</v>
          </cell>
          <cell r="AN260">
            <v>415</v>
          </cell>
          <cell r="AO260" t="str">
            <v>Công ty Đức Giang</v>
          </cell>
          <cell r="AP260">
            <v>0</v>
          </cell>
          <cell r="AQ260" t="str">
            <v>18011039-1</v>
          </cell>
          <cell r="AR260" t="str">
            <v>18011039-2</v>
          </cell>
          <cell r="AS260" t="str">
            <v>19041184-3</v>
          </cell>
          <cell r="AT260" t="str">
            <v>18011039-4</v>
          </cell>
          <cell r="AU260" t="str">
            <v>18011039-5</v>
          </cell>
          <cell r="AV260" t="str">
            <v>18011039-6</v>
          </cell>
          <cell r="BA260" t="str">
            <v>415x750</v>
          </cell>
          <cell r="BB260" t="str">
            <v>U1</v>
          </cell>
          <cell r="BC260" t="str">
            <v>in chung ĐC,nền,trắng với sp 874</v>
          </cell>
        </row>
        <row r="261">
          <cell r="A261" t="str">
            <v>sp 872</v>
          </cell>
          <cell r="B261" t="str">
            <v>Cuộn thuốc trừ cỏ lúa Sunriver 10WP loại 3.5gr</v>
          </cell>
          <cell r="C261">
            <v>3.3000000000000003</v>
          </cell>
          <cell r="D261" t="str">
            <v>PET 12x660</v>
          </cell>
          <cell r="E261">
            <v>5</v>
          </cell>
          <cell r="F261">
            <v>5</v>
          </cell>
          <cell r="G261" t="str">
            <v>PET</v>
          </cell>
          <cell r="H261">
            <v>0.1</v>
          </cell>
          <cell r="I261">
            <v>2.5</v>
          </cell>
          <cell r="J261">
            <v>0</v>
          </cell>
          <cell r="K261">
            <v>0</v>
          </cell>
          <cell r="L261">
            <v>0</v>
          </cell>
          <cell r="M261">
            <v>0</v>
          </cell>
          <cell r="N261">
            <v>0</v>
          </cell>
          <cell r="O261">
            <v>0.2</v>
          </cell>
          <cell r="P261">
            <v>0.1</v>
          </cell>
          <cell r="Q261">
            <v>0</v>
          </cell>
          <cell r="R261">
            <v>0.4</v>
          </cell>
          <cell r="S261">
            <v>0</v>
          </cell>
          <cell r="T261">
            <v>0</v>
          </cell>
          <cell r="U261">
            <v>0</v>
          </cell>
          <cell r="V261">
            <v>0</v>
          </cell>
          <cell r="W261">
            <v>0</v>
          </cell>
          <cell r="X261">
            <v>0</v>
          </cell>
          <cell r="Y261">
            <v>0</v>
          </cell>
          <cell r="Z261">
            <v>0</v>
          </cell>
          <cell r="AA261">
            <v>0</v>
          </cell>
          <cell r="AB261">
            <v>0</v>
          </cell>
          <cell r="AC261">
            <v>0</v>
          </cell>
          <cell r="AD261">
            <v>0</v>
          </cell>
          <cell r="AE261" t="str">
            <v>Al 6x660</v>
          </cell>
          <cell r="AF261" t="str">
            <v>PE 75x670</v>
          </cell>
          <cell r="AG261">
            <v>6.7607100000000003E-2</v>
          </cell>
          <cell r="AH261">
            <v>0.99666666666666659</v>
          </cell>
          <cell r="AI261">
            <v>0.99666666666666659</v>
          </cell>
          <cell r="AJ261">
            <v>9530</v>
          </cell>
          <cell r="AK261" t="str">
            <v>0,0046(0,0023;0,0023)</v>
          </cell>
          <cell r="AL261">
            <v>0</v>
          </cell>
          <cell r="AM261" t="str">
            <v>dạng cuộn 700m</v>
          </cell>
          <cell r="AN261">
            <v>160</v>
          </cell>
          <cell r="AO261" t="str">
            <v>Công ty Việt Thắng</v>
          </cell>
          <cell r="AP261">
            <v>0</v>
          </cell>
          <cell r="AQ261" t="str">
            <v>2002080-1</v>
          </cell>
          <cell r="AR261" t="str">
            <v>1802001-2</v>
          </cell>
          <cell r="AS261" t="str">
            <v>1802001-3</v>
          </cell>
          <cell r="AT261" t="str">
            <v>1802001-4</v>
          </cell>
          <cell r="AU261" t="str">
            <v>1802001-5</v>
          </cell>
          <cell r="BA261" t="str">
            <v>440x750</v>
          </cell>
          <cell r="BB261" t="str">
            <v>D3</v>
          </cell>
          <cell r="BC261" t="str">
            <v>in chung ĐC,nền,trắng với sp 874</v>
          </cell>
        </row>
        <row r="262">
          <cell r="A262" t="str">
            <v>sp 873</v>
          </cell>
          <cell r="B262" t="str">
            <v>Túi miến đao Bản Xèo Thành Sơn 500gr</v>
          </cell>
          <cell r="C262">
            <v>6.2</v>
          </cell>
          <cell r="D262" t="str">
            <v>PA 15x570</v>
          </cell>
          <cell r="E262">
            <v>5</v>
          </cell>
          <cell r="F262">
            <v>5</v>
          </cell>
          <cell r="G262" t="str">
            <v>PET</v>
          </cell>
          <cell r="H262">
            <v>0.1</v>
          </cell>
          <cell r="I262">
            <v>3.2</v>
          </cell>
          <cell r="J262">
            <v>0.1</v>
          </cell>
          <cell r="K262">
            <v>0.5</v>
          </cell>
          <cell r="L262">
            <v>1.3</v>
          </cell>
          <cell r="M262">
            <v>1</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t="str">
            <v>PE 80x570</v>
          </cell>
          <cell r="AF262">
            <v>0</v>
          </cell>
          <cell r="AG262">
            <v>1.3786874999999997E-2</v>
          </cell>
          <cell r="AH262">
            <v>0.85866666666666669</v>
          </cell>
          <cell r="AI262">
            <v>0</v>
          </cell>
          <cell r="AJ262">
            <v>9530</v>
          </cell>
          <cell r="AK262">
            <v>2.3E-3</v>
          </cell>
          <cell r="AL262">
            <v>0</v>
          </cell>
          <cell r="AM262" t="str">
            <v>túi hàn lưng xếp hông</v>
          </cell>
          <cell r="AN262">
            <v>450</v>
          </cell>
          <cell r="AO262" t="str">
            <v>HTX Thành Sơn, Bản Xèo, Lào Cai</v>
          </cell>
          <cell r="AP262">
            <v>0</v>
          </cell>
          <cell r="AQ262" t="str">
            <v>1711339-1</v>
          </cell>
          <cell r="AR262" t="str">
            <v>1711339-2</v>
          </cell>
          <cell r="AS262" t="str">
            <v>1711339-3</v>
          </cell>
          <cell r="AT262" t="str">
            <v>1711339-4</v>
          </cell>
          <cell r="AU262" t="str">
            <v>1711339-5</v>
          </cell>
          <cell r="BA262" t="str">
            <v>450x750</v>
          </cell>
          <cell r="BB262" t="str">
            <v>P1</v>
          </cell>
        </row>
        <row r="263">
          <cell r="A263" t="str">
            <v>sp 878</v>
          </cell>
          <cell r="B263" t="str">
            <v>túi thuốc phân bón rau poly-feed 15.30.15 loại 50gr</v>
          </cell>
          <cell r="C263">
            <v>5</v>
          </cell>
          <cell r="D263" t="str">
            <v>PET 12x700</v>
          </cell>
          <cell r="E263">
            <v>5</v>
          </cell>
          <cell r="F263">
            <v>5</v>
          </cell>
          <cell r="G263" t="str">
            <v>PET</v>
          </cell>
          <cell r="H263">
            <v>0.1</v>
          </cell>
          <cell r="I263">
            <v>2.2999999999999998</v>
          </cell>
          <cell r="J263">
            <v>0.1</v>
          </cell>
          <cell r="K263">
            <v>0.3</v>
          </cell>
          <cell r="L263">
            <v>0.8</v>
          </cell>
          <cell r="M263">
            <v>1.4</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t="str">
            <v>Al 6x700</v>
          </cell>
          <cell r="AF263" t="str">
            <v>PE 75x710</v>
          </cell>
          <cell r="AG263">
            <v>7.170449999999999E-2</v>
          </cell>
          <cell r="AH263">
            <v>1.0579999999999998</v>
          </cell>
          <cell r="AI263">
            <v>1.0579999999999998</v>
          </cell>
          <cell r="AJ263">
            <v>9530</v>
          </cell>
          <cell r="AK263" t="str">
            <v>0,0046(0,0023;0,0023)</v>
          </cell>
          <cell r="AL263">
            <v>0</v>
          </cell>
          <cell r="AM263" t="str">
            <v>túi ba biên</v>
          </cell>
          <cell r="AN263">
            <v>110</v>
          </cell>
          <cell r="AO263" t="str">
            <v>Công ty Việt Thắng</v>
          </cell>
          <cell r="AP263">
            <v>0</v>
          </cell>
          <cell r="AQ263" t="str">
            <v>1802498-1</v>
          </cell>
          <cell r="AR263" t="str">
            <v>1802498-2</v>
          </cell>
          <cell r="AS263" t="str">
            <v>1802498-3</v>
          </cell>
          <cell r="AT263" t="str">
            <v>1802498-4</v>
          </cell>
          <cell r="AU263" t="str">
            <v>1802498-5</v>
          </cell>
          <cell r="BA263" t="str">
            <v>440x750</v>
          </cell>
          <cell r="BB263" t="str">
            <v>D3</v>
          </cell>
        </row>
        <row r="264">
          <cell r="A264" t="str">
            <v>sp 879</v>
          </cell>
          <cell r="B264" t="str">
            <v>Túi thuốc phân bón lúa poly-feed 15.15.30 loại 15gr</v>
          </cell>
          <cell r="C264">
            <v>5.4</v>
          </cell>
          <cell r="D264" t="str">
            <v>PET 12x740</v>
          </cell>
          <cell r="E264">
            <v>6</v>
          </cell>
          <cell r="F264">
            <v>6</v>
          </cell>
          <cell r="G264" t="str">
            <v>PET</v>
          </cell>
          <cell r="H264">
            <v>0.1</v>
          </cell>
          <cell r="I264">
            <v>2.5</v>
          </cell>
          <cell r="J264">
            <v>0.3</v>
          </cell>
          <cell r="K264">
            <v>0.1</v>
          </cell>
          <cell r="L264">
            <v>0.7</v>
          </cell>
          <cell r="M264">
            <v>1.6</v>
          </cell>
          <cell r="N264">
            <v>0</v>
          </cell>
          <cell r="O264">
            <v>0</v>
          </cell>
          <cell r="P264">
            <v>0</v>
          </cell>
          <cell r="Q264">
            <v>0</v>
          </cell>
          <cell r="R264">
            <v>0.1</v>
          </cell>
          <cell r="S264">
            <v>0</v>
          </cell>
          <cell r="T264">
            <v>0</v>
          </cell>
          <cell r="U264">
            <v>0</v>
          </cell>
          <cell r="V264">
            <v>0</v>
          </cell>
          <cell r="W264">
            <v>0</v>
          </cell>
          <cell r="X264">
            <v>0</v>
          </cell>
          <cell r="Y264">
            <v>0</v>
          </cell>
          <cell r="Z264">
            <v>0</v>
          </cell>
          <cell r="AA264">
            <v>0</v>
          </cell>
          <cell r="AB264">
            <v>0</v>
          </cell>
          <cell r="AC264">
            <v>0</v>
          </cell>
          <cell r="AD264">
            <v>0</v>
          </cell>
          <cell r="AE264" t="str">
            <v>Al 6x740</v>
          </cell>
          <cell r="AF264" t="str">
            <v>PE 75x750</v>
          </cell>
          <cell r="AG264">
            <v>7.5801899999999992E-2</v>
          </cell>
          <cell r="AH264">
            <v>1.1193333333333333</v>
          </cell>
          <cell r="AI264">
            <v>1.1193333333333333</v>
          </cell>
          <cell r="AJ264">
            <v>9530</v>
          </cell>
          <cell r="AK264" t="str">
            <v>0,0046(0,0023;0,0023)</v>
          </cell>
          <cell r="AL264">
            <v>0</v>
          </cell>
          <cell r="AM264" t="str">
            <v>túi ba biên</v>
          </cell>
          <cell r="AN264">
            <v>80</v>
          </cell>
          <cell r="AO264" t="str">
            <v>Công ty Việt Thắng</v>
          </cell>
          <cell r="AP264">
            <v>0</v>
          </cell>
          <cell r="AQ264" t="str">
            <v>19051008-1</v>
          </cell>
          <cell r="AR264" t="str">
            <v>1802499-2</v>
          </cell>
          <cell r="AS264" t="str">
            <v>1802499-3</v>
          </cell>
          <cell r="AT264" t="str">
            <v>1802499-4</v>
          </cell>
          <cell r="AU264" t="str">
            <v>1802499-5</v>
          </cell>
          <cell r="AV264" t="str">
            <v>1802499-6</v>
          </cell>
          <cell r="BA264" t="str">
            <v>400x850</v>
          </cell>
          <cell r="BB264" t="str">
            <v>D3</v>
          </cell>
        </row>
        <row r="265">
          <cell r="A265" t="str">
            <v>sp 880</v>
          </cell>
          <cell r="B265" t="str">
            <v>Cuộn thuốc trị rầy lúa Anvoda 100WP thường loại 10gr</v>
          </cell>
          <cell r="C265">
            <v>4.3000000000000007</v>
          </cell>
          <cell r="D265" t="str">
            <v>PET 12x800</v>
          </cell>
          <cell r="E265">
            <v>6</v>
          </cell>
          <cell r="F265">
            <v>6</v>
          </cell>
          <cell r="G265" t="str">
            <v>PET</v>
          </cell>
          <cell r="H265">
            <v>0.1</v>
          </cell>
          <cell r="I265">
            <v>2.2999999999999998</v>
          </cell>
          <cell r="J265">
            <v>0.2</v>
          </cell>
          <cell r="K265">
            <v>0.1</v>
          </cell>
          <cell r="L265">
            <v>1.6</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t="str">
            <v>Al 6x800</v>
          </cell>
          <cell r="AF265" t="str">
            <v>PE 75x810</v>
          </cell>
          <cell r="AG265">
            <v>8.1948000000000007E-2</v>
          </cell>
          <cell r="AH265">
            <v>1.2113333333333334</v>
          </cell>
          <cell r="AI265">
            <v>1.2113333333333334</v>
          </cell>
          <cell r="AJ265">
            <v>9530</v>
          </cell>
          <cell r="AK265" t="str">
            <v>0,0046(0,0023;0,0023)</v>
          </cell>
          <cell r="AL265">
            <v>0</v>
          </cell>
          <cell r="AM265" t="str">
            <v>dạng cuộn 700m</v>
          </cell>
          <cell r="AN265">
            <v>260</v>
          </cell>
          <cell r="AO265" t="str">
            <v>Công ty Việt Thắng</v>
          </cell>
          <cell r="AP265">
            <v>0</v>
          </cell>
          <cell r="AQ265" t="str">
            <v>2002743-1</v>
          </cell>
          <cell r="AR265" t="str">
            <v>1802500-2</v>
          </cell>
          <cell r="AS265" t="str">
            <v>1802500-3</v>
          </cell>
          <cell r="AT265" t="str">
            <v>1802500-4</v>
          </cell>
          <cell r="AU265" t="str">
            <v>1802500-5</v>
          </cell>
          <cell r="AV265" t="str">
            <v>1802500-6</v>
          </cell>
          <cell r="BA265" t="str">
            <v>450x850</v>
          </cell>
          <cell r="BB265" t="str">
            <v>D3</v>
          </cell>
        </row>
        <row r="266">
          <cell r="A266" t="str">
            <v>sp 882</v>
          </cell>
          <cell r="B266" t="str">
            <v>Cuộn thuốc trừ cỏ lúa Arorax 17 WP loại 10gr</v>
          </cell>
          <cell r="C266">
            <v>4.75</v>
          </cell>
          <cell r="D266" t="str">
            <v>PET 12x800</v>
          </cell>
          <cell r="E266">
            <v>6</v>
          </cell>
          <cell r="F266">
            <v>6</v>
          </cell>
          <cell r="G266" t="str">
            <v>PET</v>
          </cell>
          <cell r="H266">
            <v>0.15</v>
          </cell>
          <cell r="I266">
            <v>2.6</v>
          </cell>
          <cell r="J266">
            <v>0.2</v>
          </cell>
          <cell r="K266">
            <v>0.2</v>
          </cell>
          <cell r="L266">
            <v>0.9</v>
          </cell>
          <cell r="M266">
            <v>0.6</v>
          </cell>
          <cell r="N266">
            <v>0</v>
          </cell>
          <cell r="O266">
            <v>0</v>
          </cell>
          <cell r="P266">
            <v>0</v>
          </cell>
          <cell r="Q266">
            <v>0</v>
          </cell>
          <cell r="R266">
            <v>0.1</v>
          </cell>
          <cell r="S266">
            <v>0</v>
          </cell>
          <cell r="T266">
            <v>0</v>
          </cell>
          <cell r="U266">
            <v>0</v>
          </cell>
          <cell r="V266">
            <v>0</v>
          </cell>
          <cell r="W266">
            <v>0</v>
          </cell>
          <cell r="X266">
            <v>0</v>
          </cell>
          <cell r="Y266">
            <v>0</v>
          </cell>
          <cell r="Z266">
            <v>0</v>
          </cell>
          <cell r="AA266">
            <v>0</v>
          </cell>
          <cell r="AB266">
            <v>0</v>
          </cell>
          <cell r="AC266">
            <v>0</v>
          </cell>
          <cell r="AD266">
            <v>0</v>
          </cell>
          <cell r="AE266" t="str">
            <v>Al 6x800</v>
          </cell>
          <cell r="AF266" t="str">
            <v>PE 75x810</v>
          </cell>
          <cell r="AG266">
            <v>8.1948000000000007E-2</v>
          </cell>
          <cell r="AH266">
            <v>1.2113333333333334</v>
          </cell>
          <cell r="AI266">
            <v>1.2113333333333334</v>
          </cell>
          <cell r="AJ266">
            <v>9530</v>
          </cell>
          <cell r="AK266" t="str">
            <v>0,0046(0,0023;0,0023)</v>
          </cell>
          <cell r="AL266">
            <v>0</v>
          </cell>
          <cell r="AM266" t="str">
            <v>dạng cuộn 700m</v>
          </cell>
          <cell r="AN266">
            <v>260</v>
          </cell>
          <cell r="AO266" t="str">
            <v>Công ty Việt Thắng</v>
          </cell>
          <cell r="AP266">
            <v>0</v>
          </cell>
          <cell r="AQ266" t="str">
            <v>20110906-1</v>
          </cell>
          <cell r="AR266" t="str">
            <v>19070739-2</v>
          </cell>
          <cell r="AS266" t="str">
            <v>1803525-3</v>
          </cell>
          <cell r="AT266" t="str">
            <v>1803525-4</v>
          </cell>
          <cell r="AU266" t="str">
            <v>1803525-5</v>
          </cell>
          <cell r="AV266" t="str">
            <v>1803525-6</v>
          </cell>
          <cell r="BA266" t="str">
            <v>450x870</v>
          </cell>
          <cell r="BB266" t="str">
            <v>D3</v>
          </cell>
        </row>
        <row r="267">
          <cell r="A267" t="str">
            <v>sp 885</v>
          </cell>
          <cell r="B267" t="str">
            <v>Túi trà logo Tân Cương và Đặc Sản HTP 100gr loại 9</v>
          </cell>
          <cell r="C267">
            <v>3.5500000000000003</v>
          </cell>
          <cell r="D267" t="str">
            <v>PET 12x740</v>
          </cell>
          <cell r="E267">
            <v>2</v>
          </cell>
          <cell r="F267">
            <v>2</v>
          </cell>
          <cell r="G267" t="str">
            <v>PET</v>
          </cell>
          <cell r="H267">
            <v>0</v>
          </cell>
          <cell r="I267">
            <v>0</v>
          </cell>
          <cell r="J267">
            <v>0.3</v>
          </cell>
          <cell r="K267">
            <v>0</v>
          </cell>
          <cell r="L267">
            <v>0.3</v>
          </cell>
          <cell r="M267">
            <v>0.35</v>
          </cell>
          <cell r="N267">
            <v>2.5</v>
          </cell>
          <cell r="O267">
            <v>0</v>
          </cell>
          <cell r="P267">
            <v>0.1</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t="str">
            <v>MPET 12x740</v>
          </cell>
          <cell r="AF267" t="str">
            <v>PE 75x740</v>
          </cell>
          <cell r="AG267">
            <v>7.6201500000000005E-2</v>
          </cell>
          <cell r="AH267">
            <v>1.1193333333333333</v>
          </cell>
          <cell r="AI267">
            <v>1.46</v>
          </cell>
          <cell r="AJ267">
            <v>9530</v>
          </cell>
          <cell r="AK267" t="str">
            <v>0,0053(0,0023;0,003)</v>
          </cell>
          <cell r="AL267">
            <v>0</v>
          </cell>
          <cell r="AM267" t="str">
            <v>túi hàn lưng xếp hông</v>
          </cell>
          <cell r="AN267">
            <v>270</v>
          </cell>
          <cell r="AO267" t="str">
            <v>Bùi Văn Sỹ</v>
          </cell>
          <cell r="AP267">
            <v>0</v>
          </cell>
          <cell r="AQ267" t="str">
            <v>1803222-1</v>
          </cell>
          <cell r="AR267" t="str">
            <v>1803222-2</v>
          </cell>
          <cell r="BA267" t="str">
            <v>540x850</v>
          </cell>
          <cell r="BB267" t="str">
            <v>F2</v>
          </cell>
        </row>
        <row r="268">
          <cell r="A268" t="str">
            <v>sp 886</v>
          </cell>
          <cell r="B268" t="str">
            <v>Túi trà logo Tân Cương và Đặc Sản HTP 200gr loại 9</v>
          </cell>
          <cell r="C268">
            <v>3.4499999999999997</v>
          </cell>
          <cell r="D268" t="str">
            <v>PET 12x620</v>
          </cell>
          <cell r="E268">
            <v>2</v>
          </cell>
          <cell r="F268">
            <v>2</v>
          </cell>
          <cell r="G268" t="str">
            <v>PET</v>
          </cell>
          <cell r="H268">
            <v>0</v>
          </cell>
          <cell r="I268">
            <v>0</v>
          </cell>
          <cell r="J268">
            <v>0.4</v>
          </cell>
          <cell r="K268">
            <v>0</v>
          </cell>
          <cell r="L268">
            <v>0.3</v>
          </cell>
          <cell r="M268">
            <v>0.35</v>
          </cell>
          <cell r="N268">
            <v>2.2999999999999998</v>
          </cell>
          <cell r="O268">
            <v>0</v>
          </cell>
          <cell r="P268">
            <v>0.1</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t="str">
            <v>MPET 12x620</v>
          </cell>
          <cell r="AF268" t="str">
            <v>PE 75x620</v>
          </cell>
          <cell r="AG268">
            <v>6.3844500000000012E-2</v>
          </cell>
          <cell r="AH268">
            <v>0.93533333333333324</v>
          </cell>
          <cell r="AI268">
            <v>1.22</v>
          </cell>
          <cell r="AJ268">
            <v>9530</v>
          </cell>
          <cell r="AK268" t="str">
            <v>0,0053(0,0023;0,003)</v>
          </cell>
          <cell r="AL268">
            <v>0</v>
          </cell>
          <cell r="AM268" t="str">
            <v>túi hàn lưng xếp hông</v>
          </cell>
          <cell r="AN268">
            <v>340</v>
          </cell>
          <cell r="AO268" t="str">
            <v>Bùi Văn Sỹ</v>
          </cell>
          <cell r="AP268">
            <v>0</v>
          </cell>
          <cell r="AQ268" t="str">
            <v>1803223-1</v>
          </cell>
          <cell r="AR268" t="str">
            <v>1803223-2</v>
          </cell>
          <cell r="BA268" t="str">
            <v>420x850</v>
          </cell>
          <cell r="BB268" t="str">
            <v>F3</v>
          </cell>
        </row>
        <row r="269">
          <cell r="A269" t="str">
            <v>sp 887</v>
          </cell>
          <cell r="B269" t="str">
            <v>Túi trà logo Tân Cương 500gr loại 9</v>
          </cell>
          <cell r="C269">
            <v>0</v>
          </cell>
          <cell r="D269" t="str">
            <v>PET 12x760</v>
          </cell>
          <cell r="E269">
            <v>2</v>
          </cell>
          <cell r="F269">
            <v>2</v>
          </cell>
          <cell r="G269" t="str">
            <v>PET</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t="str">
            <v>MPET 12x760</v>
          </cell>
          <cell r="AF269" t="str">
            <v>PE 75x760</v>
          </cell>
          <cell r="AG269">
            <v>7.8261000000000011E-2</v>
          </cell>
          <cell r="AH269">
            <v>1.1499999999999999</v>
          </cell>
          <cell r="AI269">
            <v>1.5</v>
          </cell>
          <cell r="AJ269">
            <v>9530</v>
          </cell>
          <cell r="AK269" t="str">
            <v>0,0053(0,0023;0,003)</v>
          </cell>
          <cell r="AL269">
            <v>0</v>
          </cell>
          <cell r="AM269" t="str">
            <v>túi hàn lưng xếp hông</v>
          </cell>
          <cell r="AN269">
            <v>420</v>
          </cell>
          <cell r="AO269" t="str">
            <v>Bùi Văn Sỹ</v>
          </cell>
          <cell r="AP269">
            <v>0</v>
          </cell>
          <cell r="AQ269" t="str">
            <v>1803220-1</v>
          </cell>
          <cell r="AR269" t="str">
            <v>1803220-2</v>
          </cell>
          <cell r="BA269" t="str">
            <v>420x850</v>
          </cell>
          <cell r="BB269" t="str">
            <v>F3</v>
          </cell>
        </row>
        <row r="270">
          <cell r="A270" t="str">
            <v>sp 888</v>
          </cell>
          <cell r="B270" t="str">
            <v>Túi trà logo Đặc Sản 500gr loại 9</v>
          </cell>
          <cell r="C270">
            <v>0</v>
          </cell>
          <cell r="D270">
            <v>0</v>
          </cell>
          <cell r="E270">
            <v>2</v>
          </cell>
          <cell r="F270">
            <v>2</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cell r="AK270">
            <v>0</v>
          </cell>
          <cell r="AL270">
            <v>0</v>
          </cell>
          <cell r="AM270">
            <v>0</v>
          </cell>
          <cell r="AN270">
            <v>0</v>
          </cell>
          <cell r="AO270" t="str">
            <v>Bùi Văn Sỹ</v>
          </cell>
          <cell r="AP270">
            <v>0</v>
          </cell>
          <cell r="AQ270" t="str">
            <v>18030221-1</v>
          </cell>
          <cell r="AR270" t="str">
            <v>18030221-2</v>
          </cell>
          <cell r="AS270">
            <v>0</v>
          </cell>
          <cell r="AT270">
            <v>0</v>
          </cell>
          <cell r="AU270">
            <v>0</v>
          </cell>
          <cell r="AV270">
            <v>0</v>
          </cell>
          <cell r="AW270">
            <v>0</v>
          </cell>
          <cell r="AX270">
            <v>0</v>
          </cell>
          <cell r="AY270">
            <v>0</v>
          </cell>
          <cell r="AZ270">
            <v>0</v>
          </cell>
          <cell r="BA270" t="str">
            <v>420x850</v>
          </cell>
          <cell r="BB270" t="str">
            <v>F3</v>
          </cell>
          <cell r="BC270">
            <v>0</v>
          </cell>
        </row>
        <row r="271">
          <cell r="A271" t="str">
            <v>sp 889</v>
          </cell>
          <cell r="B271" t="str">
            <v>Cuộn thuốc trừ cỏ lúa Arorax 17 WP loại 15gr</v>
          </cell>
          <cell r="C271">
            <v>4.75</v>
          </cell>
          <cell r="D271" t="str">
            <v>PET 12x800</v>
          </cell>
          <cell r="E271">
            <v>2</v>
          </cell>
          <cell r="F271">
            <v>6</v>
          </cell>
          <cell r="G271" t="str">
            <v>PET</v>
          </cell>
          <cell r="H271">
            <v>0.15</v>
          </cell>
          <cell r="I271">
            <v>2.6</v>
          </cell>
          <cell r="J271">
            <v>0.2</v>
          </cell>
          <cell r="K271">
            <v>0.2</v>
          </cell>
          <cell r="L271">
            <v>0.9</v>
          </cell>
          <cell r="M271">
            <v>0.6</v>
          </cell>
          <cell r="N271">
            <v>0</v>
          </cell>
          <cell r="O271">
            <v>0</v>
          </cell>
          <cell r="P271">
            <v>0</v>
          </cell>
          <cell r="Q271">
            <v>0</v>
          </cell>
          <cell r="R271">
            <v>0.1</v>
          </cell>
          <cell r="S271">
            <v>0</v>
          </cell>
          <cell r="T271">
            <v>0</v>
          </cell>
          <cell r="U271">
            <v>0</v>
          </cell>
          <cell r="V271">
            <v>0</v>
          </cell>
          <cell r="W271">
            <v>0</v>
          </cell>
          <cell r="X271">
            <v>0</v>
          </cell>
          <cell r="Y271">
            <v>0</v>
          </cell>
          <cell r="Z271">
            <v>0</v>
          </cell>
          <cell r="AA271">
            <v>0</v>
          </cell>
          <cell r="AB271">
            <v>0</v>
          </cell>
          <cell r="AC271">
            <v>0</v>
          </cell>
          <cell r="AD271">
            <v>0</v>
          </cell>
          <cell r="AE271" t="str">
            <v>Al 6x800</v>
          </cell>
          <cell r="AF271" t="str">
            <v>PE 75x810</v>
          </cell>
          <cell r="AG271">
            <v>8.1948000000000007E-2</v>
          </cell>
          <cell r="AH271">
            <v>1.2113333333333334</v>
          </cell>
          <cell r="AI271">
            <v>1.2113333333333334</v>
          </cell>
          <cell r="AJ271">
            <v>9530</v>
          </cell>
          <cell r="AK271" t="str">
            <v>0,0046(0,0023;0,0023)</v>
          </cell>
          <cell r="AL271">
            <v>0</v>
          </cell>
          <cell r="AM271" t="str">
            <v>dạng cuộn 700m</v>
          </cell>
          <cell r="AN271">
            <v>260</v>
          </cell>
          <cell r="AO271" t="str">
            <v>Công ty Việt Thắng</v>
          </cell>
          <cell r="AP271">
            <v>0</v>
          </cell>
          <cell r="AQ271" t="str">
            <v>20110907-1</v>
          </cell>
          <cell r="AR271" t="str">
            <v>19070739-2</v>
          </cell>
          <cell r="AS271" t="str">
            <v>1803525-3</v>
          </cell>
          <cell r="AT271" t="str">
            <v>1803526-4</v>
          </cell>
          <cell r="AU271" t="str">
            <v>1803525-5</v>
          </cell>
          <cell r="AV271" t="str">
            <v>1803525-6</v>
          </cell>
          <cell r="BA271" t="str">
            <v>450x870</v>
          </cell>
          <cell r="BB271" t="str">
            <v>D3</v>
          </cell>
          <cell r="BC271" t="str">
            <v>in chung cây Tím,xd,vàng,trắng (2,3,5,6)với sp 882</v>
          </cell>
        </row>
        <row r="272">
          <cell r="A272" t="str">
            <v>sp 891</v>
          </cell>
          <cell r="B272" t="str">
            <v xml:space="preserve">Túi thuốc trừ bệnh Đồng cloruloxi 30 WP loại 100gr </v>
          </cell>
          <cell r="C272">
            <v>5.75</v>
          </cell>
          <cell r="D272">
            <v>0</v>
          </cell>
          <cell r="E272">
            <v>6</v>
          </cell>
          <cell r="F272">
            <v>6</v>
          </cell>
          <cell r="G272" t="str">
            <v>OPP</v>
          </cell>
          <cell r="H272">
            <v>0.2</v>
          </cell>
          <cell r="I272">
            <v>1.8</v>
          </cell>
          <cell r="J272">
            <v>0.1</v>
          </cell>
          <cell r="K272">
            <v>0.1</v>
          </cell>
          <cell r="L272">
            <v>1.3</v>
          </cell>
          <cell r="M272">
            <v>2</v>
          </cell>
          <cell r="N272">
            <v>0</v>
          </cell>
          <cell r="O272">
            <v>0</v>
          </cell>
          <cell r="P272">
            <v>0</v>
          </cell>
          <cell r="Q272">
            <v>0</v>
          </cell>
          <cell r="R272">
            <v>0.25</v>
          </cell>
          <cell r="S272">
            <v>0</v>
          </cell>
          <cell r="T272">
            <v>0</v>
          </cell>
          <cell r="U272">
            <v>0</v>
          </cell>
          <cell r="V272">
            <v>0</v>
          </cell>
          <cell r="W272">
            <v>0</v>
          </cell>
          <cell r="X272">
            <v>0</v>
          </cell>
          <cell r="Y272">
            <v>0</v>
          </cell>
          <cell r="Z272">
            <v>0</v>
          </cell>
          <cell r="AA272">
            <v>0</v>
          </cell>
          <cell r="AB272">
            <v>0</v>
          </cell>
          <cell r="AC272">
            <v>0</v>
          </cell>
          <cell r="AD272">
            <v>0</v>
          </cell>
          <cell r="AE272" t="str">
            <v>PE 60x760</v>
          </cell>
          <cell r="AF272">
            <v>0</v>
          </cell>
          <cell r="AG272">
            <v>5.6011999999999999E-2</v>
          </cell>
          <cell r="AH272">
            <v>1.1499999999999999</v>
          </cell>
          <cell r="AI272">
            <v>0</v>
          </cell>
          <cell r="AJ272">
            <v>9530</v>
          </cell>
          <cell r="AK272">
            <v>2.3E-3</v>
          </cell>
          <cell r="AL272">
            <v>0</v>
          </cell>
          <cell r="AM272" t="str">
            <v>túi ba biên</v>
          </cell>
          <cell r="AN272">
            <v>130</v>
          </cell>
          <cell r="AO272" t="str">
            <v>Công ty Việt Thắng</v>
          </cell>
          <cell r="AP272">
            <v>0</v>
          </cell>
          <cell r="AQ272" t="str">
            <v>X102601-1</v>
          </cell>
          <cell r="AR272" t="str">
            <v>X102601-2</v>
          </cell>
          <cell r="AS272" t="str">
            <v>X102601-3</v>
          </cell>
          <cell r="AT272" t="str">
            <v>X102601-4</v>
          </cell>
          <cell r="AU272" t="str">
            <v>X102601-5</v>
          </cell>
          <cell r="AV272" t="str">
            <v>X102601-6</v>
          </cell>
          <cell r="BA272" t="str">
            <v>520x870</v>
          </cell>
          <cell r="BB272" t="str">
            <v>D3</v>
          </cell>
        </row>
        <row r="273">
          <cell r="A273" t="str">
            <v>sp 892</v>
          </cell>
          <cell r="B273" t="str">
            <v>Cuộn thuốc đặc trị rầy Ba đăng 300WP loại 10gr</v>
          </cell>
          <cell r="C273">
            <v>4.75</v>
          </cell>
          <cell r="D273" t="str">
            <v>PET 12x800</v>
          </cell>
          <cell r="E273">
            <v>5</v>
          </cell>
          <cell r="F273">
            <v>5</v>
          </cell>
          <cell r="G273" t="str">
            <v>PET</v>
          </cell>
          <cell r="H273">
            <v>0.15</v>
          </cell>
          <cell r="I273">
            <v>2.6</v>
          </cell>
          <cell r="J273">
            <v>0.2</v>
          </cell>
          <cell r="K273">
            <v>0.2</v>
          </cell>
          <cell r="L273">
            <v>0.9</v>
          </cell>
          <cell r="M273">
            <v>0.6</v>
          </cell>
          <cell r="N273">
            <v>0</v>
          </cell>
          <cell r="O273">
            <v>0</v>
          </cell>
          <cell r="P273">
            <v>0</v>
          </cell>
          <cell r="Q273">
            <v>0</v>
          </cell>
          <cell r="R273">
            <v>0.1</v>
          </cell>
          <cell r="S273">
            <v>0</v>
          </cell>
          <cell r="T273">
            <v>0</v>
          </cell>
          <cell r="U273">
            <v>0</v>
          </cell>
          <cell r="V273">
            <v>0</v>
          </cell>
          <cell r="W273">
            <v>0</v>
          </cell>
          <cell r="X273">
            <v>0</v>
          </cell>
          <cell r="Y273">
            <v>0</v>
          </cell>
          <cell r="Z273">
            <v>0</v>
          </cell>
          <cell r="AA273">
            <v>0</v>
          </cell>
          <cell r="AB273">
            <v>0</v>
          </cell>
          <cell r="AC273">
            <v>0</v>
          </cell>
          <cell r="AD273">
            <v>0</v>
          </cell>
          <cell r="AE273" t="str">
            <v>Al 6x800</v>
          </cell>
          <cell r="AF273" t="str">
            <v>PE 75x810</v>
          </cell>
          <cell r="AG273">
            <v>8.1948000000000007E-2</v>
          </cell>
          <cell r="AH273">
            <v>1.2113333333333334</v>
          </cell>
          <cell r="AI273">
            <v>1.2113333333333334</v>
          </cell>
          <cell r="AJ273">
            <v>9530</v>
          </cell>
          <cell r="AK273" t="str">
            <v>0,0046(0,0023;0,0023)</v>
          </cell>
          <cell r="AL273">
            <v>0</v>
          </cell>
          <cell r="AM273" t="str">
            <v>dạng cuộn 700m</v>
          </cell>
          <cell r="AN273">
            <v>260</v>
          </cell>
          <cell r="AO273" t="str">
            <v>Công ty Việt Thắng</v>
          </cell>
          <cell r="AP273">
            <v>0</v>
          </cell>
          <cell r="AQ273" t="str">
            <v>19060488-1</v>
          </cell>
          <cell r="AR273" t="str">
            <v>1803527-2</v>
          </cell>
          <cell r="AS273" t="str">
            <v>1803527-3</v>
          </cell>
          <cell r="AT273" t="str">
            <v>1803527-4</v>
          </cell>
          <cell r="AU273" t="str">
            <v>1803527-5</v>
          </cell>
          <cell r="BA273" t="str">
            <v>450x870</v>
          </cell>
          <cell r="BB273" t="str">
            <v>D4</v>
          </cell>
        </row>
        <row r="274">
          <cell r="A274" t="str">
            <v>sp 894</v>
          </cell>
          <cell r="B274" t="str">
            <v xml:space="preserve">Túi thuốc trừ sâu Golnitor 50WP hiệu siêu khủng phá tổ 10gr </v>
          </cell>
          <cell r="C274">
            <v>0</v>
          </cell>
          <cell r="D274" t="str">
            <v>PET 12x680</v>
          </cell>
          <cell r="E274">
            <v>7</v>
          </cell>
          <cell r="F274">
            <v>7</v>
          </cell>
          <cell r="G274" t="str">
            <v>PET</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t="str">
            <v>MPET 12x680</v>
          </cell>
          <cell r="AF274" t="str">
            <v>PE 75x680</v>
          </cell>
          <cell r="AG274">
            <v>7.0023000000000016E-2</v>
          </cell>
          <cell r="AH274">
            <v>1.0273333333333332</v>
          </cell>
          <cell r="AI274">
            <v>1.0273333333333332</v>
          </cell>
          <cell r="AJ274">
            <v>9530</v>
          </cell>
          <cell r="AK274" t="str">
            <v>0,0046(0,0023;0,0023)</v>
          </cell>
          <cell r="AL274">
            <v>0</v>
          </cell>
          <cell r="AM274" t="str">
            <v xml:space="preserve">túi ba biên </v>
          </cell>
          <cell r="AN274">
            <v>140</v>
          </cell>
          <cell r="AO274" t="str">
            <v>Công ty Quốc tế Hòa Bình</v>
          </cell>
          <cell r="AP274">
            <v>0</v>
          </cell>
          <cell r="AQ274" t="str">
            <v>18036744-1</v>
          </cell>
          <cell r="AR274" t="str">
            <v>18036744-2</v>
          </cell>
          <cell r="AS274" t="str">
            <v>18036744-3</v>
          </cell>
          <cell r="AT274" t="str">
            <v>18036744-4</v>
          </cell>
          <cell r="AU274" t="str">
            <v>18036744-5</v>
          </cell>
          <cell r="AV274" t="str">
            <v>18036744-6</v>
          </cell>
          <cell r="AW274" t="str">
            <v>18036744-7</v>
          </cell>
          <cell r="BA274" t="str">
            <v>420x750</v>
          </cell>
          <cell r="BB274" t="str">
            <v>T1</v>
          </cell>
          <cell r="BC274">
            <v>0</v>
          </cell>
        </row>
        <row r="275">
          <cell r="A275" t="str">
            <v>sp 898</v>
          </cell>
          <cell r="B275" t="str">
            <v>Túi thuốc trừ sâu Wamtox 100EC 10ml x 10 gói</v>
          </cell>
          <cell r="C275">
            <v>8.0500000000000007</v>
          </cell>
          <cell r="D275" t="str">
            <v>OPP 20x800</v>
          </cell>
          <cell r="E275">
            <v>5</v>
          </cell>
          <cell r="F275">
            <v>5</v>
          </cell>
          <cell r="G275" t="str">
            <v>OPP</v>
          </cell>
          <cell r="H275">
            <v>0.2</v>
          </cell>
          <cell r="I275">
            <v>3.5</v>
          </cell>
          <cell r="J275">
            <v>0.25</v>
          </cell>
          <cell r="K275">
            <v>0.1</v>
          </cell>
          <cell r="L275">
            <v>2.5</v>
          </cell>
          <cell r="M275">
            <v>1.5</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t="str">
            <v>PE 60x800</v>
          </cell>
          <cell r="AF275">
            <v>0</v>
          </cell>
          <cell r="AG275">
            <v>5.8960000000000005E-2</v>
          </cell>
          <cell r="AH275">
            <v>1.2113333333333334</v>
          </cell>
          <cell r="AI275">
            <v>0</v>
          </cell>
          <cell r="AJ275">
            <v>9530</v>
          </cell>
          <cell r="AK275">
            <v>2.3E-3</v>
          </cell>
          <cell r="AL275">
            <v>0</v>
          </cell>
          <cell r="AM275" t="str">
            <v>túi hàn lưng xếp hông</v>
          </cell>
          <cell r="AN275">
            <v>170</v>
          </cell>
          <cell r="AO275" t="str">
            <v>Công ty Việt Thắng</v>
          </cell>
          <cell r="AP275">
            <v>0</v>
          </cell>
          <cell r="AQ275" t="str">
            <v>X102699-1</v>
          </cell>
          <cell r="AR275" t="str">
            <v>X102699-2</v>
          </cell>
          <cell r="AS275" t="str">
            <v>X102699-3</v>
          </cell>
          <cell r="AT275" t="str">
            <v>X102699-4</v>
          </cell>
          <cell r="AU275" t="str">
            <v>X102699-5</v>
          </cell>
          <cell r="BA275" t="str">
            <v>510x870</v>
          </cell>
          <cell r="BB275" t="str">
            <v>D4</v>
          </cell>
        </row>
        <row r="276">
          <cell r="A276" t="str">
            <v>sp 900</v>
          </cell>
          <cell r="B276" t="str">
            <v>Túi thuốc trừ sâu Shaling shuang 950WP hiệu xong 950 loại 100gr</v>
          </cell>
          <cell r="C276">
            <v>5.75</v>
          </cell>
          <cell r="D276" t="str">
            <v>PET 12x620</v>
          </cell>
          <cell r="E276">
            <v>6</v>
          </cell>
          <cell r="F276">
            <v>6</v>
          </cell>
          <cell r="G276" t="str">
            <v>PET</v>
          </cell>
          <cell r="H276">
            <v>0.1</v>
          </cell>
          <cell r="I276">
            <v>3.8</v>
          </cell>
          <cell r="J276">
            <v>0.25</v>
          </cell>
          <cell r="K276">
            <v>0.1</v>
          </cell>
          <cell r="L276">
            <v>1.4</v>
          </cell>
          <cell r="M276">
            <v>0</v>
          </cell>
          <cell r="N276">
            <v>0</v>
          </cell>
          <cell r="O276">
            <v>0</v>
          </cell>
          <cell r="P276">
            <v>0.1</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t="str">
            <v>MPET 12x620</v>
          </cell>
          <cell r="AF276" t="str">
            <v>PE 75x620</v>
          </cell>
          <cell r="AG276">
            <v>6.3844500000000012E-2</v>
          </cell>
          <cell r="AH276">
            <v>0.93533333333333324</v>
          </cell>
          <cell r="AI276">
            <v>0.93533333333333324</v>
          </cell>
          <cell r="AJ276">
            <v>9530</v>
          </cell>
          <cell r="AK276" t="str">
            <v>0,0046(0,0023;0,0023)</v>
          </cell>
          <cell r="AL276">
            <v>0</v>
          </cell>
          <cell r="AM276" t="str">
            <v xml:space="preserve">túi ba biên </v>
          </cell>
          <cell r="AN276">
            <v>220</v>
          </cell>
          <cell r="AO276" t="str">
            <v>Công ty Quốc tế Hòa Bình</v>
          </cell>
          <cell r="AP276">
            <v>0</v>
          </cell>
          <cell r="AQ276" t="str">
            <v>18031110-1</v>
          </cell>
          <cell r="AR276" t="str">
            <v>18031110-2</v>
          </cell>
          <cell r="AS276" t="str">
            <v>18031110-3</v>
          </cell>
          <cell r="AT276" t="str">
            <v>18031110-4</v>
          </cell>
          <cell r="AU276" t="str">
            <v>18031110-5</v>
          </cell>
          <cell r="AV276" t="str">
            <v>18031110-6</v>
          </cell>
          <cell r="BA276" t="str">
            <v>440x750</v>
          </cell>
          <cell r="BB276" t="str">
            <v>T1</v>
          </cell>
        </row>
        <row r="277">
          <cell r="A277" t="str">
            <v>sp 902</v>
          </cell>
          <cell r="B277" t="str">
            <v>Túi trà chữ đỏ lá vàng in 4 màu Tân cương và Đặc sản 100g loại 10</v>
          </cell>
          <cell r="C277">
            <v>4.0999999999999996</v>
          </cell>
          <cell r="D277" t="str">
            <v>PET 12x740</v>
          </cell>
          <cell r="E277">
            <v>4</v>
          </cell>
          <cell r="F277">
            <v>4</v>
          </cell>
          <cell r="G277" t="str">
            <v>PET</v>
          </cell>
          <cell r="H277">
            <v>0.2</v>
          </cell>
          <cell r="I277">
            <v>0.1</v>
          </cell>
          <cell r="J277">
            <v>0.1</v>
          </cell>
          <cell r="K277">
            <v>0</v>
          </cell>
          <cell r="L277">
            <v>0.1</v>
          </cell>
          <cell r="M277">
            <v>0</v>
          </cell>
          <cell r="N277">
            <v>3.4</v>
          </cell>
          <cell r="O277">
            <v>0</v>
          </cell>
          <cell r="P277">
            <v>0.2</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t="str">
            <v>MPET 12x740</v>
          </cell>
          <cell r="AF277" t="str">
            <v>PE 75x740</v>
          </cell>
          <cell r="AG277">
            <v>7.6201500000000005E-2</v>
          </cell>
          <cell r="AH277">
            <v>1.1193333333333333</v>
          </cell>
          <cell r="AI277">
            <v>1.46</v>
          </cell>
          <cell r="AJ277">
            <v>9530</v>
          </cell>
          <cell r="AK277" t="str">
            <v>0,0053(0,0023;0,003)</v>
          </cell>
          <cell r="AL277">
            <v>0</v>
          </cell>
          <cell r="AM277" t="str">
            <v>túi hàn lưng xếp hông</v>
          </cell>
          <cell r="AN277">
            <v>270</v>
          </cell>
          <cell r="AO277" t="str">
            <v>Bùi Văn Sỹ</v>
          </cell>
          <cell r="AP277">
            <v>0</v>
          </cell>
          <cell r="AQ277" t="str">
            <v>1805272-1</v>
          </cell>
          <cell r="AR277" t="str">
            <v>1805272-2</v>
          </cell>
          <cell r="AS277" t="str">
            <v>1805272-3</v>
          </cell>
          <cell r="AT277" t="str">
            <v>1805272-4</v>
          </cell>
          <cell r="BA277" t="str">
            <v>540x870</v>
          </cell>
          <cell r="BB277" t="str">
            <v>F3</v>
          </cell>
        </row>
        <row r="278">
          <cell r="A278" t="str">
            <v>sp 903</v>
          </cell>
          <cell r="B278" t="str">
            <v>Túi trả chữ đỏ lá vàng in 4 màu Tân cương 200gr loại 10</v>
          </cell>
          <cell r="C278">
            <v>6.45</v>
          </cell>
          <cell r="D278" t="str">
            <v>PET 12x620</v>
          </cell>
          <cell r="E278">
            <v>4</v>
          </cell>
          <cell r="F278">
            <v>4</v>
          </cell>
          <cell r="G278" t="str">
            <v>PET</v>
          </cell>
          <cell r="H278">
            <v>0.1</v>
          </cell>
          <cell r="I278">
            <v>1</v>
          </cell>
          <cell r="J278">
            <v>0.2</v>
          </cell>
          <cell r="K278">
            <v>0.1</v>
          </cell>
          <cell r="L278">
            <v>0.7</v>
          </cell>
          <cell r="M278">
            <v>0</v>
          </cell>
          <cell r="N278">
            <v>3.8</v>
          </cell>
          <cell r="O278">
            <v>0.05</v>
          </cell>
          <cell r="P278">
            <v>0.5</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t="str">
            <v>MPET 12x620</v>
          </cell>
          <cell r="AF278" t="str">
            <v>PE 75x620</v>
          </cell>
          <cell r="AG278">
            <v>6.3844500000000012E-2</v>
          </cell>
          <cell r="AH278">
            <v>0.93533333333333324</v>
          </cell>
          <cell r="AI278">
            <v>1.22</v>
          </cell>
          <cell r="AJ278">
            <v>9530</v>
          </cell>
          <cell r="AK278" t="str">
            <v>0,0053(0,0023;0,003)</v>
          </cell>
          <cell r="AL278">
            <v>0</v>
          </cell>
          <cell r="AM278" t="str">
            <v>túi hàn lưng xếp hông</v>
          </cell>
          <cell r="AN278">
            <v>340</v>
          </cell>
          <cell r="AO278" t="str">
            <v>Bùi Văn Sỹ</v>
          </cell>
          <cell r="AP278">
            <v>0</v>
          </cell>
          <cell r="AQ278" t="str">
            <v>1804138-1</v>
          </cell>
          <cell r="AR278" t="str">
            <v>1804138-2</v>
          </cell>
          <cell r="AS278" t="str">
            <v>1804138-3</v>
          </cell>
          <cell r="AT278" t="str">
            <v>1804138-4</v>
          </cell>
          <cell r="BA278" t="str">
            <v>680x750</v>
          </cell>
          <cell r="BB278" t="str">
            <v>F3</v>
          </cell>
        </row>
        <row r="279">
          <cell r="A279" t="str">
            <v>sp 904</v>
          </cell>
          <cell r="B279" t="str">
            <v>Túi trà chữ đỏ lá vàng in 4 màu Tân Cương 500gr loại 10</v>
          </cell>
          <cell r="C279">
            <v>5.1000000000000005</v>
          </cell>
          <cell r="D279" t="str">
            <v>PET 12x760</v>
          </cell>
          <cell r="E279">
            <v>4</v>
          </cell>
          <cell r="F279">
            <v>4</v>
          </cell>
          <cell r="G279" t="str">
            <v>PET</v>
          </cell>
          <cell r="H279">
            <v>0</v>
          </cell>
          <cell r="I279">
            <v>1.1000000000000001</v>
          </cell>
          <cell r="J279">
            <v>0</v>
          </cell>
          <cell r="K279">
            <v>0.25</v>
          </cell>
          <cell r="L279">
            <v>0</v>
          </cell>
          <cell r="M279">
            <v>0</v>
          </cell>
          <cell r="N279">
            <v>3.6</v>
          </cell>
          <cell r="O279">
            <v>0.15</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t="str">
            <v>MPET 12x760</v>
          </cell>
          <cell r="AF279" t="str">
            <v>PE 75x760</v>
          </cell>
          <cell r="AG279">
            <v>7.8261000000000011E-2</v>
          </cell>
          <cell r="AH279">
            <v>1.1499999999999999</v>
          </cell>
          <cell r="AI279">
            <v>1.5</v>
          </cell>
          <cell r="AJ279">
            <v>9530</v>
          </cell>
          <cell r="AK279" t="str">
            <v>0,0053(0,0023;0,003)</v>
          </cell>
          <cell r="AL279">
            <v>0</v>
          </cell>
          <cell r="AM279" t="str">
            <v>túi hàn lưng xếp hông</v>
          </cell>
          <cell r="AN279">
            <v>420</v>
          </cell>
          <cell r="AO279" t="str">
            <v>Bùi Văn Sỹ</v>
          </cell>
          <cell r="AP279">
            <v>0</v>
          </cell>
          <cell r="AQ279" t="str">
            <v>1806232-1</v>
          </cell>
          <cell r="AR279" t="str">
            <v>1806232-2</v>
          </cell>
          <cell r="AS279" t="str">
            <v>1806232-3</v>
          </cell>
          <cell r="AT279" t="str">
            <v>1806232-4</v>
          </cell>
          <cell r="BA279" t="str">
            <v>420x870</v>
          </cell>
          <cell r="BB279" t="str">
            <v>F3</v>
          </cell>
        </row>
        <row r="280">
          <cell r="A280" t="str">
            <v>sp 905</v>
          </cell>
          <cell r="B280" t="str">
            <v>Túi trà chữ đỏ lá vàng in 4 màu Đặc Sản 500gr loại 10</v>
          </cell>
          <cell r="C280">
            <v>5.1000000000000005</v>
          </cell>
          <cell r="D280" t="str">
            <v>PET 12x760</v>
          </cell>
          <cell r="E280">
            <v>4</v>
          </cell>
          <cell r="F280">
            <v>4</v>
          </cell>
          <cell r="G280" t="str">
            <v>PET</v>
          </cell>
          <cell r="H280">
            <v>0</v>
          </cell>
          <cell r="I280">
            <v>1.1000000000000001</v>
          </cell>
          <cell r="J280">
            <v>0</v>
          </cell>
          <cell r="K280">
            <v>0.25</v>
          </cell>
          <cell r="L280">
            <v>0</v>
          </cell>
          <cell r="M280">
            <v>0</v>
          </cell>
          <cell r="N280">
            <v>3.6</v>
          </cell>
          <cell r="O280">
            <v>0.15</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t="str">
            <v>MPET 12x760</v>
          </cell>
          <cell r="AF280" t="str">
            <v>PE 75x760</v>
          </cell>
          <cell r="AG280">
            <v>7.8261000000000011E-2</v>
          </cell>
          <cell r="AH280">
            <v>1.1499999999999999</v>
          </cell>
          <cell r="AI280">
            <v>1.5</v>
          </cell>
          <cell r="AJ280">
            <v>9530</v>
          </cell>
          <cell r="AK280" t="str">
            <v>0,0053(0,0023;0,003)</v>
          </cell>
          <cell r="AL280">
            <v>0</v>
          </cell>
          <cell r="AM280" t="str">
            <v>túi hàn lưng xếp hông</v>
          </cell>
          <cell r="AN280">
            <v>420</v>
          </cell>
          <cell r="AO280" t="str">
            <v>Bùi Văn Sỹ</v>
          </cell>
          <cell r="AP280">
            <v>0</v>
          </cell>
          <cell r="AQ280" t="str">
            <v>1806233-1</v>
          </cell>
          <cell r="AR280" t="str">
            <v>1806233-2</v>
          </cell>
          <cell r="AS280" t="str">
            <v>1806233-3</v>
          </cell>
          <cell r="AT280" t="str">
            <v>1806233-4</v>
          </cell>
          <cell r="BA280" t="str">
            <v>420x870</v>
          </cell>
          <cell r="BB280" t="str">
            <v>F3</v>
          </cell>
        </row>
        <row r="281">
          <cell r="A281" t="str">
            <v>sp 906</v>
          </cell>
          <cell r="B281" t="str">
            <v>Cuộn thuốc trừ sâu Bemab 40WG hiệu con hổ đặc trị sâu kháng loại 8gr</v>
          </cell>
          <cell r="C281">
            <v>5.2</v>
          </cell>
          <cell r="D281" t="str">
            <v>PET 12x740</v>
          </cell>
          <cell r="E281">
            <v>6</v>
          </cell>
          <cell r="F281">
            <v>6</v>
          </cell>
          <cell r="G281" t="str">
            <v>PET</v>
          </cell>
          <cell r="H281">
            <v>0.2</v>
          </cell>
          <cell r="I281">
            <v>2.8</v>
          </cell>
          <cell r="J281">
            <v>0.1</v>
          </cell>
          <cell r="K281">
            <v>0.2</v>
          </cell>
          <cell r="L281">
            <v>0.8</v>
          </cell>
          <cell r="M281">
            <v>1</v>
          </cell>
          <cell r="N281">
            <v>0</v>
          </cell>
          <cell r="O281">
            <v>0</v>
          </cell>
          <cell r="P281">
            <v>0</v>
          </cell>
          <cell r="Q281">
            <v>0</v>
          </cell>
          <cell r="R281">
            <v>0.1</v>
          </cell>
          <cell r="S281">
            <v>0</v>
          </cell>
          <cell r="T281">
            <v>0</v>
          </cell>
          <cell r="U281">
            <v>0</v>
          </cell>
          <cell r="V281">
            <v>0</v>
          </cell>
          <cell r="W281">
            <v>0</v>
          </cell>
          <cell r="X281">
            <v>0</v>
          </cell>
          <cell r="Y281">
            <v>0</v>
          </cell>
          <cell r="Z281">
            <v>0</v>
          </cell>
          <cell r="AA281">
            <v>0</v>
          </cell>
          <cell r="AB281">
            <v>0</v>
          </cell>
          <cell r="AC281">
            <v>0</v>
          </cell>
          <cell r="AD281">
            <v>0</v>
          </cell>
          <cell r="AE281" t="str">
            <v>Al 6x740</v>
          </cell>
          <cell r="AF281" t="str">
            <v>PE 75x750</v>
          </cell>
          <cell r="AG281">
            <v>7.5801899999999992E-2</v>
          </cell>
          <cell r="AH281">
            <v>1.1193333333333333</v>
          </cell>
          <cell r="AI281">
            <v>1.1193333333333333</v>
          </cell>
          <cell r="AJ281">
            <v>9530</v>
          </cell>
          <cell r="AK281" t="str">
            <v>0,0046(0,0023;0,0023)</v>
          </cell>
          <cell r="AL281">
            <v>0</v>
          </cell>
          <cell r="AM281" t="str">
            <v>dạng cuộn 700m</v>
          </cell>
          <cell r="AN281">
            <v>180</v>
          </cell>
          <cell r="AO281" t="str">
            <v>Công ty Việt Thắng</v>
          </cell>
          <cell r="AP281">
            <v>0</v>
          </cell>
          <cell r="AQ281" t="str">
            <v>19110593-1</v>
          </cell>
          <cell r="AR281" t="str">
            <v>1804239-2</v>
          </cell>
          <cell r="AS281" t="str">
            <v>1804239-3</v>
          </cell>
          <cell r="AT281" t="str">
            <v>1804239-4</v>
          </cell>
          <cell r="AU281" t="str">
            <v>1804239-5</v>
          </cell>
          <cell r="AV281" t="str">
            <v>1804239-6</v>
          </cell>
          <cell r="BA281" t="str">
            <v>456x870</v>
          </cell>
          <cell r="BB281" t="str">
            <v>D4</v>
          </cell>
          <cell r="BC281" t="str">
            <v>in chung sp 910 trừ cây XL số 2</v>
          </cell>
        </row>
        <row r="282">
          <cell r="A282" t="str">
            <v>sp 907</v>
          </cell>
          <cell r="B282" t="str">
            <v>Túi thuốc trừ cỏ Wamrin 800WP chuyên trừ cỏ cho ngô loại 100gr</v>
          </cell>
          <cell r="C282">
            <v>4</v>
          </cell>
          <cell r="D282" t="str">
            <v>PET 12x700</v>
          </cell>
          <cell r="E282">
            <v>6</v>
          </cell>
          <cell r="F282">
            <v>6</v>
          </cell>
          <cell r="G282" t="str">
            <v>PET</v>
          </cell>
          <cell r="H282">
            <v>0.1</v>
          </cell>
          <cell r="I282">
            <v>3</v>
          </cell>
          <cell r="J282">
            <v>0.2</v>
          </cell>
          <cell r="K282">
            <v>0.2</v>
          </cell>
          <cell r="L282">
            <v>0.3</v>
          </cell>
          <cell r="M282">
            <v>0.1</v>
          </cell>
          <cell r="N282">
            <v>0</v>
          </cell>
          <cell r="O282">
            <v>0</v>
          </cell>
          <cell r="P282">
            <v>0</v>
          </cell>
          <cell r="Q282">
            <v>0</v>
          </cell>
          <cell r="R282">
            <v>0.1</v>
          </cell>
          <cell r="S282">
            <v>0</v>
          </cell>
          <cell r="T282">
            <v>0</v>
          </cell>
          <cell r="U282">
            <v>0</v>
          </cell>
          <cell r="V282">
            <v>0</v>
          </cell>
          <cell r="W282">
            <v>0</v>
          </cell>
          <cell r="X282">
            <v>0</v>
          </cell>
          <cell r="Y282">
            <v>0</v>
          </cell>
          <cell r="Z282">
            <v>0</v>
          </cell>
          <cell r="AA282">
            <v>0</v>
          </cell>
          <cell r="AB282">
            <v>0</v>
          </cell>
          <cell r="AC282">
            <v>0</v>
          </cell>
          <cell r="AD282">
            <v>0</v>
          </cell>
          <cell r="AE282" t="str">
            <v>Al 6x700</v>
          </cell>
          <cell r="AF282" t="str">
            <v>PE 75x710</v>
          </cell>
          <cell r="AG282">
            <v>7.170449999999999E-2</v>
          </cell>
          <cell r="AH282">
            <v>1.0579999999999998</v>
          </cell>
          <cell r="AI282">
            <v>1.0579999999999998</v>
          </cell>
          <cell r="AJ282">
            <v>9530</v>
          </cell>
          <cell r="AK282" t="str">
            <v>0,0046(0,0023;0,0023)</v>
          </cell>
          <cell r="AL282">
            <v>0</v>
          </cell>
          <cell r="AM282" t="str">
            <v>túi ba biên</v>
          </cell>
          <cell r="AN282">
            <v>240</v>
          </cell>
          <cell r="AO282" t="str">
            <v>Công ty Việt Thắng</v>
          </cell>
          <cell r="AP282">
            <v>0</v>
          </cell>
          <cell r="AQ282" t="str">
            <v>F120295G1-1</v>
          </cell>
          <cell r="AR282" t="str">
            <v>F120295G2-2</v>
          </cell>
          <cell r="AS282" t="str">
            <v>F120295-3</v>
          </cell>
          <cell r="AT282" t="str">
            <v>F120295-4</v>
          </cell>
          <cell r="AU282" t="str">
            <v>F120295-5</v>
          </cell>
          <cell r="AV282" t="str">
            <v>F120295-6</v>
          </cell>
          <cell r="BA282" t="str">
            <v>750x480</v>
          </cell>
          <cell r="BB282" t="str">
            <v>D4</v>
          </cell>
          <cell r="BC282" t="str">
            <v>in chung sp 910 trừ cây ĐC số 1</v>
          </cell>
        </row>
        <row r="283">
          <cell r="A283" t="str">
            <v>sp 915</v>
          </cell>
          <cell r="B283" t="str">
            <v>Túi thuốc trừ sâu Goldsai hiệu Metalaxyl 350WP loại 400gr USA</v>
          </cell>
          <cell r="C283">
            <v>0</v>
          </cell>
          <cell r="D283" t="str">
            <v>PET 12x660</v>
          </cell>
          <cell r="E283">
            <v>7</v>
          </cell>
          <cell r="F283">
            <v>7</v>
          </cell>
          <cell r="G283" t="str">
            <v>PET</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t="str">
            <v>MPET 12x660</v>
          </cell>
          <cell r="AF283" t="str">
            <v>PE 75x660</v>
          </cell>
          <cell r="AG283">
            <v>6.796350000000001E-2</v>
          </cell>
          <cell r="AH283">
            <v>0.99666666666666659</v>
          </cell>
          <cell r="AI283">
            <v>1.3</v>
          </cell>
          <cell r="AJ283">
            <v>9530</v>
          </cell>
          <cell r="AK283" t="str">
            <v>0,0053(0,0023;0,003)</v>
          </cell>
          <cell r="AL283">
            <v>0</v>
          </cell>
          <cell r="AM283" t="str">
            <v>túi ba biên</v>
          </cell>
          <cell r="AN283">
            <v>220</v>
          </cell>
          <cell r="AO283" t="str">
            <v>USA</v>
          </cell>
          <cell r="AP283">
            <v>0</v>
          </cell>
          <cell r="AQ283" t="str">
            <v>1804920-1</v>
          </cell>
          <cell r="AR283" t="str">
            <v>1804920-2</v>
          </cell>
          <cell r="AS283" t="str">
            <v>1804920-3</v>
          </cell>
          <cell r="AT283" t="str">
            <v>1804920-4</v>
          </cell>
          <cell r="AU283" t="str">
            <v>1804920-5</v>
          </cell>
          <cell r="AV283" t="str">
            <v>1804920-6</v>
          </cell>
          <cell r="AW283" t="str">
            <v>1804920-7</v>
          </cell>
          <cell r="BA283" t="str">
            <v>440x750</v>
          </cell>
          <cell r="BB283" t="str">
            <v>P2</v>
          </cell>
        </row>
        <row r="284">
          <cell r="A284" t="str">
            <v>sp 918</v>
          </cell>
          <cell r="B284" t="str">
            <v>Cuộn thuốc trị rầy Mã Lục 250WP siêu sạch rầy 12gr</v>
          </cell>
          <cell r="C284">
            <v>6.1999999999999993</v>
          </cell>
          <cell r="D284" t="str">
            <v>PET 12x600</v>
          </cell>
          <cell r="E284">
            <v>7</v>
          </cell>
          <cell r="F284">
            <v>7</v>
          </cell>
          <cell r="G284" t="str">
            <v>PET</v>
          </cell>
          <cell r="H284">
            <v>0.1</v>
          </cell>
          <cell r="I284">
            <v>3</v>
          </cell>
          <cell r="J284">
            <v>0.3</v>
          </cell>
          <cell r="K284">
            <v>0.1</v>
          </cell>
          <cell r="L284">
            <v>2.6</v>
          </cell>
          <cell r="M284">
            <v>0</v>
          </cell>
          <cell r="N284">
            <v>0</v>
          </cell>
          <cell r="O284">
            <v>0</v>
          </cell>
          <cell r="P284">
            <v>0</v>
          </cell>
          <cell r="Q284">
            <v>0</v>
          </cell>
          <cell r="R284">
            <v>0.1</v>
          </cell>
          <cell r="S284">
            <v>0</v>
          </cell>
          <cell r="T284">
            <v>0</v>
          </cell>
          <cell r="U284">
            <v>0</v>
          </cell>
          <cell r="V284">
            <v>0</v>
          </cell>
          <cell r="W284">
            <v>0</v>
          </cell>
          <cell r="X284">
            <v>0</v>
          </cell>
          <cell r="Y284">
            <v>0</v>
          </cell>
          <cell r="Z284">
            <v>0</v>
          </cell>
          <cell r="AA284">
            <v>0</v>
          </cell>
          <cell r="AB284">
            <v>0</v>
          </cell>
          <cell r="AC284">
            <v>0</v>
          </cell>
          <cell r="AD284">
            <v>0</v>
          </cell>
          <cell r="AE284" t="str">
            <v>Al 6x600</v>
          </cell>
          <cell r="AF284" t="str">
            <v>PEHD 75x610</v>
          </cell>
          <cell r="AG284">
            <v>6.1460999999999995E-2</v>
          </cell>
          <cell r="AH284">
            <v>0.90466666666666651</v>
          </cell>
          <cell r="AI284">
            <v>1.18</v>
          </cell>
          <cell r="AJ284">
            <v>9530</v>
          </cell>
          <cell r="AK284" t="str">
            <v>0,0053(0,0023;0,003)</v>
          </cell>
          <cell r="AL284">
            <v>0</v>
          </cell>
          <cell r="AM284" t="str">
            <v>dạng cuộn 700m</v>
          </cell>
          <cell r="AN284">
            <v>290</v>
          </cell>
          <cell r="AO284" t="str">
            <v>Công ty Việt Thắng</v>
          </cell>
          <cell r="AP284">
            <v>0</v>
          </cell>
          <cell r="AQ284" t="str">
            <v>20111111-1</v>
          </cell>
          <cell r="AR284" t="str">
            <v>18041053-2</v>
          </cell>
          <cell r="AS284" t="str">
            <v>18041053-3</v>
          </cell>
          <cell r="AT284" t="str">
            <v>18041053-4</v>
          </cell>
          <cell r="AU284" t="str">
            <v>20111111-5</v>
          </cell>
          <cell r="AV284" t="str">
            <v>18041053-6</v>
          </cell>
          <cell r="AW284" t="str">
            <v>18041053-7</v>
          </cell>
          <cell r="AX284">
            <v>0</v>
          </cell>
          <cell r="AY284">
            <v>0</v>
          </cell>
          <cell r="AZ284">
            <v>0</v>
          </cell>
          <cell r="BA284" t="str">
            <v>450x750</v>
          </cell>
          <cell r="BB284" t="str">
            <v>D4</v>
          </cell>
          <cell r="BC284">
            <v>0</v>
          </cell>
        </row>
        <row r="285">
          <cell r="A285" t="str">
            <v>sp 919</v>
          </cell>
          <cell r="B285" t="str">
            <v>Túi PA in 1 màu hình con gà KT 265x410</v>
          </cell>
          <cell r="C285">
            <v>0</v>
          </cell>
          <cell r="D285" t="str">
            <v>PA 15x550</v>
          </cell>
          <cell r="E285">
            <v>1</v>
          </cell>
          <cell r="F285">
            <v>1</v>
          </cell>
          <cell r="G285" t="str">
            <v>PET</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t="str">
            <v>PE 65x550</v>
          </cell>
          <cell r="AF285">
            <v>0</v>
          </cell>
          <cell r="AG285">
            <v>4.2556250000000004E-2</v>
          </cell>
          <cell r="AH285">
            <v>0.82799999999999996</v>
          </cell>
          <cell r="AI285">
            <v>0</v>
          </cell>
          <cell r="AJ285">
            <v>9530</v>
          </cell>
          <cell r="AK285">
            <v>2.3E-3</v>
          </cell>
          <cell r="AL285">
            <v>0</v>
          </cell>
          <cell r="AM285" t="str">
            <v xml:space="preserve">túi ba biên </v>
          </cell>
          <cell r="AN285">
            <v>410</v>
          </cell>
          <cell r="AO285" t="str">
            <v>Công ty Bích Ngọc</v>
          </cell>
          <cell r="AP285">
            <v>0</v>
          </cell>
          <cell r="AQ285" t="str">
            <v>1805271-1</v>
          </cell>
          <cell r="AR285">
            <v>0</v>
          </cell>
          <cell r="BA285" t="str">
            <v>410x750</v>
          </cell>
          <cell r="BB285" t="str">
            <v>P2</v>
          </cell>
        </row>
        <row r="286">
          <cell r="A286" t="str">
            <v>sp 920</v>
          </cell>
          <cell r="B286" t="str">
            <v>Túi thuốc trừ sâu siêu rầy rệp hiệu Chest USA loại 18gr Hòa Bình</v>
          </cell>
          <cell r="C286">
            <v>5.9399999999999986</v>
          </cell>
          <cell r="D286" t="str">
            <v>PET 12x620</v>
          </cell>
          <cell r="E286">
            <v>6</v>
          </cell>
          <cell r="F286">
            <v>6</v>
          </cell>
          <cell r="G286" t="str">
            <v>PET</v>
          </cell>
          <cell r="H286">
            <v>0.48</v>
          </cell>
          <cell r="I286">
            <v>3.5</v>
          </cell>
          <cell r="J286">
            <v>0.35</v>
          </cell>
          <cell r="K286">
            <v>0.13</v>
          </cell>
          <cell r="L286">
            <v>0.6</v>
          </cell>
          <cell r="M286">
            <v>0.35</v>
          </cell>
          <cell r="N286">
            <v>0</v>
          </cell>
          <cell r="O286">
            <v>0</v>
          </cell>
          <cell r="P286">
            <v>0.1</v>
          </cell>
          <cell r="Q286">
            <v>0.43</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t="str">
            <v>MPET 12x620</v>
          </cell>
          <cell r="AF286" t="str">
            <v>PE 75x620</v>
          </cell>
          <cell r="AG286">
            <v>6.3844500000000012E-2</v>
          </cell>
          <cell r="AH286">
            <v>0.93533333333333324</v>
          </cell>
          <cell r="AI286">
            <v>0.93533333333333324</v>
          </cell>
          <cell r="AJ286">
            <v>9530</v>
          </cell>
          <cell r="AK286" t="str">
            <v>0,0046(0,0023;0,0023)</v>
          </cell>
          <cell r="AL286">
            <v>0</v>
          </cell>
          <cell r="AM286" t="str">
            <v xml:space="preserve">túi ba biên </v>
          </cell>
          <cell r="AN286">
            <v>110</v>
          </cell>
          <cell r="AO286" t="str">
            <v>Công ty Quốc tế Hòa Bình</v>
          </cell>
          <cell r="AP286">
            <v>0</v>
          </cell>
          <cell r="AQ286" t="str">
            <v>1805441-1</v>
          </cell>
          <cell r="AR286" t="str">
            <v>1805441-2</v>
          </cell>
          <cell r="AS286" t="str">
            <v>1805441-3</v>
          </cell>
          <cell r="AT286" t="str">
            <v>1805441-4</v>
          </cell>
          <cell r="AU286" t="str">
            <v>1805441-5</v>
          </cell>
          <cell r="AV286" t="str">
            <v>1805441-6</v>
          </cell>
          <cell r="BA286" t="str">
            <v>440x750</v>
          </cell>
          <cell r="BB286" t="str">
            <v>T1</v>
          </cell>
        </row>
        <row r="287">
          <cell r="A287" t="str">
            <v>sp 921</v>
          </cell>
          <cell r="B287" t="str">
            <v>Túi thuốc trừ sâu Apazin 450WP hiệu hết rầy loại 15gr American</v>
          </cell>
          <cell r="C287">
            <v>4.5999999999999996</v>
          </cell>
          <cell r="D287" t="str">
            <v>PET 12x740</v>
          </cell>
          <cell r="E287">
            <v>7</v>
          </cell>
          <cell r="F287">
            <v>7</v>
          </cell>
          <cell r="G287" t="str">
            <v>PET</v>
          </cell>
          <cell r="H287">
            <v>0.1</v>
          </cell>
          <cell r="I287">
            <v>2.4</v>
          </cell>
          <cell r="J287">
            <v>0.1</v>
          </cell>
          <cell r="K287">
            <v>0.6</v>
          </cell>
          <cell r="L287">
            <v>1</v>
          </cell>
          <cell r="M287">
            <v>0.3</v>
          </cell>
          <cell r="N287">
            <v>0</v>
          </cell>
          <cell r="O287">
            <v>0</v>
          </cell>
          <cell r="P287">
            <v>0</v>
          </cell>
          <cell r="Q287">
            <v>0</v>
          </cell>
          <cell r="R287">
            <v>0.1</v>
          </cell>
          <cell r="S287">
            <v>0</v>
          </cell>
          <cell r="T287">
            <v>0</v>
          </cell>
          <cell r="U287">
            <v>0</v>
          </cell>
          <cell r="V287">
            <v>0</v>
          </cell>
          <cell r="W287">
            <v>0</v>
          </cell>
          <cell r="X287">
            <v>0</v>
          </cell>
          <cell r="Y287">
            <v>0</v>
          </cell>
          <cell r="Z287">
            <v>0</v>
          </cell>
          <cell r="AA287">
            <v>0</v>
          </cell>
          <cell r="AB287">
            <v>0</v>
          </cell>
          <cell r="AC287">
            <v>0</v>
          </cell>
          <cell r="AD287">
            <v>0</v>
          </cell>
          <cell r="AE287" t="str">
            <v>MPET 12x740</v>
          </cell>
          <cell r="AF287" t="str">
            <v>PE 75x740</v>
          </cell>
          <cell r="AG287">
            <v>7.6201500000000005E-2</v>
          </cell>
          <cell r="AH287">
            <v>1.1193333333333333</v>
          </cell>
          <cell r="AI287">
            <v>1.2166666666666668</v>
          </cell>
          <cell r="AJ287">
            <v>9530</v>
          </cell>
          <cell r="AK287" t="str">
            <v>0,0048(0,0023;0,0025)</v>
          </cell>
          <cell r="AL287">
            <v>0</v>
          </cell>
          <cell r="AM287" t="str">
            <v>túi ba biên</v>
          </cell>
          <cell r="AN287">
            <v>160</v>
          </cell>
          <cell r="AO287" t="str">
            <v>Công ty American</v>
          </cell>
          <cell r="AP287">
            <v>0</v>
          </cell>
          <cell r="AQ287" t="str">
            <v>1805789-1</v>
          </cell>
          <cell r="AR287" t="str">
            <v>1805789-2</v>
          </cell>
          <cell r="AS287" t="str">
            <v>1805789-3</v>
          </cell>
          <cell r="AT287" t="str">
            <v>1805789-4</v>
          </cell>
          <cell r="AU287" t="str">
            <v>1805789-5</v>
          </cell>
          <cell r="AV287" t="str">
            <v>1805789-6</v>
          </cell>
          <cell r="AW287" t="str">
            <v>1805789-7</v>
          </cell>
          <cell r="BA287" t="str">
            <v>480x870</v>
          </cell>
          <cell r="BB287" t="str">
            <v>P2</v>
          </cell>
        </row>
        <row r="288">
          <cell r="A288" t="str">
            <v>sp 922</v>
          </cell>
          <cell r="B288" t="str">
            <v>Túi thuốc trừ sâu Clodan super 700WP hiệu ốc cò loại 25gr Hòa Bình</v>
          </cell>
          <cell r="C288">
            <v>4.25</v>
          </cell>
          <cell r="D288" t="str">
            <v>PET 12x740</v>
          </cell>
          <cell r="E288">
            <v>6</v>
          </cell>
          <cell r="F288">
            <v>6</v>
          </cell>
          <cell r="G288" t="str">
            <v>PET</v>
          </cell>
          <cell r="H288">
            <v>0.1</v>
          </cell>
          <cell r="I288">
            <v>2</v>
          </cell>
          <cell r="J288">
            <v>0.15</v>
          </cell>
          <cell r="K288">
            <v>0.1</v>
          </cell>
          <cell r="L288">
            <v>1.4</v>
          </cell>
          <cell r="M288">
            <v>0</v>
          </cell>
          <cell r="N288">
            <v>0</v>
          </cell>
          <cell r="O288">
            <v>0</v>
          </cell>
          <cell r="P288">
            <v>0.5</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t="str">
            <v>MPET 12x740</v>
          </cell>
          <cell r="AF288" t="str">
            <v>PE 75x740</v>
          </cell>
          <cell r="AG288">
            <v>7.6201500000000005E-2</v>
          </cell>
          <cell r="AH288">
            <v>1.1193333333333333</v>
          </cell>
          <cell r="AI288">
            <v>1.2166666666666668</v>
          </cell>
          <cell r="AJ288">
            <v>9530</v>
          </cell>
          <cell r="AK288" t="str">
            <v>0,0048(0,0023;0,0025)</v>
          </cell>
          <cell r="AL288">
            <v>0</v>
          </cell>
          <cell r="AM288" t="str">
            <v>túi ba biên</v>
          </cell>
          <cell r="AN288">
            <v>125</v>
          </cell>
          <cell r="AO288" t="str">
            <v>Công ty Quốc tế Hòa Bình</v>
          </cell>
          <cell r="AP288">
            <v>0</v>
          </cell>
          <cell r="AQ288" t="str">
            <v>1805774-1</v>
          </cell>
          <cell r="AR288" t="str">
            <v>1805774-2</v>
          </cell>
          <cell r="AS288" t="str">
            <v>1805774-3</v>
          </cell>
          <cell r="AT288" t="str">
            <v>1805774-4</v>
          </cell>
          <cell r="AU288" t="str">
            <v>1805774-5</v>
          </cell>
          <cell r="AV288" t="str">
            <v>1805774-6</v>
          </cell>
          <cell r="BA288" t="str">
            <v>500x870</v>
          </cell>
          <cell r="BB288" t="str">
            <v>T2</v>
          </cell>
        </row>
        <row r="289">
          <cell r="A289" t="str">
            <v>sp 924</v>
          </cell>
          <cell r="B289" t="str">
            <v>Cuộn màng PA in chữ Farina khổ 350</v>
          </cell>
          <cell r="C289">
            <v>0.8</v>
          </cell>
          <cell r="D289" t="str">
            <v>PA 15x720</v>
          </cell>
          <cell r="E289">
            <v>1</v>
          </cell>
          <cell r="F289">
            <v>1</v>
          </cell>
          <cell r="G289" t="str">
            <v>PET</v>
          </cell>
          <cell r="H289">
            <v>0</v>
          </cell>
          <cell r="I289">
            <v>0.8</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t="str">
            <v>PE 75x720</v>
          </cell>
          <cell r="AF289">
            <v>0</v>
          </cell>
          <cell r="AG289">
            <v>6.2370000000000002E-2</v>
          </cell>
          <cell r="AH289">
            <v>1.0886666666666664</v>
          </cell>
          <cell r="AI289">
            <v>0</v>
          </cell>
          <cell r="AJ289">
            <v>9530</v>
          </cell>
          <cell r="AK289">
            <v>2.3E-3</v>
          </cell>
          <cell r="AL289">
            <v>0</v>
          </cell>
          <cell r="AM289" t="str">
            <v>dạng cuộn 900m</v>
          </cell>
          <cell r="AN289">
            <v>350</v>
          </cell>
          <cell r="AO289" t="str">
            <v>Công ty Farina</v>
          </cell>
          <cell r="AP289">
            <v>0</v>
          </cell>
          <cell r="AQ289" t="str">
            <v>18051397-1</v>
          </cell>
          <cell r="AR289">
            <v>0</v>
          </cell>
          <cell r="BA289" t="str">
            <v>445x870</v>
          </cell>
          <cell r="BB289" t="str">
            <v>P2</v>
          </cell>
        </row>
        <row r="290">
          <cell r="A290" t="str">
            <v>sp 935</v>
          </cell>
          <cell r="B290" t="str">
            <v>Túi lúa lai F1 MHC2 1 kg Mahyco</v>
          </cell>
          <cell r="C290">
            <v>0</v>
          </cell>
          <cell r="D290">
            <v>0</v>
          </cell>
          <cell r="E290">
            <v>7</v>
          </cell>
          <cell r="F290">
            <v>7</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t="str">
            <v>Công ty Mahyco</v>
          </cell>
          <cell r="AP290">
            <v>0</v>
          </cell>
          <cell r="AQ290" t="str">
            <v>18101258-1</v>
          </cell>
          <cell r="AR290" t="str">
            <v>18051213-2</v>
          </cell>
          <cell r="AS290" t="str">
            <v>18051213-3</v>
          </cell>
          <cell r="AT290" t="str">
            <v>18051213-4</v>
          </cell>
          <cell r="AU290" t="str">
            <v>18051213-5</v>
          </cell>
          <cell r="AV290" t="str">
            <v>18051213-6</v>
          </cell>
          <cell r="AW290" t="str">
            <v>18051213-7</v>
          </cell>
          <cell r="BA290" t="str">
            <v>620x1100</v>
          </cell>
          <cell r="BB290" t="str">
            <v>P2</v>
          </cell>
        </row>
        <row r="291">
          <cell r="A291" t="str">
            <v>sp 940</v>
          </cell>
          <cell r="B291" t="str">
            <v>Túi bánh trứng Tipo 115gr Hữu Nghị</v>
          </cell>
          <cell r="C291">
            <v>0</v>
          </cell>
          <cell r="D291">
            <v>0</v>
          </cell>
          <cell r="E291">
            <v>8</v>
          </cell>
          <cell r="F291">
            <v>8</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t="str">
            <v>Công ty Hữu Nghị</v>
          </cell>
          <cell r="AP291">
            <v>0</v>
          </cell>
          <cell r="AQ291" t="str">
            <v>X103086G1-1</v>
          </cell>
          <cell r="AR291" t="str">
            <v>X103086-2</v>
          </cell>
          <cell r="AS291" t="str">
            <v>X103086-3</v>
          </cell>
          <cell r="AT291" t="str">
            <v>X103086G1-4</v>
          </cell>
          <cell r="AU291" t="str">
            <v>X103086-5</v>
          </cell>
          <cell r="AV291" t="str">
            <v>X103086-6</v>
          </cell>
          <cell r="AW291" t="str">
            <v>X103086-7</v>
          </cell>
          <cell r="AX291" t="str">
            <v>X103086-8</v>
          </cell>
          <cell r="BA291" t="str">
            <v>520x1250</v>
          </cell>
          <cell r="BB291" t="str">
            <v>B1</v>
          </cell>
        </row>
        <row r="292">
          <cell r="A292" t="str">
            <v>sp 941</v>
          </cell>
          <cell r="B292" t="str">
            <v>Túi bánh trứng Tipo 220gr Hữu Nghị</v>
          </cell>
          <cell r="C292">
            <v>6.8999999999999995</v>
          </cell>
          <cell r="D292" t="str">
            <v>OPP 20x1120</v>
          </cell>
          <cell r="E292">
            <v>8</v>
          </cell>
          <cell r="F292">
            <v>8</v>
          </cell>
          <cell r="G292" t="str">
            <v>OPP</v>
          </cell>
          <cell r="H292">
            <v>0.1</v>
          </cell>
          <cell r="I292">
            <v>3.5</v>
          </cell>
          <cell r="J292">
            <v>0.1</v>
          </cell>
          <cell r="K292">
            <v>0.1</v>
          </cell>
          <cell r="L292">
            <v>0.8</v>
          </cell>
          <cell r="M292">
            <v>1</v>
          </cell>
          <cell r="N292">
            <v>0</v>
          </cell>
          <cell r="O292">
            <v>0.1</v>
          </cell>
          <cell r="P292">
            <v>1</v>
          </cell>
          <cell r="Q292">
            <v>0.1</v>
          </cell>
          <cell r="R292">
            <v>0.1</v>
          </cell>
          <cell r="S292">
            <v>0</v>
          </cell>
          <cell r="T292">
            <v>0</v>
          </cell>
          <cell r="U292">
            <v>0</v>
          </cell>
          <cell r="V292">
            <v>0</v>
          </cell>
          <cell r="W292">
            <v>0</v>
          </cell>
          <cell r="X292">
            <v>0</v>
          </cell>
          <cell r="Y292">
            <v>0</v>
          </cell>
          <cell r="Z292">
            <v>0</v>
          </cell>
          <cell r="AA292">
            <v>0</v>
          </cell>
          <cell r="AB292">
            <v>0</v>
          </cell>
          <cell r="AC292">
            <v>0</v>
          </cell>
          <cell r="AD292">
            <v>0</v>
          </cell>
          <cell r="AE292" t="str">
            <v>PE HD 60x1120</v>
          </cell>
          <cell r="AF292">
            <v>0</v>
          </cell>
          <cell r="AG292">
            <v>7.4390400000000009E-2</v>
          </cell>
          <cell r="AH292">
            <v>1.702</v>
          </cell>
          <cell r="AI292">
            <v>0</v>
          </cell>
          <cell r="AJ292">
            <v>9530</v>
          </cell>
          <cell r="AK292">
            <v>2.3E-3</v>
          </cell>
          <cell r="AL292">
            <v>0</v>
          </cell>
          <cell r="AM292" t="str">
            <v>túi bốn biên</v>
          </cell>
          <cell r="AN292">
            <v>365</v>
          </cell>
          <cell r="AO292" t="str">
            <v>Công ty Hữu Nghị</v>
          </cell>
          <cell r="AP292">
            <v>0</v>
          </cell>
          <cell r="AQ292" t="str">
            <v>1807850-1</v>
          </cell>
          <cell r="AR292" t="str">
            <v>1807850-2</v>
          </cell>
          <cell r="AS292" t="str">
            <v>1807850-3</v>
          </cell>
          <cell r="AT292" t="str">
            <v>1808242-4</v>
          </cell>
          <cell r="AU292" t="str">
            <v>1807850-5</v>
          </cell>
          <cell r="AV292" t="str">
            <v>1807850-6</v>
          </cell>
          <cell r="AW292" t="str">
            <v>1808242-7</v>
          </cell>
          <cell r="AX292" t="str">
            <v>1807850-8</v>
          </cell>
          <cell r="BA292" t="str">
            <v>730x750</v>
          </cell>
          <cell r="BB292" t="str">
            <v>B1</v>
          </cell>
        </row>
        <row r="293">
          <cell r="A293" t="str">
            <v>sp 943</v>
          </cell>
          <cell r="B293" t="str">
            <v>Túi thuốc trừ sâu Golnitor 50WP hiệu E8000 phá tổ diệt sâu loại 10gr hòa bình</v>
          </cell>
          <cell r="C293">
            <v>6.01</v>
          </cell>
          <cell r="D293" t="str">
            <v>PET 12x680</v>
          </cell>
          <cell r="E293">
            <v>6</v>
          </cell>
          <cell r="F293">
            <v>6</v>
          </cell>
          <cell r="G293" t="str">
            <v>PET</v>
          </cell>
          <cell r="H293">
            <v>0.08</v>
          </cell>
          <cell r="I293">
            <v>3.7</v>
          </cell>
          <cell r="J293">
            <v>7.0000000000000007E-2</v>
          </cell>
          <cell r="K293">
            <v>0.01</v>
          </cell>
          <cell r="L293">
            <v>0.75</v>
          </cell>
          <cell r="M293">
            <v>1</v>
          </cell>
          <cell r="N293">
            <v>0</v>
          </cell>
          <cell r="O293">
            <v>0</v>
          </cell>
          <cell r="P293">
            <v>0.4</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t="str">
            <v>MPET 12x680</v>
          </cell>
          <cell r="AF293" t="str">
            <v>PE 75x680</v>
          </cell>
          <cell r="AG293">
            <v>7.0023000000000016E-2</v>
          </cell>
          <cell r="AH293">
            <v>1.0273333333333332</v>
          </cell>
          <cell r="AI293">
            <v>1.0273333333333332</v>
          </cell>
          <cell r="AJ293">
            <v>9530</v>
          </cell>
          <cell r="AK293" t="str">
            <v>0,0046(0,0023,0,0023)</v>
          </cell>
          <cell r="AL293">
            <v>0</v>
          </cell>
          <cell r="AM293" t="str">
            <v>túi ba biên</v>
          </cell>
          <cell r="AN293">
            <v>145</v>
          </cell>
          <cell r="AO293" t="str">
            <v>Công ty Quốc tế Hòa Bình</v>
          </cell>
          <cell r="AP293">
            <v>0</v>
          </cell>
          <cell r="AQ293" t="str">
            <v>1806006-1</v>
          </cell>
          <cell r="AR293" t="str">
            <v>1806006-2</v>
          </cell>
          <cell r="AS293" t="str">
            <v>1806006-3</v>
          </cell>
          <cell r="AT293" t="str">
            <v>1806006-4</v>
          </cell>
          <cell r="AU293" t="str">
            <v>1806006-5</v>
          </cell>
          <cell r="AV293" t="str">
            <v>1806006-6</v>
          </cell>
          <cell r="BA293" t="str">
            <v xml:space="preserve"> 435x750</v>
          </cell>
          <cell r="BB293" t="str">
            <v>T2</v>
          </cell>
        </row>
        <row r="294">
          <cell r="A294" t="str">
            <v>sp 944</v>
          </cell>
          <cell r="B294" t="str">
            <v>Túi thuốc trừ sâu Jzomil 720WP đặc trị trên quả và lá loại 100gr USA</v>
          </cell>
          <cell r="C294">
            <v>4.32</v>
          </cell>
          <cell r="D294" t="str">
            <v>PET 12x640</v>
          </cell>
          <cell r="E294">
            <v>7</v>
          </cell>
          <cell r="F294">
            <v>7</v>
          </cell>
          <cell r="G294" t="str">
            <v>PET</v>
          </cell>
          <cell r="H294">
            <v>0.4</v>
          </cell>
          <cell r="I294">
            <v>1.8</v>
          </cell>
          <cell r="J294">
            <v>0.2</v>
          </cell>
          <cell r="K294">
            <v>0.02</v>
          </cell>
          <cell r="L294">
            <v>0.9</v>
          </cell>
          <cell r="M294">
            <v>0.5</v>
          </cell>
          <cell r="N294">
            <v>0</v>
          </cell>
          <cell r="O294">
            <v>0</v>
          </cell>
          <cell r="P294">
            <v>0.4</v>
          </cell>
          <cell r="Q294">
            <v>0</v>
          </cell>
          <cell r="R294">
            <v>0.1</v>
          </cell>
          <cell r="S294">
            <v>0</v>
          </cell>
          <cell r="T294">
            <v>0</v>
          </cell>
          <cell r="U294">
            <v>0</v>
          </cell>
          <cell r="V294">
            <v>0</v>
          </cell>
          <cell r="W294">
            <v>0</v>
          </cell>
          <cell r="X294">
            <v>0</v>
          </cell>
          <cell r="Y294">
            <v>0</v>
          </cell>
          <cell r="Z294">
            <v>0</v>
          </cell>
          <cell r="AA294">
            <v>0</v>
          </cell>
          <cell r="AB294">
            <v>0</v>
          </cell>
          <cell r="AC294">
            <v>0</v>
          </cell>
          <cell r="AD294">
            <v>0</v>
          </cell>
          <cell r="AE294" t="str">
            <v>MPET 12x640</v>
          </cell>
          <cell r="AF294" t="str">
            <v>PE75x640</v>
          </cell>
          <cell r="AG294">
            <v>6.5904000000000004E-2</v>
          </cell>
          <cell r="AH294">
            <v>0.96599999999999997</v>
          </cell>
          <cell r="AI294">
            <v>0.96599999999999997</v>
          </cell>
          <cell r="AJ294">
            <v>9530</v>
          </cell>
          <cell r="AK294" t="str">
            <v>0,0046(0,0023,0,0023)</v>
          </cell>
          <cell r="AL294">
            <v>0</v>
          </cell>
          <cell r="AM294" t="str">
            <v>túi ba biên</v>
          </cell>
          <cell r="AN294">
            <v>225</v>
          </cell>
          <cell r="AO294" t="str">
            <v xml:space="preserve"> USA</v>
          </cell>
          <cell r="AP294">
            <v>0</v>
          </cell>
          <cell r="AQ294" t="str">
            <v>1806007-1</v>
          </cell>
          <cell r="AR294" t="str">
            <v>1806007-2</v>
          </cell>
          <cell r="AS294" t="str">
            <v>1806007-3</v>
          </cell>
          <cell r="AT294" t="str">
            <v>1806007-4</v>
          </cell>
          <cell r="AU294" t="str">
            <v>1806007-5</v>
          </cell>
          <cell r="AV294" t="str">
            <v>1806007-6</v>
          </cell>
          <cell r="AW294" t="str">
            <v>1806007-7</v>
          </cell>
          <cell r="BA294" t="str">
            <v>450x750</v>
          </cell>
          <cell r="BB294" t="str">
            <v>P2</v>
          </cell>
        </row>
        <row r="295">
          <cell r="A295" t="str">
            <v>sp 947</v>
          </cell>
          <cell r="B295" t="str">
            <v>Túi muối sạch Formexim 200gr miền bắc</v>
          </cell>
          <cell r="C295">
            <v>0</v>
          </cell>
          <cell r="D295" t="str">
            <v>OPP 20x692</v>
          </cell>
          <cell r="E295">
            <v>7</v>
          </cell>
          <cell r="F295">
            <v>7</v>
          </cell>
          <cell r="G295" t="str">
            <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t="str">
            <v xml:space="preserve">Công ty muối sạch miền Bắc </v>
          </cell>
          <cell r="AP295">
            <v>0</v>
          </cell>
          <cell r="AQ295" t="str">
            <v>1807050-1</v>
          </cell>
          <cell r="AR295" t="str">
            <v>1807050-2</v>
          </cell>
          <cell r="AS295" t="str">
            <v>1807050-3</v>
          </cell>
          <cell r="AT295" t="str">
            <v>1807050-4</v>
          </cell>
          <cell r="AU295" t="str">
            <v>1807050-5</v>
          </cell>
          <cell r="AV295" t="str">
            <v>1807050-6</v>
          </cell>
          <cell r="AW295" t="str">
            <v>1807050-7</v>
          </cell>
          <cell r="BA295" t="str">
            <v>483x750</v>
          </cell>
          <cell r="BB295" t="str">
            <v>P2</v>
          </cell>
        </row>
        <row r="296">
          <cell r="A296" t="str">
            <v>sp 948</v>
          </cell>
          <cell r="B296" t="str">
            <v>Túi muối sạch Formexim 450gr miền bắc</v>
          </cell>
          <cell r="C296">
            <v>0</v>
          </cell>
          <cell r="D296" t="str">
            <v>OPP 20x640</v>
          </cell>
          <cell r="E296">
            <v>7</v>
          </cell>
          <cell r="F296">
            <v>7</v>
          </cell>
          <cell r="G296" t="str">
            <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t="str">
            <v xml:space="preserve">Công ty muối sạch miền Bắc </v>
          </cell>
          <cell r="AP296">
            <v>0</v>
          </cell>
          <cell r="AQ296" t="str">
            <v>1807049-1</v>
          </cell>
          <cell r="AR296" t="str">
            <v>1807049-2</v>
          </cell>
          <cell r="AS296" t="str">
            <v>1807049-3</v>
          </cell>
          <cell r="AT296" t="str">
            <v>1807049-4</v>
          </cell>
          <cell r="AU296" t="str">
            <v>1807049-5</v>
          </cell>
          <cell r="AV296" t="str">
            <v>1807049-6</v>
          </cell>
          <cell r="AW296" t="str">
            <v>1807049-7</v>
          </cell>
          <cell r="BA296" t="str">
            <v>430x750</v>
          </cell>
          <cell r="BB296" t="str">
            <v>P2</v>
          </cell>
          <cell r="BC296" t="str">
            <v>in chung sp 927</v>
          </cell>
        </row>
        <row r="297">
          <cell r="A297" t="str">
            <v>sp 950</v>
          </cell>
          <cell r="B297" t="str">
            <v>Túi chè 1 màu 100gr Hùng An</v>
          </cell>
          <cell r="C297">
            <v>0</v>
          </cell>
          <cell r="D297" t="str">
            <v>PET 12X740</v>
          </cell>
          <cell r="E297">
            <v>1</v>
          </cell>
          <cell r="F297">
            <v>1</v>
          </cell>
          <cell r="G297" t="str">
            <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I297">
            <v>0</v>
          </cell>
          <cell r="AJ297">
            <v>0</v>
          </cell>
          <cell r="AK297">
            <v>0</v>
          </cell>
          <cell r="AL297">
            <v>0</v>
          </cell>
          <cell r="AM297">
            <v>0</v>
          </cell>
          <cell r="AN297">
            <v>0</v>
          </cell>
          <cell r="AO297" t="str">
            <v>Công ty Hùng An</v>
          </cell>
          <cell r="AP297">
            <v>0</v>
          </cell>
          <cell r="AQ297" t="str">
            <v>1807515-1</v>
          </cell>
          <cell r="AR297">
            <v>0</v>
          </cell>
          <cell r="AS297">
            <v>0</v>
          </cell>
          <cell r="BA297" t="str">
            <v>540x870</v>
          </cell>
          <cell r="BB297" t="str">
            <v>P2</v>
          </cell>
        </row>
        <row r="298">
          <cell r="A298" t="str">
            <v>sp 951</v>
          </cell>
          <cell r="B298" t="str">
            <v>Cuộn bánh xốp Kexo hương cốm 265gr Hữu Nghị</v>
          </cell>
          <cell r="C298">
            <v>0</v>
          </cell>
          <cell r="D298" t="str">
            <v>opp 30x1000</v>
          </cell>
          <cell r="E298">
            <v>8</v>
          </cell>
          <cell r="F298">
            <v>8</v>
          </cell>
          <cell r="G298" t="str">
            <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t="str">
            <v>Công ty Hữu Nghị</v>
          </cell>
          <cell r="AP298">
            <v>0</v>
          </cell>
          <cell r="AQ298" t="str">
            <v>F121026G1-1</v>
          </cell>
          <cell r="AR298" t="str">
            <v>F121026G1-2</v>
          </cell>
          <cell r="AS298" t="str">
            <v>F121026G1-3</v>
          </cell>
          <cell r="AT298" t="str">
            <v>F121026G1-4</v>
          </cell>
          <cell r="AU298" t="str">
            <v>F121026G1-5</v>
          </cell>
          <cell r="AV298" t="str">
            <v>F121026G1-6</v>
          </cell>
          <cell r="AW298" t="str">
            <v>F121026G1-7</v>
          </cell>
          <cell r="AX298" t="str">
            <v>F121026G2NG1-8</v>
          </cell>
          <cell r="BA298" t="str">
            <v>405x1100</v>
          </cell>
          <cell r="BB298" t="str">
            <v>B1</v>
          </cell>
        </row>
        <row r="299">
          <cell r="A299" t="str">
            <v>sp 959</v>
          </cell>
          <cell r="B299" t="str">
            <v>Cuộn bánh bao nhân thập cẩm 100gr khổ 310 Phú Mỹ</v>
          </cell>
          <cell r="C299">
            <v>0</v>
          </cell>
          <cell r="E299">
            <v>7</v>
          </cell>
          <cell r="F299">
            <v>7</v>
          </cell>
          <cell r="G299" t="str">
            <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t="str">
            <v>Công ty Phú Mỹ</v>
          </cell>
          <cell r="AP299">
            <v>0</v>
          </cell>
          <cell r="AQ299" t="str">
            <v>1808254-1</v>
          </cell>
          <cell r="AR299" t="str">
            <v>1808254-2</v>
          </cell>
          <cell r="AS299" t="str">
            <v>1808254-3</v>
          </cell>
          <cell r="AT299" t="str">
            <v>1808254-4</v>
          </cell>
          <cell r="AU299" t="str">
            <v>1808254-5</v>
          </cell>
          <cell r="AV299" t="str">
            <v>1808254-6</v>
          </cell>
          <cell r="AW299" t="str">
            <v>1808254-7</v>
          </cell>
          <cell r="BA299" t="str">
            <v>525x750</v>
          </cell>
          <cell r="BB299" t="str">
            <v>V2</v>
          </cell>
        </row>
        <row r="300">
          <cell r="A300" t="str">
            <v>sp 960</v>
          </cell>
          <cell r="B300" t="str">
            <v>Cuộn Tipo bánh trứng nướng hộp giấy loại 48g.80g.250g</v>
          </cell>
          <cell r="C300" t="e">
            <v>#N/A</v>
          </cell>
          <cell r="D300">
            <v>0</v>
          </cell>
          <cell r="E300">
            <v>8</v>
          </cell>
          <cell r="F300">
            <v>8</v>
          </cell>
          <cell r="G300" t="e">
            <v>#N/A</v>
          </cell>
          <cell r="H300" t="e">
            <v>#N/A</v>
          </cell>
          <cell r="I300" t="e">
            <v>#N/A</v>
          </cell>
          <cell r="J300" t="e">
            <v>#N/A</v>
          </cell>
          <cell r="K300" t="e">
            <v>#N/A</v>
          </cell>
          <cell r="L300" t="e">
            <v>#N/A</v>
          </cell>
          <cell r="M300" t="e">
            <v>#N/A</v>
          </cell>
          <cell r="N300" t="e">
            <v>#N/A</v>
          </cell>
          <cell r="O300" t="e">
            <v>#N/A</v>
          </cell>
          <cell r="P300" t="e">
            <v>#N/A</v>
          </cell>
          <cell r="Q300" t="e">
            <v>#N/A</v>
          </cell>
          <cell r="R300" t="e">
            <v>#N/A</v>
          </cell>
          <cell r="S300" t="e">
            <v>#N/A</v>
          </cell>
          <cell r="T300" t="e">
            <v>#N/A</v>
          </cell>
          <cell r="U300" t="e">
            <v>#N/A</v>
          </cell>
          <cell r="V300" t="e">
            <v>#N/A</v>
          </cell>
          <cell r="W300" t="e">
            <v>#N/A</v>
          </cell>
          <cell r="X300" t="e">
            <v>#N/A</v>
          </cell>
          <cell r="Y300" t="e">
            <v>#N/A</v>
          </cell>
          <cell r="Z300" t="e">
            <v>#N/A</v>
          </cell>
          <cell r="AA300" t="e">
            <v>#N/A</v>
          </cell>
          <cell r="AB300" t="e">
            <v>#N/A</v>
          </cell>
          <cell r="AC300" t="e">
            <v>#N/A</v>
          </cell>
          <cell r="AD300" t="e">
            <v>#N/A</v>
          </cell>
          <cell r="AE300" t="e">
            <v>#N/A</v>
          </cell>
          <cell r="AF300" t="e">
            <v>#N/A</v>
          </cell>
          <cell r="AG300" t="e">
            <v>#N/A</v>
          </cell>
          <cell r="AH300" t="e">
            <v>#N/A</v>
          </cell>
          <cell r="AI300" t="e">
            <v>#N/A</v>
          </cell>
          <cell r="AJ300" t="e">
            <v>#N/A</v>
          </cell>
          <cell r="AK300" t="e">
            <v>#N/A</v>
          </cell>
          <cell r="AL300" t="e">
            <v>#N/A</v>
          </cell>
          <cell r="AM300" t="e">
            <v>#N/A</v>
          </cell>
          <cell r="AN300" t="e">
            <v>#N/A</v>
          </cell>
          <cell r="AO300" t="str">
            <v>Công ty Hữu Nghị</v>
          </cell>
          <cell r="AP300">
            <v>0</v>
          </cell>
          <cell r="AQ300" t="str">
            <v>F121164-1</v>
          </cell>
          <cell r="AR300" t="str">
            <v>F121164G5-2</v>
          </cell>
          <cell r="AS300" t="str">
            <v>F121164-3</v>
          </cell>
          <cell r="AT300" t="str">
            <v>F121164-4</v>
          </cell>
          <cell r="AU300" t="str">
            <v>F121164G4</v>
          </cell>
          <cell r="AV300" t="str">
            <v>F121164-6</v>
          </cell>
          <cell r="AW300" t="str">
            <v>F121164G3-7</v>
          </cell>
          <cell r="AX300" t="str">
            <v>F121164G1-0</v>
          </cell>
          <cell r="BA300" t="str">
            <v>500x870</v>
          </cell>
          <cell r="BB300" t="str">
            <v>B1</v>
          </cell>
        </row>
        <row r="301">
          <cell r="A301" t="str">
            <v>sp 961</v>
          </cell>
          <cell r="B301" t="str">
            <v>Túi nem hải sản loại đặc biệt 400gr Hạ Long</v>
          </cell>
          <cell r="C301">
            <v>0</v>
          </cell>
          <cell r="D301">
            <v>0</v>
          </cell>
          <cell r="E301">
            <v>6</v>
          </cell>
          <cell r="F301">
            <v>6</v>
          </cell>
          <cell r="G301" t="str">
            <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t="str">
            <v xml:space="preserve">Công ty Hạ Long </v>
          </cell>
          <cell r="AP301">
            <v>0</v>
          </cell>
          <cell r="AQ301" t="str">
            <v>X605472-1</v>
          </cell>
          <cell r="AR301" t="str">
            <v>X605472-2</v>
          </cell>
          <cell r="AS301" t="str">
            <v>X605472-3</v>
          </cell>
          <cell r="AT301" t="str">
            <v>X605472-4</v>
          </cell>
          <cell r="AU301" t="str">
            <v>X605472-5</v>
          </cell>
          <cell r="AV301" t="str">
            <v>X605472-6</v>
          </cell>
          <cell r="BA301" t="str">
            <v>410x750</v>
          </cell>
          <cell r="BB301" t="str">
            <v>P2</v>
          </cell>
        </row>
        <row r="302">
          <cell r="A302" t="str">
            <v>sp 964</v>
          </cell>
          <cell r="B302" t="str">
            <v>Túi trà chữ đỏ  lá vàng 4 màu 
đặc sản 200gr loại 10</v>
          </cell>
          <cell r="D302" t="str">
            <v>Pet 12x640</v>
          </cell>
          <cell r="E302">
            <v>4</v>
          </cell>
          <cell r="F302">
            <v>4</v>
          </cell>
          <cell r="AO302" t="str">
            <v>Bùi Văn Sỹ</v>
          </cell>
          <cell r="AP302">
            <v>0</v>
          </cell>
          <cell r="AQ302" t="str">
            <v>1808890-1</v>
          </cell>
          <cell r="AR302" t="str">
            <v>1808890-2</v>
          </cell>
          <cell r="AS302" t="str">
            <v>1808890-3</v>
          </cell>
          <cell r="AT302" t="str">
            <v>1808890-4</v>
          </cell>
          <cell r="BA302" t="str">
            <v>680x750</v>
          </cell>
          <cell r="BB302" t="str">
            <v>F3</v>
          </cell>
          <cell r="BC302">
            <v>0</v>
          </cell>
        </row>
        <row r="303">
          <cell r="A303" t="str">
            <v>sp 965</v>
          </cell>
          <cell r="B303" t="str">
            <v>Túi thức ăn cho heo Pig one 2kg BMC</v>
          </cell>
          <cell r="D303" t="str">
            <v>OPP 20x540</v>
          </cell>
          <cell r="E303">
            <v>5</v>
          </cell>
          <cell r="F303">
            <v>5</v>
          </cell>
          <cell r="AO303" t="str">
            <v>CTY BMC</v>
          </cell>
          <cell r="AP303">
            <v>0</v>
          </cell>
          <cell r="AQ303" t="str">
            <v>1808891-1</v>
          </cell>
          <cell r="AR303" t="str">
            <v>1808891-2</v>
          </cell>
          <cell r="AS303" t="str">
            <v>1808891-3</v>
          </cell>
          <cell r="AT303" t="str">
            <v>1808891-4</v>
          </cell>
          <cell r="AU303" t="str">
            <v>1808891-5</v>
          </cell>
          <cell r="BA303" t="str">
            <v>420x750</v>
          </cell>
          <cell r="BB303" t="str">
            <v>P2</v>
          </cell>
          <cell r="BC303">
            <v>0</v>
          </cell>
        </row>
        <row r="304">
          <cell r="A304" t="str">
            <v>sp 966</v>
          </cell>
          <cell r="B304" t="str">
            <v>Túi chè vàng trơn HTP 100gr loại 13</v>
          </cell>
          <cell r="D304" t="str">
            <v>Pet 12x740</v>
          </cell>
          <cell r="E304">
            <v>1</v>
          </cell>
          <cell r="F304">
            <v>1</v>
          </cell>
          <cell r="AO304" t="str">
            <v>Bùi Văn Sỹ</v>
          </cell>
          <cell r="AP304">
            <v>0</v>
          </cell>
          <cell r="AQ304" t="str">
            <v>18081040-1</v>
          </cell>
          <cell r="BA304" t="str">
            <v>840x870</v>
          </cell>
          <cell r="BB304" t="str">
            <v>F3</v>
          </cell>
          <cell r="BC304">
            <v>0</v>
          </cell>
        </row>
        <row r="305">
          <cell r="A305" t="str">
            <v>sp 967</v>
          </cell>
          <cell r="B305" t="str">
            <v>Túi chè vàng trơn HTP 200gr loại 13</v>
          </cell>
          <cell r="D305" t="str">
            <v>Pet 12x620</v>
          </cell>
          <cell r="E305">
            <v>1</v>
          </cell>
          <cell r="F305">
            <v>1</v>
          </cell>
          <cell r="AO305" t="str">
            <v>Bùi Văn Sỹ</v>
          </cell>
          <cell r="AP305">
            <v>0</v>
          </cell>
          <cell r="AQ305" t="str">
            <v>18081041-1</v>
          </cell>
          <cell r="BA305" t="str">
            <v>680x750</v>
          </cell>
          <cell r="BB305" t="str">
            <v>F3</v>
          </cell>
          <cell r="BC305">
            <v>0</v>
          </cell>
        </row>
        <row r="306">
          <cell r="A306" t="str">
            <v>sp 968</v>
          </cell>
          <cell r="B306" t="str">
            <v>Túi chè vàng trơn HTP 500gr loại 13</v>
          </cell>
          <cell r="D306" t="str">
            <v>Pet 12x760</v>
          </cell>
          <cell r="E306">
            <v>1</v>
          </cell>
          <cell r="F306">
            <v>1</v>
          </cell>
          <cell r="AO306" t="str">
            <v>Bùi Văn Sỹ</v>
          </cell>
          <cell r="AP306">
            <v>0</v>
          </cell>
          <cell r="AQ306" t="str">
            <v>18081042-1</v>
          </cell>
          <cell r="BA306" t="str">
            <v>420x870</v>
          </cell>
          <cell r="BB306" t="str">
            <v>F3</v>
          </cell>
          <cell r="BC306">
            <v>0</v>
          </cell>
        </row>
        <row r="307">
          <cell r="A307" t="str">
            <v>sp 969</v>
          </cell>
          <cell r="B307" t="str">
            <v>Túi trà bản đồ Tân Cương 100gr loại 14</v>
          </cell>
          <cell r="D307" t="str">
            <v>Pet 12x740</v>
          </cell>
          <cell r="E307">
            <v>6</v>
          </cell>
          <cell r="F307">
            <v>6</v>
          </cell>
          <cell r="AO307" t="str">
            <v>Bùi Văn Sỹ</v>
          </cell>
          <cell r="AP307">
            <v>0</v>
          </cell>
          <cell r="AQ307" t="str">
            <v>1809154-1</v>
          </cell>
          <cell r="AR307" t="str">
            <v>1809154-2</v>
          </cell>
          <cell r="AS307" t="str">
            <v>1809154-3</v>
          </cell>
          <cell r="AT307" t="str">
            <v>1809154-4</v>
          </cell>
          <cell r="AU307" t="str">
            <v>1809154-5</v>
          </cell>
          <cell r="AV307" t="str">
            <v>1809154-6</v>
          </cell>
          <cell r="BA307" t="str">
            <v>540x850</v>
          </cell>
          <cell r="BB307" t="str">
            <v>F4</v>
          </cell>
          <cell r="BC307">
            <v>0</v>
          </cell>
        </row>
        <row r="308">
          <cell r="A308" t="str">
            <v>sp 970</v>
          </cell>
          <cell r="B308" t="str">
            <v>Túi trà bản đồ Tân Cương 200gr loại 14</v>
          </cell>
          <cell r="D308" t="str">
            <v>Pet 12x620</v>
          </cell>
          <cell r="E308">
            <v>6</v>
          </cell>
          <cell r="F308">
            <v>6</v>
          </cell>
          <cell r="AO308" t="str">
            <v>Bùi Văn Sỹ</v>
          </cell>
          <cell r="AP308">
            <v>0</v>
          </cell>
          <cell r="AQ308" t="str">
            <v>1809155-1</v>
          </cell>
          <cell r="AR308" t="str">
            <v>1809155-2</v>
          </cell>
          <cell r="AS308" t="str">
            <v>1809155-3</v>
          </cell>
          <cell r="AT308" t="str">
            <v>1809155-4</v>
          </cell>
          <cell r="AU308" t="str">
            <v>1809155-5</v>
          </cell>
          <cell r="AV308" t="str">
            <v>1809155-6</v>
          </cell>
          <cell r="BA308" t="str">
            <v>680x750</v>
          </cell>
          <cell r="BB308" t="str">
            <v>F4</v>
          </cell>
          <cell r="BC308">
            <v>0</v>
          </cell>
        </row>
        <row r="309">
          <cell r="A309" t="str">
            <v>sp 971</v>
          </cell>
          <cell r="B309" t="str">
            <v>Túi trà bả đồ Đặc Sản 200gr loại 14</v>
          </cell>
          <cell r="D309" t="str">
            <v>Pet 12x620</v>
          </cell>
          <cell r="E309">
            <v>6</v>
          </cell>
          <cell r="F309">
            <v>6</v>
          </cell>
          <cell r="AO309" t="str">
            <v>Bùi Văn Sỹ</v>
          </cell>
          <cell r="AP309">
            <v>0</v>
          </cell>
          <cell r="AQ309" t="str">
            <v>1809156-1</v>
          </cell>
          <cell r="AR309" t="str">
            <v>1809156-2</v>
          </cell>
          <cell r="AS309" t="str">
            <v>1809156-3</v>
          </cell>
          <cell r="AT309" t="str">
            <v>1809156-4</v>
          </cell>
          <cell r="AU309" t="str">
            <v>1809156-5</v>
          </cell>
          <cell r="AV309" t="str">
            <v>1809156-6</v>
          </cell>
          <cell r="BA309" t="str">
            <v>540x750</v>
          </cell>
          <cell r="BB309" t="str">
            <v>F4</v>
          </cell>
          <cell r="BC309">
            <v>0</v>
          </cell>
        </row>
        <row r="310">
          <cell r="A310" t="str">
            <v>sp 972</v>
          </cell>
          <cell r="B310" t="str">
            <v>Túi trà bản đồ Tân Cương 500gr loại 14</v>
          </cell>
          <cell r="D310" t="str">
            <v>Pet 12x760</v>
          </cell>
          <cell r="E310">
            <v>6</v>
          </cell>
          <cell r="F310">
            <v>6</v>
          </cell>
          <cell r="AO310" t="str">
            <v>Bùi Văn Sỹ</v>
          </cell>
          <cell r="AP310">
            <v>0</v>
          </cell>
          <cell r="AQ310" t="str">
            <v>1809157-1</v>
          </cell>
          <cell r="AR310" t="str">
            <v>1809157-2</v>
          </cell>
          <cell r="AS310" t="str">
            <v>1809157-3</v>
          </cell>
          <cell r="AT310" t="str">
            <v>1809157-4</v>
          </cell>
          <cell r="AU310" t="str">
            <v>1809157-5</v>
          </cell>
          <cell r="AV310" t="str">
            <v>1809157-6</v>
          </cell>
          <cell r="BA310" t="str">
            <v>420x850</v>
          </cell>
          <cell r="BB310" t="str">
            <v>F4</v>
          </cell>
          <cell r="BC310">
            <v>0</v>
          </cell>
        </row>
        <row r="311">
          <cell r="A311" t="str">
            <v>sp 973</v>
          </cell>
          <cell r="B311" t="str">
            <v>Túi trà bản đồ Đặc Sản 500gr loại 14</v>
          </cell>
          <cell r="D311" t="str">
            <v>Pet 12x760</v>
          </cell>
          <cell r="E311">
            <v>6</v>
          </cell>
          <cell r="F311">
            <v>6</v>
          </cell>
          <cell r="AO311" t="str">
            <v>Bùi Văn Sỹ</v>
          </cell>
          <cell r="AP311">
            <v>0</v>
          </cell>
          <cell r="AQ311" t="str">
            <v>1809158-1</v>
          </cell>
          <cell r="AR311" t="str">
            <v>1809158-2</v>
          </cell>
          <cell r="AS311" t="str">
            <v>1809158-3</v>
          </cell>
          <cell r="AT311" t="str">
            <v>1809158-4</v>
          </cell>
          <cell r="AU311" t="str">
            <v>1809158-5</v>
          </cell>
          <cell r="AV311" t="str">
            <v>1809158-6</v>
          </cell>
          <cell r="BA311" t="str">
            <v>480x850</v>
          </cell>
          <cell r="BB311" t="str">
            <v>F4</v>
          </cell>
          <cell r="BC311">
            <v>0</v>
          </cell>
        </row>
        <row r="312">
          <cell r="A312" t="str">
            <v>sp 974</v>
          </cell>
          <cell r="B312" t="str">
            <v xml:space="preserve">Túi thuốc trừ sâu Usatabon 17,5WP vua trừ nhện loại 35gr American </v>
          </cell>
          <cell r="D312" t="str">
            <v>Pet 12x700</v>
          </cell>
          <cell r="E312">
            <v>7</v>
          </cell>
          <cell r="F312">
            <v>7</v>
          </cell>
          <cell r="AO312" t="str">
            <v>Công ty American</v>
          </cell>
          <cell r="AP312" t="str">
            <v>H019795</v>
          </cell>
          <cell r="AQ312" t="str">
            <v>1809454-1</v>
          </cell>
          <cell r="AR312" t="str">
            <v>1809454-2</v>
          </cell>
          <cell r="AS312" t="str">
            <v>1809454-3</v>
          </cell>
          <cell r="AT312" t="str">
            <v>1809454-4</v>
          </cell>
          <cell r="AU312" t="str">
            <v>1809454-5</v>
          </cell>
          <cell r="AV312" t="str">
            <v>1809454-6</v>
          </cell>
          <cell r="AW312" t="str">
            <v>1809454-7</v>
          </cell>
          <cell r="BA312" t="str">
            <v>500x870</v>
          </cell>
          <cell r="BB312" t="str">
            <v>P2</v>
          </cell>
          <cell r="BC312">
            <v>0</v>
          </cell>
        </row>
        <row r="313">
          <cell r="A313" t="str">
            <v>sp 975</v>
          </cell>
          <cell r="B313" t="str">
            <v xml:space="preserve">Túi thuốc trừ sâu New Zimvil 750WP vua trị vàng lá 1kg American </v>
          </cell>
          <cell r="D313" t="str">
            <v>Pet 12x760</v>
          </cell>
          <cell r="E313">
            <v>7</v>
          </cell>
          <cell r="F313">
            <v>7</v>
          </cell>
          <cell r="AO313" t="str">
            <v>Công ty American</v>
          </cell>
          <cell r="AP313" t="str">
            <v>H019796</v>
          </cell>
          <cell r="AQ313" t="str">
            <v>1809455-1</v>
          </cell>
          <cell r="AR313" t="str">
            <v>1809455-2</v>
          </cell>
          <cell r="AS313" t="str">
            <v>1809455-3</v>
          </cell>
          <cell r="AT313" t="str">
            <v>1809455-4</v>
          </cell>
          <cell r="AU313" t="str">
            <v>1809455-5</v>
          </cell>
          <cell r="AV313" t="str">
            <v>1809455-6</v>
          </cell>
          <cell r="AW313" t="str">
            <v>1809455-7</v>
          </cell>
          <cell r="BA313" t="str">
            <v>510x870</v>
          </cell>
          <cell r="BB313" t="str">
            <v>Q1</v>
          </cell>
          <cell r="BC313">
            <v>0</v>
          </cell>
        </row>
        <row r="314">
          <cell r="A314" t="str">
            <v>sp 987</v>
          </cell>
          <cell r="B314" t="str">
            <v>Cuộn bánh Merry khay 160gr Santa</v>
          </cell>
          <cell r="D314" t="str">
            <v>OPP 30x875</v>
          </cell>
          <cell r="E314">
            <v>1</v>
          </cell>
          <cell r="F314">
            <v>1</v>
          </cell>
          <cell r="AO314" t="str">
            <v>Công ty Santa</v>
          </cell>
          <cell r="AP314">
            <v>0</v>
          </cell>
          <cell r="AQ314" t="str">
            <v>F121418-1</v>
          </cell>
          <cell r="BA314" t="str">
            <v>620x1100</v>
          </cell>
          <cell r="BB314" t="str">
            <v>Q1</v>
          </cell>
          <cell r="BC314">
            <v>0</v>
          </cell>
        </row>
        <row r="315">
          <cell r="A315" t="str">
            <v>sp 988</v>
          </cell>
          <cell r="B315" t="str">
            <v>Cuộn bánh Merry khay 90gr Santa</v>
          </cell>
          <cell r="D315" t="str">
            <v>OPP30x910</v>
          </cell>
          <cell r="E315">
            <v>1</v>
          </cell>
          <cell r="F315">
            <v>1</v>
          </cell>
          <cell r="AO315" t="str">
            <v>Công ty Santa</v>
          </cell>
          <cell r="AP315">
            <v>0</v>
          </cell>
          <cell r="AQ315" t="str">
            <v>F121417-1</v>
          </cell>
          <cell r="BA315" t="str">
            <v>460x1100</v>
          </cell>
          <cell r="BB315" t="str">
            <v>Q1</v>
          </cell>
          <cell r="BC315">
            <v>0</v>
          </cell>
        </row>
        <row r="316">
          <cell r="A316" t="str">
            <v>sp 989</v>
          </cell>
          <cell r="B316" t="str">
            <v>Túi nem hải sản loại đặc biệt 500gr Hạ Long</v>
          </cell>
          <cell r="E316">
            <v>1</v>
          </cell>
          <cell r="F316">
            <v>6</v>
          </cell>
          <cell r="AO316" t="str">
            <v xml:space="preserve">Công ty Hạ Long </v>
          </cell>
          <cell r="AP316">
            <v>0</v>
          </cell>
          <cell r="AQ316" t="str">
            <v>X605472G2-1</v>
          </cell>
          <cell r="AR316" t="str">
            <v>X605472-2</v>
          </cell>
          <cell r="AS316" t="str">
            <v>X605472-3</v>
          </cell>
          <cell r="AT316" t="str">
            <v>X605472-4</v>
          </cell>
          <cell r="AU316" t="str">
            <v>X605472-5</v>
          </cell>
          <cell r="AV316" t="str">
            <v>X605472-6</v>
          </cell>
          <cell r="BA316" t="str">
            <v>410x750</v>
          </cell>
          <cell r="BB316" t="str">
            <v>Q1</v>
          </cell>
          <cell r="BC316" t="str">
            <v xml:space="preserve">in chung với bộ sp 961 : X605472 trừ cây đen số 1 </v>
          </cell>
        </row>
        <row r="317">
          <cell r="A317" t="str">
            <v>sp 990</v>
          </cell>
          <cell r="B317" t="str">
            <v>Cuộn bánh Merry khay 14gr Santa</v>
          </cell>
          <cell r="D317" t="str">
            <v>OPP 20x870</v>
          </cell>
          <cell r="E317">
            <v>1</v>
          </cell>
          <cell r="F317">
            <v>1</v>
          </cell>
          <cell r="AO317" t="str">
            <v>Công ty Santa</v>
          </cell>
          <cell r="AP317">
            <v>0</v>
          </cell>
          <cell r="AQ317" t="str">
            <v>F121592-1</v>
          </cell>
          <cell r="BA317" t="str">
            <v>490x1100</v>
          </cell>
          <cell r="BB317" t="str">
            <v>Q1</v>
          </cell>
          <cell r="BC317">
            <v>0</v>
          </cell>
        </row>
        <row r="318">
          <cell r="A318" t="str">
            <v>sp 991</v>
          </cell>
          <cell r="B318" t="str">
            <v>Cuộn bánh Merry khay 22gr Santa</v>
          </cell>
          <cell r="D318" t="str">
            <v>OPP 20x955</v>
          </cell>
          <cell r="E318">
            <v>1</v>
          </cell>
          <cell r="F318">
            <v>1</v>
          </cell>
          <cell r="AO318" t="str">
            <v>Công ty Santa</v>
          </cell>
          <cell r="AP318">
            <v>0</v>
          </cell>
          <cell r="AQ318" t="str">
            <v>F121596-1</v>
          </cell>
          <cell r="BA318" t="str">
            <v>428x1100</v>
          </cell>
          <cell r="BB318" t="str">
            <v>Q1</v>
          </cell>
          <cell r="BC318">
            <v>0</v>
          </cell>
        </row>
        <row r="319">
          <cell r="A319" t="str">
            <v>sp 992</v>
          </cell>
          <cell r="B319" t="str">
            <v xml:space="preserve">Cuộn bánh Merry khay 63gr Santa </v>
          </cell>
          <cell r="D319" t="str">
            <v>OPP 20x900</v>
          </cell>
          <cell r="E319">
            <v>1</v>
          </cell>
          <cell r="F319">
            <v>1</v>
          </cell>
          <cell r="AO319" t="str">
            <v>Công ty Santa</v>
          </cell>
          <cell r="AP319">
            <v>0</v>
          </cell>
          <cell r="AQ319" t="str">
            <v>F121597-1</v>
          </cell>
          <cell r="BA319" t="str">
            <v>474x1100</v>
          </cell>
          <cell r="BB319" t="str">
            <v>Q1</v>
          </cell>
          <cell r="BC319">
            <v>0</v>
          </cell>
        </row>
        <row r="320">
          <cell r="A320" t="str">
            <v>sp 995</v>
          </cell>
          <cell r="B320" t="str">
            <v xml:space="preserve">Túi lúa in chung 5kg 2018 Thái Bình </v>
          </cell>
          <cell r="E320">
            <v>7</v>
          </cell>
          <cell r="F320">
            <v>7</v>
          </cell>
          <cell r="AO320" t="str">
            <v>Công ty Thái Bình</v>
          </cell>
          <cell r="AP320" t="str">
            <v>H021675</v>
          </cell>
          <cell r="AQ320" t="str">
            <v>1811585-1</v>
          </cell>
          <cell r="AR320" t="str">
            <v>1811585-2</v>
          </cell>
          <cell r="AS320" t="str">
            <v>1811585-3</v>
          </cell>
          <cell r="AT320" t="str">
            <v>1811585-4</v>
          </cell>
          <cell r="AU320" t="str">
            <v>1811585-5</v>
          </cell>
          <cell r="AV320" t="str">
            <v>1811585-6</v>
          </cell>
          <cell r="AW320" t="str">
            <v>1811585-7</v>
          </cell>
          <cell r="BA320" t="str">
            <v>570x850</v>
          </cell>
          <cell r="BB320" t="str">
            <v>J1</v>
          </cell>
          <cell r="BC320">
            <v>0</v>
          </cell>
        </row>
        <row r="321">
          <cell r="A321" t="str">
            <v>sp 997</v>
          </cell>
          <cell r="B321" t="str">
            <v>Túi hạt giống lúa TBR279 XN1 1kg Thái Bình</v>
          </cell>
          <cell r="D321" t="str">
            <v>OPP 20x900</v>
          </cell>
          <cell r="E321">
            <v>3</v>
          </cell>
          <cell r="F321">
            <v>8</v>
          </cell>
          <cell r="AO321" t="str">
            <v>Công ty Thái Bình</v>
          </cell>
          <cell r="AP321">
            <v>0</v>
          </cell>
          <cell r="AQ321" t="str">
            <v>1811388-1</v>
          </cell>
          <cell r="AR321" t="str">
            <v>1609240-2</v>
          </cell>
          <cell r="AS321" t="str">
            <v>1609240-3</v>
          </cell>
          <cell r="AT321" t="str">
            <v>1609240-4</v>
          </cell>
          <cell r="AU321" t="str">
            <v>1811388-5</v>
          </cell>
          <cell r="AV321" t="str">
            <v>1811388-6</v>
          </cell>
          <cell r="AW321" t="str">
            <v>1710724-7</v>
          </cell>
          <cell r="AX321" t="str">
            <v>1807922-8</v>
          </cell>
          <cell r="BA321" t="str">
            <v>620x1100</v>
          </cell>
          <cell r="BB321" t="str">
            <v>I3</v>
          </cell>
          <cell r="BC321" t="str">
            <v>in chung (2;3;4) với sp 630; (7) với sp 834</v>
          </cell>
        </row>
        <row r="322">
          <cell r="A322" t="str">
            <v>sp 996</v>
          </cell>
          <cell r="B322" t="str">
            <v>Túi hạt giống lúa TBR279 XN1 40kg Thái Bình</v>
          </cell>
          <cell r="E322">
            <v>2</v>
          </cell>
          <cell r="F322">
            <v>6</v>
          </cell>
          <cell r="AO322" t="str">
            <v>Công ty Thái Bình</v>
          </cell>
          <cell r="AP322" t="str">
            <v>H009667C2</v>
          </cell>
          <cell r="AQ322" t="str">
            <v>17101029-1</v>
          </cell>
          <cell r="AR322" t="str">
            <v>1609242-2</v>
          </cell>
          <cell r="AS322" t="str">
            <v>17101029-3</v>
          </cell>
          <cell r="AT322" t="str">
            <v>1710745-4</v>
          </cell>
          <cell r="AU322" t="str">
            <v>1811640-5</v>
          </cell>
          <cell r="AV322" t="str">
            <v>1811640-6</v>
          </cell>
          <cell r="BA322" t="str">
            <v>1100x850</v>
          </cell>
          <cell r="BB322" t="str">
            <v>K4</v>
          </cell>
          <cell r="BC322" t="str">
            <v xml:space="preserve">in chung (1,2,3,4) với sp 634: 1602242(2);1710745(4);17101029(1,3) </v>
          </cell>
        </row>
        <row r="323">
          <cell r="A323" t="str">
            <v>sp 999</v>
          </cell>
          <cell r="B323" t="str">
            <v xml:space="preserve">Túi nem hải sản cung đình miền Hạ Long 350gr </v>
          </cell>
          <cell r="D323" t="str">
            <v>OPP 20x590</v>
          </cell>
          <cell r="E323">
            <v>6</v>
          </cell>
          <cell r="F323">
            <v>6</v>
          </cell>
          <cell r="AO323" t="str">
            <v xml:space="preserve">Công ty Hạ Long </v>
          </cell>
          <cell r="AP323">
            <v>0</v>
          </cell>
          <cell r="AQ323" t="str">
            <v>F417888-1</v>
          </cell>
          <cell r="AR323" t="str">
            <v>F417888-2</v>
          </cell>
          <cell r="AS323" t="str">
            <v>F417888-3</v>
          </cell>
          <cell r="AT323" t="str">
            <v>F417888-4</v>
          </cell>
          <cell r="AU323" t="str">
            <v>F417888-5</v>
          </cell>
          <cell r="AV323" t="str">
            <v>F417888-6</v>
          </cell>
          <cell r="BA323" t="str">
            <v>410x750</v>
          </cell>
          <cell r="BB323" t="str">
            <v>Q1</v>
          </cell>
          <cell r="BC323">
            <v>0</v>
          </cell>
        </row>
        <row r="324">
          <cell r="A324" t="str">
            <v>sp 1000</v>
          </cell>
          <cell r="B324" t="str">
            <v xml:space="preserve">Túi nem chay cung đình miền Hạ Long 400gr </v>
          </cell>
          <cell r="D324" t="str">
            <v>OPP 20x590</v>
          </cell>
          <cell r="E324">
            <v>6</v>
          </cell>
          <cell r="F324">
            <v>6</v>
          </cell>
          <cell r="AO324" t="str">
            <v xml:space="preserve">Công ty Hạ Long </v>
          </cell>
          <cell r="AP324">
            <v>0</v>
          </cell>
          <cell r="AQ324" t="str">
            <v>F417904-1</v>
          </cell>
          <cell r="AR324" t="str">
            <v>F417904-2</v>
          </cell>
          <cell r="AS324" t="str">
            <v>F417904-3</v>
          </cell>
          <cell r="AT324" t="str">
            <v>F417904-4</v>
          </cell>
          <cell r="AU324" t="str">
            <v>F417904-5</v>
          </cell>
          <cell r="AV324" t="str">
            <v>F417904-6</v>
          </cell>
          <cell r="BA324" t="str">
            <v>410x750</v>
          </cell>
          <cell r="BB324" t="str">
            <v>Q1</v>
          </cell>
          <cell r="BC324">
            <v>0</v>
          </cell>
        </row>
        <row r="325">
          <cell r="A325" t="str">
            <v>sp 1001</v>
          </cell>
          <cell r="B325" t="str">
            <v xml:space="preserve">Cuộn bột giặt Đức Giang 2kg </v>
          </cell>
          <cell r="D325" t="str">
            <v>PET 12x590</v>
          </cell>
          <cell r="E325">
            <v>6</v>
          </cell>
          <cell r="F325">
            <v>6</v>
          </cell>
          <cell r="AO325" t="str">
            <v xml:space="preserve">Công ty Đức Giang </v>
          </cell>
          <cell r="AP325">
            <v>0</v>
          </cell>
          <cell r="AQ325" t="str">
            <v>F122369-1</v>
          </cell>
          <cell r="AR325" t="str">
            <v>F122369-2</v>
          </cell>
          <cell r="AS325" t="str">
            <v>F122369G1-3</v>
          </cell>
          <cell r="AT325" t="str">
            <v>F122369-4</v>
          </cell>
          <cell r="AU325" t="str">
            <v>F122369-5</v>
          </cell>
          <cell r="AV325" t="str">
            <v>F122369-6</v>
          </cell>
          <cell r="BA325" t="str">
            <v>750x750</v>
          </cell>
          <cell r="BB325" t="str">
            <v>U1</v>
          </cell>
          <cell r="BC325">
            <v>0</v>
          </cell>
        </row>
        <row r="326">
          <cell r="A326" t="str">
            <v>sp 1002</v>
          </cell>
          <cell r="B326" t="str">
            <v xml:space="preserve">Cuộn bột giặt Đức Giang 2,5kg </v>
          </cell>
          <cell r="D326" t="str">
            <v>PET 12x630</v>
          </cell>
          <cell r="E326">
            <v>6</v>
          </cell>
          <cell r="F326">
            <v>6</v>
          </cell>
          <cell r="AO326" t="str">
            <v xml:space="preserve">Công ty Đức Giang </v>
          </cell>
          <cell r="AP326">
            <v>0</v>
          </cell>
          <cell r="AQ326" t="str">
            <v>F122370-1</v>
          </cell>
          <cell r="AR326" t="str">
            <v>F122370-2</v>
          </cell>
          <cell r="AS326" t="str">
            <v>F122370G1-3</v>
          </cell>
          <cell r="AT326" t="str">
            <v>F122370-4</v>
          </cell>
          <cell r="AU326" t="str">
            <v>F122370-5</v>
          </cell>
          <cell r="AV326" t="str">
            <v>F122370-6</v>
          </cell>
          <cell r="BA326" t="str">
            <v>780x750</v>
          </cell>
          <cell r="BB326" t="str">
            <v>U1</v>
          </cell>
          <cell r="BC326">
            <v>0</v>
          </cell>
        </row>
        <row r="327">
          <cell r="A327" t="str">
            <v>sp 1003</v>
          </cell>
          <cell r="B327" t="str">
            <v xml:space="preserve">Cuộn bột giặt Đức Giang 3kg </v>
          </cell>
          <cell r="D327" t="str">
            <v>PA 15x670</v>
          </cell>
          <cell r="E327">
            <v>6</v>
          </cell>
          <cell r="F327">
            <v>6</v>
          </cell>
          <cell r="AO327" t="str">
            <v xml:space="preserve">Công ty Đức Giang </v>
          </cell>
          <cell r="AP327">
            <v>0</v>
          </cell>
          <cell r="AQ327" t="str">
            <v>F122371-1</v>
          </cell>
          <cell r="AR327" t="str">
            <v>F122371-2</v>
          </cell>
          <cell r="AS327" t="str">
            <v>F122371G1-3</v>
          </cell>
          <cell r="AT327" t="str">
            <v>F122371-4</v>
          </cell>
          <cell r="AU327" t="str">
            <v>F122371-5</v>
          </cell>
          <cell r="AV327" t="str">
            <v>F122371-6</v>
          </cell>
          <cell r="BA327" t="str">
            <v>422x750</v>
          </cell>
          <cell r="BB327" t="str">
            <v>U1</v>
          </cell>
          <cell r="BC327">
            <v>0</v>
          </cell>
        </row>
        <row r="328">
          <cell r="A328" t="str">
            <v>sp 1004</v>
          </cell>
          <cell r="B328" t="str">
            <v xml:space="preserve">Cuộn bột giặt Đức Giang 4,2kg </v>
          </cell>
          <cell r="D328" t="str">
            <v>PA 15x745</v>
          </cell>
          <cell r="E328">
            <v>6</v>
          </cell>
          <cell r="F328">
            <v>6</v>
          </cell>
          <cell r="AO328" t="str">
            <v xml:space="preserve">Công ty Đức Giang </v>
          </cell>
          <cell r="AP328">
            <v>0</v>
          </cell>
          <cell r="AQ328" t="str">
            <v>F122372-1</v>
          </cell>
          <cell r="AR328" t="str">
            <v>F122372-2</v>
          </cell>
          <cell r="AS328" t="str">
            <v>F122372G1-3</v>
          </cell>
          <cell r="AT328" t="str">
            <v>F122372-4</v>
          </cell>
          <cell r="AU328" t="str">
            <v>F122372-5</v>
          </cell>
          <cell r="AV328" t="str">
            <v>F122372-6</v>
          </cell>
          <cell r="BA328" t="str">
            <v>480x860</v>
          </cell>
          <cell r="BB328" t="str">
            <v>U1</v>
          </cell>
          <cell r="BC328">
            <v>0</v>
          </cell>
        </row>
        <row r="329">
          <cell r="A329" t="str">
            <v>sp 1005</v>
          </cell>
          <cell r="B329" t="str">
            <v>Túi trà chữ đỏ lá vàng in 7 màu 10gr loại 10</v>
          </cell>
          <cell r="E329">
            <v>7</v>
          </cell>
          <cell r="F329">
            <v>7</v>
          </cell>
          <cell r="AO329" t="str">
            <v>Bùi Văn Sỹ</v>
          </cell>
          <cell r="AP329" t="str">
            <v>H024095</v>
          </cell>
          <cell r="AQ329" t="str">
            <v>1902346-1</v>
          </cell>
          <cell r="AR329" t="str">
            <v>1902346-2</v>
          </cell>
          <cell r="AS329" t="str">
            <v>1902346-3</v>
          </cell>
          <cell r="AT329" t="str">
            <v>1902346-4</v>
          </cell>
          <cell r="AU329" t="str">
            <v>1902346-5</v>
          </cell>
          <cell r="AV329" t="str">
            <v>1902346-6</v>
          </cell>
          <cell r="AW329" t="str">
            <v>1902346-7</v>
          </cell>
          <cell r="BA329" t="str">
            <v>460x860</v>
          </cell>
          <cell r="BB329" t="str">
            <v>F4</v>
          </cell>
          <cell r="BC329">
            <v>0</v>
          </cell>
        </row>
        <row r="330">
          <cell r="A330" t="str">
            <v>sp 1006</v>
          </cell>
          <cell r="B330" t="str">
            <v xml:space="preserve">Túi trà chữ đỏ thượng hạng tân cương và đặc sản 100gr loại 15 </v>
          </cell>
          <cell r="E330">
            <v>7</v>
          </cell>
          <cell r="F330">
            <v>7</v>
          </cell>
          <cell r="AO330" t="str">
            <v>Bùi Văn Sỹ</v>
          </cell>
          <cell r="AP330">
            <v>0</v>
          </cell>
          <cell r="AQ330" t="str">
            <v>20110752-1</v>
          </cell>
          <cell r="AR330" t="str">
            <v>17041138-2</v>
          </cell>
          <cell r="AS330" t="str">
            <v>17041138-3</v>
          </cell>
          <cell r="AT330" t="str">
            <v>17041138-4</v>
          </cell>
          <cell r="AU330" t="str">
            <v>17041138-5</v>
          </cell>
          <cell r="AV330" t="str">
            <v>17041138-6</v>
          </cell>
          <cell r="AW330" t="str">
            <v>17041138-7</v>
          </cell>
          <cell r="BA330" t="str">
            <v>540x850</v>
          </cell>
          <cell r="BB330" t="str">
            <v>F4</v>
          </cell>
          <cell r="BC330">
            <v>0</v>
          </cell>
        </row>
        <row r="331">
          <cell r="A331" t="str">
            <v>sp 1007</v>
          </cell>
          <cell r="B331" t="str">
            <v>Túi trà chữ đỏ búp xanh tân cương và đặc sản 100gr loại 16</v>
          </cell>
          <cell r="E331">
            <v>5</v>
          </cell>
          <cell r="F331">
            <v>5</v>
          </cell>
          <cell r="AO331" t="str">
            <v>Bùi Văn Sỹ</v>
          </cell>
          <cell r="AP331">
            <v>0</v>
          </cell>
          <cell r="AQ331" t="str">
            <v>F416317-1</v>
          </cell>
          <cell r="AR331" t="str">
            <v>F416317-2</v>
          </cell>
          <cell r="AS331" t="str">
            <v>F416317-3</v>
          </cell>
          <cell r="AT331" t="str">
            <v>F416317-4</v>
          </cell>
          <cell r="AU331" t="str">
            <v>F416317-5</v>
          </cell>
          <cell r="BA331" t="str">
            <v>540x840</v>
          </cell>
          <cell r="BB331" t="str">
            <v>G1</v>
          </cell>
          <cell r="BC331">
            <v>0</v>
          </cell>
        </row>
        <row r="332">
          <cell r="A332" t="str">
            <v>sp 1008</v>
          </cell>
          <cell r="B332" t="str">
            <v>Túi trà tân cương, đặc sản ấm nghiêng 100gr</v>
          </cell>
          <cell r="C332">
            <v>0</v>
          </cell>
          <cell r="E332">
            <v>7</v>
          </cell>
          <cell r="F332">
            <v>7</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v>0</v>
          </cell>
          <cell r="AN332">
            <v>0</v>
          </cell>
          <cell r="AO332" t="str">
            <v>Bùi Văn Sỹ</v>
          </cell>
          <cell r="AP332">
            <v>0</v>
          </cell>
          <cell r="AQ332" t="str">
            <v>F416431-1</v>
          </cell>
          <cell r="AR332" t="str">
            <v>F416431-2</v>
          </cell>
          <cell r="AS332" t="str">
            <v>F416431-3</v>
          </cell>
          <cell r="AT332" t="str">
            <v>F416431-4</v>
          </cell>
          <cell r="AU332" t="str">
            <v>F416431-5</v>
          </cell>
          <cell r="AV332" t="str">
            <v>F416431-6</v>
          </cell>
          <cell r="AW332" t="str">
            <v>F416431-7</v>
          </cell>
          <cell r="BA332" t="str">
            <v>540x840</v>
          </cell>
          <cell r="BB332" t="str">
            <v>G1</v>
          </cell>
          <cell r="BC332">
            <v>0</v>
          </cell>
        </row>
        <row r="333">
          <cell r="A333" t="str">
            <v>sp 1009</v>
          </cell>
          <cell r="B333" t="str">
            <v>Cuộn bột giặt Kwash 3 kg</v>
          </cell>
          <cell r="D333" t="str">
            <v>PA 15x670</v>
          </cell>
          <cell r="E333">
            <v>6</v>
          </cell>
          <cell r="F333">
            <v>6</v>
          </cell>
          <cell r="AO333" t="str">
            <v>Công ty Kwash</v>
          </cell>
          <cell r="AP333">
            <v>0</v>
          </cell>
          <cell r="AQ333" t="str">
            <v>F122380-1</v>
          </cell>
          <cell r="AR333" t="str">
            <v>F122380-2</v>
          </cell>
          <cell r="AS333" t="str">
            <v>F122380-3</v>
          </cell>
          <cell r="AT333" t="str">
            <v>F122380-4</v>
          </cell>
          <cell r="AU333" t="str">
            <v>F122380-5</v>
          </cell>
          <cell r="AV333" t="str">
            <v>F122380-6</v>
          </cell>
          <cell r="BA333" t="str">
            <v>432x750</v>
          </cell>
          <cell r="BB333" t="str">
            <v>Q1</v>
          </cell>
          <cell r="BC333">
            <v>0</v>
          </cell>
        </row>
        <row r="334">
          <cell r="A334" t="str">
            <v>sp 1010</v>
          </cell>
          <cell r="B334" t="str">
            <v>Túi trà ấm cây Tân cương 100gr loại 18</v>
          </cell>
          <cell r="D334" t="str">
            <v>Pet 12x740</v>
          </cell>
          <cell r="E334">
            <v>6</v>
          </cell>
          <cell r="F334">
            <v>6</v>
          </cell>
          <cell r="AO334" t="str">
            <v>Bùi Văn Sỹ</v>
          </cell>
          <cell r="AP334">
            <v>0</v>
          </cell>
          <cell r="AQ334" t="str">
            <v>1903135-1</v>
          </cell>
          <cell r="AR334" t="str">
            <v>1903135-2</v>
          </cell>
          <cell r="AS334" t="str">
            <v>1903135-3</v>
          </cell>
          <cell r="AT334" t="str">
            <v>1903135-4</v>
          </cell>
          <cell r="AU334" t="str">
            <v>1903135-5</v>
          </cell>
          <cell r="AV334" t="str">
            <v>1903135-6</v>
          </cell>
          <cell r="BA334" t="str">
            <v>540x850</v>
          </cell>
          <cell r="BB334" t="str">
            <v>G1</v>
          </cell>
          <cell r="BC334">
            <v>0</v>
          </cell>
        </row>
        <row r="335">
          <cell r="A335" t="str">
            <v>sp 1011</v>
          </cell>
          <cell r="B335" t="str">
            <v>Túi trà ấm cây Đặc sản 100gr loại 18</v>
          </cell>
          <cell r="D335" t="str">
            <v>Pet 12x740</v>
          </cell>
          <cell r="E335">
            <v>3</v>
          </cell>
          <cell r="F335">
            <v>6</v>
          </cell>
          <cell r="AO335" t="str">
            <v>Bùi Văn Sỹ</v>
          </cell>
          <cell r="AP335">
            <v>0</v>
          </cell>
          <cell r="AQ335" t="str">
            <v>1903136-1</v>
          </cell>
          <cell r="AR335" t="str">
            <v>1903135-2</v>
          </cell>
          <cell r="AS335" t="str">
            <v>1903135-3</v>
          </cell>
          <cell r="AT335" t="str">
            <v>1903135-4</v>
          </cell>
          <cell r="AU335" t="str">
            <v>1903136-5</v>
          </cell>
          <cell r="AV335" t="str">
            <v>1903136-6</v>
          </cell>
          <cell r="BA335" t="str">
            <v>540x850</v>
          </cell>
          <cell r="BB335" t="str">
            <v>G1</v>
          </cell>
          <cell r="BC335" t="str">
            <v>in chung cây 2,3,4 với sp 1010</v>
          </cell>
        </row>
        <row r="336">
          <cell r="A336" t="str">
            <v>sp 1012</v>
          </cell>
          <cell r="B336" t="str">
            <v>Túi trà ấm cây Tân cương 200gr loại 18</v>
          </cell>
          <cell r="D336" t="str">
            <v>Pet 12x620</v>
          </cell>
          <cell r="E336">
            <v>6</v>
          </cell>
          <cell r="F336">
            <v>6</v>
          </cell>
          <cell r="AO336" t="str">
            <v>Bùi Văn Sỹ</v>
          </cell>
          <cell r="AP336">
            <v>0</v>
          </cell>
          <cell r="AQ336" t="str">
            <v>1903137-1</v>
          </cell>
          <cell r="AR336" t="str">
            <v>1903137-2</v>
          </cell>
          <cell r="AS336" t="str">
            <v>1903137-3</v>
          </cell>
          <cell r="AT336" t="str">
            <v>1903137-4</v>
          </cell>
          <cell r="AU336" t="str">
            <v>1903137-5</v>
          </cell>
          <cell r="AV336" t="str">
            <v>1903137-6</v>
          </cell>
          <cell r="BA336" t="str">
            <v>680x860</v>
          </cell>
          <cell r="BB336" t="str">
            <v>G1</v>
          </cell>
          <cell r="BC336">
            <v>0</v>
          </cell>
        </row>
        <row r="337">
          <cell r="A337" t="str">
            <v>sp 1013</v>
          </cell>
          <cell r="B337" t="str">
            <v>Túi trà ấm cây Đặc sản 200gr loại 18</v>
          </cell>
          <cell r="D337" t="str">
            <v>pet 12x620</v>
          </cell>
          <cell r="E337">
            <v>3</v>
          </cell>
          <cell r="F337">
            <v>6</v>
          </cell>
          <cell r="AO337" t="str">
            <v>Bùi Văn Sỹ</v>
          </cell>
          <cell r="AP337">
            <v>0</v>
          </cell>
          <cell r="AQ337" t="str">
            <v>1903138-1</v>
          </cell>
          <cell r="AR337" t="str">
            <v>1903137-2</v>
          </cell>
          <cell r="AS337" t="str">
            <v>1903137-3</v>
          </cell>
          <cell r="AT337" t="str">
            <v>1903137-4</v>
          </cell>
          <cell r="AU337" t="str">
            <v>1903138-5</v>
          </cell>
          <cell r="AV337" t="str">
            <v>1903138-6</v>
          </cell>
          <cell r="BA337" t="str">
            <v>680x860</v>
          </cell>
          <cell r="BB337" t="str">
            <v>G1</v>
          </cell>
          <cell r="BC337" t="str">
            <v>in chung cây 2,3,4 với sp 1012</v>
          </cell>
        </row>
        <row r="338">
          <cell r="A338" t="str">
            <v>sp 1014</v>
          </cell>
          <cell r="B338" t="str">
            <v>Túi trà ấm cây Tân cương 500gr loại 18</v>
          </cell>
          <cell r="D338" t="str">
            <v>pet 12x760</v>
          </cell>
          <cell r="E338">
            <v>6</v>
          </cell>
          <cell r="F338">
            <v>6</v>
          </cell>
          <cell r="AO338" t="str">
            <v>Bùi Văn Sỹ</v>
          </cell>
          <cell r="AP338">
            <v>0</v>
          </cell>
          <cell r="AQ338" t="str">
            <v>1903139-1</v>
          </cell>
          <cell r="AR338" t="str">
            <v>1903139-2</v>
          </cell>
          <cell r="AS338" t="str">
            <v>1903139-3</v>
          </cell>
          <cell r="AT338" t="str">
            <v>1903139-4</v>
          </cell>
          <cell r="AU338" t="str">
            <v>1903139-5</v>
          </cell>
          <cell r="AV338" t="str">
            <v>1903139-6</v>
          </cell>
          <cell r="BA338" t="str">
            <v>420x860</v>
          </cell>
          <cell r="BB338" t="str">
            <v>G1</v>
          </cell>
          <cell r="BC338">
            <v>0</v>
          </cell>
        </row>
        <row r="339">
          <cell r="A339" t="str">
            <v>sp 1015</v>
          </cell>
          <cell r="B339" t="str">
            <v>Túi trà ấm cây Đặc sản 500gr loại 18</v>
          </cell>
          <cell r="D339" t="str">
            <v>pet 12x760</v>
          </cell>
          <cell r="E339">
            <v>3</v>
          </cell>
          <cell r="F339">
            <v>6</v>
          </cell>
          <cell r="AO339" t="str">
            <v>Bùi Văn Sỹ</v>
          </cell>
          <cell r="AP339">
            <v>0</v>
          </cell>
          <cell r="AQ339" t="str">
            <v>1903140-1</v>
          </cell>
          <cell r="AR339" t="str">
            <v>1903139-2</v>
          </cell>
          <cell r="AS339" t="str">
            <v>1903139-3</v>
          </cell>
          <cell r="AT339" t="str">
            <v>1903139-4</v>
          </cell>
          <cell r="AU339" t="str">
            <v>1903140-5</v>
          </cell>
          <cell r="AV339" t="str">
            <v>1903140-6</v>
          </cell>
          <cell r="BA339" t="str">
            <v>420x860</v>
          </cell>
          <cell r="BB339" t="str">
            <v>G1</v>
          </cell>
          <cell r="BC339" t="str">
            <v>in chung cây 2,3,4 với sp 1014</v>
          </cell>
        </row>
        <row r="340">
          <cell r="A340" t="str">
            <v>sp 1016</v>
          </cell>
          <cell r="B340" t="str">
            <v>Túi trà bát giác Tân cương 100gr loại 19</v>
          </cell>
          <cell r="D340" t="str">
            <v>Pet 12x740</v>
          </cell>
          <cell r="E340">
            <v>7</v>
          </cell>
          <cell r="F340">
            <v>7</v>
          </cell>
          <cell r="AO340" t="str">
            <v>Bùi Văn Sỹ</v>
          </cell>
          <cell r="AP340">
            <v>0</v>
          </cell>
          <cell r="AQ340" t="str">
            <v>X105137-1</v>
          </cell>
          <cell r="AR340" t="str">
            <v>X105137-2</v>
          </cell>
          <cell r="AS340" t="str">
            <v>X105137-3</v>
          </cell>
          <cell r="AT340" t="str">
            <v>X105137-4</v>
          </cell>
          <cell r="AU340" t="str">
            <v>X105137-5</v>
          </cell>
          <cell r="AV340" t="str">
            <v>X105137-6</v>
          </cell>
          <cell r="AW340" t="str">
            <v>X105137-7</v>
          </cell>
          <cell r="BA340" t="str">
            <v>420x860</v>
          </cell>
          <cell r="BB340" t="str">
            <v>G2</v>
          </cell>
          <cell r="BC340">
            <v>0</v>
          </cell>
        </row>
        <row r="341">
          <cell r="A341" t="str">
            <v>sp 1017</v>
          </cell>
          <cell r="B341" t="str">
            <v>Túi trà bát giác Đặc sản 100gr loại 19</v>
          </cell>
          <cell r="D341" t="str">
            <v>Pet 12x740</v>
          </cell>
          <cell r="E341">
            <v>4</v>
          </cell>
          <cell r="F341">
            <v>7</v>
          </cell>
          <cell r="AO341" t="str">
            <v>Bùi Văn Sỹ</v>
          </cell>
          <cell r="AP341">
            <v>0</v>
          </cell>
          <cell r="AQ341" t="str">
            <v>X105137-1</v>
          </cell>
          <cell r="AR341" t="str">
            <v>X105138-2</v>
          </cell>
          <cell r="AS341" t="str">
            <v>X105138-3</v>
          </cell>
          <cell r="AT341" t="str">
            <v>X105137-4</v>
          </cell>
          <cell r="AU341" t="str">
            <v>X105137-5</v>
          </cell>
          <cell r="AV341" t="str">
            <v>X105138-6</v>
          </cell>
          <cell r="AW341" t="str">
            <v>X105138-7</v>
          </cell>
          <cell r="BA341" t="str">
            <v>540x860</v>
          </cell>
          <cell r="BB341" t="str">
            <v>G2</v>
          </cell>
          <cell r="BC341" t="str">
            <v>in chung cây 1,4,5 với sp 1016</v>
          </cell>
        </row>
        <row r="342">
          <cell r="A342" t="str">
            <v>sp 1018</v>
          </cell>
          <cell r="B342" t="str">
            <v>Túi trà bát giác Tân cương 200gr loại 19</v>
          </cell>
          <cell r="D342" t="str">
            <v>Pet 12x620</v>
          </cell>
          <cell r="E342">
            <v>7</v>
          </cell>
          <cell r="F342">
            <v>7</v>
          </cell>
          <cell r="AO342" t="str">
            <v>Bùi Văn Sỹ</v>
          </cell>
          <cell r="AP342">
            <v>0</v>
          </cell>
          <cell r="AQ342" t="str">
            <v>X105139-1</v>
          </cell>
          <cell r="AR342" t="str">
            <v>X105139-2</v>
          </cell>
          <cell r="AS342" t="str">
            <v>X105139-3</v>
          </cell>
          <cell r="AT342" t="str">
            <v>X105139-4</v>
          </cell>
          <cell r="AU342" t="str">
            <v>X105139-5</v>
          </cell>
          <cell r="AV342" t="str">
            <v>X105139-6</v>
          </cell>
          <cell r="AW342" t="str">
            <v>X105139-7</v>
          </cell>
          <cell r="BA342" t="str">
            <v>680x860</v>
          </cell>
          <cell r="BB342" t="str">
            <v>G2</v>
          </cell>
          <cell r="BC342">
            <v>0</v>
          </cell>
        </row>
        <row r="343">
          <cell r="A343" t="str">
            <v>sp 1019</v>
          </cell>
          <cell r="B343" t="str">
            <v>Túi trà bát giác Đặc sản 200gr loại 19</v>
          </cell>
          <cell r="D343" t="str">
            <v>Pet 12x620</v>
          </cell>
          <cell r="E343">
            <v>4</v>
          </cell>
          <cell r="F343">
            <v>7</v>
          </cell>
          <cell r="AO343" t="str">
            <v>Bùi Văn Sỹ</v>
          </cell>
          <cell r="AP343">
            <v>0</v>
          </cell>
          <cell r="AQ343" t="str">
            <v>X105139-1</v>
          </cell>
          <cell r="AR343" t="str">
            <v>X105140-2</v>
          </cell>
          <cell r="AS343" t="str">
            <v>X105140-3</v>
          </cell>
          <cell r="AT343" t="str">
            <v>X105139-4</v>
          </cell>
          <cell r="AU343" t="str">
            <v>X105139-5</v>
          </cell>
          <cell r="AV343" t="str">
            <v>X105140-6</v>
          </cell>
          <cell r="AW343" t="str">
            <v>X105140-7</v>
          </cell>
          <cell r="BA343" t="str">
            <v>680x860</v>
          </cell>
          <cell r="BB343" t="str">
            <v>G2</v>
          </cell>
          <cell r="BC343" t="str">
            <v>in chung cây 1,4,5 với sp 1018</v>
          </cell>
        </row>
        <row r="344">
          <cell r="A344" t="str">
            <v>sp 1020</v>
          </cell>
          <cell r="B344" t="str">
            <v>Túi trà bát giác Tân cương 500gr loại 19</v>
          </cell>
          <cell r="D344" t="str">
            <v>Pet 12x760</v>
          </cell>
          <cell r="E344">
            <v>7</v>
          </cell>
          <cell r="F344">
            <v>7</v>
          </cell>
          <cell r="AO344" t="str">
            <v>Bùi Văn Sỹ</v>
          </cell>
          <cell r="AP344">
            <v>0</v>
          </cell>
          <cell r="AQ344" t="str">
            <v>X105141-1</v>
          </cell>
          <cell r="AR344" t="str">
            <v>X105141-2</v>
          </cell>
          <cell r="AS344" t="str">
            <v>X105141-3</v>
          </cell>
          <cell r="AT344" t="str">
            <v>X105141-4</v>
          </cell>
          <cell r="AU344" t="str">
            <v>X105141-5</v>
          </cell>
          <cell r="AV344" t="str">
            <v>X105141-6</v>
          </cell>
          <cell r="AW344" t="str">
            <v>X105141-7</v>
          </cell>
          <cell r="BA344" t="str">
            <v>420x860</v>
          </cell>
          <cell r="BB344" t="str">
            <v>G2</v>
          </cell>
          <cell r="BC344">
            <v>0</v>
          </cell>
        </row>
        <row r="345">
          <cell r="A345" t="str">
            <v>sp 1021</v>
          </cell>
          <cell r="B345" t="str">
            <v>Túi trà bát giác Đặc sản 500gr loại 19</v>
          </cell>
          <cell r="D345" t="str">
            <v>Pet 12x760</v>
          </cell>
          <cell r="E345">
            <v>4</v>
          </cell>
          <cell r="F345">
            <v>7</v>
          </cell>
          <cell r="AO345" t="str">
            <v>Bùi Văn Sỹ</v>
          </cell>
          <cell r="AP345">
            <v>0</v>
          </cell>
          <cell r="AQ345" t="str">
            <v>X105141-1</v>
          </cell>
          <cell r="AR345" t="str">
            <v>X105142-2</v>
          </cell>
          <cell r="AS345" t="str">
            <v>X105142-3</v>
          </cell>
          <cell r="AT345" t="str">
            <v>X105141-4</v>
          </cell>
          <cell r="AU345" t="str">
            <v>X105141-5</v>
          </cell>
          <cell r="AV345" t="str">
            <v>X105142-6</v>
          </cell>
          <cell r="AW345" t="str">
            <v>X105142-7</v>
          </cell>
          <cell r="BA345" t="str">
            <v>420x860</v>
          </cell>
          <cell r="BB345" t="str">
            <v>G2</v>
          </cell>
          <cell r="BC345" t="str">
            <v>in chung cây 1,4,5 với sp 1020</v>
          </cell>
        </row>
        <row r="346">
          <cell r="A346" t="str">
            <v>sp 1022</v>
          </cell>
          <cell r="B346" t="str">
            <v>Túi lúa mới TBR225 XN1 10kg Thái Bình</v>
          </cell>
          <cell r="D346" t="str">
            <v>OPP 20x900</v>
          </cell>
          <cell r="E346">
            <v>7</v>
          </cell>
          <cell r="F346">
            <v>7</v>
          </cell>
          <cell r="AO346" t="str">
            <v>Công ty Thái Bình</v>
          </cell>
          <cell r="AP346">
            <v>0</v>
          </cell>
          <cell r="AQ346" t="str">
            <v>19031031-1</v>
          </cell>
          <cell r="AR346" t="str">
            <v>19031031-2</v>
          </cell>
          <cell r="AS346" t="str">
            <v>19031031-3</v>
          </cell>
          <cell r="AT346" t="str">
            <v>19031031-4</v>
          </cell>
          <cell r="AU346" t="str">
            <v>19031031-5</v>
          </cell>
          <cell r="AV346" t="str">
            <v>19031031-6</v>
          </cell>
          <cell r="AW346" t="str">
            <v>19031031-7</v>
          </cell>
          <cell r="BA346" t="str">
            <v>670x1100</v>
          </cell>
          <cell r="BB346" t="str">
            <v>J2</v>
          </cell>
          <cell r="BC346">
            <v>0</v>
          </cell>
        </row>
        <row r="347">
          <cell r="A347" t="str">
            <v>sp 1023</v>
          </cell>
          <cell r="B347" t="str">
            <v xml:space="preserve">Túi lúa mới BC15 XN1 10kg Thái Bình </v>
          </cell>
          <cell r="D347" t="str">
            <v>OPP 20x900</v>
          </cell>
          <cell r="E347">
            <v>1</v>
          </cell>
          <cell r="F347">
            <v>7</v>
          </cell>
          <cell r="AO347" t="str">
            <v>Công ty Thái Bình</v>
          </cell>
          <cell r="AP347">
            <v>0</v>
          </cell>
          <cell r="AQ347" t="str">
            <v>19031031-1</v>
          </cell>
          <cell r="AR347" t="str">
            <v>19031031-2</v>
          </cell>
          <cell r="AS347" t="str">
            <v>19031031-3</v>
          </cell>
          <cell r="AT347" t="str">
            <v>19031031-4</v>
          </cell>
          <cell r="AU347" t="str">
            <v>19031031-5</v>
          </cell>
          <cell r="AV347" t="str">
            <v>19031033-6</v>
          </cell>
          <cell r="AW347" t="str">
            <v>19031031-7</v>
          </cell>
          <cell r="BA347" t="str">
            <v>670x1100</v>
          </cell>
          <cell r="BB347" t="str">
            <v>J2</v>
          </cell>
          <cell r="BC347" t="str">
            <v>in chung sp 1022 trừ cây Nâu</v>
          </cell>
        </row>
        <row r="348">
          <cell r="A348" t="str">
            <v>sp 1024</v>
          </cell>
          <cell r="B348" t="str">
            <v>Túi lúa mới TBR1 XN1 10kg Thái Bình</v>
          </cell>
          <cell r="D348" t="str">
            <v>OPP 20x900</v>
          </cell>
          <cell r="E348">
            <v>2</v>
          </cell>
          <cell r="F348">
            <v>7</v>
          </cell>
          <cell r="AO348" t="str">
            <v>Công ty Thái Bình</v>
          </cell>
          <cell r="AP348">
            <v>0</v>
          </cell>
          <cell r="AQ348" t="str">
            <v>19031031-1</v>
          </cell>
          <cell r="AR348" t="str">
            <v>19031031-2</v>
          </cell>
          <cell r="AS348" t="str">
            <v>19031031-3</v>
          </cell>
          <cell r="AT348" t="str">
            <v>19031031-4</v>
          </cell>
          <cell r="AU348" t="str">
            <v>19031032-5</v>
          </cell>
          <cell r="AV348" t="str">
            <v>19031032-6</v>
          </cell>
          <cell r="AW348" t="str">
            <v>19031031-7</v>
          </cell>
          <cell r="BA348" t="str">
            <v>670x1100</v>
          </cell>
          <cell r="BB348" t="str">
            <v>J2</v>
          </cell>
          <cell r="BC348" t="str">
            <v>in chung sp 1022 trừ cây XL,Nâu</v>
          </cell>
        </row>
        <row r="349">
          <cell r="A349" t="str">
            <v>sp 1025</v>
          </cell>
          <cell r="B349" t="str">
            <v>Túi lúa mới Khang dân 18 NC 2019 10kg Thái Bình</v>
          </cell>
          <cell r="D349" t="str">
            <v>OPP 20x900</v>
          </cell>
          <cell r="E349">
            <v>7</v>
          </cell>
          <cell r="F349">
            <v>7</v>
          </cell>
          <cell r="AO349" t="str">
            <v>Công ty Thái Bình</v>
          </cell>
          <cell r="AP349">
            <v>0</v>
          </cell>
          <cell r="AQ349" t="str">
            <v>1803915-1</v>
          </cell>
          <cell r="AR349" t="str">
            <v>16100638-2</v>
          </cell>
          <cell r="AS349" t="str">
            <v>1610638-3</v>
          </cell>
          <cell r="AT349" t="str">
            <v>1610638-4</v>
          </cell>
          <cell r="AU349" t="str">
            <v>19031029-5</v>
          </cell>
          <cell r="AV349" t="str">
            <v>19031029-6</v>
          </cell>
          <cell r="AW349" t="str">
            <v>19031031-7</v>
          </cell>
          <cell r="AX349" t="str">
            <v>19031029-1.2.3.4 mẫu cũ</v>
          </cell>
          <cell r="BA349" t="str">
            <v>670x1100</v>
          </cell>
          <cell r="BB349" t="str">
            <v>J2</v>
          </cell>
          <cell r="BC349" t="str">
            <v>in chung 1.2.3.4.(Đ,Xd,ĐS,V,)sp 662, cây 7 nền sp 1022</v>
          </cell>
        </row>
        <row r="350">
          <cell r="A350" t="str">
            <v>sp 1026</v>
          </cell>
          <cell r="B350" t="str">
            <v>Túi lúa mới Hương thơm 1 nguyên chủng 10kg 
Thái Bình</v>
          </cell>
          <cell r="D350" t="str">
            <v>OPP 20x900</v>
          </cell>
          <cell r="E350">
            <v>1</v>
          </cell>
          <cell r="F350">
            <v>7</v>
          </cell>
          <cell r="AO350" t="str">
            <v>Công ty Thái Bình</v>
          </cell>
          <cell r="AP350">
            <v>0</v>
          </cell>
          <cell r="AQ350" t="str">
            <v>1803915-1</v>
          </cell>
          <cell r="AR350" t="str">
            <v>16100638-2</v>
          </cell>
          <cell r="AS350" t="str">
            <v>1610638-3</v>
          </cell>
          <cell r="AT350" t="str">
            <v>1610638-4</v>
          </cell>
          <cell r="AU350" t="str">
            <v>19031029-5</v>
          </cell>
          <cell r="AV350" t="str">
            <v>19031030-6</v>
          </cell>
          <cell r="AW350" t="str">
            <v>19031031-7</v>
          </cell>
          <cell r="BA350" t="str">
            <v>670x1100</v>
          </cell>
          <cell r="BB350" t="str">
            <v>J2</v>
          </cell>
          <cell r="BC350" t="str">
            <v>in chung 1.2.3.4.(Đ,Xd,ĐS,V,)sp 662, cây 7 nền sp 1022, cây 5zxanh sp 1025</v>
          </cell>
        </row>
        <row r="351">
          <cell r="A351" t="str">
            <v>sp 1027</v>
          </cell>
          <cell r="B351" t="str">
            <v>Túi trà ấm nghiêng Tân cương và đặc sản 500gr loại 17</v>
          </cell>
          <cell r="E351">
            <v>7</v>
          </cell>
          <cell r="F351">
            <v>7</v>
          </cell>
          <cell r="AO351" t="str">
            <v>Bùi Văn Sỹ</v>
          </cell>
          <cell r="AP351">
            <v>0</v>
          </cell>
          <cell r="AQ351" t="str">
            <v>1707293-1</v>
          </cell>
          <cell r="AR351" t="str">
            <v>1707293-2</v>
          </cell>
          <cell r="AS351" t="str">
            <v>1707293-3</v>
          </cell>
          <cell r="AT351" t="str">
            <v>1707293-4</v>
          </cell>
          <cell r="AU351" t="str">
            <v>1707293-5</v>
          </cell>
          <cell r="AV351" t="str">
            <v>1707293-6</v>
          </cell>
          <cell r="AW351" t="str">
            <v>1707293-7</v>
          </cell>
          <cell r="BA351" t="str">
            <v>420x850</v>
          </cell>
          <cell r="BB351" t="str">
            <v>G2</v>
          </cell>
          <cell r="BC351">
            <v>0</v>
          </cell>
        </row>
        <row r="352">
          <cell r="A352" t="str">
            <v>sp 1028</v>
          </cell>
          <cell r="B352" t="str">
            <v>Túi trà bản đồ Đặc sản 100gr loại 14</v>
          </cell>
          <cell r="E352">
            <v>5</v>
          </cell>
          <cell r="F352">
            <v>6</v>
          </cell>
          <cell r="AO352" t="str">
            <v>Bùi Văn Sỹ</v>
          </cell>
          <cell r="AP352">
            <v>0</v>
          </cell>
          <cell r="AQ352" t="str">
            <v>1809154-1</v>
          </cell>
          <cell r="AR352" t="str">
            <v>1904089-2</v>
          </cell>
          <cell r="AS352" t="str">
            <v>1904089-3</v>
          </cell>
          <cell r="AT352" t="str">
            <v>1904089-4</v>
          </cell>
          <cell r="AU352" t="str">
            <v>1904089-5</v>
          </cell>
          <cell r="AV352" t="str">
            <v>1904089-6</v>
          </cell>
          <cell r="BA352" t="str">
            <v>540x850</v>
          </cell>
          <cell r="BB352" t="str">
            <v>G2</v>
          </cell>
          <cell r="BC352" t="str">
            <v xml:space="preserve">in chung cây Đen với sp 969 </v>
          </cell>
        </row>
        <row r="353">
          <cell r="A353" t="str">
            <v>sp 1029</v>
          </cell>
          <cell r="B353" t="str">
            <v>Túi trà chữ đỏ viền trắng 50gr loại 20</v>
          </cell>
          <cell r="E353">
            <v>6</v>
          </cell>
          <cell r="F353">
            <v>6</v>
          </cell>
          <cell r="AO353" t="str">
            <v>Bùi Văn Sỹ</v>
          </cell>
          <cell r="AP353">
            <v>0</v>
          </cell>
          <cell r="AQ353" t="str">
            <v>1904247-1</v>
          </cell>
          <cell r="AR353" t="str">
            <v>1904247-2</v>
          </cell>
          <cell r="AS353" t="str">
            <v>1904247-3</v>
          </cell>
          <cell r="AT353" t="str">
            <v>1904247-4</v>
          </cell>
          <cell r="AU353" t="str">
            <v>1904247-5</v>
          </cell>
          <cell r="AV353" t="str">
            <v>1904247-6</v>
          </cell>
          <cell r="BA353" t="str">
            <v>540x860</v>
          </cell>
          <cell r="BB353" t="str">
            <v>G2</v>
          </cell>
          <cell r="BC353">
            <v>0</v>
          </cell>
        </row>
        <row r="354">
          <cell r="A354" t="str">
            <v>sp 1030</v>
          </cell>
          <cell r="B354" t="str">
            <v>Túi thuốc trừ cỏ Avitor Combi 800WP loại 70gr bảo vệ thực vật</v>
          </cell>
          <cell r="E354">
            <v>7</v>
          </cell>
          <cell r="F354">
            <v>7</v>
          </cell>
          <cell r="AO354" t="str">
            <v>Công ty CP Bảo vệ thực vật Trung ương 1</v>
          </cell>
          <cell r="AP354">
            <v>0</v>
          </cell>
          <cell r="AQ354" t="str">
            <v>16111002-1</v>
          </cell>
          <cell r="AR354" t="str">
            <v>1204638-2</v>
          </cell>
          <cell r="AS354" t="str">
            <v>16111002-3</v>
          </cell>
          <cell r="AT354" t="str">
            <v>1204638-4</v>
          </cell>
          <cell r="AU354" t="str">
            <v>16111002-5</v>
          </cell>
          <cell r="AV354" t="str">
            <v>16111002-6</v>
          </cell>
          <cell r="AW354" t="str">
            <v>1204638-7</v>
          </cell>
          <cell r="BA354" t="str">
            <v>420x1000</v>
          </cell>
          <cell r="BB354" t="str">
            <v>Q1</v>
          </cell>
          <cell r="BC354">
            <v>0</v>
          </cell>
        </row>
        <row r="355">
          <cell r="A355" t="str">
            <v>sp 1031</v>
          </cell>
          <cell r="B355" t="str">
            <v>Túi trà quả cầu đỏ Tân cương 100gr loại 21</v>
          </cell>
          <cell r="D355" t="str">
            <v>pet 12x740</v>
          </cell>
          <cell r="E355">
            <v>5</v>
          </cell>
          <cell r="F355">
            <v>5</v>
          </cell>
          <cell r="AO355" t="str">
            <v>Bùi Văn Sỹ</v>
          </cell>
          <cell r="AP355">
            <v>0</v>
          </cell>
          <cell r="AQ355" t="str">
            <v>1904578-1</v>
          </cell>
          <cell r="AR355" t="str">
            <v>1904578-2</v>
          </cell>
          <cell r="AS355" t="str">
            <v>1904578-3</v>
          </cell>
          <cell r="AT355" t="str">
            <v>1904578-4</v>
          </cell>
          <cell r="AU355" t="str">
            <v>1904578-5</v>
          </cell>
          <cell r="BA355" t="str">
            <v>540x860</v>
          </cell>
          <cell r="BB355" t="str">
            <v>G2</v>
          </cell>
          <cell r="BC355">
            <v>0</v>
          </cell>
        </row>
        <row r="356">
          <cell r="A356" t="str">
            <v>sp 1032</v>
          </cell>
          <cell r="B356" t="str">
            <v>Túi trà quả cầu đỏ Đặc sản 100gr loại 21</v>
          </cell>
          <cell r="D356" t="str">
            <v>pet 12x740</v>
          </cell>
          <cell r="E356">
            <v>3</v>
          </cell>
          <cell r="F356">
            <v>5</v>
          </cell>
          <cell r="AO356" t="str">
            <v>Bùi Văn Sỹ</v>
          </cell>
          <cell r="AP356">
            <v>0</v>
          </cell>
          <cell r="AQ356" t="str">
            <v>1904579-1</v>
          </cell>
          <cell r="AR356" t="str">
            <v>1904578-2</v>
          </cell>
          <cell r="AS356" t="str">
            <v>1904578-3</v>
          </cell>
          <cell r="AT356" t="str">
            <v>1904579-4</v>
          </cell>
          <cell r="AU356" t="str">
            <v>1904579-5</v>
          </cell>
          <cell r="BA356" t="str">
            <v>540x860</v>
          </cell>
          <cell r="BB356" t="str">
            <v>G3</v>
          </cell>
          <cell r="BC356" t="str">
            <v>chung cây 2,3 với sp 1031</v>
          </cell>
        </row>
        <row r="357">
          <cell r="A357" t="str">
            <v>sp 1033</v>
          </cell>
          <cell r="B357" t="str">
            <v>Túi trà quả cầu đỏ Tân cương 200gr loại 21</v>
          </cell>
          <cell r="D357" t="str">
            <v>pet 12x620</v>
          </cell>
          <cell r="E357">
            <v>5</v>
          </cell>
          <cell r="F357">
            <v>5</v>
          </cell>
          <cell r="AO357" t="str">
            <v>Bùi Văn Sỹ</v>
          </cell>
          <cell r="AP357">
            <v>0</v>
          </cell>
          <cell r="AQ357" t="str">
            <v>1904580-1</v>
          </cell>
          <cell r="AR357" t="str">
            <v>1904580-2</v>
          </cell>
          <cell r="AS357" t="str">
            <v>1904580-3</v>
          </cell>
          <cell r="AT357" t="str">
            <v>1904580-4</v>
          </cell>
          <cell r="AU357" t="str">
            <v>1904580-5</v>
          </cell>
          <cell r="BA357" t="str">
            <v>680x860</v>
          </cell>
          <cell r="BB357" t="str">
            <v>G3</v>
          </cell>
          <cell r="BC357">
            <v>0</v>
          </cell>
        </row>
        <row r="358">
          <cell r="A358" t="str">
            <v>sp 1034</v>
          </cell>
          <cell r="B358" t="str">
            <v>Túi trà quả cầu đỏ Đặc sản 200gr loại 21</v>
          </cell>
          <cell r="D358" t="str">
            <v>pet 12x620</v>
          </cell>
          <cell r="E358">
            <v>3</v>
          </cell>
          <cell r="F358">
            <v>5</v>
          </cell>
          <cell r="AO358" t="str">
            <v>Bùi Văn Sỹ</v>
          </cell>
          <cell r="AP358">
            <v>0</v>
          </cell>
          <cell r="AQ358" t="str">
            <v>1904581-1</v>
          </cell>
          <cell r="AR358" t="str">
            <v>1904580-2</v>
          </cell>
          <cell r="AS358" t="str">
            <v>1904580-3</v>
          </cell>
          <cell r="AT358" t="str">
            <v>1904581-4</v>
          </cell>
          <cell r="AU358" t="str">
            <v>1904581-5</v>
          </cell>
          <cell r="BA358" t="str">
            <v>680x860</v>
          </cell>
          <cell r="BB358" t="str">
            <v>G3</v>
          </cell>
          <cell r="BC358" t="str">
            <v>in chung cây 2,3 với sp 1033</v>
          </cell>
        </row>
        <row r="359">
          <cell r="A359" t="str">
            <v>sp 1035</v>
          </cell>
          <cell r="B359" t="str">
            <v>Túi trà quả cầu đỏ Tân cương 500gr loại 21</v>
          </cell>
          <cell r="D359" t="str">
            <v>pet 12x760</v>
          </cell>
          <cell r="E359">
            <v>5</v>
          </cell>
          <cell r="F359">
            <v>5</v>
          </cell>
          <cell r="AO359" t="str">
            <v>Bùi Văn Sỹ</v>
          </cell>
          <cell r="AP359">
            <v>0</v>
          </cell>
          <cell r="AQ359" t="str">
            <v>1904582-1</v>
          </cell>
          <cell r="AR359" t="str">
            <v>1904582-2</v>
          </cell>
          <cell r="AS359" t="str">
            <v>1904582-3</v>
          </cell>
          <cell r="AT359" t="str">
            <v>1904582-4</v>
          </cell>
          <cell r="AU359" t="str">
            <v>1904582-5</v>
          </cell>
          <cell r="BA359" t="str">
            <v>420x850</v>
          </cell>
          <cell r="BB359" t="str">
            <v>G3</v>
          </cell>
          <cell r="BC359">
            <v>0</v>
          </cell>
        </row>
        <row r="360">
          <cell r="A360" t="str">
            <v>sp 1036</v>
          </cell>
          <cell r="B360" t="str">
            <v>Túi trà quả cầu đỏ Đặc sản 500gr loại 21</v>
          </cell>
          <cell r="D360" t="str">
            <v>pet 12x760</v>
          </cell>
          <cell r="E360">
            <v>4</v>
          </cell>
          <cell r="F360">
            <v>5</v>
          </cell>
          <cell r="AO360" t="str">
            <v>Bùi Văn Sỹ</v>
          </cell>
          <cell r="AP360">
            <v>0</v>
          </cell>
          <cell r="AQ360" t="str">
            <v>1904583-1</v>
          </cell>
          <cell r="AR360" t="str">
            <v>1904582-2</v>
          </cell>
          <cell r="AS360" t="str">
            <v>1904582-3</v>
          </cell>
          <cell r="AT360" t="str">
            <v>1904583-4</v>
          </cell>
          <cell r="AU360" t="str">
            <v>1904583-5</v>
          </cell>
          <cell r="AV360" t="str">
            <v>1904583X2-1</v>
          </cell>
          <cell r="BA360" t="str">
            <v>420x850</v>
          </cell>
          <cell r="BB360" t="str">
            <v>G3</v>
          </cell>
          <cell r="BC360" t="str">
            <v>in chung cây 2,3 với sp 1035</v>
          </cell>
        </row>
        <row r="361">
          <cell r="A361" t="str">
            <v>sp 1037</v>
          </cell>
          <cell r="B361" t="str">
            <v>Cuộn bột canh ngon I-ốt 190gr Hải Châu</v>
          </cell>
          <cell r="D361" t="str">
            <v>OPP 20x900</v>
          </cell>
          <cell r="E361">
            <v>8</v>
          </cell>
          <cell r="F361">
            <v>8</v>
          </cell>
          <cell r="AO361" t="str">
            <v xml:space="preserve">Cty Hải châu </v>
          </cell>
          <cell r="AP361">
            <v>0</v>
          </cell>
          <cell r="AQ361" t="str">
            <v>F125558-1</v>
          </cell>
          <cell r="AR361" t="str">
            <v>F125558-2</v>
          </cell>
          <cell r="AS361" t="str">
            <v>F125558-3</v>
          </cell>
          <cell r="AT361" t="str">
            <v>F125558-4</v>
          </cell>
          <cell r="AU361" t="str">
            <v>F125558-5</v>
          </cell>
          <cell r="AV361" t="str">
            <v>F125558-6</v>
          </cell>
          <cell r="AW361" t="str">
            <v>F125558-7</v>
          </cell>
          <cell r="AX361" t="str">
            <v>F125558-8</v>
          </cell>
          <cell r="BA361" t="str">
            <v>1100x525</v>
          </cell>
          <cell r="BB361" t="str">
            <v>Q2</v>
          </cell>
          <cell r="BC361">
            <v>0</v>
          </cell>
        </row>
        <row r="362">
          <cell r="A362" t="str">
            <v>sp 1038</v>
          </cell>
          <cell r="B362">
            <v>0</v>
          </cell>
          <cell r="E362">
            <v>0</v>
          </cell>
          <cell r="F362">
            <v>0</v>
          </cell>
          <cell r="AO362">
            <v>0</v>
          </cell>
          <cell r="AP362">
            <v>0</v>
          </cell>
          <cell r="AQ362">
            <v>0</v>
          </cell>
          <cell r="BA362">
            <v>0</v>
          </cell>
          <cell r="BC362">
            <v>0</v>
          </cell>
        </row>
        <row r="363">
          <cell r="A363" t="str">
            <v>sp 1039</v>
          </cell>
          <cell r="B363" t="str">
            <v>Túi trà logo Tân cương 100gr loại 9</v>
          </cell>
          <cell r="E363">
            <v>1</v>
          </cell>
          <cell r="F363">
            <v>2</v>
          </cell>
          <cell r="AO363" t="str">
            <v>Bùi Văn Sỹ</v>
          </cell>
          <cell r="AP363">
            <v>0</v>
          </cell>
          <cell r="AQ363" t="str">
            <v>1904747-1</v>
          </cell>
          <cell r="AR363" t="str">
            <v>1803222-2</v>
          </cell>
          <cell r="BA363" t="str">
            <v>540x850</v>
          </cell>
          <cell r="BB363" t="str">
            <v>G3</v>
          </cell>
          <cell r="BC363" t="str">
            <v>in chung cây Vàng số 2 vs sp 885</v>
          </cell>
        </row>
        <row r="364">
          <cell r="A364" t="str">
            <v>sp 1040</v>
          </cell>
          <cell r="B364" t="str">
            <v>Túi gạc răng miệng Dr.papie</v>
          </cell>
          <cell r="E364">
            <v>5</v>
          </cell>
          <cell r="F364">
            <v>5</v>
          </cell>
          <cell r="AO364" t="str">
            <v>Công ty dược phẩm Starmex</v>
          </cell>
          <cell r="AP364">
            <v>0</v>
          </cell>
          <cell r="AQ364" t="str">
            <v>F122657-1</v>
          </cell>
          <cell r="AR364" t="str">
            <v>F122657-2</v>
          </cell>
          <cell r="AS364" t="str">
            <v>F122657-3</v>
          </cell>
          <cell r="AT364" t="str">
            <v>F122657-4</v>
          </cell>
          <cell r="AU364" t="str">
            <v>F122657G8-0 đen</v>
          </cell>
          <cell r="BA364" t="str">
            <v>440x750</v>
          </cell>
          <cell r="BB364" t="str">
            <v>Q2</v>
          </cell>
          <cell r="BC364">
            <v>0</v>
          </cell>
        </row>
        <row r="365">
          <cell r="A365" t="str">
            <v>sp 1044</v>
          </cell>
          <cell r="B365" t="str">
            <v>Túi thuốc trừ sâu Neretox 95WP loại 20gr - BVTV</v>
          </cell>
          <cell r="D365" t="str">
            <v>PET 12x740</v>
          </cell>
          <cell r="E365">
            <v>7</v>
          </cell>
          <cell r="F365">
            <v>7</v>
          </cell>
          <cell r="AO365" t="str">
            <v>Công ty CP Bảo vệ thực vật Trung ương 1</v>
          </cell>
          <cell r="AP365">
            <v>0</v>
          </cell>
          <cell r="AQ365" t="str">
            <v>F122579G1-1</v>
          </cell>
          <cell r="AR365" t="str">
            <v>F122579-2</v>
          </cell>
          <cell r="AS365" t="str">
            <v>F122579-3</v>
          </cell>
          <cell r="AT365" t="str">
            <v>F122579-4</v>
          </cell>
          <cell r="AU365" t="str">
            <v>F122579-5</v>
          </cell>
          <cell r="AV365" t="str">
            <v>F122579-6</v>
          </cell>
          <cell r="AW365" t="str">
            <v>F122579-7</v>
          </cell>
          <cell r="BA365" t="str">
            <v>480x820</v>
          </cell>
          <cell r="BB365" t="str">
            <v>Q2</v>
          </cell>
          <cell r="BC365">
            <v>0</v>
          </cell>
        </row>
        <row r="366">
          <cell r="A366" t="str">
            <v>sp 1045</v>
          </cell>
          <cell r="B366" t="str">
            <v>Túi quả cầu xanh Tân cương 500gr loại 21</v>
          </cell>
          <cell r="E366" t="str">
            <v>sp 1035</v>
          </cell>
          <cell r="F366">
            <v>5</v>
          </cell>
          <cell r="AO366" t="str">
            <v>Bùi Văn Sỹ</v>
          </cell>
          <cell r="AP366">
            <v>0</v>
          </cell>
          <cell r="AQ366" t="str">
            <v>1904582-1</v>
          </cell>
          <cell r="AR366" t="str">
            <v>1904582-2</v>
          </cell>
          <cell r="AS366" t="str">
            <v>1904582-3</v>
          </cell>
          <cell r="AT366" t="str">
            <v>1904582-4</v>
          </cell>
          <cell r="AU366" t="str">
            <v>1904582-5</v>
          </cell>
          <cell r="BA366" t="str">
            <v>420x850</v>
          </cell>
          <cell r="BB366" t="str">
            <v>G3</v>
          </cell>
          <cell r="BC366" t="str">
            <v>in chung bộ sp 1035</v>
          </cell>
        </row>
        <row r="367">
          <cell r="A367" t="str">
            <v>sp 1047</v>
          </cell>
          <cell r="B367" t="str">
            <v xml:space="preserve">Cuộn băng cảnh báo Danger - Neolink </v>
          </cell>
          <cell r="D367" t="str">
            <v>PE sứ 40x970</v>
          </cell>
          <cell r="E367">
            <v>1</v>
          </cell>
          <cell r="F367">
            <v>1</v>
          </cell>
          <cell r="AO367" t="str">
            <v>Công ty NEOLINK</v>
          </cell>
          <cell r="AP367">
            <v>0</v>
          </cell>
          <cell r="AQ367" t="str">
            <v>F122989-1</v>
          </cell>
          <cell r="BA367" t="str">
            <v>650x1100</v>
          </cell>
          <cell r="BB367" t="str">
            <v>Q2</v>
          </cell>
          <cell r="BC367">
            <v>0</v>
          </cell>
        </row>
        <row r="368">
          <cell r="A368" t="str">
            <v>sp 1048</v>
          </cell>
          <cell r="B368" t="str">
            <v xml:space="preserve">Túi gạo làng sen 3kg sen quê bác </v>
          </cell>
          <cell r="D368" t="str">
            <v>PET 12x560</v>
          </cell>
          <cell r="E368">
            <v>6</v>
          </cell>
          <cell r="F368">
            <v>6</v>
          </cell>
          <cell r="AO368" t="str">
            <v>HTX nông nghiệp làng sen quê bác</v>
          </cell>
          <cell r="AP368">
            <v>0</v>
          </cell>
          <cell r="AQ368" t="str">
            <v>1905761-1</v>
          </cell>
          <cell r="AR368" t="str">
            <v>1905761-2</v>
          </cell>
          <cell r="AS368" t="str">
            <v>1905761-3</v>
          </cell>
          <cell r="AT368" t="str">
            <v>1905761-4</v>
          </cell>
          <cell r="AU368" t="str">
            <v>1905761-5</v>
          </cell>
          <cell r="AV368" t="str">
            <v>1905761-6</v>
          </cell>
          <cell r="BA368" t="str">
            <v>410x860</v>
          </cell>
          <cell r="BB368" t="str">
            <v>Q2</v>
          </cell>
          <cell r="BC368">
            <v>0</v>
          </cell>
        </row>
        <row r="369">
          <cell r="A369" t="str">
            <v>sp 1049</v>
          </cell>
          <cell r="B369" t="str">
            <v>Túi trà chữ đỏ thượng hạng tân cương và đặc sản 200gr loại loại 15</v>
          </cell>
          <cell r="D369" t="str">
            <v>PET 12x620</v>
          </cell>
          <cell r="E369">
            <v>7</v>
          </cell>
          <cell r="F369">
            <v>7</v>
          </cell>
          <cell r="AO369" t="str">
            <v>Bùi Văn Sỹ</v>
          </cell>
          <cell r="AP369">
            <v>0</v>
          </cell>
          <cell r="AQ369" t="str">
            <v>1704680-1</v>
          </cell>
          <cell r="AR369" t="str">
            <v>1704680-2</v>
          </cell>
          <cell r="AS369" t="str">
            <v>1704680-3</v>
          </cell>
          <cell r="AT369" t="str">
            <v>1704680-4</v>
          </cell>
          <cell r="AU369" t="str">
            <v>1704680-5</v>
          </cell>
          <cell r="AV369" t="str">
            <v>1704680-6</v>
          </cell>
          <cell r="AW369" t="str">
            <v>1704680-7</v>
          </cell>
          <cell r="BA369" t="str">
            <v>680x680</v>
          </cell>
          <cell r="BB369" t="str">
            <v>G3</v>
          </cell>
          <cell r="BC369">
            <v>0</v>
          </cell>
        </row>
        <row r="370">
          <cell r="A370" t="str">
            <v>sp 1050</v>
          </cell>
          <cell r="B370" t="str">
            <v xml:space="preserve">Túi trà tan Cozy ice tea hương chanh dây 400gr Vĩnh Phúc </v>
          </cell>
          <cell r="D370" t="str">
            <v>PET 12x620</v>
          </cell>
          <cell r="E370">
            <v>7</v>
          </cell>
          <cell r="F370">
            <v>7</v>
          </cell>
          <cell r="AO370" t="str">
            <v>Công ty Vĩnh Phúc</v>
          </cell>
          <cell r="AP370">
            <v>0</v>
          </cell>
          <cell r="AQ370" t="str">
            <v>X105890-1</v>
          </cell>
          <cell r="AR370" t="str">
            <v>X105890-2</v>
          </cell>
          <cell r="AS370" t="str">
            <v>X105890-3</v>
          </cell>
          <cell r="AT370" t="str">
            <v>X105890-4</v>
          </cell>
          <cell r="AU370" t="str">
            <v>X105890-5</v>
          </cell>
          <cell r="AV370" t="str">
            <v>X105890-6</v>
          </cell>
          <cell r="AW370" t="str">
            <v>X105890G1-0 cam</v>
          </cell>
          <cell r="BA370" t="str">
            <v>500x860</v>
          </cell>
          <cell r="BB370" t="str">
            <v>A2</v>
          </cell>
          <cell r="BC370" t="str">
            <v>In chung zcam số 0 với sp 1055</v>
          </cell>
        </row>
        <row r="371">
          <cell r="A371" t="str">
            <v>sp 1051</v>
          </cell>
          <cell r="B371" t="str">
            <v xml:space="preserve">Túi trà tan Cozy ice tea hương bí đao 400gr Vĩnh Phúc </v>
          </cell>
          <cell r="D371" t="str">
            <v>PET 12x620</v>
          </cell>
          <cell r="E371">
            <v>6</v>
          </cell>
          <cell r="F371">
            <v>7</v>
          </cell>
          <cell r="AO371" t="str">
            <v>Công ty Vĩnh Phúc</v>
          </cell>
          <cell r="AP371">
            <v>0</v>
          </cell>
          <cell r="AQ371" t="str">
            <v>X105892-1</v>
          </cell>
          <cell r="AR371" t="str">
            <v>X105892-2</v>
          </cell>
          <cell r="AS371" t="str">
            <v>X105892-3</v>
          </cell>
          <cell r="AT371" t="str">
            <v>X105892-4</v>
          </cell>
          <cell r="AU371" t="str">
            <v>X105892-5</v>
          </cell>
          <cell r="AV371" t="str">
            <v>X105890-6</v>
          </cell>
          <cell r="AW371" t="str">
            <v>X105892G1- 0 cam</v>
          </cell>
          <cell r="BA371" t="str">
            <v>500x860</v>
          </cell>
          <cell r="BB371" t="str">
            <v>A2</v>
          </cell>
          <cell r="BC371" t="str">
            <v>in chung cây Trắng số 6 vs sp 1050</v>
          </cell>
        </row>
        <row r="372">
          <cell r="A372" t="str">
            <v>sp 1052</v>
          </cell>
          <cell r="B372" t="str">
            <v>Cuộn bột canh I-ốt 190gr Hải Châu</v>
          </cell>
          <cell r="D372" t="str">
            <v>OPP 20x900</v>
          </cell>
          <cell r="E372">
            <v>8</v>
          </cell>
          <cell r="F372">
            <v>8</v>
          </cell>
          <cell r="AO372" t="str">
            <v>Công ty Hải châu</v>
          </cell>
          <cell r="AP372">
            <v>0</v>
          </cell>
          <cell r="AQ372" t="str">
            <v>F125814-1</v>
          </cell>
          <cell r="AR372" t="str">
            <v>F125814-2</v>
          </cell>
          <cell r="AS372" t="str">
            <v>F125814-3</v>
          </cell>
          <cell r="AT372" t="str">
            <v>F125814-4</v>
          </cell>
          <cell r="AU372" t="str">
            <v>F125814-5</v>
          </cell>
          <cell r="AV372" t="str">
            <v>F125814-6</v>
          </cell>
          <cell r="AW372" t="str">
            <v>F125814-7</v>
          </cell>
          <cell r="AX372" t="str">
            <v>F125814-8</v>
          </cell>
          <cell r="BA372" t="str">
            <v>525x1100</v>
          </cell>
          <cell r="BB372" t="str">
            <v>Q2</v>
          </cell>
          <cell r="BC372">
            <v>0</v>
          </cell>
        </row>
        <row r="373">
          <cell r="A373" t="str">
            <v>sp 1053</v>
          </cell>
          <cell r="B373" t="str">
            <v>Túi trà  ấm nghiêng tân cương, đặc sản 200gr loại 21</v>
          </cell>
          <cell r="D373" t="str">
            <v>PET 12x620</v>
          </cell>
          <cell r="E373">
            <v>7</v>
          </cell>
          <cell r="F373">
            <v>7</v>
          </cell>
          <cell r="AO373" t="str">
            <v>Bùi Văn Sỹ</v>
          </cell>
          <cell r="AP373">
            <v>0</v>
          </cell>
          <cell r="AQ373" t="str">
            <v>1707292-1</v>
          </cell>
          <cell r="AR373" t="str">
            <v>1707292-2</v>
          </cell>
          <cell r="AS373" t="str">
            <v>1707292-3</v>
          </cell>
          <cell r="AT373" t="str">
            <v>1707292-4</v>
          </cell>
          <cell r="AU373" t="str">
            <v>1707292-5</v>
          </cell>
          <cell r="AV373" t="str">
            <v>1707292-6</v>
          </cell>
          <cell r="AW373" t="str">
            <v>1707292-7</v>
          </cell>
          <cell r="BA373" t="str">
            <v>680x680</v>
          </cell>
          <cell r="BB373" t="str">
            <v>G3</v>
          </cell>
          <cell r="BC373">
            <v>0</v>
          </cell>
        </row>
        <row r="374">
          <cell r="A374" t="str">
            <v>sp 1055</v>
          </cell>
          <cell r="B374" t="str">
            <v xml:space="preserve">Túi trà tan cozy ice tea hương đào 400gr vĩnh phúc </v>
          </cell>
          <cell r="D374" t="str">
            <v>Pet 12x620</v>
          </cell>
          <cell r="E374">
            <v>6</v>
          </cell>
          <cell r="F374">
            <v>7</v>
          </cell>
          <cell r="AO374" t="str">
            <v>Công ty Vĩnh Phúc</v>
          </cell>
          <cell r="AP374">
            <v>0</v>
          </cell>
          <cell r="AQ374" t="str">
            <v>X106021-1</v>
          </cell>
          <cell r="AR374" t="str">
            <v>X106021-2</v>
          </cell>
          <cell r="AS374" t="str">
            <v>X106021-3</v>
          </cell>
          <cell r="AT374" t="str">
            <v>X106021-4</v>
          </cell>
          <cell r="AU374" t="str">
            <v>X106021-5</v>
          </cell>
          <cell r="AV374" t="str">
            <v>X105890-6</v>
          </cell>
          <cell r="AW374" t="str">
            <v>X106021G1-0 cam</v>
          </cell>
          <cell r="BA374" t="str">
            <v>500x860</v>
          </cell>
          <cell r="BB374" t="str">
            <v>A2</v>
          </cell>
          <cell r="BC374" t="str">
            <v>in chung cây Trắng số 6 vs sp 1050</v>
          </cell>
        </row>
        <row r="375">
          <cell r="A375" t="str">
            <v>sp 1056</v>
          </cell>
          <cell r="B375" t="str">
            <v xml:space="preserve">Cuộn giấy gói Tipo túi nội địa 220g và 115g </v>
          </cell>
          <cell r="D375" t="str">
            <v>OPP 20x700</v>
          </cell>
          <cell r="E375">
            <v>1</v>
          </cell>
          <cell r="F375">
            <v>8</v>
          </cell>
          <cell r="AO375" t="str">
            <v>Công ty Hữu Nghị</v>
          </cell>
          <cell r="AP375">
            <v>0</v>
          </cell>
          <cell r="AQ375" t="str">
            <v>F121164-1</v>
          </cell>
          <cell r="AR375" t="str">
            <v>F121164-2</v>
          </cell>
          <cell r="AS375" t="str">
            <v>F121164G4NG2-3</v>
          </cell>
          <cell r="AT375" t="str">
            <v>F121164-4</v>
          </cell>
          <cell r="AU375" t="str">
            <v>F121164G4-5</v>
          </cell>
          <cell r="AV375" t="str">
            <v>F121164-6</v>
          </cell>
          <cell r="AW375" t="str">
            <v>F121164G3-7</v>
          </cell>
          <cell r="AX375" t="str">
            <v>F121164G1-0</v>
          </cell>
          <cell r="BA375" t="str">
            <v>500x870</v>
          </cell>
          <cell r="BB375" t="str">
            <v>B1</v>
          </cell>
          <cell r="BC375" t="str">
            <v>in chung với bộ trục 960 khác cây đỏ cờ số 3</v>
          </cell>
        </row>
        <row r="376">
          <cell r="A376" t="str">
            <v>sp 1057</v>
          </cell>
          <cell r="B376" t="str">
            <v>Túi trà tam mã hương lài Vĩnh Phúc 500gr Vĩnh Phúc</v>
          </cell>
          <cell r="D376" t="str">
            <v>OPP 20x960</v>
          </cell>
          <cell r="E376">
            <v>6</v>
          </cell>
          <cell r="F376">
            <v>7</v>
          </cell>
          <cell r="AO376" t="str">
            <v>Công ty Vĩnh Phúc</v>
          </cell>
          <cell r="AP376">
            <v>0</v>
          </cell>
          <cell r="AQ376" t="str">
            <v>F123477-1</v>
          </cell>
          <cell r="AR376" t="str">
            <v>F123477-2</v>
          </cell>
          <cell r="AS376" t="str">
            <v>F123477-3</v>
          </cell>
          <cell r="AT376" t="str">
            <v>F123477-4</v>
          </cell>
          <cell r="AU376" t="str">
            <v>F123477-5</v>
          </cell>
          <cell r="AV376" t="str">
            <v>F123477-6</v>
          </cell>
          <cell r="AW376" t="str">
            <v>F122947-7</v>
          </cell>
          <cell r="BA376" t="str">
            <v>680x1100</v>
          </cell>
          <cell r="BB376" t="str">
            <v>A2</v>
          </cell>
          <cell r="BC376" t="str">
            <v>in chung cây trắng số 7 của sp 1059</v>
          </cell>
        </row>
        <row r="377">
          <cell r="A377" t="str">
            <v>sp 1058</v>
          </cell>
          <cell r="B377" t="str">
            <v>Túi trà tam mã hương sâm dứa 500gr Vĩnh Phúc</v>
          </cell>
          <cell r="D377" t="str">
            <v>OPP 20x960</v>
          </cell>
          <cell r="E377">
            <v>6</v>
          </cell>
          <cell r="F377">
            <v>7</v>
          </cell>
          <cell r="AO377" t="str">
            <v>Công ty Vĩnh Phúc</v>
          </cell>
          <cell r="AP377">
            <v>0</v>
          </cell>
          <cell r="AQ377" t="str">
            <v>F123473-1</v>
          </cell>
          <cell r="AR377" t="str">
            <v>F123473-2</v>
          </cell>
          <cell r="AS377" t="str">
            <v>F123473-3</v>
          </cell>
          <cell r="AT377" t="str">
            <v>F123473-4</v>
          </cell>
          <cell r="AU377" t="str">
            <v>F123473-5</v>
          </cell>
          <cell r="AV377" t="str">
            <v>F123473-6</v>
          </cell>
          <cell r="AW377" t="str">
            <v>F122947-7</v>
          </cell>
          <cell r="BA377" t="str">
            <v>680x1100</v>
          </cell>
          <cell r="BB377" t="str">
            <v>A2</v>
          </cell>
          <cell r="BC377" t="str">
            <v>in chung cây trắng 7 của sp 1059</v>
          </cell>
        </row>
        <row r="378">
          <cell r="A378" t="str">
            <v>sp 1059</v>
          </cell>
          <cell r="B378" t="str">
            <v>Túi trà tam mã hương hồng trà 500gr Vĩnh Phúc</v>
          </cell>
          <cell r="D378" t="str">
            <v>OPP 20x960</v>
          </cell>
          <cell r="E378">
            <v>6</v>
          </cell>
          <cell r="F378">
            <v>6</v>
          </cell>
          <cell r="AO378" t="str">
            <v>Công ty Vĩnh Phúc</v>
          </cell>
          <cell r="AP378">
            <v>0</v>
          </cell>
          <cell r="AQ378">
            <v>0</v>
          </cell>
          <cell r="AR378" t="str">
            <v>F122947-2</v>
          </cell>
          <cell r="AS378" t="str">
            <v>F122947-3</v>
          </cell>
          <cell r="AT378" t="str">
            <v>F122947-4</v>
          </cell>
          <cell r="AU378" t="str">
            <v>F122947-5</v>
          </cell>
          <cell r="AV378" t="str">
            <v>F122947-6</v>
          </cell>
          <cell r="AW378" t="str">
            <v>F122947-7</v>
          </cell>
          <cell r="BA378" t="str">
            <v>680x1100</v>
          </cell>
          <cell r="BB378" t="str">
            <v>A2</v>
          </cell>
          <cell r="BC378">
            <v>0</v>
          </cell>
        </row>
        <row r="379">
          <cell r="A379" t="str">
            <v>sp 1060</v>
          </cell>
          <cell r="B379" t="str">
            <v>Túi trà quả cầu xanh đặc sản 500g loại 21</v>
          </cell>
          <cell r="D379" t="str">
            <v>Pet 12x760</v>
          </cell>
          <cell r="E379" t="str">
            <v xml:space="preserve"> sp 1036</v>
          </cell>
          <cell r="F379">
            <v>5</v>
          </cell>
          <cell r="AO379" t="str">
            <v>Bùi Văn Sỹ</v>
          </cell>
          <cell r="AP379">
            <v>0</v>
          </cell>
          <cell r="AQ379" t="str">
            <v>1904583-1</v>
          </cell>
          <cell r="AR379" t="str">
            <v>1904582-2</v>
          </cell>
          <cell r="AS379" t="str">
            <v>1904582-3</v>
          </cell>
          <cell r="AT379" t="str">
            <v>1904583-4</v>
          </cell>
          <cell r="AU379" t="str">
            <v>1904583-5</v>
          </cell>
          <cell r="AV379" t="str">
            <v>1904583X2-1</v>
          </cell>
          <cell r="BA379" t="str">
            <v>420x850</v>
          </cell>
          <cell r="BB379" t="str">
            <v>G3</v>
          </cell>
          <cell r="BC379" t="str">
            <v>in giống sp 1036</v>
          </cell>
        </row>
        <row r="380">
          <cell r="A380" t="str">
            <v>sp 1061</v>
          </cell>
          <cell r="B380" t="str">
            <v>Cuộn tipo bánh trứng sữa 300gr
,250gr dẹt,153 dẹt xuất khẩu hữu nghị</v>
          </cell>
          <cell r="E380">
            <v>8</v>
          </cell>
          <cell r="F380">
            <v>8</v>
          </cell>
          <cell r="AO380" t="str">
            <v>Công ty Hữu Nghị</v>
          </cell>
          <cell r="AP380">
            <v>0</v>
          </cell>
          <cell r="AQ380" t="str">
            <v>F123985-1</v>
          </cell>
          <cell r="AR380" t="str">
            <v>F123985-2</v>
          </cell>
          <cell r="AS380" t="str">
            <v>F123985-3</v>
          </cell>
          <cell r="AT380" t="str">
            <v>F123985-4</v>
          </cell>
          <cell r="AU380" t="str">
            <v>F123985-5</v>
          </cell>
          <cell r="AV380" t="str">
            <v>F123985-6</v>
          </cell>
          <cell r="AW380" t="str">
            <v>F123985-7</v>
          </cell>
          <cell r="AX380" t="str">
            <v>F123985-8</v>
          </cell>
          <cell r="BA380" t="str">
            <v>500x1100</v>
          </cell>
          <cell r="BB380" t="str">
            <v>B1</v>
          </cell>
          <cell r="BC380">
            <v>0</v>
          </cell>
        </row>
        <row r="381">
          <cell r="A381" t="str">
            <v>sp 1062</v>
          </cell>
          <cell r="B381" t="str">
            <v>Cuộn trà cozy tan loại que ice tea hương chanh dây</v>
          </cell>
          <cell r="D381" t="str">
            <v xml:space="preserve">PET </v>
          </cell>
          <cell r="E381">
            <v>7</v>
          </cell>
          <cell r="F381">
            <v>7</v>
          </cell>
          <cell r="AO381" t="str">
            <v>Công ty Vĩnh Phúc</v>
          </cell>
          <cell r="AP381">
            <v>0</v>
          </cell>
          <cell r="AQ381" t="str">
            <v xml:space="preserve">F123486-1 </v>
          </cell>
          <cell r="AR381" t="str">
            <v xml:space="preserve">F123486-2 </v>
          </cell>
          <cell r="AS381" t="str">
            <v xml:space="preserve">F123486-3 </v>
          </cell>
          <cell r="AT381" t="str">
            <v>F123486-4</v>
          </cell>
          <cell r="AU381" t="str">
            <v>F123486-5</v>
          </cell>
          <cell r="AV381" t="str">
            <v>F123486-6</v>
          </cell>
          <cell r="AW381" t="str">
            <v>F123486-7</v>
          </cell>
          <cell r="BA381" t="str">
            <v>450x1100</v>
          </cell>
          <cell r="BB381" t="str">
            <v>A2</v>
          </cell>
          <cell r="BC381">
            <v>0</v>
          </cell>
        </row>
        <row r="382">
          <cell r="A382" t="str">
            <v>sp 1063</v>
          </cell>
          <cell r="B382">
            <v>0</v>
          </cell>
          <cell r="E382">
            <v>0</v>
          </cell>
          <cell r="F382">
            <v>0</v>
          </cell>
          <cell r="AO382">
            <v>0</v>
          </cell>
          <cell r="AP382">
            <v>0</v>
          </cell>
          <cell r="AQ382">
            <v>0</v>
          </cell>
          <cell r="BA382">
            <v>0</v>
          </cell>
          <cell r="BC382">
            <v>0</v>
          </cell>
        </row>
        <row r="383">
          <cell r="A383" t="str">
            <v>sp 1064</v>
          </cell>
          <cell r="B383">
            <v>0</v>
          </cell>
          <cell r="E383">
            <v>0</v>
          </cell>
          <cell r="F383">
            <v>0</v>
          </cell>
          <cell r="AO383">
            <v>0</v>
          </cell>
          <cell r="AP383">
            <v>0</v>
          </cell>
          <cell r="AQ383">
            <v>0</v>
          </cell>
          <cell r="BA383">
            <v>0</v>
          </cell>
          <cell r="BC383">
            <v>0</v>
          </cell>
        </row>
        <row r="384">
          <cell r="A384" t="str">
            <v>sp 1065</v>
          </cell>
          <cell r="B384" t="str">
            <v>Cuộn bánh quẩy lộc phát vị mật ong 135gr Anko</v>
          </cell>
          <cell r="D384" t="str">
            <v>OPP 20x860</v>
          </cell>
          <cell r="E384">
            <v>7</v>
          </cell>
          <cell r="F384">
            <v>7</v>
          </cell>
          <cell r="AO384" t="str">
            <v>Công ty sx và TM asi Miền Bắc</v>
          </cell>
          <cell r="AP384">
            <v>0</v>
          </cell>
          <cell r="AQ384" t="str">
            <v>F124018G1-1</v>
          </cell>
          <cell r="AR384" t="str">
            <v>F124018-2</v>
          </cell>
          <cell r="AS384" t="str">
            <v>F124018-3</v>
          </cell>
          <cell r="AT384" t="str">
            <v>F124018-4</v>
          </cell>
          <cell r="AU384" t="str">
            <v>F124018-5</v>
          </cell>
          <cell r="AV384" t="str">
            <v>F124018G1-6</v>
          </cell>
          <cell r="AW384" t="str">
            <v>F124018-7</v>
          </cell>
          <cell r="BA384" t="str">
            <v>530x1100</v>
          </cell>
          <cell r="BB384" t="str">
            <v>Q2</v>
          </cell>
          <cell r="BC384">
            <v>0</v>
          </cell>
        </row>
        <row r="385">
          <cell r="A385" t="str">
            <v>sp 1066</v>
          </cell>
          <cell r="B385" t="str">
            <v xml:space="preserve">Túi hương trầm cao cấp Liên Đức </v>
          </cell>
          <cell r="E385">
            <v>5</v>
          </cell>
          <cell r="F385">
            <v>5</v>
          </cell>
          <cell r="AO385" t="str">
            <v>DNTN Bảy lương (Tâm Đức)</v>
          </cell>
          <cell r="AP385">
            <v>0</v>
          </cell>
          <cell r="AQ385" t="str">
            <v>1908189-1</v>
          </cell>
          <cell r="AR385" t="str">
            <v>1908189-2</v>
          </cell>
          <cell r="AS385" t="str">
            <v>1908189-3</v>
          </cell>
          <cell r="AT385" t="str">
            <v>1908189-4</v>
          </cell>
          <cell r="AU385" t="str">
            <v>1908189-5</v>
          </cell>
          <cell r="BA385" t="str">
            <v>465x850</v>
          </cell>
          <cell r="BB385" t="str">
            <v>Q2</v>
          </cell>
          <cell r="BC385">
            <v>0</v>
          </cell>
        </row>
        <row r="386">
          <cell r="A386" t="str">
            <v>sp 1067</v>
          </cell>
          <cell r="B386" t="str">
            <v>Cuộn bột giặt Kwash 3000gr</v>
          </cell>
          <cell r="D386" t="str">
            <v>PA 15x760</v>
          </cell>
          <cell r="E386">
            <v>6</v>
          </cell>
          <cell r="F386">
            <v>6</v>
          </cell>
          <cell r="AO386" t="str">
            <v>Công ty Đức giang</v>
          </cell>
          <cell r="AP386">
            <v>0</v>
          </cell>
          <cell r="AQ386" t="str">
            <v>F124026-1</v>
          </cell>
          <cell r="AR386" t="str">
            <v>F124026-2</v>
          </cell>
          <cell r="AS386" t="str">
            <v>F124026-3</v>
          </cell>
          <cell r="AT386" t="str">
            <v>F124026-4</v>
          </cell>
          <cell r="AU386" t="str">
            <v>F124026-5</v>
          </cell>
          <cell r="AV386" t="str">
            <v>F124026-6</v>
          </cell>
          <cell r="BA386" t="str">
            <v>860x432</v>
          </cell>
          <cell r="BB386" t="str">
            <v>Q2</v>
          </cell>
          <cell r="BC386">
            <v>0</v>
          </cell>
        </row>
        <row r="387">
          <cell r="A387" t="str">
            <v>sp 1068</v>
          </cell>
          <cell r="B387" t="str">
            <v xml:space="preserve">Cuộn bột giặt chất lượng cao will 2.5kg </v>
          </cell>
          <cell r="E387">
            <v>6</v>
          </cell>
          <cell r="F387">
            <v>6</v>
          </cell>
          <cell r="AO387" t="str">
            <v>Công ty Đức giang</v>
          </cell>
          <cell r="AP387">
            <v>0</v>
          </cell>
          <cell r="AQ387" t="str">
            <v>F124130-1</v>
          </cell>
          <cell r="AR387" t="str">
            <v>F124130-2</v>
          </cell>
          <cell r="AS387" t="str">
            <v>F124130-3</v>
          </cell>
          <cell r="AT387" t="str">
            <v>F124130-4</v>
          </cell>
          <cell r="AU387" t="str">
            <v>F124130-5</v>
          </cell>
          <cell r="AV387" t="str">
            <v>F124130-6</v>
          </cell>
          <cell r="BA387" t="str">
            <v>780x860</v>
          </cell>
          <cell r="BB387" t="str">
            <v>U2</v>
          </cell>
          <cell r="BC387">
            <v>0</v>
          </cell>
        </row>
        <row r="388">
          <cell r="A388" t="str">
            <v>sp 1069</v>
          </cell>
          <cell r="B388" t="str">
            <v>Cuộn bột giặt nano hương hoa thiên nhiên 3kg- alo sun</v>
          </cell>
          <cell r="E388">
            <v>7</v>
          </cell>
          <cell r="F388">
            <v>7</v>
          </cell>
          <cell r="AO388" t="str">
            <v>Cty alo sun</v>
          </cell>
          <cell r="AP388">
            <v>0</v>
          </cell>
          <cell r="AQ388" t="str">
            <v>F124164-1</v>
          </cell>
          <cell r="AR388" t="str">
            <v>F124164-2</v>
          </cell>
          <cell r="AS388" t="str">
            <v>F124164-3</v>
          </cell>
          <cell r="AT388" t="str">
            <v>F124164-4</v>
          </cell>
          <cell r="AU388" t="str">
            <v>F124164-5</v>
          </cell>
          <cell r="AV388" t="str">
            <v>F124164-6</v>
          </cell>
          <cell r="AW388" t="str">
            <v>F124164-7</v>
          </cell>
          <cell r="BA388" t="str">
            <v>422x870</v>
          </cell>
          <cell r="BB388" t="str">
            <v>Q2</v>
          </cell>
          <cell r="BC388">
            <v>0</v>
          </cell>
        </row>
        <row r="389">
          <cell r="A389" t="str">
            <v>sp 1070</v>
          </cell>
          <cell r="B389" t="str">
            <v xml:space="preserve">Túi trà tan cozy ice tea hương chanh 400gr </v>
          </cell>
          <cell r="E389">
            <v>6</v>
          </cell>
          <cell r="F389">
            <v>7</v>
          </cell>
          <cell r="AO389" t="str">
            <v>Công ty Vĩnh Phúc</v>
          </cell>
          <cell r="AP389">
            <v>0</v>
          </cell>
          <cell r="AQ389" t="str">
            <v>X106818-1</v>
          </cell>
          <cell r="AR389" t="str">
            <v>X106818-2</v>
          </cell>
          <cell r="AS389" t="str">
            <v>X106818-3</v>
          </cell>
          <cell r="AT389" t="str">
            <v>X106818-4</v>
          </cell>
          <cell r="AU389" t="str">
            <v>X106818-5</v>
          </cell>
          <cell r="AV389" t="str">
            <v>X106818-6</v>
          </cell>
          <cell r="AW389" t="str">
            <v>X105890-7</v>
          </cell>
          <cell r="BA389" t="str">
            <v>500x860</v>
          </cell>
          <cell r="BB389" t="str">
            <v>A3</v>
          </cell>
          <cell r="BC389" t="str">
            <v xml:space="preserve">in chung cây trắng sp 1050 </v>
          </cell>
        </row>
        <row r="390">
          <cell r="A390" t="str">
            <v>sp 1071</v>
          </cell>
          <cell r="B390" t="str">
            <v>Túi thuốc SIFATA 10gr 36wp/sp</v>
          </cell>
          <cell r="E390">
            <v>6</v>
          </cell>
          <cell r="F390">
            <v>6</v>
          </cell>
          <cell r="AO390" t="str">
            <v>Công ty Việt Thắng</v>
          </cell>
          <cell r="AP390">
            <v>0</v>
          </cell>
          <cell r="AQ390" t="str">
            <v>19081114-1</v>
          </cell>
          <cell r="AR390" t="str">
            <v>19081114-2</v>
          </cell>
          <cell r="AS390" t="str">
            <v>19081114-3</v>
          </cell>
          <cell r="AT390" t="str">
            <v>19081114-4</v>
          </cell>
          <cell r="AU390" t="str">
            <v>19081114-5</v>
          </cell>
          <cell r="AV390" t="str">
            <v>19081114-6</v>
          </cell>
          <cell r="BA390" t="str">
            <v>450x870</v>
          </cell>
          <cell r="BB390" t="str">
            <v>D4</v>
          </cell>
          <cell r="BC390">
            <v>0</v>
          </cell>
        </row>
        <row r="391">
          <cell r="A391" t="str">
            <v>sp 1072</v>
          </cell>
          <cell r="B391" t="str">
            <v>Túi thuốc sâu VT- DAX 12g</v>
          </cell>
          <cell r="E391">
            <v>6</v>
          </cell>
          <cell r="F391">
            <v>6</v>
          </cell>
          <cell r="AO391" t="str">
            <v>Công ty Việt Thắng</v>
          </cell>
          <cell r="AP391">
            <v>0</v>
          </cell>
          <cell r="AQ391" t="str">
            <v>19081115-1</v>
          </cell>
          <cell r="AR391" t="str">
            <v>19081115-2</v>
          </cell>
          <cell r="AS391" t="str">
            <v>19081115-3</v>
          </cell>
          <cell r="AT391" t="str">
            <v>19081115-4</v>
          </cell>
          <cell r="AU391" t="str">
            <v>19081115-5</v>
          </cell>
          <cell r="AV391" t="str">
            <v>19081115-6</v>
          </cell>
          <cell r="BA391" t="str">
            <v>450x870</v>
          </cell>
          <cell r="BB391" t="str">
            <v>D4</v>
          </cell>
          <cell r="BC391">
            <v>0</v>
          </cell>
        </row>
        <row r="392">
          <cell r="A392" t="str">
            <v>sp 1073</v>
          </cell>
          <cell r="B392" t="str">
            <v xml:space="preserve">Túi trân châu 3Q Green jelly </v>
          </cell>
          <cell r="E392">
            <v>7</v>
          </cell>
          <cell r="F392">
            <v>7</v>
          </cell>
          <cell r="AO392" t="str">
            <v>Công ty Salafood</v>
          </cell>
          <cell r="AP392">
            <v>0</v>
          </cell>
          <cell r="AQ392" t="str">
            <v>F124439-1</v>
          </cell>
          <cell r="AR392" t="str">
            <v>F124439-2</v>
          </cell>
          <cell r="AS392" t="str">
            <v>F124439-3</v>
          </cell>
          <cell r="AT392" t="str">
            <v>F124439-4</v>
          </cell>
          <cell r="AU392" t="str">
            <v>F124439-5</v>
          </cell>
          <cell r="AV392" t="str">
            <v>F124439-6</v>
          </cell>
          <cell r="AW392" t="str">
            <v>F124439-7</v>
          </cell>
          <cell r="BA392" t="str">
            <v>440x870</v>
          </cell>
          <cell r="BB392" t="str">
            <v>Q2</v>
          </cell>
          <cell r="BC392">
            <v>0</v>
          </cell>
        </row>
        <row r="393">
          <cell r="A393" t="str">
            <v>sp 1074</v>
          </cell>
          <cell r="B393" t="str">
            <v xml:space="preserve">Túi men rượu nếp cái hoa vàng trung tiến 500gr </v>
          </cell>
          <cell r="E393">
            <v>7</v>
          </cell>
          <cell r="F393">
            <v>7</v>
          </cell>
          <cell r="AO393" t="str">
            <v>Công ty Trung Tiến</v>
          </cell>
          <cell r="AP393">
            <v>0</v>
          </cell>
          <cell r="AQ393" t="str">
            <v>F124247-1</v>
          </cell>
          <cell r="AR393" t="str">
            <v>F124247-2</v>
          </cell>
          <cell r="AS393" t="str">
            <v>F124247-3</v>
          </cell>
          <cell r="AT393" t="str">
            <v>F124247-4</v>
          </cell>
          <cell r="AU393" t="str">
            <v>F124247-5</v>
          </cell>
          <cell r="AV393" t="str">
            <v>F124247-6</v>
          </cell>
          <cell r="AW393" t="str">
            <v>F124247-7</v>
          </cell>
          <cell r="BA393" t="str">
            <v>540x870</v>
          </cell>
          <cell r="BB393" t="str">
            <v>Q2</v>
          </cell>
          <cell r="BC393">
            <v>0</v>
          </cell>
        </row>
        <row r="394">
          <cell r="A394" t="str">
            <v>sp 1075</v>
          </cell>
          <cell r="B394" t="str">
            <v>Túi  giống lúa lai 838 cấp giống hạt lai F1 tiếng trung 1kg Thái Bình</v>
          </cell>
          <cell r="E394">
            <v>6</v>
          </cell>
          <cell r="F394">
            <v>7</v>
          </cell>
          <cell r="AO394" t="str">
            <v>Công ty Thái Bình</v>
          </cell>
          <cell r="AP394">
            <v>0</v>
          </cell>
          <cell r="AQ394" t="str">
            <v>1909337-1</v>
          </cell>
          <cell r="AR394" t="str">
            <v>1909337-2</v>
          </cell>
          <cell r="AS394" t="str">
            <v>1909337-3</v>
          </cell>
          <cell r="AT394" t="str">
            <v>1909337-4</v>
          </cell>
          <cell r="AU394" t="str">
            <v>1909337-5</v>
          </cell>
          <cell r="AV394" t="str">
            <v>1909337-6</v>
          </cell>
          <cell r="AX394" t="str">
            <v>20110138-8</v>
          </cell>
          <cell r="BA394" t="str">
            <v>620x1100</v>
          </cell>
          <cell r="BB394" t="str">
            <v>I3</v>
          </cell>
          <cell r="BC394">
            <v>0</v>
          </cell>
        </row>
        <row r="395">
          <cell r="A395" t="str">
            <v>sp 1076</v>
          </cell>
          <cell r="B395" t="str">
            <v>Túi  giống lúa lai 838 cấp giống hạt lai F1 tiếng trung 40kg Thái Bình</v>
          </cell>
          <cell r="D395" t="str">
            <v>opp</v>
          </cell>
          <cell r="E395">
            <v>5</v>
          </cell>
          <cell r="F395">
            <v>5</v>
          </cell>
          <cell r="AO395" t="str">
            <v>Công ty Thái Bình</v>
          </cell>
          <cell r="AP395">
            <v>0</v>
          </cell>
          <cell r="AQ395" t="str">
            <v>1909336-1</v>
          </cell>
          <cell r="AR395" t="str">
            <v>1909336-2</v>
          </cell>
          <cell r="AS395" t="str">
            <v>1909336-3</v>
          </cell>
          <cell r="AT395" t="str">
            <v>1909336-4</v>
          </cell>
          <cell r="AU395" t="str">
            <v>1909336-5</v>
          </cell>
          <cell r="BA395" t="str">
            <v>1100x850</v>
          </cell>
          <cell r="BB395" t="str">
            <v>L1</v>
          </cell>
          <cell r="BC395">
            <v>0</v>
          </cell>
        </row>
        <row r="396">
          <cell r="A396" t="str">
            <v>sp 1077</v>
          </cell>
          <cell r="B396" t="str">
            <v>Cuộn bột giặt Won 1kg Đức Giang</v>
          </cell>
          <cell r="D396" t="str">
            <v>pet 12x</v>
          </cell>
          <cell r="E396">
            <v>7</v>
          </cell>
          <cell r="F396">
            <v>7</v>
          </cell>
          <cell r="AO396" t="str">
            <v>Công ty Đức Giang</v>
          </cell>
          <cell r="AP396">
            <v>0</v>
          </cell>
          <cell r="AQ396" t="str">
            <v>1506971-1</v>
          </cell>
          <cell r="AR396" t="str">
            <v>1506971-2</v>
          </cell>
          <cell r="AS396" t="str">
            <v>1506971-3</v>
          </cell>
          <cell r="AT396" t="str">
            <v>1506971-4</v>
          </cell>
          <cell r="AU396" t="str">
            <v>1506971-5</v>
          </cell>
          <cell r="AV396" t="str">
            <v>1506971-6</v>
          </cell>
          <cell r="AW396" t="str">
            <v>1506971-7</v>
          </cell>
          <cell r="BA396" t="str">
            <v>590x720</v>
          </cell>
          <cell r="BB396" t="str">
            <v>U2</v>
          </cell>
          <cell r="BC396">
            <v>0</v>
          </cell>
        </row>
        <row r="397">
          <cell r="A397" t="str">
            <v>sp 1078</v>
          </cell>
          <cell r="B397" t="str">
            <v>Túi trà quả cầu xanh tân cương 200gr loại 21</v>
          </cell>
          <cell r="E397" t="str">
            <v>sp 1033</v>
          </cell>
          <cell r="F397">
            <v>5</v>
          </cell>
          <cell r="AO397" t="str">
            <v>Bùi Văn Sỹ</v>
          </cell>
          <cell r="AP397">
            <v>0</v>
          </cell>
          <cell r="AQ397" t="str">
            <v>1904580-1</v>
          </cell>
          <cell r="AR397" t="str">
            <v>1904580-2</v>
          </cell>
          <cell r="AS397" t="str">
            <v>1904580-3</v>
          </cell>
          <cell r="AT397" t="str">
            <v>1904580-4</v>
          </cell>
          <cell r="AU397" t="str">
            <v>1904580-5</v>
          </cell>
          <cell r="BA397" t="str">
            <v>680x860</v>
          </cell>
          <cell r="BB397" t="str">
            <v>G3</v>
          </cell>
          <cell r="BC397" t="str">
            <v>in chung sp 1033</v>
          </cell>
        </row>
        <row r="398">
          <cell r="A398" t="str">
            <v>sp 1079</v>
          </cell>
          <cell r="B398" t="str">
            <v>Túi trà quả cầu xanh đặc sản 200gr loại 21</v>
          </cell>
          <cell r="E398" t="str">
            <v>sp 1034</v>
          </cell>
          <cell r="F398">
            <v>5</v>
          </cell>
          <cell r="AO398" t="str">
            <v>Bùi Văn Sỹ</v>
          </cell>
          <cell r="AP398">
            <v>0</v>
          </cell>
          <cell r="AQ398" t="str">
            <v>1904581-1</v>
          </cell>
          <cell r="AR398" t="str">
            <v>1904580-2</v>
          </cell>
          <cell r="AS398" t="str">
            <v>1904580-3</v>
          </cell>
          <cell r="AT398" t="str">
            <v>1904581-4</v>
          </cell>
          <cell r="AU398" t="str">
            <v>1904581-5</v>
          </cell>
          <cell r="BA398" t="str">
            <v>680x860</v>
          </cell>
          <cell r="BB398" t="str">
            <v>G3</v>
          </cell>
          <cell r="BC398" t="str">
            <v>in chung sp 1034</v>
          </cell>
        </row>
        <row r="399">
          <cell r="A399" t="str">
            <v>sp 1080</v>
          </cell>
          <cell r="B399" t="str">
            <v>Túi trà ấm nghiêng Tân cương 100g</v>
          </cell>
          <cell r="E399">
            <v>7</v>
          </cell>
          <cell r="F399">
            <v>7</v>
          </cell>
          <cell r="AO399" t="str">
            <v>Bùi Văn Sỹ</v>
          </cell>
          <cell r="AP399">
            <v>0</v>
          </cell>
          <cell r="AQ399" t="str">
            <v>1909998-1</v>
          </cell>
          <cell r="AR399" t="str">
            <v>1909998-2</v>
          </cell>
          <cell r="AS399" t="str">
            <v>1909998-3</v>
          </cell>
          <cell r="AT399" t="str">
            <v>1909998-4</v>
          </cell>
          <cell r="AU399" t="str">
            <v>1909998-5</v>
          </cell>
          <cell r="AV399" t="str">
            <v>1909998-6</v>
          </cell>
          <cell r="AW399" t="str">
            <v>1909998-7</v>
          </cell>
          <cell r="BA399" t="str">
            <v>540x860</v>
          </cell>
          <cell r="BB399" t="str">
            <v>G4</v>
          </cell>
          <cell r="BC399">
            <v>0</v>
          </cell>
        </row>
        <row r="400">
          <cell r="A400" t="str">
            <v>sp 1081</v>
          </cell>
          <cell r="B400" t="str">
            <v>Túi trà ấm nghiêng đặc sản 100g</v>
          </cell>
          <cell r="E400">
            <v>3</v>
          </cell>
          <cell r="F400">
            <v>7</v>
          </cell>
          <cell r="AO400" t="str">
            <v>Bùi Văn Sỹ</v>
          </cell>
          <cell r="AP400">
            <v>0</v>
          </cell>
          <cell r="AQ400" t="str">
            <v>1909998-1</v>
          </cell>
          <cell r="AR400" t="str">
            <v>1909999-2</v>
          </cell>
          <cell r="AS400" t="str">
            <v>1909998-3</v>
          </cell>
          <cell r="AT400" t="str">
            <v>1909998-4</v>
          </cell>
          <cell r="AU400" t="str">
            <v>1909999-5</v>
          </cell>
          <cell r="AV400" t="str">
            <v>1909999-6</v>
          </cell>
          <cell r="AW400" t="str">
            <v>1909999-7</v>
          </cell>
          <cell r="BA400" t="str">
            <v>540x860</v>
          </cell>
          <cell r="BB400" t="str">
            <v>G4</v>
          </cell>
          <cell r="BC400" t="str">
            <v>in chung cây 1,3,4,5 với sp 1080</v>
          </cell>
        </row>
        <row r="401">
          <cell r="A401" t="str">
            <v>sp 1082</v>
          </cell>
          <cell r="B401" t="str">
            <v>Túi trà lụa tân cương 200gr loại 5</v>
          </cell>
          <cell r="E401">
            <v>7</v>
          </cell>
          <cell r="F401">
            <v>7</v>
          </cell>
          <cell r="AO401" t="str">
            <v>Bùi Văn Sỹ</v>
          </cell>
          <cell r="AP401">
            <v>0</v>
          </cell>
          <cell r="AQ401" t="str">
            <v>1909995-1</v>
          </cell>
          <cell r="AR401" t="str">
            <v>1909995-2</v>
          </cell>
          <cell r="AS401" t="str">
            <v>1909995-3</v>
          </cell>
          <cell r="AT401" t="str">
            <v>1909995-4</v>
          </cell>
          <cell r="AU401" t="str">
            <v>1909995-5</v>
          </cell>
          <cell r="AV401" t="str">
            <v>1909995-6</v>
          </cell>
          <cell r="AW401" t="str">
            <v>1909995-7</v>
          </cell>
          <cell r="BA401" t="str">
            <v>680x860</v>
          </cell>
          <cell r="BB401" t="str">
            <v>G4</v>
          </cell>
          <cell r="BC401">
            <v>0</v>
          </cell>
        </row>
        <row r="402">
          <cell r="A402" t="str">
            <v>sp 1083</v>
          </cell>
          <cell r="B402" t="str">
            <v>Tuí trà thượng hạng tân cương 200gr loại 15</v>
          </cell>
          <cell r="E402">
            <v>6</v>
          </cell>
          <cell r="F402">
            <v>6</v>
          </cell>
          <cell r="AO402" t="str">
            <v>Bùi Văn Sỹ</v>
          </cell>
          <cell r="AP402">
            <v>0</v>
          </cell>
          <cell r="AQ402" t="str">
            <v>1909996-1</v>
          </cell>
          <cell r="AR402" t="str">
            <v>1909996-2</v>
          </cell>
          <cell r="AS402" t="str">
            <v>1909996-3</v>
          </cell>
          <cell r="AT402" t="str">
            <v>1909996-4</v>
          </cell>
          <cell r="AU402" t="str">
            <v>1909996-5</v>
          </cell>
          <cell r="AV402" t="str">
            <v>1909996-6</v>
          </cell>
          <cell r="BA402" t="str">
            <v>680x680</v>
          </cell>
          <cell r="BB402" t="str">
            <v>G4</v>
          </cell>
          <cell r="BC402">
            <v>0</v>
          </cell>
        </row>
        <row r="403">
          <cell r="A403" t="str">
            <v>sp 1084</v>
          </cell>
          <cell r="B403" t="str">
            <v>Tuí trà thượng hạng đặc sản tân cương 200g</v>
          </cell>
          <cell r="E403">
            <v>4</v>
          </cell>
          <cell r="F403">
            <v>6</v>
          </cell>
          <cell r="AO403" t="str">
            <v>Bùi Văn Sỹ</v>
          </cell>
          <cell r="AP403">
            <v>0</v>
          </cell>
          <cell r="AQ403" t="str">
            <v>1909997-1</v>
          </cell>
          <cell r="AR403" t="str">
            <v>1909996-2</v>
          </cell>
          <cell r="AS403" t="str">
            <v>1909997-3</v>
          </cell>
          <cell r="AT403" t="str">
            <v>1909997-4</v>
          </cell>
          <cell r="AU403" t="str">
            <v>1909997-5</v>
          </cell>
          <cell r="AV403" t="str">
            <v>1909996-6</v>
          </cell>
          <cell r="BA403" t="str">
            <v>680x680</v>
          </cell>
          <cell r="BB403" t="str">
            <v>G4</v>
          </cell>
          <cell r="BC403" t="str">
            <v>dùng chung cây zdo số 2, và cây trắng số 6 sp 1083</v>
          </cell>
        </row>
        <row r="404">
          <cell r="A404" t="str">
            <v>sp 1085</v>
          </cell>
          <cell r="B404" t="str">
            <v>Cuộn trà túi lọc giảo cổ lam 2gr- Tuệ Linh</v>
          </cell>
          <cell r="E404">
            <v>5</v>
          </cell>
          <cell r="F404">
            <v>5</v>
          </cell>
          <cell r="AO404" t="str">
            <v>Công ty CP chè Kim Anh</v>
          </cell>
          <cell r="AP404">
            <v>0</v>
          </cell>
          <cell r="AQ404" t="str">
            <v>F124688-1</v>
          </cell>
          <cell r="AR404" t="str">
            <v>F124688-2</v>
          </cell>
          <cell r="AS404" t="str">
            <v>F124688-3</v>
          </cell>
          <cell r="AT404" t="str">
            <v>F124688-4</v>
          </cell>
          <cell r="AU404" t="str">
            <v>F124688-5</v>
          </cell>
          <cell r="BA404" t="str">
            <v>462x860</v>
          </cell>
          <cell r="BB404" t="str">
            <v>Q2</v>
          </cell>
          <cell r="BC404">
            <v>0</v>
          </cell>
        </row>
        <row r="405">
          <cell r="A405" t="str">
            <v>sp 1086</v>
          </cell>
          <cell r="B405">
            <v>0</v>
          </cell>
          <cell r="E405">
            <v>0</v>
          </cell>
          <cell r="F405">
            <v>0</v>
          </cell>
          <cell r="AO405">
            <v>0</v>
          </cell>
          <cell r="AP405">
            <v>0</v>
          </cell>
          <cell r="AQ405">
            <v>0</v>
          </cell>
          <cell r="BA405">
            <v>0</v>
          </cell>
          <cell r="BC405">
            <v>0</v>
          </cell>
        </row>
        <row r="406">
          <cell r="A406" t="str">
            <v>sp 1087</v>
          </cell>
          <cell r="B406" t="str">
            <v>Túi lúa BC15 XN2 mới 2020 1 kg Thái Bình</v>
          </cell>
          <cell r="E406">
            <v>7</v>
          </cell>
          <cell r="F406">
            <v>8</v>
          </cell>
          <cell r="AO406" t="str">
            <v>Công ty Thái Bình</v>
          </cell>
          <cell r="AP406">
            <v>0</v>
          </cell>
          <cell r="AQ406" t="str">
            <v>19101037-7</v>
          </cell>
          <cell r="AR406" t="str">
            <v>19101037-2</v>
          </cell>
          <cell r="AS406" t="str">
            <v>19101037-3</v>
          </cell>
          <cell r="AT406" t="str">
            <v>19101037-4</v>
          </cell>
          <cell r="AU406" t="str">
            <v>19101037-5</v>
          </cell>
          <cell r="AV406" t="str">
            <v>19101037-6</v>
          </cell>
          <cell r="AW406" t="str">
            <v>19110566-7</v>
          </cell>
          <cell r="AX406" t="str">
            <v>20110138-8</v>
          </cell>
          <cell r="BA406" t="str">
            <v>620x1100</v>
          </cell>
          <cell r="BB406" t="str">
            <v>L1</v>
          </cell>
          <cell r="BC406" t="str">
            <v>Dùng chung cây trắng cuả  sp 630 ,không có cây số 1</v>
          </cell>
        </row>
        <row r="407">
          <cell r="A407" t="str">
            <v>sp 1088</v>
          </cell>
          <cell r="B407" t="str">
            <v>Túi lúa BC15 XN2 mới 2020 40 kg Thái Bình</v>
          </cell>
          <cell r="E407">
            <v>6</v>
          </cell>
          <cell r="F407">
            <v>6</v>
          </cell>
          <cell r="AO407" t="str">
            <v>Công ty Thái Bình</v>
          </cell>
          <cell r="AP407">
            <v>0</v>
          </cell>
          <cell r="AQ407" t="str">
            <v>19101038-1</v>
          </cell>
          <cell r="AR407" t="str">
            <v>19101038-2</v>
          </cell>
          <cell r="AS407" t="str">
            <v>19101038-3</v>
          </cell>
          <cell r="AT407" t="str">
            <v>19101038-4</v>
          </cell>
          <cell r="AU407" t="str">
            <v>19101038-5</v>
          </cell>
          <cell r="AV407" t="str">
            <v>19101038-6</v>
          </cell>
          <cell r="BA407" t="str">
            <v>1100x850</v>
          </cell>
          <cell r="BB407" t="str">
            <v>L1</v>
          </cell>
          <cell r="BC407">
            <v>0</v>
          </cell>
        </row>
        <row r="408">
          <cell r="A408" t="str">
            <v>sp 1089</v>
          </cell>
          <cell r="B408" t="str">
            <v>Túi kẹo lạc vừng 250gr Đình Mạnh</v>
          </cell>
          <cell r="E408">
            <v>6</v>
          </cell>
          <cell r="F408">
            <v>6</v>
          </cell>
          <cell r="AO408" t="str">
            <v>Cơ sở bánh kẹo Đình Mạnh</v>
          </cell>
          <cell r="AP408">
            <v>0</v>
          </cell>
          <cell r="AQ408" t="str">
            <v>19101040-1</v>
          </cell>
          <cell r="AR408" t="str">
            <v>19101040-2</v>
          </cell>
          <cell r="AS408" t="str">
            <v>19101040-3</v>
          </cell>
          <cell r="AT408" t="str">
            <v>19101040-4</v>
          </cell>
          <cell r="AU408" t="str">
            <v>19101040-5</v>
          </cell>
          <cell r="AV408" t="str">
            <v>19101040-6</v>
          </cell>
          <cell r="BA408" t="str">
            <v>470x870</v>
          </cell>
          <cell r="BB408" t="str">
            <v>Q2</v>
          </cell>
          <cell r="BC408">
            <v>0</v>
          </cell>
        </row>
        <row r="409">
          <cell r="A409" t="str">
            <v>sp 1090</v>
          </cell>
          <cell r="B409" t="str">
            <v>Túi trà tân cương 500g L9</v>
          </cell>
          <cell r="E409">
            <v>2</v>
          </cell>
          <cell r="F409">
            <v>2</v>
          </cell>
          <cell r="AO409" t="str">
            <v>Bùi Văn Sỹ</v>
          </cell>
          <cell r="AP409">
            <v>0</v>
          </cell>
          <cell r="AQ409" t="str">
            <v>20030161-1</v>
          </cell>
          <cell r="AR409" t="str">
            <v>20030161-2</v>
          </cell>
          <cell r="BA409" t="str">
            <v>420x870</v>
          </cell>
          <cell r="BB409" t="str">
            <v>G4</v>
          </cell>
          <cell r="BC409">
            <v>0</v>
          </cell>
        </row>
        <row r="410">
          <cell r="A410" t="str">
            <v>sp 1091</v>
          </cell>
          <cell r="B410" t="str">
            <v>Túi trà logo tân cương in màu 200gr loại 9</v>
          </cell>
          <cell r="E410">
            <v>2</v>
          </cell>
          <cell r="F410">
            <v>2</v>
          </cell>
          <cell r="AO410" t="str">
            <v>Bùi Văn Sỹ</v>
          </cell>
          <cell r="AP410">
            <v>0</v>
          </cell>
          <cell r="AQ410">
            <v>0</v>
          </cell>
          <cell r="AR410" t="str">
            <v>19101198-2</v>
          </cell>
          <cell r="AV410" t="str">
            <v>19101198-6</v>
          </cell>
          <cell r="BA410" t="str">
            <v>680x860</v>
          </cell>
          <cell r="BB410" t="str">
            <v>G4</v>
          </cell>
          <cell r="BC410">
            <v>0</v>
          </cell>
        </row>
        <row r="411">
          <cell r="A411" t="str">
            <v>sp 1092</v>
          </cell>
          <cell r="B411" t="str">
            <v>Túi bột giặt Nif 6kg MKL</v>
          </cell>
          <cell r="E411">
            <v>6</v>
          </cell>
          <cell r="F411">
            <v>6</v>
          </cell>
          <cell r="AO411" t="str">
            <v>Công ty CP PKL</v>
          </cell>
          <cell r="AP411">
            <v>0</v>
          </cell>
          <cell r="AQ411" t="str">
            <v>F124654-1</v>
          </cell>
          <cell r="AR411" t="str">
            <v>F124654-2</v>
          </cell>
          <cell r="AS411" t="str">
            <v>F124654-3</v>
          </cell>
          <cell r="AT411" t="str">
            <v>F124654-4</v>
          </cell>
          <cell r="AU411" t="str">
            <v>F124654-5</v>
          </cell>
          <cell r="AV411" t="str">
            <v>F124654-6</v>
          </cell>
          <cell r="BA411" t="str">
            <v>535x870</v>
          </cell>
          <cell r="BB411" t="str">
            <v>Q2</v>
          </cell>
          <cell r="BC411">
            <v>0</v>
          </cell>
        </row>
        <row r="412">
          <cell r="A412" t="str">
            <v>sp 1093</v>
          </cell>
          <cell r="B412" t="str">
            <v>Tuí trà quả cầu xanh TC 100gr loại 21</v>
          </cell>
          <cell r="E412" t="str">
            <v>sp 1031</v>
          </cell>
          <cell r="F412">
            <v>5</v>
          </cell>
          <cell r="AO412" t="str">
            <v>Bùi Văn Sỹ</v>
          </cell>
          <cell r="AP412">
            <v>0</v>
          </cell>
          <cell r="AQ412" t="str">
            <v>1904578-1</v>
          </cell>
          <cell r="AR412" t="str">
            <v>1904578-2</v>
          </cell>
          <cell r="AS412" t="str">
            <v>1904578-3</v>
          </cell>
          <cell r="AT412" t="str">
            <v>1904578-4</v>
          </cell>
          <cell r="AU412" t="str">
            <v>1904578-5</v>
          </cell>
          <cell r="BA412" t="str">
            <v>540x860</v>
          </cell>
          <cell r="BB412" t="str">
            <v>G2</v>
          </cell>
          <cell r="BC412">
            <v>0</v>
          </cell>
        </row>
        <row r="413">
          <cell r="A413" t="str">
            <v>sp 1094</v>
          </cell>
          <cell r="B413" t="str">
            <v>Túi trà quả cầu xanh ĐS 100gr loại 21</v>
          </cell>
          <cell r="E413" t="str">
            <v>sp 1032</v>
          </cell>
          <cell r="F413">
            <v>5</v>
          </cell>
          <cell r="AO413" t="str">
            <v>Bùi Văn Sỹ</v>
          </cell>
          <cell r="AP413">
            <v>0</v>
          </cell>
          <cell r="AQ413" t="str">
            <v>1904579-1</v>
          </cell>
          <cell r="AR413" t="str">
            <v>1904578-2</v>
          </cell>
          <cell r="AS413" t="str">
            <v>1904578-3</v>
          </cell>
          <cell r="AT413" t="str">
            <v>1904579-4</v>
          </cell>
          <cell r="AU413" t="str">
            <v>1904579-5</v>
          </cell>
          <cell r="BA413" t="str">
            <v>540x860</v>
          </cell>
          <cell r="BB413" t="str">
            <v>G3</v>
          </cell>
          <cell r="BC413">
            <v>0</v>
          </cell>
        </row>
        <row r="414">
          <cell r="A414" t="str">
            <v>sp 1095</v>
          </cell>
          <cell r="B414" t="str">
            <v>Túi bánh Pingo hương sữa 528gr Libra</v>
          </cell>
          <cell r="E414">
            <v>7</v>
          </cell>
          <cell r="F414">
            <v>7</v>
          </cell>
          <cell r="AO414" t="str">
            <v>Công ty Libra</v>
          </cell>
          <cell r="AP414">
            <v>0</v>
          </cell>
          <cell r="AQ414" t="str">
            <v>F124789-1</v>
          </cell>
          <cell r="AR414" t="str">
            <v>F124789-2</v>
          </cell>
          <cell r="AS414" t="str">
            <v>F124789-3</v>
          </cell>
          <cell r="AT414" t="str">
            <v>F124789-4</v>
          </cell>
          <cell r="AU414" t="str">
            <v>F124789-5</v>
          </cell>
          <cell r="AV414" t="str">
            <v>F124789-6</v>
          </cell>
          <cell r="AW414" t="str">
            <v>F124789-7</v>
          </cell>
          <cell r="BA414" t="str">
            <v>560*870</v>
          </cell>
          <cell r="BB414" t="str">
            <v>Q2</v>
          </cell>
          <cell r="BC414">
            <v>0</v>
          </cell>
        </row>
        <row r="415">
          <cell r="A415" t="str">
            <v>sp 1096</v>
          </cell>
          <cell r="B415" t="str">
            <v>Cuộn trà hương táo bigtea Vĩnh Phúc</v>
          </cell>
          <cell r="E415">
            <v>7</v>
          </cell>
          <cell r="F415">
            <v>7</v>
          </cell>
          <cell r="AO415" t="str">
            <v>Công ty Vĩnh Phúc</v>
          </cell>
          <cell r="AP415">
            <v>0</v>
          </cell>
          <cell r="AQ415" t="str">
            <v>F124739-1</v>
          </cell>
          <cell r="AR415" t="str">
            <v>F124739-2</v>
          </cell>
          <cell r="AS415" t="str">
            <v>F124739-3</v>
          </cell>
          <cell r="AT415" t="str">
            <v>F124739-4</v>
          </cell>
          <cell r="AU415" t="str">
            <v>F124739-5</v>
          </cell>
          <cell r="AV415" t="str">
            <v>F124739-6</v>
          </cell>
          <cell r="AW415" t="str">
            <v>F124739-7</v>
          </cell>
          <cell r="BA415" t="str">
            <v>462x870</v>
          </cell>
          <cell r="BB415" t="str">
            <v>A3</v>
          </cell>
          <cell r="BC415">
            <v>0</v>
          </cell>
        </row>
        <row r="416">
          <cell r="A416" t="str">
            <v>sp 1097</v>
          </cell>
          <cell r="B416" t="str">
            <v>Cuộn trà hương xoài bigtea Vĩnh Phúc</v>
          </cell>
          <cell r="E416">
            <v>5</v>
          </cell>
          <cell r="F416">
            <v>7</v>
          </cell>
          <cell r="AO416" t="str">
            <v>Công ty Vĩnh Phúc</v>
          </cell>
          <cell r="AP416">
            <v>0</v>
          </cell>
          <cell r="AQ416" t="str">
            <v>F124740-1</v>
          </cell>
          <cell r="AR416" t="str">
            <v>F124739-2</v>
          </cell>
          <cell r="AS416" t="str">
            <v>F124740-3</v>
          </cell>
          <cell r="AT416" t="str">
            <v>F124740-4</v>
          </cell>
          <cell r="AU416" t="str">
            <v>F124740-5</v>
          </cell>
          <cell r="AV416" t="str">
            <v>F124740-6</v>
          </cell>
          <cell r="AW416" t="str">
            <v>F124739-7</v>
          </cell>
          <cell r="BA416" t="str">
            <v>462x870</v>
          </cell>
          <cell r="BB416" t="str">
            <v>A3</v>
          </cell>
          <cell r="BC416" t="str">
            <v>Dùng chung cây zxanh(2),trắng(7) với sp 1096</v>
          </cell>
        </row>
        <row r="417">
          <cell r="A417" t="str">
            <v>sp 1098</v>
          </cell>
          <cell r="B417" t="str">
            <v>Cuộn trà hương dâu bigtea Vĩnh Phúc</v>
          </cell>
          <cell r="E417">
            <v>5</v>
          </cell>
          <cell r="F417">
            <v>7</v>
          </cell>
          <cell r="AO417" t="str">
            <v>Công ty Vĩnh Phúc</v>
          </cell>
          <cell r="AP417">
            <v>0</v>
          </cell>
          <cell r="AQ417" t="str">
            <v>F124741-1</v>
          </cell>
          <cell r="AR417" t="str">
            <v>F124739-2</v>
          </cell>
          <cell r="AS417" t="str">
            <v>F124741-3</v>
          </cell>
          <cell r="AT417" t="str">
            <v>F124741-4</v>
          </cell>
          <cell r="AU417" t="str">
            <v>F124741-5</v>
          </cell>
          <cell r="AV417" t="str">
            <v>F124741-6</v>
          </cell>
          <cell r="AW417" t="str">
            <v>F124739-7</v>
          </cell>
          <cell r="BA417" t="str">
            <v>462x870</v>
          </cell>
          <cell r="BB417" t="str">
            <v>A3</v>
          </cell>
          <cell r="BC417" t="str">
            <v>Dùng chung cây zxanh(2),trắng(7) với sp 1096</v>
          </cell>
        </row>
        <row r="418">
          <cell r="A418" t="str">
            <v>sp 1099</v>
          </cell>
          <cell r="B418" t="str">
            <v>Cuộn trà hương đào bigtea Vĩnh Phúc</v>
          </cell>
          <cell r="E418">
            <v>5</v>
          </cell>
          <cell r="F418">
            <v>7</v>
          </cell>
          <cell r="AO418" t="str">
            <v>Công ty Vĩnh Phúc</v>
          </cell>
          <cell r="AP418">
            <v>0</v>
          </cell>
          <cell r="AQ418" t="str">
            <v>F124742-1</v>
          </cell>
          <cell r="AR418" t="str">
            <v>F124739-2</v>
          </cell>
          <cell r="AS418" t="str">
            <v>F124742-3</v>
          </cell>
          <cell r="AT418" t="str">
            <v>F124742-4</v>
          </cell>
          <cell r="AU418" t="str">
            <v>F124742-5</v>
          </cell>
          <cell r="AV418" t="str">
            <v>F124742-6</v>
          </cell>
          <cell r="AW418" t="str">
            <v>F124739-7</v>
          </cell>
          <cell r="BA418" t="str">
            <v>462x870</v>
          </cell>
          <cell r="BB418" t="str">
            <v>A3</v>
          </cell>
          <cell r="BC418" t="str">
            <v>Dùng chung cây zxanh(2),trắng(7) với sp 1096</v>
          </cell>
        </row>
        <row r="419">
          <cell r="A419" t="str">
            <v>sp 1100</v>
          </cell>
          <cell r="B419" t="str">
            <v>Cuộn trà hương trà xanh bigtea Vĩnh Phúc</v>
          </cell>
          <cell r="E419">
            <v>5</v>
          </cell>
          <cell r="F419">
            <v>7</v>
          </cell>
          <cell r="AO419" t="str">
            <v>Công ty Vĩnh Phúc</v>
          </cell>
          <cell r="AP419">
            <v>0</v>
          </cell>
          <cell r="AQ419" t="str">
            <v>F124744-1</v>
          </cell>
          <cell r="AR419" t="str">
            <v>F124739-2</v>
          </cell>
          <cell r="AS419" t="str">
            <v>F124744-3</v>
          </cell>
          <cell r="AT419" t="str">
            <v>F124744-4</v>
          </cell>
          <cell r="AU419" t="str">
            <v>F124744-5</v>
          </cell>
          <cell r="AV419" t="str">
            <v>F124744-6</v>
          </cell>
          <cell r="AW419" t="str">
            <v>F124739-7</v>
          </cell>
          <cell r="BA419" t="str">
            <v>462x870</v>
          </cell>
          <cell r="BB419" t="str">
            <v>A3</v>
          </cell>
          <cell r="BC419" t="str">
            <v>Dùng chung cây zxanh(2),trắng(7) với sp 1096</v>
          </cell>
        </row>
        <row r="420">
          <cell r="A420" t="str">
            <v>sp 1101</v>
          </cell>
          <cell r="B420" t="str">
            <v>Cuộn bánh hương sữa pingo 44 gr</v>
          </cell>
          <cell r="E420">
            <v>7</v>
          </cell>
          <cell r="F420">
            <v>7</v>
          </cell>
          <cell r="AO420" t="str">
            <v>Công ty Libra</v>
          </cell>
          <cell r="AP420">
            <v>0</v>
          </cell>
          <cell r="AQ420" t="str">
            <v>F124923-1</v>
          </cell>
          <cell r="AR420" t="str">
            <v>F124923-2</v>
          </cell>
          <cell r="AS420" t="str">
            <v>F124923-3</v>
          </cell>
          <cell r="AT420" t="str">
            <v>F124923-4</v>
          </cell>
          <cell r="AU420" t="str">
            <v>F124923-5</v>
          </cell>
          <cell r="AV420" t="str">
            <v>F124923-6</v>
          </cell>
          <cell r="AW420" t="str">
            <v>F124923-7</v>
          </cell>
          <cell r="BA420" t="str">
            <v>525x870</v>
          </cell>
          <cell r="BB420" t="str">
            <v>Q3</v>
          </cell>
          <cell r="BC420">
            <v>0</v>
          </cell>
        </row>
        <row r="421">
          <cell r="A421" t="str">
            <v>sp 1102</v>
          </cell>
          <cell r="B421" t="str">
            <v>Cuộn men rượu hương nếp trung tiến</v>
          </cell>
          <cell r="E421">
            <v>3</v>
          </cell>
          <cell r="F421">
            <v>3</v>
          </cell>
          <cell r="AO421" t="str">
            <v>Công ty Trung Tiến</v>
          </cell>
          <cell r="AP421">
            <v>0</v>
          </cell>
          <cell r="AQ421" t="str">
            <v>F124728-1</v>
          </cell>
          <cell r="AR421" t="str">
            <v>F124728-2</v>
          </cell>
          <cell r="AS421" t="str">
            <v>F124728-3</v>
          </cell>
          <cell r="BA421" t="str">
            <v>465x1100</v>
          </cell>
          <cell r="BB421" t="str">
            <v>Q3</v>
          </cell>
          <cell r="BC421">
            <v>0</v>
          </cell>
        </row>
        <row r="422">
          <cell r="A422" t="str">
            <v>sp 1103</v>
          </cell>
          <cell r="B422" t="str">
            <v>Túi kẹo mềm cao cấp suri 330gr Hữu Nghị</v>
          </cell>
          <cell r="E422">
            <v>8</v>
          </cell>
          <cell r="F422">
            <v>8</v>
          </cell>
          <cell r="AO422" t="str">
            <v>Công ty Hữu Nghị</v>
          </cell>
          <cell r="AP422">
            <v>0</v>
          </cell>
          <cell r="AQ422" t="str">
            <v>X106474-1</v>
          </cell>
          <cell r="AR422" t="str">
            <v>X106474-2</v>
          </cell>
          <cell r="AS422" t="str">
            <v>X106474-3</v>
          </cell>
          <cell r="AT422" t="str">
            <v>X106474-4</v>
          </cell>
          <cell r="AU422" t="str">
            <v>X106474-5</v>
          </cell>
          <cell r="AV422" t="str">
            <v>X106474-6</v>
          </cell>
          <cell r="AW422" t="str">
            <v>X106474-7</v>
          </cell>
          <cell r="AX422" t="str">
            <v>X106474-8</v>
          </cell>
          <cell r="BA422" t="str">
            <v>560x1100</v>
          </cell>
          <cell r="BB422" t="str">
            <v>B2</v>
          </cell>
          <cell r="BC422">
            <v>0</v>
          </cell>
        </row>
        <row r="423">
          <cell r="A423" t="str">
            <v>sp 1104</v>
          </cell>
          <cell r="B423" t="str">
            <v>Túi trà bát giác tân cương không khối lượng loại 22</v>
          </cell>
          <cell r="E423">
            <v>7</v>
          </cell>
          <cell r="F423">
            <v>7</v>
          </cell>
          <cell r="AO423" t="str">
            <v>Bùi Văn Sỹ</v>
          </cell>
          <cell r="AP423">
            <v>0</v>
          </cell>
          <cell r="AQ423" t="str">
            <v>X107447-1</v>
          </cell>
          <cell r="AR423" t="str">
            <v>X107447-2</v>
          </cell>
          <cell r="AS423" t="str">
            <v>X107447-3</v>
          </cell>
          <cell r="AT423" t="str">
            <v>X107447-4</v>
          </cell>
          <cell r="AU423" t="str">
            <v>X107447-5</v>
          </cell>
          <cell r="AV423" t="str">
            <v>X107447-6</v>
          </cell>
          <cell r="AW423" t="str">
            <v>X107447-7</v>
          </cell>
          <cell r="BA423" t="str">
            <v>760x860</v>
          </cell>
          <cell r="BB423" t="str">
            <v>G3</v>
          </cell>
          <cell r="BC423">
            <v>0</v>
          </cell>
        </row>
        <row r="424">
          <cell r="A424" t="str">
            <v>sp 1105</v>
          </cell>
          <cell r="B424" t="str">
            <v xml:space="preserve">Cuộn đường kính trắng chúc mừng năm mới 1 kg </v>
          </cell>
          <cell r="E424">
            <v>8</v>
          </cell>
          <cell r="F424">
            <v>8</v>
          </cell>
          <cell r="AO424" t="str">
            <v>Công ty VILITAS</v>
          </cell>
          <cell r="AP424">
            <v>0</v>
          </cell>
          <cell r="AQ424" t="str">
            <v>1911228-1</v>
          </cell>
          <cell r="AR424" t="str">
            <v>1911228-2</v>
          </cell>
          <cell r="AS424" t="str">
            <v>1911228-3</v>
          </cell>
          <cell r="AT424" t="str">
            <v>1911228-4</v>
          </cell>
          <cell r="AU424" t="str">
            <v>1911228-5</v>
          </cell>
          <cell r="AV424" t="str">
            <v>1911228-6</v>
          </cell>
          <cell r="AW424" t="str">
            <v>1911228-7</v>
          </cell>
          <cell r="AX424" t="str">
            <v>1911228-8</v>
          </cell>
          <cell r="BA424" t="str">
            <v>490x870</v>
          </cell>
          <cell r="BB424" t="str">
            <v>Q3</v>
          </cell>
          <cell r="BC424">
            <v>0</v>
          </cell>
        </row>
        <row r="425">
          <cell r="A425" t="str">
            <v>sp 1106</v>
          </cell>
          <cell r="B425" t="str">
            <v>Cuộn thuốc thú y Sutrim 100gr Nam Thái</v>
          </cell>
          <cell r="E425">
            <v>6</v>
          </cell>
          <cell r="F425">
            <v>6</v>
          </cell>
          <cell r="AO425" t="str">
            <v>Công ty Nam Thái</v>
          </cell>
          <cell r="AP425">
            <v>0</v>
          </cell>
          <cell r="AQ425" t="str">
            <v>F124859-1</v>
          </cell>
          <cell r="AR425" t="str">
            <v>F124859-2</v>
          </cell>
          <cell r="AS425" t="str">
            <v>F124859-3</v>
          </cell>
          <cell r="AT425" t="str">
            <v>F124859-4</v>
          </cell>
          <cell r="AU425" t="str">
            <v>F124859-5</v>
          </cell>
          <cell r="AV425" t="str">
            <v>F124859-6</v>
          </cell>
          <cell r="BA425" t="str">
            <v>570x750</v>
          </cell>
          <cell r="BB425" t="str">
            <v>Q3</v>
          </cell>
          <cell r="BC425">
            <v>0</v>
          </cell>
        </row>
        <row r="426">
          <cell r="A426" t="str">
            <v>sp 1107</v>
          </cell>
          <cell r="B426" t="str">
            <v>Túi bánh pingo hương sữa 198gr libra</v>
          </cell>
          <cell r="E426">
            <v>7</v>
          </cell>
          <cell r="F426">
            <v>7</v>
          </cell>
          <cell r="AO426" t="str">
            <v>Công ty Libra</v>
          </cell>
          <cell r="AP426">
            <v>0</v>
          </cell>
          <cell r="AQ426" t="str">
            <v>F124871-1</v>
          </cell>
          <cell r="AR426" t="str">
            <v>F124871-2</v>
          </cell>
          <cell r="AS426" t="str">
            <v>F124871-3</v>
          </cell>
          <cell r="AT426" t="str">
            <v>F124871-4</v>
          </cell>
          <cell r="AU426" t="str">
            <v>F124871-5</v>
          </cell>
          <cell r="AV426" t="str">
            <v>F124871-6</v>
          </cell>
          <cell r="AW426" t="str">
            <v>F124871-7</v>
          </cell>
          <cell r="BA426" t="str">
            <v>480x870</v>
          </cell>
          <cell r="BB426" t="str">
            <v>Q3</v>
          </cell>
          <cell r="BC426">
            <v>0</v>
          </cell>
        </row>
        <row r="427">
          <cell r="A427" t="str">
            <v>sp 1108</v>
          </cell>
          <cell r="B427" t="str">
            <v xml:space="preserve"> Cuộn bánh quẩy Hải Sản Cay 100gr - Anko</v>
          </cell>
          <cell r="E427">
            <v>7</v>
          </cell>
          <cell r="F427">
            <v>7</v>
          </cell>
          <cell r="AO427" t="str">
            <v>Công ty ASI</v>
          </cell>
          <cell r="AP427">
            <v>0</v>
          </cell>
          <cell r="AQ427" t="str">
            <v>F124868G1-1</v>
          </cell>
          <cell r="AR427" t="str">
            <v>F124868-2</v>
          </cell>
          <cell r="AS427" t="str">
            <v>F124868-3</v>
          </cell>
          <cell r="AT427" t="str">
            <v>F124868-4</v>
          </cell>
          <cell r="AU427" t="str">
            <v>F124868-5</v>
          </cell>
          <cell r="AV427" t="str">
            <v>F124868-6</v>
          </cell>
          <cell r="AW427" t="str">
            <v>F124868-7</v>
          </cell>
          <cell r="BA427" t="str">
            <v>540x860</v>
          </cell>
          <cell r="BB427" t="str">
            <v>Q3</v>
          </cell>
          <cell r="BC427">
            <v>0</v>
          </cell>
        </row>
        <row r="428">
          <cell r="A428" t="str">
            <v>sp 1109</v>
          </cell>
          <cell r="B428" t="str">
            <v>Cuộn kẹo lạc vừng 300gr Đình Mạnh</v>
          </cell>
          <cell r="E428">
            <v>6</v>
          </cell>
          <cell r="F428">
            <v>6</v>
          </cell>
          <cell r="AO428" t="str">
            <v>Cơ sở bánh kẹo Đình Mạnh</v>
          </cell>
          <cell r="AP428">
            <v>0</v>
          </cell>
          <cell r="AQ428" t="str">
            <v>F124861-1</v>
          </cell>
          <cell r="AR428" t="str">
            <v>F124861-2</v>
          </cell>
          <cell r="AS428" t="str">
            <v>F124861-3</v>
          </cell>
          <cell r="AT428" t="str">
            <v>F124861-4</v>
          </cell>
          <cell r="AU428" t="str">
            <v>F124861-5</v>
          </cell>
          <cell r="AV428" t="str">
            <v>F124861-6</v>
          </cell>
          <cell r="BA428" t="str">
            <v>615x1100</v>
          </cell>
          <cell r="BB428" t="str">
            <v>Q3</v>
          </cell>
          <cell r="BC428">
            <v>0</v>
          </cell>
        </row>
        <row r="429">
          <cell r="A429" t="str">
            <v>sp 1110</v>
          </cell>
          <cell r="B429" t="str">
            <v>Túi kẹo lạc dồi 320gr Đình  Mạnh</v>
          </cell>
          <cell r="E429">
            <v>6</v>
          </cell>
          <cell r="F429">
            <v>6</v>
          </cell>
          <cell r="AO429" t="str">
            <v>Cơ sở bánh kẹo Đình Mạnh</v>
          </cell>
          <cell r="AP429">
            <v>0</v>
          </cell>
          <cell r="AQ429" t="str">
            <v>F124869-1</v>
          </cell>
          <cell r="AR429" t="str">
            <v>F124869-2</v>
          </cell>
          <cell r="AS429" t="str">
            <v>F124869-3</v>
          </cell>
          <cell r="AT429" t="str">
            <v>F124869-4</v>
          </cell>
          <cell r="AU429" t="str">
            <v>F124869-5</v>
          </cell>
          <cell r="AV429" t="str">
            <v>F124869-6</v>
          </cell>
          <cell r="BA429" t="str">
            <v>1100x580</v>
          </cell>
          <cell r="BB429" t="str">
            <v>Q3</v>
          </cell>
          <cell r="BC429">
            <v>0</v>
          </cell>
        </row>
        <row r="430">
          <cell r="A430" t="str">
            <v>sp 1111</v>
          </cell>
          <cell r="B430" t="str">
            <v>Túi trà chữ đỏ lá vàng  4 màu Tân Cương 100g loại 10</v>
          </cell>
          <cell r="E430">
            <v>4</v>
          </cell>
          <cell r="F430">
            <v>4</v>
          </cell>
          <cell r="AO430" t="str">
            <v>Bùi Văn Sỹ</v>
          </cell>
          <cell r="AP430">
            <v>0</v>
          </cell>
          <cell r="AQ430" t="str">
            <v>1911696-1</v>
          </cell>
          <cell r="AR430" t="str">
            <v>1911696-2</v>
          </cell>
          <cell r="AS430" t="str">
            <v>1911696-3</v>
          </cell>
          <cell r="AT430" t="str">
            <v>1911696-4</v>
          </cell>
          <cell r="BA430" t="str">
            <v>680x860</v>
          </cell>
          <cell r="BB430" t="str">
            <v>G3</v>
          </cell>
          <cell r="BC430">
            <v>0</v>
          </cell>
        </row>
        <row r="431">
          <cell r="A431" t="str">
            <v>sp 1112</v>
          </cell>
          <cell r="B431" t="str">
            <v>Túi trà ấm nghiêng Tân Cương và đặc sản 200g loại 17</v>
          </cell>
          <cell r="E431">
            <v>7</v>
          </cell>
          <cell r="F431">
            <v>7</v>
          </cell>
          <cell r="AO431" t="str">
            <v>Bùi Văn Sỹ</v>
          </cell>
          <cell r="AP431">
            <v>0</v>
          </cell>
          <cell r="AQ431" t="str">
            <v>1911697-1</v>
          </cell>
          <cell r="AR431" t="str">
            <v>1911697-2</v>
          </cell>
          <cell r="AS431" t="str">
            <v>1911697-3</v>
          </cell>
          <cell r="AT431" t="str">
            <v>1911697-4</v>
          </cell>
          <cell r="AU431" t="str">
            <v>1911697-5</v>
          </cell>
          <cell r="AV431" t="str">
            <v>1911697-6</v>
          </cell>
          <cell r="AW431" t="str">
            <v>1911697-7</v>
          </cell>
          <cell r="BA431" t="str">
            <v>500x870</v>
          </cell>
          <cell r="BB431" t="str">
            <v>G3</v>
          </cell>
          <cell r="BC431">
            <v>0</v>
          </cell>
        </row>
        <row r="432">
          <cell r="A432" t="str">
            <v>sp 1113</v>
          </cell>
          <cell r="B432" t="str">
            <v>Túi bánh nhân sữa chua doll doll 120gr - Châu Á</v>
          </cell>
          <cell r="E432">
            <v>4</v>
          </cell>
          <cell r="F432">
            <v>4</v>
          </cell>
          <cell r="AO432" t="str">
            <v>Công ty Châu Á</v>
          </cell>
          <cell r="AP432">
            <v>0</v>
          </cell>
          <cell r="AQ432" t="str">
            <v>F124870-1</v>
          </cell>
          <cell r="AR432" t="str">
            <v>F124870-2</v>
          </cell>
          <cell r="AS432" t="str">
            <v>F124870-3</v>
          </cell>
          <cell r="AT432" t="str">
            <v>F124870-4</v>
          </cell>
          <cell r="BA432" t="str">
            <v>500x870</v>
          </cell>
          <cell r="BB432" t="str">
            <v>Q3</v>
          </cell>
          <cell r="BC432">
            <v>0</v>
          </cell>
        </row>
        <row r="433">
          <cell r="A433" t="str">
            <v>sp 1113A</v>
          </cell>
          <cell r="B433" t="str">
            <v>Túi bánh nhân sữa chua doll doll 132gr - Châu Á</v>
          </cell>
          <cell r="E433">
            <v>1</v>
          </cell>
          <cell r="F433">
            <v>4</v>
          </cell>
          <cell r="AO433" t="str">
            <v>Công ty Châu Á</v>
          </cell>
          <cell r="AP433">
            <v>0</v>
          </cell>
          <cell r="AQ433" t="str">
            <v>F124870G2-1</v>
          </cell>
          <cell r="AR433" t="str">
            <v>F124870-2</v>
          </cell>
          <cell r="AS433" t="str">
            <v>F124870-3</v>
          </cell>
          <cell r="AT433" t="str">
            <v>F124870-4</v>
          </cell>
          <cell r="BA433" t="str">
            <v>500x870</v>
          </cell>
          <cell r="BB433" t="str">
            <v>Q3</v>
          </cell>
          <cell r="BC433" t="str">
            <v>in chung sp 1113 trừ cây số 1</v>
          </cell>
        </row>
        <row r="434">
          <cell r="A434" t="str">
            <v>sp 1114</v>
          </cell>
          <cell r="B434" t="str">
            <v>Túi trà hương lài Tam Mã 70gr</v>
          </cell>
          <cell r="E434">
            <v>7</v>
          </cell>
          <cell r="F434">
            <v>7</v>
          </cell>
          <cell r="AO434" t="str">
            <v>Công ty Vĩnh Phúc</v>
          </cell>
          <cell r="AP434">
            <v>0</v>
          </cell>
          <cell r="AQ434" t="str">
            <v>1911889-1</v>
          </cell>
          <cell r="AR434" t="str">
            <v>1911889-2</v>
          </cell>
          <cell r="AS434" t="str">
            <v>1911889-3</v>
          </cell>
          <cell r="AT434" t="str">
            <v>1911889-4</v>
          </cell>
          <cell r="AU434" t="str">
            <v>1911889-5</v>
          </cell>
          <cell r="AV434" t="str">
            <v>1911889-6</v>
          </cell>
          <cell r="AW434" t="str">
            <v>1911889-7</v>
          </cell>
          <cell r="BA434" t="str">
            <v>600x870</v>
          </cell>
          <cell r="BB434" t="str">
            <v>R1</v>
          </cell>
          <cell r="BC434">
            <v>0</v>
          </cell>
        </row>
        <row r="435">
          <cell r="A435" t="str">
            <v>sp 1115</v>
          </cell>
          <cell r="B435" t="str">
            <v>Cuộn đường kinh trắng Lam Sơn White sugar 1KG</v>
          </cell>
          <cell r="E435">
            <v>8</v>
          </cell>
          <cell r="F435">
            <v>8</v>
          </cell>
          <cell r="AO435" t="str">
            <v>Công ty mía đường Lam Sơn</v>
          </cell>
          <cell r="AP435">
            <v>0</v>
          </cell>
          <cell r="AQ435" t="str">
            <v>19110723-1</v>
          </cell>
          <cell r="AR435" t="str">
            <v>19110723-2</v>
          </cell>
          <cell r="AS435" t="str">
            <v>19110723-3</v>
          </cell>
          <cell r="AT435" t="str">
            <v>19110723-4</v>
          </cell>
          <cell r="AU435" t="str">
            <v>19110723-5</v>
          </cell>
          <cell r="AV435" t="str">
            <v>19110723-6</v>
          </cell>
          <cell r="AW435" t="str">
            <v>19110723-7</v>
          </cell>
          <cell r="AX435" t="str">
            <v>19110723-8</v>
          </cell>
          <cell r="BA435" t="str">
            <v>500x870</v>
          </cell>
          <cell r="BB435" t="str">
            <v>R1</v>
          </cell>
          <cell r="BC435">
            <v>0</v>
          </cell>
        </row>
        <row r="436">
          <cell r="A436" t="str">
            <v>sp 1116</v>
          </cell>
          <cell r="B436" t="str">
            <v xml:space="preserve"> Cuộn đường vàng tinh khiết Lam Sơn 1kg-LASUCO</v>
          </cell>
          <cell r="E436">
            <v>8</v>
          </cell>
          <cell r="F436">
            <v>8</v>
          </cell>
          <cell r="AO436" t="str">
            <v>Công ty mía đường Lam Sơn</v>
          </cell>
          <cell r="AP436">
            <v>0</v>
          </cell>
          <cell r="AQ436" t="str">
            <v>X109484-1</v>
          </cell>
          <cell r="AR436" t="str">
            <v>X109484-2</v>
          </cell>
          <cell r="AS436" t="str">
            <v>X109484-3</v>
          </cell>
          <cell r="AT436" t="str">
            <v>X109484-4</v>
          </cell>
          <cell r="AU436" t="str">
            <v>X109484-5</v>
          </cell>
          <cell r="AV436" t="str">
            <v>X109484-6</v>
          </cell>
          <cell r="AW436" t="str">
            <v>X109484-7</v>
          </cell>
          <cell r="AX436" t="str">
            <v>X109484-8</v>
          </cell>
          <cell r="BA436" t="str">
            <v>520x870</v>
          </cell>
          <cell r="BB436" t="str">
            <v>R1</v>
          </cell>
          <cell r="BC436">
            <v>0</v>
          </cell>
        </row>
        <row r="437">
          <cell r="A437" t="str">
            <v>sp 1117</v>
          </cell>
          <cell r="B437" t="str">
            <v>Túi bánh mì Sandwich 275gr</v>
          </cell>
          <cell r="E437">
            <v>7</v>
          </cell>
          <cell r="F437">
            <v>7</v>
          </cell>
          <cell r="AO437" t="str">
            <v>Công ty Bảo Ngọc</v>
          </cell>
          <cell r="AP437">
            <v>0</v>
          </cell>
          <cell r="AQ437" t="str">
            <v>F124949G1-1</v>
          </cell>
          <cell r="AR437" t="str">
            <v>F124949G2-2</v>
          </cell>
          <cell r="AS437" t="str">
            <v>F124949-3</v>
          </cell>
          <cell r="AT437" t="str">
            <v>F124949-4</v>
          </cell>
          <cell r="AU437" t="str">
            <v>F124949-5</v>
          </cell>
          <cell r="AV437" t="str">
            <v>F124949-6</v>
          </cell>
          <cell r="AW437" t="str">
            <v>F124949-7</v>
          </cell>
          <cell r="BA437" t="str">
            <v>1100x680</v>
          </cell>
          <cell r="BB437" t="str">
            <v>R1</v>
          </cell>
          <cell r="BC437">
            <v>0</v>
          </cell>
        </row>
        <row r="438">
          <cell r="A438" t="str">
            <v>sp 1118</v>
          </cell>
          <cell r="B438" t="str">
            <v>Thuốc trừ bệnh Mancozed xanh 80wp</v>
          </cell>
          <cell r="E438">
            <v>6</v>
          </cell>
          <cell r="F438">
            <v>6</v>
          </cell>
          <cell r="AO438" t="str">
            <v>Công ty TNHH  Real Chemical</v>
          </cell>
          <cell r="AP438">
            <v>0</v>
          </cell>
          <cell r="AQ438" t="str">
            <v>1912271-1</v>
          </cell>
          <cell r="AR438" t="str">
            <v>1912271-2</v>
          </cell>
          <cell r="AS438" t="str">
            <v>1912271-3</v>
          </cell>
          <cell r="AT438" t="str">
            <v>1912271-4</v>
          </cell>
          <cell r="AU438" t="str">
            <v>1912271-5</v>
          </cell>
          <cell r="AV438" t="str">
            <v>1912271-6</v>
          </cell>
          <cell r="BA438" t="str">
            <v>420x870</v>
          </cell>
          <cell r="BB438" t="str">
            <v>R1</v>
          </cell>
          <cell r="BC438">
            <v>0</v>
          </cell>
        </row>
        <row r="439">
          <cell r="A439" t="str">
            <v>sp 1119</v>
          </cell>
          <cell r="B439" t="str">
            <v>Túi đựng hóa chất 1kg</v>
          </cell>
          <cell r="E439">
            <v>1</v>
          </cell>
          <cell r="F439">
            <v>1</v>
          </cell>
          <cell r="AO439" t="str">
            <v>Công ty Đức giang</v>
          </cell>
          <cell r="AP439">
            <v>0</v>
          </cell>
          <cell r="AQ439" t="str">
            <v>F125042-1</v>
          </cell>
          <cell r="BA439" t="str">
            <v>480x870</v>
          </cell>
          <cell r="BB439" t="str">
            <v>R1</v>
          </cell>
          <cell r="BC439">
            <v>0</v>
          </cell>
        </row>
        <row r="440">
          <cell r="A440" t="str">
            <v>sp 1120</v>
          </cell>
          <cell r="B440" t="str">
            <v>Túi hoạt huyết dưỡng não 5 vỉ Traphaco</v>
          </cell>
          <cell r="E440">
            <v>2</v>
          </cell>
          <cell r="F440">
            <v>2</v>
          </cell>
          <cell r="AO440" t="str">
            <v>Công ty Traphaco</v>
          </cell>
          <cell r="AP440">
            <v>0</v>
          </cell>
          <cell r="AQ440" t="str">
            <v>1912540-1</v>
          </cell>
          <cell r="AR440" t="str">
            <v>1912540-2</v>
          </cell>
          <cell r="BA440" t="str">
            <v>540x870</v>
          </cell>
          <cell r="BB440" t="str">
            <v>R1</v>
          </cell>
          <cell r="BC440">
            <v>0</v>
          </cell>
        </row>
        <row r="441">
          <cell r="A441" t="str">
            <v>sp 1121</v>
          </cell>
          <cell r="B441" t="str">
            <v>Túi boganic Forte 5 vỉ nang mềm Traphaco</v>
          </cell>
          <cell r="E441">
            <v>2</v>
          </cell>
          <cell r="F441">
            <v>2</v>
          </cell>
          <cell r="AO441" t="str">
            <v>Công ty Traphaco</v>
          </cell>
          <cell r="AP441">
            <v>0</v>
          </cell>
          <cell r="AQ441" t="str">
            <v>1912541-1</v>
          </cell>
          <cell r="AR441" t="str">
            <v>1912541-2</v>
          </cell>
          <cell r="BA441" t="str">
            <v>420x1100</v>
          </cell>
          <cell r="BB441" t="str">
            <v>R1</v>
          </cell>
          <cell r="BC441">
            <v>0</v>
          </cell>
        </row>
        <row r="442">
          <cell r="A442" t="str">
            <v>sp 1122</v>
          </cell>
          <cell r="B442" t="str">
            <v>Túi Cebraton 5 vỉ nang mềm Traphaco</v>
          </cell>
          <cell r="E442">
            <v>2</v>
          </cell>
          <cell r="F442">
            <v>2</v>
          </cell>
          <cell r="AO442" t="str">
            <v>Công ty Traphaco</v>
          </cell>
          <cell r="AP442">
            <v>0</v>
          </cell>
          <cell r="AQ442" t="str">
            <v>1912542-1</v>
          </cell>
          <cell r="AR442" t="str">
            <v>1912542-2</v>
          </cell>
          <cell r="BA442" t="str">
            <v>414x870</v>
          </cell>
          <cell r="BB442" t="str">
            <v>R1</v>
          </cell>
          <cell r="BC442">
            <v>0</v>
          </cell>
        </row>
        <row r="443">
          <cell r="A443" t="str">
            <v>sp 1123</v>
          </cell>
          <cell r="B443" t="str">
            <v>Túi bột giặt hương hoa tự nhiên NIF 1.5kg</v>
          </cell>
          <cell r="E443">
            <v>7</v>
          </cell>
          <cell r="F443">
            <v>7</v>
          </cell>
          <cell r="AO443" t="str">
            <v>Công ty MKL</v>
          </cell>
          <cell r="AP443">
            <v>0</v>
          </cell>
          <cell r="AQ443" t="str">
            <v>F125084-1</v>
          </cell>
          <cell r="AR443" t="str">
            <v>F125084-2</v>
          </cell>
          <cell r="AS443" t="str">
            <v>F125084-3</v>
          </cell>
          <cell r="AT443" t="str">
            <v>F125084-4</v>
          </cell>
          <cell r="AU443" t="str">
            <v>F125084-5</v>
          </cell>
          <cell r="AV443" t="str">
            <v>F125084-6</v>
          </cell>
          <cell r="AW443" t="str">
            <v>F125084-7</v>
          </cell>
          <cell r="BA443" t="str">
            <v>760x870</v>
          </cell>
          <cell r="BB443" t="str">
            <v>R1</v>
          </cell>
          <cell r="BC443">
            <v>0</v>
          </cell>
        </row>
        <row r="444">
          <cell r="A444" t="str">
            <v>sp 1124</v>
          </cell>
          <cell r="B444" t="str">
            <v>Cuộn màng tấm ốp văn hoa cơ điện</v>
          </cell>
          <cell r="E444">
            <v>1</v>
          </cell>
          <cell r="F444">
            <v>1</v>
          </cell>
          <cell r="AO444" t="str">
            <v>Công ty Cơ điện Hà Nội</v>
          </cell>
          <cell r="AP444">
            <v>0</v>
          </cell>
          <cell r="AQ444" t="str">
            <v>X403403-1</v>
          </cell>
          <cell r="BA444" t="str">
            <v>1300x831</v>
          </cell>
          <cell r="BC444">
            <v>0</v>
          </cell>
        </row>
        <row r="445">
          <cell r="A445" t="str">
            <v>sp 1125</v>
          </cell>
          <cell r="B445" t="str">
            <v>Túi men rượu hương nếp Trung Tiến 500gr</v>
          </cell>
          <cell r="E445">
            <v>8</v>
          </cell>
          <cell r="F445">
            <v>8</v>
          </cell>
          <cell r="AO445" t="str">
            <v>Công ty Trung Tiến</v>
          </cell>
          <cell r="AP445">
            <v>0</v>
          </cell>
          <cell r="AQ445" t="str">
            <v>F125145-1</v>
          </cell>
          <cell r="AR445" t="str">
            <v>F125145-2</v>
          </cell>
          <cell r="AS445" t="str">
            <v>F125145NG1-3</v>
          </cell>
          <cell r="AT445" t="str">
            <v>F125145-4</v>
          </cell>
          <cell r="AU445" t="str">
            <v>F125145-5</v>
          </cell>
          <cell r="AV445" t="str">
            <v>F125145NG1-6</v>
          </cell>
          <cell r="AW445" t="str">
            <v>F125145-7</v>
          </cell>
          <cell r="AX445" t="str">
            <v>F125145-8</v>
          </cell>
          <cell r="BA445" t="str">
            <v>860x540</v>
          </cell>
          <cell r="BB445" t="str">
            <v>R2</v>
          </cell>
          <cell r="BC445">
            <v>0</v>
          </cell>
        </row>
        <row r="446">
          <cell r="A446" t="str">
            <v>sp 1126</v>
          </cell>
          <cell r="B446" t="str">
            <v>Cuộn màng HS cozy hương đào túi nhúng T4 Vĩnh Phúc</v>
          </cell>
          <cell r="E446" t="str">
            <v>sp 319</v>
          </cell>
          <cell r="F446">
            <v>6</v>
          </cell>
          <cell r="AO446" t="str">
            <v>Công ty Vĩnh Phúc</v>
          </cell>
          <cell r="AP446">
            <v>0</v>
          </cell>
          <cell r="AQ446" t="str">
            <v>1803378-1</v>
          </cell>
          <cell r="AR446" t="str">
            <v>1908187-2</v>
          </cell>
          <cell r="AS446" t="str">
            <v>1908187-3</v>
          </cell>
          <cell r="AT446" t="str">
            <v>1803378-4</v>
          </cell>
          <cell r="AU446" t="str">
            <v>1803378-5</v>
          </cell>
          <cell r="AV446" t="str">
            <v>1908217-6</v>
          </cell>
          <cell r="BA446" t="str">
            <v>462x750</v>
          </cell>
          <cell r="BB446" t="str">
            <v>A1</v>
          </cell>
          <cell r="BC446" t="str">
            <v>in chung với bộ 319</v>
          </cell>
        </row>
        <row r="447">
          <cell r="A447" t="str">
            <v>sp 1127</v>
          </cell>
          <cell r="B447" t="str">
            <v>Cuộn thuốc thú y T.eimerin Cầu Trùng</v>
          </cell>
          <cell r="E447">
            <v>1</v>
          </cell>
          <cell r="F447">
            <v>1</v>
          </cell>
          <cell r="AO447" t="str">
            <v>Công ty Năm Thái</v>
          </cell>
          <cell r="AP447">
            <v>0</v>
          </cell>
          <cell r="AQ447" t="str">
            <v>2001174-1</v>
          </cell>
          <cell r="BA447" t="str">
            <v>495x870</v>
          </cell>
          <cell r="BB447" t="str">
            <v>R1</v>
          </cell>
          <cell r="BC447">
            <v>0</v>
          </cell>
        </row>
        <row r="448">
          <cell r="A448" t="str">
            <v>sp 1128</v>
          </cell>
          <cell r="B448" t="str">
            <v>Cuộn thuốc T.I.C 100g</v>
          </cell>
          <cell r="E448">
            <v>1</v>
          </cell>
          <cell r="F448">
            <v>1</v>
          </cell>
          <cell r="AO448" t="str">
            <v>Công ty Năm Thái</v>
          </cell>
          <cell r="AP448">
            <v>0</v>
          </cell>
          <cell r="AQ448" t="str">
            <v>2001175-1</v>
          </cell>
          <cell r="BA448" t="str">
            <v>495x870</v>
          </cell>
          <cell r="BB448" t="str">
            <v>R1</v>
          </cell>
          <cell r="BC448">
            <v>0</v>
          </cell>
        </row>
        <row r="449">
          <cell r="A449" t="str">
            <v>sp 1129</v>
          </cell>
          <cell r="B449" t="str">
            <v>Cuộn thuốc Doxyvit Thái 100g</v>
          </cell>
          <cell r="E449">
            <v>1</v>
          </cell>
          <cell r="F449">
            <v>1</v>
          </cell>
          <cell r="AO449" t="str">
            <v>Công ty Năm Thái</v>
          </cell>
          <cell r="AP449">
            <v>0</v>
          </cell>
          <cell r="AQ449" t="str">
            <v>2001176-1</v>
          </cell>
          <cell r="BA449" t="str">
            <v>495x870</v>
          </cell>
          <cell r="BB449" t="str">
            <v>R1</v>
          </cell>
          <cell r="BC449">
            <v>0</v>
          </cell>
        </row>
        <row r="450">
          <cell r="A450" t="str">
            <v>sp 1130</v>
          </cell>
          <cell r="B450" t="str">
            <v>Cuộn thuốc thú y Costop TA 100g</v>
          </cell>
          <cell r="E450">
            <v>1</v>
          </cell>
          <cell r="F450">
            <v>1</v>
          </cell>
          <cell r="AO450" t="str">
            <v>Công ty Năm Thái</v>
          </cell>
          <cell r="AP450">
            <v>0</v>
          </cell>
          <cell r="AQ450" t="str">
            <v>2001177-1</v>
          </cell>
          <cell r="BA450" t="str">
            <v>495x870</v>
          </cell>
          <cell r="BB450" t="str">
            <v>R1</v>
          </cell>
          <cell r="BC450">
            <v>0</v>
          </cell>
        </row>
        <row r="451">
          <cell r="A451" t="str">
            <v>sp 1131</v>
          </cell>
          <cell r="B451" t="str">
            <v>Cuộn thuốc thú y giải độc gan 100g</v>
          </cell>
          <cell r="E451">
            <v>1</v>
          </cell>
          <cell r="F451">
            <v>1</v>
          </cell>
          <cell r="AO451" t="str">
            <v>Công ty Năm Thái</v>
          </cell>
          <cell r="AP451">
            <v>0</v>
          </cell>
          <cell r="AQ451" t="str">
            <v>2001178-1</v>
          </cell>
          <cell r="BA451" t="str">
            <v>495x870</v>
          </cell>
          <cell r="BB451" t="str">
            <v>R1</v>
          </cell>
          <cell r="BC451">
            <v>0</v>
          </cell>
        </row>
        <row r="452">
          <cell r="A452" t="str">
            <v>sp 1132</v>
          </cell>
          <cell r="B452" t="str">
            <v>Cuộn thuốc thú y Embrio Stimulan 100g</v>
          </cell>
          <cell r="E452">
            <v>1</v>
          </cell>
          <cell r="F452">
            <v>1</v>
          </cell>
          <cell r="AO452" t="str">
            <v>Công ty Năm Thái</v>
          </cell>
          <cell r="AP452">
            <v>0</v>
          </cell>
          <cell r="AQ452" t="str">
            <v>2001179-1</v>
          </cell>
          <cell r="BA452" t="str">
            <v>495x870</v>
          </cell>
          <cell r="BB452" t="str">
            <v>R1</v>
          </cell>
          <cell r="BC452">
            <v>0</v>
          </cell>
        </row>
        <row r="453">
          <cell r="A453" t="str">
            <v>sp 1133</v>
          </cell>
          <cell r="B453" t="str">
            <v>Cuộn thuốc thú y giải độc lách T.A 100g</v>
          </cell>
          <cell r="E453">
            <v>1</v>
          </cell>
          <cell r="F453">
            <v>1</v>
          </cell>
          <cell r="AO453" t="str">
            <v>Công ty Năm Thái</v>
          </cell>
          <cell r="AP453">
            <v>0</v>
          </cell>
          <cell r="AQ453" t="str">
            <v>2001180-1</v>
          </cell>
          <cell r="BA453" t="str">
            <v>495x870</v>
          </cell>
          <cell r="BB453" t="str">
            <v>R1</v>
          </cell>
          <cell r="BC453">
            <v>0</v>
          </cell>
        </row>
        <row r="454">
          <cell r="A454" t="str">
            <v>sp 1134</v>
          </cell>
          <cell r="B454" t="str">
            <v>Cuộn thuốc Super Vitamin S 100g</v>
          </cell>
          <cell r="E454">
            <v>1</v>
          </cell>
          <cell r="F454">
            <v>1</v>
          </cell>
          <cell r="AO454" t="str">
            <v>Công ty Năm Thái</v>
          </cell>
          <cell r="AP454">
            <v>0</v>
          </cell>
          <cell r="AQ454" t="str">
            <v>2001181-1</v>
          </cell>
          <cell r="BA454" t="str">
            <v>495x870</v>
          </cell>
          <cell r="BB454" t="str">
            <v>R1</v>
          </cell>
          <cell r="BC454">
            <v>0</v>
          </cell>
        </row>
        <row r="455">
          <cell r="A455" t="str">
            <v>sp 1135</v>
          </cell>
          <cell r="B455" t="str">
            <v>Cuộn thuốc Super Vitamin 100g</v>
          </cell>
          <cell r="E455">
            <v>1</v>
          </cell>
          <cell r="F455">
            <v>1</v>
          </cell>
          <cell r="AO455" t="str">
            <v>Công ty Năm Thái</v>
          </cell>
          <cell r="AP455">
            <v>0</v>
          </cell>
          <cell r="AQ455" t="str">
            <v>2001182-1</v>
          </cell>
          <cell r="BA455" t="str">
            <v>495x870</v>
          </cell>
          <cell r="BB455" t="str">
            <v>R1</v>
          </cell>
          <cell r="BC455">
            <v>0</v>
          </cell>
        </row>
        <row r="456">
          <cell r="A456" t="str">
            <v>sp 1136</v>
          </cell>
          <cell r="B456" t="str">
            <v>Khăn hạ sốt Dr.Papie Starmed mv082 5 chiếc</v>
          </cell>
          <cell r="E456">
            <v>6</v>
          </cell>
          <cell r="F456">
            <v>4</v>
          </cell>
          <cell r="AO456" t="str">
            <v>Công ty dược phẩm Starmed</v>
          </cell>
          <cell r="AP456">
            <v>0</v>
          </cell>
          <cell r="AQ456" t="str">
            <v>2001258-1</v>
          </cell>
          <cell r="AR456" t="str">
            <v>2001258-2</v>
          </cell>
          <cell r="AS456" t="str">
            <v>2001258-3</v>
          </cell>
          <cell r="AT456" t="str">
            <v>2001258-4</v>
          </cell>
          <cell r="AU456" t="str">
            <v>2003728-2</v>
          </cell>
          <cell r="AV456" t="str">
            <v>20071067-0</v>
          </cell>
          <cell r="BA456" t="str">
            <v>438x870</v>
          </cell>
          <cell r="BB456" t="str">
            <v>R1</v>
          </cell>
          <cell r="BC456">
            <v>0</v>
          </cell>
        </row>
        <row r="457">
          <cell r="A457" t="str">
            <v>sp 1137</v>
          </cell>
          <cell r="B457" t="str">
            <v>Khăn hạ sốt Dr.Papie Starmed mv099 5 chiếc</v>
          </cell>
          <cell r="E457">
            <v>1</v>
          </cell>
          <cell r="F457">
            <v>4</v>
          </cell>
          <cell r="AO457" t="str">
            <v>Công ty dược phẩm Starmed</v>
          </cell>
          <cell r="AP457">
            <v>0</v>
          </cell>
          <cell r="AQ457" t="str">
            <v>2001259-1</v>
          </cell>
          <cell r="AR457" t="str">
            <v>2001259-2</v>
          </cell>
          <cell r="AS457" t="str">
            <v>2001259-3</v>
          </cell>
          <cell r="AT457" t="str">
            <v>2001259-4</v>
          </cell>
          <cell r="BA457" t="str">
            <v>438x870</v>
          </cell>
          <cell r="BB457" t="str">
            <v>R2</v>
          </cell>
          <cell r="BC457" t="str">
            <v>in chung bộ 1136 trừ cây đen</v>
          </cell>
        </row>
        <row r="458">
          <cell r="A458" t="str">
            <v>sp 1138</v>
          </cell>
          <cell r="B458" t="str">
            <v>Cuộn bánh kẹp kem sữa Arita 270gr Hữu Nghị</v>
          </cell>
          <cell r="E458">
            <v>0</v>
          </cell>
          <cell r="F458">
            <v>0</v>
          </cell>
          <cell r="AO458" t="str">
            <v>Công ty Hữu Nghị</v>
          </cell>
          <cell r="AP458">
            <v>0</v>
          </cell>
          <cell r="AQ458" t="str">
            <v>X108222-1</v>
          </cell>
          <cell r="BA458" t="str">
            <v>1100x498</v>
          </cell>
          <cell r="BB458" t="str">
            <v>B2</v>
          </cell>
          <cell r="BC458">
            <v>0</v>
          </cell>
        </row>
        <row r="459">
          <cell r="A459" t="str">
            <v>sp 1139</v>
          </cell>
          <cell r="B459" t="str">
            <v>Xingfa 3 màu cơ điện</v>
          </cell>
          <cell r="E459">
            <v>3</v>
          </cell>
          <cell r="F459">
            <v>3</v>
          </cell>
          <cell r="AO459" t="str">
            <v>Công ty Cơ điện Hà Nội</v>
          </cell>
          <cell r="AP459">
            <v>0</v>
          </cell>
          <cell r="AQ459" t="str">
            <v>1902798-1</v>
          </cell>
          <cell r="AR459" t="str">
            <v>1902798-2</v>
          </cell>
          <cell r="AS459" t="str">
            <v>1902798-3</v>
          </cell>
          <cell r="BA459" t="str">
            <v>906x1300</v>
          </cell>
          <cell r="BC459">
            <v>0</v>
          </cell>
        </row>
        <row r="460">
          <cell r="A460" t="str">
            <v>sp 1140</v>
          </cell>
          <cell r="B460" t="str">
            <v>Túi bánh kẹp kem sữa Arita 270gr Hữu Nghị</v>
          </cell>
          <cell r="E460">
            <v>6</v>
          </cell>
          <cell r="F460">
            <v>6</v>
          </cell>
          <cell r="AO460" t="str">
            <v>Công ty Hữu Nghị</v>
          </cell>
          <cell r="AP460">
            <v>0</v>
          </cell>
          <cell r="AQ460" t="str">
            <v>X108061F1-1</v>
          </cell>
          <cell r="AR460" t="str">
            <v>X108061F1-2</v>
          </cell>
          <cell r="AS460" t="str">
            <v>X108061F1-3</v>
          </cell>
          <cell r="AT460" t="str">
            <v>X108061F1-4</v>
          </cell>
          <cell r="AU460" t="str">
            <v>X108061F1-5</v>
          </cell>
          <cell r="AV460" t="str">
            <v>X108061F1-6</v>
          </cell>
          <cell r="BA460" t="str">
            <v>1100x640</v>
          </cell>
          <cell r="BB460" t="str">
            <v>B2</v>
          </cell>
          <cell r="BC460">
            <v>0</v>
          </cell>
        </row>
        <row r="461">
          <cell r="A461" t="str">
            <v>sp 1141</v>
          </cell>
          <cell r="B461" t="str">
            <v>Túi thuốc thú y 2 màu Năm Thái 1kg</v>
          </cell>
          <cell r="E461">
            <v>2</v>
          </cell>
          <cell r="F461">
            <v>2</v>
          </cell>
          <cell r="AO461" t="str">
            <v>Công ty Năm Thái</v>
          </cell>
          <cell r="AP461">
            <v>0</v>
          </cell>
          <cell r="AQ461" t="str">
            <v>F125351-1</v>
          </cell>
          <cell r="AR461" t="str">
            <v>F125351-2</v>
          </cell>
          <cell r="BA461" t="str">
            <v>870x480</v>
          </cell>
          <cell r="BB461" t="str">
            <v>R2</v>
          </cell>
          <cell r="BC461">
            <v>0</v>
          </cell>
        </row>
        <row r="462">
          <cell r="A462" t="str">
            <v>sp 1142</v>
          </cell>
          <cell r="B462" t="str">
            <v>Cuộn thuốc thú y Tydox - TA 100g</v>
          </cell>
          <cell r="E462">
            <v>1</v>
          </cell>
          <cell r="F462">
            <v>1</v>
          </cell>
          <cell r="AO462" t="str">
            <v>Công ty Năm Thái</v>
          </cell>
          <cell r="AP462">
            <v>0</v>
          </cell>
          <cell r="AQ462" t="str">
            <v>2002252-1</v>
          </cell>
          <cell r="BA462" t="str">
            <v>495x870</v>
          </cell>
          <cell r="BB462" t="str">
            <v>R2</v>
          </cell>
          <cell r="BC462">
            <v>0</v>
          </cell>
        </row>
        <row r="463">
          <cell r="A463" t="str">
            <v>sp 1143</v>
          </cell>
          <cell r="B463" t="str">
            <v>Cuộn thuốc thú y Hepaton 100g</v>
          </cell>
          <cell r="E463">
            <v>1</v>
          </cell>
          <cell r="F463">
            <v>1</v>
          </cell>
          <cell r="AO463" t="str">
            <v>Công ty Năm Thái</v>
          </cell>
          <cell r="AP463">
            <v>0</v>
          </cell>
          <cell r="AQ463" t="str">
            <v>2002253-1</v>
          </cell>
          <cell r="BA463" t="str">
            <v>495x870</v>
          </cell>
          <cell r="BB463" t="str">
            <v>R2</v>
          </cell>
          <cell r="BC463">
            <v>0</v>
          </cell>
        </row>
        <row r="464">
          <cell r="A464" t="str">
            <v>sp 1144</v>
          </cell>
          <cell r="B464" t="str">
            <v>Cuộn thuốc thú y CCRD - Năm Thái 100g</v>
          </cell>
          <cell r="E464">
            <v>1</v>
          </cell>
          <cell r="F464">
            <v>1</v>
          </cell>
          <cell r="AO464" t="str">
            <v>Công ty Năm Thái</v>
          </cell>
          <cell r="AP464">
            <v>0</v>
          </cell>
          <cell r="AQ464" t="str">
            <v>2002254-1</v>
          </cell>
          <cell r="BA464" t="str">
            <v>495x870</v>
          </cell>
          <cell r="BB464" t="str">
            <v>R2</v>
          </cell>
          <cell r="BC464">
            <v>0</v>
          </cell>
        </row>
        <row r="465">
          <cell r="A465" t="str">
            <v>sp 1145</v>
          </cell>
          <cell r="B465" t="str">
            <v>Cuộn thuốc thú y T.Coryzine 100g</v>
          </cell>
          <cell r="E465">
            <v>1</v>
          </cell>
          <cell r="F465">
            <v>1</v>
          </cell>
          <cell r="AO465" t="str">
            <v>Công ty Năm Thái</v>
          </cell>
          <cell r="AP465">
            <v>0</v>
          </cell>
          <cell r="AQ465" t="str">
            <v>2002255-1</v>
          </cell>
          <cell r="BA465" t="str">
            <v>525x870</v>
          </cell>
          <cell r="BB465" t="str">
            <v>R2</v>
          </cell>
          <cell r="BC465">
            <v>0</v>
          </cell>
        </row>
        <row r="466">
          <cell r="A466" t="str">
            <v>sp 1146</v>
          </cell>
          <cell r="B466" t="str">
            <v>Cuộn thuốc thú y T.cúm gia súc</v>
          </cell>
          <cell r="E466">
            <v>1</v>
          </cell>
          <cell r="F466">
            <v>1</v>
          </cell>
          <cell r="AO466" t="str">
            <v>Công ty Năm Thái</v>
          </cell>
          <cell r="AP466">
            <v>0</v>
          </cell>
          <cell r="AQ466" t="str">
            <v>2002256-1</v>
          </cell>
          <cell r="BA466" t="str">
            <v>525x870</v>
          </cell>
          <cell r="BB466" t="str">
            <v>R2</v>
          </cell>
          <cell r="BC466">
            <v>0</v>
          </cell>
        </row>
        <row r="467">
          <cell r="A467" t="str">
            <v>sp 1147</v>
          </cell>
          <cell r="B467" t="str">
            <v>Cuộn thuốc thú y Gentafam-1 100g</v>
          </cell>
          <cell r="E467">
            <v>1</v>
          </cell>
          <cell r="F467">
            <v>1</v>
          </cell>
          <cell r="AO467" t="str">
            <v>Công ty Năm Thái</v>
          </cell>
          <cell r="AP467">
            <v>0</v>
          </cell>
          <cell r="AQ467" t="str">
            <v>2002257-1</v>
          </cell>
          <cell r="BA467" t="str">
            <v>525x870</v>
          </cell>
          <cell r="BB467" t="str">
            <v>R2</v>
          </cell>
          <cell r="BC467">
            <v>0</v>
          </cell>
        </row>
        <row r="468">
          <cell r="A468" t="str">
            <v>sp 1148</v>
          </cell>
          <cell r="B468" t="str">
            <v>Cuộn thuốc thú y Super-Cox 100g</v>
          </cell>
          <cell r="E468">
            <v>1</v>
          </cell>
          <cell r="F468">
            <v>1</v>
          </cell>
          <cell r="AO468" t="str">
            <v>Công ty Năm Thái</v>
          </cell>
          <cell r="AP468">
            <v>0</v>
          </cell>
          <cell r="AQ468" t="str">
            <v>2002258-1</v>
          </cell>
          <cell r="BA468" t="str">
            <v>525x870</v>
          </cell>
          <cell r="BB468" t="str">
            <v>R2</v>
          </cell>
          <cell r="BC468">
            <v>0</v>
          </cell>
        </row>
        <row r="469">
          <cell r="A469" t="str">
            <v>sp 1149</v>
          </cell>
          <cell r="B469" t="str">
            <v>Cuộn thuốc thú y Anti-Gum 100g</v>
          </cell>
          <cell r="E469">
            <v>1</v>
          </cell>
          <cell r="F469">
            <v>1</v>
          </cell>
          <cell r="AO469" t="str">
            <v>Công ty Năm Thái</v>
          </cell>
          <cell r="AP469">
            <v>0</v>
          </cell>
          <cell r="AQ469" t="str">
            <v>2002259-1</v>
          </cell>
          <cell r="BA469" t="str">
            <v>525x870</v>
          </cell>
          <cell r="BB469" t="str">
            <v>R2</v>
          </cell>
          <cell r="BC469">
            <v>0</v>
          </cell>
        </row>
        <row r="470">
          <cell r="A470" t="str">
            <v>sp 1150</v>
          </cell>
          <cell r="B470" t="str">
            <v>Cuộn thuốc thú y T.Colivit 100g</v>
          </cell>
          <cell r="E470">
            <v>1</v>
          </cell>
          <cell r="F470">
            <v>1</v>
          </cell>
          <cell r="AO470" t="str">
            <v>Công ty Năm Thái</v>
          </cell>
          <cell r="AP470">
            <v>0</v>
          </cell>
          <cell r="AQ470" t="str">
            <v>2002260-1</v>
          </cell>
          <cell r="BA470" t="str">
            <v>495x870</v>
          </cell>
          <cell r="BB470" t="str">
            <v>R2</v>
          </cell>
          <cell r="BC470">
            <v>0</v>
          </cell>
        </row>
        <row r="471">
          <cell r="A471" t="str">
            <v>sp 1151</v>
          </cell>
          <cell r="B471" t="str">
            <v>Cuộn thuốc thú y T.Umgiaca 100g</v>
          </cell>
          <cell r="E471">
            <v>1</v>
          </cell>
          <cell r="F471">
            <v>1</v>
          </cell>
          <cell r="AO471" t="str">
            <v>Công ty Năm Thái</v>
          </cell>
          <cell r="AP471">
            <v>0</v>
          </cell>
          <cell r="AQ471" t="str">
            <v>2002322-1</v>
          </cell>
          <cell r="BA471" t="str">
            <v>495x870</v>
          </cell>
          <cell r="BB471" t="str">
            <v>R2</v>
          </cell>
          <cell r="BC471">
            <v>0</v>
          </cell>
        </row>
        <row r="472">
          <cell r="A472" t="str">
            <v>sp 1152</v>
          </cell>
          <cell r="B472" t="str">
            <v>Cuộn màng nhôm Xingfa PPTD asa cơ điện</v>
          </cell>
          <cell r="E472">
            <v>3</v>
          </cell>
          <cell r="F472">
            <v>3</v>
          </cell>
          <cell r="AO472" t="str">
            <v>Công ty Cơ điện Hà Nội</v>
          </cell>
          <cell r="AP472">
            <v>0</v>
          </cell>
          <cell r="AQ472" t="str">
            <v>1806095-1</v>
          </cell>
          <cell r="AR472" t="str">
            <v>1806095-2</v>
          </cell>
          <cell r="AS472" t="str">
            <v>1806095-3</v>
          </cell>
          <cell r="BA472" t="str">
            <v>455x1300</v>
          </cell>
          <cell r="BC472">
            <v>0</v>
          </cell>
        </row>
        <row r="473">
          <cell r="A473" t="str">
            <v>sp 1153</v>
          </cell>
          <cell r="B473" t="str">
            <v>Cuộn thuốc thú y Anti.crd LA 100g</v>
          </cell>
          <cell r="E473">
            <v>1</v>
          </cell>
          <cell r="F473">
            <v>1</v>
          </cell>
          <cell r="AO473" t="str">
            <v>Công ty Năm Thái</v>
          </cell>
          <cell r="AP473">
            <v>0</v>
          </cell>
          <cell r="AQ473" t="str">
            <v>2002433-1</v>
          </cell>
          <cell r="BA473" t="str">
            <v>495x870</v>
          </cell>
          <cell r="BB473" t="str">
            <v>R2</v>
          </cell>
          <cell r="BC473">
            <v>0</v>
          </cell>
        </row>
        <row r="474">
          <cell r="A474" t="str">
            <v>sp 1154</v>
          </cell>
          <cell r="B474" t="str">
            <v>Cuộn thuốc thú y Fungicid 100g</v>
          </cell>
          <cell r="E474">
            <v>1</v>
          </cell>
          <cell r="F474">
            <v>1</v>
          </cell>
          <cell r="AO474" t="str">
            <v>Công ty Năm Thái</v>
          </cell>
          <cell r="AP474">
            <v>0</v>
          </cell>
          <cell r="AQ474" t="str">
            <v>2002434-1</v>
          </cell>
          <cell r="BA474" t="str">
            <v>495x870</v>
          </cell>
          <cell r="BB474" t="str">
            <v>R2</v>
          </cell>
          <cell r="BC474">
            <v>0</v>
          </cell>
        </row>
        <row r="475">
          <cell r="A475" t="str">
            <v>sp 1155</v>
          </cell>
          <cell r="B475" t="str">
            <v>Cuộn bánh gạo Nhật Nakki hương vị bò Okifood</v>
          </cell>
          <cell r="E475">
            <v>7</v>
          </cell>
          <cell r="F475">
            <v>7</v>
          </cell>
          <cell r="AO475" t="str">
            <v>Công ty Okifood</v>
          </cell>
          <cell r="AP475">
            <v>0</v>
          </cell>
          <cell r="AQ475" t="str">
            <v>2002955-1</v>
          </cell>
          <cell r="AR475" t="str">
            <v>2002955-2</v>
          </cell>
          <cell r="AS475" t="str">
            <v>2002955-3</v>
          </cell>
          <cell r="AT475" t="str">
            <v>2002955-4</v>
          </cell>
          <cell r="AU475" t="str">
            <v>2002955-5</v>
          </cell>
          <cell r="AV475" t="str">
            <v>2002955-6</v>
          </cell>
          <cell r="AW475" t="str">
            <v>2002955-7</v>
          </cell>
          <cell r="BA475" t="str">
            <v>468x1150</v>
          </cell>
          <cell r="BB475" t="str">
            <v>R2</v>
          </cell>
          <cell r="BC475">
            <v>0</v>
          </cell>
        </row>
        <row r="476">
          <cell r="A476" t="str">
            <v>sp 1156</v>
          </cell>
          <cell r="B476" t="str">
            <v>Túi bánh gạo nhật nakki màu đỏ hương vị bò loại mặn 150gr Okifood</v>
          </cell>
          <cell r="E476">
            <v>7</v>
          </cell>
          <cell r="F476">
            <v>7</v>
          </cell>
          <cell r="AO476" t="str">
            <v>Công ty Okifood</v>
          </cell>
          <cell r="AP476">
            <v>0</v>
          </cell>
          <cell r="AQ476" t="str">
            <v>2002956-1</v>
          </cell>
          <cell r="AR476" t="str">
            <v>2002956-2</v>
          </cell>
          <cell r="AS476" t="str">
            <v>2002956-3</v>
          </cell>
          <cell r="AT476" t="str">
            <v>2002956-4</v>
          </cell>
          <cell r="AU476" t="str">
            <v>2002956-5</v>
          </cell>
          <cell r="AV476" t="str">
            <v>2002956-6</v>
          </cell>
          <cell r="AW476" t="str">
            <v>2002956-7</v>
          </cell>
          <cell r="BA476" t="str">
            <v>680x1100</v>
          </cell>
          <cell r="BB476" t="str">
            <v>R2</v>
          </cell>
          <cell r="BC476">
            <v>0</v>
          </cell>
        </row>
        <row r="477">
          <cell r="A477" t="str">
            <v>sp 1157</v>
          </cell>
          <cell r="B477" t="str">
            <v>Túi thuốc thú y Zipper 1kg Hùng Nguyên</v>
          </cell>
          <cell r="E477">
            <v>4</v>
          </cell>
          <cell r="F477">
            <v>4</v>
          </cell>
          <cell r="AO477" t="str">
            <v>Công ty Hùng Nguyên</v>
          </cell>
          <cell r="AP477">
            <v>0</v>
          </cell>
          <cell r="AQ477" t="str">
            <v>F125531-1</v>
          </cell>
          <cell r="AR477" t="str">
            <v>F125531-2</v>
          </cell>
          <cell r="AS477" t="str">
            <v>F125531-3</v>
          </cell>
          <cell r="AT477" t="str">
            <v>F125531-4</v>
          </cell>
          <cell r="BA477" t="str">
            <v>870x516</v>
          </cell>
          <cell r="BB477" t="str">
            <v>R2</v>
          </cell>
          <cell r="BC477">
            <v>0</v>
          </cell>
        </row>
        <row r="478">
          <cell r="A478" t="str">
            <v>sp 1158</v>
          </cell>
          <cell r="B478" t="str">
            <v>Cuộn bánh snacks ocean fish vị tôm nướng 25gr libra</v>
          </cell>
          <cell r="E478">
            <v>8</v>
          </cell>
          <cell r="F478">
            <v>8</v>
          </cell>
          <cell r="AO478" t="str">
            <v>Công ty Libra</v>
          </cell>
          <cell r="AP478">
            <v>0</v>
          </cell>
          <cell r="AQ478" t="str">
            <v>F125535-1</v>
          </cell>
          <cell r="AR478" t="str">
            <v>F125535-2</v>
          </cell>
          <cell r="AS478" t="str">
            <v>F125535-3</v>
          </cell>
          <cell r="AT478" t="str">
            <v>F125535-4</v>
          </cell>
          <cell r="AU478" t="str">
            <v>F125535-5</v>
          </cell>
          <cell r="AV478" t="str">
            <v>F125535-6</v>
          </cell>
          <cell r="AW478" t="str">
            <v>F125535-7</v>
          </cell>
          <cell r="AX478" t="str">
            <v>F125535-8</v>
          </cell>
          <cell r="BA478" t="str">
            <v>870x432</v>
          </cell>
          <cell r="BB478" t="str">
            <v>R2</v>
          </cell>
          <cell r="BC478">
            <v>0</v>
          </cell>
        </row>
        <row r="479">
          <cell r="A479" t="str">
            <v>sp 1159</v>
          </cell>
          <cell r="B479" t="str">
            <v>Cuộn thuốc thú y TĐG Năm Thái</v>
          </cell>
          <cell r="E479">
            <v>1</v>
          </cell>
          <cell r="F479">
            <v>1</v>
          </cell>
          <cell r="AO479" t="str">
            <v>Công ty Năm Thái</v>
          </cell>
          <cell r="AP479">
            <v>0</v>
          </cell>
          <cell r="AQ479" t="str">
            <v>20021185-1</v>
          </cell>
          <cell r="BA479" t="str">
            <v>495x870</v>
          </cell>
          <cell r="BB479" t="str">
            <v>R2</v>
          </cell>
          <cell r="BC479">
            <v>0</v>
          </cell>
        </row>
        <row r="480">
          <cell r="A480" t="str">
            <v>sp 1160</v>
          </cell>
          <cell r="B480" t="str">
            <v>Cuộn thuốc thú y Sutrim 100gr Năm Thái khổ 250x175</v>
          </cell>
          <cell r="E480">
            <v>1</v>
          </cell>
          <cell r="F480">
            <v>1</v>
          </cell>
          <cell r="AO480" t="str">
            <v>Công ty Năm Thái</v>
          </cell>
          <cell r="AP480">
            <v>0</v>
          </cell>
          <cell r="AQ480" t="str">
            <v>20021186-1</v>
          </cell>
          <cell r="BA480" t="str">
            <v>525x870</v>
          </cell>
          <cell r="BB480" t="str">
            <v>R2</v>
          </cell>
          <cell r="BC480">
            <v>0</v>
          </cell>
        </row>
        <row r="481">
          <cell r="A481" t="str">
            <v>sp 1161</v>
          </cell>
          <cell r="B481" t="str">
            <v>Túi viên nang cứng ích mẫu 67x150x16 Trapaco cnc</v>
          </cell>
          <cell r="E481">
            <v>2</v>
          </cell>
          <cell r="F481">
            <v>2</v>
          </cell>
          <cell r="AO481" t="str">
            <v>Công ty công nghệ cao Traphaco</v>
          </cell>
          <cell r="AP481">
            <v>0</v>
          </cell>
          <cell r="AQ481" t="str">
            <v>20021215-1</v>
          </cell>
          <cell r="AR481" t="str">
            <v>20021215-2</v>
          </cell>
          <cell r="BA481" t="str">
            <v>420x870</v>
          </cell>
          <cell r="BB481" t="str">
            <v>R2</v>
          </cell>
          <cell r="BC481">
            <v>0</v>
          </cell>
        </row>
        <row r="482">
          <cell r="A482" t="str">
            <v>sp 1162</v>
          </cell>
          <cell r="B482" t="str">
            <v>Cuộn đựng khăn ướt in một màu hở màng 13mm Phúc Tín</v>
          </cell>
          <cell r="E482">
            <v>1</v>
          </cell>
          <cell r="F482">
            <v>1</v>
          </cell>
          <cell r="AO482" t="str">
            <v>Công ty Phúc Tín</v>
          </cell>
          <cell r="AP482">
            <v>0</v>
          </cell>
          <cell r="AQ482" t="str">
            <v>F125556-1</v>
          </cell>
          <cell r="BA482" t="str">
            <v>860x462</v>
          </cell>
          <cell r="BB482" t="str">
            <v>R2</v>
          </cell>
          <cell r="BC482">
            <v>0</v>
          </cell>
        </row>
        <row r="483">
          <cell r="A483" t="str">
            <v>sp 1163</v>
          </cell>
          <cell r="B483" t="str">
            <v>Cuộn thuốc thú y TA.GLUCO.K.C 100g</v>
          </cell>
          <cell r="E483">
            <v>1</v>
          </cell>
          <cell r="F483">
            <v>1</v>
          </cell>
          <cell r="AO483" t="str">
            <v>Công ty Năm Thái</v>
          </cell>
          <cell r="AP483">
            <v>0</v>
          </cell>
          <cell r="AQ483" t="str">
            <v>20030584-1</v>
          </cell>
          <cell r="BA483" t="str">
            <v>495x870</v>
          </cell>
          <cell r="BB483" t="str">
            <v>R2</v>
          </cell>
          <cell r="BC483">
            <v>0</v>
          </cell>
        </row>
        <row r="484">
          <cell r="A484" t="str">
            <v>sp 1164</v>
          </cell>
          <cell r="B484" t="str">
            <v>Cuộn thuốc thú y Gluco.K.C.B2 100g</v>
          </cell>
          <cell r="E484">
            <v>1</v>
          </cell>
          <cell r="F484">
            <v>1</v>
          </cell>
          <cell r="AO484" t="str">
            <v>Công ty Năm Thái</v>
          </cell>
          <cell r="AP484">
            <v>0</v>
          </cell>
          <cell r="AQ484" t="str">
            <v>20030583-1</v>
          </cell>
          <cell r="BA484" t="str">
            <v>495x870</v>
          </cell>
          <cell r="BB484" t="str">
            <v>R2</v>
          </cell>
          <cell r="BC484">
            <v>0</v>
          </cell>
        </row>
        <row r="485">
          <cell r="A485" t="str">
            <v>sp 1165</v>
          </cell>
          <cell r="B485" t="str">
            <v>Cuộn màng dán khay thịt Nhật Nguyên</v>
          </cell>
          <cell r="E485" t="str">
            <v>sp 857</v>
          </cell>
          <cell r="F485">
            <v>1</v>
          </cell>
          <cell r="AO485" t="str">
            <v>Công ty Nhật Nguyên</v>
          </cell>
          <cell r="AP485">
            <v>0</v>
          </cell>
          <cell r="AQ485" t="str">
            <v>X102176-1</v>
          </cell>
          <cell r="BA485" t="str">
            <v>520x850</v>
          </cell>
          <cell r="BB485" t="str">
            <v>P1</v>
          </cell>
          <cell r="BC485" t="str">
            <v>In chung sp 857</v>
          </cell>
        </row>
        <row r="486">
          <cell r="A486">
            <v>0</v>
          </cell>
          <cell r="B486">
            <v>0</v>
          </cell>
          <cell r="E486">
            <v>0</v>
          </cell>
          <cell r="F486">
            <v>0</v>
          </cell>
          <cell r="AO486">
            <v>0</v>
          </cell>
          <cell r="AP486">
            <v>0</v>
          </cell>
          <cell r="AQ486">
            <v>0</v>
          </cell>
          <cell r="BA486">
            <v>0</v>
          </cell>
          <cell r="BC486">
            <v>0</v>
          </cell>
        </row>
        <row r="487">
          <cell r="A487" t="str">
            <v>sp 1167</v>
          </cell>
          <cell r="B487" t="str">
            <v>Túi ngô nếp TBM18 100g</v>
          </cell>
          <cell r="E487">
            <v>7</v>
          </cell>
          <cell r="F487">
            <v>7</v>
          </cell>
          <cell r="AO487" t="str">
            <v>Công ty Thái Bình</v>
          </cell>
          <cell r="AP487">
            <v>0</v>
          </cell>
          <cell r="AQ487" t="str">
            <v>20030258-1</v>
          </cell>
          <cell r="AR487" t="str">
            <v>20030258-2</v>
          </cell>
          <cell r="AS487" t="str">
            <v>20030258-3</v>
          </cell>
          <cell r="AT487" t="str">
            <v>20030258-4</v>
          </cell>
          <cell r="AU487" t="str">
            <v>20030258-5</v>
          </cell>
          <cell r="AV487" t="str">
            <v>20030258-6</v>
          </cell>
          <cell r="AW487" t="str">
            <v>20030258-7</v>
          </cell>
          <cell r="BA487" t="str">
            <v>510x870</v>
          </cell>
          <cell r="BB487" t="str">
            <v>R2</v>
          </cell>
          <cell r="BC487">
            <v>0</v>
          </cell>
        </row>
        <row r="488">
          <cell r="A488" t="str">
            <v>sp 1168</v>
          </cell>
          <cell r="B488" t="str">
            <v>Túi ngô nếp TBM18 500g</v>
          </cell>
          <cell r="E488">
            <v>7</v>
          </cell>
          <cell r="F488">
            <v>7</v>
          </cell>
          <cell r="AO488" t="str">
            <v>Công ty Thái Bình</v>
          </cell>
          <cell r="AP488">
            <v>0</v>
          </cell>
          <cell r="AQ488" t="str">
            <v>20030259-1</v>
          </cell>
          <cell r="AR488" t="str">
            <v>20030259-2</v>
          </cell>
          <cell r="AS488" t="str">
            <v>20030259-3</v>
          </cell>
          <cell r="AT488" t="str">
            <v>20030259-4</v>
          </cell>
          <cell r="AU488" t="str">
            <v>20030259-5</v>
          </cell>
          <cell r="AV488" t="str">
            <v>20030259-6</v>
          </cell>
          <cell r="AW488" t="str">
            <v>20030259-7</v>
          </cell>
          <cell r="BA488" t="str">
            <v>480x870</v>
          </cell>
          <cell r="BB488" t="str">
            <v>R2</v>
          </cell>
          <cell r="BC488">
            <v>0</v>
          </cell>
        </row>
        <row r="489">
          <cell r="A489" t="str">
            <v>sp 1169</v>
          </cell>
          <cell r="B489" t="str">
            <v>Cuộn thuốc thú y T.Flox C 100g</v>
          </cell>
          <cell r="E489">
            <v>1</v>
          </cell>
          <cell r="F489">
            <v>1</v>
          </cell>
          <cell r="AO489" t="str">
            <v>Công ty Năm Thái</v>
          </cell>
          <cell r="AP489">
            <v>0</v>
          </cell>
          <cell r="AQ489" t="str">
            <v>20030582-1</v>
          </cell>
          <cell r="BA489" t="str">
            <v>495x870</v>
          </cell>
          <cell r="BB489" t="str">
            <v>R2</v>
          </cell>
          <cell r="BC489">
            <v>0</v>
          </cell>
        </row>
        <row r="490">
          <cell r="A490" t="str">
            <v>sp 1170</v>
          </cell>
          <cell r="B490" t="str">
            <v>Túi trà lụa đỏ TC VÀ ĐS thượng hạng 100gr loại 23</v>
          </cell>
          <cell r="E490" t="str">
            <v>sp 1006</v>
          </cell>
          <cell r="F490">
            <v>7</v>
          </cell>
          <cell r="AO490" t="str">
            <v>Bùi Văn Sỹ</v>
          </cell>
          <cell r="AP490">
            <v>0</v>
          </cell>
          <cell r="AQ490" t="str">
            <v>17041138-1</v>
          </cell>
          <cell r="AR490" t="str">
            <v>17041138-2</v>
          </cell>
          <cell r="AS490" t="str">
            <v>17041138-3</v>
          </cell>
          <cell r="AT490" t="str">
            <v>17041138-4</v>
          </cell>
          <cell r="AU490" t="str">
            <v>17041138-5</v>
          </cell>
          <cell r="AV490" t="str">
            <v>17041138-6</v>
          </cell>
          <cell r="AW490" t="str">
            <v>17041138-7</v>
          </cell>
          <cell r="BA490" t="str">
            <v>540x850</v>
          </cell>
          <cell r="BB490" t="str">
            <v>F4</v>
          </cell>
          <cell r="BC490" t="str">
            <v>in chung sản phầm 1006</v>
          </cell>
        </row>
        <row r="491">
          <cell r="A491" t="str">
            <v>sp 1171</v>
          </cell>
          <cell r="B491" t="str">
            <v>Túi bánh Sapie Chocolate Pie phủ socola 216g</v>
          </cell>
          <cell r="E491">
            <v>8</v>
          </cell>
          <cell r="F491">
            <v>8</v>
          </cell>
          <cell r="AO491" t="str">
            <v>Công ty ASI</v>
          </cell>
          <cell r="AP491">
            <v>0</v>
          </cell>
          <cell r="AQ491" t="str">
            <v>20030890-1</v>
          </cell>
          <cell r="AR491" t="str">
            <v>20030890-2</v>
          </cell>
          <cell r="AS491" t="str">
            <v>20030890-3</v>
          </cell>
          <cell r="AT491" t="str">
            <v>20030890-4</v>
          </cell>
          <cell r="AU491" t="str">
            <v>20030890-5</v>
          </cell>
          <cell r="AV491" t="str">
            <v>20030890-6</v>
          </cell>
          <cell r="AW491" t="str">
            <v>20030890-7</v>
          </cell>
          <cell r="AX491" t="str">
            <v>20030890-8</v>
          </cell>
          <cell r="BA491" t="str">
            <v>530x870</v>
          </cell>
          <cell r="BB491" t="str">
            <v>R3</v>
          </cell>
          <cell r="BC491">
            <v>0</v>
          </cell>
        </row>
        <row r="492">
          <cell r="A492" t="str">
            <v>sp 1172</v>
          </cell>
          <cell r="B492" t="str">
            <v>Túi gạo nhất hương 10kg 2020 Thái Bình</v>
          </cell>
          <cell r="E492">
            <v>7</v>
          </cell>
          <cell r="F492">
            <v>7</v>
          </cell>
          <cell r="AO492" t="str">
            <v>Công ty Thái Bình</v>
          </cell>
          <cell r="AP492">
            <v>0</v>
          </cell>
          <cell r="AQ492" t="str">
            <v>20030971-1</v>
          </cell>
          <cell r="AR492" t="str">
            <v>20030971-2</v>
          </cell>
          <cell r="AS492" t="str">
            <v>20030971-3</v>
          </cell>
          <cell r="AT492" t="str">
            <v>20030971-4</v>
          </cell>
          <cell r="AU492" t="str">
            <v>20030971-5</v>
          </cell>
          <cell r="AV492" t="str">
            <v>20030971-6</v>
          </cell>
          <cell r="AW492" t="str">
            <v>20030971-7</v>
          </cell>
          <cell r="BA492" t="str">
            <v>600x870</v>
          </cell>
          <cell r="BB492" t="str">
            <v>R3</v>
          </cell>
          <cell r="BC492">
            <v>0</v>
          </cell>
        </row>
        <row r="493">
          <cell r="A493" t="str">
            <v>sp 1173</v>
          </cell>
          <cell r="B493" t="str">
            <v>Cuộn bánh gạo NAKKI vị phô mai ngô</v>
          </cell>
          <cell r="E493">
            <v>4</v>
          </cell>
          <cell r="F493">
            <v>4</v>
          </cell>
          <cell r="AO493" t="str">
            <v>Công ty Okifood</v>
          </cell>
          <cell r="AP493">
            <v>0</v>
          </cell>
          <cell r="AQ493" t="str">
            <v>X108725-1</v>
          </cell>
          <cell r="AR493" t="str">
            <v>X108725-2</v>
          </cell>
          <cell r="AS493" t="str">
            <v>X108725-3</v>
          </cell>
          <cell r="AT493" t="str">
            <v>X108725-4</v>
          </cell>
          <cell r="BA493" t="str">
            <v>1150x500</v>
          </cell>
          <cell r="BB493" t="str">
            <v>R3</v>
          </cell>
          <cell r="BC493">
            <v>0</v>
          </cell>
        </row>
        <row r="494">
          <cell r="A494" t="str">
            <v>sp 1174</v>
          </cell>
          <cell r="B494" t="str">
            <v>Cuộn thuốc thú y TA-Neo.40 100g</v>
          </cell>
          <cell r="E494">
            <v>1</v>
          </cell>
          <cell r="F494">
            <v>1</v>
          </cell>
          <cell r="AO494" t="str">
            <v>Công ty Năm Thái</v>
          </cell>
          <cell r="AP494">
            <v>0</v>
          </cell>
          <cell r="AQ494" t="str">
            <v>20031171-1</v>
          </cell>
          <cell r="BA494" t="str">
            <v>495x870</v>
          </cell>
          <cell r="BB494" t="str">
            <v>R3</v>
          </cell>
          <cell r="BC494">
            <v>0</v>
          </cell>
        </row>
        <row r="495">
          <cell r="A495" t="str">
            <v>sp 1175</v>
          </cell>
          <cell r="B495" t="str">
            <v>Cuộn thuốc thú y 1 màu trắng khổ 260 100g Bắc Việt</v>
          </cell>
          <cell r="E495" t="str">
            <v>sp 1062</v>
          </cell>
          <cell r="F495">
            <v>1</v>
          </cell>
          <cell r="AO495" t="str">
            <v>Công ty Bắc Việt</v>
          </cell>
          <cell r="AP495">
            <v>0</v>
          </cell>
          <cell r="AQ495">
            <v>0</v>
          </cell>
          <cell r="AW495" t="str">
            <v>F123486-7</v>
          </cell>
          <cell r="BA495" t="str">
            <v>450x1100</v>
          </cell>
          <cell r="BB495" t="str">
            <v>A2</v>
          </cell>
          <cell r="BC495" t="str">
            <v>in chung cây số 7 của sp 1062</v>
          </cell>
        </row>
        <row r="496">
          <cell r="A496" t="str">
            <v>sp 1176</v>
          </cell>
          <cell r="B496" t="str">
            <v>Cuộn màng Xinfa Lion 4 màu Cơ điện Hà Nội</v>
          </cell>
          <cell r="E496">
            <v>4</v>
          </cell>
          <cell r="F496">
            <v>4</v>
          </cell>
          <cell r="AO496" t="str">
            <v>Công ty Cơ điện Hà Nội</v>
          </cell>
          <cell r="AP496">
            <v>0</v>
          </cell>
          <cell r="AQ496" t="str">
            <v>1803432-1</v>
          </cell>
          <cell r="AR496" t="str">
            <v>1803432-2</v>
          </cell>
          <cell r="AS496" t="str">
            <v>1803432-3</v>
          </cell>
          <cell r="AT496" t="str">
            <v>1803432-4</v>
          </cell>
          <cell r="BA496" t="str">
            <v>560x1300</v>
          </cell>
          <cell r="BC496">
            <v>0</v>
          </cell>
        </row>
        <row r="497">
          <cell r="A497" t="str">
            <v>sp 1177</v>
          </cell>
          <cell r="B497" t="str">
            <v>Túi viên hà thủ ô CNC Traphaco</v>
          </cell>
          <cell r="E497">
            <v>2</v>
          </cell>
          <cell r="F497">
            <v>2</v>
          </cell>
          <cell r="AO497" t="str">
            <v>Công ty công nghệ cao Traphaco</v>
          </cell>
          <cell r="AP497">
            <v>0</v>
          </cell>
          <cell r="AQ497" t="str">
            <v>20031376-1</v>
          </cell>
          <cell r="AR497" t="str">
            <v>20031376-2</v>
          </cell>
          <cell r="BA497" t="str">
            <v>410x870</v>
          </cell>
          <cell r="BB497" t="str">
            <v>R3</v>
          </cell>
          <cell r="BC497">
            <v>0</v>
          </cell>
        </row>
        <row r="498">
          <cell r="A498" t="str">
            <v>sp 1178</v>
          </cell>
          <cell r="B498" t="str">
            <v>Cuộn màng in logo hunter TH Việt</v>
          </cell>
          <cell r="E498">
            <v>1</v>
          </cell>
          <cell r="F498">
            <v>1</v>
          </cell>
          <cell r="AO498" t="str">
            <v>Công ty TH Việt</v>
          </cell>
          <cell r="AP498">
            <v>0</v>
          </cell>
          <cell r="AQ498" t="str">
            <v>1903096-1</v>
          </cell>
          <cell r="BA498" t="str">
            <v>600x1320</v>
          </cell>
          <cell r="BB498" t="str">
            <v>R3</v>
          </cell>
          <cell r="BC498">
            <v>0</v>
          </cell>
        </row>
        <row r="499">
          <cell r="A499" t="str">
            <v>sp 1179</v>
          </cell>
          <cell r="B499" t="str">
            <v>Túi gạo nhật Japonica 50kg</v>
          </cell>
          <cell r="E499">
            <v>8</v>
          </cell>
          <cell r="F499">
            <v>8</v>
          </cell>
          <cell r="AO499" t="str">
            <v>Công ty RICHY MB</v>
          </cell>
          <cell r="AP499">
            <v>0</v>
          </cell>
          <cell r="AQ499" t="str">
            <v>20040180-1</v>
          </cell>
          <cell r="AR499" t="str">
            <v>20040180-2</v>
          </cell>
          <cell r="AS499" t="str">
            <v>20040180-3</v>
          </cell>
          <cell r="AT499" t="str">
            <v>20040180-4</v>
          </cell>
          <cell r="AU499" t="str">
            <v>20040180-5</v>
          </cell>
          <cell r="AV499" t="str">
            <v>20040180-6</v>
          </cell>
          <cell r="AW499" t="str">
            <v>20040180-7</v>
          </cell>
          <cell r="AX499" t="str">
            <v>20040180-8</v>
          </cell>
          <cell r="BA499" t="str">
            <v>460x870</v>
          </cell>
          <cell r="BB499" t="str">
            <v>R3</v>
          </cell>
          <cell r="BC499">
            <v>0</v>
          </cell>
        </row>
        <row r="500">
          <cell r="A500" t="str">
            <v>sp 1180</v>
          </cell>
          <cell r="B500" t="str">
            <v xml:space="preserve"> Túi bánh gạo nhật Nakki ngọt dịu hương cốm 135gr</v>
          </cell>
          <cell r="E500">
            <v>8</v>
          </cell>
          <cell r="F500">
            <v>8</v>
          </cell>
          <cell r="AO500" t="str">
            <v>Công ty Okifood</v>
          </cell>
          <cell r="AP500">
            <v>0</v>
          </cell>
          <cell r="AQ500" t="str">
            <v>X108779-1</v>
          </cell>
          <cell r="AR500" t="str">
            <v>X108779-2</v>
          </cell>
          <cell r="AS500" t="str">
            <v>X108779-3</v>
          </cell>
          <cell r="AT500" t="str">
            <v>X108779-4</v>
          </cell>
          <cell r="AU500" t="str">
            <v>X108779-5</v>
          </cell>
          <cell r="AV500" t="str">
            <v>X108779-6</v>
          </cell>
          <cell r="AW500" t="str">
            <v>X108779-7</v>
          </cell>
          <cell r="AX500" t="str">
            <v>X108779-8</v>
          </cell>
          <cell r="BA500" t="str">
            <v>1100x600</v>
          </cell>
          <cell r="BB500" t="str">
            <v>R3</v>
          </cell>
          <cell r="BC500">
            <v>0</v>
          </cell>
        </row>
        <row r="501">
          <cell r="A501" t="str">
            <v>sp 1181</v>
          </cell>
          <cell r="B501" t="str">
            <v>Cuộn màng PE trong in chữ Suncopanel TH Việt</v>
          </cell>
          <cell r="E501">
            <v>1</v>
          </cell>
          <cell r="F501">
            <v>2</v>
          </cell>
          <cell r="AO501" t="str">
            <v>Công ty TH Việt</v>
          </cell>
          <cell r="AP501">
            <v>0</v>
          </cell>
          <cell r="AQ501" t="str">
            <v>2004179-1</v>
          </cell>
          <cell r="AR501" t="str">
            <v>20040436-1</v>
          </cell>
          <cell r="BA501" t="str">
            <v>500x1300</v>
          </cell>
          <cell r="BB501" t="str">
            <v>R3</v>
          </cell>
          <cell r="BC501" t="str">
            <v>Chạy cùng cây trục in phủ</v>
          </cell>
        </row>
        <row r="502">
          <cell r="A502" t="str">
            <v>sp 1182</v>
          </cell>
          <cell r="B502" t="str">
            <v>Cuộn màng PE đen trắng in chữ TPG TH Việt</v>
          </cell>
          <cell r="E502">
            <v>2</v>
          </cell>
          <cell r="F502">
            <v>2</v>
          </cell>
          <cell r="AO502" t="str">
            <v>Công ty TH Việt</v>
          </cell>
          <cell r="AP502">
            <v>0</v>
          </cell>
          <cell r="AQ502" t="str">
            <v>2004097-1</v>
          </cell>
          <cell r="AR502" t="str">
            <v>2004097-2</v>
          </cell>
          <cell r="BA502" t="str">
            <v>440x1310</v>
          </cell>
          <cell r="BB502" t="str">
            <v>R3</v>
          </cell>
          <cell r="BC502">
            <v>0</v>
          </cell>
        </row>
        <row r="503">
          <cell r="A503" t="str">
            <v>sp 1183</v>
          </cell>
          <cell r="B503" t="str">
            <v>Túi hạt giống cải cúc ta và cải cục tẻ chọn lọc</v>
          </cell>
          <cell r="E503">
            <v>8</v>
          </cell>
          <cell r="F503">
            <v>8</v>
          </cell>
          <cell r="AO503" t="str">
            <v>Công ty Việt Nhật</v>
          </cell>
          <cell r="AP503">
            <v>0</v>
          </cell>
          <cell r="AQ503" t="str">
            <v>20110209-1</v>
          </cell>
          <cell r="AR503" t="str">
            <v>20110209-2</v>
          </cell>
          <cell r="AS503" t="str">
            <v>20110209-3</v>
          </cell>
          <cell r="AT503" t="str">
            <v>20110209-4</v>
          </cell>
          <cell r="AU503" t="str">
            <v>20110209-5</v>
          </cell>
          <cell r="AV503" t="str">
            <v>20110209-6</v>
          </cell>
          <cell r="AW503" t="str">
            <v>20110209-7</v>
          </cell>
          <cell r="AX503" t="str">
            <v>20110209-8</v>
          </cell>
          <cell r="BA503" t="str">
            <v>540x870</v>
          </cell>
          <cell r="BB503" t="str">
            <v>S1</v>
          </cell>
          <cell r="BC503">
            <v>0</v>
          </cell>
        </row>
        <row r="504">
          <cell r="A504" t="str">
            <v>sp 1184</v>
          </cell>
          <cell r="B504" t="str">
            <v>Cuộn hạt giống đậu bụi cove và cải cúc nếp chọn lọc Việt Nhật</v>
          </cell>
          <cell r="E504">
            <v>7</v>
          </cell>
          <cell r="F504">
            <v>7</v>
          </cell>
          <cell r="AO504" t="str">
            <v>Công ty Việt Nhật</v>
          </cell>
          <cell r="AP504">
            <v>0</v>
          </cell>
          <cell r="AQ504" t="str">
            <v>20040559-1</v>
          </cell>
          <cell r="AR504" t="str">
            <v>20040559-2</v>
          </cell>
          <cell r="AS504" t="str">
            <v>20040559-3</v>
          </cell>
          <cell r="AT504" t="str">
            <v>20040559-4</v>
          </cell>
          <cell r="AU504" t="str">
            <v>20040559-5</v>
          </cell>
          <cell r="AV504" t="str">
            <v>20040559-6</v>
          </cell>
          <cell r="AW504" t="str">
            <v>20040559-7</v>
          </cell>
          <cell r="BA504" t="str">
            <v>540x870</v>
          </cell>
          <cell r="BB504" t="str">
            <v>S1</v>
          </cell>
          <cell r="BC504">
            <v>0</v>
          </cell>
        </row>
        <row r="505">
          <cell r="A505" t="str">
            <v>sp 1185</v>
          </cell>
          <cell r="B505" t="str">
            <v>Cuộn thuốc thú y Oxytetra-sul 100g</v>
          </cell>
          <cell r="E505">
            <v>4</v>
          </cell>
          <cell r="F505">
            <v>4</v>
          </cell>
          <cell r="AO505" t="str">
            <v>Công ty Hùng Nguyên</v>
          </cell>
          <cell r="AP505">
            <v>0</v>
          </cell>
          <cell r="AQ505" t="str">
            <v>20040886-1</v>
          </cell>
          <cell r="AR505" t="str">
            <v>20040886-2</v>
          </cell>
          <cell r="AS505" t="str">
            <v>20040886-3</v>
          </cell>
          <cell r="AT505" t="str">
            <v>20040886-4</v>
          </cell>
          <cell r="BA505" t="str">
            <v>570x750</v>
          </cell>
          <cell r="BB505" t="str">
            <v>S1</v>
          </cell>
          <cell r="BC505">
            <v>0</v>
          </cell>
        </row>
        <row r="506">
          <cell r="A506" t="str">
            <v>sp 1186</v>
          </cell>
          <cell r="B506" t="str">
            <v>Cuộn thuốc đặc trị Cầu Trùng Cấp 50g</v>
          </cell>
          <cell r="E506">
            <v>3</v>
          </cell>
          <cell r="F506">
            <v>3</v>
          </cell>
          <cell r="AO506" t="str">
            <v>Công ty Hùng Nguyên</v>
          </cell>
          <cell r="AP506">
            <v>0</v>
          </cell>
          <cell r="AQ506" t="str">
            <v>20040887-1</v>
          </cell>
          <cell r="AR506" t="str">
            <v>20040887-2</v>
          </cell>
          <cell r="AS506" t="str">
            <v>20040887-3</v>
          </cell>
          <cell r="BA506" t="str">
            <v>480x820</v>
          </cell>
          <cell r="BB506" t="str">
            <v>S1</v>
          </cell>
          <cell r="BC506">
            <v>0</v>
          </cell>
        </row>
        <row r="507">
          <cell r="A507" t="str">
            <v>sp 1187</v>
          </cell>
          <cell r="B507" t="str">
            <v>Cuộn màng PE đen trắng in không ghép chữ BNV nhôm Việt Nhật</v>
          </cell>
          <cell r="E507">
            <v>2</v>
          </cell>
          <cell r="F507">
            <v>1</v>
          </cell>
          <cell r="AO507" t="str">
            <v>Công ty Việt Nhật</v>
          </cell>
          <cell r="AP507">
            <v>0</v>
          </cell>
          <cell r="AQ507" t="str">
            <v>20040810-1</v>
          </cell>
          <cell r="AR507" t="str">
            <v>20040436-1</v>
          </cell>
          <cell r="BA507" t="str">
            <v>500x1350</v>
          </cell>
          <cell r="BB507" t="str">
            <v>S1</v>
          </cell>
          <cell r="BC507" t="str">
            <v>trục in phủ 1188</v>
          </cell>
        </row>
        <row r="508">
          <cell r="A508" t="str">
            <v>sp 1188</v>
          </cell>
          <cell r="B508" t="str">
            <v>Trục in Phủ 520x1350 in cho sản phẩm mặt ngoài</v>
          </cell>
          <cell r="E508">
            <v>1</v>
          </cell>
          <cell r="F508">
            <v>1</v>
          </cell>
          <cell r="AO508" t="str">
            <v>Công ty A</v>
          </cell>
          <cell r="AP508">
            <v>0</v>
          </cell>
          <cell r="AQ508" t="str">
            <v>20040436-1</v>
          </cell>
          <cell r="BA508" t="str">
            <v>520x1350</v>
          </cell>
          <cell r="BB508" t="str">
            <v>S1</v>
          </cell>
          <cell r="BC508">
            <v>0</v>
          </cell>
        </row>
        <row r="509">
          <cell r="A509" t="str">
            <v>sp 1189</v>
          </cell>
          <cell r="B509" t="str">
            <v>Màng Arkuda</v>
          </cell>
          <cell r="E509">
            <v>4</v>
          </cell>
          <cell r="F509">
            <v>4</v>
          </cell>
          <cell r="AO509" t="str">
            <v>Công ty TH Việt</v>
          </cell>
          <cell r="AP509">
            <v>0</v>
          </cell>
          <cell r="AQ509" t="str">
            <v>20041008-1</v>
          </cell>
          <cell r="AR509" t="str">
            <v>20041008-2</v>
          </cell>
          <cell r="AS509" t="str">
            <v>20041008-3</v>
          </cell>
          <cell r="AT509" t="str">
            <v>20041008-4</v>
          </cell>
          <cell r="BA509" t="str">
            <v>440x1350</v>
          </cell>
          <cell r="BC509">
            <v>0</v>
          </cell>
        </row>
        <row r="510">
          <cell r="A510" t="str">
            <v>sp 1190</v>
          </cell>
          <cell r="B510" t="str">
            <v>Túi TRADIN Extra 2 vỉ 10 viên</v>
          </cell>
          <cell r="E510">
            <v>2</v>
          </cell>
          <cell r="F510">
            <v>2</v>
          </cell>
          <cell r="AO510" t="str">
            <v>Công ty công nghệ cao Traphaco</v>
          </cell>
          <cell r="AP510">
            <v>0</v>
          </cell>
          <cell r="AQ510" t="str">
            <v>20050185-1</v>
          </cell>
          <cell r="AR510" t="str">
            <v>20050185-2</v>
          </cell>
          <cell r="AS510">
            <v>0</v>
          </cell>
          <cell r="AT510">
            <v>0</v>
          </cell>
          <cell r="BA510" t="str">
            <v>450x870</v>
          </cell>
          <cell r="BB510" t="str">
            <v>S1</v>
          </cell>
          <cell r="BC510">
            <v>0</v>
          </cell>
        </row>
        <row r="511">
          <cell r="A511" t="str">
            <v>sp 1191</v>
          </cell>
          <cell r="B511" t="str">
            <v xml:space="preserve">Cuộn màng PE đen trắng in không ghép chữ BVN nhôm Việt Nhật VT63 vip TH Việt </v>
          </cell>
          <cell r="E511">
            <v>1</v>
          </cell>
          <cell r="F511">
            <v>1</v>
          </cell>
          <cell r="AO511" t="str">
            <v>Công ty TH Việt</v>
          </cell>
          <cell r="AP511">
            <v>0</v>
          </cell>
          <cell r="AQ511" t="str">
            <v>20050254-1</v>
          </cell>
          <cell r="AR511">
            <v>0</v>
          </cell>
          <cell r="AS511">
            <v>0</v>
          </cell>
          <cell r="AT511">
            <v>0</v>
          </cell>
          <cell r="BA511" t="str">
            <v>450x1300</v>
          </cell>
          <cell r="BB511" t="str">
            <v>S1</v>
          </cell>
          <cell r="BC511">
            <v>0</v>
          </cell>
        </row>
        <row r="512">
          <cell r="A512" t="str">
            <v>sp 1192</v>
          </cell>
          <cell r="B512" t="str">
            <v>Túi PA in hình con gà đỏ 300x450</v>
          </cell>
          <cell r="E512">
            <v>1</v>
          </cell>
          <cell r="F512">
            <v>1</v>
          </cell>
          <cell r="AO512" t="str">
            <v>Công ty Bao Bì Việt</v>
          </cell>
          <cell r="AP512">
            <v>0</v>
          </cell>
          <cell r="AQ512" t="str">
            <v>20050352-1</v>
          </cell>
          <cell r="AR512">
            <v>0</v>
          </cell>
          <cell r="AS512">
            <v>0</v>
          </cell>
          <cell r="AT512">
            <v>0</v>
          </cell>
          <cell r="BA512" t="str">
            <v>450x870</v>
          </cell>
          <cell r="BB512" t="str">
            <v>S1</v>
          </cell>
          <cell r="BC512">
            <v>0</v>
          </cell>
        </row>
        <row r="513">
          <cell r="A513" t="str">
            <v>sp 1193</v>
          </cell>
          <cell r="B513" t="str">
            <v>Túi bánh trứng chà bông không in karo 26gr x 24 RICHY</v>
          </cell>
          <cell r="E513">
            <v>0</v>
          </cell>
          <cell r="F513">
            <v>0</v>
          </cell>
          <cell r="AO513" t="str">
            <v>Công ty RICHY MB</v>
          </cell>
          <cell r="AP513">
            <v>0</v>
          </cell>
          <cell r="AQ513">
            <v>0</v>
          </cell>
          <cell r="AR513">
            <v>0</v>
          </cell>
          <cell r="AS513">
            <v>0</v>
          </cell>
          <cell r="AT513">
            <v>0</v>
          </cell>
          <cell r="BA513">
            <v>0</v>
          </cell>
          <cell r="BB513" t="str">
            <v>S1</v>
          </cell>
          <cell r="BC513">
            <v>0</v>
          </cell>
        </row>
        <row r="514">
          <cell r="A514" t="str">
            <v>sp 1194</v>
          </cell>
          <cell r="B514" t="str">
            <v>Cuộn màng bánh HCT Cookies-Hoàng Chiến Thắng</v>
          </cell>
          <cell r="E514">
            <v>3</v>
          </cell>
          <cell r="F514">
            <v>3</v>
          </cell>
          <cell r="AO514" t="str">
            <v>Công ty HCT</v>
          </cell>
          <cell r="AP514">
            <v>0</v>
          </cell>
          <cell r="AQ514" t="str">
            <v>X108968-1</v>
          </cell>
          <cell r="AR514" t="str">
            <v>X108968-2</v>
          </cell>
          <cell r="AS514" t="str">
            <v>X108968-3</v>
          </cell>
          <cell r="AT514">
            <v>0</v>
          </cell>
          <cell r="BA514" t="str">
            <v>870x475</v>
          </cell>
          <cell r="BB514" t="str">
            <v>S1</v>
          </cell>
          <cell r="BC514">
            <v>0</v>
          </cell>
        </row>
        <row r="515">
          <cell r="A515" t="str">
            <v>sp 1195</v>
          </cell>
          <cell r="B515" t="str">
            <v>Cuộn bánh kẹp kem xoài Mango Diamond Food</v>
          </cell>
          <cell r="E515">
            <v>6</v>
          </cell>
          <cell r="F515">
            <v>6</v>
          </cell>
          <cell r="AO515" t="str">
            <v>Công ty Diamond Food</v>
          </cell>
          <cell r="AP515">
            <v>0</v>
          </cell>
          <cell r="AQ515" t="str">
            <v>F126122-1</v>
          </cell>
          <cell r="AR515" t="str">
            <v>F126122-2</v>
          </cell>
          <cell r="AS515" t="str">
            <v>F126122-3</v>
          </cell>
          <cell r="AT515" t="str">
            <v>F126122-4</v>
          </cell>
          <cell r="AU515" t="str">
            <v>F126122-5</v>
          </cell>
          <cell r="AV515" t="str">
            <v>F126122-6</v>
          </cell>
          <cell r="BA515" t="str">
            <v>780x410</v>
          </cell>
          <cell r="BB515" t="str">
            <v>S1</v>
          </cell>
          <cell r="BC515">
            <v>0</v>
          </cell>
        </row>
        <row r="516">
          <cell r="A516" t="str">
            <v>sp 1196</v>
          </cell>
          <cell r="B516" t="str">
            <v>Túi hương trầm Liên Đức hương thơm đậu tàn</v>
          </cell>
          <cell r="E516">
            <v>6</v>
          </cell>
          <cell r="F516">
            <v>6</v>
          </cell>
          <cell r="AO516" t="str">
            <v>Công ty hương Bảy Lương</v>
          </cell>
          <cell r="AP516">
            <v>0</v>
          </cell>
          <cell r="AQ516" t="str">
            <v>20051246-1</v>
          </cell>
          <cell r="AR516" t="str">
            <v>20051246-2</v>
          </cell>
          <cell r="AS516" t="str">
            <v>20051246-3</v>
          </cell>
          <cell r="AT516" t="str">
            <v>20051246-4</v>
          </cell>
          <cell r="AU516" t="str">
            <v>20051246-5</v>
          </cell>
          <cell r="AV516" t="str">
            <v>20051246-6</v>
          </cell>
          <cell r="BA516" t="str">
            <v>465x870</v>
          </cell>
          <cell r="BB516" t="str">
            <v>S1</v>
          </cell>
          <cell r="BC516">
            <v>0</v>
          </cell>
        </row>
        <row r="517">
          <cell r="A517" t="str">
            <v>sp 1197</v>
          </cell>
          <cell r="B517">
            <v>0</v>
          </cell>
          <cell r="E517">
            <v>0</v>
          </cell>
          <cell r="F517">
            <v>0</v>
          </cell>
          <cell r="AO517">
            <v>0</v>
          </cell>
          <cell r="AP517">
            <v>0</v>
          </cell>
          <cell r="AQ517">
            <v>0</v>
          </cell>
          <cell r="AR517">
            <v>0</v>
          </cell>
          <cell r="AS517">
            <v>0</v>
          </cell>
          <cell r="AT517">
            <v>0</v>
          </cell>
          <cell r="BA517">
            <v>0</v>
          </cell>
          <cell r="BC517">
            <v>0</v>
          </cell>
        </row>
        <row r="518">
          <cell r="A518" t="str">
            <v>sp 1198</v>
          </cell>
          <cell r="B518" t="str">
            <v>Bột giặt O'well 4,1kg Hải Phong</v>
          </cell>
          <cell r="E518">
            <v>7</v>
          </cell>
          <cell r="F518">
            <v>7</v>
          </cell>
          <cell r="AO518" t="str">
            <v>Công ty Hải Phong</v>
          </cell>
          <cell r="AP518">
            <v>0</v>
          </cell>
          <cell r="AQ518" t="str">
            <v>1809279-1</v>
          </cell>
          <cell r="AR518" t="str">
            <v>20051157-2</v>
          </cell>
          <cell r="AS518" t="str">
            <v>1809279-3</v>
          </cell>
          <cell r="AT518" t="str">
            <v>1809279-4</v>
          </cell>
          <cell r="AU518" t="str">
            <v>1809279-5</v>
          </cell>
          <cell r="AV518" t="str">
            <v>1809279-6</v>
          </cell>
          <cell r="AW518" t="str">
            <v>1809279-7</v>
          </cell>
          <cell r="BA518" t="str">
            <v>480x810</v>
          </cell>
          <cell r="BB518" t="str">
            <v>S1</v>
          </cell>
          <cell r="BC518">
            <v>0</v>
          </cell>
        </row>
        <row r="519">
          <cell r="A519" t="str">
            <v>sp 1199</v>
          </cell>
          <cell r="B519">
            <v>0</v>
          </cell>
          <cell r="E519">
            <v>0</v>
          </cell>
          <cell r="F519">
            <v>0</v>
          </cell>
          <cell r="AO519">
            <v>0</v>
          </cell>
          <cell r="AP519">
            <v>0</v>
          </cell>
          <cell r="AQ519">
            <v>0</v>
          </cell>
          <cell r="AR519">
            <v>0</v>
          </cell>
          <cell r="AS519">
            <v>0</v>
          </cell>
          <cell r="AT519">
            <v>0</v>
          </cell>
          <cell r="AU519">
            <v>0</v>
          </cell>
          <cell r="AV519">
            <v>0</v>
          </cell>
          <cell r="AW519">
            <v>0</v>
          </cell>
          <cell r="BA519">
            <v>0</v>
          </cell>
          <cell r="BC519">
            <v>0</v>
          </cell>
        </row>
        <row r="520">
          <cell r="A520" t="str">
            <v>sp 1200</v>
          </cell>
          <cell r="B520">
            <v>0</v>
          </cell>
          <cell r="E520">
            <v>0</v>
          </cell>
          <cell r="F520">
            <v>0</v>
          </cell>
          <cell r="AO520">
            <v>0</v>
          </cell>
          <cell r="AP520">
            <v>0</v>
          </cell>
          <cell r="AQ520">
            <v>0</v>
          </cell>
          <cell r="AR520">
            <v>0</v>
          </cell>
          <cell r="AS520">
            <v>0</v>
          </cell>
          <cell r="AT520">
            <v>0</v>
          </cell>
          <cell r="AU520">
            <v>0</v>
          </cell>
          <cell r="AV520">
            <v>0</v>
          </cell>
          <cell r="AW520">
            <v>0</v>
          </cell>
          <cell r="BA520">
            <v>0</v>
          </cell>
          <cell r="BC520">
            <v>0</v>
          </cell>
        </row>
        <row r="521">
          <cell r="A521" t="str">
            <v>sp 1201</v>
          </cell>
          <cell r="B521" t="str">
            <v>Túi nhôm ANDIABET 5 vỉ x 10 viên nang cứng Traphaco</v>
          </cell>
          <cell r="E521">
            <v>2</v>
          </cell>
          <cell r="F521">
            <v>2</v>
          </cell>
          <cell r="AO521" t="str">
            <v>Công ty Traphaco</v>
          </cell>
          <cell r="AP521">
            <v>0</v>
          </cell>
          <cell r="AQ521" t="str">
            <v>20051349-1</v>
          </cell>
          <cell r="AR521" t="str">
            <v>20051349-2</v>
          </cell>
          <cell r="AS521">
            <v>0</v>
          </cell>
          <cell r="AT521">
            <v>0</v>
          </cell>
          <cell r="AU521">
            <v>0</v>
          </cell>
          <cell r="AV521">
            <v>0</v>
          </cell>
          <cell r="AW521">
            <v>0</v>
          </cell>
          <cell r="BA521" t="str">
            <v>540x870</v>
          </cell>
          <cell r="BB521" t="str">
            <v>S1</v>
          </cell>
          <cell r="BC521">
            <v>0</v>
          </cell>
        </row>
        <row r="522">
          <cell r="A522" t="str">
            <v>sp 1202</v>
          </cell>
          <cell r="B522" t="str">
            <v>Túi nhôm Lubrex Gold 6 vỉ x 10 viên nang cứng Traphaco</v>
          </cell>
          <cell r="E522">
            <v>2</v>
          </cell>
          <cell r="F522">
            <v>2</v>
          </cell>
          <cell r="AO522" t="str">
            <v>Công ty Traphaco</v>
          </cell>
          <cell r="AP522">
            <v>0</v>
          </cell>
          <cell r="AQ522" t="str">
            <v>20051371-1</v>
          </cell>
          <cell r="AR522" t="str">
            <v>20051371-2</v>
          </cell>
          <cell r="AS522">
            <v>0</v>
          </cell>
          <cell r="AT522">
            <v>0</v>
          </cell>
          <cell r="AU522">
            <v>0</v>
          </cell>
          <cell r="AV522">
            <v>0</v>
          </cell>
          <cell r="AW522">
            <v>0</v>
          </cell>
          <cell r="BA522" t="str">
            <v>594x870</v>
          </cell>
          <cell r="BB522" t="str">
            <v>S1</v>
          </cell>
          <cell r="BC522">
            <v>0</v>
          </cell>
        </row>
        <row r="523">
          <cell r="A523" t="str">
            <v>sp 1203</v>
          </cell>
          <cell r="B523" t="str">
            <v>Túi nhôm Boganic Forte 10 vỉ x 10 viên nang mềm Traphaco</v>
          </cell>
          <cell r="E523">
            <v>2</v>
          </cell>
          <cell r="F523">
            <v>2</v>
          </cell>
          <cell r="AO523" t="str">
            <v>Công ty Traphaco</v>
          </cell>
          <cell r="AP523">
            <v>0</v>
          </cell>
          <cell r="AQ523" t="str">
            <v>20051370-1</v>
          </cell>
          <cell r="AR523" t="str">
            <v>20051370-2</v>
          </cell>
          <cell r="AS523">
            <v>0</v>
          </cell>
          <cell r="AT523">
            <v>0</v>
          </cell>
          <cell r="AU523">
            <v>0</v>
          </cell>
          <cell r="AV523">
            <v>0</v>
          </cell>
          <cell r="AW523">
            <v>0</v>
          </cell>
          <cell r="BA523" t="str">
            <v>440x1100</v>
          </cell>
          <cell r="BB523" t="str">
            <v>S1</v>
          </cell>
          <cell r="BC523">
            <v>0</v>
          </cell>
        </row>
        <row r="524">
          <cell r="A524" t="str">
            <v>sp 1204</v>
          </cell>
          <cell r="B524" t="str">
            <v>Cuộn thuốc thú y T.Colivit in 4 màu 100g khổ 280 Năm Thái</v>
          </cell>
          <cell r="E524">
            <v>4</v>
          </cell>
          <cell r="F524">
            <v>4</v>
          </cell>
          <cell r="AO524" t="str">
            <v>Công ty Năm Thái</v>
          </cell>
          <cell r="AP524">
            <v>0</v>
          </cell>
          <cell r="AQ524" t="str">
            <v>20060514-1</v>
          </cell>
          <cell r="AR524" t="str">
            <v>20060514-2</v>
          </cell>
          <cell r="AS524" t="str">
            <v>20060514-3</v>
          </cell>
          <cell r="AT524" t="str">
            <v>20060514-4</v>
          </cell>
          <cell r="AU524">
            <v>0</v>
          </cell>
          <cell r="AV524">
            <v>0</v>
          </cell>
          <cell r="AW524">
            <v>0</v>
          </cell>
          <cell r="BA524" t="str">
            <v>570x1100</v>
          </cell>
          <cell r="BB524" t="str">
            <v>S1</v>
          </cell>
          <cell r="BC524">
            <v>0</v>
          </cell>
        </row>
        <row r="525">
          <cell r="A525" t="str">
            <v>sp 1205</v>
          </cell>
          <cell r="B525">
            <v>0</v>
          </cell>
          <cell r="E525">
            <v>0</v>
          </cell>
          <cell r="F525">
            <v>0</v>
          </cell>
          <cell r="AO525">
            <v>0</v>
          </cell>
          <cell r="AP525">
            <v>0</v>
          </cell>
          <cell r="AQ525">
            <v>0</v>
          </cell>
          <cell r="AR525">
            <v>0</v>
          </cell>
          <cell r="AS525">
            <v>0</v>
          </cell>
          <cell r="AT525">
            <v>0</v>
          </cell>
          <cell r="AU525">
            <v>0</v>
          </cell>
          <cell r="AV525">
            <v>0</v>
          </cell>
          <cell r="AW525">
            <v>0</v>
          </cell>
          <cell r="BA525">
            <v>0</v>
          </cell>
          <cell r="BC525">
            <v>0</v>
          </cell>
        </row>
        <row r="526">
          <cell r="A526" t="str">
            <v>sp 1206</v>
          </cell>
          <cell r="B526" t="str">
            <v>Túi nhôm sáng mắt 3 vỉ x 10 viên nang mềm Traphaco</v>
          </cell>
          <cell r="E526">
            <v>2</v>
          </cell>
          <cell r="F526">
            <v>2</v>
          </cell>
          <cell r="AO526" t="str">
            <v>Công ty Traphaco</v>
          </cell>
          <cell r="AP526">
            <v>0</v>
          </cell>
          <cell r="AQ526" t="str">
            <v>20060182-1</v>
          </cell>
          <cell r="AR526" t="str">
            <v>20060182-2</v>
          </cell>
          <cell r="AS526">
            <v>0</v>
          </cell>
          <cell r="AT526">
            <v>0</v>
          </cell>
          <cell r="AU526">
            <v>0</v>
          </cell>
          <cell r="AV526">
            <v>0</v>
          </cell>
          <cell r="AW526">
            <v>0</v>
          </cell>
          <cell r="BA526" t="str">
            <v>570x870</v>
          </cell>
          <cell r="BB526" t="str">
            <v>S1</v>
          </cell>
          <cell r="BC526">
            <v>0</v>
          </cell>
        </row>
        <row r="527">
          <cell r="A527" t="str">
            <v>sp 1207</v>
          </cell>
          <cell r="B527">
            <v>0</v>
          </cell>
          <cell r="E527">
            <v>0</v>
          </cell>
          <cell r="F527">
            <v>0</v>
          </cell>
          <cell r="AO527">
            <v>0</v>
          </cell>
          <cell r="AP527">
            <v>0</v>
          </cell>
          <cell r="AQ527">
            <v>0</v>
          </cell>
          <cell r="AR527">
            <v>0</v>
          </cell>
          <cell r="AS527">
            <v>0</v>
          </cell>
          <cell r="AT527">
            <v>0</v>
          </cell>
          <cell r="AU527">
            <v>0</v>
          </cell>
          <cell r="AV527">
            <v>0</v>
          </cell>
          <cell r="AW527">
            <v>0</v>
          </cell>
          <cell r="BA527">
            <v>0</v>
          </cell>
          <cell r="BC527">
            <v>0</v>
          </cell>
        </row>
        <row r="528">
          <cell r="A528" t="str">
            <v>sp 1208</v>
          </cell>
          <cell r="B528" t="str">
            <v>Túi bánh gạo lứt HCT 180gr</v>
          </cell>
          <cell r="E528">
            <v>4</v>
          </cell>
          <cell r="F528">
            <v>4</v>
          </cell>
          <cell r="AO528" t="str">
            <v>Công ty HCT</v>
          </cell>
          <cell r="AP528">
            <v>0</v>
          </cell>
          <cell r="AQ528" t="str">
            <v>X109140-1</v>
          </cell>
          <cell r="AR528" t="str">
            <v>X109140-2</v>
          </cell>
          <cell r="AS528" t="str">
            <v>X109140-3</v>
          </cell>
          <cell r="AT528" t="str">
            <v>X109140-4</v>
          </cell>
          <cell r="AU528">
            <v>0</v>
          </cell>
          <cell r="AV528">
            <v>0</v>
          </cell>
          <cell r="AW528">
            <v>0</v>
          </cell>
          <cell r="BA528" t="str">
            <v>1100x520</v>
          </cell>
          <cell r="BB528" t="str">
            <v>S2</v>
          </cell>
          <cell r="BC528">
            <v>0</v>
          </cell>
        </row>
        <row r="529">
          <cell r="A529" t="str">
            <v>sp 1209</v>
          </cell>
          <cell r="B529" t="str">
            <v>Túi thuốc thú y 1kg Nasavet</v>
          </cell>
          <cell r="E529">
            <v>1</v>
          </cell>
          <cell r="F529">
            <v>1</v>
          </cell>
          <cell r="AO529" t="str">
            <v>Công ty Nasavet</v>
          </cell>
          <cell r="AP529">
            <v>0</v>
          </cell>
          <cell r="AQ529" t="str">
            <v>20060348-1</v>
          </cell>
          <cell r="AR529">
            <v>0</v>
          </cell>
          <cell r="AS529">
            <v>0</v>
          </cell>
          <cell r="AT529">
            <v>0</v>
          </cell>
          <cell r="AU529">
            <v>0</v>
          </cell>
          <cell r="AV529">
            <v>0</v>
          </cell>
          <cell r="AW529">
            <v>0</v>
          </cell>
          <cell r="BA529" t="str">
            <v>480x870</v>
          </cell>
          <cell r="BB529" t="str">
            <v>S2</v>
          </cell>
          <cell r="BC529">
            <v>0</v>
          </cell>
        </row>
        <row r="530">
          <cell r="A530" t="str">
            <v>sp 1210</v>
          </cell>
          <cell r="B530" t="str">
            <v>Cuộn bánh Snack Ocean fish - vị cà chua 25gr Libra</v>
          </cell>
          <cell r="E530">
            <v>1</v>
          </cell>
          <cell r="F530">
            <v>8</v>
          </cell>
          <cell r="AO530" t="str">
            <v>Công ty Libra</v>
          </cell>
          <cell r="AP530">
            <v>0</v>
          </cell>
          <cell r="AQ530" t="str">
            <v>F125535-1</v>
          </cell>
          <cell r="AR530" t="str">
            <v>F126128-2</v>
          </cell>
          <cell r="AS530" t="str">
            <v>F125535-3</v>
          </cell>
          <cell r="AT530" t="str">
            <v>F125535-4</v>
          </cell>
          <cell r="AU530" t="str">
            <v>F125535-5</v>
          </cell>
          <cell r="AV530" t="str">
            <v>F125535-6</v>
          </cell>
          <cell r="AW530" t="str">
            <v>F125535-7</v>
          </cell>
          <cell r="AX530" t="str">
            <v>F125535-8</v>
          </cell>
          <cell r="BA530" t="str">
            <v>432x870</v>
          </cell>
          <cell r="BB530" t="str">
            <v>S2</v>
          </cell>
          <cell r="BC530" t="str">
            <v>Chạy chung sp 1158 trừ cây số 2</v>
          </cell>
        </row>
        <row r="531">
          <cell r="A531" t="str">
            <v>sp 1211</v>
          </cell>
          <cell r="B531" t="str">
            <v>Túi bánh gạo nhật NAKKI vị ngọt dịu hương cốm 200gr</v>
          </cell>
          <cell r="E531">
            <v>7</v>
          </cell>
          <cell r="F531">
            <v>7</v>
          </cell>
          <cell r="AO531" t="str">
            <v>Công ty Okifood</v>
          </cell>
          <cell r="AP531">
            <v>0</v>
          </cell>
          <cell r="AQ531" t="str">
            <v>X109172-1</v>
          </cell>
          <cell r="AR531" t="str">
            <v>X109172-2</v>
          </cell>
          <cell r="AS531" t="str">
            <v>X109172-3</v>
          </cell>
          <cell r="AT531" t="str">
            <v>X109172-4</v>
          </cell>
          <cell r="AU531" t="str">
            <v>X109172-5</v>
          </cell>
          <cell r="AV531" t="str">
            <v>X109172-6</v>
          </cell>
          <cell r="AW531" t="str">
            <v>X109172-7</v>
          </cell>
          <cell r="AX531">
            <v>0</v>
          </cell>
          <cell r="BA531" t="str">
            <v>870x600</v>
          </cell>
          <cell r="BB531" t="str">
            <v>S2</v>
          </cell>
          <cell r="BC531">
            <v>0</v>
          </cell>
        </row>
        <row r="532">
          <cell r="A532" t="str">
            <v>sp 1212</v>
          </cell>
          <cell r="B532" t="str">
            <v xml:space="preserve">Cuộn bánh gạo nhật NAKKI hương cốm vị ngọt dịu </v>
          </cell>
          <cell r="E532">
            <v>4</v>
          </cell>
          <cell r="F532">
            <v>4</v>
          </cell>
          <cell r="AO532" t="str">
            <v>Công ty Okifood</v>
          </cell>
          <cell r="AP532">
            <v>0</v>
          </cell>
          <cell r="AQ532" t="str">
            <v>F126299-1</v>
          </cell>
          <cell r="AR532" t="str">
            <v>F126299-2</v>
          </cell>
          <cell r="AS532" t="str">
            <v>F126299-3</v>
          </cell>
          <cell r="AT532" t="str">
            <v>F126299-4</v>
          </cell>
          <cell r="AU532">
            <v>0</v>
          </cell>
          <cell r="AV532">
            <v>0</v>
          </cell>
          <cell r="AW532">
            <v>0</v>
          </cell>
          <cell r="AX532">
            <v>0</v>
          </cell>
          <cell r="BA532" t="str">
            <v>1200x460</v>
          </cell>
          <cell r="BB532" t="str">
            <v>S2</v>
          </cell>
          <cell r="BC532">
            <v>0</v>
          </cell>
        </row>
        <row r="533">
          <cell r="A533" t="str">
            <v>sp 1213</v>
          </cell>
          <cell r="B533" t="str">
            <v>Cuộn bánh gjao nhật NAKKI vị mặn hương vị bò cũ</v>
          </cell>
          <cell r="E533">
            <v>5</v>
          </cell>
          <cell r="F533">
            <v>5</v>
          </cell>
          <cell r="AO533" t="str">
            <v>Công ty Okifood</v>
          </cell>
          <cell r="AP533">
            <v>0</v>
          </cell>
          <cell r="AQ533" t="str">
            <v>X109188-1</v>
          </cell>
          <cell r="AR533" t="str">
            <v>X109188-2</v>
          </cell>
          <cell r="AS533" t="str">
            <v>X109188-3</v>
          </cell>
          <cell r="AT533" t="str">
            <v>X109188-4</v>
          </cell>
          <cell r="AU533" t="str">
            <v>X109188-5</v>
          </cell>
          <cell r="AV533">
            <v>0</v>
          </cell>
          <cell r="AW533">
            <v>0</v>
          </cell>
          <cell r="AX533">
            <v>0</v>
          </cell>
          <cell r="BA533" t="str">
            <v>1200x468</v>
          </cell>
          <cell r="BB533" t="str">
            <v>S2</v>
          </cell>
          <cell r="BC533">
            <v>0</v>
          </cell>
        </row>
        <row r="534">
          <cell r="A534" t="str">
            <v>sp 1214</v>
          </cell>
          <cell r="B534" t="str">
            <v>Túi bánh gạo nhật NAKKI màu vàng hương vị bò loại mặn( cũ) 150gr</v>
          </cell>
          <cell r="E534">
            <v>7</v>
          </cell>
          <cell r="F534">
            <v>7</v>
          </cell>
          <cell r="AO534" t="str">
            <v>Công ty Okifood</v>
          </cell>
          <cell r="AP534">
            <v>0</v>
          </cell>
          <cell r="AQ534" t="str">
            <v>X109189-1</v>
          </cell>
          <cell r="AR534" t="str">
            <v>X109189-2</v>
          </cell>
          <cell r="AS534" t="str">
            <v>X109189-3</v>
          </cell>
          <cell r="AT534" t="str">
            <v>X109189-4</v>
          </cell>
          <cell r="AU534" t="str">
            <v>X109189-5</v>
          </cell>
          <cell r="AV534" t="str">
            <v>X109189-6</v>
          </cell>
          <cell r="AW534" t="str">
            <v>X109189-7</v>
          </cell>
          <cell r="AX534">
            <v>0</v>
          </cell>
          <cell r="BA534" t="str">
            <v>1100x680</v>
          </cell>
          <cell r="BB534" t="str">
            <v>S2</v>
          </cell>
          <cell r="BC534">
            <v>0</v>
          </cell>
        </row>
        <row r="535">
          <cell r="A535" t="str">
            <v>sp 1215</v>
          </cell>
          <cell r="B535" t="str">
            <v>Cuộn thuốc thú y in 1 màu trắng 100gr khổ 250 Năm Thái</v>
          </cell>
          <cell r="E535">
            <v>1</v>
          </cell>
          <cell r="F535">
            <v>1</v>
          </cell>
          <cell r="AO535" t="str">
            <v>Công ty Năm Thái</v>
          </cell>
          <cell r="AP535">
            <v>0</v>
          </cell>
          <cell r="AQ535">
            <v>0</v>
          </cell>
          <cell r="AR535">
            <v>0</v>
          </cell>
          <cell r="AS535">
            <v>0</v>
          </cell>
          <cell r="AT535">
            <v>0</v>
          </cell>
          <cell r="AU535">
            <v>0</v>
          </cell>
          <cell r="AV535">
            <v>0</v>
          </cell>
          <cell r="AW535" t="str">
            <v>1507601-7</v>
          </cell>
          <cell r="AX535">
            <v>0</v>
          </cell>
          <cell r="BA535" t="str">
            <v>480x850</v>
          </cell>
          <cell r="BB535" t="str">
            <v>N2</v>
          </cell>
          <cell r="BC535" t="str">
            <v>in chung cây trắng sp 367</v>
          </cell>
        </row>
        <row r="536">
          <cell r="A536" t="str">
            <v>sp 1216</v>
          </cell>
          <cell r="B536" t="str">
            <v>Cuộn thuốc thú y Winvet 100g Bắc Việt</v>
          </cell>
          <cell r="E536">
            <v>3</v>
          </cell>
          <cell r="F536">
            <v>3</v>
          </cell>
          <cell r="AO536" t="str">
            <v>Công ty Bắc Việt</v>
          </cell>
          <cell r="AP536">
            <v>0</v>
          </cell>
          <cell r="AQ536" t="str">
            <v>20060667-1</v>
          </cell>
          <cell r="AR536" t="str">
            <v>20060667-2</v>
          </cell>
          <cell r="AS536" t="str">
            <v>20060667-3</v>
          </cell>
          <cell r="AT536">
            <v>0</v>
          </cell>
          <cell r="AU536">
            <v>0</v>
          </cell>
          <cell r="AV536">
            <v>0</v>
          </cell>
          <cell r="AW536">
            <v>0</v>
          </cell>
          <cell r="AX536">
            <v>0</v>
          </cell>
          <cell r="BA536" t="str">
            <v>540x870</v>
          </cell>
          <cell r="BB536" t="str">
            <v>S2</v>
          </cell>
          <cell r="BC536">
            <v>0</v>
          </cell>
        </row>
        <row r="537">
          <cell r="A537" t="str">
            <v>sp 1217</v>
          </cell>
          <cell r="B537" t="str">
            <v>Túi thuốc thú y Winvet 1kg Bắc Việt</v>
          </cell>
          <cell r="E537">
            <v>3</v>
          </cell>
          <cell r="F537">
            <v>3</v>
          </cell>
          <cell r="AO537" t="str">
            <v>Công ty Bắc Việt</v>
          </cell>
          <cell r="AP537">
            <v>0</v>
          </cell>
          <cell r="AQ537" t="str">
            <v>20060666-1</v>
          </cell>
          <cell r="AR537" t="str">
            <v>20060666-2</v>
          </cell>
          <cell r="AS537" t="str">
            <v>20060666-3</v>
          </cell>
          <cell r="AT537">
            <v>0</v>
          </cell>
          <cell r="AU537">
            <v>0</v>
          </cell>
          <cell r="AV537">
            <v>0</v>
          </cell>
          <cell r="AW537">
            <v>0</v>
          </cell>
          <cell r="AX537">
            <v>0</v>
          </cell>
          <cell r="BA537" t="str">
            <v>480x870</v>
          </cell>
          <cell r="BB537" t="str">
            <v>S2</v>
          </cell>
          <cell r="BC537">
            <v>0</v>
          </cell>
        </row>
        <row r="538">
          <cell r="A538" t="str">
            <v>sp 1218</v>
          </cell>
          <cell r="B538" t="str">
            <v>Cuộn hạt giống cải bẹ mào gà 09 chọn lọc và cải xanh lùn thanh giang Việt Nhật</v>
          </cell>
          <cell r="E538">
            <v>7</v>
          </cell>
          <cell r="F538">
            <v>7</v>
          </cell>
          <cell r="AO538" t="str">
            <v>Công ty Việt Nhật</v>
          </cell>
          <cell r="AP538">
            <v>0</v>
          </cell>
          <cell r="AQ538" t="str">
            <v>20060705-1</v>
          </cell>
          <cell r="AR538" t="str">
            <v>20060705-2</v>
          </cell>
          <cell r="AS538" t="str">
            <v>20060705-3</v>
          </cell>
          <cell r="AT538" t="str">
            <v>20060705-4</v>
          </cell>
          <cell r="AU538" t="str">
            <v>20060705-5</v>
          </cell>
          <cell r="AV538" t="str">
            <v>20060705-6</v>
          </cell>
          <cell r="AW538" t="str">
            <v>20060705-7</v>
          </cell>
          <cell r="AX538">
            <v>0</v>
          </cell>
          <cell r="BA538" t="str">
            <v>540x870</v>
          </cell>
          <cell r="BB538" t="str">
            <v>S2</v>
          </cell>
          <cell r="BC538">
            <v>0</v>
          </cell>
        </row>
        <row r="539">
          <cell r="A539" t="str">
            <v>sp 1219</v>
          </cell>
          <cell r="B539" t="str">
            <v>Túi đựng vỉ thuốc Nhân Hưng kt 58x150x28</v>
          </cell>
          <cell r="E539">
            <v>2</v>
          </cell>
          <cell r="F539">
            <v>2</v>
          </cell>
          <cell r="AO539" t="str">
            <v>Công ty Cát Hưng</v>
          </cell>
          <cell r="AP539">
            <v>0</v>
          </cell>
          <cell r="AQ539" t="str">
            <v>X109176-1</v>
          </cell>
          <cell r="AR539" t="str">
            <v>X109176-2</v>
          </cell>
          <cell r="AS539">
            <v>0</v>
          </cell>
          <cell r="AT539">
            <v>0</v>
          </cell>
          <cell r="AU539">
            <v>0</v>
          </cell>
          <cell r="AV539">
            <v>0</v>
          </cell>
          <cell r="AW539">
            <v>0</v>
          </cell>
          <cell r="AX539">
            <v>0</v>
          </cell>
          <cell r="BA539" t="str">
            <v>870x450</v>
          </cell>
          <cell r="BB539" t="str">
            <v>S2</v>
          </cell>
          <cell r="BC539">
            <v>0</v>
          </cell>
        </row>
        <row r="540">
          <cell r="A540" t="str">
            <v>sp 1220</v>
          </cell>
          <cell r="B540" t="str">
            <v>Cuộn kem sữa tươi vị cam 40gr Love Milk</v>
          </cell>
          <cell r="E540">
            <v>6</v>
          </cell>
          <cell r="F540">
            <v>6</v>
          </cell>
          <cell r="AO540" t="str">
            <v>Công ty Okifood</v>
          </cell>
          <cell r="AP540">
            <v>0</v>
          </cell>
          <cell r="AQ540" t="str">
            <v>X109178-1</v>
          </cell>
          <cell r="AR540" t="str">
            <v>X109178-2</v>
          </cell>
          <cell r="AS540" t="str">
            <v>X109178-3</v>
          </cell>
          <cell r="AT540" t="str">
            <v>X109178-4</v>
          </cell>
          <cell r="AU540" t="str">
            <v>X109178-5</v>
          </cell>
          <cell r="AV540" t="str">
            <v>X109178-6</v>
          </cell>
          <cell r="AW540">
            <v>0</v>
          </cell>
          <cell r="AX540">
            <v>0</v>
          </cell>
          <cell r="BA540" t="str">
            <v>870x540</v>
          </cell>
          <cell r="BB540" t="str">
            <v>S2</v>
          </cell>
          <cell r="BC540">
            <v>0</v>
          </cell>
        </row>
        <row r="541">
          <cell r="A541" t="str">
            <v>sp 1221</v>
          </cell>
          <cell r="B541" t="str">
            <v>Cuộn kem sữa chua tươi vị sữa chua 40gr Love Milk</v>
          </cell>
          <cell r="E541">
            <v>1</v>
          </cell>
          <cell r="F541">
            <v>6</v>
          </cell>
          <cell r="AO541" t="str">
            <v>Công ty Okifood</v>
          </cell>
          <cell r="AP541">
            <v>0</v>
          </cell>
          <cell r="AQ541" t="str">
            <v>X109180-1</v>
          </cell>
          <cell r="AR541" t="str">
            <v>X109178-2</v>
          </cell>
          <cell r="AS541" t="str">
            <v>X109178-3</v>
          </cell>
          <cell r="AT541" t="str">
            <v>X109178-4</v>
          </cell>
          <cell r="AU541" t="str">
            <v>X109178-5</v>
          </cell>
          <cell r="AV541" t="str">
            <v>X109178-6</v>
          </cell>
          <cell r="AW541">
            <v>0</v>
          </cell>
          <cell r="AX541">
            <v>0</v>
          </cell>
          <cell r="BA541" t="str">
            <v>870x540</v>
          </cell>
          <cell r="BB541" t="str">
            <v>S2</v>
          </cell>
          <cell r="BC541">
            <v>0</v>
          </cell>
        </row>
        <row r="542">
          <cell r="A542" t="str">
            <v>sp 1222</v>
          </cell>
          <cell r="B542" t="str">
            <v>Cuộn kem sữa chua tươi vị dâu chua 40gr Love Milk</v>
          </cell>
          <cell r="E542">
            <v>1</v>
          </cell>
          <cell r="F542">
            <v>6</v>
          </cell>
          <cell r="AO542" t="str">
            <v>Công ty Okifood</v>
          </cell>
          <cell r="AP542">
            <v>0</v>
          </cell>
          <cell r="AQ542" t="str">
            <v>X109181-1</v>
          </cell>
          <cell r="AR542" t="str">
            <v>X109178-2</v>
          </cell>
          <cell r="AS542" t="str">
            <v>X109178-3</v>
          </cell>
          <cell r="AT542" t="str">
            <v>X109178-4</v>
          </cell>
          <cell r="AU542" t="str">
            <v>X109178-5</v>
          </cell>
          <cell r="AV542" t="str">
            <v>X109178-6</v>
          </cell>
          <cell r="AW542">
            <v>0</v>
          </cell>
          <cell r="AX542">
            <v>0</v>
          </cell>
          <cell r="BA542" t="str">
            <v>870x540</v>
          </cell>
          <cell r="BB542" t="str">
            <v>S2</v>
          </cell>
          <cell r="BC542">
            <v>0</v>
          </cell>
        </row>
        <row r="543">
          <cell r="A543" t="str">
            <v>sp 1223</v>
          </cell>
          <cell r="B543" t="str">
            <v>Túi thuốc thú y Coli 102 10g</v>
          </cell>
          <cell r="E543">
            <v>4</v>
          </cell>
          <cell r="F543">
            <v>4</v>
          </cell>
          <cell r="AO543" t="str">
            <v>Công ty Đức Hạnh</v>
          </cell>
          <cell r="AP543">
            <v>0</v>
          </cell>
          <cell r="AQ543" t="str">
            <v>20060828-1</v>
          </cell>
          <cell r="AR543" t="str">
            <v>20060828-2</v>
          </cell>
          <cell r="AS543" t="str">
            <v>20060828-3</v>
          </cell>
          <cell r="AT543" t="str">
            <v>20060828-4</v>
          </cell>
          <cell r="AU543">
            <v>0</v>
          </cell>
          <cell r="AV543">
            <v>0</v>
          </cell>
          <cell r="AW543">
            <v>0</v>
          </cell>
          <cell r="AX543">
            <v>0</v>
          </cell>
          <cell r="BA543" t="str">
            <v>500x870</v>
          </cell>
          <cell r="BB543" t="str">
            <v>S2</v>
          </cell>
          <cell r="BC543">
            <v>0</v>
          </cell>
        </row>
        <row r="544">
          <cell r="A544" t="str">
            <v>sp 1224</v>
          </cell>
          <cell r="B544">
            <v>0</v>
          </cell>
          <cell r="E544">
            <v>0</v>
          </cell>
          <cell r="F544">
            <v>0</v>
          </cell>
          <cell r="AO544">
            <v>0</v>
          </cell>
          <cell r="AP544">
            <v>0</v>
          </cell>
          <cell r="AQ544">
            <v>0</v>
          </cell>
          <cell r="AR544">
            <v>0</v>
          </cell>
          <cell r="AS544">
            <v>0</v>
          </cell>
          <cell r="AT544">
            <v>0</v>
          </cell>
          <cell r="AU544">
            <v>0</v>
          </cell>
          <cell r="AV544">
            <v>0</v>
          </cell>
          <cell r="AW544">
            <v>0</v>
          </cell>
          <cell r="AX544">
            <v>0</v>
          </cell>
          <cell r="BA544">
            <v>0</v>
          </cell>
          <cell r="BC544">
            <v>0</v>
          </cell>
        </row>
        <row r="545">
          <cell r="A545" t="str">
            <v>sp 1125</v>
          </cell>
          <cell r="B545">
            <v>0</v>
          </cell>
          <cell r="E545">
            <v>0</v>
          </cell>
          <cell r="F545">
            <v>0</v>
          </cell>
          <cell r="AO545">
            <v>0</v>
          </cell>
          <cell r="AP545">
            <v>0</v>
          </cell>
          <cell r="AQ545">
            <v>0</v>
          </cell>
          <cell r="AR545">
            <v>0</v>
          </cell>
          <cell r="AS545">
            <v>0</v>
          </cell>
          <cell r="AT545">
            <v>0</v>
          </cell>
          <cell r="AU545">
            <v>0</v>
          </cell>
          <cell r="AV545">
            <v>0</v>
          </cell>
          <cell r="AW545">
            <v>0</v>
          </cell>
          <cell r="AX545">
            <v>0</v>
          </cell>
          <cell r="BA545">
            <v>0</v>
          </cell>
          <cell r="BC545">
            <v>0</v>
          </cell>
        </row>
        <row r="546">
          <cell r="A546" t="str">
            <v>sp 1226</v>
          </cell>
          <cell r="B546" t="str">
            <v>Cuộn bánh Coffee Braka xuất khẩu Libra</v>
          </cell>
          <cell r="E546">
            <v>8</v>
          </cell>
          <cell r="F546">
            <v>8</v>
          </cell>
          <cell r="AO546" t="str">
            <v>Công ty Libra</v>
          </cell>
          <cell r="AP546">
            <v>0</v>
          </cell>
          <cell r="AQ546" t="str">
            <v>F812232-1</v>
          </cell>
          <cell r="AR546" t="str">
            <v>F812232-2</v>
          </cell>
          <cell r="AS546" t="str">
            <v>F812232-3</v>
          </cell>
          <cell r="AT546" t="str">
            <v>F812232-4</v>
          </cell>
          <cell r="AU546" t="str">
            <v>F812232-5</v>
          </cell>
          <cell r="AV546" t="str">
            <v>F812232-6</v>
          </cell>
          <cell r="AW546" t="str">
            <v>F812232-7</v>
          </cell>
          <cell r="AX546" t="str">
            <v>F812232-8</v>
          </cell>
          <cell r="BA546" t="str">
            <v>1100x438</v>
          </cell>
          <cell r="BB546" t="str">
            <v>S2</v>
          </cell>
          <cell r="BC546">
            <v>0</v>
          </cell>
        </row>
        <row r="547">
          <cell r="A547" t="str">
            <v>sp 1227</v>
          </cell>
          <cell r="B547" t="str">
            <v>Cuộn bánh Coffee Braka nội địa Libra</v>
          </cell>
          <cell r="E547">
            <v>1</v>
          </cell>
          <cell r="F547">
            <v>8</v>
          </cell>
          <cell r="AO547" t="str">
            <v>Công ty Libra</v>
          </cell>
          <cell r="AP547">
            <v>0</v>
          </cell>
          <cell r="AQ547" t="str">
            <v>F812232G1-1</v>
          </cell>
          <cell r="AR547" t="str">
            <v>F812232-2</v>
          </cell>
          <cell r="AS547" t="str">
            <v>F812232-3</v>
          </cell>
          <cell r="AT547" t="str">
            <v>F812232-4</v>
          </cell>
          <cell r="AU547" t="str">
            <v>F812232-5</v>
          </cell>
          <cell r="AV547" t="str">
            <v>F812232-6</v>
          </cell>
          <cell r="AW547" t="str">
            <v>F812232-7</v>
          </cell>
          <cell r="AX547" t="str">
            <v>F812232-8</v>
          </cell>
          <cell r="BA547" t="str">
            <v>1100x438</v>
          </cell>
          <cell r="BB547" t="str">
            <v>S2</v>
          </cell>
          <cell r="BC547" t="str">
            <v>Chạy chung sp 1226 trừ cây Nâu nền</v>
          </cell>
        </row>
        <row r="548">
          <cell r="A548" t="str">
            <v>sp 1228</v>
          </cell>
          <cell r="B548" t="str">
            <v>Màng nhôm MHTTITAN</v>
          </cell>
          <cell r="E548">
            <v>3</v>
          </cell>
          <cell r="F548">
            <v>3</v>
          </cell>
          <cell r="AO548" t="str">
            <v>Công ty Tân Trang</v>
          </cell>
          <cell r="AP548">
            <v>0</v>
          </cell>
          <cell r="AQ548" t="str">
            <v>20070555-1</v>
          </cell>
          <cell r="AR548" t="str">
            <v>20070555-2</v>
          </cell>
          <cell r="AS548" t="str">
            <v>20070555-3</v>
          </cell>
          <cell r="AT548">
            <v>0</v>
          </cell>
          <cell r="AU548">
            <v>0</v>
          </cell>
          <cell r="AV548">
            <v>0</v>
          </cell>
          <cell r="AW548">
            <v>0</v>
          </cell>
          <cell r="AX548">
            <v>0</v>
          </cell>
          <cell r="BA548" t="str">
            <v>796x1300</v>
          </cell>
          <cell r="BC548">
            <v>0</v>
          </cell>
        </row>
        <row r="549">
          <cell r="A549" t="str">
            <v>sp 1229</v>
          </cell>
          <cell r="B549" t="str">
            <v>Cuộn trà tan loại que Ice Tea hương đào Vĩnh Phúc</v>
          </cell>
          <cell r="E549">
            <v>7</v>
          </cell>
          <cell r="F549">
            <v>7</v>
          </cell>
          <cell r="AO549" t="str">
            <v>Công ty Vĩnh Phúc</v>
          </cell>
          <cell r="AP549">
            <v>0</v>
          </cell>
          <cell r="AQ549" t="str">
            <v>F126602-1</v>
          </cell>
          <cell r="AR549" t="str">
            <v>F126602-2</v>
          </cell>
          <cell r="AS549" t="str">
            <v>F126602-3</v>
          </cell>
          <cell r="AT549" t="str">
            <v>F126602-4</v>
          </cell>
          <cell r="AU549" t="str">
            <v>F126602-5</v>
          </cell>
          <cell r="AV549" t="str">
            <v>F126602-6</v>
          </cell>
          <cell r="AW549" t="str">
            <v>F126602-7</v>
          </cell>
          <cell r="AX549">
            <v>0</v>
          </cell>
          <cell r="BA549" t="str">
            <v>1100x450</v>
          </cell>
          <cell r="BB549" t="str">
            <v>A2</v>
          </cell>
          <cell r="BC549">
            <v>0</v>
          </cell>
        </row>
        <row r="550">
          <cell r="A550" t="str">
            <v>sp 1230</v>
          </cell>
          <cell r="B550">
            <v>0</v>
          </cell>
          <cell r="E550">
            <v>0</v>
          </cell>
          <cell r="F550">
            <v>0</v>
          </cell>
          <cell r="AO550">
            <v>0</v>
          </cell>
          <cell r="AP550">
            <v>0</v>
          </cell>
          <cell r="AQ550">
            <v>0</v>
          </cell>
          <cell r="AR550">
            <v>0</v>
          </cell>
          <cell r="AS550">
            <v>0</v>
          </cell>
          <cell r="AT550">
            <v>0</v>
          </cell>
          <cell r="AU550">
            <v>0</v>
          </cell>
          <cell r="AV550">
            <v>0</v>
          </cell>
          <cell r="AW550">
            <v>0</v>
          </cell>
          <cell r="AX550">
            <v>0</v>
          </cell>
          <cell r="BA550">
            <v>0</v>
          </cell>
          <cell r="BC550">
            <v>0</v>
          </cell>
        </row>
        <row r="551">
          <cell r="A551" t="str">
            <v>sp 1231</v>
          </cell>
          <cell r="B551" t="str">
            <v>Cuộn đường kính trắng thượng hạng Lam Sơn 1kg-LASUCO</v>
          </cell>
          <cell r="E551">
            <v>8</v>
          </cell>
          <cell r="F551">
            <v>8</v>
          </cell>
          <cell r="AO551" t="str">
            <v>Công ty mía đường Lam Sơn</v>
          </cell>
          <cell r="AP551">
            <v>0</v>
          </cell>
          <cell r="AQ551" t="str">
            <v>X109482-1</v>
          </cell>
          <cell r="AR551" t="str">
            <v>X109482-2</v>
          </cell>
          <cell r="AS551" t="str">
            <v>X109482-3</v>
          </cell>
          <cell r="AT551" t="str">
            <v>X109482-4</v>
          </cell>
          <cell r="AU551" t="str">
            <v>X109482-5</v>
          </cell>
          <cell r="AV551" t="str">
            <v>X109482-6</v>
          </cell>
          <cell r="AW551" t="str">
            <v>X109482-7</v>
          </cell>
          <cell r="AX551" t="str">
            <v>X109482-8</v>
          </cell>
          <cell r="BA551" t="str">
            <v>520x870</v>
          </cell>
          <cell r="BB551" t="str">
            <v>S2</v>
          </cell>
          <cell r="BC551">
            <v>0</v>
          </cell>
        </row>
        <row r="552">
          <cell r="A552" t="str">
            <v>sp 1232</v>
          </cell>
          <cell r="B552" t="str">
            <v>Cuộn bánh trung thu khổ 320mm Nhật Nguyệt</v>
          </cell>
          <cell r="E552">
            <v>1</v>
          </cell>
          <cell r="F552">
            <v>1</v>
          </cell>
          <cell r="AO552" t="str">
            <v>Công ty Nhật Nguyệt</v>
          </cell>
          <cell r="AP552">
            <v>0</v>
          </cell>
          <cell r="AQ552" t="str">
            <v>X109439-1</v>
          </cell>
          <cell r="AR552">
            <v>0</v>
          </cell>
          <cell r="AS552">
            <v>0</v>
          </cell>
          <cell r="AT552">
            <v>0</v>
          </cell>
          <cell r="AU552">
            <v>0</v>
          </cell>
          <cell r="AV552">
            <v>0</v>
          </cell>
          <cell r="AW552">
            <v>0</v>
          </cell>
          <cell r="AX552">
            <v>0</v>
          </cell>
          <cell r="BA552" t="str">
            <v>750x540</v>
          </cell>
          <cell r="BB552" t="str">
            <v>S2</v>
          </cell>
          <cell r="BC552">
            <v>0</v>
          </cell>
        </row>
        <row r="553">
          <cell r="A553" t="str">
            <v>sp 1233</v>
          </cell>
          <cell r="B553" t="str">
            <v>Túi PA in hình con gà xanh</v>
          </cell>
          <cell r="E553">
            <v>1</v>
          </cell>
          <cell r="F553">
            <v>1</v>
          </cell>
          <cell r="AO553" t="str">
            <v>Công ty Bao Bì Việt</v>
          </cell>
          <cell r="AP553">
            <v>0</v>
          </cell>
          <cell r="AQ553" t="str">
            <v>20070965-1</v>
          </cell>
          <cell r="AR553">
            <v>0</v>
          </cell>
          <cell r="AS553">
            <v>0</v>
          </cell>
          <cell r="AT553">
            <v>0</v>
          </cell>
          <cell r="AU553">
            <v>0</v>
          </cell>
          <cell r="AV553">
            <v>0</v>
          </cell>
          <cell r="AW553">
            <v>0</v>
          </cell>
          <cell r="AX553">
            <v>0</v>
          </cell>
          <cell r="BA553" t="str">
            <v>540x870</v>
          </cell>
          <cell r="BB553" t="str">
            <v>S3</v>
          </cell>
          <cell r="BC553">
            <v>0</v>
          </cell>
        </row>
        <row r="554">
          <cell r="A554" t="str">
            <v>sp 1234</v>
          </cell>
          <cell r="B554" t="str">
            <v>Cuộn màng PE trong in chữ TungWang</v>
          </cell>
          <cell r="E554">
            <v>2</v>
          </cell>
          <cell r="F554">
            <v>2</v>
          </cell>
          <cell r="AO554" t="str">
            <v>Trục in bên THV</v>
          </cell>
          <cell r="AP554">
            <v>0</v>
          </cell>
          <cell r="AQ554" t="str">
            <v>19031361-0</v>
          </cell>
          <cell r="AR554" t="str">
            <v>19031159-1</v>
          </cell>
          <cell r="AS554">
            <v>0</v>
          </cell>
          <cell r="AT554">
            <v>0</v>
          </cell>
          <cell r="AU554">
            <v>0</v>
          </cell>
          <cell r="AV554">
            <v>0</v>
          </cell>
          <cell r="AW554">
            <v>0</v>
          </cell>
          <cell r="AX554">
            <v>0</v>
          </cell>
          <cell r="BA554" t="str">
            <v>500x1320</v>
          </cell>
          <cell r="BC554">
            <v>0</v>
          </cell>
        </row>
        <row r="555">
          <cell r="A555" t="str">
            <v>sp 1235</v>
          </cell>
          <cell r="B555" t="str">
            <v>Cuộn hạt giống cải ngọt cọng xanh A1 việt nhật và japan việt nhật (3 SP)</v>
          </cell>
          <cell r="E555">
            <v>5</v>
          </cell>
          <cell r="F555">
            <v>5</v>
          </cell>
          <cell r="AO555" t="str">
            <v>Công ty Việt Nhật</v>
          </cell>
          <cell r="AP555">
            <v>0</v>
          </cell>
          <cell r="AQ555" t="str">
            <v>1908564-1</v>
          </cell>
          <cell r="AR555" t="str">
            <v>1908564-2</v>
          </cell>
          <cell r="AS555" t="str">
            <v>1908564-3</v>
          </cell>
          <cell r="AT555" t="str">
            <v>1908564-4</v>
          </cell>
          <cell r="AU555" t="str">
            <v>1905368-5</v>
          </cell>
          <cell r="AV555">
            <v>0</v>
          </cell>
          <cell r="AW555">
            <v>0</v>
          </cell>
          <cell r="AX555">
            <v>0</v>
          </cell>
          <cell r="BA555" t="str">
            <v>510x800</v>
          </cell>
          <cell r="BB555" t="str">
            <v>S3</v>
          </cell>
          <cell r="BC555">
            <v>0</v>
          </cell>
        </row>
        <row r="556">
          <cell r="A556" t="str">
            <v>sp 1236</v>
          </cell>
          <cell r="B556" t="str">
            <v>Túi thuốc trừ sâu tasieu 5WG Tôn Ngộ Không 88.5 loại 25.5g Việt Thắng</v>
          </cell>
          <cell r="E556">
            <v>7</v>
          </cell>
          <cell r="F556">
            <v>7</v>
          </cell>
          <cell r="AO556" t="str">
            <v>Công ty Việt Thắng</v>
          </cell>
          <cell r="AP556">
            <v>0</v>
          </cell>
          <cell r="AQ556" t="str">
            <v>X109473-1</v>
          </cell>
          <cell r="AR556" t="str">
            <v>X109473-2</v>
          </cell>
          <cell r="AS556" t="str">
            <v>X109473-3</v>
          </cell>
          <cell r="AT556" t="str">
            <v>X109473-4</v>
          </cell>
          <cell r="AU556" t="str">
            <v>X109473-5</v>
          </cell>
          <cell r="AV556" t="str">
            <v>X109473-6</v>
          </cell>
          <cell r="AW556" t="str">
            <v>X109473-7</v>
          </cell>
          <cell r="AX556">
            <v>0</v>
          </cell>
          <cell r="BA556" t="str">
            <v>480x870</v>
          </cell>
          <cell r="BB556" t="str">
            <v>D4</v>
          </cell>
          <cell r="BC556">
            <v>0</v>
          </cell>
        </row>
        <row r="557">
          <cell r="A557">
            <v>0</v>
          </cell>
          <cell r="B557">
            <v>0</v>
          </cell>
          <cell r="E557">
            <v>0</v>
          </cell>
          <cell r="F557">
            <v>0</v>
          </cell>
          <cell r="AO557">
            <v>0</v>
          </cell>
          <cell r="AP557">
            <v>0</v>
          </cell>
          <cell r="AQ557">
            <v>0</v>
          </cell>
          <cell r="AR557">
            <v>0</v>
          </cell>
          <cell r="AS557">
            <v>0</v>
          </cell>
          <cell r="AT557">
            <v>0</v>
          </cell>
          <cell r="AU557">
            <v>0</v>
          </cell>
          <cell r="AV557">
            <v>0</v>
          </cell>
          <cell r="AW557">
            <v>0</v>
          </cell>
          <cell r="AX557">
            <v>0</v>
          </cell>
          <cell r="BA557">
            <v>0</v>
          </cell>
          <cell r="BC557">
            <v>0</v>
          </cell>
        </row>
        <row r="558">
          <cell r="A558" t="str">
            <v>sp 1238</v>
          </cell>
          <cell r="B558" t="str">
            <v>Túi trà lụa ấm nghiêng TC và ĐS 200g loại 24</v>
          </cell>
          <cell r="E558">
            <v>0</v>
          </cell>
          <cell r="F558">
            <v>0</v>
          </cell>
          <cell r="AO558">
            <v>0</v>
          </cell>
          <cell r="AP558">
            <v>0</v>
          </cell>
          <cell r="AQ558">
            <v>0</v>
          </cell>
          <cell r="AR558">
            <v>0</v>
          </cell>
          <cell r="AS558">
            <v>0</v>
          </cell>
          <cell r="AT558">
            <v>0</v>
          </cell>
          <cell r="AU558">
            <v>0</v>
          </cell>
          <cell r="AV558">
            <v>0</v>
          </cell>
          <cell r="AW558">
            <v>0</v>
          </cell>
          <cell r="AX558">
            <v>0</v>
          </cell>
          <cell r="BA558">
            <v>0</v>
          </cell>
          <cell r="BB558" t="str">
            <v>H1</v>
          </cell>
          <cell r="BC558">
            <v>0</v>
          </cell>
        </row>
        <row r="559">
          <cell r="A559" t="str">
            <v>sp 1239</v>
          </cell>
          <cell r="B559" t="str">
            <v>Túi trà lụa ấm nghiêng TC và ĐS 500g loại 24</v>
          </cell>
          <cell r="E559">
            <v>0</v>
          </cell>
          <cell r="F559">
            <v>0</v>
          </cell>
          <cell r="AO559">
            <v>0</v>
          </cell>
          <cell r="AP559">
            <v>0</v>
          </cell>
          <cell r="AQ559">
            <v>0</v>
          </cell>
          <cell r="AR559">
            <v>0</v>
          </cell>
          <cell r="AS559">
            <v>0</v>
          </cell>
          <cell r="AT559">
            <v>0</v>
          </cell>
          <cell r="AU559">
            <v>0</v>
          </cell>
          <cell r="AV559">
            <v>0</v>
          </cell>
          <cell r="AW559">
            <v>0</v>
          </cell>
          <cell r="AX559">
            <v>0</v>
          </cell>
          <cell r="BA559">
            <v>0</v>
          </cell>
          <cell r="BB559" t="str">
            <v>H1</v>
          </cell>
          <cell r="BC559">
            <v>0</v>
          </cell>
        </row>
        <row r="560">
          <cell r="A560" t="str">
            <v>sp 1240</v>
          </cell>
          <cell r="B560" t="str">
            <v>Túi trà bóng cao cấp Tân Cương 100gr loại 25</v>
          </cell>
          <cell r="E560">
            <v>7</v>
          </cell>
          <cell r="F560">
            <v>7</v>
          </cell>
          <cell r="AO560" t="str">
            <v>Bùi Văn Sĩ</v>
          </cell>
          <cell r="AP560">
            <v>0</v>
          </cell>
          <cell r="AQ560" t="str">
            <v>HD32008017-1</v>
          </cell>
          <cell r="AR560" t="str">
            <v>HD32008017-2</v>
          </cell>
          <cell r="AS560" t="str">
            <v>HD32008017-3</v>
          </cell>
          <cell r="AT560" t="str">
            <v>HD32008017-4</v>
          </cell>
          <cell r="AU560" t="str">
            <v>HD32008017-5</v>
          </cell>
          <cell r="AV560" t="str">
            <v>HD32008017-6</v>
          </cell>
          <cell r="AW560" t="str">
            <v>HD32008017-7</v>
          </cell>
          <cell r="AX560">
            <v>0</v>
          </cell>
          <cell r="BA560" t="str">
            <v>540x870</v>
          </cell>
          <cell r="BB560" t="str">
            <v>H1</v>
          </cell>
          <cell r="BC560">
            <v>0</v>
          </cell>
        </row>
        <row r="561">
          <cell r="A561" t="str">
            <v>sp 1241</v>
          </cell>
          <cell r="B561" t="str">
            <v>Túi trà bóng cao cấp Đặc Sản 100gr loại 25</v>
          </cell>
          <cell r="E561">
            <v>1</v>
          </cell>
          <cell r="F561">
            <v>7</v>
          </cell>
          <cell r="AO561" t="str">
            <v>Bùi Văn Sĩ</v>
          </cell>
          <cell r="AP561">
            <v>0</v>
          </cell>
          <cell r="AQ561" t="str">
            <v>HD32008017-1</v>
          </cell>
          <cell r="AR561" t="str">
            <v>HD32008017-2</v>
          </cell>
          <cell r="AS561" t="str">
            <v>HD32008017J1-1</v>
          </cell>
          <cell r="AT561" t="str">
            <v>HD32008017-4</v>
          </cell>
          <cell r="AU561" t="str">
            <v>HD32008017-5</v>
          </cell>
          <cell r="AV561" t="str">
            <v>HD32008017-6</v>
          </cell>
          <cell r="AW561" t="str">
            <v>HD32008017-7</v>
          </cell>
          <cell r="AX561">
            <v>0</v>
          </cell>
          <cell r="BA561" t="str">
            <v>540x870</v>
          </cell>
          <cell r="BB561" t="str">
            <v>H1</v>
          </cell>
          <cell r="BC561" t="str">
            <v>Chạy chung sản phẩm 1240</v>
          </cell>
        </row>
        <row r="562">
          <cell r="A562" t="str">
            <v>sp 1242</v>
          </cell>
          <cell r="B562" t="str">
            <v>Túi nhôm EVITA 3 vỉ x 10 viên nang mềm traphaco</v>
          </cell>
          <cell r="E562">
            <v>2</v>
          </cell>
          <cell r="F562">
            <v>2</v>
          </cell>
          <cell r="AO562" t="str">
            <v>Công ty Traphaco</v>
          </cell>
          <cell r="AP562">
            <v>0</v>
          </cell>
          <cell r="AQ562" t="str">
            <v>20080566-1</v>
          </cell>
          <cell r="AR562" t="str">
            <v>20080566-2</v>
          </cell>
          <cell r="AS562">
            <v>0</v>
          </cell>
          <cell r="AT562">
            <v>0</v>
          </cell>
          <cell r="AU562">
            <v>0</v>
          </cell>
          <cell r="AV562">
            <v>0</v>
          </cell>
          <cell r="AW562">
            <v>0</v>
          </cell>
          <cell r="AX562">
            <v>0</v>
          </cell>
          <cell r="BA562" t="str">
            <v>540x870</v>
          </cell>
          <cell r="BB562" t="str">
            <v>S3</v>
          </cell>
          <cell r="BC562">
            <v>0</v>
          </cell>
        </row>
        <row r="563">
          <cell r="A563" t="str">
            <v>sp 1243</v>
          </cell>
          <cell r="B563" t="str">
            <v>Túi hạt giống đậu bắp xanh Việt Nhật Japan và xà lách cuộn đăm Việt Nhật (12 SP)</v>
          </cell>
          <cell r="E563">
            <v>7</v>
          </cell>
          <cell r="F563">
            <v>7</v>
          </cell>
          <cell r="AO563" t="str">
            <v>Công ty Việt Nhật</v>
          </cell>
          <cell r="AP563">
            <v>0</v>
          </cell>
          <cell r="AQ563" t="str">
            <v>20080341-1</v>
          </cell>
          <cell r="AR563" t="str">
            <v>20080341-2</v>
          </cell>
          <cell r="AS563" t="str">
            <v>20080341-3</v>
          </cell>
          <cell r="AT563" t="str">
            <v>20080341-4</v>
          </cell>
          <cell r="AU563" t="str">
            <v>20080341-5</v>
          </cell>
          <cell r="AV563" t="str">
            <v>20080341-6</v>
          </cell>
          <cell r="AW563" t="str">
            <v>20080341-7</v>
          </cell>
          <cell r="AX563">
            <v>0</v>
          </cell>
          <cell r="BA563" t="str">
            <v>720x870</v>
          </cell>
          <cell r="BB563" t="str">
            <v>S3</v>
          </cell>
          <cell r="BC563">
            <v>0</v>
          </cell>
        </row>
        <row r="564">
          <cell r="A564" t="str">
            <v>sp 1244</v>
          </cell>
          <cell r="B564" t="str">
            <v>Cuộn bánh Coffee Braka xuất khẩu 45gr kt 215x138</v>
          </cell>
          <cell r="E564">
            <v>8</v>
          </cell>
          <cell r="F564">
            <v>8</v>
          </cell>
          <cell r="AO564" t="str">
            <v>Công ty Libra</v>
          </cell>
          <cell r="AP564">
            <v>0</v>
          </cell>
          <cell r="AQ564" t="str">
            <v>F126665-1</v>
          </cell>
          <cell r="AR564" t="str">
            <v>F126665-2</v>
          </cell>
          <cell r="AS564" t="str">
            <v>F126665-3</v>
          </cell>
          <cell r="AT564" t="str">
            <v>F126665-4</v>
          </cell>
          <cell r="AU564" t="str">
            <v>F126665-5</v>
          </cell>
          <cell r="AV564" t="str">
            <v>F126665-6</v>
          </cell>
          <cell r="AW564" t="str">
            <v>F126665-7</v>
          </cell>
          <cell r="AX564" t="str">
            <v>F126665-8</v>
          </cell>
          <cell r="BA564" t="str">
            <v>552x1100</v>
          </cell>
          <cell r="BB564" t="str">
            <v>S3</v>
          </cell>
          <cell r="BC564">
            <v>0</v>
          </cell>
        </row>
        <row r="565">
          <cell r="A565" t="str">
            <v>sp 1245</v>
          </cell>
          <cell r="B565" t="str">
            <v>Cuộn bánh Coffee Braka nội địa 45gr kt 215x138</v>
          </cell>
          <cell r="E565">
            <v>1</v>
          </cell>
          <cell r="F565">
            <v>8</v>
          </cell>
          <cell r="AO565" t="str">
            <v>Công ty Libra</v>
          </cell>
          <cell r="AP565">
            <v>0</v>
          </cell>
          <cell r="AQ565" t="str">
            <v>F126666G1-1</v>
          </cell>
          <cell r="AR565" t="str">
            <v>F126665-2</v>
          </cell>
          <cell r="AS565" t="str">
            <v>F126665-3</v>
          </cell>
          <cell r="AT565" t="str">
            <v>F126665-4</v>
          </cell>
          <cell r="AU565" t="str">
            <v>F126665-5</v>
          </cell>
          <cell r="AV565" t="str">
            <v>F126665-6</v>
          </cell>
          <cell r="AW565" t="str">
            <v>F126665-7</v>
          </cell>
          <cell r="AX565" t="str">
            <v>F126665-8</v>
          </cell>
          <cell r="BA565" t="str">
            <v>552x1100</v>
          </cell>
          <cell r="BB565" t="str">
            <v>S3</v>
          </cell>
          <cell r="BC565" t="str">
            <v>Chạy chung sản phẩm 1244 trừ cây số 1</v>
          </cell>
        </row>
        <row r="566">
          <cell r="A566" t="str">
            <v>sp 1246</v>
          </cell>
          <cell r="B566" t="str">
            <v>Cuộn men rượu nếp hoa vàng Trung Tiến</v>
          </cell>
          <cell r="E566">
            <v>2</v>
          </cell>
          <cell r="F566">
            <v>2</v>
          </cell>
          <cell r="AO566" t="str">
            <v>Công ty Trung Tiến</v>
          </cell>
          <cell r="AP566">
            <v>0</v>
          </cell>
          <cell r="AQ566" t="str">
            <v>F126667-1</v>
          </cell>
          <cell r="AR566" t="str">
            <v>F126667-2</v>
          </cell>
          <cell r="AS566">
            <v>0</v>
          </cell>
          <cell r="AT566">
            <v>0</v>
          </cell>
          <cell r="AU566">
            <v>0</v>
          </cell>
          <cell r="AV566">
            <v>0</v>
          </cell>
          <cell r="AW566">
            <v>0</v>
          </cell>
          <cell r="AX566">
            <v>0</v>
          </cell>
          <cell r="BA566" t="str">
            <v>465x1100</v>
          </cell>
          <cell r="BB566" t="str">
            <v>S3</v>
          </cell>
          <cell r="BC566">
            <v>0</v>
          </cell>
        </row>
        <row r="567">
          <cell r="A567">
            <v>0</v>
          </cell>
          <cell r="B567">
            <v>0</v>
          </cell>
          <cell r="E567">
            <v>0</v>
          </cell>
          <cell r="F567">
            <v>0</v>
          </cell>
          <cell r="AO567">
            <v>0</v>
          </cell>
          <cell r="AP567">
            <v>0</v>
          </cell>
          <cell r="AQ567">
            <v>0</v>
          </cell>
          <cell r="AR567">
            <v>0</v>
          </cell>
          <cell r="AS567">
            <v>0</v>
          </cell>
          <cell r="AT567">
            <v>0</v>
          </cell>
          <cell r="AU567">
            <v>0</v>
          </cell>
          <cell r="AV567">
            <v>0</v>
          </cell>
          <cell r="AW567">
            <v>0</v>
          </cell>
          <cell r="AX567">
            <v>0</v>
          </cell>
          <cell r="BA567">
            <v>0</v>
          </cell>
          <cell r="BC567">
            <v>0</v>
          </cell>
        </row>
        <row r="568">
          <cell r="A568">
            <v>0</v>
          </cell>
          <cell r="B568">
            <v>0</v>
          </cell>
          <cell r="E568">
            <v>0</v>
          </cell>
          <cell r="F568">
            <v>0</v>
          </cell>
          <cell r="AO568">
            <v>0</v>
          </cell>
          <cell r="AP568">
            <v>0</v>
          </cell>
          <cell r="AQ568">
            <v>0</v>
          </cell>
          <cell r="AR568">
            <v>0</v>
          </cell>
          <cell r="AS568">
            <v>0</v>
          </cell>
          <cell r="AT568">
            <v>0</v>
          </cell>
          <cell r="AU568">
            <v>0</v>
          </cell>
          <cell r="AV568">
            <v>0</v>
          </cell>
          <cell r="AW568">
            <v>0</v>
          </cell>
          <cell r="AX568">
            <v>0</v>
          </cell>
          <cell r="BA568">
            <v>0</v>
          </cell>
          <cell r="BC568">
            <v>0</v>
          </cell>
        </row>
        <row r="569">
          <cell r="A569" t="str">
            <v>sp 1249</v>
          </cell>
          <cell r="B569" t="str">
            <v>Cuốn thuốc thú y Bcomplex +K3+C 100gr Trường Hằng</v>
          </cell>
          <cell r="E569">
            <v>2</v>
          </cell>
          <cell r="F569">
            <v>2</v>
          </cell>
          <cell r="AO569" t="str">
            <v>Công ty Trường Hằng</v>
          </cell>
          <cell r="AP569">
            <v>0</v>
          </cell>
          <cell r="AQ569" t="str">
            <v>20080603-1</v>
          </cell>
          <cell r="AR569" t="str">
            <v>20080603-2</v>
          </cell>
          <cell r="AS569">
            <v>0</v>
          </cell>
          <cell r="AT569">
            <v>0</v>
          </cell>
          <cell r="AU569">
            <v>0</v>
          </cell>
          <cell r="AV569">
            <v>0</v>
          </cell>
          <cell r="AW569">
            <v>0</v>
          </cell>
          <cell r="AX569">
            <v>0</v>
          </cell>
          <cell r="BA569" t="str">
            <v>510x870</v>
          </cell>
          <cell r="BB569" t="str">
            <v>S3</v>
          </cell>
          <cell r="BC569">
            <v>0</v>
          </cell>
        </row>
        <row r="570">
          <cell r="A570" t="str">
            <v>sp 1250</v>
          </cell>
          <cell r="B570" t="str">
            <v>Cuộn hạt giống cải ngọt cọng xanh A1 JP- cải bẹ vàng ngọt JP-VN</v>
          </cell>
          <cell r="E570">
            <v>8</v>
          </cell>
          <cell r="F570">
            <v>8</v>
          </cell>
          <cell r="AO570" t="str">
            <v>Công ty Việt Nhật</v>
          </cell>
          <cell r="AP570">
            <v>0</v>
          </cell>
          <cell r="AQ570" t="str">
            <v>20080652-1</v>
          </cell>
          <cell r="AR570" t="str">
            <v>20080652-2</v>
          </cell>
          <cell r="AS570" t="str">
            <v>20080652-3</v>
          </cell>
          <cell r="AT570" t="str">
            <v>20080652-4</v>
          </cell>
          <cell r="AU570" t="str">
            <v>20080652-5</v>
          </cell>
          <cell r="AV570" t="str">
            <v>20080652-6</v>
          </cell>
          <cell r="AW570" t="str">
            <v>20080652-7</v>
          </cell>
          <cell r="AX570" t="str">
            <v>20080652-8</v>
          </cell>
          <cell r="BA570" t="str">
            <v>540x870</v>
          </cell>
          <cell r="BB570" t="str">
            <v>S3</v>
          </cell>
          <cell r="BC570">
            <v>0</v>
          </cell>
        </row>
        <row r="571">
          <cell r="A571" t="str">
            <v>sp 1251</v>
          </cell>
          <cell r="B571" t="str">
            <v>Túi trà ấm cây TC loại đặc biệt 100gr 26</v>
          </cell>
          <cell r="E571">
            <v>6</v>
          </cell>
          <cell r="F571">
            <v>6</v>
          </cell>
          <cell r="AO571" t="str">
            <v>Bùi Văn Sĩ</v>
          </cell>
          <cell r="AP571">
            <v>0</v>
          </cell>
          <cell r="AQ571" t="str">
            <v>20080653-1</v>
          </cell>
          <cell r="AR571" t="str">
            <v>20080653-2</v>
          </cell>
          <cell r="AS571" t="str">
            <v>20080653-3</v>
          </cell>
          <cell r="AT571" t="str">
            <v>20080653-4</v>
          </cell>
          <cell r="AU571" t="str">
            <v>20080653-5</v>
          </cell>
          <cell r="AV571" t="str">
            <v>20080653-6</v>
          </cell>
          <cell r="AW571">
            <v>0</v>
          </cell>
          <cell r="AX571">
            <v>0</v>
          </cell>
          <cell r="BA571" t="str">
            <v>540x870</v>
          </cell>
          <cell r="BB571" t="str">
            <v>H1</v>
          </cell>
          <cell r="BC571">
            <v>0</v>
          </cell>
        </row>
        <row r="572">
          <cell r="A572" t="str">
            <v>sp 1252</v>
          </cell>
          <cell r="B572" t="str">
            <v>Túi trà ấm cây ĐS loại đặc biệt 100gr 26</v>
          </cell>
          <cell r="E572">
            <v>1</v>
          </cell>
          <cell r="F572">
            <v>6</v>
          </cell>
          <cell r="AO572" t="str">
            <v>Bùi Văn Sĩ</v>
          </cell>
          <cell r="AP572">
            <v>0</v>
          </cell>
          <cell r="AQ572" t="str">
            <v>20080654-1</v>
          </cell>
          <cell r="AR572" t="str">
            <v>20080653-2</v>
          </cell>
          <cell r="AS572" t="str">
            <v>20080653-3</v>
          </cell>
          <cell r="AT572" t="str">
            <v>20080653-4</v>
          </cell>
          <cell r="AU572" t="str">
            <v>20080653-5</v>
          </cell>
          <cell r="AV572" t="str">
            <v>20080653-6</v>
          </cell>
          <cell r="AW572">
            <v>0</v>
          </cell>
          <cell r="AX572">
            <v>0</v>
          </cell>
          <cell r="BA572" t="str">
            <v>540x870</v>
          </cell>
          <cell r="BB572" t="str">
            <v>H1</v>
          </cell>
          <cell r="BC572">
            <v>0</v>
          </cell>
        </row>
        <row r="573">
          <cell r="A573" t="str">
            <v>sp 1253</v>
          </cell>
          <cell r="B573">
            <v>0</v>
          </cell>
          <cell r="E573">
            <v>0</v>
          </cell>
          <cell r="F573">
            <v>0</v>
          </cell>
          <cell r="AO573">
            <v>0</v>
          </cell>
          <cell r="AP573">
            <v>0</v>
          </cell>
          <cell r="AQ573">
            <v>0</v>
          </cell>
          <cell r="AR573">
            <v>0</v>
          </cell>
          <cell r="AS573">
            <v>0</v>
          </cell>
          <cell r="AT573">
            <v>0</v>
          </cell>
          <cell r="AU573">
            <v>0</v>
          </cell>
          <cell r="AV573">
            <v>0</v>
          </cell>
          <cell r="AW573">
            <v>0</v>
          </cell>
          <cell r="AX573">
            <v>0</v>
          </cell>
          <cell r="BA573">
            <v>0</v>
          </cell>
          <cell r="BC573">
            <v>0</v>
          </cell>
        </row>
        <row r="574">
          <cell r="A574" t="str">
            <v>sp 1254</v>
          </cell>
          <cell r="B574">
            <v>0</v>
          </cell>
          <cell r="E574">
            <v>0</v>
          </cell>
          <cell r="F574">
            <v>0</v>
          </cell>
          <cell r="AO574">
            <v>0</v>
          </cell>
          <cell r="AP574">
            <v>0</v>
          </cell>
          <cell r="AQ574">
            <v>0</v>
          </cell>
          <cell r="AR574">
            <v>0</v>
          </cell>
          <cell r="AS574">
            <v>0</v>
          </cell>
          <cell r="AT574">
            <v>0</v>
          </cell>
          <cell r="AU574">
            <v>0</v>
          </cell>
          <cell r="AV574">
            <v>0</v>
          </cell>
          <cell r="AW574">
            <v>0</v>
          </cell>
          <cell r="AX574">
            <v>0</v>
          </cell>
          <cell r="BA574">
            <v>0</v>
          </cell>
          <cell r="BC574">
            <v>0</v>
          </cell>
        </row>
        <row r="575">
          <cell r="A575" t="str">
            <v>sp 1255</v>
          </cell>
          <cell r="B575" t="str">
            <v>Cuộn hạt giống mào gà 92,cải chíp 86,bẹ dưa 94 lucky</v>
          </cell>
          <cell r="E575">
            <v>6</v>
          </cell>
          <cell r="F575">
            <v>6</v>
          </cell>
          <cell r="AO575" t="str">
            <v>Công ty giống Lucky</v>
          </cell>
          <cell r="AP575">
            <v>0</v>
          </cell>
          <cell r="AQ575" t="str">
            <v>20081014-1</v>
          </cell>
          <cell r="AR575" t="str">
            <v>20081014-2</v>
          </cell>
          <cell r="AS575" t="str">
            <v>20081014-3</v>
          </cell>
          <cell r="AT575" t="str">
            <v>20081014-4</v>
          </cell>
          <cell r="AU575" t="str">
            <v>20081014-5</v>
          </cell>
          <cell r="AV575" t="str">
            <v>20081014-6</v>
          </cell>
          <cell r="AW575">
            <v>0</v>
          </cell>
          <cell r="AX575">
            <v>0</v>
          </cell>
          <cell r="BA575" t="str">
            <v>570x870</v>
          </cell>
          <cell r="BB575" t="str">
            <v>S3</v>
          </cell>
          <cell r="BC575">
            <v>0</v>
          </cell>
        </row>
        <row r="576">
          <cell r="A576" t="str">
            <v>sp 1256</v>
          </cell>
          <cell r="B576" t="str">
            <v>Cuộn hạt giống mào gà 1092,cải chip 1086,bẹ dưa 1094 sao việt</v>
          </cell>
          <cell r="E576">
            <v>5</v>
          </cell>
          <cell r="F576">
            <v>6</v>
          </cell>
          <cell r="AO576" t="str">
            <v>Công ty giống Lucky</v>
          </cell>
          <cell r="AP576">
            <v>0</v>
          </cell>
          <cell r="AQ576" t="str">
            <v>20081015-1</v>
          </cell>
          <cell r="AR576" t="str">
            <v>20081015-2</v>
          </cell>
          <cell r="AS576" t="str">
            <v>20081015-3</v>
          </cell>
          <cell r="AT576" t="str">
            <v>20081015-4</v>
          </cell>
          <cell r="AU576" t="str">
            <v>20081015-5</v>
          </cell>
          <cell r="AV576">
            <v>0</v>
          </cell>
          <cell r="AW576">
            <v>0</v>
          </cell>
          <cell r="AX576">
            <v>0</v>
          </cell>
          <cell r="BA576" t="str">
            <v>570x870</v>
          </cell>
          <cell r="BB576" t="str">
            <v>S3</v>
          </cell>
          <cell r="BC576">
            <v>0</v>
          </cell>
        </row>
        <row r="577">
          <cell r="A577" t="str">
            <v>sp 1257</v>
          </cell>
          <cell r="B577" t="str">
            <v>Cuộn bột giặt nano hương hoa thiên nhiên 350gr</v>
          </cell>
          <cell r="E577">
            <v>5</v>
          </cell>
          <cell r="F577">
            <v>5</v>
          </cell>
          <cell r="AO577" t="str">
            <v>Công ty Alo Sun</v>
          </cell>
          <cell r="AP577">
            <v>0</v>
          </cell>
          <cell r="AQ577" t="str">
            <v>F126752-1</v>
          </cell>
          <cell r="AR577" t="str">
            <v>F126752-2</v>
          </cell>
          <cell r="AS577" t="str">
            <v>F126752-3</v>
          </cell>
          <cell r="AT577" t="str">
            <v>F126752-4</v>
          </cell>
          <cell r="AU577" t="str">
            <v>F126752-5</v>
          </cell>
          <cell r="AV577">
            <v>0</v>
          </cell>
          <cell r="AW577">
            <v>0</v>
          </cell>
          <cell r="AX577">
            <v>0</v>
          </cell>
          <cell r="BA577" t="str">
            <v>470x870</v>
          </cell>
          <cell r="BB577" t="str">
            <v>S3</v>
          </cell>
          <cell r="BC577">
            <v>0</v>
          </cell>
        </row>
        <row r="578">
          <cell r="A578" t="str">
            <v>sp 1258</v>
          </cell>
          <cell r="B578" t="str">
            <v>Cuộn thuốc thú y Amoxil-100 loại 100gr</v>
          </cell>
          <cell r="E578">
            <v>3</v>
          </cell>
          <cell r="F578">
            <v>3</v>
          </cell>
          <cell r="AO578" t="str">
            <v>Công ty Hùng Nguyên</v>
          </cell>
          <cell r="AP578">
            <v>0</v>
          </cell>
          <cell r="AQ578" t="str">
            <v>F126749-1</v>
          </cell>
          <cell r="AR578" t="str">
            <v>F126749-2</v>
          </cell>
          <cell r="AS578" t="str">
            <v>F126749-3</v>
          </cell>
          <cell r="AT578">
            <v>0</v>
          </cell>
          <cell r="AU578">
            <v>0</v>
          </cell>
          <cell r="AV578">
            <v>0</v>
          </cell>
          <cell r="AW578">
            <v>0</v>
          </cell>
          <cell r="AX578">
            <v>0</v>
          </cell>
          <cell r="BA578" t="str">
            <v>570x870</v>
          </cell>
          <cell r="BB578" t="str">
            <v>S3</v>
          </cell>
          <cell r="BC578">
            <v>0</v>
          </cell>
        </row>
        <row r="579">
          <cell r="A579" t="str">
            <v>sp 1259</v>
          </cell>
          <cell r="B579">
            <v>0</v>
          </cell>
          <cell r="E579">
            <v>0</v>
          </cell>
          <cell r="F579">
            <v>0</v>
          </cell>
          <cell r="AO579">
            <v>0</v>
          </cell>
          <cell r="AP579">
            <v>0</v>
          </cell>
          <cell r="AQ579">
            <v>0</v>
          </cell>
          <cell r="AR579">
            <v>0</v>
          </cell>
          <cell r="AS579">
            <v>0</v>
          </cell>
          <cell r="AT579">
            <v>0</v>
          </cell>
          <cell r="AU579">
            <v>0</v>
          </cell>
          <cell r="AV579">
            <v>0</v>
          </cell>
          <cell r="AW579">
            <v>0</v>
          </cell>
          <cell r="AX579">
            <v>0</v>
          </cell>
          <cell r="BA579">
            <v>0</v>
          </cell>
          <cell r="BC579">
            <v>0</v>
          </cell>
        </row>
        <row r="580">
          <cell r="A580" t="str">
            <v>sp 1260</v>
          </cell>
          <cell r="B580" t="str">
            <v>Túi xúc xích ND 500gr HCK</v>
          </cell>
          <cell r="E580">
            <v>3</v>
          </cell>
          <cell r="F580">
            <v>3</v>
          </cell>
          <cell r="AO580" t="str">
            <v>Công ty HCK</v>
          </cell>
          <cell r="AP580">
            <v>0</v>
          </cell>
          <cell r="AQ580" t="str">
            <v>F126735-1</v>
          </cell>
          <cell r="AR580" t="str">
            <v>F126735-2</v>
          </cell>
          <cell r="AS580" t="str">
            <v>F126735-3</v>
          </cell>
          <cell r="AT580">
            <v>0</v>
          </cell>
          <cell r="AU580">
            <v>0</v>
          </cell>
          <cell r="AV580">
            <v>0</v>
          </cell>
          <cell r="AW580">
            <v>0</v>
          </cell>
          <cell r="AX580">
            <v>0</v>
          </cell>
          <cell r="BA580" t="str">
            <v>490x870</v>
          </cell>
          <cell r="BB580" t="str">
            <v>S3</v>
          </cell>
          <cell r="BC580">
            <v>0</v>
          </cell>
        </row>
        <row r="581">
          <cell r="A581" t="str">
            <v>sp 1261</v>
          </cell>
          <cell r="B581" t="str">
            <v>Cuộn giấy trà hương sen Kim Anh</v>
          </cell>
          <cell r="E581">
            <v>4</v>
          </cell>
          <cell r="F581">
            <v>4</v>
          </cell>
          <cell r="AO581" t="str">
            <v>Công ty Kim Anh</v>
          </cell>
          <cell r="AP581">
            <v>0</v>
          </cell>
          <cell r="AQ581" t="str">
            <v>X109684-1</v>
          </cell>
          <cell r="AR581" t="str">
            <v>X109684-2</v>
          </cell>
          <cell r="AS581" t="str">
            <v>X109684-3</v>
          </cell>
          <cell r="AT581" t="str">
            <v>X109684-4</v>
          </cell>
          <cell r="AU581">
            <v>0</v>
          </cell>
          <cell r="AV581">
            <v>0</v>
          </cell>
          <cell r="AW581">
            <v>0</v>
          </cell>
          <cell r="AX581">
            <v>0</v>
          </cell>
          <cell r="BA581" t="str">
            <v>462x870</v>
          </cell>
          <cell r="BC581">
            <v>0</v>
          </cell>
        </row>
        <row r="582">
          <cell r="A582" t="str">
            <v>sp 1262</v>
          </cell>
          <cell r="B582" t="str">
            <v>Cuộn giấy trà hương nhài Kim Anh</v>
          </cell>
          <cell r="E582">
            <v>1</v>
          </cell>
          <cell r="F582">
            <v>4</v>
          </cell>
          <cell r="AO582" t="str">
            <v>Công ty Kim Anh</v>
          </cell>
          <cell r="AP582">
            <v>0</v>
          </cell>
          <cell r="AQ582" t="str">
            <v>X109685-1</v>
          </cell>
          <cell r="AR582" t="str">
            <v>X109684-2</v>
          </cell>
          <cell r="AS582" t="str">
            <v>X109684-3</v>
          </cell>
          <cell r="AT582" t="str">
            <v>X109684-4</v>
          </cell>
          <cell r="AU582">
            <v>0</v>
          </cell>
          <cell r="AV582">
            <v>0</v>
          </cell>
          <cell r="AW582">
            <v>0</v>
          </cell>
          <cell r="AX582">
            <v>0</v>
          </cell>
          <cell r="BA582" t="str">
            <v>462x870</v>
          </cell>
          <cell r="BC582">
            <v>0</v>
          </cell>
        </row>
        <row r="583">
          <cell r="A583" t="str">
            <v>sp 1263</v>
          </cell>
          <cell r="B583" t="str">
            <v>Cuộn giấy trà hương cúc Kim Anh</v>
          </cell>
          <cell r="E583">
            <v>1</v>
          </cell>
          <cell r="F583">
            <v>4</v>
          </cell>
          <cell r="AO583" t="str">
            <v>Công ty Kim Anh</v>
          </cell>
          <cell r="AP583">
            <v>0</v>
          </cell>
          <cell r="AQ583" t="str">
            <v>X109686-1</v>
          </cell>
          <cell r="AR583" t="str">
            <v>X109684-2</v>
          </cell>
          <cell r="AS583" t="str">
            <v>X109684-3</v>
          </cell>
          <cell r="AT583" t="str">
            <v>X109684-4</v>
          </cell>
          <cell r="AU583">
            <v>0</v>
          </cell>
          <cell r="AV583">
            <v>0</v>
          </cell>
          <cell r="AW583">
            <v>0</v>
          </cell>
          <cell r="AX583">
            <v>0</v>
          </cell>
          <cell r="BA583" t="str">
            <v>462x870</v>
          </cell>
          <cell r="BC583">
            <v>0</v>
          </cell>
        </row>
        <row r="584">
          <cell r="A584" t="str">
            <v>sp 1264</v>
          </cell>
          <cell r="B584" t="str">
            <v>Cuộn giấy trà hương dâu Kim Anh</v>
          </cell>
          <cell r="E584">
            <v>1</v>
          </cell>
          <cell r="F584">
            <v>4</v>
          </cell>
          <cell r="AO584" t="str">
            <v>Công ty Kim Anh</v>
          </cell>
          <cell r="AP584">
            <v>0</v>
          </cell>
          <cell r="AQ584" t="str">
            <v>X109687-1</v>
          </cell>
          <cell r="AR584" t="str">
            <v>X109684-2</v>
          </cell>
          <cell r="AS584" t="str">
            <v>X109684-3</v>
          </cell>
          <cell r="AT584" t="str">
            <v>X109684-4</v>
          </cell>
          <cell r="AU584">
            <v>0</v>
          </cell>
          <cell r="AV584">
            <v>0</v>
          </cell>
          <cell r="AW584">
            <v>0</v>
          </cell>
          <cell r="AX584">
            <v>0</v>
          </cell>
          <cell r="BA584" t="str">
            <v>462x870</v>
          </cell>
          <cell r="BC584">
            <v>0</v>
          </cell>
        </row>
        <row r="585">
          <cell r="A585" t="str">
            <v>sp 1265</v>
          </cell>
          <cell r="B585" t="str">
            <v>Cuộn giấy trà hương đào Kim Anh</v>
          </cell>
          <cell r="E585">
            <v>1</v>
          </cell>
          <cell r="F585">
            <v>4</v>
          </cell>
          <cell r="AO585" t="str">
            <v>Công ty Kim Anh</v>
          </cell>
          <cell r="AP585">
            <v>0</v>
          </cell>
          <cell r="AQ585" t="str">
            <v>X109688-1</v>
          </cell>
          <cell r="AR585" t="str">
            <v>X109684-2</v>
          </cell>
          <cell r="AS585" t="str">
            <v>X109684-3</v>
          </cell>
          <cell r="AT585" t="str">
            <v>X109684-4</v>
          </cell>
          <cell r="AU585">
            <v>0</v>
          </cell>
          <cell r="AV585">
            <v>0</v>
          </cell>
          <cell r="AW585">
            <v>0</v>
          </cell>
          <cell r="AX585">
            <v>0</v>
          </cell>
          <cell r="BA585" t="str">
            <v>462x870</v>
          </cell>
          <cell r="BC585">
            <v>0</v>
          </cell>
        </row>
        <row r="586">
          <cell r="A586" t="str">
            <v>sp 1266</v>
          </cell>
          <cell r="B586" t="str">
            <v>Cuộn giấy chè thảo mộc Kim Anh</v>
          </cell>
          <cell r="E586">
            <v>1</v>
          </cell>
          <cell r="F586">
            <v>4</v>
          </cell>
          <cell r="AO586" t="str">
            <v>Công ty Kim Anh</v>
          </cell>
          <cell r="AP586">
            <v>0</v>
          </cell>
          <cell r="AQ586" t="str">
            <v>X109689-1</v>
          </cell>
          <cell r="AR586" t="str">
            <v>X109684-2</v>
          </cell>
          <cell r="AS586" t="str">
            <v>X109684-3</v>
          </cell>
          <cell r="AT586" t="str">
            <v>X109684-4</v>
          </cell>
          <cell r="AU586">
            <v>0</v>
          </cell>
          <cell r="AV586">
            <v>0</v>
          </cell>
          <cell r="AW586">
            <v>0</v>
          </cell>
          <cell r="AX586">
            <v>0</v>
          </cell>
          <cell r="BA586" t="str">
            <v>462x870</v>
          </cell>
          <cell r="BC586">
            <v>0</v>
          </cell>
        </row>
        <row r="587">
          <cell r="A587" t="str">
            <v>sp 1267</v>
          </cell>
          <cell r="B587" t="str">
            <v>Cuộn giấy chè thảo đen Kim Anh</v>
          </cell>
          <cell r="E587">
            <v>1</v>
          </cell>
          <cell r="F587">
            <v>4</v>
          </cell>
          <cell r="AO587" t="str">
            <v>Công ty Kim Anh</v>
          </cell>
          <cell r="AP587">
            <v>0</v>
          </cell>
          <cell r="AQ587" t="str">
            <v>X109690-1</v>
          </cell>
          <cell r="AR587" t="str">
            <v>X109684-2</v>
          </cell>
          <cell r="AS587" t="str">
            <v>X109684-3</v>
          </cell>
          <cell r="AT587" t="str">
            <v>X109684-4</v>
          </cell>
          <cell r="AU587">
            <v>0</v>
          </cell>
          <cell r="AV587">
            <v>0</v>
          </cell>
          <cell r="AW587">
            <v>0</v>
          </cell>
          <cell r="AX587">
            <v>0</v>
          </cell>
          <cell r="BA587" t="str">
            <v>462x870</v>
          </cell>
          <cell r="BC587">
            <v>0</v>
          </cell>
        </row>
        <row r="588">
          <cell r="A588" t="str">
            <v>sp 1268</v>
          </cell>
          <cell r="B588" t="str">
            <v>Cuộn giấy chè Giao Cổ Lam Kim Anh</v>
          </cell>
          <cell r="E588">
            <v>1</v>
          </cell>
          <cell r="F588">
            <v>4</v>
          </cell>
          <cell r="AO588" t="str">
            <v>Công ty Kim Anh</v>
          </cell>
          <cell r="AP588">
            <v>0</v>
          </cell>
          <cell r="AQ588" t="str">
            <v>X109691-1</v>
          </cell>
          <cell r="AR588" t="str">
            <v>X109684-2</v>
          </cell>
          <cell r="AS588" t="str">
            <v>X109684-3</v>
          </cell>
          <cell r="AT588" t="str">
            <v>X109684-4</v>
          </cell>
          <cell r="AU588">
            <v>0</v>
          </cell>
          <cell r="AV588">
            <v>0</v>
          </cell>
          <cell r="AW588">
            <v>0</v>
          </cell>
          <cell r="AX588">
            <v>0</v>
          </cell>
          <cell r="BA588" t="str">
            <v>462x870</v>
          </cell>
          <cell r="BC588">
            <v>0</v>
          </cell>
        </row>
        <row r="589">
          <cell r="A589" t="str">
            <v>sp 1269</v>
          </cell>
          <cell r="B589" t="str">
            <v>Cuộn giấy chè cà gai leo Kim Anh</v>
          </cell>
          <cell r="E589">
            <v>1</v>
          </cell>
          <cell r="F589">
            <v>4</v>
          </cell>
          <cell r="AO589" t="str">
            <v>Công ty Kim Anh</v>
          </cell>
          <cell r="AP589">
            <v>0</v>
          </cell>
          <cell r="AQ589" t="str">
            <v>X109692-1</v>
          </cell>
          <cell r="AR589" t="str">
            <v>X109684-2</v>
          </cell>
          <cell r="AS589" t="str">
            <v>X109684-3</v>
          </cell>
          <cell r="AT589" t="str">
            <v>X109684-4</v>
          </cell>
          <cell r="AU589">
            <v>0</v>
          </cell>
          <cell r="AV589">
            <v>0</v>
          </cell>
          <cell r="AW589">
            <v>0</v>
          </cell>
          <cell r="AX589">
            <v>0</v>
          </cell>
          <cell r="BA589" t="str">
            <v>462x870</v>
          </cell>
          <cell r="BC589">
            <v>0</v>
          </cell>
        </row>
        <row r="590">
          <cell r="A590" t="str">
            <v>sp 1270</v>
          </cell>
          <cell r="B590" t="str">
            <v>Túi trà hương nhài 100gr Zipper  Kim Anh</v>
          </cell>
          <cell r="E590">
            <v>8</v>
          </cell>
          <cell r="F590">
            <v>8</v>
          </cell>
          <cell r="AO590" t="str">
            <v>Công ty Kim Anh</v>
          </cell>
          <cell r="AP590">
            <v>0</v>
          </cell>
          <cell r="AQ590" t="str">
            <v>X109701-1</v>
          </cell>
          <cell r="AR590" t="str">
            <v>X109701-2</v>
          </cell>
          <cell r="AS590" t="str">
            <v>X109701-3</v>
          </cell>
          <cell r="AT590" t="str">
            <v>X109701-4</v>
          </cell>
          <cell r="AU590" t="str">
            <v>X109701-5</v>
          </cell>
          <cell r="AV590" t="str">
            <v>X109701-6</v>
          </cell>
          <cell r="AW590" t="str">
            <v>X109701-7</v>
          </cell>
          <cell r="AX590" t="str">
            <v>X109701-8</v>
          </cell>
          <cell r="BA590" t="str">
            <v>450x870</v>
          </cell>
          <cell r="BC590">
            <v>0</v>
          </cell>
        </row>
        <row r="591">
          <cell r="A591" t="str">
            <v>sp 1271</v>
          </cell>
          <cell r="B591" t="str">
            <v>Túi trà hương sen 100gr Zipper  Kim Anh</v>
          </cell>
          <cell r="E591">
            <v>5</v>
          </cell>
          <cell r="F591">
            <v>7</v>
          </cell>
          <cell r="AO591" t="str">
            <v>Công ty Kim Anh</v>
          </cell>
          <cell r="AP591">
            <v>0</v>
          </cell>
          <cell r="AQ591" t="str">
            <v>X109702-1</v>
          </cell>
          <cell r="AR591" t="str">
            <v>X109701-2</v>
          </cell>
          <cell r="AS591" t="str">
            <v>X109702-3</v>
          </cell>
          <cell r="AT591" t="str">
            <v>X109702-4</v>
          </cell>
          <cell r="AU591" t="str">
            <v>X109702-5</v>
          </cell>
          <cell r="AV591" t="str">
            <v>X109702-6</v>
          </cell>
          <cell r="AW591" t="str">
            <v>X109701-8</v>
          </cell>
          <cell r="AX591">
            <v>0</v>
          </cell>
          <cell r="BA591" t="str">
            <v>450x870</v>
          </cell>
          <cell r="BC591" t="str">
            <v>Chạy chung cây đỏ , trắng bộ 1270</v>
          </cell>
        </row>
        <row r="592">
          <cell r="A592" t="str">
            <v>sp 1272</v>
          </cell>
          <cell r="B592" t="str">
            <v>Túi trà xanh 100gr Zipper Kim Anh</v>
          </cell>
          <cell r="E592">
            <v>5</v>
          </cell>
          <cell r="F592">
            <v>8</v>
          </cell>
          <cell r="AO592" t="str">
            <v>Công ty Kim Anh</v>
          </cell>
          <cell r="AP592">
            <v>0</v>
          </cell>
          <cell r="AQ592" t="str">
            <v>X109701-1</v>
          </cell>
          <cell r="AR592" t="str">
            <v>X109704-2</v>
          </cell>
          <cell r="AS592" t="str">
            <v>X109701-3</v>
          </cell>
          <cell r="AT592" t="str">
            <v>X109704--4</v>
          </cell>
          <cell r="AU592" t="str">
            <v>X109704--5</v>
          </cell>
          <cell r="AV592" t="str">
            <v>X109704--6</v>
          </cell>
          <cell r="AW592" t="str">
            <v>X109704--7</v>
          </cell>
          <cell r="AX592" t="str">
            <v>X109701-8</v>
          </cell>
          <cell r="BA592" t="str">
            <v>450x870</v>
          </cell>
          <cell r="BC592" t="str">
            <v>Chạy chung cây nâu , đỏ , trắng bộ 1270</v>
          </cell>
        </row>
        <row r="593">
          <cell r="A593" t="str">
            <v>sp 1273</v>
          </cell>
          <cell r="B593" t="str">
            <v>Túi muối tinh I ốt 9999 250gr Hằng Hải</v>
          </cell>
          <cell r="E593">
            <v>7</v>
          </cell>
          <cell r="F593">
            <v>7</v>
          </cell>
          <cell r="AO593" t="str">
            <v>Công ty Hằng Hải</v>
          </cell>
          <cell r="AP593">
            <v>0</v>
          </cell>
          <cell r="AQ593" t="str">
            <v>1803797-1</v>
          </cell>
          <cell r="AR593" t="str">
            <v>1803797-2</v>
          </cell>
          <cell r="AS593" t="str">
            <v>1803797-3</v>
          </cell>
          <cell r="AT593" t="str">
            <v>1803797-4</v>
          </cell>
          <cell r="AU593" t="str">
            <v>1803797-5</v>
          </cell>
          <cell r="AV593" t="str">
            <v>1803797-6</v>
          </cell>
          <cell r="AW593" t="str">
            <v>1803797-7</v>
          </cell>
          <cell r="AX593">
            <v>0</v>
          </cell>
          <cell r="BA593" t="str">
            <v>477x770</v>
          </cell>
          <cell r="BC593">
            <v>0</v>
          </cell>
        </row>
        <row r="594">
          <cell r="A594" t="str">
            <v>sp 1274</v>
          </cell>
          <cell r="B594" t="str">
            <v>Cuộn màng nhôm đen trắng CPM</v>
          </cell>
          <cell r="E594">
            <v>3</v>
          </cell>
          <cell r="F594">
            <v>3</v>
          </cell>
          <cell r="AO594" t="str">
            <v>Công ty THV</v>
          </cell>
          <cell r="AP594">
            <v>0</v>
          </cell>
          <cell r="AQ594" t="str">
            <v>20081005-1</v>
          </cell>
          <cell r="AR594" t="str">
            <v>20081005-2</v>
          </cell>
          <cell r="AS594" t="str">
            <v>20081005-3</v>
          </cell>
          <cell r="AT594">
            <v>0</v>
          </cell>
          <cell r="AU594">
            <v>0</v>
          </cell>
          <cell r="AV594">
            <v>0</v>
          </cell>
          <cell r="AW594">
            <v>0</v>
          </cell>
          <cell r="AX594">
            <v>0</v>
          </cell>
          <cell r="BA594" t="str">
            <v>450x1320</v>
          </cell>
          <cell r="BC594">
            <v>0</v>
          </cell>
        </row>
        <row r="595">
          <cell r="A595" t="str">
            <v>sp 1275</v>
          </cell>
          <cell r="B595" t="str">
            <v>Cuộn bánh Marika in 3 màu</v>
          </cell>
          <cell r="E595">
            <v>3</v>
          </cell>
          <cell r="F595">
            <v>3</v>
          </cell>
          <cell r="AO595" t="str">
            <v>Công ty Marika</v>
          </cell>
          <cell r="AP595">
            <v>0</v>
          </cell>
          <cell r="AQ595" t="str">
            <v>20091119-1</v>
          </cell>
          <cell r="AR595" t="str">
            <v>20091119-2</v>
          </cell>
          <cell r="AS595" t="str">
            <v>20091119-3</v>
          </cell>
          <cell r="AT595">
            <v>0</v>
          </cell>
          <cell r="AU595">
            <v>0</v>
          </cell>
          <cell r="AV595">
            <v>0</v>
          </cell>
          <cell r="AW595">
            <v>0</v>
          </cell>
          <cell r="AX595">
            <v>0</v>
          </cell>
          <cell r="BA595" t="str">
            <v>455x850</v>
          </cell>
          <cell r="BC595">
            <v>0</v>
          </cell>
        </row>
        <row r="596">
          <cell r="A596" t="str">
            <v>sp 1276</v>
          </cell>
          <cell r="B596" t="str">
            <v>Cuộn hạt giống cải xanh lá to 22,củ cải ngắn lai 13,cải cúc tẻ 07 lucky</v>
          </cell>
          <cell r="E596">
            <v>5</v>
          </cell>
          <cell r="F596">
            <v>6</v>
          </cell>
          <cell r="AO596" t="str">
            <v>Công ty giống Lucky</v>
          </cell>
          <cell r="AP596">
            <v>0</v>
          </cell>
          <cell r="AQ596" t="str">
            <v>20090095-1</v>
          </cell>
          <cell r="AR596" t="str">
            <v>20090095-2</v>
          </cell>
          <cell r="AS596" t="str">
            <v>20090095-3</v>
          </cell>
          <cell r="AT596" t="str">
            <v>20090095-4</v>
          </cell>
          <cell r="AU596" t="str">
            <v>20090095-5</v>
          </cell>
          <cell r="AV596" t="str">
            <v>20081014-6</v>
          </cell>
          <cell r="AW596">
            <v>0</v>
          </cell>
          <cell r="AX596">
            <v>0</v>
          </cell>
          <cell r="BA596" t="str">
            <v>570x870</v>
          </cell>
          <cell r="BC596" t="str">
            <v>Dùng chung trục trắng sp 1255</v>
          </cell>
        </row>
        <row r="597">
          <cell r="A597" t="str">
            <v>sp 1277</v>
          </cell>
          <cell r="B597" t="str">
            <v>Cuộn hạt giống cải xanh lá to 1022, củ cải ngắn lại 1013,cải cúc tẻ 1007 Sao Việt</v>
          </cell>
          <cell r="E597">
            <v>5</v>
          </cell>
          <cell r="F597">
            <v>6</v>
          </cell>
          <cell r="AO597" t="str">
            <v>Công ty giống Lucky</v>
          </cell>
          <cell r="AP597">
            <v>0</v>
          </cell>
          <cell r="AQ597" t="str">
            <v>20090096-1</v>
          </cell>
          <cell r="AR597" t="str">
            <v>20090096-2</v>
          </cell>
          <cell r="AS597" t="str">
            <v>20090096-3</v>
          </cell>
          <cell r="AT597" t="str">
            <v>20090096-4</v>
          </cell>
          <cell r="AU597" t="str">
            <v>20090096-5</v>
          </cell>
          <cell r="AV597" t="str">
            <v>20081014-6</v>
          </cell>
          <cell r="AW597">
            <v>0</v>
          </cell>
          <cell r="AX597">
            <v>0</v>
          </cell>
          <cell r="BA597" t="str">
            <v>570x870</v>
          </cell>
          <cell r="BC597" t="str">
            <v>Dùng chung trục trắng sp 1255</v>
          </cell>
        </row>
        <row r="598">
          <cell r="A598" t="str">
            <v>sp 1278</v>
          </cell>
          <cell r="B598">
            <v>0</v>
          </cell>
          <cell r="E598">
            <v>0</v>
          </cell>
          <cell r="F598">
            <v>0</v>
          </cell>
          <cell r="AO598">
            <v>0</v>
          </cell>
          <cell r="AP598">
            <v>0</v>
          </cell>
          <cell r="AQ598">
            <v>0</v>
          </cell>
          <cell r="AR598">
            <v>0</v>
          </cell>
          <cell r="AS598">
            <v>0</v>
          </cell>
          <cell r="AT598">
            <v>0</v>
          </cell>
          <cell r="AU598">
            <v>0</v>
          </cell>
          <cell r="AV598">
            <v>0</v>
          </cell>
          <cell r="AW598">
            <v>0</v>
          </cell>
          <cell r="AX598">
            <v>0</v>
          </cell>
          <cell r="BA598">
            <v>0</v>
          </cell>
          <cell r="BC598">
            <v>0</v>
          </cell>
        </row>
        <row r="599">
          <cell r="A599" t="str">
            <v>sp 1279</v>
          </cell>
          <cell r="B599">
            <v>0</v>
          </cell>
          <cell r="E599">
            <v>0</v>
          </cell>
          <cell r="F599">
            <v>0</v>
          </cell>
          <cell r="AO599">
            <v>0</v>
          </cell>
          <cell r="AP599">
            <v>0</v>
          </cell>
          <cell r="AQ599">
            <v>0</v>
          </cell>
          <cell r="AR599">
            <v>0</v>
          </cell>
          <cell r="AS599">
            <v>0</v>
          </cell>
          <cell r="AT599">
            <v>0</v>
          </cell>
          <cell r="AU599">
            <v>0</v>
          </cell>
          <cell r="AV599">
            <v>0</v>
          </cell>
          <cell r="AW599">
            <v>0</v>
          </cell>
          <cell r="AX599">
            <v>0</v>
          </cell>
          <cell r="BA599">
            <v>0</v>
          </cell>
          <cell r="BC599">
            <v>0</v>
          </cell>
        </row>
        <row r="600">
          <cell r="A600" t="str">
            <v>sp 1280</v>
          </cell>
          <cell r="B600" t="str">
            <v>Túi nhôm LIVBILNIC 2 vỉ x 20 viên nền bao phim</v>
          </cell>
          <cell r="E600">
            <v>1</v>
          </cell>
          <cell r="F600">
            <v>1</v>
          </cell>
          <cell r="AO600" t="str">
            <v>Công ty Traphaco</v>
          </cell>
          <cell r="AP600">
            <v>0</v>
          </cell>
          <cell r="AQ600" t="str">
            <v>20090313-1</v>
          </cell>
          <cell r="AR600">
            <v>0</v>
          </cell>
          <cell r="AS600">
            <v>0</v>
          </cell>
          <cell r="AT600">
            <v>0</v>
          </cell>
          <cell r="AU600">
            <v>0</v>
          </cell>
          <cell r="AV600">
            <v>0</v>
          </cell>
          <cell r="AW600">
            <v>0</v>
          </cell>
          <cell r="AX600">
            <v>0</v>
          </cell>
          <cell r="BA600" t="str">
            <v>480x870</v>
          </cell>
          <cell r="BC600">
            <v>0</v>
          </cell>
        </row>
        <row r="601">
          <cell r="A601" t="str">
            <v>sp 1281</v>
          </cell>
          <cell r="B601">
            <v>0</v>
          </cell>
          <cell r="E601">
            <v>0</v>
          </cell>
          <cell r="F601">
            <v>0</v>
          </cell>
          <cell r="AO601">
            <v>0</v>
          </cell>
          <cell r="AP601">
            <v>0</v>
          </cell>
          <cell r="AQ601">
            <v>0</v>
          </cell>
          <cell r="AR601">
            <v>0</v>
          </cell>
          <cell r="AS601">
            <v>0</v>
          </cell>
          <cell r="AT601">
            <v>0</v>
          </cell>
          <cell r="AU601">
            <v>0</v>
          </cell>
          <cell r="AV601">
            <v>0</v>
          </cell>
          <cell r="AW601">
            <v>0</v>
          </cell>
          <cell r="AX601">
            <v>0</v>
          </cell>
          <cell r="BA601">
            <v>0</v>
          </cell>
          <cell r="BC601">
            <v>0</v>
          </cell>
        </row>
        <row r="602">
          <cell r="A602" t="str">
            <v>sp 1282</v>
          </cell>
          <cell r="B602">
            <v>0</v>
          </cell>
          <cell r="E602">
            <v>0</v>
          </cell>
          <cell r="F602">
            <v>0</v>
          </cell>
          <cell r="AO602">
            <v>0</v>
          </cell>
          <cell r="AP602">
            <v>0</v>
          </cell>
          <cell r="AQ602">
            <v>0</v>
          </cell>
          <cell r="AR602">
            <v>0</v>
          </cell>
          <cell r="AS602">
            <v>0</v>
          </cell>
          <cell r="AT602">
            <v>0</v>
          </cell>
          <cell r="AU602">
            <v>0</v>
          </cell>
          <cell r="AV602">
            <v>0</v>
          </cell>
          <cell r="AW602">
            <v>0</v>
          </cell>
          <cell r="AX602">
            <v>0</v>
          </cell>
          <cell r="BA602">
            <v>0</v>
          </cell>
          <cell r="BC602">
            <v>0</v>
          </cell>
        </row>
        <row r="603">
          <cell r="A603" t="str">
            <v>sp 1283</v>
          </cell>
          <cell r="B603" t="str">
            <v>Túi hạt giống cải làn hoa vàng Japan và Việt Nhật</v>
          </cell>
          <cell r="E603">
            <v>5</v>
          </cell>
          <cell r="F603">
            <v>5</v>
          </cell>
          <cell r="AO603" t="str">
            <v>Công ty giống Lucky</v>
          </cell>
          <cell r="AP603">
            <v>0</v>
          </cell>
          <cell r="AQ603" t="str">
            <v>19061016-1</v>
          </cell>
          <cell r="AR603" t="str">
            <v>19061016-2</v>
          </cell>
          <cell r="AS603" t="str">
            <v>19061016-3</v>
          </cell>
          <cell r="AT603" t="str">
            <v>19061016-4</v>
          </cell>
          <cell r="AU603" t="str">
            <v>19061016-5</v>
          </cell>
          <cell r="AV603">
            <v>0</v>
          </cell>
          <cell r="AW603">
            <v>0</v>
          </cell>
          <cell r="AX603">
            <v>0</v>
          </cell>
          <cell r="BA603" t="str">
            <v>720x800</v>
          </cell>
          <cell r="BC603">
            <v>0</v>
          </cell>
        </row>
        <row r="604">
          <cell r="A604" t="str">
            <v>sp 1284</v>
          </cell>
          <cell r="B604">
            <v>0</v>
          </cell>
          <cell r="E604">
            <v>0</v>
          </cell>
          <cell r="F604">
            <v>0</v>
          </cell>
          <cell r="AO604">
            <v>0</v>
          </cell>
          <cell r="AP604">
            <v>0</v>
          </cell>
          <cell r="AQ604">
            <v>0</v>
          </cell>
          <cell r="AR604">
            <v>0</v>
          </cell>
          <cell r="AS604">
            <v>0</v>
          </cell>
          <cell r="AT604">
            <v>0</v>
          </cell>
          <cell r="AU604">
            <v>0</v>
          </cell>
          <cell r="AV604">
            <v>0</v>
          </cell>
          <cell r="AW604">
            <v>0</v>
          </cell>
          <cell r="AX604">
            <v>0</v>
          </cell>
          <cell r="BA604">
            <v>0</v>
          </cell>
          <cell r="BC604">
            <v>0</v>
          </cell>
        </row>
        <row r="605">
          <cell r="A605" t="str">
            <v>sp 1286</v>
          </cell>
          <cell r="B605" t="str">
            <v>Túi bánh Crackers khoai tây 230g</v>
          </cell>
          <cell r="E605">
            <v>5</v>
          </cell>
          <cell r="F605">
            <v>5</v>
          </cell>
          <cell r="AO605" t="str">
            <v>Công ty Libra</v>
          </cell>
          <cell r="AP605">
            <v>0</v>
          </cell>
          <cell r="AQ605" t="str">
            <v>20090976-1</v>
          </cell>
          <cell r="AR605" t="str">
            <v>20090976-2</v>
          </cell>
          <cell r="AS605" t="str">
            <v>20090976-3</v>
          </cell>
          <cell r="AT605" t="str">
            <v>20090976-4</v>
          </cell>
          <cell r="AU605" t="str">
            <v>20090976-5</v>
          </cell>
          <cell r="AV605" t="str">
            <v>20100259-6</v>
          </cell>
          <cell r="AW605">
            <v>0</v>
          </cell>
          <cell r="AX605">
            <v>0</v>
          </cell>
          <cell r="BA605" t="str">
            <v>712x1200</v>
          </cell>
          <cell r="BC605">
            <v>0</v>
          </cell>
        </row>
        <row r="606">
          <cell r="A606" t="str">
            <v>sp 1285</v>
          </cell>
          <cell r="B606" t="str">
            <v>Túi bánh Crackers ngô 230g</v>
          </cell>
          <cell r="E606">
            <v>6</v>
          </cell>
          <cell r="F606">
            <v>6</v>
          </cell>
          <cell r="AO606" t="str">
            <v>Công ty Libra</v>
          </cell>
          <cell r="AP606">
            <v>0</v>
          </cell>
          <cell r="AQ606" t="str">
            <v>20090977-1</v>
          </cell>
          <cell r="AR606" t="str">
            <v>20090977-2</v>
          </cell>
          <cell r="AS606" t="str">
            <v>20090977-3</v>
          </cell>
          <cell r="AT606" t="str">
            <v>20090977-4</v>
          </cell>
          <cell r="AU606" t="str">
            <v>20090977-5</v>
          </cell>
          <cell r="AV606" t="str">
            <v>20090977-6</v>
          </cell>
          <cell r="AW606">
            <v>0</v>
          </cell>
          <cell r="AX606">
            <v>0</v>
          </cell>
          <cell r="BA606" t="str">
            <v>712x1200</v>
          </cell>
          <cell r="BC606">
            <v>0</v>
          </cell>
        </row>
        <row r="607">
          <cell r="A607" t="str">
            <v>sp 1287</v>
          </cell>
          <cell r="B607" t="str">
            <v>Cuộn màng TonMatPanel Đức Thiện</v>
          </cell>
          <cell r="E607">
            <v>3</v>
          </cell>
          <cell r="F607">
            <v>3</v>
          </cell>
          <cell r="AO607" t="str">
            <v>Công ty Đức Thiện</v>
          </cell>
          <cell r="AP607">
            <v>0</v>
          </cell>
          <cell r="AQ607" t="str">
            <v>20081311-1</v>
          </cell>
          <cell r="AR607" t="str">
            <v>20081311-2</v>
          </cell>
          <cell r="AS607" t="str">
            <v>20081311-3</v>
          </cell>
          <cell r="AT607">
            <v>0</v>
          </cell>
          <cell r="AU607">
            <v>0</v>
          </cell>
          <cell r="AV607">
            <v>0</v>
          </cell>
          <cell r="AW607">
            <v>0</v>
          </cell>
          <cell r="AX607">
            <v>0</v>
          </cell>
          <cell r="BA607" t="str">
            <v>630x1300</v>
          </cell>
          <cell r="BC607">
            <v>0</v>
          </cell>
        </row>
        <row r="608">
          <cell r="A608" t="str">
            <v>sp 1288</v>
          </cell>
          <cell r="B608" t="str">
            <v>Cuộn bánh Braka Coffee 134x103</v>
          </cell>
          <cell r="E608">
            <v>8</v>
          </cell>
          <cell r="F608">
            <v>8</v>
          </cell>
          <cell r="AO608" t="str">
            <v>Công ty Libra</v>
          </cell>
          <cell r="AP608">
            <v>0</v>
          </cell>
          <cell r="AQ608" t="str">
            <v>F126903-1</v>
          </cell>
          <cell r="AR608" t="str">
            <v>F126903-2</v>
          </cell>
          <cell r="AS608" t="str">
            <v>F126903-3</v>
          </cell>
          <cell r="AT608" t="str">
            <v>F126903-4</v>
          </cell>
          <cell r="AU608" t="str">
            <v>F126903-5</v>
          </cell>
          <cell r="AV608" t="str">
            <v>F126903-6</v>
          </cell>
          <cell r="AW608" t="str">
            <v>F126903-7</v>
          </cell>
          <cell r="AX608" t="str">
            <v>F126903-8</v>
          </cell>
          <cell r="BA608" t="str">
            <v>515x870</v>
          </cell>
          <cell r="BC608">
            <v>0</v>
          </cell>
        </row>
        <row r="609">
          <cell r="A609" t="str">
            <v>sp 1289</v>
          </cell>
          <cell r="B609" t="str">
            <v>Cuộn hạt giống cô ve leo hạt trắng,hạt đen tứ quý Sao Việt</v>
          </cell>
          <cell r="E609">
            <v>5</v>
          </cell>
          <cell r="F609">
            <v>5</v>
          </cell>
          <cell r="AO609" t="str">
            <v>Công ty giống Lucky</v>
          </cell>
          <cell r="AP609">
            <v>0</v>
          </cell>
          <cell r="AQ609" t="str">
            <v>20090848-1</v>
          </cell>
          <cell r="AR609" t="str">
            <v>20090848-2</v>
          </cell>
          <cell r="AS609" t="str">
            <v>20090848-3</v>
          </cell>
          <cell r="AT609" t="str">
            <v>20090848-4</v>
          </cell>
          <cell r="AU609" t="str">
            <v>20090848-5</v>
          </cell>
          <cell r="AV609" t="str">
            <v>20081014-6</v>
          </cell>
          <cell r="AW609">
            <v>0</v>
          </cell>
          <cell r="AX609">
            <v>0</v>
          </cell>
          <cell r="BA609" t="str">
            <v>570x870</v>
          </cell>
          <cell r="BC609" t="str">
            <v>Dùng chung cây trắng với sp 1255</v>
          </cell>
        </row>
        <row r="610">
          <cell r="A610" t="str">
            <v>sp 1290</v>
          </cell>
          <cell r="B610" t="str">
            <v>Cuộn hạt giống cô ve leo hạt trắng,hạt đen tứ quý Lucky</v>
          </cell>
          <cell r="E610">
            <v>5</v>
          </cell>
          <cell r="F610">
            <v>5</v>
          </cell>
          <cell r="AO610" t="str">
            <v>Công ty giống Lucky</v>
          </cell>
          <cell r="AP610">
            <v>0</v>
          </cell>
          <cell r="AQ610" t="str">
            <v>20090847-1</v>
          </cell>
          <cell r="AR610" t="str">
            <v>20090847-2</v>
          </cell>
          <cell r="AS610" t="str">
            <v>20090847-3</v>
          </cell>
          <cell r="AT610" t="str">
            <v>20090847-4</v>
          </cell>
          <cell r="AU610" t="str">
            <v>20090847-5</v>
          </cell>
          <cell r="AV610" t="str">
            <v>20081014-6</v>
          </cell>
          <cell r="AW610">
            <v>0</v>
          </cell>
          <cell r="AX610">
            <v>0</v>
          </cell>
          <cell r="BA610" t="str">
            <v>570x870</v>
          </cell>
          <cell r="BC610" t="str">
            <v>Dùng chung cây trắng với sp 1255</v>
          </cell>
        </row>
        <row r="611">
          <cell r="A611" t="str">
            <v>sp 1291</v>
          </cell>
          <cell r="B611" t="str">
            <v>Túi thuốc thú y 1kg mã CD2121</v>
          </cell>
          <cell r="E611">
            <v>3</v>
          </cell>
          <cell r="F611">
            <v>3</v>
          </cell>
          <cell r="AO611" t="str">
            <v>Công ty Năm Thái</v>
          </cell>
          <cell r="AP611">
            <v>0</v>
          </cell>
          <cell r="AQ611" t="str">
            <v>20091059-1</v>
          </cell>
          <cell r="AR611" t="str">
            <v>20091059-2</v>
          </cell>
          <cell r="AS611" t="str">
            <v>20091059-3</v>
          </cell>
          <cell r="AT611">
            <v>0</v>
          </cell>
          <cell r="AU611">
            <v>0</v>
          </cell>
          <cell r="AV611">
            <v>0</v>
          </cell>
          <cell r="AW611">
            <v>0</v>
          </cell>
          <cell r="AX611">
            <v>0</v>
          </cell>
          <cell r="BA611" t="str">
            <v>480x870</v>
          </cell>
          <cell r="BC611">
            <v>0</v>
          </cell>
        </row>
        <row r="612">
          <cell r="A612" t="str">
            <v>sp 1292</v>
          </cell>
          <cell r="B612" t="str">
            <v>Cuộn màng Javta Panel Đức Thiện</v>
          </cell>
          <cell r="E612">
            <v>2</v>
          </cell>
          <cell r="F612">
            <v>2</v>
          </cell>
          <cell r="AO612" t="str">
            <v>Công ty Đức Thiện</v>
          </cell>
          <cell r="AP612">
            <v>0</v>
          </cell>
          <cell r="AQ612" t="str">
            <v>20091023-1</v>
          </cell>
          <cell r="AR612" t="str">
            <v>20091023-2</v>
          </cell>
          <cell r="AS612">
            <v>0</v>
          </cell>
          <cell r="AT612">
            <v>0</v>
          </cell>
          <cell r="AU612">
            <v>0</v>
          </cell>
          <cell r="AV612">
            <v>0</v>
          </cell>
          <cell r="AW612">
            <v>0</v>
          </cell>
          <cell r="AX612">
            <v>0</v>
          </cell>
          <cell r="BA612" t="str">
            <v>600x1300</v>
          </cell>
          <cell r="BC612">
            <v>0</v>
          </cell>
        </row>
        <row r="613">
          <cell r="A613" t="str">
            <v>sp 1293</v>
          </cell>
          <cell r="B613" t="str">
            <v>Túi bột giặt đựng nước Okashi 200ml-Hòa Hợp</v>
          </cell>
          <cell r="E613">
            <v>8</v>
          </cell>
          <cell r="F613">
            <v>8</v>
          </cell>
          <cell r="AO613" t="str">
            <v>Công ty Hòa Hợp</v>
          </cell>
          <cell r="AP613">
            <v>0</v>
          </cell>
          <cell r="AQ613" t="str">
            <v>F126819-1</v>
          </cell>
          <cell r="AR613" t="str">
            <v>F126819-2</v>
          </cell>
          <cell r="AS613" t="str">
            <v>F126819-3</v>
          </cell>
          <cell r="AT613" t="str">
            <v>F126819-4</v>
          </cell>
          <cell r="AU613" t="str">
            <v>F126819-5</v>
          </cell>
          <cell r="AV613" t="str">
            <v>F126819-6</v>
          </cell>
          <cell r="AW613" t="str">
            <v>F126819-7</v>
          </cell>
          <cell r="AX613" t="str">
            <v>F126819-8</v>
          </cell>
          <cell r="BA613" t="str">
            <v>458x880</v>
          </cell>
          <cell r="BC613">
            <v>0</v>
          </cell>
        </row>
        <row r="614">
          <cell r="A614" t="str">
            <v>sp 1294</v>
          </cell>
          <cell r="B614" t="str">
            <v>Túi thuốc thú y Canxi Poly vit 200g</v>
          </cell>
          <cell r="E614">
            <v>2</v>
          </cell>
          <cell r="F614">
            <v>2</v>
          </cell>
          <cell r="AO614" t="str">
            <v>Công ty Trường Hằng</v>
          </cell>
          <cell r="AP614">
            <v>0</v>
          </cell>
          <cell r="AQ614" t="str">
            <v>20100218-1</v>
          </cell>
          <cell r="AR614" t="str">
            <v>20100218-2</v>
          </cell>
          <cell r="AS614">
            <v>0</v>
          </cell>
          <cell r="AT614">
            <v>0</v>
          </cell>
          <cell r="AU614">
            <v>0</v>
          </cell>
          <cell r="AV614">
            <v>0</v>
          </cell>
          <cell r="AW614">
            <v>0</v>
          </cell>
          <cell r="AX614">
            <v>0</v>
          </cell>
          <cell r="BA614" t="str">
            <v>510x870</v>
          </cell>
          <cell r="BC614">
            <v>0</v>
          </cell>
        </row>
        <row r="615">
          <cell r="A615" t="str">
            <v>sp 1295</v>
          </cell>
          <cell r="B615" t="str">
            <v>Cuộn trà Mokhtar Tea Mint Vĩnh Phúc</v>
          </cell>
          <cell r="E615">
            <v>6</v>
          </cell>
          <cell r="F615">
            <v>6</v>
          </cell>
          <cell r="AO615" t="str">
            <v>Công ty Vĩnh Phúc</v>
          </cell>
          <cell r="AP615">
            <v>0</v>
          </cell>
          <cell r="AQ615" t="str">
            <v>F127056-1</v>
          </cell>
          <cell r="AR615" t="str">
            <v>F127056-2</v>
          </cell>
          <cell r="AS615" t="str">
            <v>F127056-3</v>
          </cell>
          <cell r="AT615" t="str">
            <v>F127056-4</v>
          </cell>
          <cell r="AU615" t="str">
            <v>F127056-5</v>
          </cell>
          <cell r="AV615" t="str">
            <v>F127056-6</v>
          </cell>
          <cell r="AW615">
            <v>0</v>
          </cell>
          <cell r="AX615">
            <v>0</v>
          </cell>
          <cell r="BA615" t="str">
            <v>462x870</v>
          </cell>
          <cell r="BC615">
            <v>0</v>
          </cell>
        </row>
        <row r="616">
          <cell r="A616" t="str">
            <v>sp 1296</v>
          </cell>
          <cell r="B616" t="str">
            <v>Cuộn trà Mokhtar Tea Cardamon Vĩnh Phúc</v>
          </cell>
          <cell r="E616">
            <v>5</v>
          </cell>
          <cell r="F616">
            <v>6</v>
          </cell>
          <cell r="AO616" t="str">
            <v>Công ty Vĩnh Phúc</v>
          </cell>
          <cell r="AP616">
            <v>0</v>
          </cell>
          <cell r="AQ616" t="str">
            <v>F127058-1</v>
          </cell>
          <cell r="AR616" t="str">
            <v>F127058-2</v>
          </cell>
          <cell r="AS616" t="str">
            <v>F127058-3</v>
          </cell>
          <cell r="AT616" t="str">
            <v>F127058-4</v>
          </cell>
          <cell r="AU616" t="str">
            <v>F127058-5</v>
          </cell>
          <cell r="AV616" t="str">
            <v>F127056-6</v>
          </cell>
          <cell r="AW616">
            <v>0</v>
          </cell>
          <cell r="AX616">
            <v>0</v>
          </cell>
          <cell r="BA616" t="str">
            <v>462x870</v>
          </cell>
          <cell r="BC616" t="str">
            <v>Dùng chung trục trắng sp 1295</v>
          </cell>
        </row>
        <row r="617">
          <cell r="A617" t="str">
            <v>sp 1297</v>
          </cell>
          <cell r="B617" t="str">
            <v>Cuộn trà Mokhtar Tea Lemon Vĩnh Phúc</v>
          </cell>
          <cell r="E617">
            <v>5</v>
          </cell>
          <cell r="F617">
            <v>6</v>
          </cell>
          <cell r="AO617" t="str">
            <v>Công ty Vĩnh Phúc</v>
          </cell>
          <cell r="AP617">
            <v>0</v>
          </cell>
          <cell r="AQ617" t="str">
            <v>F127059-1</v>
          </cell>
          <cell r="AR617" t="str">
            <v>F127059-2</v>
          </cell>
          <cell r="AS617" t="str">
            <v>F127059-3</v>
          </cell>
          <cell r="AT617" t="str">
            <v>F127059-4</v>
          </cell>
          <cell r="AU617" t="str">
            <v>F127059-5</v>
          </cell>
          <cell r="AV617" t="str">
            <v>F127056-6</v>
          </cell>
          <cell r="AW617">
            <v>0</v>
          </cell>
          <cell r="AX617">
            <v>0</v>
          </cell>
          <cell r="BA617" t="str">
            <v>462x870</v>
          </cell>
          <cell r="BC617" t="str">
            <v>Dùng chung trục trắng sp 1295</v>
          </cell>
        </row>
        <row r="618">
          <cell r="A618" t="str">
            <v>sp 1298</v>
          </cell>
          <cell r="B618" t="str">
            <v>Cuộn trà Mokhtar Tea Jasmine Vĩnh Phúc</v>
          </cell>
          <cell r="E618">
            <v>5</v>
          </cell>
          <cell r="F618">
            <v>6</v>
          </cell>
          <cell r="AO618" t="str">
            <v>Công ty Vĩnh Phúc</v>
          </cell>
          <cell r="AP618">
            <v>0</v>
          </cell>
          <cell r="AQ618" t="str">
            <v>F127061-1</v>
          </cell>
          <cell r="AR618" t="str">
            <v>F127061-2</v>
          </cell>
          <cell r="AS618" t="str">
            <v>F127061-3</v>
          </cell>
          <cell r="AT618" t="str">
            <v>F127061-4</v>
          </cell>
          <cell r="AU618" t="str">
            <v>F127061-5</v>
          </cell>
          <cell r="AV618" t="str">
            <v>F127056-6</v>
          </cell>
          <cell r="AW618">
            <v>0</v>
          </cell>
          <cell r="AX618">
            <v>0</v>
          </cell>
          <cell r="BA618" t="str">
            <v>462x870</v>
          </cell>
          <cell r="BC618" t="str">
            <v>Dùng chung trục trắng sp 1295</v>
          </cell>
        </row>
        <row r="619">
          <cell r="A619" t="str">
            <v>sp 1299</v>
          </cell>
          <cell r="B619" t="str">
            <v>Túi men rượu hương nếp Bắc Việt 500gr</v>
          </cell>
          <cell r="E619">
            <v>8</v>
          </cell>
          <cell r="F619">
            <v>8</v>
          </cell>
          <cell r="AO619" t="str">
            <v>Công ty Trung Tiến</v>
          </cell>
          <cell r="AP619">
            <v>0</v>
          </cell>
          <cell r="AQ619" t="str">
            <v>F127089-1</v>
          </cell>
          <cell r="AR619" t="str">
            <v>F127089-2</v>
          </cell>
          <cell r="AS619" t="str">
            <v>F127089-3</v>
          </cell>
          <cell r="AT619" t="str">
            <v>F127089-4</v>
          </cell>
          <cell r="AU619" t="str">
            <v>F127089-5</v>
          </cell>
          <cell r="AV619" t="str">
            <v>F127089-6</v>
          </cell>
          <cell r="AW619" t="str">
            <v>F127089-7</v>
          </cell>
          <cell r="AX619" t="str">
            <v>F127089-8</v>
          </cell>
          <cell r="BA619" t="str">
            <v>540x860</v>
          </cell>
          <cell r="BC619">
            <v>0</v>
          </cell>
        </row>
        <row r="620">
          <cell r="A620" t="str">
            <v>sp 1300</v>
          </cell>
          <cell r="B620" t="str">
            <v>Túi hạt giống bí mật đỏ và cải bẹ xanh mỡ Việt Nhật</v>
          </cell>
          <cell r="E620">
            <v>5</v>
          </cell>
          <cell r="F620">
            <v>5</v>
          </cell>
          <cell r="AO620" t="str">
            <v>Công ty Việt Nhật</v>
          </cell>
          <cell r="AP620">
            <v>0</v>
          </cell>
          <cell r="AQ620" t="str">
            <v>19071143-1</v>
          </cell>
          <cell r="AR620" t="str">
            <v>19071143-2</v>
          </cell>
          <cell r="AS620" t="str">
            <v>19071143-3</v>
          </cell>
          <cell r="AT620" t="str">
            <v>19071143-4</v>
          </cell>
          <cell r="AU620" t="str">
            <v>19071143-5</v>
          </cell>
          <cell r="AV620">
            <v>0</v>
          </cell>
          <cell r="AW620">
            <v>0</v>
          </cell>
          <cell r="AX620">
            <v>0</v>
          </cell>
          <cell r="BA620" t="str">
            <v>720x800</v>
          </cell>
          <cell r="BC620">
            <v>0</v>
          </cell>
        </row>
        <row r="621">
          <cell r="A621" t="str">
            <v>sp 1301</v>
          </cell>
          <cell r="B621">
            <v>0</v>
          </cell>
          <cell r="F621">
            <v>0</v>
          </cell>
          <cell r="AO621">
            <v>0</v>
          </cell>
          <cell r="AP621">
            <v>0</v>
          </cell>
          <cell r="AQ621">
            <v>0</v>
          </cell>
          <cell r="AR621">
            <v>0</v>
          </cell>
          <cell r="AS621">
            <v>0</v>
          </cell>
          <cell r="AT621">
            <v>0</v>
          </cell>
          <cell r="AU621">
            <v>0</v>
          </cell>
          <cell r="AV621">
            <v>0</v>
          </cell>
          <cell r="AW621">
            <v>0</v>
          </cell>
          <cell r="AX621">
            <v>0</v>
          </cell>
          <cell r="BA621">
            <v>0</v>
          </cell>
          <cell r="BC621">
            <v>0</v>
          </cell>
        </row>
        <row r="622">
          <cell r="A622" t="str">
            <v>sp 1302</v>
          </cell>
          <cell r="B622">
            <v>0</v>
          </cell>
          <cell r="F622">
            <v>0</v>
          </cell>
          <cell r="AO622">
            <v>0</v>
          </cell>
          <cell r="AP622">
            <v>0</v>
          </cell>
          <cell r="AQ622">
            <v>0</v>
          </cell>
          <cell r="AR622">
            <v>0</v>
          </cell>
          <cell r="AS622">
            <v>0</v>
          </cell>
          <cell r="AT622">
            <v>0</v>
          </cell>
          <cell r="AU622">
            <v>0</v>
          </cell>
          <cell r="AV622">
            <v>0</v>
          </cell>
          <cell r="AW622">
            <v>0</v>
          </cell>
          <cell r="AX622">
            <v>0</v>
          </cell>
          <cell r="BA622">
            <v>0</v>
          </cell>
          <cell r="BC622">
            <v>0</v>
          </cell>
        </row>
        <row r="623">
          <cell r="A623" t="str">
            <v>sp 1303</v>
          </cell>
          <cell r="B623" t="str">
            <v>Túi cát linh in 1 màu kt 65x180x50</v>
          </cell>
          <cell r="E623">
            <v>1</v>
          </cell>
          <cell r="F623">
            <v>1</v>
          </cell>
          <cell r="AO623" t="str">
            <v>Công ty Cát Linh</v>
          </cell>
          <cell r="AP623">
            <v>0</v>
          </cell>
          <cell r="AQ623" t="str">
            <v>X110029-1</v>
          </cell>
          <cell r="AR623">
            <v>0</v>
          </cell>
          <cell r="AS623">
            <v>0</v>
          </cell>
          <cell r="AT623">
            <v>0</v>
          </cell>
          <cell r="AU623">
            <v>0</v>
          </cell>
          <cell r="AV623">
            <v>0</v>
          </cell>
          <cell r="AW623">
            <v>0</v>
          </cell>
          <cell r="AX623">
            <v>0</v>
          </cell>
          <cell r="BA623" t="str">
            <v>540x870</v>
          </cell>
          <cell r="BC623">
            <v>0</v>
          </cell>
        </row>
        <row r="624">
          <cell r="A624" t="str">
            <v>sp 1304</v>
          </cell>
          <cell r="B624" t="str">
            <v>Túi nước giặt xả remix nền xanh 3,6l</v>
          </cell>
          <cell r="E624">
            <v>7</v>
          </cell>
          <cell r="F624">
            <v>7</v>
          </cell>
          <cell r="AO624" t="str">
            <v>Công ty Hóa Mỹ Phẩm</v>
          </cell>
          <cell r="AP624">
            <v>0</v>
          </cell>
          <cell r="AQ624" t="str">
            <v>F127181-1</v>
          </cell>
          <cell r="AR624" t="str">
            <v>F127181-2</v>
          </cell>
          <cell r="AS624" t="str">
            <v>F127181-3</v>
          </cell>
          <cell r="AT624" t="str">
            <v>F127181-4</v>
          </cell>
          <cell r="AU624" t="str">
            <v>F127181-5</v>
          </cell>
          <cell r="AV624" t="str">
            <v>F127181-6</v>
          </cell>
          <cell r="AW624" t="str">
            <v>F127181-7</v>
          </cell>
          <cell r="AX624">
            <v>0</v>
          </cell>
          <cell r="BA624" t="str">
            <v>540x1100</v>
          </cell>
          <cell r="BC624">
            <v>0</v>
          </cell>
        </row>
        <row r="625">
          <cell r="A625" t="str">
            <v>sp 1305</v>
          </cell>
          <cell r="B625" t="str">
            <v>Túi nước giặt xả remix nền đỏ 3,6l</v>
          </cell>
          <cell r="E625">
            <v>7</v>
          </cell>
          <cell r="F625">
            <v>7</v>
          </cell>
          <cell r="AO625" t="str">
            <v>Công ty Hóa Mỹ Phẩm</v>
          </cell>
          <cell r="AP625">
            <v>0</v>
          </cell>
          <cell r="AQ625" t="str">
            <v>F127181-1</v>
          </cell>
          <cell r="AR625" t="str">
            <v>F127181-2</v>
          </cell>
          <cell r="AS625" t="str">
            <v>F127181-3</v>
          </cell>
          <cell r="AT625" t="str">
            <v>F127181-4</v>
          </cell>
          <cell r="AU625" t="str">
            <v>F127181-5</v>
          </cell>
          <cell r="AV625" t="str">
            <v>F127181-6</v>
          </cell>
          <cell r="AW625" t="str">
            <v>F127181-7</v>
          </cell>
          <cell r="AX625">
            <v>0</v>
          </cell>
          <cell r="BA625" t="str">
            <v>540x1100</v>
          </cell>
          <cell r="BC625" t="str">
            <v>SỬ DỤNG BỘ 1304</v>
          </cell>
        </row>
        <row r="626">
          <cell r="A626" t="str">
            <v>sp 1306</v>
          </cell>
          <cell r="B626" t="str">
            <v>Túi trà lụa Tân Cương 100g loại 5</v>
          </cell>
          <cell r="E626">
            <v>6</v>
          </cell>
          <cell r="F626">
            <v>7</v>
          </cell>
          <cell r="AO626" t="str">
            <v>Bùi Văn Sỹ</v>
          </cell>
          <cell r="AP626">
            <v>0</v>
          </cell>
          <cell r="AQ626" t="str">
            <v>20101231-1</v>
          </cell>
          <cell r="AR626" t="str">
            <v>20101231-2</v>
          </cell>
          <cell r="AS626" t="str">
            <v>20101231-3</v>
          </cell>
          <cell r="AT626" t="str">
            <v>20101231-4</v>
          </cell>
          <cell r="AU626" t="str">
            <v>20101231-5</v>
          </cell>
          <cell r="AV626" t="str">
            <v>20101231-6</v>
          </cell>
          <cell r="AW626" t="str">
            <v>1607495-7</v>
          </cell>
          <cell r="AX626">
            <v>0</v>
          </cell>
          <cell r="BA626" t="str">
            <v>540x850</v>
          </cell>
          <cell r="BC626">
            <v>0</v>
          </cell>
        </row>
        <row r="627">
          <cell r="A627" t="str">
            <v>sp 1307</v>
          </cell>
          <cell r="B627" t="str">
            <v>Túi bánh bao chay vừng 180g</v>
          </cell>
          <cell r="E627">
            <v>6</v>
          </cell>
          <cell r="F627">
            <v>6</v>
          </cell>
          <cell r="AO627" t="str">
            <v>Công ty Phú Mỹ</v>
          </cell>
          <cell r="AP627">
            <v>0</v>
          </cell>
          <cell r="AQ627" t="str">
            <v>20110326-1</v>
          </cell>
          <cell r="AR627" t="str">
            <v>20110326-2</v>
          </cell>
          <cell r="AS627" t="str">
            <v>20110326-3</v>
          </cell>
          <cell r="AT627" t="str">
            <v>20110326-4</v>
          </cell>
          <cell r="AU627" t="str">
            <v>20110326-5</v>
          </cell>
          <cell r="AV627" t="str">
            <v>20110326-6</v>
          </cell>
          <cell r="AW627">
            <v>0</v>
          </cell>
          <cell r="AX627">
            <v>0</v>
          </cell>
          <cell r="BA627" t="str">
            <v>532x870</v>
          </cell>
          <cell r="BC627">
            <v>0</v>
          </cell>
        </row>
        <row r="628">
          <cell r="A628" t="str">
            <v>sp 1308</v>
          </cell>
          <cell r="B628">
            <v>0</v>
          </cell>
          <cell r="F628">
            <v>0</v>
          </cell>
          <cell r="AO628">
            <v>0</v>
          </cell>
          <cell r="AP628">
            <v>0</v>
          </cell>
          <cell r="AQ628">
            <v>0</v>
          </cell>
          <cell r="AR628">
            <v>0</v>
          </cell>
          <cell r="AS628">
            <v>0</v>
          </cell>
          <cell r="AT628">
            <v>0</v>
          </cell>
          <cell r="AU628">
            <v>0</v>
          </cell>
          <cell r="AV628">
            <v>0</v>
          </cell>
          <cell r="AW628">
            <v>0</v>
          </cell>
          <cell r="AX628">
            <v>0</v>
          </cell>
          <cell r="BA628">
            <v>0</v>
          </cell>
          <cell r="BC628">
            <v>0</v>
          </cell>
        </row>
        <row r="629">
          <cell r="A629" t="str">
            <v>sp 1309</v>
          </cell>
          <cell r="B629">
            <v>0</v>
          </cell>
          <cell r="F629">
            <v>0</v>
          </cell>
          <cell r="AO629">
            <v>0</v>
          </cell>
          <cell r="AP629">
            <v>0</v>
          </cell>
          <cell r="AQ629">
            <v>0</v>
          </cell>
          <cell r="AR629">
            <v>0</v>
          </cell>
          <cell r="AS629">
            <v>0</v>
          </cell>
          <cell r="AT629">
            <v>0</v>
          </cell>
          <cell r="AU629">
            <v>0</v>
          </cell>
          <cell r="AV629">
            <v>0</v>
          </cell>
          <cell r="AW629">
            <v>0</v>
          </cell>
          <cell r="AX629">
            <v>0</v>
          </cell>
          <cell r="BA629">
            <v>0</v>
          </cell>
          <cell r="BC629">
            <v>0</v>
          </cell>
        </row>
        <row r="630">
          <cell r="A630" t="str">
            <v>sp 1310</v>
          </cell>
          <cell r="B630" t="str">
            <v>Túi trà xanh TC Thái Nguyên 200gr loại 25</v>
          </cell>
          <cell r="E630">
            <v>7</v>
          </cell>
          <cell r="F630">
            <v>7</v>
          </cell>
          <cell r="AO630" t="str">
            <v>Bùi Văn Sỹ</v>
          </cell>
          <cell r="AP630">
            <v>0</v>
          </cell>
          <cell r="AQ630" t="str">
            <v>HD32011018-1</v>
          </cell>
          <cell r="AR630" t="str">
            <v>HD32011018-2</v>
          </cell>
          <cell r="AS630" t="str">
            <v>HD32011018-3</v>
          </cell>
          <cell r="AT630" t="str">
            <v>HD32011018-4</v>
          </cell>
          <cell r="AU630" t="str">
            <v>HD32011018-5</v>
          </cell>
          <cell r="AV630" t="str">
            <v>HD32011018-6</v>
          </cell>
          <cell r="AW630" t="str">
            <v>HD32011018-7</v>
          </cell>
          <cell r="AX630">
            <v>0</v>
          </cell>
          <cell r="BA630" t="str">
            <v>680x870</v>
          </cell>
          <cell r="BC630">
            <v>0</v>
          </cell>
        </row>
        <row r="631">
          <cell r="A631" t="str">
            <v>sp 1311</v>
          </cell>
          <cell r="B631" t="str">
            <v>Túi trà xanh ĐS Thái Nguyên 200gr loại 25</v>
          </cell>
          <cell r="E631">
            <v>1</v>
          </cell>
          <cell r="F631">
            <v>7</v>
          </cell>
          <cell r="AO631" t="str">
            <v>Bùi Văn Sỹ</v>
          </cell>
          <cell r="AP631">
            <v>0</v>
          </cell>
          <cell r="AQ631" t="str">
            <v>HD32011018-1</v>
          </cell>
          <cell r="AR631" t="str">
            <v>HD32011018-2</v>
          </cell>
          <cell r="AS631" t="str">
            <v>HD32011018J1-3</v>
          </cell>
          <cell r="AT631" t="str">
            <v>HD32011018-4</v>
          </cell>
          <cell r="AU631" t="str">
            <v>HD32011018-5</v>
          </cell>
          <cell r="AV631" t="str">
            <v>HD32011018-6</v>
          </cell>
          <cell r="AW631" t="str">
            <v>HD32011018-7</v>
          </cell>
          <cell r="AX631">
            <v>0</v>
          </cell>
          <cell r="BA631" t="str">
            <v>680x870</v>
          </cell>
          <cell r="BC631" t="str">
            <v>Chạy chung sp 1310 trừ cây số 3</v>
          </cell>
        </row>
        <row r="632">
          <cell r="A632" t="str">
            <v>sp 1312</v>
          </cell>
          <cell r="B632" t="str">
            <v>Túi trà xanh TC Thái Nguyên 500gr loại 25</v>
          </cell>
          <cell r="E632">
            <v>7</v>
          </cell>
          <cell r="F632">
            <v>7</v>
          </cell>
          <cell r="AO632" t="str">
            <v>Bùi Văn Sỹ</v>
          </cell>
          <cell r="AP632">
            <v>0</v>
          </cell>
          <cell r="AQ632" t="str">
            <v>HD32011019-1</v>
          </cell>
          <cell r="AR632" t="str">
            <v>HD32011019-2</v>
          </cell>
          <cell r="AS632" t="str">
            <v>HD32011019-3</v>
          </cell>
          <cell r="AT632" t="str">
            <v>HD32011019-4</v>
          </cell>
          <cell r="AU632" t="str">
            <v>HD32011019-5</v>
          </cell>
          <cell r="AV632" t="str">
            <v>HD32011019-6</v>
          </cell>
          <cell r="AW632" t="str">
            <v>HD32011019-7</v>
          </cell>
          <cell r="AX632">
            <v>0</v>
          </cell>
          <cell r="BA632" t="str">
            <v>420x870</v>
          </cell>
          <cell r="BC632">
            <v>0</v>
          </cell>
        </row>
        <row r="633">
          <cell r="A633" t="str">
            <v>sp 1313</v>
          </cell>
          <cell r="B633" t="str">
            <v>Túi trà xanh ĐS Thái Nguyên 500gr loại 25</v>
          </cell>
          <cell r="E633">
            <v>1</v>
          </cell>
          <cell r="F633">
            <v>7</v>
          </cell>
          <cell r="AO633" t="str">
            <v>Bùi Văn Sỹ</v>
          </cell>
          <cell r="AP633">
            <v>0</v>
          </cell>
          <cell r="AQ633" t="str">
            <v>HD32011019-1</v>
          </cell>
          <cell r="AR633" t="str">
            <v>HD32011019-2</v>
          </cell>
          <cell r="AS633" t="str">
            <v>HD32011019J1-3</v>
          </cell>
          <cell r="AT633" t="str">
            <v>HD32011019-4</v>
          </cell>
          <cell r="AU633" t="str">
            <v>HD32011019-5</v>
          </cell>
          <cell r="AV633" t="str">
            <v>HD32011019-6</v>
          </cell>
          <cell r="AW633" t="str">
            <v>HD32011019-7</v>
          </cell>
          <cell r="AX633">
            <v>0</v>
          </cell>
          <cell r="BA633" t="str">
            <v>420x870</v>
          </cell>
          <cell r="BC633" t="str">
            <v>Chạy chung sp 1312 trừ cây số 3</v>
          </cell>
        </row>
        <row r="634">
          <cell r="A634" t="str">
            <v>sp 1314</v>
          </cell>
          <cell r="B634" t="str">
            <v>Cuộn men rượu hương nếp Bắc Việt</v>
          </cell>
          <cell r="E634">
            <v>2</v>
          </cell>
          <cell r="F634">
            <v>2</v>
          </cell>
          <cell r="AO634" t="str">
            <v>Công ty Trung Tiến</v>
          </cell>
          <cell r="AP634">
            <v>0</v>
          </cell>
          <cell r="AQ634" t="str">
            <v>F127211-1</v>
          </cell>
          <cell r="AR634" t="str">
            <v>F127211-2</v>
          </cell>
          <cell r="AS634">
            <v>0</v>
          </cell>
          <cell r="AT634">
            <v>0</v>
          </cell>
          <cell r="AU634">
            <v>0</v>
          </cell>
          <cell r="AV634">
            <v>0</v>
          </cell>
          <cell r="AW634">
            <v>0</v>
          </cell>
          <cell r="AX634">
            <v>0</v>
          </cell>
          <cell r="BA634" t="str">
            <v>465x1100</v>
          </cell>
          <cell r="BC634">
            <v>0</v>
          </cell>
        </row>
        <row r="635">
          <cell r="A635" t="str">
            <v>sp 1315</v>
          </cell>
          <cell r="B635" t="str">
            <v>Túi Hanato- Denzen</v>
          </cell>
          <cell r="E635">
            <v>4</v>
          </cell>
          <cell r="F635">
            <v>4</v>
          </cell>
          <cell r="AO635" t="str">
            <v>Công ty Đức Hiếu</v>
          </cell>
          <cell r="AP635">
            <v>0</v>
          </cell>
          <cell r="AQ635" t="str">
            <v>X110189-1</v>
          </cell>
          <cell r="AR635" t="str">
            <v>X110189-2</v>
          </cell>
          <cell r="AS635" t="str">
            <v>X110189-3</v>
          </cell>
          <cell r="AT635" t="str">
            <v>X110189-4</v>
          </cell>
          <cell r="AU635">
            <v>0</v>
          </cell>
          <cell r="AV635">
            <v>0</v>
          </cell>
          <cell r="AW635">
            <v>0</v>
          </cell>
          <cell r="AX635">
            <v>0</v>
          </cell>
          <cell r="BA635" t="str">
            <v>560x1100</v>
          </cell>
          <cell r="BC635">
            <v>0</v>
          </cell>
        </row>
        <row r="636">
          <cell r="A636" t="str">
            <v>sp 1316</v>
          </cell>
          <cell r="B636" t="str">
            <v>Túi nước rửa chén Lalaulau 500ml</v>
          </cell>
          <cell r="E636">
            <v>3</v>
          </cell>
          <cell r="F636">
            <v>3</v>
          </cell>
          <cell r="AO636" t="str">
            <v>Công ty Dương Hoàng Hoa</v>
          </cell>
          <cell r="AP636">
            <v>0</v>
          </cell>
          <cell r="AQ636" t="str">
            <v>20110654-1</v>
          </cell>
          <cell r="AR636" t="str">
            <v>20110654-2</v>
          </cell>
          <cell r="AS636" t="str">
            <v>20110654-3</v>
          </cell>
          <cell r="AT636">
            <v>0</v>
          </cell>
          <cell r="AU636">
            <v>0</v>
          </cell>
          <cell r="AV636">
            <v>0</v>
          </cell>
          <cell r="AW636">
            <v>0</v>
          </cell>
          <cell r="AX636">
            <v>0</v>
          </cell>
          <cell r="BA636" t="str">
            <v>420x870</v>
          </cell>
          <cell r="BC636">
            <v>0</v>
          </cell>
        </row>
        <row r="637">
          <cell r="A637" t="str">
            <v>sp 1317</v>
          </cell>
          <cell r="B637" t="str">
            <v>Cuộn thuốc thú y Genta- Tylota 100g</v>
          </cell>
          <cell r="E637">
            <v>6</v>
          </cell>
          <cell r="F637">
            <v>6</v>
          </cell>
          <cell r="AO637" t="str">
            <v>Công ty Năm Thái</v>
          </cell>
          <cell r="AP637">
            <v>0</v>
          </cell>
          <cell r="AQ637" t="str">
            <v>20110917-1</v>
          </cell>
          <cell r="AR637" t="str">
            <v>20110917-2</v>
          </cell>
          <cell r="AS637" t="str">
            <v>20110917-3</v>
          </cell>
          <cell r="AT637" t="str">
            <v>20110917-4</v>
          </cell>
          <cell r="AU637" t="str">
            <v>20110917-5</v>
          </cell>
          <cell r="AV637" t="str">
            <v>20110917-6</v>
          </cell>
          <cell r="AW637">
            <v>0</v>
          </cell>
          <cell r="AX637">
            <v>0</v>
          </cell>
          <cell r="BA637" t="str">
            <v>495x870</v>
          </cell>
          <cell r="BC637">
            <v>0</v>
          </cell>
        </row>
        <row r="638">
          <cell r="A638" t="str">
            <v>sp 1318</v>
          </cell>
          <cell r="B638" t="str">
            <v>Cuộn thuốc thú y TA-ADE 100g</v>
          </cell>
          <cell r="E638">
            <v>5</v>
          </cell>
          <cell r="F638">
            <v>5</v>
          </cell>
          <cell r="AO638" t="str">
            <v>Công ty Năm Thái</v>
          </cell>
          <cell r="AP638">
            <v>0</v>
          </cell>
          <cell r="AQ638" t="str">
            <v>20110920-1</v>
          </cell>
          <cell r="AR638" t="str">
            <v>20110920-2</v>
          </cell>
          <cell r="AS638" t="str">
            <v>20110920-3</v>
          </cell>
          <cell r="AT638" t="str">
            <v>20110920-4</v>
          </cell>
          <cell r="AU638" t="str">
            <v>20110920-5</v>
          </cell>
          <cell r="AV638">
            <v>0</v>
          </cell>
          <cell r="AW638">
            <v>0</v>
          </cell>
          <cell r="AX638">
            <v>0</v>
          </cell>
          <cell r="BA638" t="str">
            <v>495x870</v>
          </cell>
          <cell r="BC638">
            <v>0</v>
          </cell>
        </row>
        <row r="639">
          <cell r="A639" t="str">
            <v>sp 1319</v>
          </cell>
          <cell r="B639">
            <v>0</v>
          </cell>
          <cell r="F639">
            <v>0</v>
          </cell>
          <cell r="AO639">
            <v>0</v>
          </cell>
          <cell r="AP639">
            <v>0</v>
          </cell>
          <cell r="AQ639">
            <v>0</v>
          </cell>
          <cell r="AR639">
            <v>0</v>
          </cell>
          <cell r="AS639">
            <v>0</v>
          </cell>
          <cell r="AT639">
            <v>0</v>
          </cell>
          <cell r="AU639">
            <v>0</v>
          </cell>
          <cell r="AV639">
            <v>0</v>
          </cell>
          <cell r="AW639">
            <v>0</v>
          </cell>
          <cell r="AX639">
            <v>0</v>
          </cell>
          <cell r="BA639">
            <v>0</v>
          </cell>
          <cell r="BC639">
            <v>0</v>
          </cell>
        </row>
        <row r="640">
          <cell r="A640" t="str">
            <v>sp 1320</v>
          </cell>
          <cell r="B640" t="str">
            <v>Cuộn thuốc thú y Tilmico 100g</v>
          </cell>
          <cell r="E640">
            <v>3</v>
          </cell>
          <cell r="F640">
            <v>3</v>
          </cell>
          <cell r="AO640" t="str">
            <v>Công ty Năm Thái</v>
          </cell>
          <cell r="AP640">
            <v>0</v>
          </cell>
          <cell r="AQ640" t="str">
            <v>20110918-1</v>
          </cell>
          <cell r="AR640" t="str">
            <v>20110918-2</v>
          </cell>
          <cell r="AS640" t="str">
            <v>20110918-3</v>
          </cell>
          <cell r="AT640">
            <v>0</v>
          </cell>
          <cell r="AU640">
            <v>0</v>
          </cell>
          <cell r="AV640">
            <v>0</v>
          </cell>
          <cell r="AW640">
            <v>0</v>
          </cell>
          <cell r="AX640">
            <v>0</v>
          </cell>
          <cell r="BA640" t="str">
            <v>495x870</v>
          </cell>
          <cell r="BC640">
            <v>0</v>
          </cell>
        </row>
        <row r="641">
          <cell r="A641" t="str">
            <v>sp 1321</v>
          </cell>
          <cell r="B641">
            <v>0</v>
          </cell>
          <cell r="F641">
            <v>0</v>
          </cell>
          <cell r="AO641">
            <v>0</v>
          </cell>
          <cell r="AP641">
            <v>0</v>
          </cell>
          <cell r="AQ641">
            <v>0</v>
          </cell>
          <cell r="AR641">
            <v>0</v>
          </cell>
          <cell r="AS641">
            <v>0</v>
          </cell>
          <cell r="AT641">
            <v>0</v>
          </cell>
          <cell r="AU641">
            <v>0</v>
          </cell>
          <cell r="AV641">
            <v>0</v>
          </cell>
          <cell r="AW641">
            <v>0</v>
          </cell>
          <cell r="AX641">
            <v>0</v>
          </cell>
          <cell r="BA641">
            <v>0</v>
          </cell>
          <cell r="BC641">
            <v>0</v>
          </cell>
        </row>
        <row r="642">
          <cell r="A642" t="str">
            <v>sp 1322</v>
          </cell>
          <cell r="B642" t="str">
            <v>Cải cúc nếp,cải bẹ vàng , dưa bẹ</v>
          </cell>
          <cell r="E642">
            <v>6</v>
          </cell>
          <cell r="F642">
            <v>6</v>
          </cell>
          <cell r="AO642" t="str">
            <v>Công ty Phú Điền</v>
          </cell>
          <cell r="AP642">
            <v>0</v>
          </cell>
          <cell r="AQ642" t="str">
            <v>20110976-1</v>
          </cell>
          <cell r="AR642" t="str">
            <v>20110976-2</v>
          </cell>
          <cell r="AS642" t="str">
            <v>20110976-3</v>
          </cell>
          <cell r="AT642" t="str">
            <v>20110976-4</v>
          </cell>
          <cell r="AU642" t="str">
            <v>20110976-5</v>
          </cell>
          <cell r="AV642" t="str">
            <v>20110976-6</v>
          </cell>
          <cell r="AW642">
            <v>0</v>
          </cell>
          <cell r="AX642">
            <v>0</v>
          </cell>
          <cell r="BA642" t="str">
            <v>540x870</v>
          </cell>
          <cell r="BC642">
            <v>0</v>
          </cell>
        </row>
        <row r="643">
          <cell r="A643" t="str">
            <v>sp 1323</v>
          </cell>
          <cell r="B643" t="str">
            <v>Cải mèo Hà Giang- cải canh Hồng Kông1</v>
          </cell>
          <cell r="E643">
            <v>6</v>
          </cell>
          <cell r="F643">
            <v>6</v>
          </cell>
          <cell r="AO643" t="str">
            <v>Công ty Phú Điền</v>
          </cell>
          <cell r="AP643">
            <v>0</v>
          </cell>
          <cell r="AQ643" t="str">
            <v>20110982-1</v>
          </cell>
          <cell r="AR643" t="str">
            <v>20110982-2</v>
          </cell>
          <cell r="AS643" t="str">
            <v>20110982-3</v>
          </cell>
          <cell r="AT643" t="str">
            <v>20110982-4</v>
          </cell>
          <cell r="AU643" t="str">
            <v>20110982-5</v>
          </cell>
          <cell r="AV643" t="str">
            <v>20110982-6</v>
          </cell>
          <cell r="AW643">
            <v>0</v>
          </cell>
          <cell r="AX643">
            <v>0</v>
          </cell>
          <cell r="BA643" t="str">
            <v>540x870</v>
          </cell>
          <cell r="BC643">
            <v>0</v>
          </cell>
        </row>
        <row r="644">
          <cell r="A644" t="str">
            <v>sp 1324</v>
          </cell>
          <cell r="B644" t="str">
            <v>Cuộn thuốc thú y Gentafam-2 100g</v>
          </cell>
          <cell r="E644">
            <v>4</v>
          </cell>
          <cell r="F644">
            <v>4</v>
          </cell>
          <cell r="AO644" t="str">
            <v>Công ty Năm Thái</v>
          </cell>
          <cell r="AP644">
            <v>0</v>
          </cell>
          <cell r="AQ644" t="str">
            <v>20111151-1</v>
          </cell>
          <cell r="AR644" t="str">
            <v>20111151-2</v>
          </cell>
          <cell r="AS644" t="str">
            <v>20111151-3</v>
          </cell>
          <cell r="AT644" t="str">
            <v>20111151-4</v>
          </cell>
          <cell r="AU644">
            <v>0</v>
          </cell>
          <cell r="AV644">
            <v>0</v>
          </cell>
          <cell r="AW644">
            <v>0</v>
          </cell>
          <cell r="AX644">
            <v>0</v>
          </cell>
          <cell r="BA644" t="str">
            <v>495x870</v>
          </cell>
          <cell r="BC644">
            <v>0</v>
          </cell>
        </row>
        <row r="645">
          <cell r="A645" t="str">
            <v>sp 1325</v>
          </cell>
          <cell r="B645">
            <v>0</v>
          </cell>
          <cell r="F645">
            <v>0</v>
          </cell>
          <cell r="AO645">
            <v>0</v>
          </cell>
          <cell r="AP645">
            <v>0</v>
          </cell>
          <cell r="AQ645">
            <v>0</v>
          </cell>
          <cell r="AR645">
            <v>0</v>
          </cell>
          <cell r="AS645">
            <v>0</v>
          </cell>
          <cell r="AT645">
            <v>0</v>
          </cell>
          <cell r="AU645">
            <v>0</v>
          </cell>
          <cell r="AV645">
            <v>0</v>
          </cell>
          <cell r="AW645">
            <v>0</v>
          </cell>
          <cell r="AX645">
            <v>0</v>
          </cell>
          <cell r="BA645">
            <v>0</v>
          </cell>
          <cell r="BC645">
            <v>0</v>
          </cell>
        </row>
        <row r="646">
          <cell r="A646" t="str">
            <v>sp 1326</v>
          </cell>
          <cell r="B646">
            <v>0</v>
          </cell>
          <cell r="F646">
            <v>0</v>
          </cell>
          <cell r="AO646">
            <v>0</v>
          </cell>
          <cell r="AP646">
            <v>0</v>
          </cell>
          <cell r="AQ646">
            <v>0</v>
          </cell>
          <cell r="AR646">
            <v>0</v>
          </cell>
          <cell r="AS646">
            <v>0</v>
          </cell>
          <cell r="AT646">
            <v>0</v>
          </cell>
          <cell r="AU646">
            <v>0</v>
          </cell>
          <cell r="AV646">
            <v>0</v>
          </cell>
          <cell r="AW646">
            <v>0</v>
          </cell>
          <cell r="AX646">
            <v>0</v>
          </cell>
          <cell r="BA646">
            <v>0</v>
          </cell>
          <cell r="BC646">
            <v>0</v>
          </cell>
        </row>
        <row r="647">
          <cell r="A647" t="str">
            <v>sp 1327</v>
          </cell>
          <cell r="B647">
            <v>0</v>
          </cell>
          <cell r="F647">
            <v>0</v>
          </cell>
          <cell r="AO647">
            <v>0</v>
          </cell>
          <cell r="AP647">
            <v>0</v>
          </cell>
          <cell r="AQ647">
            <v>0</v>
          </cell>
          <cell r="AR647">
            <v>0</v>
          </cell>
          <cell r="AS647">
            <v>0</v>
          </cell>
          <cell r="AT647">
            <v>0</v>
          </cell>
          <cell r="AU647">
            <v>0</v>
          </cell>
          <cell r="AV647">
            <v>0</v>
          </cell>
          <cell r="AW647">
            <v>0</v>
          </cell>
          <cell r="AX647">
            <v>0</v>
          </cell>
          <cell r="BA647">
            <v>0</v>
          </cell>
          <cell r="BC647">
            <v>0</v>
          </cell>
        </row>
        <row r="648">
          <cell r="A648" t="str">
            <v>TK 01</v>
          </cell>
          <cell r="B648" t="str">
            <v>Trục vớt keo có ngõng 2.3g New 654.9 x 1350</v>
          </cell>
          <cell r="E648">
            <v>1</v>
          </cell>
          <cell r="F648">
            <v>1</v>
          </cell>
          <cell r="AO648" t="str">
            <v>Công ty Hoàng Hạc</v>
          </cell>
          <cell r="AP648">
            <v>0</v>
          </cell>
          <cell r="AQ648" t="str">
            <v>20040498-1</v>
          </cell>
          <cell r="BA648" t="str">
            <v>659.4x1350</v>
          </cell>
          <cell r="BC648">
            <v>0</v>
          </cell>
        </row>
        <row r="649">
          <cell r="A649" t="str">
            <v>TK 02</v>
          </cell>
          <cell r="B649" t="str">
            <v>Trục vớt keo có ngõng 3g New 659.7x1350</v>
          </cell>
          <cell r="E649">
            <v>1</v>
          </cell>
          <cell r="F649">
            <v>1</v>
          </cell>
          <cell r="AO649" t="str">
            <v>Công ty Hoàng Hạc</v>
          </cell>
          <cell r="AP649">
            <v>0</v>
          </cell>
          <cell r="AQ649" t="str">
            <v>20070378-1</v>
          </cell>
          <cell r="BA649" t="str">
            <v>659.7x1350</v>
          </cell>
          <cell r="BC649">
            <v>0</v>
          </cell>
        </row>
        <row r="650">
          <cell r="A650">
            <v>0</v>
          </cell>
          <cell r="B650">
            <v>0</v>
          </cell>
          <cell r="E650">
            <v>0</v>
          </cell>
          <cell r="F650">
            <v>0</v>
          </cell>
          <cell r="AO650">
            <v>0</v>
          </cell>
          <cell r="AP650">
            <v>0</v>
          </cell>
          <cell r="AQ650">
            <v>0</v>
          </cell>
          <cell r="BA650">
            <v>0</v>
          </cell>
          <cell r="BC650">
            <v>0</v>
          </cell>
        </row>
        <row r="651">
          <cell r="A651">
            <v>0</v>
          </cell>
          <cell r="B651">
            <v>0</v>
          </cell>
          <cell r="E651">
            <v>0</v>
          </cell>
          <cell r="F651">
            <v>0</v>
          </cell>
          <cell r="AO651">
            <v>0</v>
          </cell>
          <cell r="AP651">
            <v>0</v>
          </cell>
          <cell r="AQ651">
            <v>0</v>
          </cell>
          <cell r="BA651">
            <v>0</v>
          </cell>
          <cell r="BC651">
            <v>0</v>
          </cell>
        </row>
        <row r="652">
          <cell r="A652">
            <v>0</v>
          </cell>
          <cell r="B652">
            <v>0</v>
          </cell>
          <cell r="E652">
            <v>0</v>
          </cell>
          <cell r="F652">
            <v>0</v>
          </cell>
          <cell r="AO652">
            <v>0</v>
          </cell>
          <cell r="AP652">
            <v>0</v>
          </cell>
          <cell r="AQ652">
            <v>0</v>
          </cell>
          <cell r="BA652">
            <v>0</v>
          </cell>
          <cell r="BC652">
            <v>0</v>
          </cell>
        </row>
        <row r="653">
          <cell r="A653">
            <v>0</v>
          </cell>
          <cell r="B653">
            <v>0</v>
          </cell>
          <cell r="E653">
            <v>0</v>
          </cell>
          <cell r="F653">
            <v>0</v>
          </cell>
          <cell r="AO653">
            <v>0</v>
          </cell>
          <cell r="AP653">
            <v>0</v>
          </cell>
          <cell r="AQ653">
            <v>0</v>
          </cell>
          <cell r="BA653">
            <v>0</v>
          </cell>
          <cell r="BC653">
            <v>0</v>
          </cell>
        </row>
        <row r="654">
          <cell r="A654">
            <v>0</v>
          </cell>
          <cell r="B654">
            <v>0</v>
          </cell>
          <cell r="E654">
            <v>0</v>
          </cell>
          <cell r="F654">
            <v>0</v>
          </cell>
          <cell r="AO654">
            <v>0</v>
          </cell>
          <cell r="AP654">
            <v>0</v>
          </cell>
          <cell r="AQ654">
            <v>0</v>
          </cell>
          <cell r="BA654">
            <v>0</v>
          </cell>
          <cell r="BC654">
            <v>0</v>
          </cell>
        </row>
        <row r="655">
          <cell r="A655">
            <v>0</v>
          </cell>
          <cell r="B655">
            <v>0</v>
          </cell>
          <cell r="E655">
            <v>0</v>
          </cell>
          <cell r="F655">
            <v>0</v>
          </cell>
          <cell r="AO655">
            <v>0</v>
          </cell>
          <cell r="AP655">
            <v>0</v>
          </cell>
          <cell r="AQ655">
            <v>0</v>
          </cell>
          <cell r="BA655">
            <v>0</v>
          </cell>
          <cell r="BC655">
            <v>0</v>
          </cell>
        </row>
        <row r="656">
          <cell r="A656">
            <v>0</v>
          </cell>
          <cell r="B656">
            <v>0</v>
          </cell>
          <cell r="E656">
            <v>0</v>
          </cell>
          <cell r="F656">
            <v>0</v>
          </cell>
          <cell r="AO656">
            <v>0</v>
          </cell>
          <cell r="AP656">
            <v>0</v>
          </cell>
          <cell r="AQ656">
            <v>0</v>
          </cell>
          <cell r="BA656">
            <v>0</v>
          </cell>
          <cell r="BC656">
            <v>0</v>
          </cell>
        </row>
        <row r="657">
          <cell r="A657">
            <v>0</v>
          </cell>
          <cell r="B657">
            <v>0</v>
          </cell>
          <cell r="E657">
            <v>0</v>
          </cell>
          <cell r="F657">
            <v>0</v>
          </cell>
          <cell r="AO657">
            <v>0</v>
          </cell>
          <cell r="AP657">
            <v>0</v>
          </cell>
          <cell r="AQ657">
            <v>0</v>
          </cell>
          <cell r="BA657">
            <v>0</v>
          </cell>
          <cell r="BC657">
            <v>0</v>
          </cell>
        </row>
        <row r="658">
          <cell r="A658">
            <v>0</v>
          </cell>
          <cell r="B658">
            <v>0</v>
          </cell>
          <cell r="E658">
            <v>0</v>
          </cell>
          <cell r="F658">
            <v>0</v>
          </cell>
          <cell r="AO658">
            <v>0</v>
          </cell>
          <cell r="AP658">
            <v>0</v>
          </cell>
          <cell r="AQ658">
            <v>0</v>
          </cell>
          <cell r="BA658">
            <v>0</v>
          </cell>
          <cell r="BC658">
            <v>0</v>
          </cell>
        </row>
        <row r="659">
          <cell r="A659">
            <v>0</v>
          </cell>
          <cell r="B659">
            <v>0</v>
          </cell>
          <cell r="E659">
            <v>0</v>
          </cell>
          <cell r="F659">
            <v>0</v>
          </cell>
          <cell r="AO659">
            <v>0</v>
          </cell>
          <cell r="AP659">
            <v>0</v>
          </cell>
          <cell r="AQ659">
            <v>0</v>
          </cell>
          <cell r="BA659">
            <v>0</v>
          </cell>
          <cell r="BC659">
            <v>0</v>
          </cell>
        </row>
        <row r="660">
          <cell r="A660">
            <v>0</v>
          </cell>
          <cell r="B660">
            <v>0</v>
          </cell>
          <cell r="E660">
            <v>0</v>
          </cell>
          <cell r="F660">
            <v>0</v>
          </cell>
          <cell r="AO660">
            <v>0</v>
          </cell>
          <cell r="AP660">
            <v>0</v>
          </cell>
          <cell r="AQ660">
            <v>0</v>
          </cell>
          <cell r="BA660">
            <v>0</v>
          </cell>
          <cell r="BC660">
            <v>0</v>
          </cell>
        </row>
        <row r="661">
          <cell r="A661">
            <v>0</v>
          </cell>
          <cell r="B661">
            <v>0</v>
          </cell>
          <cell r="E661">
            <v>0</v>
          </cell>
          <cell r="F661">
            <v>0</v>
          </cell>
          <cell r="AO661">
            <v>0</v>
          </cell>
          <cell r="AP661">
            <v>0</v>
          </cell>
          <cell r="AQ661">
            <v>0</v>
          </cell>
          <cell r="BA661">
            <v>0</v>
          </cell>
          <cell r="BC661">
            <v>0</v>
          </cell>
        </row>
        <row r="662">
          <cell r="A662">
            <v>0</v>
          </cell>
          <cell r="B662">
            <v>0</v>
          </cell>
          <cell r="E662">
            <v>0</v>
          </cell>
          <cell r="F662">
            <v>0</v>
          </cell>
          <cell r="AO662">
            <v>0</v>
          </cell>
          <cell r="AP662">
            <v>0</v>
          </cell>
          <cell r="AQ662">
            <v>0</v>
          </cell>
          <cell r="BA662">
            <v>0</v>
          </cell>
          <cell r="BC662">
            <v>0</v>
          </cell>
        </row>
        <row r="663">
          <cell r="A663">
            <v>0</v>
          </cell>
          <cell r="B663">
            <v>0</v>
          </cell>
          <cell r="E663">
            <v>0</v>
          </cell>
          <cell r="F663">
            <v>0</v>
          </cell>
          <cell r="AO663">
            <v>0</v>
          </cell>
          <cell r="AP663">
            <v>0</v>
          </cell>
          <cell r="AQ663">
            <v>0</v>
          </cell>
          <cell r="BA663">
            <v>0</v>
          </cell>
          <cell r="BC663">
            <v>0</v>
          </cell>
        </row>
        <row r="664">
          <cell r="A664">
            <v>0</v>
          </cell>
          <cell r="B664">
            <v>0</v>
          </cell>
          <cell r="E664">
            <v>0</v>
          </cell>
          <cell r="F664">
            <v>0</v>
          </cell>
          <cell r="AO664">
            <v>0</v>
          </cell>
          <cell r="AP664">
            <v>0</v>
          </cell>
          <cell r="AQ664">
            <v>0</v>
          </cell>
          <cell r="BA664">
            <v>0</v>
          </cell>
          <cell r="BC664">
            <v>0</v>
          </cell>
        </row>
        <row r="665">
          <cell r="A665">
            <v>0</v>
          </cell>
          <cell r="B665">
            <v>0</v>
          </cell>
          <cell r="E665">
            <v>0</v>
          </cell>
          <cell r="F665">
            <v>0</v>
          </cell>
          <cell r="AO665">
            <v>0</v>
          </cell>
          <cell r="AP665">
            <v>0</v>
          </cell>
          <cell r="AQ665">
            <v>0</v>
          </cell>
          <cell r="BA665">
            <v>0</v>
          </cell>
          <cell r="BC665">
            <v>0</v>
          </cell>
        </row>
        <row r="666">
          <cell r="A666">
            <v>0</v>
          </cell>
          <cell r="B666">
            <v>0</v>
          </cell>
          <cell r="E666">
            <v>0</v>
          </cell>
          <cell r="F666">
            <v>0</v>
          </cell>
          <cell r="AO666">
            <v>0</v>
          </cell>
          <cell r="AP666">
            <v>0</v>
          </cell>
          <cell r="AQ666">
            <v>0</v>
          </cell>
          <cell r="BA666">
            <v>0</v>
          </cell>
          <cell r="BC666">
            <v>0</v>
          </cell>
        </row>
        <row r="667">
          <cell r="A667">
            <v>0</v>
          </cell>
          <cell r="B667">
            <v>0</v>
          </cell>
          <cell r="E667">
            <v>0</v>
          </cell>
          <cell r="F667">
            <v>0</v>
          </cell>
          <cell r="AO667">
            <v>0</v>
          </cell>
          <cell r="AP667">
            <v>0</v>
          </cell>
          <cell r="AQ667">
            <v>0</v>
          </cell>
          <cell r="BA667">
            <v>0</v>
          </cell>
          <cell r="BC667">
            <v>0</v>
          </cell>
        </row>
        <row r="668">
          <cell r="A668">
            <v>0</v>
          </cell>
          <cell r="B668">
            <v>0</v>
          </cell>
          <cell r="E668">
            <v>0</v>
          </cell>
          <cell r="F668">
            <v>0</v>
          </cell>
          <cell r="AO668">
            <v>0</v>
          </cell>
          <cell r="AP668">
            <v>0</v>
          </cell>
          <cell r="AQ668">
            <v>0</v>
          </cell>
          <cell r="BA668">
            <v>0</v>
          </cell>
          <cell r="BC668">
            <v>0</v>
          </cell>
        </row>
        <row r="669">
          <cell r="A669">
            <v>0</v>
          </cell>
          <cell r="B669">
            <v>0</v>
          </cell>
          <cell r="E669">
            <v>0</v>
          </cell>
          <cell r="F669">
            <v>0</v>
          </cell>
          <cell r="AO669">
            <v>0</v>
          </cell>
          <cell r="AP669">
            <v>0</v>
          </cell>
          <cell r="AQ669">
            <v>0</v>
          </cell>
          <cell r="BA669">
            <v>0</v>
          </cell>
          <cell r="BC669">
            <v>0</v>
          </cell>
        </row>
        <row r="670">
          <cell r="A670">
            <v>0</v>
          </cell>
          <cell r="B670">
            <v>0</v>
          </cell>
          <cell r="E670">
            <v>0</v>
          </cell>
          <cell r="F670">
            <v>0</v>
          </cell>
          <cell r="AO670">
            <v>0</v>
          </cell>
          <cell r="AP670">
            <v>0</v>
          </cell>
          <cell r="AQ670">
            <v>0</v>
          </cell>
          <cell r="BA670">
            <v>0</v>
          </cell>
          <cell r="BC670">
            <v>0</v>
          </cell>
        </row>
        <row r="671">
          <cell r="A671">
            <v>0</v>
          </cell>
          <cell r="B671">
            <v>0</v>
          </cell>
          <cell r="E671">
            <v>0</v>
          </cell>
          <cell r="F671">
            <v>0</v>
          </cell>
          <cell r="AO671">
            <v>0</v>
          </cell>
          <cell r="AP671">
            <v>0</v>
          </cell>
          <cell r="AQ671">
            <v>0</v>
          </cell>
          <cell r="BA671">
            <v>0</v>
          </cell>
          <cell r="BC671">
            <v>0</v>
          </cell>
        </row>
        <row r="672">
          <cell r="A672">
            <v>0</v>
          </cell>
          <cell r="B672">
            <v>0</v>
          </cell>
          <cell r="E672">
            <v>0</v>
          </cell>
          <cell r="F672">
            <v>0</v>
          </cell>
          <cell r="AO672">
            <v>0</v>
          </cell>
          <cell r="AP672">
            <v>0</v>
          </cell>
          <cell r="AQ672">
            <v>0</v>
          </cell>
          <cell r="BA672">
            <v>0</v>
          </cell>
          <cell r="BC672">
            <v>0</v>
          </cell>
        </row>
        <row r="673">
          <cell r="A673">
            <v>0</v>
          </cell>
          <cell r="B673">
            <v>0</v>
          </cell>
          <cell r="E673">
            <v>0</v>
          </cell>
          <cell r="F673">
            <v>0</v>
          </cell>
          <cell r="AO673">
            <v>0</v>
          </cell>
          <cell r="AP673">
            <v>0</v>
          </cell>
          <cell r="AQ673">
            <v>0</v>
          </cell>
          <cell r="BA673">
            <v>0</v>
          </cell>
          <cell r="BC673">
            <v>0</v>
          </cell>
        </row>
        <row r="674">
          <cell r="A674">
            <v>0</v>
          </cell>
          <cell r="B674">
            <v>0</v>
          </cell>
          <cell r="E674">
            <v>0</v>
          </cell>
          <cell r="F674">
            <v>0</v>
          </cell>
          <cell r="AO674">
            <v>0</v>
          </cell>
          <cell r="AP674">
            <v>0</v>
          </cell>
          <cell r="AQ674">
            <v>0</v>
          </cell>
          <cell r="BA674">
            <v>0</v>
          </cell>
          <cell r="BC674">
            <v>0</v>
          </cell>
        </row>
        <row r="675">
          <cell r="A675">
            <v>0</v>
          </cell>
          <cell r="B675">
            <v>0</v>
          </cell>
          <cell r="E675">
            <v>0</v>
          </cell>
          <cell r="F675">
            <v>0</v>
          </cell>
          <cell r="AO675">
            <v>0</v>
          </cell>
          <cell r="AP675">
            <v>0</v>
          </cell>
          <cell r="AQ675">
            <v>0</v>
          </cell>
          <cell r="BA675">
            <v>0</v>
          </cell>
          <cell r="BC675">
            <v>0</v>
          </cell>
        </row>
        <row r="676">
          <cell r="A676">
            <v>0</v>
          </cell>
          <cell r="B676">
            <v>0</v>
          </cell>
          <cell r="E676">
            <v>0</v>
          </cell>
          <cell r="F676">
            <v>0</v>
          </cell>
          <cell r="AO676">
            <v>0</v>
          </cell>
          <cell r="AP676">
            <v>0</v>
          </cell>
          <cell r="AQ676">
            <v>0</v>
          </cell>
          <cell r="BA676">
            <v>0</v>
          </cell>
          <cell r="BC676">
            <v>0</v>
          </cell>
        </row>
        <row r="677">
          <cell r="A677">
            <v>0</v>
          </cell>
          <cell r="B677">
            <v>0</v>
          </cell>
          <cell r="E677">
            <v>0</v>
          </cell>
          <cell r="F677">
            <v>0</v>
          </cell>
          <cell r="AO677">
            <v>0</v>
          </cell>
          <cell r="AP677">
            <v>0</v>
          </cell>
          <cell r="AQ677">
            <v>0</v>
          </cell>
          <cell r="BA677">
            <v>0</v>
          </cell>
          <cell r="BC677">
            <v>0</v>
          </cell>
        </row>
        <row r="678">
          <cell r="A678">
            <v>0</v>
          </cell>
          <cell r="B678">
            <v>0</v>
          </cell>
          <cell r="E678">
            <v>0</v>
          </cell>
          <cell r="F678">
            <v>0</v>
          </cell>
          <cell r="AO678">
            <v>0</v>
          </cell>
          <cell r="AP678">
            <v>0</v>
          </cell>
          <cell r="AQ678">
            <v>0</v>
          </cell>
          <cell r="BA678">
            <v>0</v>
          </cell>
          <cell r="BC678">
            <v>0</v>
          </cell>
        </row>
        <row r="679">
          <cell r="A679">
            <v>0</v>
          </cell>
          <cell r="B679">
            <v>0</v>
          </cell>
          <cell r="E679">
            <v>0</v>
          </cell>
          <cell r="F679">
            <v>0</v>
          </cell>
          <cell r="AO679">
            <v>0</v>
          </cell>
          <cell r="AP679">
            <v>0</v>
          </cell>
          <cell r="AQ679">
            <v>0</v>
          </cell>
          <cell r="BA679">
            <v>0</v>
          </cell>
          <cell r="BC679">
            <v>0</v>
          </cell>
        </row>
        <row r="680">
          <cell r="A680">
            <v>0</v>
          </cell>
          <cell r="B680">
            <v>0</v>
          </cell>
          <cell r="E680">
            <v>0</v>
          </cell>
          <cell r="F680">
            <v>0</v>
          </cell>
          <cell r="AO680">
            <v>0</v>
          </cell>
          <cell r="AP680">
            <v>0</v>
          </cell>
          <cell r="AQ680">
            <v>0</v>
          </cell>
          <cell r="BA680">
            <v>0</v>
          </cell>
          <cell r="BC680">
            <v>0</v>
          </cell>
        </row>
        <row r="681">
          <cell r="A681">
            <v>0</v>
          </cell>
          <cell r="B681">
            <v>0</v>
          </cell>
          <cell r="E681">
            <v>0</v>
          </cell>
          <cell r="F681">
            <v>0</v>
          </cell>
          <cell r="AO681">
            <v>0</v>
          </cell>
          <cell r="AP681">
            <v>0</v>
          </cell>
          <cell r="AQ681">
            <v>0</v>
          </cell>
          <cell r="BA681">
            <v>0</v>
          </cell>
          <cell r="BC681">
            <v>0</v>
          </cell>
        </row>
        <row r="682">
          <cell r="A682">
            <v>0</v>
          </cell>
          <cell r="B682">
            <v>0</v>
          </cell>
          <cell r="E682">
            <v>0</v>
          </cell>
          <cell r="F682">
            <v>0</v>
          </cell>
          <cell r="AO682">
            <v>0</v>
          </cell>
          <cell r="AP682">
            <v>0</v>
          </cell>
          <cell r="AQ682">
            <v>0</v>
          </cell>
          <cell r="BA682">
            <v>0</v>
          </cell>
          <cell r="BC682">
            <v>0</v>
          </cell>
        </row>
        <row r="683">
          <cell r="A683">
            <v>0</v>
          </cell>
          <cell r="B683">
            <v>0</v>
          </cell>
          <cell r="E683">
            <v>0</v>
          </cell>
          <cell r="F683">
            <v>0</v>
          </cell>
          <cell r="AO683">
            <v>0</v>
          </cell>
          <cell r="AP683">
            <v>0</v>
          </cell>
          <cell r="AQ683">
            <v>0</v>
          </cell>
          <cell r="BA683">
            <v>0</v>
          </cell>
          <cell r="BC683">
            <v>0</v>
          </cell>
        </row>
        <row r="684">
          <cell r="A684">
            <v>0</v>
          </cell>
          <cell r="B684">
            <v>0</v>
          </cell>
          <cell r="E684">
            <v>0</v>
          </cell>
          <cell r="F684">
            <v>0</v>
          </cell>
          <cell r="AO684">
            <v>0</v>
          </cell>
          <cell r="AP684">
            <v>0</v>
          </cell>
          <cell r="AQ684">
            <v>0</v>
          </cell>
          <cell r="BA684">
            <v>0</v>
          </cell>
          <cell r="BC684">
            <v>0</v>
          </cell>
        </row>
        <row r="685">
          <cell r="A685">
            <v>0</v>
          </cell>
          <cell r="B685">
            <v>0</v>
          </cell>
          <cell r="E685">
            <v>0</v>
          </cell>
          <cell r="F685">
            <v>0</v>
          </cell>
          <cell r="AO685">
            <v>0</v>
          </cell>
          <cell r="AP685">
            <v>0</v>
          </cell>
          <cell r="AQ685">
            <v>0</v>
          </cell>
          <cell r="BA685">
            <v>0</v>
          </cell>
          <cell r="BC685">
            <v>0</v>
          </cell>
        </row>
        <row r="686">
          <cell r="A686">
            <v>0</v>
          </cell>
          <cell r="B686">
            <v>0</v>
          </cell>
          <cell r="E686">
            <v>0</v>
          </cell>
          <cell r="F686">
            <v>0</v>
          </cell>
          <cell r="AO686">
            <v>0</v>
          </cell>
          <cell r="AP686">
            <v>0</v>
          </cell>
          <cell r="AQ686">
            <v>0</v>
          </cell>
          <cell r="BA686">
            <v>0</v>
          </cell>
          <cell r="BC686">
            <v>0</v>
          </cell>
        </row>
        <row r="687">
          <cell r="A687">
            <v>0</v>
          </cell>
          <cell r="B687">
            <v>0</v>
          </cell>
          <cell r="E687">
            <v>0</v>
          </cell>
          <cell r="F687">
            <v>0</v>
          </cell>
          <cell r="AO687">
            <v>0</v>
          </cell>
          <cell r="AP687">
            <v>0</v>
          </cell>
          <cell r="AQ687">
            <v>0</v>
          </cell>
          <cell r="BA687">
            <v>0</v>
          </cell>
          <cell r="BC687">
            <v>0</v>
          </cell>
        </row>
        <row r="688">
          <cell r="A688">
            <v>0</v>
          </cell>
          <cell r="B688">
            <v>0</v>
          </cell>
          <cell r="E688">
            <v>0</v>
          </cell>
          <cell r="F688">
            <v>0</v>
          </cell>
          <cell r="AO688">
            <v>0</v>
          </cell>
          <cell r="AP688">
            <v>0</v>
          </cell>
          <cell r="AQ688">
            <v>0</v>
          </cell>
          <cell r="BA688">
            <v>0</v>
          </cell>
          <cell r="BC688">
            <v>0</v>
          </cell>
        </row>
        <row r="689">
          <cell r="A689">
            <v>0</v>
          </cell>
          <cell r="B689">
            <v>0</v>
          </cell>
          <cell r="E689">
            <v>0</v>
          </cell>
          <cell r="F689">
            <v>0</v>
          </cell>
          <cell r="AO689">
            <v>0</v>
          </cell>
          <cell r="AP689">
            <v>0</v>
          </cell>
          <cell r="AQ689">
            <v>0</v>
          </cell>
          <cell r="BA689">
            <v>0</v>
          </cell>
          <cell r="BC689">
            <v>0</v>
          </cell>
        </row>
        <row r="690">
          <cell r="A690">
            <v>0</v>
          </cell>
          <cell r="B690">
            <v>0</v>
          </cell>
          <cell r="E690">
            <v>0</v>
          </cell>
          <cell r="F690">
            <v>0</v>
          </cell>
          <cell r="AO690">
            <v>0</v>
          </cell>
          <cell r="AP690">
            <v>0</v>
          </cell>
          <cell r="AQ690">
            <v>0</v>
          </cell>
          <cell r="BA690">
            <v>0</v>
          </cell>
          <cell r="BC690">
            <v>0</v>
          </cell>
        </row>
        <row r="691">
          <cell r="A691">
            <v>0</v>
          </cell>
          <cell r="B691">
            <v>0</v>
          </cell>
          <cell r="E691">
            <v>0</v>
          </cell>
          <cell r="F691">
            <v>0</v>
          </cell>
          <cell r="AO691">
            <v>0</v>
          </cell>
          <cell r="AP691">
            <v>0</v>
          </cell>
          <cell r="AQ691">
            <v>0</v>
          </cell>
          <cell r="BA691">
            <v>0</v>
          </cell>
          <cell r="BC691">
            <v>0</v>
          </cell>
        </row>
        <row r="692">
          <cell r="A692">
            <v>0</v>
          </cell>
          <cell r="B692">
            <v>0</v>
          </cell>
          <cell r="E692">
            <v>0</v>
          </cell>
          <cell r="F692">
            <v>0</v>
          </cell>
          <cell r="AO692">
            <v>0</v>
          </cell>
          <cell r="AP692">
            <v>0</v>
          </cell>
          <cell r="AQ692">
            <v>0</v>
          </cell>
          <cell r="BA692">
            <v>0</v>
          </cell>
          <cell r="BC692">
            <v>0</v>
          </cell>
        </row>
        <row r="693">
          <cell r="A693">
            <v>0</v>
          </cell>
          <cell r="B693">
            <v>0</v>
          </cell>
          <cell r="E693">
            <v>0</v>
          </cell>
          <cell r="F693">
            <v>0</v>
          </cell>
          <cell r="AO693">
            <v>0</v>
          </cell>
          <cell r="AP693">
            <v>0</v>
          </cell>
          <cell r="AQ693">
            <v>0</v>
          </cell>
          <cell r="BA693">
            <v>0</v>
          </cell>
          <cell r="BC693">
            <v>0</v>
          </cell>
        </row>
        <row r="694">
          <cell r="A694">
            <v>0</v>
          </cell>
          <cell r="B694">
            <v>0</v>
          </cell>
          <cell r="E694">
            <v>0</v>
          </cell>
          <cell r="F694">
            <v>0</v>
          </cell>
          <cell r="AO694">
            <v>0</v>
          </cell>
          <cell r="AP694">
            <v>0</v>
          </cell>
          <cell r="AQ694">
            <v>0</v>
          </cell>
          <cell r="BA694">
            <v>0</v>
          </cell>
          <cell r="BC694">
            <v>0</v>
          </cell>
        </row>
        <row r="695">
          <cell r="A695">
            <v>0</v>
          </cell>
          <cell r="B695">
            <v>0</v>
          </cell>
          <cell r="E695">
            <v>0</v>
          </cell>
          <cell r="F695">
            <v>0</v>
          </cell>
          <cell r="AO695">
            <v>0</v>
          </cell>
          <cell r="AP695">
            <v>0</v>
          </cell>
          <cell r="AQ695">
            <v>0</v>
          </cell>
          <cell r="BA695">
            <v>0</v>
          </cell>
          <cell r="BC695">
            <v>0</v>
          </cell>
        </row>
        <row r="696">
          <cell r="A696">
            <v>0</v>
          </cell>
          <cell r="B696">
            <v>0</v>
          </cell>
          <cell r="E696">
            <v>0</v>
          </cell>
          <cell r="F696">
            <v>0</v>
          </cell>
          <cell r="AO696">
            <v>0</v>
          </cell>
          <cell r="AP696">
            <v>0</v>
          </cell>
          <cell r="AQ696">
            <v>0</v>
          </cell>
          <cell r="BA696">
            <v>0</v>
          </cell>
          <cell r="BC696">
            <v>0</v>
          </cell>
        </row>
        <row r="697">
          <cell r="A697">
            <v>0</v>
          </cell>
          <cell r="B697">
            <v>0</v>
          </cell>
          <cell r="E697">
            <v>0</v>
          </cell>
          <cell r="F697">
            <v>0</v>
          </cell>
          <cell r="AO697">
            <v>0</v>
          </cell>
          <cell r="AP697">
            <v>0</v>
          </cell>
          <cell r="AQ697">
            <v>0</v>
          </cell>
          <cell r="BA697">
            <v>0</v>
          </cell>
          <cell r="BC697">
            <v>0</v>
          </cell>
        </row>
        <row r="698">
          <cell r="A698">
            <v>0</v>
          </cell>
          <cell r="B698">
            <v>0</v>
          </cell>
          <cell r="E698">
            <v>0</v>
          </cell>
          <cell r="F698">
            <v>0</v>
          </cell>
          <cell r="AO698">
            <v>0</v>
          </cell>
          <cell r="AP698">
            <v>0</v>
          </cell>
          <cell r="AQ698">
            <v>0</v>
          </cell>
          <cell r="BA698">
            <v>0</v>
          </cell>
          <cell r="BC698">
            <v>0</v>
          </cell>
        </row>
        <row r="699">
          <cell r="A699">
            <v>0</v>
          </cell>
          <cell r="B699">
            <v>0</v>
          </cell>
          <cell r="E699">
            <v>0</v>
          </cell>
          <cell r="F699">
            <v>0</v>
          </cell>
          <cell r="AO699">
            <v>0</v>
          </cell>
          <cell r="AP699">
            <v>0</v>
          </cell>
          <cell r="AQ699">
            <v>0</v>
          </cell>
          <cell r="BA699">
            <v>0</v>
          </cell>
          <cell r="BC699">
            <v>0</v>
          </cell>
        </row>
        <row r="700">
          <cell r="A700">
            <v>0</v>
          </cell>
          <cell r="B700">
            <v>0</v>
          </cell>
          <cell r="E700">
            <v>0</v>
          </cell>
          <cell r="F700">
            <v>0</v>
          </cell>
          <cell r="AO700">
            <v>0</v>
          </cell>
          <cell r="AP700">
            <v>0</v>
          </cell>
          <cell r="AQ700">
            <v>0</v>
          </cell>
          <cell r="BA700">
            <v>0</v>
          </cell>
          <cell r="BC700">
            <v>0</v>
          </cell>
        </row>
        <row r="701">
          <cell r="A701">
            <v>0</v>
          </cell>
          <cell r="B701">
            <v>0</v>
          </cell>
          <cell r="E701">
            <v>0</v>
          </cell>
          <cell r="F701">
            <v>0</v>
          </cell>
          <cell r="AO701">
            <v>0</v>
          </cell>
          <cell r="AP701">
            <v>0</v>
          </cell>
          <cell r="AQ701">
            <v>0</v>
          </cell>
          <cell r="BA701">
            <v>0</v>
          </cell>
          <cell r="BC701">
            <v>0</v>
          </cell>
        </row>
        <row r="702">
          <cell r="A702">
            <v>0</v>
          </cell>
          <cell r="B702">
            <v>0</v>
          </cell>
          <cell r="E702">
            <v>0</v>
          </cell>
          <cell r="F702">
            <v>0</v>
          </cell>
          <cell r="AO702">
            <v>0</v>
          </cell>
          <cell r="AP702">
            <v>0</v>
          </cell>
          <cell r="AQ702">
            <v>0</v>
          </cell>
          <cell r="BA702">
            <v>0</v>
          </cell>
          <cell r="BC702">
            <v>0</v>
          </cell>
        </row>
        <row r="703">
          <cell r="A703">
            <v>0</v>
          </cell>
          <cell r="B703">
            <v>0</v>
          </cell>
          <cell r="E703">
            <v>0</v>
          </cell>
          <cell r="F703">
            <v>0</v>
          </cell>
          <cell r="AO703">
            <v>0</v>
          </cell>
          <cell r="AP703">
            <v>0</v>
          </cell>
          <cell r="AQ703">
            <v>0</v>
          </cell>
          <cell r="BA703">
            <v>0</v>
          </cell>
          <cell r="BC703">
            <v>0</v>
          </cell>
        </row>
        <row r="704">
          <cell r="A704">
            <v>0</v>
          </cell>
          <cell r="B704">
            <v>0</v>
          </cell>
          <cell r="E704">
            <v>0</v>
          </cell>
          <cell r="F704">
            <v>0</v>
          </cell>
          <cell r="AO704">
            <v>0</v>
          </cell>
          <cell r="AP704">
            <v>0</v>
          </cell>
          <cell r="AQ704">
            <v>0</v>
          </cell>
          <cell r="BA704">
            <v>0</v>
          </cell>
          <cell r="BC704">
            <v>0</v>
          </cell>
        </row>
        <row r="705">
          <cell r="A705">
            <v>0</v>
          </cell>
          <cell r="B705">
            <v>0</v>
          </cell>
          <cell r="E705">
            <v>0</v>
          </cell>
          <cell r="F705">
            <v>0</v>
          </cell>
          <cell r="AO705">
            <v>0</v>
          </cell>
          <cell r="AP705">
            <v>0</v>
          </cell>
          <cell r="AQ705">
            <v>0</v>
          </cell>
          <cell r="BA705">
            <v>0</v>
          </cell>
          <cell r="BC705">
            <v>0</v>
          </cell>
        </row>
        <row r="706">
          <cell r="A706">
            <v>0</v>
          </cell>
          <cell r="B706">
            <v>0</v>
          </cell>
          <cell r="E706">
            <v>0</v>
          </cell>
          <cell r="F706">
            <v>0</v>
          </cell>
          <cell r="AO706">
            <v>0</v>
          </cell>
          <cell r="AP706">
            <v>0</v>
          </cell>
          <cell r="AQ706">
            <v>0</v>
          </cell>
          <cell r="BA706">
            <v>0</v>
          </cell>
          <cell r="BC706">
            <v>0</v>
          </cell>
        </row>
        <row r="707">
          <cell r="A707">
            <v>0</v>
          </cell>
          <cell r="B707">
            <v>0</v>
          </cell>
          <cell r="E707">
            <v>0</v>
          </cell>
          <cell r="F707">
            <v>0</v>
          </cell>
          <cell r="AO707">
            <v>0</v>
          </cell>
          <cell r="AP707">
            <v>0</v>
          </cell>
          <cell r="AQ707">
            <v>0</v>
          </cell>
          <cell r="BA707">
            <v>0</v>
          </cell>
          <cell r="BC707">
            <v>0</v>
          </cell>
        </row>
        <row r="708">
          <cell r="A708">
            <v>0</v>
          </cell>
          <cell r="B708">
            <v>0</v>
          </cell>
          <cell r="E708">
            <v>0</v>
          </cell>
          <cell r="F708">
            <v>0</v>
          </cell>
          <cell r="AO708">
            <v>0</v>
          </cell>
          <cell r="AP708">
            <v>0</v>
          </cell>
          <cell r="AQ708">
            <v>0</v>
          </cell>
          <cell r="BA708">
            <v>0</v>
          </cell>
          <cell r="BC708">
            <v>0</v>
          </cell>
        </row>
        <row r="709">
          <cell r="A709">
            <v>0</v>
          </cell>
          <cell r="B709">
            <v>0</v>
          </cell>
          <cell r="E709">
            <v>0</v>
          </cell>
          <cell r="F709">
            <v>0</v>
          </cell>
          <cell r="AO709">
            <v>0</v>
          </cell>
          <cell r="AP709">
            <v>0</v>
          </cell>
          <cell r="AQ709">
            <v>0</v>
          </cell>
          <cell r="BA709">
            <v>0</v>
          </cell>
          <cell r="BC709">
            <v>0</v>
          </cell>
        </row>
        <row r="710">
          <cell r="A710">
            <v>0</v>
          </cell>
          <cell r="B710">
            <v>0</v>
          </cell>
          <cell r="E710">
            <v>0</v>
          </cell>
          <cell r="F710">
            <v>0</v>
          </cell>
          <cell r="AO710">
            <v>0</v>
          </cell>
          <cell r="AP710">
            <v>0</v>
          </cell>
          <cell r="AQ710">
            <v>0</v>
          </cell>
          <cell r="BA710">
            <v>0</v>
          </cell>
          <cell r="BC710">
            <v>0</v>
          </cell>
        </row>
        <row r="711">
          <cell r="A711">
            <v>0</v>
          </cell>
          <cell r="B711">
            <v>0</v>
          </cell>
          <cell r="E711">
            <v>0</v>
          </cell>
          <cell r="F711">
            <v>0</v>
          </cell>
          <cell r="AO711">
            <v>0</v>
          </cell>
          <cell r="AP711">
            <v>0</v>
          </cell>
          <cell r="AQ711">
            <v>0</v>
          </cell>
          <cell r="BA711">
            <v>0</v>
          </cell>
          <cell r="BC711">
            <v>0</v>
          </cell>
        </row>
        <row r="712">
          <cell r="A712">
            <v>0</v>
          </cell>
          <cell r="B712">
            <v>0</v>
          </cell>
          <cell r="E712">
            <v>0</v>
          </cell>
          <cell r="F712">
            <v>0</v>
          </cell>
          <cell r="AO712">
            <v>0</v>
          </cell>
          <cell r="AP712">
            <v>0</v>
          </cell>
          <cell r="AQ712">
            <v>0</v>
          </cell>
          <cell r="BA712">
            <v>0</v>
          </cell>
          <cell r="BC712">
            <v>0</v>
          </cell>
        </row>
        <row r="713">
          <cell r="A713">
            <v>0</v>
          </cell>
          <cell r="B713">
            <v>0</v>
          </cell>
          <cell r="E713">
            <v>0</v>
          </cell>
          <cell r="F713">
            <v>0</v>
          </cell>
          <cell r="AO713">
            <v>0</v>
          </cell>
          <cell r="AP713">
            <v>0</v>
          </cell>
          <cell r="AQ713">
            <v>0</v>
          </cell>
          <cell r="BA713">
            <v>0</v>
          </cell>
          <cell r="BC713">
            <v>0</v>
          </cell>
        </row>
        <row r="714">
          <cell r="A714">
            <v>0</v>
          </cell>
          <cell r="B714">
            <v>0</v>
          </cell>
          <cell r="E714">
            <v>0</v>
          </cell>
          <cell r="F714">
            <v>0</v>
          </cell>
          <cell r="AO714">
            <v>0</v>
          </cell>
          <cell r="AP714">
            <v>0</v>
          </cell>
          <cell r="AQ714">
            <v>0</v>
          </cell>
          <cell r="BA714">
            <v>0</v>
          </cell>
          <cell r="BC714">
            <v>0</v>
          </cell>
        </row>
        <row r="715">
          <cell r="A715">
            <v>0</v>
          </cell>
          <cell r="B715">
            <v>0</v>
          </cell>
          <cell r="E715">
            <v>0</v>
          </cell>
          <cell r="F715">
            <v>0</v>
          </cell>
          <cell r="AO715">
            <v>0</v>
          </cell>
          <cell r="AP715">
            <v>0</v>
          </cell>
          <cell r="AQ715">
            <v>0</v>
          </cell>
          <cell r="BA715">
            <v>0</v>
          </cell>
          <cell r="BC715">
            <v>0</v>
          </cell>
        </row>
        <row r="716">
          <cell r="A716">
            <v>0</v>
          </cell>
          <cell r="B716">
            <v>0</v>
          </cell>
          <cell r="E716">
            <v>0</v>
          </cell>
          <cell r="F716">
            <v>0</v>
          </cell>
          <cell r="AO716">
            <v>0</v>
          </cell>
          <cell r="AP716">
            <v>0</v>
          </cell>
          <cell r="AQ716">
            <v>0</v>
          </cell>
          <cell r="BA716">
            <v>0</v>
          </cell>
          <cell r="BC716">
            <v>0</v>
          </cell>
        </row>
        <row r="717">
          <cell r="A717">
            <v>0</v>
          </cell>
          <cell r="B717">
            <v>0</v>
          </cell>
          <cell r="E717">
            <v>0</v>
          </cell>
          <cell r="F717">
            <v>0</v>
          </cell>
          <cell r="AO717">
            <v>0</v>
          </cell>
          <cell r="AP717">
            <v>0</v>
          </cell>
          <cell r="AQ717">
            <v>0</v>
          </cell>
          <cell r="BA717">
            <v>0</v>
          </cell>
          <cell r="BC717">
            <v>0</v>
          </cell>
        </row>
        <row r="718">
          <cell r="A718">
            <v>0</v>
          </cell>
          <cell r="B718">
            <v>0</v>
          </cell>
          <cell r="E718">
            <v>0</v>
          </cell>
          <cell r="F718">
            <v>0</v>
          </cell>
          <cell r="AO718">
            <v>0</v>
          </cell>
          <cell r="AP718">
            <v>0</v>
          </cell>
          <cell r="AQ718">
            <v>0</v>
          </cell>
          <cell r="BA718">
            <v>0</v>
          </cell>
          <cell r="BC718">
            <v>0</v>
          </cell>
        </row>
        <row r="719">
          <cell r="A719">
            <v>0</v>
          </cell>
          <cell r="B719">
            <v>0</v>
          </cell>
          <cell r="E719">
            <v>0</v>
          </cell>
          <cell r="F719">
            <v>0</v>
          </cell>
          <cell r="AO719">
            <v>0</v>
          </cell>
          <cell r="AP719">
            <v>0</v>
          </cell>
          <cell r="AQ719">
            <v>0</v>
          </cell>
          <cell r="BA719">
            <v>0</v>
          </cell>
          <cell r="BC719">
            <v>0</v>
          </cell>
        </row>
        <row r="720">
          <cell r="A720">
            <v>0</v>
          </cell>
          <cell r="B720">
            <v>0</v>
          </cell>
          <cell r="E720">
            <v>0</v>
          </cell>
          <cell r="F720">
            <v>0</v>
          </cell>
          <cell r="AO720">
            <v>0</v>
          </cell>
          <cell r="AP720">
            <v>0</v>
          </cell>
          <cell r="AQ720">
            <v>0</v>
          </cell>
          <cell r="BA720">
            <v>0</v>
          </cell>
          <cell r="BC720">
            <v>0</v>
          </cell>
        </row>
        <row r="721">
          <cell r="A721">
            <v>0</v>
          </cell>
          <cell r="B721">
            <v>0</v>
          </cell>
          <cell r="E721">
            <v>0</v>
          </cell>
          <cell r="F721">
            <v>0</v>
          </cell>
          <cell r="AO721">
            <v>0</v>
          </cell>
          <cell r="AP721">
            <v>0</v>
          </cell>
          <cell r="AQ721">
            <v>0</v>
          </cell>
          <cell r="BA721">
            <v>0</v>
          </cell>
          <cell r="BC721">
            <v>0</v>
          </cell>
        </row>
        <row r="722">
          <cell r="A722">
            <v>0</v>
          </cell>
          <cell r="B722">
            <v>0</v>
          </cell>
          <cell r="E722">
            <v>0</v>
          </cell>
          <cell r="F722">
            <v>0</v>
          </cell>
          <cell r="AO722">
            <v>0</v>
          </cell>
          <cell r="AP722">
            <v>0</v>
          </cell>
          <cell r="AQ722">
            <v>0</v>
          </cell>
          <cell r="BA722">
            <v>0</v>
          </cell>
          <cell r="BC722">
            <v>0</v>
          </cell>
        </row>
        <row r="723">
          <cell r="A723">
            <v>0</v>
          </cell>
          <cell r="B723">
            <v>0</v>
          </cell>
          <cell r="E723">
            <v>0</v>
          </cell>
          <cell r="F723">
            <v>0</v>
          </cell>
          <cell r="AO723">
            <v>0</v>
          </cell>
          <cell r="AP723">
            <v>0</v>
          </cell>
          <cell r="AQ723">
            <v>0</v>
          </cell>
          <cell r="BA723">
            <v>0</v>
          </cell>
          <cell r="BC723">
            <v>0</v>
          </cell>
        </row>
        <row r="724">
          <cell r="A724">
            <v>0</v>
          </cell>
          <cell r="B724">
            <v>0</v>
          </cell>
          <cell r="E724">
            <v>0</v>
          </cell>
          <cell r="F724">
            <v>0</v>
          </cell>
          <cell r="AO724">
            <v>0</v>
          </cell>
          <cell r="AP724">
            <v>0</v>
          </cell>
          <cell r="AQ724">
            <v>0</v>
          </cell>
          <cell r="BA724">
            <v>0</v>
          </cell>
          <cell r="BC724">
            <v>0</v>
          </cell>
        </row>
        <row r="725">
          <cell r="A725">
            <v>0</v>
          </cell>
          <cell r="B725">
            <v>0</v>
          </cell>
          <cell r="E725">
            <v>0</v>
          </cell>
          <cell r="F725">
            <v>0</v>
          </cell>
          <cell r="AO725">
            <v>0</v>
          </cell>
          <cell r="AP725">
            <v>0</v>
          </cell>
          <cell r="AQ725">
            <v>0</v>
          </cell>
          <cell r="BA725">
            <v>0</v>
          </cell>
          <cell r="BC725">
            <v>0</v>
          </cell>
        </row>
        <row r="726">
          <cell r="A726">
            <v>0</v>
          </cell>
          <cell r="B726">
            <v>0</v>
          </cell>
          <cell r="E726">
            <v>0</v>
          </cell>
          <cell r="F726">
            <v>0</v>
          </cell>
          <cell r="AO726">
            <v>0</v>
          </cell>
          <cell r="AP726">
            <v>0</v>
          </cell>
          <cell r="AQ726">
            <v>0</v>
          </cell>
          <cell r="BA726">
            <v>0</v>
          </cell>
          <cell r="BC726">
            <v>0</v>
          </cell>
        </row>
        <row r="727">
          <cell r="A727">
            <v>0</v>
          </cell>
          <cell r="B727">
            <v>0</v>
          </cell>
          <cell r="E727">
            <v>0</v>
          </cell>
          <cell r="F727">
            <v>0</v>
          </cell>
          <cell r="AO727">
            <v>0</v>
          </cell>
          <cell r="AP727">
            <v>0</v>
          </cell>
          <cell r="AQ727">
            <v>0</v>
          </cell>
          <cell r="BA727">
            <v>0</v>
          </cell>
          <cell r="BC727">
            <v>0</v>
          </cell>
        </row>
        <row r="728">
          <cell r="A728">
            <v>0</v>
          </cell>
          <cell r="B728">
            <v>0</v>
          </cell>
          <cell r="E728">
            <v>0</v>
          </cell>
          <cell r="F728">
            <v>0</v>
          </cell>
          <cell r="AO728">
            <v>0</v>
          </cell>
          <cell r="AP728">
            <v>0</v>
          </cell>
          <cell r="AQ728">
            <v>0</v>
          </cell>
          <cell r="BA728">
            <v>0</v>
          </cell>
          <cell r="BC728">
            <v>0</v>
          </cell>
        </row>
        <row r="729">
          <cell r="A729">
            <v>0</v>
          </cell>
          <cell r="B729">
            <v>0</v>
          </cell>
          <cell r="E729">
            <v>0</v>
          </cell>
          <cell r="F729">
            <v>0</v>
          </cell>
          <cell r="AO729">
            <v>0</v>
          </cell>
          <cell r="AP729">
            <v>0</v>
          </cell>
          <cell r="AQ729">
            <v>0</v>
          </cell>
          <cell r="BA729">
            <v>0</v>
          </cell>
          <cell r="BC729">
            <v>0</v>
          </cell>
        </row>
        <row r="730">
          <cell r="A730">
            <v>0</v>
          </cell>
          <cell r="B730">
            <v>0</v>
          </cell>
          <cell r="E730">
            <v>0</v>
          </cell>
          <cell r="F730">
            <v>0</v>
          </cell>
          <cell r="AO730">
            <v>0</v>
          </cell>
          <cell r="AP730">
            <v>0</v>
          </cell>
          <cell r="AQ730">
            <v>0</v>
          </cell>
          <cell r="BA730">
            <v>0</v>
          </cell>
          <cell r="BC730">
            <v>0</v>
          </cell>
        </row>
        <row r="731">
          <cell r="A731">
            <v>0</v>
          </cell>
          <cell r="B731">
            <v>0</v>
          </cell>
          <cell r="E731">
            <v>0</v>
          </cell>
          <cell r="F731">
            <v>0</v>
          </cell>
          <cell r="AO731">
            <v>0</v>
          </cell>
          <cell r="AP731">
            <v>0</v>
          </cell>
          <cell r="AQ731">
            <v>0</v>
          </cell>
          <cell r="BA731">
            <v>0</v>
          </cell>
          <cell r="BC731">
            <v>0</v>
          </cell>
        </row>
        <row r="732">
          <cell r="A732">
            <v>0</v>
          </cell>
          <cell r="B732">
            <v>0</v>
          </cell>
          <cell r="E732">
            <v>0</v>
          </cell>
          <cell r="F732">
            <v>0</v>
          </cell>
          <cell r="AO732">
            <v>0</v>
          </cell>
          <cell r="AP732">
            <v>0</v>
          </cell>
          <cell r="AQ732">
            <v>0</v>
          </cell>
          <cell r="BA732">
            <v>0</v>
          </cell>
          <cell r="BC732">
            <v>0</v>
          </cell>
        </row>
        <row r="733">
          <cell r="A733">
            <v>0</v>
          </cell>
          <cell r="B733">
            <v>0</v>
          </cell>
          <cell r="E733">
            <v>0</v>
          </cell>
          <cell r="F733">
            <v>0</v>
          </cell>
          <cell r="AO733">
            <v>0</v>
          </cell>
          <cell r="AP733">
            <v>0</v>
          </cell>
          <cell r="AQ733">
            <v>0</v>
          </cell>
          <cell r="BA733">
            <v>0</v>
          </cell>
          <cell r="BC733">
            <v>0</v>
          </cell>
        </row>
        <row r="734">
          <cell r="A734">
            <v>0</v>
          </cell>
          <cell r="B734">
            <v>0</v>
          </cell>
          <cell r="E734">
            <v>0</v>
          </cell>
          <cell r="F734">
            <v>0</v>
          </cell>
          <cell r="AO734">
            <v>0</v>
          </cell>
          <cell r="AP734">
            <v>0</v>
          </cell>
          <cell r="AQ734">
            <v>0</v>
          </cell>
          <cell r="BA734">
            <v>0</v>
          </cell>
          <cell r="BC734">
            <v>0</v>
          </cell>
        </row>
        <row r="735">
          <cell r="A735">
            <v>0</v>
          </cell>
          <cell r="B735">
            <v>0</v>
          </cell>
          <cell r="E735">
            <v>0</v>
          </cell>
          <cell r="F735">
            <v>0</v>
          </cell>
          <cell r="AO735">
            <v>0</v>
          </cell>
          <cell r="AP735">
            <v>0</v>
          </cell>
          <cell r="AQ735">
            <v>0</v>
          </cell>
          <cell r="BA735">
            <v>0</v>
          </cell>
          <cell r="BC735">
            <v>0</v>
          </cell>
        </row>
        <row r="736">
          <cell r="A736">
            <v>0</v>
          </cell>
          <cell r="B736">
            <v>0</v>
          </cell>
          <cell r="E736">
            <v>0</v>
          </cell>
          <cell r="F736">
            <v>0</v>
          </cell>
          <cell r="AO736">
            <v>0</v>
          </cell>
          <cell r="AP736">
            <v>0</v>
          </cell>
          <cell r="AQ736">
            <v>0</v>
          </cell>
          <cell r="BA736">
            <v>0</v>
          </cell>
          <cell r="BC736">
            <v>0</v>
          </cell>
        </row>
        <row r="737">
          <cell r="A737">
            <v>0</v>
          </cell>
          <cell r="B737">
            <v>0</v>
          </cell>
          <cell r="E737">
            <v>0</v>
          </cell>
          <cell r="F737">
            <v>0</v>
          </cell>
          <cell r="AO737">
            <v>0</v>
          </cell>
          <cell r="AP737">
            <v>0</v>
          </cell>
          <cell r="AQ737">
            <v>0</v>
          </cell>
          <cell r="BA737">
            <v>0</v>
          </cell>
          <cell r="BC737">
            <v>0</v>
          </cell>
        </row>
        <row r="738">
          <cell r="A738">
            <v>0</v>
          </cell>
          <cell r="B738">
            <v>0</v>
          </cell>
          <cell r="E738">
            <v>0</v>
          </cell>
          <cell r="F738">
            <v>0</v>
          </cell>
          <cell r="AO738">
            <v>0</v>
          </cell>
          <cell r="AP738">
            <v>0</v>
          </cell>
          <cell r="AQ738">
            <v>0</v>
          </cell>
          <cell r="BA738">
            <v>0</v>
          </cell>
          <cell r="BC738">
            <v>0</v>
          </cell>
        </row>
        <row r="739">
          <cell r="A739">
            <v>0</v>
          </cell>
          <cell r="B739">
            <v>0</v>
          </cell>
          <cell r="E739">
            <v>0</v>
          </cell>
          <cell r="F739">
            <v>0</v>
          </cell>
          <cell r="AO739">
            <v>0</v>
          </cell>
          <cell r="AP739">
            <v>0</v>
          </cell>
          <cell r="AQ739">
            <v>0</v>
          </cell>
          <cell r="BA739">
            <v>0</v>
          </cell>
          <cell r="BC739">
            <v>0</v>
          </cell>
        </row>
        <row r="740">
          <cell r="A740">
            <v>0</v>
          </cell>
          <cell r="B740">
            <v>0</v>
          </cell>
          <cell r="E740">
            <v>0</v>
          </cell>
          <cell r="F740">
            <v>0</v>
          </cell>
          <cell r="AO740">
            <v>0</v>
          </cell>
          <cell r="AP740">
            <v>0</v>
          </cell>
          <cell r="AQ740">
            <v>0</v>
          </cell>
          <cell r="BA740">
            <v>0</v>
          </cell>
          <cell r="BC740">
            <v>0</v>
          </cell>
        </row>
        <row r="741">
          <cell r="A741">
            <v>0</v>
          </cell>
          <cell r="B741">
            <v>0</v>
          </cell>
          <cell r="E741">
            <v>0</v>
          </cell>
          <cell r="F741">
            <v>0</v>
          </cell>
          <cell r="AO741">
            <v>0</v>
          </cell>
          <cell r="AP741">
            <v>0</v>
          </cell>
          <cell r="AQ741">
            <v>0</v>
          </cell>
          <cell r="BA741">
            <v>0</v>
          </cell>
          <cell r="BC741">
            <v>0</v>
          </cell>
        </row>
        <row r="742">
          <cell r="A742">
            <v>0</v>
          </cell>
          <cell r="B742">
            <v>0</v>
          </cell>
          <cell r="E742">
            <v>0</v>
          </cell>
          <cell r="F742">
            <v>0</v>
          </cell>
          <cell r="AO742">
            <v>0</v>
          </cell>
          <cell r="AP742">
            <v>0</v>
          </cell>
          <cell r="AQ742">
            <v>0</v>
          </cell>
          <cell r="BA742">
            <v>0</v>
          </cell>
          <cell r="BC742">
            <v>0</v>
          </cell>
        </row>
        <row r="743">
          <cell r="A743">
            <v>0</v>
          </cell>
          <cell r="B743">
            <v>0</v>
          </cell>
          <cell r="E743">
            <v>0</v>
          </cell>
          <cell r="F743">
            <v>0</v>
          </cell>
          <cell r="AO743">
            <v>0</v>
          </cell>
          <cell r="AP743">
            <v>0</v>
          </cell>
          <cell r="AQ743">
            <v>0</v>
          </cell>
          <cell r="BA743">
            <v>0</v>
          </cell>
          <cell r="BC743">
            <v>0</v>
          </cell>
        </row>
        <row r="744">
          <cell r="A744">
            <v>0</v>
          </cell>
          <cell r="B744">
            <v>0</v>
          </cell>
          <cell r="E744">
            <v>0</v>
          </cell>
          <cell r="F744">
            <v>0</v>
          </cell>
          <cell r="AO744">
            <v>0</v>
          </cell>
          <cell r="AP744">
            <v>0</v>
          </cell>
          <cell r="AQ744">
            <v>0</v>
          </cell>
          <cell r="BA744">
            <v>0</v>
          </cell>
          <cell r="BC744">
            <v>0</v>
          </cell>
        </row>
        <row r="745">
          <cell r="A745">
            <v>0</v>
          </cell>
          <cell r="B745">
            <v>0</v>
          </cell>
          <cell r="E745">
            <v>0</v>
          </cell>
          <cell r="F745">
            <v>0</v>
          </cell>
          <cell r="AO745">
            <v>0</v>
          </cell>
          <cell r="AP745">
            <v>0</v>
          </cell>
          <cell r="AQ745">
            <v>0</v>
          </cell>
          <cell r="BA745">
            <v>0</v>
          </cell>
          <cell r="BC745">
            <v>0</v>
          </cell>
        </row>
        <row r="746">
          <cell r="A746">
            <v>0</v>
          </cell>
          <cell r="B746">
            <v>0</v>
          </cell>
          <cell r="E746">
            <v>0</v>
          </cell>
          <cell r="F746">
            <v>0</v>
          </cell>
          <cell r="AO746">
            <v>0</v>
          </cell>
          <cell r="AP746">
            <v>0</v>
          </cell>
          <cell r="AQ746">
            <v>0</v>
          </cell>
          <cell r="BA746">
            <v>0</v>
          </cell>
          <cell r="BC746">
            <v>0</v>
          </cell>
        </row>
        <row r="747">
          <cell r="A747">
            <v>0</v>
          </cell>
          <cell r="B747">
            <v>0</v>
          </cell>
          <cell r="E747">
            <v>0</v>
          </cell>
          <cell r="F747">
            <v>0</v>
          </cell>
          <cell r="AO747">
            <v>0</v>
          </cell>
          <cell r="AP747">
            <v>0</v>
          </cell>
          <cell r="AQ747">
            <v>0</v>
          </cell>
          <cell r="BA747">
            <v>0</v>
          </cell>
          <cell r="BC747">
            <v>0</v>
          </cell>
        </row>
        <row r="748">
          <cell r="A748">
            <v>0</v>
          </cell>
          <cell r="B748">
            <v>0</v>
          </cell>
          <cell r="E748">
            <v>0</v>
          </cell>
          <cell r="F748">
            <v>0</v>
          </cell>
          <cell r="AO748">
            <v>0</v>
          </cell>
          <cell r="AP748">
            <v>0</v>
          </cell>
          <cell r="AQ748">
            <v>0</v>
          </cell>
          <cell r="BA748">
            <v>0</v>
          </cell>
          <cell r="BC748">
            <v>0</v>
          </cell>
        </row>
        <row r="749">
          <cell r="A749">
            <v>0</v>
          </cell>
          <cell r="B749">
            <v>0</v>
          </cell>
          <cell r="E749">
            <v>0</v>
          </cell>
          <cell r="F749">
            <v>0</v>
          </cell>
          <cell r="AO749">
            <v>0</v>
          </cell>
          <cell r="AP749">
            <v>0</v>
          </cell>
          <cell r="AQ749">
            <v>0</v>
          </cell>
          <cell r="BA749">
            <v>0</v>
          </cell>
          <cell r="BC749">
            <v>0</v>
          </cell>
        </row>
        <row r="750">
          <cell r="A750">
            <v>0</v>
          </cell>
          <cell r="B750">
            <v>0</v>
          </cell>
          <cell r="E750">
            <v>0</v>
          </cell>
          <cell r="F750">
            <v>0</v>
          </cell>
          <cell r="AO750">
            <v>0</v>
          </cell>
          <cell r="AP750">
            <v>0</v>
          </cell>
          <cell r="AQ750">
            <v>0</v>
          </cell>
          <cell r="BA750">
            <v>0</v>
          </cell>
          <cell r="BC750">
            <v>0</v>
          </cell>
        </row>
        <row r="751">
          <cell r="A751">
            <v>0</v>
          </cell>
          <cell r="B751">
            <v>0</v>
          </cell>
          <cell r="E751">
            <v>0</v>
          </cell>
          <cell r="F751">
            <v>0</v>
          </cell>
          <cell r="AO751">
            <v>0</v>
          </cell>
          <cell r="AP751">
            <v>0</v>
          </cell>
          <cell r="AQ751">
            <v>0</v>
          </cell>
          <cell r="BA751">
            <v>0</v>
          </cell>
          <cell r="BC751">
            <v>0</v>
          </cell>
        </row>
        <row r="752">
          <cell r="A752">
            <v>0</v>
          </cell>
          <cell r="B752">
            <v>0</v>
          </cell>
          <cell r="E752">
            <v>0</v>
          </cell>
          <cell r="F752">
            <v>0</v>
          </cell>
          <cell r="AO752">
            <v>0</v>
          </cell>
          <cell r="AP752">
            <v>0</v>
          </cell>
          <cell r="AQ752">
            <v>0</v>
          </cell>
          <cell r="BA752">
            <v>0</v>
          </cell>
          <cell r="BC752">
            <v>0</v>
          </cell>
        </row>
        <row r="753">
          <cell r="A753">
            <v>0</v>
          </cell>
          <cell r="B753">
            <v>0</v>
          </cell>
          <cell r="E753">
            <v>0</v>
          </cell>
          <cell r="F753">
            <v>0</v>
          </cell>
          <cell r="AO753">
            <v>0</v>
          </cell>
          <cell r="AP753">
            <v>0</v>
          </cell>
          <cell r="AQ753">
            <v>0</v>
          </cell>
          <cell r="BA753">
            <v>0</v>
          </cell>
          <cell r="BC753">
            <v>0</v>
          </cell>
        </row>
        <row r="754">
          <cell r="A754">
            <v>0</v>
          </cell>
          <cell r="B754">
            <v>0</v>
          </cell>
          <cell r="E754">
            <v>0</v>
          </cell>
          <cell r="F754">
            <v>0</v>
          </cell>
          <cell r="AO754">
            <v>0</v>
          </cell>
          <cell r="AP754">
            <v>0</v>
          </cell>
          <cell r="AQ754">
            <v>0</v>
          </cell>
          <cell r="BA754">
            <v>0</v>
          </cell>
          <cell r="BC754">
            <v>0</v>
          </cell>
        </row>
        <row r="755">
          <cell r="A755">
            <v>0</v>
          </cell>
          <cell r="B755">
            <v>0</v>
          </cell>
          <cell r="E755">
            <v>0</v>
          </cell>
          <cell r="F755">
            <v>0</v>
          </cell>
          <cell r="AO755">
            <v>0</v>
          </cell>
          <cell r="AP755">
            <v>0</v>
          </cell>
          <cell r="AQ755">
            <v>0</v>
          </cell>
          <cell r="BA755">
            <v>0</v>
          </cell>
          <cell r="BC755">
            <v>0</v>
          </cell>
        </row>
        <row r="756">
          <cell r="A756">
            <v>0</v>
          </cell>
          <cell r="B756">
            <v>0</v>
          </cell>
          <cell r="E756">
            <v>0</v>
          </cell>
          <cell r="F756">
            <v>0</v>
          </cell>
          <cell r="AO756">
            <v>0</v>
          </cell>
          <cell r="AP756">
            <v>0</v>
          </cell>
          <cell r="AQ756">
            <v>0</v>
          </cell>
          <cell r="BA756">
            <v>0</v>
          </cell>
          <cell r="BC756">
            <v>0</v>
          </cell>
        </row>
        <row r="757">
          <cell r="A757">
            <v>0</v>
          </cell>
          <cell r="B757">
            <v>0</v>
          </cell>
          <cell r="E757">
            <v>0</v>
          </cell>
          <cell r="F757">
            <v>0</v>
          </cell>
          <cell r="AO757">
            <v>0</v>
          </cell>
          <cell r="AP757">
            <v>0</v>
          </cell>
          <cell r="AQ757">
            <v>0</v>
          </cell>
          <cell r="BA757">
            <v>0</v>
          </cell>
          <cell r="BC757">
            <v>0</v>
          </cell>
        </row>
        <row r="758">
          <cell r="A758">
            <v>0</v>
          </cell>
          <cell r="B758">
            <v>0</v>
          </cell>
          <cell r="E758">
            <v>0</v>
          </cell>
          <cell r="F758">
            <v>0</v>
          </cell>
          <cell r="AO758">
            <v>0</v>
          </cell>
          <cell r="AP758">
            <v>0</v>
          </cell>
          <cell r="AQ758">
            <v>0</v>
          </cell>
          <cell r="BA758">
            <v>0</v>
          </cell>
          <cell r="BC758">
            <v>0</v>
          </cell>
        </row>
        <row r="759">
          <cell r="A759">
            <v>0</v>
          </cell>
          <cell r="B759">
            <v>0</v>
          </cell>
          <cell r="E759">
            <v>0</v>
          </cell>
          <cell r="F759">
            <v>0</v>
          </cell>
          <cell r="AO759">
            <v>0</v>
          </cell>
          <cell r="AP759">
            <v>0</v>
          </cell>
          <cell r="AQ759">
            <v>0</v>
          </cell>
          <cell r="BA759">
            <v>0</v>
          </cell>
          <cell r="BC759">
            <v>0</v>
          </cell>
        </row>
        <row r="760">
          <cell r="A760">
            <v>0</v>
          </cell>
          <cell r="B760">
            <v>0</v>
          </cell>
          <cell r="E760">
            <v>0</v>
          </cell>
          <cell r="F760">
            <v>0</v>
          </cell>
          <cell r="AO760">
            <v>0</v>
          </cell>
          <cell r="AP760">
            <v>0</v>
          </cell>
          <cell r="AQ760">
            <v>0</v>
          </cell>
          <cell r="BA760">
            <v>0</v>
          </cell>
          <cell r="BC760">
            <v>0</v>
          </cell>
        </row>
        <row r="761">
          <cell r="A761">
            <v>0</v>
          </cell>
          <cell r="B761">
            <v>0</v>
          </cell>
          <cell r="E761">
            <v>0</v>
          </cell>
          <cell r="F761">
            <v>0</v>
          </cell>
          <cell r="AO761">
            <v>0</v>
          </cell>
          <cell r="AP761">
            <v>0</v>
          </cell>
          <cell r="AQ761">
            <v>0</v>
          </cell>
          <cell r="BA761">
            <v>0</v>
          </cell>
          <cell r="BC761">
            <v>0</v>
          </cell>
        </row>
        <row r="762">
          <cell r="A762">
            <v>0</v>
          </cell>
          <cell r="B762">
            <v>0</v>
          </cell>
          <cell r="E762">
            <v>0</v>
          </cell>
          <cell r="F762">
            <v>0</v>
          </cell>
          <cell r="AO762">
            <v>0</v>
          </cell>
          <cell r="AP762">
            <v>0</v>
          </cell>
          <cell r="AQ762">
            <v>0</v>
          </cell>
          <cell r="BA762">
            <v>0</v>
          </cell>
          <cell r="BC762">
            <v>0</v>
          </cell>
        </row>
        <row r="763">
          <cell r="A763">
            <v>0</v>
          </cell>
          <cell r="B763">
            <v>0</v>
          </cell>
          <cell r="E763">
            <v>0</v>
          </cell>
          <cell r="F763">
            <v>0</v>
          </cell>
          <cell r="AO763">
            <v>0</v>
          </cell>
          <cell r="AP763">
            <v>0</v>
          </cell>
          <cell r="AQ763">
            <v>0</v>
          </cell>
          <cell r="BA763">
            <v>0</v>
          </cell>
          <cell r="BC763">
            <v>0</v>
          </cell>
        </row>
        <row r="764">
          <cell r="A764">
            <v>0</v>
          </cell>
          <cell r="B764">
            <v>0</v>
          </cell>
          <cell r="E764">
            <v>0</v>
          </cell>
          <cell r="F764">
            <v>0</v>
          </cell>
          <cell r="AO764">
            <v>0</v>
          </cell>
          <cell r="AP764">
            <v>0</v>
          </cell>
          <cell r="AQ764">
            <v>0</v>
          </cell>
          <cell r="BA764">
            <v>0</v>
          </cell>
          <cell r="BC764">
            <v>0</v>
          </cell>
        </row>
        <row r="765">
          <cell r="A765">
            <v>0</v>
          </cell>
          <cell r="B765">
            <v>0</v>
          </cell>
          <cell r="E765">
            <v>0</v>
          </cell>
          <cell r="F765">
            <v>0</v>
          </cell>
          <cell r="AO765">
            <v>0</v>
          </cell>
          <cell r="AP765">
            <v>0</v>
          </cell>
          <cell r="AQ765">
            <v>0</v>
          </cell>
          <cell r="BA765">
            <v>0</v>
          </cell>
          <cell r="BC765">
            <v>0</v>
          </cell>
        </row>
        <row r="766">
          <cell r="A766">
            <v>0</v>
          </cell>
          <cell r="B766">
            <v>0</v>
          </cell>
          <cell r="E766">
            <v>0</v>
          </cell>
          <cell r="F766">
            <v>0</v>
          </cell>
          <cell r="AO766">
            <v>0</v>
          </cell>
          <cell r="AP766">
            <v>0</v>
          </cell>
          <cell r="AQ766">
            <v>0</v>
          </cell>
          <cell r="BA766">
            <v>0</v>
          </cell>
          <cell r="BC766">
            <v>0</v>
          </cell>
        </row>
        <row r="767">
          <cell r="A767">
            <v>0</v>
          </cell>
          <cell r="B767">
            <v>0</v>
          </cell>
          <cell r="E767">
            <v>0</v>
          </cell>
          <cell r="F767">
            <v>0</v>
          </cell>
          <cell r="AO767">
            <v>0</v>
          </cell>
          <cell r="AP767">
            <v>0</v>
          </cell>
          <cell r="AQ767">
            <v>0</v>
          </cell>
          <cell r="BA767">
            <v>0</v>
          </cell>
          <cell r="BC767">
            <v>0</v>
          </cell>
        </row>
        <row r="768">
          <cell r="A768">
            <v>0</v>
          </cell>
          <cell r="B768">
            <v>0</v>
          </cell>
          <cell r="E768">
            <v>0</v>
          </cell>
          <cell r="F768">
            <v>0</v>
          </cell>
          <cell r="AO768">
            <v>0</v>
          </cell>
          <cell r="AP768">
            <v>0</v>
          </cell>
          <cell r="AQ768">
            <v>0</v>
          </cell>
          <cell r="BA768">
            <v>0</v>
          </cell>
          <cell r="BC768">
            <v>0</v>
          </cell>
        </row>
        <row r="769">
          <cell r="A769">
            <v>0</v>
          </cell>
          <cell r="B769">
            <v>0</v>
          </cell>
          <cell r="E769">
            <v>0</v>
          </cell>
          <cell r="F769">
            <v>0</v>
          </cell>
          <cell r="AO769">
            <v>0</v>
          </cell>
          <cell r="AP769">
            <v>0</v>
          </cell>
          <cell r="AQ769">
            <v>0</v>
          </cell>
          <cell r="BA769">
            <v>0</v>
          </cell>
          <cell r="BC769">
            <v>0</v>
          </cell>
        </row>
        <row r="770">
          <cell r="A770">
            <v>0</v>
          </cell>
          <cell r="B770">
            <v>0</v>
          </cell>
          <cell r="E770">
            <v>0</v>
          </cell>
          <cell r="F770">
            <v>0</v>
          </cell>
          <cell r="AO770">
            <v>0</v>
          </cell>
          <cell r="AP770">
            <v>0</v>
          </cell>
          <cell r="AQ770">
            <v>0</v>
          </cell>
          <cell r="BA770">
            <v>0</v>
          </cell>
          <cell r="BC770">
            <v>0</v>
          </cell>
        </row>
        <row r="771">
          <cell r="A771">
            <v>0</v>
          </cell>
          <cell r="B771">
            <v>0</v>
          </cell>
          <cell r="E771">
            <v>0</v>
          </cell>
          <cell r="F771">
            <v>0</v>
          </cell>
          <cell r="AO771">
            <v>0</v>
          </cell>
          <cell r="AP771">
            <v>0</v>
          </cell>
          <cell r="AQ771">
            <v>0</v>
          </cell>
          <cell r="BA771">
            <v>0</v>
          </cell>
          <cell r="BC771">
            <v>0</v>
          </cell>
        </row>
        <row r="772">
          <cell r="A772">
            <v>0</v>
          </cell>
          <cell r="B772">
            <v>0</v>
          </cell>
          <cell r="E772">
            <v>0</v>
          </cell>
          <cell r="F772">
            <v>0</v>
          </cell>
          <cell r="AO772">
            <v>0</v>
          </cell>
          <cell r="AP772">
            <v>0</v>
          </cell>
          <cell r="AQ772">
            <v>0</v>
          </cell>
          <cell r="BA772">
            <v>0</v>
          </cell>
          <cell r="BC772">
            <v>0</v>
          </cell>
        </row>
        <row r="773">
          <cell r="A773">
            <v>0</v>
          </cell>
          <cell r="B773">
            <v>0</v>
          </cell>
          <cell r="E773">
            <v>0</v>
          </cell>
          <cell r="F773">
            <v>0</v>
          </cell>
          <cell r="AO773">
            <v>0</v>
          </cell>
          <cell r="AP773">
            <v>0</v>
          </cell>
          <cell r="AQ773">
            <v>0</v>
          </cell>
          <cell r="BA773">
            <v>0</v>
          </cell>
          <cell r="BC773">
            <v>0</v>
          </cell>
        </row>
        <row r="774">
          <cell r="A774">
            <v>0</v>
          </cell>
          <cell r="B774">
            <v>0</v>
          </cell>
          <cell r="E774">
            <v>0</v>
          </cell>
          <cell r="F774">
            <v>0</v>
          </cell>
          <cell r="AO774">
            <v>0</v>
          </cell>
          <cell r="AP774">
            <v>0</v>
          </cell>
          <cell r="AQ774">
            <v>0</v>
          </cell>
          <cell r="BA774">
            <v>0</v>
          </cell>
          <cell r="BC774">
            <v>0</v>
          </cell>
        </row>
        <row r="775">
          <cell r="A775">
            <v>0</v>
          </cell>
          <cell r="B775">
            <v>0</v>
          </cell>
          <cell r="E775">
            <v>0</v>
          </cell>
          <cell r="F775">
            <v>0</v>
          </cell>
          <cell r="AO775">
            <v>0</v>
          </cell>
          <cell r="AP775">
            <v>0</v>
          </cell>
          <cell r="AQ775">
            <v>0</v>
          </cell>
          <cell r="BA775">
            <v>0</v>
          </cell>
          <cell r="BC775">
            <v>0</v>
          </cell>
        </row>
        <row r="776">
          <cell r="A776">
            <v>0</v>
          </cell>
          <cell r="B776">
            <v>0</v>
          </cell>
          <cell r="E776">
            <v>0</v>
          </cell>
          <cell r="F776">
            <v>0</v>
          </cell>
          <cell r="AO776">
            <v>0</v>
          </cell>
          <cell r="AP776">
            <v>0</v>
          </cell>
          <cell r="AQ776">
            <v>0</v>
          </cell>
          <cell r="BA776">
            <v>0</v>
          </cell>
          <cell r="BC776">
            <v>0</v>
          </cell>
        </row>
        <row r="777">
          <cell r="A777">
            <v>0</v>
          </cell>
          <cell r="B777">
            <v>0</v>
          </cell>
          <cell r="E777">
            <v>0</v>
          </cell>
          <cell r="F777">
            <v>0</v>
          </cell>
          <cell r="AO777">
            <v>0</v>
          </cell>
          <cell r="AP777">
            <v>0</v>
          </cell>
          <cell r="AQ777">
            <v>0</v>
          </cell>
          <cell r="BA777">
            <v>0</v>
          </cell>
          <cell r="BC777">
            <v>0</v>
          </cell>
        </row>
        <row r="778">
          <cell r="A778">
            <v>0</v>
          </cell>
          <cell r="B778">
            <v>0</v>
          </cell>
          <cell r="E778">
            <v>0</v>
          </cell>
          <cell r="F778">
            <v>0</v>
          </cell>
          <cell r="AO778">
            <v>0</v>
          </cell>
          <cell r="AP778">
            <v>0</v>
          </cell>
          <cell r="AQ778">
            <v>0</v>
          </cell>
          <cell r="BA778">
            <v>0</v>
          </cell>
          <cell r="BC778">
            <v>0</v>
          </cell>
        </row>
        <row r="779">
          <cell r="A779">
            <v>0</v>
          </cell>
          <cell r="B779">
            <v>0</v>
          </cell>
          <cell r="E779">
            <v>0</v>
          </cell>
          <cell r="F779">
            <v>0</v>
          </cell>
          <cell r="AO779">
            <v>0</v>
          </cell>
          <cell r="AP779">
            <v>0</v>
          </cell>
          <cell r="AQ779">
            <v>0</v>
          </cell>
          <cell r="BA779">
            <v>0</v>
          </cell>
          <cell r="BC779">
            <v>0</v>
          </cell>
        </row>
        <row r="780">
          <cell r="A780">
            <v>0</v>
          </cell>
          <cell r="B780">
            <v>0</v>
          </cell>
          <cell r="E780">
            <v>0</v>
          </cell>
          <cell r="F780">
            <v>0</v>
          </cell>
          <cell r="AO780">
            <v>0</v>
          </cell>
          <cell r="AP780">
            <v>0</v>
          </cell>
          <cell r="AQ780">
            <v>0</v>
          </cell>
          <cell r="BA780">
            <v>0</v>
          </cell>
          <cell r="BC780">
            <v>0</v>
          </cell>
        </row>
        <row r="781">
          <cell r="A781">
            <v>0</v>
          </cell>
          <cell r="B781">
            <v>0</v>
          </cell>
          <cell r="E781">
            <v>0</v>
          </cell>
          <cell r="F781">
            <v>0</v>
          </cell>
          <cell r="AO781">
            <v>0</v>
          </cell>
          <cell r="AP781">
            <v>0</v>
          </cell>
          <cell r="AQ781">
            <v>0</v>
          </cell>
          <cell r="BA781">
            <v>0</v>
          </cell>
          <cell r="BC781">
            <v>0</v>
          </cell>
        </row>
        <row r="782">
          <cell r="A782">
            <v>0</v>
          </cell>
          <cell r="B782">
            <v>0</v>
          </cell>
          <cell r="E782">
            <v>0</v>
          </cell>
          <cell r="F782">
            <v>0</v>
          </cell>
          <cell r="AO782">
            <v>0</v>
          </cell>
          <cell r="AP782">
            <v>0</v>
          </cell>
          <cell r="AQ782">
            <v>0</v>
          </cell>
          <cell r="BA782">
            <v>0</v>
          </cell>
          <cell r="BC782">
            <v>0</v>
          </cell>
        </row>
        <row r="783">
          <cell r="A783">
            <v>0</v>
          </cell>
          <cell r="B783">
            <v>0</v>
          </cell>
          <cell r="E783">
            <v>0</v>
          </cell>
          <cell r="F783">
            <v>0</v>
          </cell>
          <cell r="AO783">
            <v>0</v>
          </cell>
          <cell r="AP783">
            <v>0</v>
          </cell>
          <cell r="AQ783">
            <v>0</v>
          </cell>
          <cell r="BA783">
            <v>0</v>
          </cell>
          <cell r="BC783">
            <v>0</v>
          </cell>
        </row>
        <row r="784">
          <cell r="A784">
            <v>0</v>
          </cell>
          <cell r="B784">
            <v>0</v>
          </cell>
          <cell r="E784">
            <v>0</v>
          </cell>
          <cell r="F784">
            <v>0</v>
          </cell>
          <cell r="AO784">
            <v>0</v>
          </cell>
          <cell r="AP784">
            <v>0</v>
          </cell>
          <cell r="AQ784">
            <v>0</v>
          </cell>
          <cell r="BA784">
            <v>0</v>
          </cell>
          <cell r="BC784">
            <v>0</v>
          </cell>
        </row>
        <row r="785">
          <cell r="A785">
            <v>0</v>
          </cell>
          <cell r="B785">
            <v>0</v>
          </cell>
          <cell r="E785">
            <v>0</v>
          </cell>
          <cell r="F785">
            <v>0</v>
          </cell>
          <cell r="AO785">
            <v>0</v>
          </cell>
          <cell r="AP785">
            <v>0</v>
          </cell>
          <cell r="AQ785">
            <v>0</v>
          </cell>
          <cell r="BA785">
            <v>0</v>
          </cell>
          <cell r="BC785">
            <v>0</v>
          </cell>
        </row>
        <row r="786">
          <cell r="A786">
            <v>0</v>
          </cell>
          <cell r="B786">
            <v>0</v>
          </cell>
          <cell r="E786">
            <v>0</v>
          </cell>
          <cell r="F786">
            <v>0</v>
          </cell>
          <cell r="AO786">
            <v>0</v>
          </cell>
          <cell r="AP786">
            <v>0</v>
          </cell>
          <cell r="AQ786">
            <v>0</v>
          </cell>
          <cell r="BA786">
            <v>0</v>
          </cell>
          <cell r="BC786">
            <v>0</v>
          </cell>
        </row>
        <row r="787">
          <cell r="A787">
            <v>0</v>
          </cell>
          <cell r="B787">
            <v>0</v>
          </cell>
          <cell r="E787">
            <v>0</v>
          </cell>
          <cell r="F787">
            <v>0</v>
          </cell>
          <cell r="AO787">
            <v>0</v>
          </cell>
          <cell r="AP787">
            <v>0</v>
          </cell>
          <cell r="AQ787">
            <v>0</v>
          </cell>
          <cell r="BA787">
            <v>0</v>
          </cell>
          <cell r="BC787">
            <v>0</v>
          </cell>
        </row>
        <row r="788">
          <cell r="A788">
            <v>0</v>
          </cell>
          <cell r="B788">
            <v>0</v>
          </cell>
          <cell r="E788">
            <v>0</v>
          </cell>
          <cell r="F788">
            <v>0</v>
          </cell>
          <cell r="AO788">
            <v>0</v>
          </cell>
          <cell r="AP788">
            <v>0</v>
          </cell>
          <cell r="AQ788">
            <v>0</v>
          </cell>
          <cell r="BA788">
            <v>0</v>
          </cell>
          <cell r="BC788">
            <v>0</v>
          </cell>
        </row>
        <row r="789">
          <cell r="A789">
            <v>0</v>
          </cell>
          <cell r="B789">
            <v>0</v>
          </cell>
          <cell r="E789">
            <v>0</v>
          </cell>
          <cell r="F789">
            <v>0</v>
          </cell>
          <cell r="AO789">
            <v>0</v>
          </cell>
          <cell r="AP789">
            <v>0</v>
          </cell>
          <cell r="AQ789">
            <v>0</v>
          </cell>
          <cell r="BA789">
            <v>0</v>
          </cell>
          <cell r="BC789">
            <v>0</v>
          </cell>
        </row>
        <row r="790">
          <cell r="A790">
            <v>0</v>
          </cell>
          <cell r="B790">
            <v>0</v>
          </cell>
          <cell r="E790">
            <v>0</v>
          </cell>
          <cell r="F790">
            <v>0</v>
          </cell>
          <cell r="AO790">
            <v>0</v>
          </cell>
          <cell r="AP790">
            <v>0</v>
          </cell>
          <cell r="AQ790">
            <v>0</v>
          </cell>
          <cell r="BA790">
            <v>0</v>
          </cell>
          <cell r="BC790">
            <v>0</v>
          </cell>
        </row>
        <row r="791">
          <cell r="A791">
            <v>0</v>
          </cell>
          <cell r="B791">
            <v>0</v>
          </cell>
          <cell r="E791">
            <v>0</v>
          </cell>
          <cell r="F791">
            <v>0</v>
          </cell>
          <cell r="AO791">
            <v>0</v>
          </cell>
          <cell r="AP791">
            <v>0</v>
          </cell>
          <cell r="AQ791">
            <v>0</v>
          </cell>
          <cell r="BA791">
            <v>0</v>
          </cell>
          <cell r="BC791">
            <v>0</v>
          </cell>
        </row>
        <row r="792">
          <cell r="A792">
            <v>0</v>
          </cell>
          <cell r="B792">
            <v>0</v>
          </cell>
          <cell r="E792">
            <v>0</v>
          </cell>
          <cell r="F792">
            <v>0</v>
          </cell>
          <cell r="AO792">
            <v>0</v>
          </cell>
          <cell r="AP792">
            <v>0</v>
          </cell>
          <cell r="AQ792">
            <v>0</v>
          </cell>
          <cell r="BA792">
            <v>0</v>
          </cell>
          <cell r="BC792">
            <v>0</v>
          </cell>
        </row>
        <row r="793">
          <cell r="A793">
            <v>0</v>
          </cell>
          <cell r="B793">
            <v>0</v>
          </cell>
          <cell r="E793">
            <v>0</v>
          </cell>
          <cell r="F793">
            <v>0</v>
          </cell>
          <cell r="AO793">
            <v>0</v>
          </cell>
          <cell r="AP793">
            <v>0</v>
          </cell>
          <cell r="AQ793">
            <v>0</v>
          </cell>
          <cell r="BA793">
            <v>0</v>
          </cell>
          <cell r="BC793">
            <v>0</v>
          </cell>
        </row>
        <row r="794">
          <cell r="A794">
            <v>0</v>
          </cell>
          <cell r="B794">
            <v>0</v>
          </cell>
          <cell r="E794">
            <v>0</v>
          </cell>
          <cell r="F794">
            <v>0</v>
          </cell>
          <cell r="AO794">
            <v>0</v>
          </cell>
          <cell r="AP794">
            <v>0</v>
          </cell>
          <cell r="AQ794">
            <v>0</v>
          </cell>
          <cell r="BA794">
            <v>0</v>
          </cell>
          <cell r="BC794">
            <v>0</v>
          </cell>
        </row>
        <row r="795">
          <cell r="A795">
            <v>0</v>
          </cell>
          <cell r="B795">
            <v>0</v>
          </cell>
          <cell r="E795">
            <v>0</v>
          </cell>
          <cell r="F795">
            <v>0</v>
          </cell>
          <cell r="AO795">
            <v>0</v>
          </cell>
          <cell r="AP795">
            <v>0</v>
          </cell>
          <cell r="AQ795">
            <v>0</v>
          </cell>
          <cell r="BA795">
            <v>0</v>
          </cell>
          <cell r="BC795">
            <v>0</v>
          </cell>
        </row>
        <row r="796">
          <cell r="A796">
            <v>0</v>
          </cell>
          <cell r="B796">
            <v>0</v>
          </cell>
          <cell r="E796">
            <v>0</v>
          </cell>
          <cell r="F796">
            <v>0</v>
          </cell>
          <cell r="AO796">
            <v>0</v>
          </cell>
          <cell r="AP796">
            <v>0</v>
          </cell>
          <cell r="AQ796">
            <v>0</v>
          </cell>
          <cell r="BA796">
            <v>0</v>
          </cell>
          <cell r="BC796">
            <v>0</v>
          </cell>
        </row>
        <row r="797">
          <cell r="A797">
            <v>0</v>
          </cell>
          <cell r="B797">
            <v>0</v>
          </cell>
          <cell r="E797">
            <v>0</v>
          </cell>
          <cell r="F797">
            <v>0</v>
          </cell>
          <cell r="AO797">
            <v>0</v>
          </cell>
          <cell r="AP797">
            <v>0</v>
          </cell>
          <cell r="AQ797">
            <v>0</v>
          </cell>
          <cell r="BA797">
            <v>0</v>
          </cell>
          <cell r="BC797">
            <v>0</v>
          </cell>
        </row>
        <row r="798">
          <cell r="A798">
            <v>0</v>
          </cell>
          <cell r="B798">
            <v>0</v>
          </cell>
          <cell r="E798">
            <v>0</v>
          </cell>
          <cell r="F798">
            <v>0</v>
          </cell>
          <cell r="AO798">
            <v>0</v>
          </cell>
          <cell r="AP798">
            <v>0</v>
          </cell>
          <cell r="AQ798">
            <v>0</v>
          </cell>
          <cell r="BA798">
            <v>0</v>
          </cell>
          <cell r="BC798">
            <v>0</v>
          </cell>
        </row>
        <row r="799">
          <cell r="A799">
            <v>0</v>
          </cell>
          <cell r="B799">
            <v>0</v>
          </cell>
          <cell r="E799">
            <v>0</v>
          </cell>
          <cell r="F799">
            <v>0</v>
          </cell>
          <cell r="AO799">
            <v>0</v>
          </cell>
          <cell r="AP799">
            <v>0</v>
          </cell>
          <cell r="AQ799">
            <v>0</v>
          </cell>
          <cell r="BA799">
            <v>0</v>
          </cell>
          <cell r="BC799">
            <v>0</v>
          </cell>
        </row>
        <row r="800">
          <cell r="A800">
            <v>0</v>
          </cell>
          <cell r="B800">
            <v>0</v>
          </cell>
          <cell r="E800">
            <v>0</v>
          </cell>
          <cell r="F800">
            <v>0</v>
          </cell>
          <cell r="AO800">
            <v>0</v>
          </cell>
          <cell r="AP800">
            <v>0</v>
          </cell>
          <cell r="AQ800">
            <v>0</v>
          </cell>
          <cell r="BA800">
            <v>0</v>
          </cell>
          <cell r="BC800">
            <v>0</v>
          </cell>
        </row>
        <row r="801">
          <cell r="A801">
            <v>0</v>
          </cell>
          <cell r="B801">
            <v>0</v>
          </cell>
          <cell r="E801">
            <v>0</v>
          </cell>
          <cell r="F801">
            <v>0</v>
          </cell>
          <cell r="AO801">
            <v>0</v>
          </cell>
          <cell r="AP801">
            <v>0</v>
          </cell>
          <cell r="AQ801">
            <v>0</v>
          </cell>
          <cell r="BA801">
            <v>0</v>
          </cell>
          <cell r="BC801">
            <v>0</v>
          </cell>
        </row>
        <row r="802">
          <cell r="A802">
            <v>0</v>
          </cell>
          <cell r="B802">
            <v>0</v>
          </cell>
          <cell r="E802">
            <v>0</v>
          </cell>
          <cell r="F802">
            <v>0</v>
          </cell>
          <cell r="AO802">
            <v>0</v>
          </cell>
          <cell r="AP802">
            <v>0</v>
          </cell>
          <cell r="AQ802">
            <v>0</v>
          </cell>
          <cell r="BA802">
            <v>0</v>
          </cell>
          <cell r="BC802">
            <v>0</v>
          </cell>
        </row>
        <row r="803">
          <cell r="A803">
            <v>0</v>
          </cell>
          <cell r="B803">
            <v>0</v>
          </cell>
          <cell r="E803">
            <v>0</v>
          </cell>
          <cell r="F803">
            <v>0</v>
          </cell>
          <cell r="AO803">
            <v>0</v>
          </cell>
          <cell r="AP803">
            <v>0</v>
          </cell>
          <cell r="AQ803">
            <v>0</v>
          </cell>
          <cell r="BA803">
            <v>0</v>
          </cell>
          <cell r="BC803">
            <v>0</v>
          </cell>
        </row>
        <row r="804">
          <cell r="A804">
            <v>0</v>
          </cell>
          <cell r="B804">
            <v>0</v>
          </cell>
          <cell r="E804">
            <v>0</v>
          </cell>
          <cell r="F804">
            <v>0</v>
          </cell>
          <cell r="AO804">
            <v>0</v>
          </cell>
          <cell r="AP804">
            <v>0</v>
          </cell>
          <cell r="AQ804">
            <v>0</v>
          </cell>
          <cell r="BA804">
            <v>0</v>
          </cell>
          <cell r="BC804">
            <v>0</v>
          </cell>
        </row>
        <row r="805">
          <cell r="A805">
            <v>0</v>
          </cell>
          <cell r="B805">
            <v>0</v>
          </cell>
          <cell r="E805">
            <v>0</v>
          </cell>
          <cell r="F805">
            <v>0</v>
          </cell>
          <cell r="AO805">
            <v>0</v>
          </cell>
          <cell r="AP805">
            <v>0</v>
          </cell>
          <cell r="AQ805">
            <v>0</v>
          </cell>
          <cell r="BA805">
            <v>0</v>
          </cell>
          <cell r="BC805">
            <v>0</v>
          </cell>
        </row>
        <row r="806">
          <cell r="A806">
            <v>0</v>
          </cell>
          <cell r="B806">
            <v>0</v>
          </cell>
          <cell r="E806">
            <v>0</v>
          </cell>
          <cell r="F806">
            <v>0</v>
          </cell>
          <cell r="AO806">
            <v>0</v>
          </cell>
          <cell r="AP806">
            <v>0</v>
          </cell>
          <cell r="AQ806">
            <v>0</v>
          </cell>
          <cell r="BA806">
            <v>0</v>
          </cell>
          <cell r="BC806">
            <v>0</v>
          </cell>
        </row>
        <row r="807">
          <cell r="A807">
            <v>0</v>
          </cell>
          <cell r="B807">
            <v>0</v>
          </cell>
          <cell r="E807">
            <v>0</v>
          </cell>
          <cell r="F807">
            <v>0</v>
          </cell>
          <cell r="AO807">
            <v>0</v>
          </cell>
          <cell r="AP807">
            <v>0</v>
          </cell>
          <cell r="AQ807">
            <v>0</v>
          </cell>
          <cell r="BA807">
            <v>0</v>
          </cell>
          <cell r="BC807">
            <v>0</v>
          </cell>
        </row>
        <row r="808">
          <cell r="A808">
            <v>0</v>
          </cell>
          <cell r="B808">
            <v>0</v>
          </cell>
          <cell r="E808">
            <v>0</v>
          </cell>
          <cell r="F808">
            <v>0</v>
          </cell>
          <cell r="AO808">
            <v>0</v>
          </cell>
          <cell r="AP808">
            <v>0</v>
          </cell>
          <cell r="AQ808">
            <v>0</v>
          </cell>
          <cell r="BA808">
            <v>0</v>
          </cell>
          <cell r="BC808">
            <v>0</v>
          </cell>
        </row>
        <row r="809">
          <cell r="A809">
            <v>0</v>
          </cell>
          <cell r="B809">
            <v>0</v>
          </cell>
          <cell r="E809">
            <v>0</v>
          </cell>
          <cell r="F809">
            <v>0</v>
          </cell>
          <cell r="AO809">
            <v>0</v>
          </cell>
          <cell r="AP809">
            <v>0</v>
          </cell>
          <cell r="AQ809">
            <v>0</v>
          </cell>
          <cell r="BA809">
            <v>0</v>
          </cell>
          <cell r="BC809">
            <v>0</v>
          </cell>
        </row>
        <row r="810">
          <cell r="A810">
            <v>0</v>
          </cell>
          <cell r="B810">
            <v>0</v>
          </cell>
          <cell r="E810">
            <v>0</v>
          </cell>
          <cell r="F810">
            <v>0</v>
          </cell>
          <cell r="AO810">
            <v>0</v>
          </cell>
          <cell r="AP810">
            <v>0</v>
          </cell>
          <cell r="AQ810">
            <v>0</v>
          </cell>
          <cell r="BA810">
            <v>0</v>
          </cell>
          <cell r="BC810">
            <v>0</v>
          </cell>
        </row>
        <row r="811">
          <cell r="A811">
            <v>0</v>
          </cell>
          <cell r="B811">
            <v>0</v>
          </cell>
          <cell r="E811">
            <v>0</v>
          </cell>
          <cell r="F811">
            <v>0</v>
          </cell>
          <cell r="AO811">
            <v>0</v>
          </cell>
          <cell r="AP811">
            <v>0</v>
          </cell>
          <cell r="AQ811">
            <v>0</v>
          </cell>
          <cell r="BA811">
            <v>0</v>
          </cell>
          <cell r="BC811">
            <v>0</v>
          </cell>
        </row>
        <row r="812">
          <cell r="A812">
            <v>0</v>
          </cell>
          <cell r="B812">
            <v>0</v>
          </cell>
          <cell r="E812">
            <v>0</v>
          </cell>
          <cell r="F812">
            <v>0</v>
          </cell>
          <cell r="AO812">
            <v>0</v>
          </cell>
          <cell r="AP812">
            <v>0</v>
          </cell>
          <cell r="AQ812">
            <v>0</v>
          </cell>
          <cell r="BA812">
            <v>0</v>
          </cell>
          <cell r="BC812">
            <v>0</v>
          </cell>
        </row>
        <row r="813">
          <cell r="A813">
            <v>0</v>
          </cell>
          <cell r="B813">
            <v>0</v>
          </cell>
          <cell r="E813">
            <v>0</v>
          </cell>
          <cell r="F813">
            <v>0</v>
          </cell>
          <cell r="AO813">
            <v>0</v>
          </cell>
          <cell r="AP813">
            <v>0</v>
          </cell>
          <cell r="AQ813">
            <v>0</v>
          </cell>
          <cell r="BA813">
            <v>0</v>
          </cell>
          <cell r="BC813">
            <v>0</v>
          </cell>
        </row>
        <row r="814">
          <cell r="A814">
            <v>0</v>
          </cell>
          <cell r="B814">
            <v>0</v>
          </cell>
          <cell r="E814">
            <v>0</v>
          </cell>
          <cell r="F814">
            <v>0</v>
          </cell>
          <cell r="AO814">
            <v>0</v>
          </cell>
          <cell r="AP814">
            <v>0</v>
          </cell>
          <cell r="AQ814">
            <v>0</v>
          </cell>
          <cell r="BA814">
            <v>0</v>
          </cell>
          <cell r="BC814">
            <v>0</v>
          </cell>
        </row>
        <row r="815">
          <cell r="A815">
            <v>0</v>
          </cell>
          <cell r="B815">
            <v>0</v>
          </cell>
          <cell r="E815">
            <v>0</v>
          </cell>
          <cell r="F815">
            <v>0</v>
          </cell>
          <cell r="AO815">
            <v>0</v>
          </cell>
          <cell r="AP815">
            <v>0</v>
          </cell>
          <cell r="AQ815">
            <v>0</v>
          </cell>
          <cell r="BA815">
            <v>0</v>
          </cell>
          <cell r="BC815">
            <v>0</v>
          </cell>
        </row>
        <row r="816">
          <cell r="A816">
            <v>0</v>
          </cell>
          <cell r="B816">
            <v>0</v>
          </cell>
          <cell r="E816">
            <v>0</v>
          </cell>
          <cell r="F816">
            <v>0</v>
          </cell>
          <cell r="AO816">
            <v>0</v>
          </cell>
          <cell r="AP816">
            <v>0</v>
          </cell>
          <cell r="AQ816">
            <v>0</v>
          </cell>
          <cell r="BA816">
            <v>0</v>
          </cell>
          <cell r="BC816">
            <v>0</v>
          </cell>
        </row>
        <row r="817">
          <cell r="A817">
            <v>0</v>
          </cell>
          <cell r="B817">
            <v>0</v>
          </cell>
          <cell r="E817">
            <v>0</v>
          </cell>
          <cell r="F817">
            <v>0</v>
          </cell>
          <cell r="AO817">
            <v>0</v>
          </cell>
          <cell r="AP817">
            <v>0</v>
          </cell>
          <cell r="AQ817">
            <v>0</v>
          </cell>
          <cell r="BA817">
            <v>0</v>
          </cell>
          <cell r="BC817">
            <v>0</v>
          </cell>
        </row>
        <row r="818">
          <cell r="A818">
            <v>0</v>
          </cell>
          <cell r="B818">
            <v>0</v>
          </cell>
          <cell r="E818">
            <v>0</v>
          </cell>
          <cell r="F818">
            <v>0</v>
          </cell>
          <cell r="AO818">
            <v>0</v>
          </cell>
          <cell r="AP818">
            <v>0</v>
          </cell>
          <cell r="AQ818">
            <v>0</v>
          </cell>
          <cell r="BA818">
            <v>0</v>
          </cell>
          <cell r="BC818">
            <v>0</v>
          </cell>
        </row>
        <row r="819">
          <cell r="A819">
            <v>0</v>
          </cell>
          <cell r="B819">
            <v>0</v>
          </cell>
          <cell r="E819">
            <v>0</v>
          </cell>
          <cell r="F819">
            <v>0</v>
          </cell>
          <cell r="AO819">
            <v>0</v>
          </cell>
          <cell r="AP819">
            <v>0</v>
          </cell>
          <cell r="AQ819">
            <v>0</v>
          </cell>
          <cell r="BA819">
            <v>0</v>
          </cell>
          <cell r="BC819">
            <v>0</v>
          </cell>
        </row>
        <row r="820">
          <cell r="A820">
            <v>0</v>
          </cell>
          <cell r="B820">
            <v>0</v>
          </cell>
          <cell r="E820">
            <v>0</v>
          </cell>
          <cell r="F820">
            <v>0</v>
          </cell>
          <cell r="AO820">
            <v>0</v>
          </cell>
          <cell r="AP820">
            <v>0</v>
          </cell>
          <cell r="AQ820">
            <v>0</v>
          </cell>
          <cell r="BA820">
            <v>0</v>
          </cell>
          <cell r="BC820">
            <v>0</v>
          </cell>
        </row>
        <row r="821">
          <cell r="A821">
            <v>0</v>
          </cell>
          <cell r="B821">
            <v>0</v>
          </cell>
          <cell r="E821">
            <v>0</v>
          </cell>
          <cell r="F821">
            <v>0</v>
          </cell>
          <cell r="AO821">
            <v>0</v>
          </cell>
          <cell r="AP821">
            <v>0</v>
          </cell>
          <cell r="AQ821">
            <v>0</v>
          </cell>
          <cell r="BA821">
            <v>0</v>
          </cell>
          <cell r="BC821">
            <v>0</v>
          </cell>
        </row>
        <row r="822">
          <cell r="A822">
            <v>0</v>
          </cell>
          <cell r="B822">
            <v>0</v>
          </cell>
          <cell r="E822">
            <v>0</v>
          </cell>
          <cell r="F822">
            <v>0</v>
          </cell>
          <cell r="AO822">
            <v>0</v>
          </cell>
          <cell r="AP822">
            <v>0</v>
          </cell>
          <cell r="AQ822">
            <v>0</v>
          </cell>
          <cell r="BA822">
            <v>0</v>
          </cell>
          <cell r="BC822">
            <v>0</v>
          </cell>
        </row>
        <row r="823">
          <cell r="A823">
            <v>0</v>
          </cell>
          <cell r="B823">
            <v>0</v>
          </cell>
          <cell r="E823">
            <v>0</v>
          </cell>
          <cell r="F823">
            <v>0</v>
          </cell>
          <cell r="AO823">
            <v>0</v>
          </cell>
          <cell r="AP823">
            <v>0</v>
          </cell>
          <cell r="AQ823">
            <v>0</v>
          </cell>
          <cell r="BA823">
            <v>0</v>
          </cell>
          <cell r="BC823">
            <v>0</v>
          </cell>
        </row>
        <row r="824">
          <cell r="A824">
            <v>0</v>
          </cell>
          <cell r="B824">
            <v>0</v>
          </cell>
          <cell r="E824">
            <v>0</v>
          </cell>
          <cell r="F824">
            <v>0</v>
          </cell>
          <cell r="AO824">
            <v>0</v>
          </cell>
          <cell r="AP824">
            <v>0</v>
          </cell>
          <cell r="AQ824">
            <v>0</v>
          </cell>
          <cell r="BA824">
            <v>0</v>
          </cell>
          <cell r="BC824">
            <v>0</v>
          </cell>
        </row>
        <row r="825">
          <cell r="A825">
            <v>0</v>
          </cell>
          <cell r="B825">
            <v>0</v>
          </cell>
          <cell r="E825">
            <v>0</v>
          </cell>
          <cell r="F825">
            <v>0</v>
          </cell>
          <cell r="AO825">
            <v>0</v>
          </cell>
          <cell r="AP825">
            <v>0</v>
          </cell>
          <cell r="AQ825">
            <v>0</v>
          </cell>
          <cell r="BA825">
            <v>0</v>
          </cell>
          <cell r="BC825">
            <v>0</v>
          </cell>
        </row>
        <row r="826">
          <cell r="A826">
            <v>0</v>
          </cell>
          <cell r="B826">
            <v>0</v>
          </cell>
          <cell r="E826">
            <v>0</v>
          </cell>
          <cell r="F826">
            <v>0</v>
          </cell>
          <cell r="AO826">
            <v>0</v>
          </cell>
          <cell r="AP826">
            <v>0</v>
          </cell>
          <cell r="AQ826">
            <v>0</v>
          </cell>
          <cell r="BA826">
            <v>0</v>
          </cell>
          <cell r="BC826">
            <v>0</v>
          </cell>
        </row>
        <row r="827">
          <cell r="A827">
            <v>0</v>
          </cell>
          <cell r="B827">
            <v>0</v>
          </cell>
          <cell r="E827">
            <v>0</v>
          </cell>
          <cell r="F827">
            <v>0</v>
          </cell>
          <cell r="AO827">
            <v>0</v>
          </cell>
          <cell r="AP827">
            <v>0</v>
          </cell>
          <cell r="AQ827">
            <v>0</v>
          </cell>
          <cell r="BA827">
            <v>0</v>
          </cell>
          <cell r="BC827">
            <v>0</v>
          </cell>
        </row>
        <row r="828">
          <cell r="A828">
            <v>0</v>
          </cell>
          <cell r="B828">
            <v>0</v>
          </cell>
          <cell r="E828">
            <v>0</v>
          </cell>
          <cell r="F828">
            <v>0</v>
          </cell>
          <cell r="AO828">
            <v>0</v>
          </cell>
          <cell r="AP828">
            <v>0</v>
          </cell>
          <cell r="AQ828">
            <v>0</v>
          </cell>
          <cell r="BA828">
            <v>0</v>
          </cell>
          <cell r="BC828">
            <v>0</v>
          </cell>
        </row>
        <row r="829">
          <cell r="A829">
            <v>0</v>
          </cell>
          <cell r="B829">
            <v>0</v>
          </cell>
          <cell r="E829">
            <v>0</v>
          </cell>
          <cell r="F829">
            <v>0</v>
          </cell>
          <cell r="AO829">
            <v>0</v>
          </cell>
          <cell r="AP829">
            <v>0</v>
          </cell>
          <cell r="AQ829">
            <v>0</v>
          </cell>
          <cell r="BA829">
            <v>0</v>
          </cell>
          <cell r="BC829">
            <v>0</v>
          </cell>
        </row>
        <row r="830">
          <cell r="A830">
            <v>0</v>
          </cell>
          <cell r="B830">
            <v>0</v>
          </cell>
          <cell r="E830">
            <v>0</v>
          </cell>
          <cell r="F830">
            <v>0</v>
          </cell>
          <cell r="AO830">
            <v>0</v>
          </cell>
          <cell r="AP830">
            <v>0</v>
          </cell>
          <cell r="AQ830">
            <v>0</v>
          </cell>
          <cell r="BA830">
            <v>0</v>
          </cell>
          <cell r="BC830">
            <v>0</v>
          </cell>
        </row>
        <row r="831">
          <cell r="A831">
            <v>0</v>
          </cell>
          <cell r="B831">
            <v>0</v>
          </cell>
          <cell r="E831">
            <v>0</v>
          </cell>
          <cell r="F831">
            <v>0</v>
          </cell>
          <cell r="AO831">
            <v>0</v>
          </cell>
          <cell r="AP831">
            <v>0</v>
          </cell>
          <cell r="AQ831">
            <v>0</v>
          </cell>
          <cell r="BA831">
            <v>0</v>
          </cell>
          <cell r="BC831">
            <v>0</v>
          </cell>
        </row>
        <row r="832">
          <cell r="A832">
            <v>0</v>
          </cell>
          <cell r="B832">
            <v>0</v>
          </cell>
          <cell r="E832">
            <v>0</v>
          </cell>
          <cell r="F832">
            <v>0</v>
          </cell>
          <cell r="AO832">
            <v>0</v>
          </cell>
          <cell r="AP832">
            <v>0</v>
          </cell>
          <cell r="AQ832">
            <v>0</v>
          </cell>
          <cell r="BA832">
            <v>0</v>
          </cell>
          <cell r="BC832">
            <v>0</v>
          </cell>
        </row>
        <row r="833">
          <cell r="A833">
            <v>0</v>
          </cell>
          <cell r="B833">
            <v>0</v>
          </cell>
          <cell r="E833">
            <v>0</v>
          </cell>
          <cell r="F833">
            <v>0</v>
          </cell>
          <cell r="AO833">
            <v>0</v>
          </cell>
          <cell r="AP833">
            <v>0</v>
          </cell>
          <cell r="AQ833">
            <v>0</v>
          </cell>
          <cell r="BA833">
            <v>0</v>
          </cell>
          <cell r="BC833">
            <v>0</v>
          </cell>
        </row>
        <row r="834">
          <cell r="A834">
            <v>0</v>
          </cell>
          <cell r="B834">
            <v>0</v>
          </cell>
          <cell r="E834">
            <v>0</v>
          </cell>
          <cell r="F834">
            <v>0</v>
          </cell>
          <cell r="AO834">
            <v>0</v>
          </cell>
          <cell r="AP834">
            <v>0</v>
          </cell>
          <cell r="AQ834">
            <v>0</v>
          </cell>
          <cell r="BA834">
            <v>0</v>
          </cell>
          <cell r="BC834">
            <v>0</v>
          </cell>
        </row>
        <row r="835">
          <cell r="A835">
            <v>0</v>
          </cell>
          <cell r="B835">
            <v>0</v>
          </cell>
          <cell r="E835">
            <v>0</v>
          </cell>
          <cell r="F835">
            <v>0</v>
          </cell>
          <cell r="AO835">
            <v>0</v>
          </cell>
          <cell r="AP835">
            <v>0</v>
          </cell>
          <cell r="AQ835">
            <v>0</v>
          </cell>
          <cell r="BA835">
            <v>0</v>
          </cell>
          <cell r="BC835">
            <v>0</v>
          </cell>
        </row>
        <row r="836">
          <cell r="A836">
            <v>0</v>
          </cell>
          <cell r="B836">
            <v>0</v>
          </cell>
          <cell r="E836">
            <v>0</v>
          </cell>
          <cell r="F836">
            <v>0</v>
          </cell>
          <cell r="AO836">
            <v>0</v>
          </cell>
          <cell r="AP836">
            <v>0</v>
          </cell>
          <cell r="AQ836">
            <v>0</v>
          </cell>
          <cell r="BA836">
            <v>0</v>
          </cell>
          <cell r="BC836">
            <v>0</v>
          </cell>
        </row>
        <row r="837">
          <cell r="A837">
            <v>0</v>
          </cell>
          <cell r="B837">
            <v>0</v>
          </cell>
          <cell r="E837">
            <v>0</v>
          </cell>
          <cell r="F837">
            <v>0</v>
          </cell>
          <cell r="AO837">
            <v>0</v>
          </cell>
          <cell r="AP837">
            <v>0</v>
          </cell>
          <cell r="AQ837">
            <v>0</v>
          </cell>
          <cell r="BA837">
            <v>0</v>
          </cell>
          <cell r="BC837">
            <v>0</v>
          </cell>
        </row>
        <row r="838">
          <cell r="A838">
            <v>0</v>
          </cell>
          <cell r="B838">
            <v>0</v>
          </cell>
          <cell r="E838">
            <v>0</v>
          </cell>
          <cell r="F838">
            <v>0</v>
          </cell>
          <cell r="AO838">
            <v>0</v>
          </cell>
          <cell r="AP838">
            <v>0</v>
          </cell>
          <cell r="AQ838">
            <v>0</v>
          </cell>
          <cell r="BA838">
            <v>0</v>
          </cell>
          <cell r="BC838">
            <v>0</v>
          </cell>
        </row>
        <row r="839">
          <cell r="A839">
            <v>0</v>
          </cell>
          <cell r="B839">
            <v>0</v>
          </cell>
          <cell r="E839">
            <v>0</v>
          </cell>
          <cell r="F839">
            <v>0</v>
          </cell>
          <cell r="AO839">
            <v>0</v>
          </cell>
          <cell r="AP839">
            <v>0</v>
          </cell>
          <cell r="AQ839">
            <v>0</v>
          </cell>
          <cell r="BA839">
            <v>0</v>
          </cell>
          <cell r="BC839">
            <v>0</v>
          </cell>
        </row>
        <row r="840">
          <cell r="A840">
            <v>0</v>
          </cell>
          <cell r="B840">
            <v>0</v>
          </cell>
          <cell r="E840">
            <v>0</v>
          </cell>
          <cell r="F840">
            <v>0</v>
          </cell>
          <cell r="AO840">
            <v>0</v>
          </cell>
          <cell r="AP840">
            <v>0</v>
          </cell>
          <cell r="AQ840">
            <v>0</v>
          </cell>
          <cell r="BA840">
            <v>0</v>
          </cell>
          <cell r="BC840">
            <v>0</v>
          </cell>
        </row>
        <row r="841">
          <cell r="A841">
            <v>0</v>
          </cell>
          <cell r="B841">
            <v>0</v>
          </cell>
          <cell r="E841">
            <v>0</v>
          </cell>
          <cell r="F841">
            <v>0</v>
          </cell>
          <cell r="AO841">
            <v>0</v>
          </cell>
          <cell r="AP841">
            <v>0</v>
          </cell>
          <cell r="AQ841">
            <v>0</v>
          </cell>
          <cell r="BA841">
            <v>0</v>
          </cell>
          <cell r="BC841">
            <v>0</v>
          </cell>
        </row>
        <row r="842">
          <cell r="A842">
            <v>0</v>
          </cell>
          <cell r="B842">
            <v>0</v>
          </cell>
          <cell r="E842">
            <v>0</v>
          </cell>
          <cell r="F842">
            <v>0</v>
          </cell>
          <cell r="AO842">
            <v>0</v>
          </cell>
          <cell r="AP842">
            <v>0</v>
          </cell>
          <cell r="AQ842">
            <v>0</v>
          </cell>
          <cell r="BA842">
            <v>0</v>
          </cell>
          <cell r="BC842">
            <v>0</v>
          </cell>
        </row>
        <row r="843">
          <cell r="A843">
            <v>0</v>
          </cell>
          <cell r="B843">
            <v>0</v>
          </cell>
          <cell r="E843">
            <v>0</v>
          </cell>
          <cell r="F843">
            <v>0</v>
          </cell>
          <cell r="AO843">
            <v>0</v>
          </cell>
          <cell r="AP843">
            <v>0</v>
          </cell>
          <cell r="AQ843">
            <v>0</v>
          </cell>
          <cell r="BA843">
            <v>0</v>
          </cell>
          <cell r="BC843">
            <v>0</v>
          </cell>
        </row>
        <row r="844">
          <cell r="A844">
            <v>0</v>
          </cell>
          <cell r="B844">
            <v>0</v>
          </cell>
          <cell r="E844">
            <v>0</v>
          </cell>
          <cell r="F844">
            <v>0</v>
          </cell>
          <cell r="AO844">
            <v>0</v>
          </cell>
          <cell r="AP844">
            <v>0</v>
          </cell>
          <cell r="AQ844">
            <v>0</v>
          </cell>
          <cell r="BA844">
            <v>0</v>
          </cell>
          <cell r="BC844">
            <v>0</v>
          </cell>
        </row>
        <row r="845">
          <cell r="A845">
            <v>0</v>
          </cell>
          <cell r="B845">
            <v>0</v>
          </cell>
          <cell r="E845">
            <v>0</v>
          </cell>
          <cell r="F845">
            <v>0</v>
          </cell>
          <cell r="AO845">
            <v>0</v>
          </cell>
          <cell r="AP845">
            <v>0</v>
          </cell>
          <cell r="AQ845">
            <v>0</v>
          </cell>
          <cell r="BA845">
            <v>0</v>
          </cell>
          <cell r="BC845">
            <v>0</v>
          </cell>
        </row>
        <row r="846">
          <cell r="A846">
            <v>0</v>
          </cell>
          <cell r="B846">
            <v>0</v>
          </cell>
          <cell r="E846">
            <v>0</v>
          </cell>
          <cell r="F846">
            <v>0</v>
          </cell>
          <cell r="AO846">
            <v>0</v>
          </cell>
          <cell r="AP846">
            <v>0</v>
          </cell>
          <cell r="AQ846">
            <v>0</v>
          </cell>
          <cell r="BA846">
            <v>0</v>
          </cell>
          <cell r="BC846">
            <v>0</v>
          </cell>
        </row>
        <row r="847">
          <cell r="A847">
            <v>0</v>
          </cell>
          <cell r="B847">
            <v>0</v>
          </cell>
          <cell r="E847">
            <v>0</v>
          </cell>
          <cell r="F847">
            <v>0</v>
          </cell>
          <cell r="AO847">
            <v>0</v>
          </cell>
          <cell r="AP847">
            <v>0</v>
          </cell>
          <cell r="AQ847">
            <v>0</v>
          </cell>
          <cell r="BA847">
            <v>0</v>
          </cell>
          <cell r="BC847">
            <v>0</v>
          </cell>
        </row>
        <row r="848">
          <cell r="A848">
            <v>0</v>
          </cell>
          <cell r="B848">
            <v>0</v>
          </cell>
          <cell r="E848">
            <v>0</v>
          </cell>
          <cell r="F848">
            <v>0</v>
          </cell>
          <cell r="AO848">
            <v>0</v>
          </cell>
          <cell r="AP848">
            <v>0</v>
          </cell>
          <cell r="AQ848">
            <v>0</v>
          </cell>
          <cell r="BA848">
            <v>0</v>
          </cell>
          <cell r="BC848">
            <v>0</v>
          </cell>
        </row>
        <row r="849">
          <cell r="A849">
            <v>0</v>
          </cell>
          <cell r="B849">
            <v>0</v>
          </cell>
          <cell r="E849">
            <v>0</v>
          </cell>
          <cell r="F849">
            <v>0</v>
          </cell>
          <cell r="AO849">
            <v>0</v>
          </cell>
          <cell r="AP849">
            <v>0</v>
          </cell>
          <cell r="AQ849">
            <v>0</v>
          </cell>
          <cell r="BA849">
            <v>0</v>
          </cell>
          <cell r="BC849">
            <v>0</v>
          </cell>
        </row>
        <row r="850">
          <cell r="A850">
            <v>0</v>
          </cell>
          <cell r="B850">
            <v>0</v>
          </cell>
          <cell r="E850">
            <v>0</v>
          </cell>
          <cell r="F850">
            <v>0</v>
          </cell>
          <cell r="AO850">
            <v>0</v>
          </cell>
          <cell r="AP850">
            <v>0</v>
          </cell>
          <cell r="AQ850">
            <v>0</v>
          </cell>
          <cell r="BA850">
            <v>0</v>
          </cell>
          <cell r="BC850">
            <v>0</v>
          </cell>
        </row>
        <row r="851">
          <cell r="A851">
            <v>0</v>
          </cell>
          <cell r="B851">
            <v>0</v>
          </cell>
          <cell r="E851">
            <v>0</v>
          </cell>
          <cell r="F851">
            <v>0</v>
          </cell>
          <cell r="AO851">
            <v>0</v>
          </cell>
          <cell r="AP851">
            <v>0</v>
          </cell>
          <cell r="AQ851">
            <v>0</v>
          </cell>
          <cell r="BA851">
            <v>0</v>
          </cell>
          <cell r="BC851">
            <v>0</v>
          </cell>
        </row>
        <row r="852">
          <cell r="A852">
            <v>0</v>
          </cell>
          <cell r="B852">
            <v>0</v>
          </cell>
          <cell r="E852">
            <v>0</v>
          </cell>
          <cell r="F852">
            <v>0</v>
          </cell>
          <cell r="AO852">
            <v>0</v>
          </cell>
          <cell r="AP852">
            <v>0</v>
          </cell>
          <cell r="AQ852">
            <v>0</v>
          </cell>
          <cell r="BA852">
            <v>0</v>
          </cell>
          <cell r="BC852">
            <v>0</v>
          </cell>
        </row>
        <row r="853">
          <cell r="A853">
            <v>0</v>
          </cell>
          <cell r="B853">
            <v>0</v>
          </cell>
          <cell r="E853">
            <v>0</v>
          </cell>
          <cell r="F853">
            <v>0</v>
          </cell>
          <cell r="AO853">
            <v>0</v>
          </cell>
          <cell r="AP853">
            <v>0</v>
          </cell>
          <cell r="AQ853">
            <v>0</v>
          </cell>
          <cell r="BA853">
            <v>0</v>
          </cell>
          <cell r="BC853">
            <v>0</v>
          </cell>
        </row>
        <row r="854">
          <cell r="A854">
            <v>0</v>
          </cell>
          <cell r="B854">
            <v>0</v>
          </cell>
          <cell r="E854">
            <v>0</v>
          </cell>
          <cell r="F854">
            <v>0</v>
          </cell>
          <cell r="AO854">
            <v>0</v>
          </cell>
          <cell r="AP854">
            <v>0</v>
          </cell>
          <cell r="AQ854">
            <v>0</v>
          </cell>
          <cell r="BA854">
            <v>0</v>
          </cell>
          <cell r="BC854">
            <v>0</v>
          </cell>
        </row>
        <row r="855">
          <cell r="A855">
            <v>0</v>
          </cell>
          <cell r="B855">
            <v>0</v>
          </cell>
          <cell r="E855">
            <v>0</v>
          </cell>
          <cell r="F855">
            <v>0</v>
          </cell>
          <cell r="AO855">
            <v>0</v>
          </cell>
          <cell r="AP855">
            <v>0</v>
          </cell>
          <cell r="AQ855">
            <v>0</v>
          </cell>
          <cell r="BA855">
            <v>0</v>
          </cell>
          <cell r="BC855">
            <v>0</v>
          </cell>
        </row>
        <row r="856">
          <cell r="A856">
            <v>0</v>
          </cell>
          <cell r="B856">
            <v>0</v>
          </cell>
          <cell r="E856">
            <v>0</v>
          </cell>
          <cell r="F856">
            <v>0</v>
          </cell>
          <cell r="AO856">
            <v>0</v>
          </cell>
          <cell r="AP856">
            <v>0</v>
          </cell>
          <cell r="AQ856">
            <v>0</v>
          </cell>
          <cell r="BA856">
            <v>0</v>
          </cell>
          <cell r="BC856">
            <v>0</v>
          </cell>
        </row>
        <row r="857">
          <cell r="A857">
            <v>0</v>
          </cell>
          <cell r="B857">
            <v>0</v>
          </cell>
          <cell r="E857">
            <v>0</v>
          </cell>
          <cell r="F857">
            <v>0</v>
          </cell>
          <cell r="AO857">
            <v>0</v>
          </cell>
          <cell r="AP857">
            <v>0</v>
          </cell>
          <cell r="AQ857">
            <v>0</v>
          </cell>
          <cell r="BA857">
            <v>0</v>
          </cell>
          <cell r="BC857">
            <v>0</v>
          </cell>
        </row>
        <row r="858">
          <cell r="A858">
            <v>0</v>
          </cell>
          <cell r="B858">
            <v>0</v>
          </cell>
          <cell r="E858">
            <v>0</v>
          </cell>
          <cell r="F858">
            <v>0</v>
          </cell>
          <cell r="AO858">
            <v>0</v>
          </cell>
          <cell r="AP858">
            <v>0</v>
          </cell>
          <cell r="AQ858">
            <v>0</v>
          </cell>
          <cell r="BA858">
            <v>0</v>
          </cell>
          <cell r="BC858">
            <v>0</v>
          </cell>
        </row>
        <row r="859">
          <cell r="A859">
            <v>0</v>
          </cell>
          <cell r="B859">
            <v>0</v>
          </cell>
          <cell r="E859">
            <v>0</v>
          </cell>
          <cell r="F859">
            <v>0</v>
          </cell>
          <cell r="AO859">
            <v>0</v>
          </cell>
          <cell r="AP859">
            <v>0</v>
          </cell>
          <cell r="AQ859">
            <v>0</v>
          </cell>
          <cell r="BA859">
            <v>0</v>
          </cell>
          <cell r="BC859">
            <v>0</v>
          </cell>
        </row>
        <row r="860">
          <cell r="A860">
            <v>0</v>
          </cell>
          <cell r="B860">
            <v>0</v>
          </cell>
          <cell r="E860">
            <v>0</v>
          </cell>
          <cell r="F860">
            <v>0</v>
          </cell>
          <cell r="AO860">
            <v>0</v>
          </cell>
          <cell r="AP860">
            <v>0</v>
          </cell>
          <cell r="AQ860">
            <v>0</v>
          </cell>
          <cell r="BA860">
            <v>0</v>
          </cell>
          <cell r="BC860">
            <v>0</v>
          </cell>
        </row>
        <row r="861">
          <cell r="A861">
            <v>0</v>
          </cell>
          <cell r="B861">
            <v>0</v>
          </cell>
          <cell r="E861">
            <v>0</v>
          </cell>
          <cell r="F861">
            <v>0</v>
          </cell>
          <cell r="AO861">
            <v>0</v>
          </cell>
          <cell r="AP861">
            <v>0</v>
          </cell>
          <cell r="AQ861">
            <v>0</v>
          </cell>
          <cell r="BA861">
            <v>0</v>
          </cell>
          <cell r="BC861">
            <v>0</v>
          </cell>
        </row>
        <row r="862">
          <cell r="A862">
            <v>0</v>
          </cell>
          <cell r="B862">
            <v>0</v>
          </cell>
          <cell r="E862">
            <v>0</v>
          </cell>
          <cell r="F862">
            <v>0</v>
          </cell>
          <cell r="AO862">
            <v>0</v>
          </cell>
          <cell r="AP862">
            <v>0</v>
          </cell>
          <cell r="AQ862">
            <v>0</v>
          </cell>
          <cell r="BA862">
            <v>0</v>
          </cell>
          <cell r="BC862">
            <v>0</v>
          </cell>
        </row>
        <row r="863">
          <cell r="A863">
            <v>0</v>
          </cell>
          <cell r="B863">
            <v>0</v>
          </cell>
          <cell r="E863">
            <v>0</v>
          </cell>
          <cell r="F863">
            <v>0</v>
          </cell>
          <cell r="AO863">
            <v>0</v>
          </cell>
          <cell r="AP863">
            <v>0</v>
          </cell>
          <cell r="AQ863">
            <v>0</v>
          </cell>
          <cell r="BA863">
            <v>0</v>
          </cell>
          <cell r="BC863">
            <v>0</v>
          </cell>
        </row>
        <row r="864">
          <cell r="A864">
            <v>0</v>
          </cell>
          <cell r="B864">
            <v>0</v>
          </cell>
          <cell r="E864">
            <v>0</v>
          </cell>
          <cell r="F864">
            <v>0</v>
          </cell>
          <cell r="AO864">
            <v>0</v>
          </cell>
          <cell r="AP864">
            <v>0</v>
          </cell>
          <cell r="AQ864">
            <v>0</v>
          </cell>
          <cell r="BA864">
            <v>0</v>
          </cell>
          <cell r="BC864">
            <v>0</v>
          </cell>
        </row>
        <row r="865">
          <cell r="A865">
            <v>0</v>
          </cell>
          <cell r="B865">
            <v>0</v>
          </cell>
          <cell r="E865">
            <v>0</v>
          </cell>
          <cell r="F865">
            <v>0</v>
          </cell>
          <cell r="AO865">
            <v>0</v>
          </cell>
          <cell r="AP865">
            <v>0</v>
          </cell>
          <cell r="AQ865">
            <v>0</v>
          </cell>
          <cell r="BA865">
            <v>0</v>
          </cell>
          <cell r="BC865">
            <v>0</v>
          </cell>
        </row>
        <row r="866">
          <cell r="A866">
            <v>0</v>
          </cell>
          <cell r="B866">
            <v>0</v>
          </cell>
          <cell r="E866">
            <v>0</v>
          </cell>
          <cell r="F866">
            <v>0</v>
          </cell>
          <cell r="AO866">
            <v>0</v>
          </cell>
          <cell r="AP866">
            <v>0</v>
          </cell>
          <cell r="AQ866">
            <v>0</v>
          </cell>
          <cell r="BA866">
            <v>0</v>
          </cell>
          <cell r="BC866">
            <v>0</v>
          </cell>
        </row>
        <row r="867">
          <cell r="A867">
            <v>0</v>
          </cell>
          <cell r="B867">
            <v>0</v>
          </cell>
          <cell r="E867">
            <v>0</v>
          </cell>
          <cell r="F867">
            <v>0</v>
          </cell>
          <cell r="AO867">
            <v>0</v>
          </cell>
          <cell r="AP867">
            <v>0</v>
          </cell>
          <cell r="AQ867">
            <v>0</v>
          </cell>
          <cell r="BA867">
            <v>0</v>
          </cell>
          <cell r="BC867">
            <v>0</v>
          </cell>
        </row>
        <row r="868">
          <cell r="A868">
            <v>0</v>
          </cell>
          <cell r="B868">
            <v>0</v>
          </cell>
          <cell r="E868">
            <v>0</v>
          </cell>
          <cell r="F868">
            <v>0</v>
          </cell>
          <cell r="AO868">
            <v>0</v>
          </cell>
          <cell r="AP868">
            <v>0</v>
          </cell>
          <cell r="AQ868">
            <v>0</v>
          </cell>
          <cell r="BA868">
            <v>0</v>
          </cell>
          <cell r="BC868">
            <v>0</v>
          </cell>
        </row>
        <row r="869">
          <cell r="A869">
            <v>0</v>
          </cell>
          <cell r="B869">
            <v>0</v>
          </cell>
          <cell r="E869">
            <v>0</v>
          </cell>
          <cell r="F869">
            <v>0</v>
          </cell>
          <cell r="AO869">
            <v>0</v>
          </cell>
          <cell r="AP869">
            <v>0</v>
          </cell>
          <cell r="AQ869">
            <v>0</v>
          </cell>
          <cell r="BA869">
            <v>0</v>
          </cell>
          <cell r="BC869">
            <v>0</v>
          </cell>
        </row>
        <row r="870">
          <cell r="A870">
            <v>0</v>
          </cell>
          <cell r="B870">
            <v>0</v>
          </cell>
          <cell r="E870">
            <v>0</v>
          </cell>
          <cell r="F870">
            <v>0</v>
          </cell>
          <cell r="AO870">
            <v>0</v>
          </cell>
          <cell r="AP870">
            <v>0</v>
          </cell>
          <cell r="AQ870">
            <v>0</v>
          </cell>
          <cell r="BA870">
            <v>0</v>
          </cell>
          <cell r="BC870">
            <v>0</v>
          </cell>
        </row>
        <row r="871">
          <cell r="A871">
            <v>0</v>
          </cell>
          <cell r="B871">
            <v>0</v>
          </cell>
          <cell r="E871">
            <v>0</v>
          </cell>
          <cell r="F871">
            <v>0</v>
          </cell>
          <cell r="AO871">
            <v>0</v>
          </cell>
          <cell r="AP871">
            <v>0</v>
          </cell>
          <cell r="AQ871">
            <v>0</v>
          </cell>
          <cell r="BA871">
            <v>0</v>
          </cell>
          <cell r="BC871">
            <v>0</v>
          </cell>
        </row>
        <row r="872">
          <cell r="A872">
            <v>0</v>
          </cell>
          <cell r="B872">
            <v>0</v>
          </cell>
          <cell r="E872">
            <v>0</v>
          </cell>
          <cell r="F872">
            <v>0</v>
          </cell>
          <cell r="AO872">
            <v>0</v>
          </cell>
          <cell r="AP872">
            <v>0</v>
          </cell>
          <cell r="AQ872">
            <v>0</v>
          </cell>
          <cell r="BA872">
            <v>0</v>
          </cell>
          <cell r="BC872">
            <v>0</v>
          </cell>
        </row>
        <row r="873">
          <cell r="A873">
            <v>0</v>
          </cell>
          <cell r="B873">
            <v>0</v>
          </cell>
          <cell r="E873">
            <v>0</v>
          </cell>
          <cell r="F873">
            <v>0</v>
          </cell>
          <cell r="AO873">
            <v>0</v>
          </cell>
          <cell r="AP873">
            <v>0</v>
          </cell>
          <cell r="AQ873">
            <v>0</v>
          </cell>
          <cell r="BA873">
            <v>0</v>
          </cell>
          <cell r="BC873">
            <v>0</v>
          </cell>
        </row>
        <row r="874">
          <cell r="A874">
            <v>0</v>
          </cell>
          <cell r="B874">
            <v>0</v>
          </cell>
          <cell r="E874">
            <v>0</v>
          </cell>
          <cell r="F874">
            <v>0</v>
          </cell>
          <cell r="AO874">
            <v>0</v>
          </cell>
          <cell r="AP874">
            <v>0</v>
          </cell>
          <cell r="AQ874">
            <v>0</v>
          </cell>
          <cell r="BA874">
            <v>0</v>
          </cell>
          <cell r="BC874">
            <v>0</v>
          </cell>
        </row>
        <row r="875">
          <cell r="A875">
            <v>0</v>
          </cell>
          <cell r="B875">
            <v>0</v>
          </cell>
          <cell r="E875">
            <v>0</v>
          </cell>
          <cell r="F875">
            <v>0</v>
          </cell>
          <cell r="AO875">
            <v>0</v>
          </cell>
          <cell r="AP875">
            <v>0</v>
          </cell>
          <cell r="AQ875">
            <v>0</v>
          </cell>
          <cell r="BA875">
            <v>0</v>
          </cell>
          <cell r="BC875">
            <v>0</v>
          </cell>
        </row>
        <row r="876">
          <cell r="A876">
            <v>0</v>
          </cell>
          <cell r="B876">
            <v>0</v>
          </cell>
          <cell r="E876">
            <v>0</v>
          </cell>
          <cell r="F876">
            <v>0</v>
          </cell>
          <cell r="AO876">
            <v>0</v>
          </cell>
          <cell r="AP876">
            <v>0</v>
          </cell>
          <cell r="AQ876">
            <v>0</v>
          </cell>
          <cell r="BA876">
            <v>0</v>
          </cell>
          <cell r="BC876">
            <v>0</v>
          </cell>
        </row>
        <row r="877">
          <cell r="A877">
            <v>0</v>
          </cell>
          <cell r="B877">
            <v>0</v>
          </cell>
          <cell r="E877">
            <v>0</v>
          </cell>
          <cell r="F877">
            <v>0</v>
          </cell>
          <cell r="AO877">
            <v>0</v>
          </cell>
          <cell r="AP877">
            <v>0</v>
          </cell>
          <cell r="AQ877">
            <v>0</v>
          </cell>
          <cell r="BA877">
            <v>0</v>
          </cell>
          <cell r="BC877">
            <v>0</v>
          </cell>
        </row>
        <row r="878">
          <cell r="A878">
            <v>0</v>
          </cell>
          <cell r="B878">
            <v>0</v>
          </cell>
          <cell r="E878">
            <v>0</v>
          </cell>
          <cell r="F878">
            <v>0</v>
          </cell>
          <cell r="AO878">
            <v>0</v>
          </cell>
          <cell r="AP878">
            <v>0</v>
          </cell>
          <cell r="AQ878">
            <v>0</v>
          </cell>
          <cell r="BA878">
            <v>0</v>
          </cell>
          <cell r="BC878">
            <v>0</v>
          </cell>
        </row>
        <row r="879">
          <cell r="A879">
            <v>0</v>
          </cell>
          <cell r="B879">
            <v>0</v>
          </cell>
          <cell r="E879">
            <v>0</v>
          </cell>
          <cell r="F879">
            <v>0</v>
          </cell>
          <cell r="AO879">
            <v>0</v>
          </cell>
          <cell r="AP879">
            <v>0</v>
          </cell>
          <cell r="AQ879">
            <v>0</v>
          </cell>
          <cell r="BA879">
            <v>0</v>
          </cell>
          <cell r="BC879">
            <v>0</v>
          </cell>
        </row>
        <row r="880">
          <cell r="A880">
            <v>0</v>
          </cell>
          <cell r="B880">
            <v>0</v>
          </cell>
          <cell r="E880">
            <v>0</v>
          </cell>
          <cell r="F880">
            <v>0</v>
          </cell>
          <cell r="AO880">
            <v>0</v>
          </cell>
          <cell r="AP880">
            <v>0</v>
          </cell>
          <cell r="AQ880">
            <v>0</v>
          </cell>
          <cell r="BA880">
            <v>0</v>
          </cell>
          <cell r="BC880">
            <v>0</v>
          </cell>
        </row>
        <row r="881">
          <cell r="A881">
            <v>0</v>
          </cell>
          <cell r="B881">
            <v>0</v>
          </cell>
          <cell r="E881">
            <v>0</v>
          </cell>
          <cell r="F881">
            <v>0</v>
          </cell>
          <cell r="AO881">
            <v>0</v>
          </cell>
          <cell r="AP881">
            <v>0</v>
          </cell>
          <cell r="AQ881">
            <v>0</v>
          </cell>
          <cell r="BA881">
            <v>0</v>
          </cell>
          <cell r="BC881">
            <v>0</v>
          </cell>
        </row>
        <row r="882">
          <cell r="A882">
            <v>0</v>
          </cell>
          <cell r="B882">
            <v>0</v>
          </cell>
          <cell r="E882">
            <v>0</v>
          </cell>
          <cell r="F882">
            <v>0</v>
          </cell>
          <cell r="AO882">
            <v>0</v>
          </cell>
          <cell r="AP882">
            <v>0</v>
          </cell>
          <cell r="AQ882">
            <v>0</v>
          </cell>
          <cell r="BA882">
            <v>0</v>
          </cell>
          <cell r="BC882">
            <v>0</v>
          </cell>
        </row>
        <row r="883">
          <cell r="A883">
            <v>0</v>
          </cell>
          <cell r="B883">
            <v>0</v>
          </cell>
          <cell r="E883">
            <v>0</v>
          </cell>
          <cell r="F883">
            <v>0</v>
          </cell>
          <cell r="AO883">
            <v>0</v>
          </cell>
          <cell r="AP883">
            <v>0</v>
          </cell>
          <cell r="AQ883">
            <v>0</v>
          </cell>
          <cell r="BA883">
            <v>0</v>
          </cell>
          <cell r="BC883">
            <v>0</v>
          </cell>
        </row>
        <row r="884">
          <cell r="A884">
            <v>0</v>
          </cell>
          <cell r="B884">
            <v>0</v>
          </cell>
          <cell r="E884">
            <v>0</v>
          </cell>
          <cell r="F884">
            <v>0</v>
          </cell>
          <cell r="AO884">
            <v>0</v>
          </cell>
          <cell r="AP884">
            <v>0</v>
          </cell>
          <cell r="AQ884">
            <v>0</v>
          </cell>
          <cell r="BA884">
            <v>0</v>
          </cell>
          <cell r="BC884">
            <v>0</v>
          </cell>
        </row>
        <row r="885">
          <cell r="A885">
            <v>0</v>
          </cell>
          <cell r="B885">
            <v>0</v>
          </cell>
          <cell r="E885">
            <v>0</v>
          </cell>
          <cell r="F885">
            <v>0</v>
          </cell>
          <cell r="AO885">
            <v>0</v>
          </cell>
          <cell r="AP885">
            <v>0</v>
          </cell>
          <cell r="AQ885">
            <v>0</v>
          </cell>
          <cell r="BA885">
            <v>0</v>
          </cell>
          <cell r="BC885">
            <v>0</v>
          </cell>
        </row>
        <row r="886">
          <cell r="A886">
            <v>0</v>
          </cell>
          <cell r="B886">
            <v>0</v>
          </cell>
          <cell r="E886">
            <v>0</v>
          </cell>
          <cell r="F886">
            <v>0</v>
          </cell>
          <cell r="AO886">
            <v>0</v>
          </cell>
          <cell r="AP886">
            <v>0</v>
          </cell>
          <cell r="AQ886">
            <v>0</v>
          </cell>
          <cell r="BA886">
            <v>0</v>
          </cell>
          <cell r="BC886">
            <v>0</v>
          </cell>
        </row>
        <row r="887">
          <cell r="A887">
            <v>0</v>
          </cell>
          <cell r="B887">
            <v>0</v>
          </cell>
          <cell r="E887">
            <v>0</v>
          </cell>
          <cell r="F887">
            <v>0</v>
          </cell>
          <cell r="AO887">
            <v>0</v>
          </cell>
          <cell r="AP887">
            <v>0</v>
          </cell>
          <cell r="AQ887">
            <v>0</v>
          </cell>
          <cell r="BA887">
            <v>0</v>
          </cell>
          <cell r="BC887">
            <v>0</v>
          </cell>
        </row>
        <row r="888">
          <cell r="A888">
            <v>0</v>
          </cell>
          <cell r="B888">
            <v>0</v>
          </cell>
          <cell r="E888">
            <v>0</v>
          </cell>
          <cell r="F888">
            <v>0</v>
          </cell>
          <cell r="AO888">
            <v>0</v>
          </cell>
          <cell r="AP888">
            <v>0</v>
          </cell>
          <cell r="AQ888">
            <v>0</v>
          </cell>
          <cell r="BA888">
            <v>0</v>
          </cell>
          <cell r="BC888">
            <v>0</v>
          </cell>
        </row>
        <row r="889">
          <cell r="A889">
            <v>0</v>
          </cell>
          <cell r="B889">
            <v>0</v>
          </cell>
          <cell r="E889">
            <v>0</v>
          </cell>
          <cell r="F889">
            <v>0</v>
          </cell>
          <cell r="AO889">
            <v>0</v>
          </cell>
          <cell r="AP889">
            <v>0</v>
          </cell>
          <cell r="AQ889">
            <v>0</v>
          </cell>
          <cell r="BA889">
            <v>0</v>
          </cell>
          <cell r="BC889">
            <v>0</v>
          </cell>
        </row>
        <row r="890">
          <cell r="A890">
            <v>0</v>
          </cell>
          <cell r="B890">
            <v>0</v>
          </cell>
          <cell r="E890">
            <v>0</v>
          </cell>
          <cell r="F890">
            <v>0</v>
          </cell>
          <cell r="AO890">
            <v>0</v>
          </cell>
          <cell r="AP890">
            <v>0</v>
          </cell>
          <cell r="AQ890">
            <v>0</v>
          </cell>
          <cell r="BA890">
            <v>0</v>
          </cell>
          <cell r="BC890">
            <v>0</v>
          </cell>
        </row>
        <row r="891">
          <cell r="A891">
            <v>0</v>
          </cell>
          <cell r="B891">
            <v>0</v>
          </cell>
          <cell r="E891">
            <v>0</v>
          </cell>
          <cell r="F891">
            <v>0</v>
          </cell>
          <cell r="AO891">
            <v>0</v>
          </cell>
          <cell r="AP891">
            <v>0</v>
          </cell>
          <cell r="AQ891">
            <v>0</v>
          </cell>
          <cell r="BA891">
            <v>0</v>
          </cell>
          <cell r="BC891">
            <v>0</v>
          </cell>
        </row>
        <row r="892">
          <cell r="A892">
            <v>0</v>
          </cell>
          <cell r="B892">
            <v>0</v>
          </cell>
          <cell r="E892">
            <v>0</v>
          </cell>
          <cell r="F892">
            <v>0</v>
          </cell>
          <cell r="AO892">
            <v>0</v>
          </cell>
          <cell r="AP892">
            <v>0</v>
          </cell>
          <cell r="AQ892">
            <v>0</v>
          </cell>
          <cell r="BA892">
            <v>0</v>
          </cell>
          <cell r="BC892">
            <v>0</v>
          </cell>
        </row>
        <row r="893">
          <cell r="A893">
            <v>0</v>
          </cell>
          <cell r="B893">
            <v>0</v>
          </cell>
          <cell r="E893">
            <v>0</v>
          </cell>
          <cell r="F893">
            <v>0</v>
          </cell>
          <cell r="AO893">
            <v>0</v>
          </cell>
          <cell r="AP893">
            <v>0</v>
          </cell>
          <cell r="AQ893">
            <v>0</v>
          </cell>
          <cell r="BA893">
            <v>0</v>
          </cell>
          <cell r="BC893">
            <v>0</v>
          </cell>
        </row>
        <row r="894">
          <cell r="A894">
            <v>0</v>
          </cell>
          <cell r="B894">
            <v>0</v>
          </cell>
          <cell r="E894">
            <v>0</v>
          </cell>
          <cell r="F894">
            <v>0</v>
          </cell>
          <cell r="AO894">
            <v>0</v>
          </cell>
          <cell r="AP894">
            <v>0</v>
          </cell>
          <cell r="AQ894">
            <v>0</v>
          </cell>
          <cell r="BA894">
            <v>0</v>
          </cell>
          <cell r="BC894">
            <v>0</v>
          </cell>
        </row>
        <row r="895">
          <cell r="A895">
            <v>0</v>
          </cell>
          <cell r="B895">
            <v>0</v>
          </cell>
          <cell r="E895">
            <v>0</v>
          </cell>
          <cell r="F895">
            <v>0</v>
          </cell>
          <cell r="AO895">
            <v>0</v>
          </cell>
          <cell r="AP895">
            <v>0</v>
          </cell>
          <cell r="AQ895">
            <v>0</v>
          </cell>
          <cell r="BA895">
            <v>0</v>
          </cell>
          <cell r="BC895">
            <v>0</v>
          </cell>
        </row>
        <row r="896">
          <cell r="A896">
            <v>0</v>
          </cell>
          <cell r="B896">
            <v>0</v>
          </cell>
          <cell r="E896">
            <v>0</v>
          </cell>
          <cell r="F896">
            <v>0</v>
          </cell>
          <cell r="AO896">
            <v>0</v>
          </cell>
          <cell r="AP896">
            <v>0</v>
          </cell>
          <cell r="AQ896">
            <v>0</v>
          </cell>
          <cell r="BA896">
            <v>0</v>
          </cell>
          <cell r="BC896">
            <v>0</v>
          </cell>
        </row>
        <row r="897">
          <cell r="A897">
            <v>0</v>
          </cell>
          <cell r="B897">
            <v>0</v>
          </cell>
          <cell r="E897">
            <v>0</v>
          </cell>
          <cell r="F897">
            <v>0</v>
          </cell>
          <cell r="AO897">
            <v>0</v>
          </cell>
          <cell r="AP897">
            <v>0</v>
          </cell>
          <cell r="AQ897">
            <v>0</v>
          </cell>
          <cell r="BA897">
            <v>0</v>
          </cell>
          <cell r="BC897">
            <v>0</v>
          </cell>
        </row>
        <row r="898">
          <cell r="A898">
            <v>0</v>
          </cell>
          <cell r="B898">
            <v>0</v>
          </cell>
          <cell r="E898">
            <v>0</v>
          </cell>
          <cell r="F898">
            <v>0</v>
          </cell>
          <cell r="AO898">
            <v>0</v>
          </cell>
          <cell r="AP898">
            <v>0</v>
          </cell>
          <cell r="AQ898">
            <v>0</v>
          </cell>
          <cell r="BA898">
            <v>0</v>
          </cell>
          <cell r="BC898">
            <v>0</v>
          </cell>
        </row>
        <row r="899">
          <cell r="A899">
            <v>0</v>
          </cell>
          <cell r="B899">
            <v>0</v>
          </cell>
          <cell r="E899">
            <v>0</v>
          </cell>
          <cell r="F899">
            <v>0</v>
          </cell>
          <cell r="AO899">
            <v>0</v>
          </cell>
          <cell r="AP899">
            <v>0</v>
          </cell>
          <cell r="AQ899">
            <v>0</v>
          </cell>
          <cell r="BA899">
            <v>0</v>
          </cell>
          <cell r="BC899">
            <v>0</v>
          </cell>
        </row>
        <row r="900">
          <cell r="A900">
            <v>0</v>
          </cell>
          <cell r="B900">
            <v>0</v>
          </cell>
          <cell r="E900">
            <v>0</v>
          </cell>
          <cell r="F900">
            <v>0</v>
          </cell>
          <cell r="AO900">
            <v>0</v>
          </cell>
          <cell r="AP900">
            <v>0</v>
          </cell>
          <cell r="AQ900">
            <v>0</v>
          </cell>
          <cell r="BA900">
            <v>0</v>
          </cell>
          <cell r="BC900">
            <v>0</v>
          </cell>
        </row>
        <row r="901">
          <cell r="A901">
            <v>0</v>
          </cell>
          <cell r="B901">
            <v>0</v>
          </cell>
          <cell r="E901">
            <v>0</v>
          </cell>
          <cell r="F901">
            <v>0</v>
          </cell>
          <cell r="AO901">
            <v>0</v>
          </cell>
          <cell r="AP901">
            <v>0</v>
          </cell>
          <cell r="AQ901">
            <v>0</v>
          </cell>
          <cell r="BA901">
            <v>0</v>
          </cell>
          <cell r="BC901">
            <v>0</v>
          </cell>
        </row>
        <row r="902">
          <cell r="A902">
            <v>0</v>
          </cell>
          <cell r="B902">
            <v>0</v>
          </cell>
          <cell r="E902">
            <v>0</v>
          </cell>
          <cell r="F902">
            <v>0</v>
          </cell>
          <cell r="AO902">
            <v>0</v>
          </cell>
          <cell r="AP902">
            <v>0</v>
          </cell>
          <cell r="AQ902">
            <v>0</v>
          </cell>
          <cell r="BA902">
            <v>0</v>
          </cell>
          <cell r="BC902">
            <v>0</v>
          </cell>
        </row>
        <row r="903">
          <cell r="A903">
            <v>0</v>
          </cell>
          <cell r="B903">
            <v>0</v>
          </cell>
          <cell r="E903">
            <v>0</v>
          </cell>
          <cell r="F903">
            <v>0</v>
          </cell>
          <cell r="AO903">
            <v>0</v>
          </cell>
          <cell r="AP903">
            <v>0</v>
          </cell>
          <cell r="AQ903">
            <v>0</v>
          </cell>
          <cell r="BA903">
            <v>0</v>
          </cell>
          <cell r="BC903">
            <v>0</v>
          </cell>
        </row>
        <row r="904">
          <cell r="A904">
            <v>0</v>
          </cell>
          <cell r="B904">
            <v>0</v>
          </cell>
          <cell r="E904">
            <v>0</v>
          </cell>
          <cell r="F904">
            <v>0</v>
          </cell>
          <cell r="AO904">
            <v>0</v>
          </cell>
          <cell r="AP904">
            <v>0</v>
          </cell>
          <cell r="AQ904">
            <v>0</v>
          </cell>
          <cell r="BA904">
            <v>0</v>
          </cell>
          <cell r="BC904">
            <v>0</v>
          </cell>
        </row>
        <row r="905">
          <cell r="A905">
            <v>0</v>
          </cell>
          <cell r="B905">
            <v>0</v>
          </cell>
          <cell r="E905">
            <v>0</v>
          </cell>
          <cell r="F905">
            <v>0</v>
          </cell>
          <cell r="AO905">
            <v>0</v>
          </cell>
          <cell r="AP905">
            <v>0</v>
          </cell>
          <cell r="AQ905">
            <v>0</v>
          </cell>
          <cell r="BA905">
            <v>0</v>
          </cell>
          <cell r="BC905">
            <v>0</v>
          </cell>
        </row>
        <row r="906">
          <cell r="A906">
            <v>0</v>
          </cell>
          <cell r="B906">
            <v>0</v>
          </cell>
          <cell r="E906">
            <v>0</v>
          </cell>
          <cell r="F906">
            <v>0</v>
          </cell>
          <cell r="AO906">
            <v>0</v>
          </cell>
          <cell r="AP906">
            <v>0</v>
          </cell>
          <cell r="AQ906">
            <v>0</v>
          </cell>
          <cell r="BA906">
            <v>0</v>
          </cell>
          <cell r="BC906">
            <v>0</v>
          </cell>
        </row>
        <row r="907">
          <cell r="A907">
            <v>0</v>
          </cell>
          <cell r="B907">
            <v>0</v>
          </cell>
          <cell r="E907">
            <v>0</v>
          </cell>
          <cell r="F907">
            <v>0</v>
          </cell>
          <cell r="AO907">
            <v>0</v>
          </cell>
          <cell r="AP907">
            <v>0</v>
          </cell>
          <cell r="AQ907">
            <v>0</v>
          </cell>
          <cell r="BA907">
            <v>0</v>
          </cell>
          <cell r="BC907">
            <v>0</v>
          </cell>
        </row>
        <row r="908">
          <cell r="A908">
            <v>0</v>
          </cell>
          <cell r="B908">
            <v>0</v>
          </cell>
          <cell r="E908">
            <v>0</v>
          </cell>
          <cell r="F908">
            <v>0</v>
          </cell>
          <cell r="AO908">
            <v>0</v>
          </cell>
          <cell r="AP908">
            <v>0</v>
          </cell>
          <cell r="AQ908">
            <v>0</v>
          </cell>
          <cell r="BA908">
            <v>0</v>
          </cell>
          <cell r="BC908">
            <v>0</v>
          </cell>
        </row>
        <row r="909">
          <cell r="A909">
            <v>0</v>
          </cell>
          <cell r="B909">
            <v>0</v>
          </cell>
          <cell r="E909">
            <v>0</v>
          </cell>
          <cell r="F909">
            <v>0</v>
          </cell>
          <cell r="AO909">
            <v>0</v>
          </cell>
          <cell r="AP909">
            <v>0</v>
          </cell>
          <cell r="AQ909">
            <v>0</v>
          </cell>
          <cell r="BA909">
            <v>0</v>
          </cell>
          <cell r="BC909">
            <v>0</v>
          </cell>
        </row>
        <row r="910">
          <cell r="A910">
            <v>0</v>
          </cell>
          <cell r="B910">
            <v>0</v>
          </cell>
          <cell r="E910">
            <v>0</v>
          </cell>
          <cell r="F910">
            <v>0</v>
          </cell>
          <cell r="AO910">
            <v>0</v>
          </cell>
          <cell r="AP910">
            <v>0</v>
          </cell>
          <cell r="AQ910">
            <v>0</v>
          </cell>
          <cell r="BA910">
            <v>0</v>
          </cell>
          <cell r="BC910">
            <v>0</v>
          </cell>
        </row>
        <row r="911">
          <cell r="A911">
            <v>0</v>
          </cell>
          <cell r="B911">
            <v>0</v>
          </cell>
          <cell r="E911">
            <v>0</v>
          </cell>
          <cell r="F911">
            <v>0</v>
          </cell>
          <cell r="AO911">
            <v>0</v>
          </cell>
          <cell r="AP911">
            <v>0</v>
          </cell>
          <cell r="AQ911">
            <v>0</v>
          </cell>
          <cell r="BA911">
            <v>0</v>
          </cell>
          <cell r="BC911">
            <v>0</v>
          </cell>
        </row>
        <row r="912">
          <cell r="A912">
            <v>0</v>
          </cell>
          <cell r="B912">
            <v>0</v>
          </cell>
          <cell r="E912">
            <v>0</v>
          </cell>
          <cell r="F912">
            <v>0</v>
          </cell>
          <cell r="AO912">
            <v>0</v>
          </cell>
          <cell r="AP912">
            <v>0</v>
          </cell>
          <cell r="AQ912">
            <v>0</v>
          </cell>
          <cell r="BA912">
            <v>0</v>
          </cell>
          <cell r="BC912">
            <v>0</v>
          </cell>
        </row>
        <row r="913">
          <cell r="A913">
            <v>0</v>
          </cell>
          <cell r="B913">
            <v>0</v>
          </cell>
          <cell r="E913">
            <v>0</v>
          </cell>
          <cell r="F913">
            <v>0</v>
          </cell>
          <cell r="AO913">
            <v>0</v>
          </cell>
          <cell r="AP913">
            <v>0</v>
          </cell>
          <cell r="AQ913">
            <v>0</v>
          </cell>
          <cell r="BA913">
            <v>0</v>
          </cell>
          <cell r="BC913">
            <v>0</v>
          </cell>
        </row>
        <row r="914">
          <cell r="A914">
            <v>0</v>
          </cell>
          <cell r="B914">
            <v>0</v>
          </cell>
          <cell r="E914">
            <v>0</v>
          </cell>
          <cell r="F914">
            <v>0</v>
          </cell>
          <cell r="AO914">
            <v>0</v>
          </cell>
          <cell r="AP914">
            <v>0</v>
          </cell>
          <cell r="AQ914">
            <v>0</v>
          </cell>
          <cell r="BA914">
            <v>0</v>
          </cell>
          <cell r="BC914">
            <v>0</v>
          </cell>
        </row>
        <row r="915">
          <cell r="A915">
            <v>0</v>
          </cell>
          <cell r="B915">
            <v>0</v>
          </cell>
          <cell r="E915">
            <v>0</v>
          </cell>
          <cell r="F915">
            <v>0</v>
          </cell>
          <cell r="AO915">
            <v>0</v>
          </cell>
          <cell r="AP915">
            <v>0</v>
          </cell>
          <cell r="AQ915">
            <v>0</v>
          </cell>
          <cell r="BA915">
            <v>0</v>
          </cell>
          <cell r="BC915">
            <v>0</v>
          </cell>
        </row>
        <row r="916">
          <cell r="A916">
            <v>0</v>
          </cell>
          <cell r="B916">
            <v>0</v>
          </cell>
          <cell r="E916">
            <v>0</v>
          </cell>
          <cell r="F916">
            <v>0</v>
          </cell>
          <cell r="AO916">
            <v>0</v>
          </cell>
          <cell r="AP916">
            <v>0</v>
          </cell>
          <cell r="AQ916">
            <v>0</v>
          </cell>
          <cell r="BA916">
            <v>0</v>
          </cell>
          <cell r="BC916">
            <v>0</v>
          </cell>
        </row>
        <row r="917">
          <cell r="A917">
            <v>0</v>
          </cell>
          <cell r="B917">
            <v>0</v>
          </cell>
          <cell r="E917">
            <v>0</v>
          </cell>
          <cell r="F917">
            <v>0</v>
          </cell>
          <cell r="AO917">
            <v>0</v>
          </cell>
          <cell r="AP917">
            <v>0</v>
          </cell>
          <cell r="AQ917">
            <v>0</v>
          </cell>
          <cell r="BA917">
            <v>0</v>
          </cell>
          <cell r="BC917">
            <v>0</v>
          </cell>
        </row>
        <row r="918">
          <cell r="A918">
            <v>0</v>
          </cell>
          <cell r="B918">
            <v>0</v>
          </cell>
          <cell r="E918">
            <v>0</v>
          </cell>
          <cell r="F918">
            <v>0</v>
          </cell>
          <cell r="AO918">
            <v>0</v>
          </cell>
          <cell r="AP918">
            <v>0</v>
          </cell>
          <cell r="AQ918">
            <v>0</v>
          </cell>
          <cell r="BA918">
            <v>0</v>
          </cell>
          <cell r="BC918">
            <v>0</v>
          </cell>
        </row>
        <row r="919">
          <cell r="A919">
            <v>0</v>
          </cell>
          <cell r="B919">
            <v>0</v>
          </cell>
          <cell r="E919">
            <v>0</v>
          </cell>
          <cell r="F919">
            <v>0</v>
          </cell>
          <cell r="AO919">
            <v>0</v>
          </cell>
          <cell r="AP919">
            <v>0</v>
          </cell>
          <cell r="AQ919">
            <v>0</v>
          </cell>
          <cell r="BA919">
            <v>0</v>
          </cell>
          <cell r="BC919">
            <v>0</v>
          </cell>
        </row>
        <row r="920">
          <cell r="A920">
            <v>0</v>
          </cell>
          <cell r="B920">
            <v>0</v>
          </cell>
          <cell r="E920">
            <v>0</v>
          </cell>
          <cell r="F920">
            <v>0</v>
          </cell>
          <cell r="AO920">
            <v>0</v>
          </cell>
          <cell r="AP920">
            <v>0</v>
          </cell>
          <cell r="AQ920">
            <v>0</v>
          </cell>
          <cell r="BA920">
            <v>0</v>
          </cell>
          <cell r="BC920">
            <v>0</v>
          </cell>
        </row>
        <row r="921">
          <cell r="A921">
            <v>0</v>
          </cell>
          <cell r="B921">
            <v>0</v>
          </cell>
          <cell r="E921">
            <v>0</v>
          </cell>
          <cell r="F921">
            <v>0</v>
          </cell>
          <cell r="AO921">
            <v>0</v>
          </cell>
          <cell r="AP921">
            <v>0</v>
          </cell>
          <cell r="AQ921">
            <v>0</v>
          </cell>
          <cell r="BA921">
            <v>0</v>
          </cell>
          <cell r="BC921">
            <v>0</v>
          </cell>
        </row>
        <row r="922">
          <cell r="A922">
            <v>0</v>
          </cell>
          <cell r="B922">
            <v>0</v>
          </cell>
          <cell r="E922">
            <v>0</v>
          </cell>
          <cell r="F922">
            <v>0</v>
          </cell>
          <cell r="AO922">
            <v>0</v>
          </cell>
          <cell r="AP922">
            <v>0</v>
          </cell>
          <cell r="AQ922">
            <v>0</v>
          </cell>
          <cell r="BA922">
            <v>0</v>
          </cell>
          <cell r="BC922">
            <v>0</v>
          </cell>
        </row>
        <row r="923">
          <cell r="A923">
            <v>0</v>
          </cell>
          <cell r="B923">
            <v>0</v>
          </cell>
          <cell r="E923">
            <v>0</v>
          </cell>
          <cell r="F923">
            <v>0</v>
          </cell>
          <cell r="AO923">
            <v>0</v>
          </cell>
          <cell r="AP923">
            <v>0</v>
          </cell>
          <cell r="AQ923">
            <v>0</v>
          </cell>
          <cell r="BA923">
            <v>0</v>
          </cell>
          <cell r="BC923">
            <v>0</v>
          </cell>
        </row>
        <row r="924">
          <cell r="A924">
            <v>0</v>
          </cell>
          <cell r="B924">
            <v>0</v>
          </cell>
          <cell r="E924">
            <v>0</v>
          </cell>
          <cell r="F924">
            <v>0</v>
          </cell>
          <cell r="AO924">
            <v>0</v>
          </cell>
          <cell r="AP924">
            <v>0</v>
          </cell>
          <cell r="AQ924">
            <v>0</v>
          </cell>
          <cell r="BA924">
            <v>0</v>
          </cell>
          <cell r="BC924">
            <v>0</v>
          </cell>
        </row>
        <row r="925">
          <cell r="A925">
            <v>0</v>
          </cell>
          <cell r="B925">
            <v>0</v>
          </cell>
          <cell r="E925">
            <v>0</v>
          </cell>
          <cell r="F925">
            <v>0</v>
          </cell>
          <cell r="AO925">
            <v>0</v>
          </cell>
          <cell r="AP925">
            <v>0</v>
          </cell>
          <cell r="AQ925">
            <v>0</v>
          </cell>
          <cell r="BA925">
            <v>0</v>
          </cell>
          <cell r="BC925">
            <v>0</v>
          </cell>
        </row>
        <row r="926">
          <cell r="A926">
            <v>0</v>
          </cell>
          <cell r="B926">
            <v>0</v>
          </cell>
          <cell r="E926">
            <v>0</v>
          </cell>
          <cell r="F926">
            <v>0</v>
          </cell>
          <cell r="AO926">
            <v>0</v>
          </cell>
          <cell r="AP926">
            <v>0</v>
          </cell>
          <cell r="AQ926">
            <v>0</v>
          </cell>
          <cell r="BA926">
            <v>0</v>
          </cell>
          <cell r="BC926">
            <v>0</v>
          </cell>
        </row>
        <row r="927">
          <cell r="A927">
            <v>0</v>
          </cell>
          <cell r="B927">
            <v>0</v>
          </cell>
          <cell r="E927">
            <v>0</v>
          </cell>
          <cell r="F927">
            <v>0</v>
          </cell>
          <cell r="AO927">
            <v>0</v>
          </cell>
          <cell r="AP927">
            <v>0</v>
          </cell>
          <cell r="AQ927">
            <v>0</v>
          </cell>
          <cell r="BA927">
            <v>0</v>
          </cell>
          <cell r="BC927">
            <v>0</v>
          </cell>
        </row>
        <row r="928">
          <cell r="A928">
            <v>0</v>
          </cell>
          <cell r="B928">
            <v>0</v>
          </cell>
          <cell r="E928">
            <v>0</v>
          </cell>
          <cell r="F928">
            <v>0</v>
          </cell>
          <cell r="AO928">
            <v>0</v>
          </cell>
          <cell r="AP928">
            <v>0</v>
          </cell>
          <cell r="AQ928">
            <v>0</v>
          </cell>
          <cell r="BA928">
            <v>0</v>
          </cell>
          <cell r="BC928">
            <v>0</v>
          </cell>
        </row>
        <row r="929">
          <cell r="A929">
            <v>0</v>
          </cell>
          <cell r="B929">
            <v>0</v>
          </cell>
          <cell r="E929">
            <v>0</v>
          </cell>
          <cell r="F929">
            <v>0</v>
          </cell>
          <cell r="AO929">
            <v>0</v>
          </cell>
          <cell r="AP929">
            <v>0</v>
          </cell>
          <cell r="AQ929">
            <v>0</v>
          </cell>
          <cell r="BA929">
            <v>0</v>
          </cell>
          <cell r="BC929">
            <v>0</v>
          </cell>
        </row>
        <row r="930">
          <cell r="A930">
            <v>0</v>
          </cell>
          <cell r="B930">
            <v>0</v>
          </cell>
          <cell r="E930">
            <v>0</v>
          </cell>
          <cell r="F930">
            <v>0</v>
          </cell>
          <cell r="AO930">
            <v>0</v>
          </cell>
          <cell r="AP930">
            <v>0</v>
          </cell>
          <cell r="AQ930">
            <v>0</v>
          </cell>
          <cell r="BA930">
            <v>0</v>
          </cell>
          <cell r="BC930">
            <v>0</v>
          </cell>
        </row>
        <row r="931">
          <cell r="A931">
            <v>0</v>
          </cell>
          <cell r="B931">
            <v>0</v>
          </cell>
          <cell r="E931">
            <v>0</v>
          </cell>
          <cell r="F931">
            <v>0</v>
          </cell>
          <cell r="AO931">
            <v>0</v>
          </cell>
          <cell r="AP931">
            <v>0</v>
          </cell>
          <cell r="AQ931">
            <v>0</v>
          </cell>
          <cell r="BA931">
            <v>0</v>
          </cell>
          <cell r="BC931">
            <v>0</v>
          </cell>
        </row>
        <row r="932">
          <cell r="A932">
            <v>0</v>
          </cell>
          <cell r="B932">
            <v>0</v>
          </cell>
          <cell r="E932">
            <v>0</v>
          </cell>
          <cell r="F932">
            <v>0</v>
          </cell>
          <cell r="AO932">
            <v>0</v>
          </cell>
          <cell r="AP932">
            <v>0</v>
          </cell>
          <cell r="AQ932">
            <v>0</v>
          </cell>
          <cell r="BA932">
            <v>0</v>
          </cell>
          <cell r="BC932">
            <v>0</v>
          </cell>
        </row>
        <row r="933">
          <cell r="A933">
            <v>0</v>
          </cell>
          <cell r="B933">
            <v>0</v>
          </cell>
          <cell r="E933">
            <v>0</v>
          </cell>
          <cell r="F933">
            <v>0</v>
          </cell>
          <cell r="AO933">
            <v>0</v>
          </cell>
          <cell r="AP933">
            <v>0</v>
          </cell>
          <cell r="AQ933">
            <v>0</v>
          </cell>
          <cell r="BA933">
            <v>0</v>
          </cell>
          <cell r="BC933">
            <v>0</v>
          </cell>
        </row>
        <row r="934">
          <cell r="A934">
            <v>0</v>
          </cell>
          <cell r="B934">
            <v>0</v>
          </cell>
          <cell r="E934">
            <v>0</v>
          </cell>
          <cell r="F934">
            <v>0</v>
          </cell>
          <cell r="AO934">
            <v>0</v>
          </cell>
          <cell r="AP934">
            <v>0</v>
          </cell>
          <cell r="AQ934">
            <v>0</v>
          </cell>
          <cell r="BA934">
            <v>0</v>
          </cell>
          <cell r="BC934">
            <v>0</v>
          </cell>
        </row>
        <row r="935">
          <cell r="A935">
            <v>0</v>
          </cell>
          <cell r="B935">
            <v>0</v>
          </cell>
          <cell r="E935">
            <v>0</v>
          </cell>
          <cell r="F935">
            <v>0</v>
          </cell>
          <cell r="AO935">
            <v>0</v>
          </cell>
          <cell r="AP935">
            <v>0</v>
          </cell>
          <cell r="AQ935">
            <v>0</v>
          </cell>
          <cell r="BA935">
            <v>0</v>
          </cell>
          <cell r="BC935">
            <v>0</v>
          </cell>
        </row>
        <row r="936">
          <cell r="A936">
            <v>0</v>
          </cell>
          <cell r="B936">
            <v>0</v>
          </cell>
          <cell r="E936">
            <v>0</v>
          </cell>
          <cell r="F936">
            <v>0</v>
          </cell>
          <cell r="AO936">
            <v>0</v>
          </cell>
          <cell r="AP936">
            <v>0</v>
          </cell>
          <cell r="AQ936">
            <v>0</v>
          </cell>
          <cell r="BA936">
            <v>0</v>
          </cell>
          <cell r="BC936">
            <v>0</v>
          </cell>
        </row>
        <row r="937">
          <cell r="A937">
            <v>0</v>
          </cell>
          <cell r="B937">
            <v>0</v>
          </cell>
          <cell r="E937">
            <v>0</v>
          </cell>
          <cell r="F937">
            <v>0</v>
          </cell>
          <cell r="AO937">
            <v>0</v>
          </cell>
          <cell r="AP937">
            <v>0</v>
          </cell>
          <cell r="AQ937">
            <v>0</v>
          </cell>
          <cell r="BA937">
            <v>0</v>
          </cell>
          <cell r="BC937">
            <v>0</v>
          </cell>
        </row>
        <row r="938">
          <cell r="A938">
            <v>0</v>
          </cell>
          <cell r="B938">
            <v>0</v>
          </cell>
          <cell r="E938">
            <v>0</v>
          </cell>
          <cell r="F938">
            <v>0</v>
          </cell>
          <cell r="AO938">
            <v>0</v>
          </cell>
          <cell r="AP938">
            <v>0</v>
          </cell>
          <cell r="AQ938">
            <v>0</v>
          </cell>
          <cell r="BA938">
            <v>0</v>
          </cell>
          <cell r="BC938">
            <v>0</v>
          </cell>
        </row>
        <row r="939">
          <cell r="A939">
            <v>0</v>
          </cell>
          <cell r="B939">
            <v>0</v>
          </cell>
          <cell r="E939">
            <v>0</v>
          </cell>
          <cell r="F939">
            <v>0</v>
          </cell>
          <cell r="AO939">
            <v>0</v>
          </cell>
          <cell r="AP939">
            <v>0</v>
          </cell>
          <cell r="AQ939">
            <v>0</v>
          </cell>
          <cell r="BA939">
            <v>0</v>
          </cell>
          <cell r="BC939">
            <v>0</v>
          </cell>
        </row>
        <row r="940">
          <cell r="A940">
            <v>0</v>
          </cell>
          <cell r="B940">
            <v>0</v>
          </cell>
          <cell r="E940">
            <v>0</v>
          </cell>
          <cell r="F940">
            <v>0</v>
          </cell>
          <cell r="AO940">
            <v>0</v>
          </cell>
          <cell r="AP940">
            <v>0</v>
          </cell>
          <cell r="AQ940">
            <v>0</v>
          </cell>
          <cell r="BA940">
            <v>0</v>
          </cell>
          <cell r="BC940">
            <v>0</v>
          </cell>
        </row>
        <row r="941">
          <cell r="A941">
            <v>0</v>
          </cell>
          <cell r="B941">
            <v>0</v>
          </cell>
          <cell r="E941">
            <v>0</v>
          </cell>
          <cell r="F941">
            <v>0</v>
          </cell>
          <cell r="AO941">
            <v>0</v>
          </cell>
          <cell r="AP941">
            <v>0</v>
          </cell>
          <cell r="AQ941">
            <v>0</v>
          </cell>
          <cell r="BA941">
            <v>0</v>
          </cell>
          <cell r="BC941">
            <v>0</v>
          </cell>
        </row>
        <row r="942">
          <cell r="A942">
            <v>0</v>
          </cell>
          <cell r="B942">
            <v>0</v>
          </cell>
          <cell r="E942">
            <v>0</v>
          </cell>
          <cell r="F942">
            <v>0</v>
          </cell>
          <cell r="AO942">
            <v>0</v>
          </cell>
          <cell r="AP942">
            <v>0</v>
          </cell>
          <cell r="AQ942">
            <v>0</v>
          </cell>
          <cell r="BA942">
            <v>0</v>
          </cell>
          <cell r="BC942">
            <v>0</v>
          </cell>
        </row>
        <row r="943">
          <cell r="A943">
            <v>0</v>
          </cell>
          <cell r="B943">
            <v>0</v>
          </cell>
          <cell r="E943">
            <v>0</v>
          </cell>
          <cell r="F943">
            <v>0</v>
          </cell>
          <cell r="AO943">
            <v>0</v>
          </cell>
          <cell r="AP943">
            <v>0</v>
          </cell>
          <cell r="AQ943">
            <v>0</v>
          </cell>
          <cell r="BA943">
            <v>0</v>
          </cell>
          <cell r="BC943">
            <v>0</v>
          </cell>
        </row>
        <row r="944">
          <cell r="A944">
            <v>0</v>
          </cell>
          <cell r="B944">
            <v>0</v>
          </cell>
          <cell r="E944">
            <v>0</v>
          </cell>
          <cell r="F944">
            <v>0</v>
          </cell>
          <cell r="AO944">
            <v>0</v>
          </cell>
          <cell r="AP944">
            <v>0</v>
          </cell>
          <cell r="AQ944">
            <v>0</v>
          </cell>
          <cell r="BA944">
            <v>0</v>
          </cell>
          <cell r="BC944">
            <v>0</v>
          </cell>
        </row>
        <row r="945">
          <cell r="A945">
            <v>0</v>
          </cell>
          <cell r="B945">
            <v>0</v>
          </cell>
          <cell r="E945">
            <v>0</v>
          </cell>
          <cell r="F945">
            <v>0</v>
          </cell>
          <cell r="AO945">
            <v>0</v>
          </cell>
          <cell r="AP945">
            <v>0</v>
          </cell>
          <cell r="AQ945">
            <v>0</v>
          </cell>
          <cell r="BA945">
            <v>0</v>
          </cell>
          <cell r="BC945">
            <v>0</v>
          </cell>
        </row>
        <row r="946">
          <cell r="A946">
            <v>0</v>
          </cell>
          <cell r="B946">
            <v>0</v>
          </cell>
          <cell r="E946">
            <v>0</v>
          </cell>
          <cell r="F946">
            <v>0</v>
          </cell>
          <cell r="AO946">
            <v>0</v>
          </cell>
          <cell r="AP946">
            <v>0</v>
          </cell>
          <cell r="AQ946">
            <v>0</v>
          </cell>
          <cell r="BA946">
            <v>0</v>
          </cell>
          <cell r="BC946">
            <v>0</v>
          </cell>
        </row>
        <row r="947">
          <cell r="A947">
            <v>0</v>
          </cell>
          <cell r="B947">
            <v>0</v>
          </cell>
          <cell r="E947">
            <v>0</v>
          </cell>
          <cell r="F947">
            <v>0</v>
          </cell>
          <cell r="AO947">
            <v>0</v>
          </cell>
          <cell r="AP947">
            <v>0</v>
          </cell>
          <cell r="AQ947">
            <v>0</v>
          </cell>
          <cell r="BA947">
            <v>0</v>
          </cell>
          <cell r="BC947">
            <v>0</v>
          </cell>
        </row>
        <row r="948">
          <cell r="A948">
            <v>0</v>
          </cell>
          <cell r="B948">
            <v>0</v>
          </cell>
          <cell r="E948">
            <v>0</v>
          </cell>
          <cell r="F948">
            <v>0</v>
          </cell>
          <cell r="AO948">
            <v>0</v>
          </cell>
          <cell r="AP948">
            <v>0</v>
          </cell>
          <cell r="AQ948">
            <v>0</v>
          </cell>
          <cell r="BA948">
            <v>0</v>
          </cell>
          <cell r="BC948">
            <v>0</v>
          </cell>
        </row>
        <row r="949">
          <cell r="A949">
            <v>0</v>
          </cell>
          <cell r="B949">
            <v>0</v>
          </cell>
          <cell r="E949">
            <v>0</v>
          </cell>
          <cell r="F949">
            <v>0</v>
          </cell>
          <cell r="AO949">
            <v>0</v>
          </cell>
          <cell r="AP949">
            <v>0</v>
          </cell>
          <cell r="AQ949">
            <v>0</v>
          </cell>
          <cell r="BA949">
            <v>0</v>
          </cell>
          <cell r="BC949">
            <v>0</v>
          </cell>
        </row>
        <row r="950">
          <cell r="A950">
            <v>0</v>
          </cell>
          <cell r="B950">
            <v>0</v>
          </cell>
          <cell r="E950">
            <v>0</v>
          </cell>
          <cell r="F950">
            <v>0</v>
          </cell>
          <cell r="AO950">
            <v>0</v>
          </cell>
          <cell r="AP950">
            <v>0</v>
          </cell>
          <cell r="AQ950">
            <v>0</v>
          </cell>
          <cell r="BA950">
            <v>0</v>
          </cell>
          <cell r="BC950">
            <v>0</v>
          </cell>
        </row>
        <row r="951">
          <cell r="A951">
            <v>0</v>
          </cell>
          <cell r="B951">
            <v>0</v>
          </cell>
          <cell r="E951">
            <v>0</v>
          </cell>
          <cell r="F951">
            <v>0</v>
          </cell>
          <cell r="AO951">
            <v>0</v>
          </cell>
          <cell r="AP951">
            <v>0</v>
          </cell>
          <cell r="AQ951">
            <v>0</v>
          </cell>
          <cell r="BA951">
            <v>0</v>
          </cell>
          <cell r="BC951">
            <v>0</v>
          </cell>
        </row>
        <row r="952">
          <cell r="A952">
            <v>0</v>
          </cell>
          <cell r="B952">
            <v>0</v>
          </cell>
          <cell r="E952">
            <v>0</v>
          </cell>
          <cell r="F952">
            <v>0</v>
          </cell>
          <cell r="AO952">
            <v>0</v>
          </cell>
          <cell r="AP952">
            <v>0</v>
          </cell>
          <cell r="AQ952">
            <v>0</v>
          </cell>
          <cell r="BA952">
            <v>0</v>
          </cell>
          <cell r="BC952">
            <v>0</v>
          </cell>
        </row>
        <row r="953">
          <cell r="A953">
            <v>0</v>
          </cell>
          <cell r="B953">
            <v>0</v>
          </cell>
          <cell r="E953">
            <v>0</v>
          </cell>
          <cell r="F953">
            <v>0</v>
          </cell>
          <cell r="AO953">
            <v>0</v>
          </cell>
          <cell r="AP953">
            <v>0</v>
          </cell>
          <cell r="AQ953">
            <v>0</v>
          </cell>
          <cell r="BA953">
            <v>0</v>
          </cell>
          <cell r="BC953">
            <v>0</v>
          </cell>
        </row>
        <row r="954">
          <cell r="A954">
            <v>0</v>
          </cell>
          <cell r="B954">
            <v>0</v>
          </cell>
          <cell r="E954">
            <v>0</v>
          </cell>
          <cell r="F954">
            <v>0</v>
          </cell>
          <cell r="AO954">
            <v>0</v>
          </cell>
          <cell r="AP954">
            <v>0</v>
          </cell>
          <cell r="AQ954">
            <v>0</v>
          </cell>
          <cell r="BA954">
            <v>0</v>
          </cell>
          <cell r="BC954">
            <v>0</v>
          </cell>
        </row>
        <row r="955">
          <cell r="A955">
            <v>0</v>
          </cell>
          <cell r="B955">
            <v>0</v>
          </cell>
          <cell r="E955">
            <v>0</v>
          </cell>
          <cell r="F955">
            <v>0</v>
          </cell>
          <cell r="AO955">
            <v>0</v>
          </cell>
          <cell r="AP955">
            <v>0</v>
          </cell>
          <cell r="AQ955">
            <v>0</v>
          </cell>
          <cell r="BA955">
            <v>0</v>
          </cell>
          <cell r="BC955">
            <v>0</v>
          </cell>
        </row>
        <row r="956">
          <cell r="A956">
            <v>0</v>
          </cell>
          <cell r="B956">
            <v>0</v>
          </cell>
          <cell r="E956">
            <v>0</v>
          </cell>
          <cell r="F956">
            <v>0</v>
          </cell>
          <cell r="AO956">
            <v>0</v>
          </cell>
          <cell r="AP956">
            <v>0</v>
          </cell>
          <cell r="AQ956">
            <v>0</v>
          </cell>
          <cell r="BA956">
            <v>0</v>
          </cell>
          <cell r="BC956">
            <v>0</v>
          </cell>
        </row>
        <row r="957">
          <cell r="A957">
            <v>0</v>
          </cell>
          <cell r="B957">
            <v>0</v>
          </cell>
          <cell r="E957">
            <v>0</v>
          </cell>
          <cell r="F957">
            <v>0</v>
          </cell>
          <cell r="AO957">
            <v>0</v>
          </cell>
          <cell r="AP957">
            <v>0</v>
          </cell>
          <cell r="AQ957">
            <v>0</v>
          </cell>
          <cell r="BA957">
            <v>0</v>
          </cell>
          <cell r="BC957">
            <v>0</v>
          </cell>
        </row>
        <row r="958">
          <cell r="A958">
            <v>0</v>
          </cell>
          <cell r="B958">
            <v>0</v>
          </cell>
          <cell r="E958">
            <v>0</v>
          </cell>
          <cell r="F958">
            <v>0</v>
          </cell>
          <cell r="AO958">
            <v>0</v>
          </cell>
          <cell r="AP958">
            <v>0</v>
          </cell>
          <cell r="AQ958">
            <v>0</v>
          </cell>
          <cell r="BA958">
            <v>0</v>
          </cell>
          <cell r="BC958">
            <v>0</v>
          </cell>
        </row>
        <row r="959">
          <cell r="A959">
            <v>0</v>
          </cell>
          <cell r="B959">
            <v>0</v>
          </cell>
          <cell r="E959">
            <v>0</v>
          </cell>
          <cell r="F959">
            <v>0</v>
          </cell>
          <cell r="AO959">
            <v>0</v>
          </cell>
          <cell r="AP959">
            <v>0</v>
          </cell>
          <cell r="AQ959">
            <v>0</v>
          </cell>
          <cell r="BA959">
            <v>0</v>
          </cell>
          <cell r="BC959">
            <v>0</v>
          </cell>
        </row>
        <row r="960">
          <cell r="A960">
            <v>0</v>
          </cell>
          <cell r="B960">
            <v>0</v>
          </cell>
          <cell r="E960">
            <v>0</v>
          </cell>
          <cell r="F960">
            <v>0</v>
          </cell>
          <cell r="AO960">
            <v>0</v>
          </cell>
          <cell r="AP960">
            <v>0</v>
          </cell>
          <cell r="AQ960">
            <v>0</v>
          </cell>
          <cell r="BA960">
            <v>0</v>
          </cell>
          <cell r="BC960">
            <v>0</v>
          </cell>
        </row>
        <row r="961">
          <cell r="A961">
            <v>0</v>
          </cell>
          <cell r="B961">
            <v>0</v>
          </cell>
          <cell r="E961">
            <v>0</v>
          </cell>
          <cell r="F961">
            <v>0</v>
          </cell>
          <cell r="AO961">
            <v>0</v>
          </cell>
          <cell r="AP961">
            <v>0</v>
          </cell>
          <cell r="AQ961">
            <v>0</v>
          </cell>
          <cell r="BA961">
            <v>0</v>
          </cell>
          <cell r="BC961">
            <v>0</v>
          </cell>
        </row>
        <row r="962">
          <cell r="A962">
            <v>0</v>
          </cell>
          <cell r="B962">
            <v>0</v>
          </cell>
          <cell r="E962">
            <v>0</v>
          </cell>
          <cell r="F962">
            <v>0</v>
          </cell>
          <cell r="AO962">
            <v>0</v>
          </cell>
          <cell r="AP962">
            <v>0</v>
          </cell>
          <cell r="AQ962">
            <v>0</v>
          </cell>
          <cell r="BA962">
            <v>0</v>
          </cell>
          <cell r="BC962">
            <v>0</v>
          </cell>
        </row>
        <row r="963">
          <cell r="A963">
            <v>0</v>
          </cell>
          <cell r="B963">
            <v>0</v>
          </cell>
          <cell r="E963">
            <v>0</v>
          </cell>
          <cell r="F963">
            <v>0</v>
          </cell>
          <cell r="AO963">
            <v>0</v>
          </cell>
          <cell r="AP963">
            <v>0</v>
          </cell>
          <cell r="AQ963">
            <v>0</v>
          </cell>
          <cell r="BA963">
            <v>0</v>
          </cell>
          <cell r="BC963">
            <v>0</v>
          </cell>
        </row>
        <row r="964">
          <cell r="A964">
            <v>0</v>
          </cell>
          <cell r="B964">
            <v>0</v>
          </cell>
          <cell r="E964">
            <v>0</v>
          </cell>
          <cell r="F964">
            <v>0</v>
          </cell>
          <cell r="AO964">
            <v>0</v>
          </cell>
          <cell r="AP964">
            <v>0</v>
          </cell>
          <cell r="AQ964">
            <v>0</v>
          </cell>
          <cell r="BA964">
            <v>0</v>
          </cell>
          <cell r="BC964">
            <v>0</v>
          </cell>
        </row>
        <row r="965">
          <cell r="A965">
            <v>0</v>
          </cell>
          <cell r="B965">
            <v>0</v>
          </cell>
          <cell r="E965">
            <v>0</v>
          </cell>
          <cell r="F965">
            <v>0</v>
          </cell>
          <cell r="AO965">
            <v>0</v>
          </cell>
          <cell r="AP965">
            <v>0</v>
          </cell>
          <cell r="AQ965">
            <v>0</v>
          </cell>
          <cell r="BA965">
            <v>0</v>
          </cell>
          <cell r="BC965">
            <v>0</v>
          </cell>
        </row>
        <row r="966">
          <cell r="A966">
            <v>0</v>
          </cell>
          <cell r="B966">
            <v>0</v>
          </cell>
          <cell r="E966">
            <v>0</v>
          </cell>
          <cell r="F966">
            <v>0</v>
          </cell>
          <cell r="AO966">
            <v>0</v>
          </cell>
          <cell r="AP966">
            <v>0</v>
          </cell>
          <cell r="AQ966">
            <v>0</v>
          </cell>
          <cell r="BA966">
            <v>0</v>
          </cell>
          <cell r="BC966">
            <v>0</v>
          </cell>
        </row>
        <row r="967">
          <cell r="A967">
            <v>0</v>
          </cell>
          <cell r="B967">
            <v>0</v>
          </cell>
          <cell r="E967">
            <v>0</v>
          </cell>
          <cell r="F967">
            <v>0</v>
          </cell>
          <cell r="AO967">
            <v>0</v>
          </cell>
          <cell r="AP967">
            <v>0</v>
          </cell>
          <cell r="AQ967">
            <v>0</v>
          </cell>
          <cell r="BA967">
            <v>0</v>
          </cell>
          <cell r="BC967">
            <v>0</v>
          </cell>
        </row>
        <row r="968">
          <cell r="A968">
            <v>0</v>
          </cell>
          <cell r="B968">
            <v>0</v>
          </cell>
          <cell r="E968">
            <v>0</v>
          </cell>
          <cell r="F968">
            <v>0</v>
          </cell>
          <cell r="AO968">
            <v>0</v>
          </cell>
          <cell r="AP968">
            <v>0</v>
          </cell>
          <cell r="AQ968">
            <v>0</v>
          </cell>
          <cell r="BA968">
            <v>0</v>
          </cell>
          <cell r="BC968">
            <v>0</v>
          </cell>
        </row>
        <row r="969">
          <cell r="A969">
            <v>0</v>
          </cell>
          <cell r="B969">
            <v>0</v>
          </cell>
          <cell r="E969">
            <v>0</v>
          </cell>
          <cell r="F969">
            <v>0</v>
          </cell>
          <cell r="AO969">
            <v>0</v>
          </cell>
          <cell r="AP969">
            <v>0</v>
          </cell>
          <cell r="AQ969">
            <v>0</v>
          </cell>
          <cell r="BA969">
            <v>0</v>
          </cell>
          <cell r="BC969">
            <v>0</v>
          </cell>
        </row>
        <row r="970">
          <cell r="A970">
            <v>0</v>
          </cell>
          <cell r="B970">
            <v>0</v>
          </cell>
          <cell r="E970">
            <v>0</v>
          </cell>
          <cell r="F970">
            <v>0</v>
          </cell>
          <cell r="AO970">
            <v>0</v>
          </cell>
          <cell r="AP970">
            <v>0</v>
          </cell>
          <cell r="AQ970">
            <v>0</v>
          </cell>
          <cell r="BA970">
            <v>0</v>
          </cell>
          <cell r="BC970">
            <v>0</v>
          </cell>
        </row>
        <row r="971">
          <cell r="A971">
            <v>0</v>
          </cell>
          <cell r="B971">
            <v>0</v>
          </cell>
          <cell r="E971">
            <v>0</v>
          </cell>
          <cell r="F971">
            <v>0</v>
          </cell>
          <cell r="AO971">
            <v>0</v>
          </cell>
          <cell r="AP971">
            <v>0</v>
          </cell>
          <cell r="AQ971">
            <v>0</v>
          </cell>
          <cell r="BA971">
            <v>0</v>
          </cell>
          <cell r="BC971">
            <v>0</v>
          </cell>
        </row>
        <row r="972">
          <cell r="A972">
            <v>0</v>
          </cell>
          <cell r="B972">
            <v>0</v>
          </cell>
          <cell r="E972">
            <v>0</v>
          </cell>
          <cell r="F972">
            <v>0</v>
          </cell>
          <cell r="AO972">
            <v>0</v>
          </cell>
          <cell r="AP972">
            <v>0</v>
          </cell>
          <cell r="AQ972">
            <v>0</v>
          </cell>
          <cell r="BA972">
            <v>0</v>
          </cell>
          <cell r="BC972">
            <v>0</v>
          </cell>
        </row>
        <row r="973">
          <cell r="A973">
            <v>0</v>
          </cell>
          <cell r="B973">
            <v>0</v>
          </cell>
          <cell r="E973">
            <v>0</v>
          </cell>
          <cell r="F973">
            <v>0</v>
          </cell>
          <cell r="AO973">
            <v>0</v>
          </cell>
          <cell r="AP973">
            <v>0</v>
          </cell>
          <cell r="AQ973">
            <v>0</v>
          </cell>
          <cell r="BA973">
            <v>0</v>
          </cell>
          <cell r="BC973">
            <v>0</v>
          </cell>
        </row>
        <row r="974">
          <cell r="A974">
            <v>0</v>
          </cell>
          <cell r="B974">
            <v>0</v>
          </cell>
          <cell r="E974">
            <v>0</v>
          </cell>
          <cell r="F974">
            <v>0</v>
          </cell>
          <cell r="AO974">
            <v>0</v>
          </cell>
          <cell r="AP974">
            <v>0</v>
          </cell>
          <cell r="AQ974">
            <v>0</v>
          </cell>
          <cell r="BA974">
            <v>0</v>
          </cell>
          <cell r="BC974">
            <v>0</v>
          </cell>
        </row>
        <row r="975">
          <cell r="A975">
            <v>0</v>
          </cell>
          <cell r="B975">
            <v>0</v>
          </cell>
          <cell r="E975">
            <v>0</v>
          </cell>
          <cell r="F975">
            <v>0</v>
          </cell>
          <cell r="AO975">
            <v>0</v>
          </cell>
          <cell r="AP975">
            <v>0</v>
          </cell>
          <cell r="AQ975">
            <v>0</v>
          </cell>
          <cell r="BA975">
            <v>0</v>
          </cell>
          <cell r="BC975">
            <v>0</v>
          </cell>
        </row>
        <row r="976">
          <cell r="A976">
            <v>0</v>
          </cell>
          <cell r="B976">
            <v>0</v>
          </cell>
          <cell r="E976">
            <v>0</v>
          </cell>
          <cell r="F976">
            <v>0</v>
          </cell>
          <cell r="AO976">
            <v>0</v>
          </cell>
          <cell r="AP976">
            <v>0</v>
          </cell>
          <cell r="AQ976">
            <v>0</v>
          </cell>
          <cell r="BA976">
            <v>0</v>
          </cell>
          <cell r="BC976">
            <v>0</v>
          </cell>
        </row>
        <row r="977">
          <cell r="A977">
            <v>0</v>
          </cell>
          <cell r="B977">
            <v>0</v>
          </cell>
          <cell r="E977">
            <v>0</v>
          </cell>
          <cell r="F977">
            <v>0</v>
          </cell>
          <cell r="AO977">
            <v>0</v>
          </cell>
          <cell r="AP977">
            <v>0</v>
          </cell>
          <cell r="AQ977">
            <v>0</v>
          </cell>
          <cell r="BA977">
            <v>0</v>
          </cell>
          <cell r="BC977">
            <v>0</v>
          </cell>
        </row>
        <row r="978">
          <cell r="A978">
            <v>0</v>
          </cell>
          <cell r="B978">
            <v>0</v>
          </cell>
          <cell r="E978">
            <v>0</v>
          </cell>
          <cell r="F978">
            <v>0</v>
          </cell>
          <cell r="AO978">
            <v>0</v>
          </cell>
          <cell r="AP978">
            <v>0</v>
          </cell>
          <cell r="AQ978">
            <v>0</v>
          </cell>
          <cell r="BA978">
            <v>0</v>
          </cell>
          <cell r="BC978">
            <v>0</v>
          </cell>
        </row>
        <row r="979">
          <cell r="A979">
            <v>0</v>
          </cell>
          <cell r="B979">
            <v>0</v>
          </cell>
          <cell r="E979">
            <v>0</v>
          </cell>
          <cell r="F979">
            <v>0</v>
          </cell>
          <cell r="AO979">
            <v>0</v>
          </cell>
          <cell r="AP979">
            <v>0</v>
          </cell>
          <cell r="AQ979">
            <v>0</v>
          </cell>
          <cell r="BA979">
            <v>0</v>
          </cell>
          <cell r="BC979">
            <v>0</v>
          </cell>
        </row>
        <row r="980">
          <cell r="A980">
            <v>0</v>
          </cell>
          <cell r="B980">
            <v>0</v>
          </cell>
          <cell r="E980">
            <v>0</v>
          </cell>
          <cell r="F980">
            <v>0</v>
          </cell>
          <cell r="AO980">
            <v>0</v>
          </cell>
          <cell r="AP980">
            <v>0</v>
          </cell>
          <cell r="AQ980">
            <v>0</v>
          </cell>
          <cell r="BA980">
            <v>0</v>
          </cell>
          <cell r="BC980">
            <v>0</v>
          </cell>
        </row>
        <row r="981">
          <cell r="A981">
            <v>0</v>
          </cell>
          <cell r="B981">
            <v>0</v>
          </cell>
          <cell r="E981">
            <v>0</v>
          </cell>
          <cell r="F981">
            <v>0</v>
          </cell>
          <cell r="AO981">
            <v>0</v>
          </cell>
          <cell r="AP981">
            <v>0</v>
          </cell>
          <cell r="AQ981">
            <v>0</v>
          </cell>
          <cell r="BA981">
            <v>0</v>
          </cell>
          <cell r="BC981">
            <v>0</v>
          </cell>
        </row>
        <row r="982">
          <cell r="A982">
            <v>0</v>
          </cell>
          <cell r="B982">
            <v>0</v>
          </cell>
          <cell r="E982">
            <v>0</v>
          </cell>
          <cell r="F982">
            <v>0</v>
          </cell>
          <cell r="AO982">
            <v>0</v>
          </cell>
          <cell r="AP982">
            <v>0</v>
          </cell>
          <cell r="AQ982">
            <v>0</v>
          </cell>
          <cell r="BA982">
            <v>0</v>
          </cell>
          <cell r="BC982">
            <v>0</v>
          </cell>
        </row>
        <row r="983">
          <cell r="A983">
            <v>0</v>
          </cell>
          <cell r="B983">
            <v>0</v>
          </cell>
          <cell r="E983">
            <v>0</v>
          </cell>
          <cell r="F983">
            <v>0</v>
          </cell>
          <cell r="AO983">
            <v>0</v>
          </cell>
          <cell r="AP983">
            <v>0</v>
          </cell>
          <cell r="AQ983">
            <v>0</v>
          </cell>
          <cell r="BA983">
            <v>0</v>
          </cell>
          <cell r="BC983">
            <v>0</v>
          </cell>
        </row>
        <row r="984">
          <cell r="A984">
            <v>0</v>
          </cell>
          <cell r="B984">
            <v>0</v>
          </cell>
          <cell r="E984">
            <v>0</v>
          </cell>
          <cell r="F984">
            <v>0</v>
          </cell>
          <cell r="AO984">
            <v>0</v>
          </cell>
          <cell r="AP984">
            <v>0</v>
          </cell>
          <cell r="AQ984">
            <v>0</v>
          </cell>
          <cell r="BA984">
            <v>0</v>
          </cell>
          <cell r="BC984">
            <v>0</v>
          </cell>
        </row>
        <row r="985">
          <cell r="A985">
            <v>0</v>
          </cell>
          <cell r="B985">
            <v>0</v>
          </cell>
          <cell r="E985">
            <v>0</v>
          </cell>
          <cell r="F985">
            <v>0</v>
          </cell>
          <cell r="AO985">
            <v>0</v>
          </cell>
          <cell r="AP985">
            <v>0</v>
          </cell>
          <cell r="AQ985">
            <v>0</v>
          </cell>
          <cell r="BA985">
            <v>0</v>
          </cell>
          <cell r="BC985">
            <v>0</v>
          </cell>
        </row>
        <row r="986">
          <cell r="A986">
            <v>0</v>
          </cell>
          <cell r="B986">
            <v>0</v>
          </cell>
          <cell r="E986">
            <v>0</v>
          </cell>
          <cell r="F986">
            <v>0</v>
          </cell>
          <cell r="AO986">
            <v>0</v>
          </cell>
          <cell r="AP986">
            <v>0</v>
          </cell>
          <cell r="AQ986">
            <v>0</v>
          </cell>
          <cell r="BA986">
            <v>0</v>
          </cell>
          <cell r="BC986">
            <v>0</v>
          </cell>
        </row>
        <row r="987">
          <cell r="A987">
            <v>0</v>
          </cell>
          <cell r="B987">
            <v>0</v>
          </cell>
          <cell r="E987">
            <v>0</v>
          </cell>
          <cell r="F987">
            <v>0</v>
          </cell>
          <cell r="AO987">
            <v>0</v>
          </cell>
          <cell r="AP987">
            <v>0</v>
          </cell>
          <cell r="AQ987">
            <v>0</v>
          </cell>
          <cell r="BA987">
            <v>0</v>
          </cell>
          <cell r="BC987">
            <v>0</v>
          </cell>
        </row>
        <row r="988">
          <cell r="A988">
            <v>0</v>
          </cell>
          <cell r="B988">
            <v>0</v>
          </cell>
          <cell r="E988">
            <v>0</v>
          </cell>
          <cell r="F988">
            <v>0</v>
          </cell>
          <cell r="AO988">
            <v>0</v>
          </cell>
          <cell r="AP988">
            <v>0</v>
          </cell>
          <cell r="AQ988">
            <v>0</v>
          </cell>
          <cell r="BA988">
            <v>0</v>
          </cell>
          <cell r="BC988">
            <v>0</v>
          </cell>
        </row>
        <row r="989">
          <cell r="A989">
            <v>0</v>
          </cell>
          <cell r="B989">
            <v>0</v>
          </cell>
          <cell r="E989">
            <v>0</v>
          </cell>
          <cell r="F989">
            <v>0</v>
          </cell>
          <cell r="AO989">
            <v>0</v>
          </cell>
          <cell r="AP989">
            <v>0</v>
          </cell>
          <cell r="AQ989">
            <v>0</v>
          </cell>
          <cell r="BA989">
            <v>0</v>
          </cell>
          <cell r="BC989">
            <v>0</v>
          </cell>
        </row>
        <row r="990">
          <cell r="A990">
            <v>0</v>
          </cell>
          <cell r="B990">
            <v>0</v>
          </cell>
          <cell r="E990">
            <v>0</v>
          </cell>
          <cell r="F990">
            <v>0</v>
          </cell>
          <cell r="AO990">
            <v>0</v>
          </cell>
          <cell r="AP990">
            <v>0</v>
          </cell>
          <cell r="AQ990">
            <v>0</v>
          </cell>
          <cell r="BA990">
            <v>0</v>
          </cell>
          <cell r="BC990">
            <v>0</v>
          </cell>
        </row>
        <row r="991">
          <cell r="A991">
            <v>0</v>
          </cell>
          <cell r="B991">
            <v>0</v>
          </cell>
          <cell r="E991">
            <v>0</v>
          </cell>
          <cell r="F991">
            <v>0</v>
          </cell>
          <cell r="AO991">
            <v>0</v>
          </cell>
          <cell r="AP991">
            <v>0</v>
          </cell>
          <cell r="AQ991">
            <v>0</v>
          </cell>
          <cell r="BA991">
            <v>0</v>
          </cell>
          <cell r="BC991">
            <v>0</v>
          </cell>
        </row>
        <row r="992">
          <cell r="A992">
            <v>0</v>
          </cell>
          <cell r="B992">
            <v>0</v>
          </cell>
          <cell r="E992">
            <v>0</v>
          </cell>
          <cell r="F992">
            <v>0</v>
          </cell>
          <cell r="AO992">
            <v>0</v>
          </cell>
          <cell r="AP992">
            <v>0</v>
          </cell>
          <cell r="AQ992">
            <v>0</v>
          </cell>
          <cell r="BA992">
            <v>0</v>
          </cell>
          <cell r="BC992">
            <v>0</v>
          </cell>
        </row>
        <row r="993">
          <cell r="A993">
            <v>0</v>
          </cell>
          <cell r="B993">
            <v>0</v>
          </cell>
          <cell r="E993">
            <v>0</v>
          </cell>
          <cell r="F993">
            <v>0</v>
          </cell>
          <cell r="AO993">
            <v>0</v>
          </cell>
          <cell r="AP993">
            <v>0</v>
          </cell>
          <cell r="AQ993">
            <v>0</v>
          </cell>
          <cell r="BA993">
            <v>0</v>
          </cell>
          <cell r="BC993">
            <v>0</v>
          </cell>
        </row>
        <row r="994">
          <cell r="A994">
            <v>0</v>
          </cell>
          <cell r="B994">
            <v>0</v>
          </cell>
          <cell r="E994">
            <v>0</v>
          </cell>
          <cell r="F994">
            <v>0</v>
          </cell>
          <cell r="AO994">
            <v>0</v>
          </cell>
          <cell r="AP994">
            <v>0</v>
          </cell>
          <cell r="AQ994">
            <v>0</v>
          </cell>
          <cell r="BA994">
            <v>0</v>
          </cell>
          <cell r="BC994">
            <v>0</v>
          </cell>
        </row>
        <row r="995">
          <cell r="A995">
            <v>0</v>
          </cell>
          <cell r="B995">
            <v>0</v>
          </cell>
          <cell r="E995">
            <v>0</v>
          </cell>
          <cell r="F995">
            <v>0</v>
          </cell>
          <cell r="AO995">
            <v>0</v>
          </cell>
          <cell r="AP995">
            <v>0</v>
          </cell>
          <cell r="AQ995">
            <v>0</v>
          </cell>
          <cell r="BA995">
            <v>0</v>
          </cell>
          <cell r="BC995">
            <v>0</v>
          </cell>
        </row>
        <row r="996">
          <cell r="A996">
            <v>0</v>
          </cell>
          <cell r="B996">
            <v>0</v>
          </cell>
          <cell r="E996">
            <v>0</v>
          </cell>
          <cell r="F996">
            <v>0</v>
          </cell>
          <cell r="AO996">
            <v>0</v>
          </cell>
          <cell r="AP996">
            <v>0</v>
          </cell>
          <cell r="AQ996">
            <v>0</v>
          </cell>
          <cell r="BA996">
            <v>0</v>
          </cell>
          <cell r="BC996">
            <v>0</v>
          </cell>
        </row>
        <row r="997">
          <cell r="A997">
            <v>0</v>
          </cell>
          <cell r="B997">
            <v>0</v>
          </cell>
          <cell r="E997">
            <v>0</v>
          </cell>
          <cell r="F997">
            <v>0</v>
          </cell>
          <cell r="AO997">
            <v>0</v>
          </cell>
          <cell r="AP997">
            <v>0</v>
          </cell>
          <cell r="AQ997">
            <v>0</v>
          </cell>
          <cell r="BA997">
            <v>0</v>
          </cell>
          <cell r="BC997">
            <v>0</v>
          </cell>
        </row>
        <row r="998">
          <cell r="A998">
            <v>0</v>
          </cell>
          <cell r="B998">
            <v>0</v>
          </cell>
          <cell r="E998">
            <v>0</v>
          </cell>
          <cell r="F998">
            <v>0</v>
          </cell>
          <cell r="AO998">
            <v>0</v>
          </cell>
          <cell r="AP998">
            <v>0</v>
          </cell>
          <cell r="AQ998">
            <v>0</v>
          </cell>
          <cell r="BA998">
            <v>0</v>
          </cell>
          <cell r="BC998">
            <v>0</v>
          </cell>
        </row>
        <row r="999">
          <cell r="A999">
            <v>0</v>
          </cell>
          <cell r="B999">
            <v>0</v>
          </cell>
          <cell r="E999">
            <v>0</v>
          </cell>
          <cell r="F999">
            <v>0</v>
          </cell>
          <cell r="AO999">
            <v>0</v>
          </cell>
          <cell r="AP999">
            <v>0</v>
          </cell>
          <cell r="AQ999">
            <v>0</v>
          </cell>
          <cell r="BA999">
            <v>0</v>
          </cell>
          <cell r="BC999">
            <v>0</v>
          </cell>
        </row>
        <row r="1000">
          <cell r="A1000">
            <v>0</v>
          </cell>
          <cell r="B1000">
            <v>0</v>
          </cell>
          <cell r="E1000">
            <v>0</v>
          </cell>
          <cell r="F1000">
            <v>0</v>
          </cell>
          <cell r="AO1000">
            <v>0</v>
          </cell>
          <cell r="AP1000">
            <v>0</v>
          </cell>
          <cell r="AQ1000">
            <v>0</v>
          </cell>
          <cell r="BA1000">
            <v>0</v>
          </cell>
          <cell r="BC1000">
            <v>0</v>
          </cell>
        </row>
        <row r="1001">
          <cell r="A1001">
            <v>0</v>
          </cell>
          <cell r="B1001">
            <v>0</v>
          </cell>
          <cell r="E1001">
            <v>0</v>
          </cell>
          <cell r="F1001">
            <v>0</v>
          </cell>
          <cell r="AO1001">
            <v>0</v>
          </cell>
          <cell r="AP1001">
            <v>0</v>
          </cell>
          <cell r="AQ1001">
            <v>0</v>
          </cell>
          <cell r="BA1001">
            <v>0</v>
          </cell>
          <cell r="BC1001">
            <v>0</v>
          </cell>
        </row>
        <row r="1002">
          <cell r="A1002">
            <v>0</v>
          </cell>
          <cell r="B1002">
            <v>0</v>
          </cell>
          <cell r="E1002">
            <v>0</v>
          </cell>
          <cell r="F1002">
            <v>0</v>
          </cell>
          <cell r="AO1002">
            <v>0</v>
          </cell>
          <cell r="AP1002">
            <v>0</v>
          </cell>
          <cell r="AQ1002">
            <v>0</v>
          </cell>
          <cell r="BA1002">
            <v>0</v>
          </cell>
          <cell r="BC1002">
            <v>0</v>
          </cell>
        </row>
        <row r="1003">
          <cell r="A1003">
            <v>0</v>
          </cell>
          <cell r="B1003">
            <v>0</v>
          </cell>
          <cell r="E1003">
            <v>0</v>
          </cell>
          <cell r="F1003">
            <v>0</v>
          </cell>
          <cell r="AO1003">
            <v>0</v>
          </cell>
          <cell r="AP1003">
            <v>0</v>
          </cell>
          <cell r="AQ1003">
            <v>0</v>
          </cell>
          <cell r="BA1003">
            <v>0</v>
          </cell>
          <cell r="BC1003">
            <v>0</v>
          </cell>
        </row>
        <row r="1004">
          <cell r="A1004">
            <v>0</v>
          </cell>
          <cell r="B1004">
            <v>0</v>
          </cell>
          <cell r="E1004">
            <v>0</v>
          </cell>
          <cell r="F1004">
            <v>0</v>
          </cell>
          <cell r="AO1004">
            <v>0</v>
          </cell>
          <cell r="AP1004">
            <v>0</v>
          </cell>
          <cell r="AQ1004">
            <v>0</v>
          </cell>
          <cell r="BA1004">
            <v>0</v>
          </cell>
          <cell r="BC1004">
            <v>0</v>
          </cell>
        </row>
        <row r="1005">
          <cell r="A1005">
            <v>0</v>
          </cell>
          <cell r="B1005">
            <v>0</v>
          </cell>
          <cell r="E1005">
            <v>0</v>
          </cell>
          <cell r="F1005">
            <v>0</v>
          </cell>
          <cell r="AO1005">
            <v>0</v>
          </cell>
          <cell r="AP1005">
            <v>0</v>
          </cell>
          <cell r="AQ1005">
            <v>0</v>
          </cell>
          <cell r="BA1005">
            <v>0</v>
          </cell>
          <cell r="BC1005">
            <v>0</v>
          </cell>
        </row>
        <row r="1006">
          <cell r="A1006">
            <v>0</v>
          </cell>
          <cell r="B1006">
            <v>0</v>
          </cell>
          <cell r="E1006">
            <v>0</v>
          </cell>
          <cell r="F1006">
            <v>0</v>
          </cell>
          <cell r="AO1006">
            <v>0</v>
          </cell>
          <cell r="AP1006">
            <v>0</v>
          </cell>
          <cell r="AQ1006">
            <v>0</v>
          </cell>
          <cell r="BA1006">
            <v>0</v>
          </cell>
          <cell r="BC1006">
            <v>0</v>
          </cell>
        </row>
        <row r="1007">
          <cell r="A1007">
            <v>0</v>
          </cell>
          <cell r="B1007">
            <v>0</v>
          </cell>
          <cell r="E1007">
            <v>0</v>
          </cell>
          <cell r="F1007">
            <v>0</v>
          </cell>
          <cell r="AO1007">
            <v>0</v>
          </cell>
          <cell r="AP1007">
            <v>0</v>
          </cell>
          <cell r="AQ1007">
            <v>0</v>
          </cell>
          <cell r="BA1007">
            <v>0</v>
          </cell>
          <cell r="BC1007">
            <v>0</v>
          </cell>
        </row>
        <row r="1008">
          <cell r="A1008">
            <v>0</v>
          </cell>
          <cell r="B1008">
            <v>0</v>
          </cell>
          <cell r="E1008">
            <v>0</v>
          </cell>
          <cell r="F1008">
            <v>0</v>
          </cell>
          <cell r="AO1008">
            <v>0</v>
          </cell>
          <cell r="AP1008">
            <v>0</v>
          </cell>
          <cell r="AQ1008">
            <v>0</v>
          </cell>
          <cell r="BA1008">
            <v>0</v>
          </cell>
          <cell r="BC1008">
            <v>0</v>
          </cell>
        </row>
        <row r="1009">
          <cell r="A1009">
            <v>0</v>
          </cell>
          <cell r="B1009">
            <v>0</v>
          </cell>
          <cell r="E1009">
            <v>0</v>
          </cell>
          <cell r="F1009">
            <v>0</v>
          </cell>
          <cell r="AO1009">
            <v>0</v>
          </cell>
          <cell r="AP1009">
            <v>0</v>
          </cell>
          <cell r="AQ1009">
            <v>0</v>
          </cell>
          <cell r="BA1009">
            <v>0</v>
          </cell>
          <cell r="BC1009">
            <v>0</v>
          </cell>
        </row>
        <row r="1010">
          <cell r="A1010">
            <v>0</v>
          </cell>
          <cell r="B1010">
            <v>0</v>
          </cell>
          <cell r="E1010">
            <v>0</v>
          </cell>
          <cell r="F1010">
            <v>0</v>
          </cell>
          <cell r="AO1010">
            <v>0</v>
          </cell>
          <cell r="AP1010">
            <v>0</v>
          </cell>
          <cell r="AQ1010">
            <v>0</v>
          </cell>
          <cell r="BA1010">
            <v>0</v>
          </cell>
          <cell r="BC1010">
            <v>0</v>
          </cell>
        </row>
        <row r="1011">
          <cell r="A1011">
            <v>0</v>
          </cell>
          <cell r="B1011">
            <v>0</v>
          </cell>
          <cell r="E1011">
            <v>0</v>
          </cell>
          <cell r="F1011">
            <v>0</v>
          </cell>
          <cell r="AO1011">
            <v>0</v>
          </cell>
          <cell r="AP1011">
            <v>0</v>
          </cell>
          <cell r="AQ1011">
            <v>0</v>
          </cell>
          <cell r="BA1011">
            <v>0</v>
          </cell>
          <cell r="BC1011">
            <v>0</v>
          </cell>
        </row>
        <row r="1012">
          <cell r="A1012">
            <v>0</v>
          </cell>
          <cell r="B1012">
            <v>0</v>
          </cell>
          <cell r="E1012">
            <v>0</v>
          </cell>
          <cell r="F1012">
            <v>0</v>
          </cell>
          <cell r="AO1012">
            <v>0</v>
          </cell>
          <cell r="AP1012">
            <v>0</v>
          </cell>
          <cell r="AQ1012">
            <v>0</v>
          </cell>
          <cell r="BA1012">
            <v>0</v>
          </cell>
          <cell r="BC1012">
            <v>0</v>
          </cell>
        </row>
        <row r="1013">
          <cell r="A1013">
            <v>0</v>
          </cell>
          <cell r="B1013">
            <v>0</v>
          </cell>
          <cell r="E1013">
            <v>0</v>
          </cell>
          <cell r="F1013">
            <v>0</v>
          </cell>
          <cell r="AO1013">
            <v>0</v>
          </cell>
          <cell r="AP1013">
            <v>0</v>
          </cell>
          <cell r="AQ1013">
            <v>0</v>
          </cell>
          <cell r="BA1013">
            <v>0</v>
          </cell>
          <cell r="BC1013">
            <v>0</v>
          </cell>
        </row>
        <row r="1014">
          <cell r="A1014">
            <v>0</v>
          </cell>
          <cell r="B1014">
            <v>0</v>
          </cell>
          <cell r="E1014">
            <v>0</v>
          </cell>
          <cell r="F1014">
            <v>0</v>
          </cell>
          <cell r="AO1014">
            <v>0</v>
          </cell>
          <cell r="AP1014">
            <v>0</v>
          </cell>
          <cell r="AQ1014">
            <v>0</v>
          </cell>
          <cell r="BA1014">
            <v>0</v>
          </cell>
          <cell r="BC1014">
            <v>0</v>
          </cell>
        </row>
        <row r="1015">
          <cell r="A1015">
            <v>0</v>
          </cell>
          <cell r="B1015">
            <v>0</v>
          </cell>
          <cell r="E1015">
            <v>0</v>
          </cell>
          <cell r="F1015">
            <v>0</v>
          </cell>
          <cell r="AO1015">
            <v>0</v>
          </cell>
          <cell r="AP1015">
            <v>0</v>
          </cell>
          <cell r="AQ1015">
            <v>0</v>
          </cell>
          <cell r="BA1015">
            <v>0</v>
          </cell>
          <cell r="BC1015">
            <v>0</v>
          </cell>
        </row>
        <row r="1016">
          <cell r="A1016">
            <v>0</v>
          </cell>
          <cell r="B1016">
            <v>0</v>
          </cell>
          <cell r="E1016">
            <v>0</v>
          </cell>
          <cell r="F1016">
            <v>0</v>
          </cell>
          <cell r="AO1016">
            <v>0</v>
          </cell>
          <cell r="AP1016">
            <v>0</v>
          </cell>
          <cell r="AQ1016">
            <v>0</v>
          </cell>
          <cell r="BA1016">
            <v>0</v>
          </cell>
          <cell r="BC1016">
            <v>0</v>
          </cell>
        </row>
        <row r="1017">
          <cell r="A1017">
            <v>0</v>
          </cell>
          <cell r="B1017">
            <v>0</v>
          </cell>
          <cell r="E1017">
            <v>0</v>
          </cell>
          <cell r="F1017">
            <v>0</v>
          </cell>
          <cell r="AO1017">
            <v>0</v>
          </cell>
          <cell r="AP1017">
            <v>0</v>
          </cell>
          <cell r="AQ1017">
            <v>0</v>
          </cell>
          <cell r="BA1017">
            <v>0</v>
          </cell>
          <cell r="BC1017">
            <v>0</v>
          </cell>
        </row>
        <row r="1018">
          <cell r="A1018">
            <v>0</v>
          </cell>
          <cell r="B1018">
            <v>0</v>
          </cell>
          <cell r="E1018">
            <v>0</v>
          </cell>
          <cell r="F1018">
            <v>0</v>
          </cell>
          <cell r="AO1018">
            <v>0</v>
          </cell>
          <cell r="AP1018">
            <v>0</v>
          </cell>
          <cell r="AQ1018">
            <v>0</v>
          </cell>
          <cell r="BA1018">
            <v>0</v>
          </cell>
          <cell r="BC1018">
            <v>0</v>
          </cell>
        </row>
        <row r="1019">
          <cell r="A1019">
            <v>0</v>
          </cell>
          <cell r="B1019">
            <v>0</v>
          </cell>
          <cell r="E1019">
            <v>0</v>
          </cell>
          <cell r="F1019">
            <v>0</v>
          </cell>
          <cell r="AO1019">
            <v>0</v>
          </cell>
          <cell r="AP1019">
            <v>0</v>
          </cell>
          <cell r="AQ1019">
            <v>0</v>
          </cell>
          <cell r="BA1019">
            <v>0</v>
          </cell>
          <cell r="BC1019">
            <v>0</v>
          </cell>
        </row>
        <row r="1020">
          <cell r="A1020">
            <v>0</v>
          </cell>
          <cell r="B1020">
            <v>0</v>
          </cell>
          <cell r="E1020">
            <v>0</v>
          </cell>
          <cell r="F1020">
            <v>0</v>
          </cell>
          <cell r="AO1020">
            <v>0</v>
          </cell>
          <cell r="AP1020">
            <v>0</v>
          </cell>
          <cell r="AQ1020">
            <v>0</v>
          </cell>
          <cell r="BA1020">
            <v>0</v>
          </cell>
          <cell r="BC1020">
            <v>0</v>
          </cell>
        </row>
        <row r="1021">
          <cell r="A1021">
            <v>0</v>
          </cell>
          <cell r="B1021">
            <v>0</v>
          </cell>
          <cell r="E1021">
            <v>0</v>
          </cell>
          <cell r="F1021">
            <v>0</v>
          </cell>
          <cell r="AO1021">
            <v>0</v>
          </cell>
          <cell r="AP1021">
            <v>0</v>
          </cell>
          <cell r="AQ1021">
            <v>0</v>
          </cell>
          <cell r="BA1021">
            <v>0</v>
          </cell>
          <cell r="BC1021">
            <v>0</v>
          </cell>
        </row>
        <row r="1022">
          <cell r="A1022">
            <v>0</v>
          </cell>
          <cell r="B1022">
            <v>0</v>
          </cell>
          <cell r="E1022">
            <v>0</v>
          </cell>
          <cell r="F1022">
            <v>0</v>
          </cell>
          <cell r="AO1022">
            <v>0</v>
          </cell>
          <cell r="AP1022">
            <v>0</v>
          </cell>
          <cell r="AQ1022">
            <v>0</v>
          </cell>
          <cell r="BA1022">
            <v>0</v>
          </cell>
          <cell r="BC1022">
            <v>0</v>
          </cell>
        </row>
        <row r="1023">
          <cell r="A1023">
            <v>0</v>
          </cell>
          <cell r="B1023">
            <v>0</v>
          </cell>
          <cell r="E1023">
            <v>0</v>
          </cell>
          <cell r="F1023">
            <v>0</v>
          </cell>
          <cell r="AO1023">
            <v>0</v>
          </cell>
          <cell r="AP1023">
            <v>0</v>
          </cell>
          <cell r="AQ1023">
            <v>0</v>
          </cell>
          <cell r="BA1023">
            <v>0</v>
          </cell>
          <cell r="BC1023">
            <v>0</v>
          </cell>
        </row>
        <row r="1024">
          <cell r="A1024">
            <v>0</v>
          </cell>
          <cell r="B1024">
            <v>0</v>
          </cell>
          <cell r="E1024">
            <v>0</v>
          </cell>
          <cell r="F1024">
            <v>0</v>
          </cell>
          <cell r="AO1024">
            <v>0</v>
          </cell>
          <cell r="AP1024">
            <v>0</v>
          </cell>
          <cell r="AQ1024">
            <v>0</v>
          </cell>
          <cell r="BA1024">
            <v>0</v>
          </cell>
          <cell r="BC1024">
            <v>0</v>
          </cell>
        </row>
        <row r="1025">
          <cell r="A1025">
            <v>0</v>
          </cell>
          <cell r="B1025">
            <v>0</v>
          </cell>
          <cell r="E1025">
            <v>0</v>
          </cell>
          <cell r="F1025">
            <v>0</v>
          </cell>
          <cell r="AO1025">
            <v>0</v>
          </cell>
          <cell r="AP1025">
            <v>0</v>
          </cell>
          <cell r="AQ1025">
            <v>0</v>
          </cell>
          <cell r="BA1025">
            <v>0</v>
          </cell>
          <cell r="BC1025">
            <v>0</v>
          </cell>
        </row>
        <row r="1026">
          <cell r="A1026">
            <v>0</v>
          </cell>
          <cell r="B1026">
            <v>0</v>
          </cell>
          <cell r="E1026">
            <v>0</v>
          </cell>
          <cell r="F1026">
            <v>0</v>
          </cell>
          <cell r="AO1026">
            <v>0</v>
          </cell>
          <cell r="AP1026">
            <v>0</v>
          </cell>
          <cell r="AQ1026">
            <v>0</v>
          </cell>
          <cell r="BA1026">
            <v>0</v>
          </cell>
          <cell r="BC1026">
            <v>0</v>
          </cell>
        </row>
        <row r="1027">
          <cell r="A1027">
            <v>0</v>
          </cell>
          <cell r="B1027">
            <v>0</v>
          </cell>
          <cell r="E1027">
            <v>0</v>
          </cell>
          <cell r="F1027">
            <v>0</v>
          </cell>
          <cell r="AO1027">
            <v>0</v>
          </cell>
          <cell r="AP1027">
            <v>0</v>
          </cell>
          <cell r="AQ1027">
            <v>0</v>
          </cell>
          <cell r="BA1027">
            <v>0</v>
          </cell>
          <cell r="BC1027">
            <v>0</v>
          </cell>
        </row>
        <row r="1028">
          <cell r="A1028">
            <v>0</v>
          </cell>
          <cell r="B1028">
            <v>0</v>
          </cell>
          <cell r="E1028">
            <v>0</v>
          </cell>
          <cell r="F1028">
            <v>0</v>
          </cell>
          <cell r="AO1028">
            <v>0</v>
          </cell>
          <cell r="AP1028">
            <v>0</v>
          </cell>
          <cell r="AQ1028">
            <v>0</v>
          </cell>
          <cell r="BA1028">
            <v>0</v>
          </cell>
          <cell r="BC1028">
            <v>0</v>
          </cell>
        </row>
        <row r="1029">
          <cell r="A1029">
            <v>0</v>
          </cell>
          <cell r="B1029">
            <v>0</v>
          </cell>
          <cell r="E1029">
            <v>0</v>
          </cell>
          <cell r="F1029">
            <v>0</v>
          </cell>
          <cell r="AO1029">
            <v>0</v>
          </cell>
          <cell r="AP1029">
            <v>0</v>
          </cell>
          <cell r="AQ1029">
            <v>0</v>
          </cell>
          <cell r="BA1029">
            <v>0</v>
          </cell>
          <cell r="BC1029">
            <v>0</v>
          </cell>
        </row>
        <row r="1030">
          <cell r="A1030">
            <v>0</v>
          </cell>
          <cell r="B1030">
            <v>0</v>
          </cell>
          <cell r="E1030">
            <v>0</v>
          </cell>
          <cell r="F1030">
            <v>0</v>
          </cell>
          <cell r="AO1030">
            <v>0</v>
          </cell>
          <cell r="AP1030">
            <v>0</v>
          </cell>
          <cell r="AQ1030">
            <v>0</v>
          </cell>
          <cell r="BA1030">
            <v>0</v>
          </cell>
          <cell r="BC1030">
            <v>0</v>
          </cell>
        </row>
        <row r="1031">
          <cell r="A1031">
            <v>0</v>
          </cell>
          <cell r="B1031">
            <v>0</v>
          </cell>
          <cell r="E1031">
            <v>0</v>
          </cell>
          <cell r="F1031">
            <v>0</v>
          </cell>
          <cell r="AO1031">
            <v>0</v>
          </cell>
          <cell r="AP1031">
            <v>0</v>
          </cell>
          <cell r="AQ1031">
            <v>0</v>
          </cell>
          <cell r="BA1031">
            <v>0</v>
          </cell>
          <cell r="BC1031">
            <v>0</v>
          </cell>
        </row>
        <row r="1032">
          <cell r="A1032">
            <v>0</v>
          </cell>
          <cell r="B1032">
            <v>0</v>
          </cell>
          <cell r="E1032">
            <v>0</v>
          </cell>
          <cell r="F1032">
            <v>0</v>
          </cell>
          <cell r="AO1032">
            <v>0</v>
          </cell>
          <cell r="AP1032">
            <v>0</v>
          </cell>
          <cell r="AQ1032">
            <v>0</v>
          </cell>
          <cell r="BA1032">
            <v>0</v>
          </cell>
          <cell r="BC1032">
            <v>0</v>
          </cell>
        </row>
        <row r="1033">
          <cell r="A1033">
            <v>0</v>
          </cell>
          <cell r="B1033">
            <v>0</v>
          </cell>
          <cell r="E1033">
            <v>0</v>
          </cell>
          <cell r="F1033">
            <v>0</v>
          </cell>
          <cell r="AO1033">
            <v>0</v>
          </cell>
          <cell r="AP1033">
            <v>0</v>
          </cell>
          <cell r="AQ1033">
            <v>0</v>
          </cell>
          <cell r="BA1033">
            <v>0</v>
          </cell>
          <cell r="BC1033">
            <v>0</v>
          </cell>
        </row>
        <row r="1034">
          <cell r="A1034">
            <v>0</v>
          </cell>
          <cell r="B1034">
            <v>0</v>
          </cell>
          <cell r="E1034">
            <v>0</v>
          </cell>
          <cell r="F1034">
            <v>0</v>
          </cell>
          <cell r="AO1034">
            <v>0</v>
          </cell>
          <cell r="AP1034">
            <v>0</v>
          </cell>
          <cell r="AQ1034">
            <v>0</v>
          </cell>
          <cell r="BA1034">
            <v>0</v>
          </cell>
          <cell r="BC1034">
            <v>0</v>
          </cell>
        </row>
        <row r="1035">
          <cell r="A1035">
            <v>0</v>
          </cell>
          <cell r="B1035">
            <v>0</v>
          </cell>
          <cell r="E1035">
            <v>0</v>
          </cell>
          <cell r="F1035">
            <v>0</v>
          </cell>
          <cell r="AO1035">
            <v>0</v>
          </cell>
          <cell r="AP1035">
            <v>0</v>
          </cell>
          <cell r="AQ1035">
            <v>0</v>
          </cell>
          <cell r="BA1035">
            <v>0</v>
          </cell>
          <cell r="BC1035">
            <v>0</v>
          </cell>
        </row>
        <row r="1036">
          <cell r="A1036">
            <v>0</v>
          </cell>
          <cell r="B1036">
            <v>0</v>
          </cell>
          <cell r="E1036">
            <v>0</v>
          </cell>
          <cell r="F1036">
            <v>0</v>
          </cell>
          <cell r="AO1036">
            <v>0</v>
          </cell>
          <cell r="AP1036">
            <v>0</v>
          </cell>
          <cell r="AQ1036">
            <v>0</v>
          </cell>
          <cell r="BA1036">
            <v>0</v>
          </cell>
          <cell r="BC1036">
            <v>0</v>
          </cell>
        </row>
        <row r="1037">
          <cell r="A1037">
            <v>0</v>
          </cell>
          <cell r="B1037">
            <v>0</v>
          </cell>
          <cell r="E1037">
            <v>0</v>
          </cell>
          <cell r="F1037">
            <v>0</v>
          </cell>
          <cell r="AO1037">
            <v>0</v>
          </cell>
          <cell r="AP1037">
            <v>0</v>
          </cell>
          <cell r="AQ1037">
            <v>0</v>
          </cell>
          <cell r="BA1037">
            <v>0</v>
          </cell>
          <cell r="BC1037">
            <v>0</v>
          </cell>
        </row>
        <row r="1038">
          <cell r="A1038">
            <v>0</v>
          </cell>
          <cell r="B1038">
            <v>0</v>
          </cell>
          <cell r="E1038">
            <v>0</v>
          </cell>
          <cell r="F1038">
            <v>0</v>
          </cell>
          <cell r="AO1038">
            <v>0</v>
          </cell>
          <cell r="AP1038">
            <v>0</v>
          </cell>
          <cell r="AQ1038">
            <v>0</v>
          </cell>
          <cell r="BA1038">
            <v>0</v>
          </cell>
          <cell r="BC1038">
            <v>0</v>
          </cell>
        </row>
        <row r="1039">
          <cell r="A1039">
            <v>0</v>
          </cell>
          <cell r="B1039">
            <v>0</v>
          </cell>
          <cell r="E1039">
            <v>0</v>
          </cell>
          <cell r="F1039">
            <v>0</v>
          </cell>
          <cell r="AO1039">
            <v>0</v>
          </cell>
          <cell r="AP1039">
            <v>0</v>
          </cell>
          <cell r="AQ1039">
            <v>0</v>
          </cell>
          <cell r="BA1039">
            <v>0</v>
          </cell>
          <cell r="BC1039">
            <v>0</v>
          </cell>
        </row>
        <row r="1040">
          <cell r="A1040">
            <v>0</v>
          </cell>
          <cell r="B1040">
            <v>0</v>
          </cell>
          <cell r="E1040">
            <v>0</v>
          </cell>
          <cell r="F1040">
            <v>0</v>
          </cell>
          <cell r="AO1040">
            <v>0</v>
          </cell>
          <cell r="AP1040">
            <v>0</v>
          </cell>
          <cell r="AQ1040">
            <v>0</v>
          </cell>
          <cell r="BA1040">
            <v>0</v>
          </cell>
          <cell r="BC1040">
            <v>0</v>
          </cell>
        </row>
        <row r="1041">
          <cell r="A1041">
            <v>0</v>
          </cell>
          <cell r="B1041">
            <v>0</v>
          </cell>
          <cell r="E1041">
            <v>0</v>
          </cell>
          <cell r="F1041">
            <v>0</v>
          </cell>
          <cell r="AO1041">
            <v>0</v>
          </cell>
          <cell r="AP1041">
            <v>0</v>
          </cell>
          <cell r="AQ1041">
            <v>0</v>
          </cell>
          <cell r="BA1041">
            <v>0</v>
          </cell>
          <cell r="BC1041">
            <v>0</v>
          </cell>
        </row>
        <row r="1042">
          <cell r="A1042">
            <v>0</v>
          </cell>
          <cell r="B1042">
            <v>0</v>
          </cell>
          <cell r="E1042">
            <v>0</v>
          </cell>
          <cell r="F1042">
            <v>0</v>
          </cell>
          <cell r="AO1042">
            <v>0</v>
          </cell>
          <cell r="AP1042">
            <v>0</v>
          </cell>
          <cell r="AQ1042">
            <v>0</v>
          </cell>
          <cell r="BA1042">
            <v>0</v>
          </cell>
          <cell r="BC1042">
            <v>0</v>
          </cell>
        </row>
        <row r="1043">
          <cell r="A1043">
            <v>0</v>
          </cell>
          <cell r="B1043">
            <v>0</v>
          </cell>
          <cell r="E1043">
            <v>0</v>
          </cell>
          <cell r="F1043">
            <v>0</v>
          </cell>
          <cell r="AO1043">
            <v>0</v>
          </cell>
          <cell r="AP1043">
            <v>0</v>
          </cell>
          <cell r="AQ1043">
            <v>0</v>
          </cell>
          <cell r="BA1043">
            <v>0</v>
          </cell>
          <cell r="BC1043">
            <v>0</v>
          </cell>
        </row>
        <row r="1044">
          <cell r="A1044">
            <v>0</v>
          </cell>
          <cell r="B1044">
            <v>0</v>
          </cell>
          <cell r="E1044">
            <v>0</v>
          </cell>
          <cell r="F1044">
            <v>0</v>
          </cell>
          <cell r="AO1044">
            <v>0</v>
          </cell>
          <cell r="AP1044">
            <v>0</v>
          </cell>
          <cell r="AQ1044">
            <v>0</v>
          </cell>
          <cell r="BA1044">
            <v>0</v>
          </cell>
          <cell r="BC1044">
            <v>0</v>
          </cell>
        </row>
        <row r="1045">
          <cell r="A1045">
            <v>0</v>
          </cell>
          <cell r="B1045">
            <v>0</v>
          </cell>
          <cell r="E1045">
            <v>0</v>
          </cell>
          <cell r="F1045">
            <v>0</v>
          </cell>
          <cell r="AO1045">
            <v>0</v>
          </cell>
          <cell r="AP1045">
            <v>0</v>
          </cell>
          <cell r="AQ1045">
            <v>0</v>
          </cell>
          <cell r="BA1045">
            <v>0</v>
          </cell>
          <cell r="BC1045">
            <v>0</v>
          </cell>
        </row>
        <row r="1046">
          <cell r="A1046">
            <v>0</v>
          </cell>
          <cell r="B1046">
            <v>0</v>
          </cell>
          <cell r="E1046">
            <v>0</v>
          </cell>
          <cell r="F1046">
            <v>0</v>
          </cell>
          <cell r="AO1046">
            <v>0</v>
          </cell>
          <cell r="AP1046">
            <v>0</v>
          </cell>
          <cell r="AQ1046">
            <v>0</v>
          </cell>
          <cell r="BA1046">
            <v>0</v>
          </cell>
          <cell r="BC1046">
            <v>0</v>
          </cell>
        </row>
        <row r="1047">
          <cell r="A1047">
            <v>0</v>
          </cell>
          <cell r="B1047">
            <v>0</v>
          </cell>
          <cell r="E1047">
            <v>0</v>
          </cell>
          <cell r="F1047">
            <v>0</v>
          </cell>
          <cell r="AO1047">
            <v>0</v>
          </cell>
          <cell r="AP1047">
            <v>0</v>
          </cell>
          <cell r="AQ1047">
            <v>0</v>
          </cell>
          <cell r="BA1047">
            <v>0</v>
          </cell>
          <cell r="BC1047">
            <v>0</v>
          </cell>
        </row>
        <row r="1048">
          <cell r="A1048">
            <v>0</v>
          </cell>
          <cell r="B1048">
            <v>0</v>
          </cell>
          <cell r="E1048">
            <v>0</v>
          </cell>
          <cell r="F1048">
            <v>0</v>
          </cell>
          <cell r="AO1048">
            <v>0</v>
          </cell>
          <cell r="AP1048">
            <v>0</v>
          </cell>
          <cell r="AQ1048">
            <v>0</v>
          </cell>
          <cell r="BA1048">
            <v>0</v>
          </cell>
          <cell r="BC1048">
            <v>0</v>
          </cell>
        </row>
        <row r="1049">
          <cell r="A1049">
            <v>0</v>
          </cell>
          <cell r="B1049">
            <v>0</v>
          </cell>
          <cell r="E1049">
            <v>0</v>
          </cell>
          <cell r="F1049">
            <v>0</v>
          </cell>
          <cell r="AO1049">
            <v>0</v>
          </cell>
          <cell r="AP1049">
            <v>0</v>
          </cell>
          <cell r="AQ1049">
            <v>0</v>
          </cell>
          <cell r="BA1049">
            <v>0</v>
          </cell>
          <cell r="BC1049">
            <v>0</v>
          </cell>
        </row>
        <row r="1050">
          <cell r="A1050">
            <v>0</v>
          </cell>
          <cell r="B1050">
            <v>0</v>
          </cell>
          <cell r="E1050">
            <v>0</v>
          </cell>
          <cell r="F1050">
            <v>0</v>
          </cell>
          <cell r="AO1050">
            <v>0</v>
          </cell>
          <cell r="AP1050">
            <v>0</v>
          </cell>
          <cell r="AQ1050">
            <v>0</v>
          </cell>
          <cell r="BA1050">
            <v>0</v>
          </cell>
          <cell r="BC1050">
            <v>0</v>
          </cell>
        </row>
        <row r="1051">
          <cell r="A1051">
            <v>0</v>
          </cell>
          <cell r="B1051">
            <v>0</v>
          </cell>
          <cell r="E1051">
            <v>0</v>
          </cell>
          <cell r="F1051">
            <v>0</v>
          </cell>
          <cell r="AO1051">
            <v>0</v>
          </cell>
          <cell r="AP1051">
            <v>0</v>
          </cell>
          <cell r="AQ1051">
            <v>0</v>
          </cell>
          <cell r="BA1051">
            <v>0</v>
          </cell>
          <cell r="BC1051">
            <v>0</v>
          </cell>
        </row>
        <row r="1052">
          <cell r="A1052">
            <v>0</v>
          </cell>
          <cell r="B1052">
            <v>0</v>
          </cell>
          <cell r="E1052">
            <v>0</v>
          </cell>
          <cell r="F1052">
            <v>0</v>
          </cell>
          <cell r="AO1052">
            <v>0</v>
          </cell>
          <cell r="AP1052">
            <v>0</v>
          </cell>
          <cell r="AQ1052">
            <v>0</v>
          </cell>
          <cell r="BA1052">
            <v>0</v>
          </cell>
          <cell r="BC1052">
            <v>0</v>
          </cell>
        </row>
        <row r="1053">
          <cell r="A1053">
            <v>0</v>
          </cell>
          <cell r="B1053">
            <v>0</v>
          </cell>
          <cell r="E1053">
            <v>0</v>
          </cell>
          <cell r="F1053">
            <v>0</v>
          </cell>
          <cell r="AO1053">
            <v>0</v>
          </cell>
          <cell r="AP1053">
            <v>0</v>
          </cell>
          <cell r="AQ1053">
            <v>0</v>
          </cell>
          <cell r="BA1053">
            <v>0</v>
          </cell>
          <cell r="BC1053">
            <v>0</v>
          </cell>
        </row>
        <row r="1054">
          <cell r="A1054">
            <v>0</v>
          </cell>
          <cell r="B1054">
            <v>0</v>
          </cell>
          <cell r="E1054">
            <v>0</v>
          </cell>
          <cell r="F1054">
            <v>0</v>
          </cell>
          <cell r="AO1054">
            <v>0</v>
          </cell>
          <cell r="AP1054">
            <v>0</v>
          </cell>
          <cell r="AQ1054">
            <v>0</v>
          </cell>
          <cell r="BA1054">
            <v>0</v>
          </cell>
          <cell r="BC1054">
            <v>0</v>
          </cell>
        </row>
        <row r="1055">
          <cell r="A1055">
            <v>0</v>
          </cell>
          <cell r="B1055">
            <v>0</v>
          </cell>
          <cell r="E1055">
            <v>0</v>
          </cell>
          <cell r="F1055">
            <v>0</v>
          </cell>
          <cell r="AO1055">
            <v>0</v>
          </cell>
          <cell r="AP1055">
            <v>0</v>
          </cell>
          <cell r="AQ1055">
            <v>0</v>
          </cell>
          <cell r="BA1055">
            <v>0</v>
          </cell>
          <cell r="BC1055">
            <v>0</v>
          </cell>
        </row>
        <row r="1056">
          <cell r="A1056">
            <v>0</v>
          </cell>
          <cell r="B1056">
            <v>0</v>
          </cell>
          <cell r="E1056">
            <v>0</v>
          </cell>
          <cell r="F1056">
            <v>0</v>
          </cell>
          <cell r="AO1056">
            <v>0</v>
          </cell>
          <cell r="AP1056">
            <v>0</v>
          </cell>
          <cell r="AQ1056">
            <v>0</v>
          </cell>
          <cell r="BA1056">
            <v>0</v>
          </cell>
          <cell r="BC1056">
            <v>0</v>
          </cell>
        </row>
        <row r="1057">
          <cell r="A1057">
            <v>0</v>
          </cell>
          <cell r="B1057">
            <v>0</v>
          </cell>
          <cell r="E1057">
            <v>0</v>
          </cell>
          <cell r="F1057">
            <v>0</v>
          </cell>
          <cell r="AO1057">
            <v>0</v>
          </cell>
          <cell r="AP1057">
            <v>0</v>
          </cell>
          <cell r="AQ1057">
            <v>0</v>
          </cell>
          <cell r="BA1057">
            <v>0</v>
          </cell>
          <cell r="BC1057">
            <v>0</v>
          </cell>
        </row>
        <row r="1058">
          <cell r="A1058">
            <v>0</v>
          </cell>
          <cell r="B1058">
            <v>0</v>
          </cell>
          <cell r="E1058">
            <v>0</v>
          </cell>
          <cell r="F1058">
            <v>0</v>
          </cell>
          <cell r="AO1058">
            <v>0</v>
          </cell>
          <cell r="AP1058">
            <v>0</v>
          </cell>
          <cell r="AQ1058">
            <v>0</v>
          </cell>
          <cell r="BA1058">
            <v>0</v>
          </cell>
          <cell r="BC1058">
            <v>0</v>
          </cell>
        </row>
        <row r="1059">
          <cell r="A1059">
            <v>0</v>
          </cell>
          <cell r="B1059">
            <v>0</v>
          </cell>
          <cell r="E1059">
            <v>0</v>
          </cell>
          <cell r="F1059">
            <v>0</v>
          </cell>
          <cell r="AO1059">
            <v>0</v>
          </cell>
          <cell r="AP1059">
            <v>0</v>
          </cell>
          <cell r="AQ1059">
            <v>0</v>
          </cell>
          <cell r="BA1059">
            <v>0</v>
          </cell>
          <cell r="BC1059">
            <v>0</v>
          </cell>
        </row>
        <row r="1060">
          <cell r="A1060">
            <v>0</v>
          </cell>
          <cell r="B1060">
            <v>0</v>
          </cell>
          <cell r="E1060">
            <v>0</v>
          </cell>
          <cell r="F1060">
            <v>0</v>
          </cell>
          <cell r="AO1060">
            <v>0</v>
          </cell>
          <cell r="AP1060">
            <v>0</v>
          </cell>
          <cell r="AQ1060">
            <v>0</v>
          </cell>
          <cell r="BA1060">
            <v>0</v>
          </cell>
          <cell r="BC1060">
            <v>0</v>
          </cell>
        </row>
        <row r="1061">
          <cell r="A1061">
            <v>0</v>
          </cell>
          <cell r="B1061">
            <v>0</v>
          </cell>
          <cell r="E1061">
            <v>0</v>
          </cell>
          <cell r="F1061">
            <v>0</v>
          </cell>
          <cell r="AO1061">
            <v>0</v>
          </cell>
          <cell r="AP1061">
            <v>0</v>
          </cell>
          <cell r="AQ1061">
            <v>0</v>
          </cell>
          <cell r="BA1061">
            <v>0</v>
          </cell>
          <cell r="BC1061">
            <v>0</v>
          </cell>
        </row>
        <row r="1062">
          <cell r="A1062">
            <v>0</v>
          </cell>
          <cell r="B1062">
            <v>0</v>
          </cell>
          <cell r="E1062">
            <v>0</v>
          </cell>
          <cell r="F1062">
            <v>0</v>
          </cell>
          <cell r="AO1062">
            <v>0</v>
          </cell>
          <cell r="AP1062">
            <v>0</v>
          </cell>
          <cell r="AQ1062">
            <v>0</v>
          </cell>
          <cell r="BA1062">
            <v>0</v>
          </cell>
          <cell r="BC1062">
            <v>0</v>
          </cell>
        </row>
        <row r="1063">
          <cell r="A1063">
            <v>0</v>
          </cell>
          <cell r="B1063">
            <v>0</v>
          </cell>
          <cell r="E1063">
            <v>0</v>
          </cell>
          <cell r="F1063">
            <v>0</v>
          </cell>
          <cell r="AO1063">
            <v>0</v>
          </cell>
          <cell r="AP1063">
            <v>0</v>
          </cell>
          <cell r="AQ1063">
            <v>0</v>
          </cell>
          <cell r="BA1063">
            <v>0</v>
          </cell>
          <cell r="BC1063">
            <v>0</v>
          </cell>
        </row>
        <row r="1064">
          <cell r="A1064">
            <v>0</v>
          </cell>
          <cell r="B1064">
            <v>0</v>
          </cell>
          <cell r="E1064">
            <v>0</v>
          </cell>
          <cell r="F1064">
            <v>0</v>
          </cell>
          <cell r="AO1064">
            <v>0</v>
          </cell>
          <cell r="AP1064">
            <v>0</v>
          </cell>
          <cell r="AQ1064">
            <v>0</v>
          </cell>
          <cell r="BA1064">
            <v>0</v>
          </cell>
          <cell r="BC1064">
            <v>0</v>
          </cell>
        </row>
        <row r="1065">
          <cell r="A1065">
            <v>0</v>
          </cell>
          <cell r="B1065">
            <v>0</v>
          </cell>
          <cell r="E1065">
            <v>0</v>
          </cell>
          <cell r="F1065">
            <v>0</v>
          </cell>
          <cell r="AO1065">
            <v>0</v>
          </cell>
          <cell r="AP1065">
            <v>0</v>
          </cell>
          <cell r="AQ1065">
            <v>0</v>
          </cell>
          <cell r="BA1065">
            <v>0</v>
          </cell>
          <cell r="BC1065">
            <v>0</v>
          </cell>
        </row>
        <row r="1066">
          <cell r="A1066">
            <v>0</v>
          </cell>
          <cell r="B1066">
            <v>0</v>
          </cell>
          <cell r="E1066">
            <v>0</v>
          </cell>
          <cell r="F1066">
            <v>0</v>
          </cell>
          <cell r="AO1066">
            <v>0</v>
          </cell>
          <cell r="AP1066">
            <v>0</v>
          </cell>
          <cell r="AQ1066">
            <v>0</v>
          </cell>
          <cell r="BA1066">
            <v>0</v>
          </cell>
          <cell r="BC1066">
            <v>0</v>
          </cell>
        </row>
        <row r="1067">
          <cell r="A1067">
            <v>0</v>
          </cell>
          <cell r="B1067">
            <v>0</v>
          </cell>
          <cell r="E1067">
            <v>0</v>
          </cell>
          <cell r="F1067">
            <v>0</v>
          </cell>
          <cell r="AO1067">
            <v>0</v>
          </cell>
          <cell r="AP1067">
            <v>0</v>
          </cell>
          <cell r="AQ1067">
            <v>0</v>
          </cell>
          <cell r="BA1067">
            <v>0</v>
          </cell>
          <cell r="BC1067">
            <v>0</v>
          </cell>
        </row>
        <row r="1068">
          <cell r="A1068">
            <v>0</v>
          </cell>
          <cell r="B1068">
            <v>0</v>
          </cell>
          <cell r="E1068">
            <v>0</v>
          </cell>
          <cell r="F1068">
            <v>0</v>
          </cell>
          <cell r="AO1068">
            <v>0</v>
          </cell>
          <cell r="AP1068">
            <v>0</v>
          </cell>
          <cell r="AQ1068">
            <v>0</v>
          </cell>
          <cell r="BA1068">
            <v>0</v>
          </cell>
          <cell r="BC1068">
            <v>0</v>
          </cell>
        </row>
        <row r="1069">
          <cell r="A1069">
            <v>0</v>
          </cell>
          <cell r="B1069">
            <v>0</v>
          </cell>
          <cell r="E1069">
            <v>0</v>
          </cell>
          <cell r="F1069">
            <v>0</v>
          </cell>
          <cell r="AO1069">
            <v>0</v>
          </cell>
          <cell r="AP1069">
            <v>0</v>
          </cell>
          <cell r="AQ1069">
            <v>0</v>
          </cell>
          <cell r="BA1069">
            <v>0</v>
          </cell>
          <cell r="BC1069">
            <v>0</v>
          </cell>
        </row>
        <row r="1070">
          <cell r="A1070">
            <v>0</v>
          </cell>
          <cell r="B1070">
            <v>0</v>
          </cell>
          <cell r="E1070">
            <v>0</v>
          </cell>
          <cell r="F1070">
            <v>0</v>
          </cell>
          <cell r="AO1070">
            <v>0</v>
          </cell>
          <cell r="AP1070">
            <v>0</v>
          </cell>
          <cell r="AQ1070">
            <v>0</v>
          </cell>
          <cell r="BA1070">
            <v>0</v>
          </cell>
          <cell r="BC1070">
            <v>0</v>
          </cell>
        </row>
        <row r="1071">
          <cell r="A1071">
            <v>0</v>
          </cell>
          <cell r="B1071">
            <v>0</v>
          </cell>
          <cell r="E1071">
            <v>0</v>
          </cell>
          <cell r="F1071">
            <v>0</v>
          </cell>
          <cell r="AO1071">
            <v>0</v>
          </cell>
          <cell r="AP1071">
            <v>0</v>
          </cell>
          <cell r="AQ1071">
            <v>0</v>
          </cell>
          <cell r="BA1071">
            <v>0</v>
          </cell>
          <cell r="BC1071">
            <v>0</v>
          </cell>
        </row>
        <row r="1072">
          <cell r="A1072">
            <v>0</v>
          </cell>
          <cell r="B1072">
            <v>0</v>
          </cell>
          <cell r="E1072">
            <v>0</v>
          </cell>
          <cell r="F1072">
            <v>0</v>
          </cell>
          <cell r="AO1072">
            <v>0</v>
          </cell>
          <cell r="AP1072">
            <v>0</v>
          </cell>
          <cell r="AQ1072">
            <v>0</v>
          </cell>
          <cell r="BA1072">
            <v>0</v>
          </cell>
          <cell r="BC1072">
            <v>0</v>
          </cell>
        </row>
        <row r="1073">
          <cell r="A1073">
            <v>0</v>
          </cell>
          <cell r="B1073">
            <v>0</v>
          </cell>
          <cell r="E1073">
            <v>0</v>
          </cell>
          <cell r="F1073">
            <v>0</v>
          </cell>
          <cell r="AO1073">
            <v>0</v>
          </cell>
          <cell r="AP1073">
            <v>0</v>
          </cell>
          <cell r="AQ1073">
            <v>0</v>
          </cell>
          <cell r="BA1073">
            <v>0</v>
          </cell>
          <cell r="BC1073">
            <v>0</v>
          </cell>
        </row>
        <row r="1074">
          <cell r="A1074">
            <v>0</v>
          </cell>
          <cell r="B1074">
            <v>0</v>
          </cell>
          <cell r="E1074">
            <v>0</v>
          </cell>
          <cell r="F1074">
            <v>0</v>
          </cell>
          <cell r="AO1074">
            <v>0</v>
          </cell>
          <cell r="AP1074">
            <v>0</v>
          </cell>
          <cell r="AQ1074">
            <v>0</v>
          </cell>
          <cell r="BA1074">
            <v>0</v>
          </cell>
          <cell r="BC1074">
            <v>0</v>
          </cell>
        </row>
        <row r="1075">
          <cell r="A1075">
            <v>0</v>
          </cell>
          <cell r="B1075">
            <v>0</v>
          </cell>
          <cell r="E1075">
            <v>0</v>
          </cell>
          <cell r="F1075">
            <v>0</v>
          </cell>
          <cell r="AO1075">
            <v>0</v>
          </cell>
          <cell r="AP1075">
            <v>0</v>
          </cell>
          <cell r="AQ1075">
            <v>0</v>
          </cell>
          <cell r="BA1075">
            <v>0</v>
          </cell>
          <cell r="BC1075">
            <v>0</v>
          </cell>
        </row>
        <row r="1076">
          <cell r="A1076">
            <v>0</v>
          </cell>
          <cell r="B1076">
            <v>0</v>
          </cell>
          <cell r="E1076">
            <v>0</v>
          </cell>
          <cell r="F1076">
            <v>0</v>
          </cell>
          <cell r="AO1076">
            <v>0</v>
          </cell>
          <cell r="AP1076">
            <v>0</v>
          </cell>
          <cell r="AQ1076">
            <v>0</v>
          </cell>
          <cell r="BA1076">
            <v>0</v>
          </cell>
          <cell r="BC1076">
            <v>0</v>
          </cell>
        </row>
        <row r="1077">
          <cell r="A1077">
            <v>0</v>
          </cell>
          <cell r="B1077">
            <v>0</v>
          </cell>
          <cell r="E1077">
            <v>0</v>
          </cell>
          <cell r="F1077">
            <v>0</v>
          </cell>
          <cell r="AO1077">
            <v>0</v>
          </cell>
          <cell r="AP1077">
            <v>0</v>
          </cell>
          <cell r="AQ1077">
            <v>0</v>
          </cell>
          <cell r="BA1077">
            <v>0</v>
          </cell>
          <cell r="BC1077">
            <v>0</v>
          </cell>
        </row>
        <row r="1078">
          <cell r="A1078">
            <v>0</v>
          </cell>
          <cell r="B1078">
            <v>0</v>
          </cell>
          <cell r="E1078">
            <v>0</v>
          </cell>
          <cell r="F1078">
            <v>0</v>
          </cell>
          <cell r="AO1078">
            <v>0</v>
          </cell>
          <cell r="AP1078">
            <v>0</v>
          </cell>
          <cell r="AQ1078">
            <v>0</v>
          </cell>
          <cell r="BA1078">
            <v>0</v>
          </cell>
          <cell r="BC1078">
            <v>0</v>
          </cell>
        </row>
        <row r="1079">
          <cell r="A1079">
            <v>0</v>
          </cell>
          <cell r="B1079">
            <v>0</v>
          </cell>
          <cell r="E1079">
            <v>0</v>
          </cell>
          <cell r="F1079">
            <v>0</v>
          </cell>
          <cell r="AO1079">
            <v>0</v>
          </cell>
          <cell r="AP1079">
            <v>0</v>
          </cell>
          <cell r="AQ1079">
            <v>0</v>
          </cell>
          <cell r="BA1079">
            <v>0</v>
          </cell>
          <cell r="BC1079">
            <v>0</v>
          </cell>
        </row>
        <row r="1080">
          <cell r="A1080">
            <v>0</v>
          </cell>
          <cell r="B1080">
            <v>0</v>
          </cell>
          <cell r="E1080">
            <v>0</v>
          </cell>
          <cell r="F1080">
            <v>0</v>
          </cell>
          <cell r="AO1080">
            <v>0</v>
          </cell>
          <cell r="AP1080">
            <v>0</v>
          </cell>
          <cell r="AQ1080">
            <v>0</v>
          </cell>
          <cell r="BA1080">
            <v>0</v>
          </cell>
          <cell r="BC1080">
            <v>0</v>
          </cell>
        </row>
        <row r="1081">
          <cell r="A1081">
            <v>0</v>
          </cell>
          <cell r="B1081">
            <v>0</v>
          </cell>
          <cell r="E1081">
            <v>0</v>
          </cell>
          <cell r="F1081">
            <v>0</v>
          </cell>
          <cell r="AO1081">
            <v>0</v>
          </cell>
          <cell r="AP1081">
            <v>0</v>
          </cell>
          <cell r="AQ1081">
            <v>0</v>
          </cell>
          <cell r="BA1081">
            <v>0</v>
          </cell>
          <cell r="BC1081">
            <v>0</v>
          </cell>
        </row>
        <row r="1082">
          <cell r="A1082">
            <v>0</v>
          </cell>
          <cell r="B1082">
            <v>0</v>
          </cell>
          <cell r="E1082">
            <v>0</v>
          </cell>
          <cell r="F1082">
            <v>0</v>
          </cell>
          <cell r="AO1082">
            <v>0</v>
          </cell>
          <cell r="AP1082">
            <v>0</v>
          </cell>
          <cell r="AQ1082">
            <v>0</v>
          </cell>
          <cell r="BA1082">
            <v>0</v>
          </cell>
          <cell r="BC1082">
            <v>0</v>
          </cell>
        </row>
        <row r="1083">
          <cell r="A1083">
            <v>0</v>
          </cell>
          <cell r="B1083">
            <v>0</v>
          </cell>
          <cell r="E1083">
            <v>0</v>
          </cell>
          <cell r="F1083">
            <v>0</v>
          </cell>
          <cell r="AO1083">
            <v>0</v>
          </cell>
          <cell r="AP1083">
            <v>0</v>
          </cell>
          <cell r="AQ1083">
            <v>0</v>
          </cell>
          <cell r="BA1083">
            <v>0</v>
          </cell>
          <cell r="BC1083">
            <v>0</v>
          </cell>
        </row>
        <row r="1084">
          <cell r="A1084">
            <v>0</v>
          </cell>
          <cell r="B1084">
            <v>0</v>
          </cell>
          <cell r="E1084">
            <v>0</v>
          </cell>
          <cell r="F1084">
            <v>0</v>
          </cell>
          <cell r="AO1084">
            <v>0</v>
          </cell>
          <cell r="AP1084">
            <v>0</v>
          </cell>
          <cell r="AQ1084">
            <v>0</v>
          </cell>
          <cell r="BA1084">
            <v>0</v>
          </cell>
          <cell r="BC1084">
            <v>0</v>
          </cell>
        </row>
        <row r="1085">
          <cell r="A1085">
            <v>0</v>
          </cell>
          <cell r="B1085">
            <v>0</v>
          </cell>
          <cell r="E1085">
            <v>0</v>
          </cell>
          <cell r="F1085">
            <v>0</v>
          </cell>
          <cell r="AO1085">
            <v>0</v>
          </cell>
          <cell r="AP1085">
            <v>0</v>
          </cell>
          <cell r="AQ1085">
            <v>0</v>
          </cell>
          <cell r="BA1085">
            <v>0</v>
          </cell>
          <cell r="BC1085">
            <v>0</v>
          </cell>
        </row>
        <row r="1086">
          <cell r="A1086">
            <v>0</v>
          </cell>
          <cell r="B1086">
            <v>0</v>
          </cell>
          <cell r="E1086">
            <v>0</v>
          </cell>
          <cell r="F1086">
            <v>0</v>
          </cell>
          <cell r="AO1086">
            <v>0</v>
          </cell>
          <cell r="AP1086">
            <v>0</v>
          </cell>
          <cell r="AQ1086">
            <v>0</v>
          </cell>
          <cell r="BA1086">
            <v>0</v>
          </cell>
          <cell r="BC1086">
            <v>0</v>
          </cell>
        </row>
        <row r="1087">
          <cell r="A1087">
            <v>0</v>
          </cell>
          <cell r="B1087">
            <v>0</v>
          </cell>
          <cell r="E1087">
            <v>0</v>
          </cell>
          <cell r="F1087">
            <v>0</v>
          </cell>
          <cell r="AO1087">
            <v>0</v>
          </cell>
          <cell r="AP1087">
            <v>0</v>
          </cell>
          <cell r="AQ1087">
            <v>0</v>
          </cell>
          <cell r="BA1087">
            <v>0</v>
          </cell>
          <cell r="BC1087">
            <v>0</v>
          </cell>
        </row>
        <row r="1088">
          <cell r="A1088">
            <v>0</v>
          </cell>
          <cell r="B1088">
            <v>0</v>
          </cell>
          <cell r="E1088">
            <v>0</v>
          </cell>
          <cell r="F1088">
            <v>0</v>
          </cell>
          <cell r="AO1088">
            <v>0</v>
          </cell>
          <cell r="AP1088">
            <v>0</v>
          </cell>
          <cell r="AQ1088">
            <v>0</v>
          </cell>
          <cell r="BA1088">
            <v>0</v>
          </cell>
          <cell r="BC1088">
            <v>0</v>
          </cell>
        </row>
        <row r="1089">
          <cell r="A1089">
            <v>0</v>
          </cell>
          <cell r="B1089">
            <v>0</v>
          </cell>
          <cell r="E1089">
            <v>0</v>
          </cell>
          <cell r="F1089">
            <v>0</v>
          </cell>
          <cell r="AO1089">
            <v>0</v>
          </cell>
          <cell r="AP1089">
            <v>0</v>
          </cell>
          <cell r="AQ1089">
            <v>0</v>
          </cell>
          <cell r="BA1089">
            <v>0</v>
          </cell>
          <cell r="BC1089">
            <v>0</v>
          </cell>
        </row>
        <row r="1090">
          <cell r="A1090">
            <v>0</v>
          </cell>
          <cell r="B1090">
            <v>0</v>
          </cell>
          <cell r="E1090">
            <v>0</v>
          </cell>
          <cell r="F1090">
            <v>0</v>
          </cell>
          <cell r="AO1090">
            <v>0</v>
          </cell>
          <cell r="AP1090">
            <v>0</v>
          </cell>
          <cell r="AQ1090">
            <v>0</v>
          </cell>
          <cell r="BA1090">
            <v>0</v>
          </cell>
          <cell r="BC1090">
            <v>0</v>
          </cell>
        </row>
        <row r="1091">
          <cell r="A1091">
            <v>0</v>
          </cell>
          <cell r="B1091">
            <v>0</v>
          </cell>
          <cell r="E1091">
            <v>0</v>
          </cell>
          <cell r="F1091">
            <v>0</v>
          </cell>
          <cell r="AO1091">
            <v>0</v>
          </cell>
          <cell r="AP1091">
            <v>0</v>
          </cell>
          <cell r="AQ1091">
            <v>0</v>
          </cell>
          <cell r="BA1091">
            <v>0</v>
          </cell>
          <cell r="BC1091">
            <v>0</v>
          </cell>
        </row>
        <row r="1092">
          <cell r="A1092">
            <v>0</v>
          </cell>
          <cell r="B1092">
            <v>0</v>
          </cell>
          <cell r="E1092">
            <v>0</v>
          </cell>
          <cell r="F1092">
            <v>0</v>
          </cell>
          <cell r="AO1092">
            <v>0</v>
          </cell>
          <cell r="AP1092">
            <v>0</v>
          </cell>
          <cell r="AQ1092">
            <v>0</v>
          </cell>
          <cell r="BA1092">
            <v>0</v>
          </cell>
          <cell r="BC1092">
            <v>0</v>
          </cell>
        </row>
        <row r="1093">
          <cell r="A1093">
            <v>0</v>
          </cell>
          <cell r="B1093">
            <v>0</v>
          </cell>
          <cell r="E1093">
            <v>0</v>
          </cell>
          <cell r="F1093">
            <v>0</v>
          </cell>
          <cell r="AO1093">
            <v>0</v>
          </cell>
          <cell r="AP1093">
            <v>0</v>
          </cell>
          <cell r="AQ1093">
            <v>0</v>
          </cell>
          <cell r="BA1093">
            <v>0</v>
          </cell>
          <cell r="BC1093">
            <v>0</v>
          </cell>
        </row>
        <row r="1094">
          <cell r="A1094">
            <v>0</v>
          </cell>
          <cell r="B1094">
            <v>0</v>
          </cell>
          <cell r="E1094">
            <v>0</v>
          </cell>
          <cell r="F1094">
            <v>0</v>
          </cell>
          <cell r="AO1094">
            <v>0</v>
          </cell>
          <cell r="AP1094">
            <v>0</v>
          </cell>
          <cell r="AQ1094">
            <v>0</v>
          </cell>
          <cell r="BA1094">
            <v>0</v>
          </cell>
          <cell r="BC1094">
            <v>0</v>
          </cell>
        </row>
        <row r="1095">
          <cell r="A1095">
            <v>0</v>
          </cell>
          <cell r="B1095">
            <v>0</v>
          </cell>
          <cell r="E1095">
            <v>0</v>
          </cell>
          <cell r="F1095">
            <v>0</v>
          </cell>
          <cell r="AO1095">
            <v>0</v>
          </cell>
          <cell r="AP1095">
            <v>0</v>
          </cell>
          <cell r="AQ1095">
            <v>0</v>
          </cell>
          <cell r="BA1095">
            <v>0</v>
          </cell>
          <cell r="BC1095">
            <v>0</v>
          </cell>
        </row>
        <row r="1096">
          <cell r="A1096">
            <v>0</v>
          </cell>
          <cell r="B1096">
            <v>0</v>
          </cell>
          <cell r="E1096">
            <v>0</v>
          </cell>
          <cell r="F1096">
            <v>0</v>
          </cell>
          <cell r="AO1096">
            <v>0</v>
          </cell>
          <cell r="AP1096">
            <v>0</v>
          </cell>
          <cell r="AQ1096">
            <v>0</v>
          </cell>
          <cell r="BA1096">
            <v>0</v>
          </cell>
          <cell r="BC1096">
            <v>0</v>
          </cell>
        </row>
        <row r="1097">
          <cell r="A1097">
            <v>0</v>
          </cell>
          <cell r="B1097">
            <v>0</v>
          </cell>
          <cell r="E1097">
            <v>0</v>
          </cell>
          <cell r="F1097">
            <v>0</v>
          </cell>
          <cell r="AO1097">
            <v>0</v>
          </cell>
          <cell r="AP1097">
            <v>0</v>
          </cell>
          <cell r="AQ1097">
            <v>0</v>
          </cell>
          <cell r="BA1097">
            <v>0</v>
          </cell>
          <cell r="BC1097">
            <v>0</v>
          </cell>
        </row>
        <row r="1098">
          <cell r="A1098">
            <v>0</v>
          </cell>
          <cell r="B1098">
            <v>0</v>
          </cell>
          <cell r="E1098">
            <v>0</v>
          </cell>
          <cell r="F1098">
            <v>0</v>
          </cell>
          <cell r="AO1098">
            <v>0</v>
          </cell>
          <cell r="AP1098">
            <v>0</v>
          </cell>
          <cell r="AQ1098">
            <v>0</v>
          </cell>
          <cell r="BA1098">
            <v>0</v>
          </cell>
          <cell r="BC1098">
            <v>0</v>
          </cell>
        </row>
        <row r="1099">
          <cell r="A1099">
            <v>0</v>
          </cell>
          <cell r="B1099">
            <v>0</v>
          </cell>
          <cell r="E1099">
            <v>0</v>
          </cell>
          <cell r="F1099">
            <v>0</v>
          </cell>
          <cell r="AO1099">
            <v>0</v>
          </cell>
          <cell r="AP1099">
            <v>0</v>
          </cell>
          <cell r="AQ1099">
            <v>0</v>
          </cell>
          <cell r="BA1099">
            <v>0</v>
          </cell>
          <cell r="BC1099">
            <v>0</v>
          </cell>
        </row>
        <row r="1100">
          <cell r="A1100">
            <v>0</v>
          </cell>
          <cell r="B1100">
            <v>0</v>
          </cell>
          <cell r="E1100">
            <v>0</v>
          </cell>
          <cell r="F1100">
            <v>0</v>
          </cell>
          <cell r="AO1100">
            <v>0</v>
          </cell>
          <cell r="AP1100">
            <v>0</v>
          </cell>
          <cell r="AQ1100">
            <v>0</v>
          </cell>
          <cell r="BA1100">
            <v>0</v>
          </cell>
          <cell r="BC1100">
            <v>0</v>
          </cell>
        </row>
        <row r="1101">
          <cell r="A1101">
            <v>0</v>
          </cell>
          <cell r="B1101">
            <v>0</v>
          </cell>
          <cell r="E1101">
            <v>0</v>
          </cell>
          <cell r="F1101">
            <v>0</v>
          </cell>
          <cell r="AO1101">
            <v>0</v>
          </cell>
          <cell r="AP1101">
            <v>0</v>
          </cell>
          <cell r="AQ1101">
            <v>0</v>
          </cell>
          <cell r="BA1101">
            <v>0</v>
          </cell>
          <cell r="BC1101">
            <v>0</v>
          </cell>
        </row>
        <row r="1102">
          <cell r="A1102">
            <v>0</v>
          </cell>
          <cell r="B1102">
            <v>0</v>
          </cell>
          <cell r="E1102">
            <v>0</v>
          </cell>
          <cell r="F1102">
            <v>0</v>
          </cell>
          <cell r="AO1102">
            <v>0</v>
          </cell>
          <cell r="AP1102">
            <v>0</v>
          </cell>
          <cell r="AQ1102">
            <v>0</v>
          </cell>
          <cell r="BA1102">
            <v>0</v>
          </cell>
          <cell r="BC1102">
            <v>0</v>
          </cell>
        </row>
        <row r="1103">
          <cell r="A1103">
            <v>0</v>
          </cell>
          <cell r="B1103">
            <v>0</v>
          </cell>
          <cell r="E1103">
            <v>0</v>
          </cell>
          <cell r="F1103">
            <v>0</v>
          </cell>
          <cell r="AO1103">
            <v>0</v>
          </cell>
          <cell r="AP1103">
            <v>0</v>
          </cell>
          <cell r="AQ1103">
            <v>0</v>
          </cell>
          <cell r="BA1103">
            <v>0</v>
          </cell>
          <cell r="BC1103">
            <v>0</v>
          </cell>
        </row>
        <row r="1104">
          <cell r="A1104">
            <v>0</v>
          </cell>
          <cell r="B1104">
            <v>0</v>
          </cell>
          <cell r="E1104">
            <v>0</v>
          </cell>
          <cell r="F1104">
            <v>0</v>
          </cell>
          <cell r="AO1104">
            <v>0</v>
          </cell>
          <cell r="AP1104">
            <v>0</v>
          </cell>
          <cell r="AQ1104">
            <v>0</v>
          </cell>
          <cell r="BA1104">
            <v>0</v>
          </cell>
          <cell r="BC1104">
            <v>0</v>
          </cell>
        </row>
        <row r="1105">
          <cell r="A1105">
            <v>0</v>
          </cell>
          <cell r="B1105">
            <v>0</v>
          </cell>
          <cell r="E1105">
            <v>0</v>
          </cell>
          <cell r="F1105">
            <v>0</v>
          </cell>
          <cell r="AO1105">
            <v>0</v>
          </cell>
          <cell r="AP1105">
            <v>0</v>
          </cell>
          <cell r="AQ1105">
            <v>0</v>
          </cell>
          <cell r="BA1105">
            <v>0</v>
          </cell>
          <cell r="BC1105">
            <v>0</v>
          </cell>
        </row>
        <row r="1106">
          <cell r="A1106">
            <v>0</v>
          </cell>
          <cell r="B1106">
            <v>0</v>
          </cell>
          <cell r="E1106">
            <v>0</v>
          </cell>
          <cell r="F1106">
            <v>0</v>
          </cell>
          <cell r="AO1106">
            <v>0</v>
          </cell>
          <cell r="AP1106">
            <v>0</v>
          </cell>
          <cell r="AQ1106">
            <v>0</v>
          </cell>
          <cell r="BA1106">
            <v>0</v>
          </cell>
          <cell r="BC1106">
            <v>0</v>
          </cell>
        </row>
        <row r="1107">
          <cell r="A1107">
            <v>0</v>
          </cell>
          <cell r="B1107">
            <v>0</v>
          </cell>
          <cell r="E1107">
            <v>0</v>
          </cell>
          <cell r="F1107">
            <v>0</v>
          </cell>
          <cell r="AO1107">
            <v>0</v>
          </cell>
          <cell r="AP1107">
            <v>0</v>
          </cell>
          <cell r="AQ1107">
            <v>0</v>
          </cell>
          <cell r="BA1107">
            <v>0</v>
          </cell>
          <cell r="BC1107">
            <v>0</v>
          </cell>
        </row>
        <row r="1108">
          <cell r="A1108">
            <v>0</v>
          </cell>
          <cell r="B1108">
            <v>0</v>
          </cell>
          <cell r="E1108">
            <v>0</v>
          </cell>
          <cell r="F1108">
            <v>0</v>
          </cell>
          <cell r="AO1108">
            <v>0</v>
          </cell>
          <cell r="AP1108">
            <v>0</v>
          </cell>
          <cell r="AQ1108">
            <v>0</v>
          </cell>
          <cell r="BA1108">
            <v>0</v>
          </cell>
          <cell r="BC1108">
            <v>0</v>
          </cell>
        </row>
        <row r="1109">
          <cell r="A1109">
            <v>0</v>
          </cell>
          <cell r="B1109">
            <v>0</v>
          </cell>
          <cell r="E1109">
            <v>0</v>
          </cell>
          <cell r="F1109">
            <v>0</v>
          </cell>
          <cell r="AO1109">
            <v>0</v>
          </cell>
          <cell r="AP1109">
            <v>0</v>
          </cell>
          <cell r="AQ1109">
            <v>0</v>
          </cell>
          <cell r="BA1109">
            <v>0</v>
          </cell>
          <cell r="BC1109">
            <v>0</v>
          </cell>
        </row>
        <row r="1110">
          <cell r="A1110">
            <v>0</v>
          </cell>
          <cell r="B1110">
            <v>0</v>
          </cell>
          <cell r="E1110">
            <v>0</v>
          </cell>
          <cell r="F1110">
            <v>0</v>
          </cell>
          <cell r="AO1110">
            <v>0</v>
          </cell>
          <cell r="AP1110">
            <v>0</v>
          </cell>
          <cell r="AQ1110">
            <v>0</v>
          </cell>
          <cell r="BA1110">
            <v>0</v>
          </cell>
          <cell r="BC1110">
            <v>0</v>
          </cell>
        </row>
        <row r="1111">
          <cell r="A1111">
            <v>0</v>
          </cell>
          <cell r="B1111">
            <v>0</v>
          </cell>
          <cell r="E1111">
            <v>0</v>
          </cell>
          <cell r="F1111">
            <v>0</v>
          </cell>
          <cell r="AO1111">
            <v>0</v>
          </cell>
          <cell r="AP1111">
            <v>0</v>
          </cell>
          <cell r="AQ1111">
            <v>0</v>
          </cell>
          <cell r="BA1111">
            <v>0</v>
          </cell>
          <cell r="BC1111">
            <v>0</v>
          </cell>
        </row>
        <row r="1112">
          <cell r="A1112">
            <v>0</v>
          </cell>
          <cell r="B1112">
            <v>0</v>
          </cell>
          <cell r="E1112">
            <v>0</v>
          </cell>
          <cell r="F1112">
            <v>0</v>
          </cell>
          <cell r="AO1112">
            <v>0</v>
          </cell>
          <cell r="AP1112">
            <v>0</v>
          </cell>
          <cell r="AQ1112">
            <v>0</v>
          </cell>
          <cell r="BA1112">
            <v>0</v>
          </cell>
          <cell r="BC1112">
            <v>0</v>
          </cell>
        </row>
        <row r="1113">
          <cell r="A1113">
            <v>0</v>
          </cell>
          <cell r="B1113">
            <v>0</v>
          </cell>
          <cell r="E1113">
            <v>0</v>
          </cell>
          <cell r="F1113">
            <v>0</v>
          </cell>
          <cell r="AO1113">
            <v>0</v>
          </cell>
          <cell r="AP1113">
            <v>0</v>
          </cell>
          <cell r="AQ1113">
            <v>0</v>
          </cell>
          <cell r="BA1113">
            <v>0</v>
          </cell>
          <cell r="BC1113">
            <v>0</v>
          </cell>
        </row>
        <row r="1114">
          <cell r="A1114">
            <v>0</v>
          </cell>
          <cell r="B1114">
            <v>0</v>
          </cell>
          <cell r="E1114">
            <v>0</v>
          </cell>
          <cell r="F1114">
            <v>0</v>
          </cell>
          <cell r="AO1114">
            <v>0</v>
          </cell>
          <cell r="AP1114">
            <v>0</v>
          </cell>
          <cell r="AQ1114">
            <v>0</v>
          </cell>
          <cell r="BA1114">
            <v>0</v>
          </cell>
          <cell r="BC1114">
            <v>0</v>
          </cell>
        </row>
        <row r="1115">
          <cell r="A1115">
            <v>0</v>
          </cell>
          <cell r="B1115">
            <v>0</v>
          </cell>
          <cell r="E1115">
            <v>0</v>
          </cell>
          <cell r="F1115">
            <v>0</v>
          </cell>
          <cell r="AO1115">
            <v>0</v>
          </cell>
          <cell r="AP1115">
            <v>0</v>
          </cell>
          <cell r="AQ1115">
            <v>0</v>
          </cell>
          <cell r="BA1115">
            <v>0</v>
          </cell>
          <cell r="BC1115">
            <v>0</v>
          </cell>
        </row>
        <row r="1116">
          <cell r="A1116">
            <v>0</v>
          </cell>
          <cell r="B1116">
            <v>0</v>
          </cell>
          <cell r="E1116">
            <v>0</v>
          </cell>
          <cell r="F1116">
            <v>0</v>
          </cell>
          <cell r="AO1116">
            <v>0</v>
          </cell>
          <cell r="AP1116">
            <v>0</v>
          </cell>
          <cell r="AQ1116">
            <v>0</v>
          </cell>
          <cell r="BA1116">
            <v>0</v>
          </cell>
          <cell r="BC1116">
            <v>0</v>
          </cell>
        </row>
        <row r="1117">
          <cell r="A1117">
            <v>0</v>
          </cell>
          <cell r="B1117">
            <v>0</v>
          </cell>
          <cell r="E1117">
            <v>0</v>
          </cell>
          <cell r="F1117">
            <v>0</v>
          </cell>
          <cell r="AO1117">
            <v>0</v>
          </cell>
          <cell r="AP1117">
            <v>0</v>
          </cell>
          <cell r="AQ1117">
            <v>0</v>
          </cell>
          <cell r="BA1117">
            <v>0</v>
          </cell>
          <cell r="BC1117">
            <v>0</v>
          </cell>
        </row>
        <row r="1118">
          <cell r="A1118">
            <v>0</v>
          </cell>
          <cell r="B1118">
            <v>0</v>
          </cell>
          <cell r="E1118">
            <v>0</v>
          </cell>
          <cell r="F1118">
            <v>0</v>
          </cell>
          <cell r="AO1118">
            <v>0</v>
          </cell>
          <cell r="AP1118">
            <v>0</v>
          </cell>
          <cell r="AQ1118">
            <v>0</v>
          </cell>
          <cell r="BA1118">
            <v>0</v>
          </cell>
          <cell r="BC1118">
            <v>0</v>
          </cell>
        </row>
        <row r="1119">
          <cell r="A1119">
            <v>0</v>
          </cell>
          <cell r="B1119">
            <v>0</v>
          </cell>
          <cell r="E1119">
            <v>0</v>
          </cell>
          <cell r="F1119">
            <v>0</v>
          </cell>
          <cell r="AO1119">
            <v>0</v>
          </cell>
          <cell r="AP1119">
            <v>0</v>
          </cell>
          <cell r="AQ1119">
            <v>0</v>
          </cell>
          <cell r="BA1119">
            <v>0</v>
          </cell>
          <cell r="BC1119">
            <v>0</v>
          </cell>
        </row>
        <row r="1120">
          <cell r="A1120">
            <v>0</v>
          </cell>
          <cell r="B1120">
            <v>0</v>
          </cell>
          <cell r="E1120">
            <v>0</v>
          </cell>
          <cell r="F1120">
            <v>0</v>
          </cell>
          <cell r="AO1120">
            <v>0</v>
          </cell>
          <cell r="AP1120">
            <v>0</v>
          </cell>
          <cell r="AQ1120">
            <v>0</v>
          </cell>
          <cell r="BA1120">
            <v>0</v>
          </cell>
          <cell r="BC1120">
            <v>0</v>
          </cell>
        </row>
        <row r="1121">
          <cell r="A1121">
            <v>0</v>
          </cell>
          <cell r="B1121">
            <v>0</v>
          </cell>
          <cell r="E1121">
            <v>0</v>
          </cell>
          <cell r="F1121">
            <v>0</v>
          </cell>
          <cell r="AO1121">
            <v>0</v>
          </cell>
          <cell r="AP1121">
            <v>0</v>
          </cell>
          <cell r="AQ1121">
            <v>0</v>
          </cell>
          <cell r="BA1121">
            <v>0</v>
          </cell>
          <cell r="BC1121">
            <v>0</v>
          </cell>
        </row>
        <row r="1122">
          <cell r="A1122">
            <v>0</v>
          </cell>
          <cell r="B1122">
            <v>0</v>
          </cell>
          <cell r="E1122">
            <v>0</v>
          </cell>
          <cell r="F1122">
            <v>0</v>
          </cell>
          <cell r="AO1122">
            <v>0</v>
          </cell>
          <cell r="AP1122">
            <v>0</v>
          </cell>
          <cell r="AQ1122">
            <v>0</v>
          </cell>
          <cell r="BA1122">
            <v>0</v>
          </cell>
          <cell r="BC1122">
            <v>0</v>
          </cell>
        </row>
        <row r="1123">
          <cell r="A1123">
            <v>0</v>
          </cell>
          <cell r="B1123">
            <v>0</v>
          </cell>
          <cell r="E1123">
            <v>0</v>
          </cell>
          <cell r="F1123">
            <v>0</v>
          </cell>
          <cell r="AO1123">
            <v>0</v>
          </cell>
          <cell r="AP1123">
            <v>0</v>
          </cell>
          <cell r="AQ1123">
            <v>0</v>
          </cell>
          <cell r="BA1123">
            <v>0</v>
          </cell>
          <cell r="BC1123">
            <v>0</v>
          </cell>
        </row>
        <row r="1124">
          <cell r="A1124">
            <v>0</v>
          </cell>
          <cell r="B1124">
            <v>0</v>
          </cell>
          <cell r="E1124">
            <v>0</v>
          </cell>
          <cell r="F1124">
            <v>0</v>
          </cell>
          <cell r="AO1124">
            <v>0</v>
          </cell>
          <cell r="AP1124">
            <v>0</v>
          </cell>
          <cell r="AQ1124">
            <v>0</v>
          </cell>
          <cell r="BA1124">
            <v>0</v>
          </cell>
          <cell r="BC1124">
            <v>0</v>
          </cell>
        </row>
        <row r="1125">
          <cell r="A1125">
            <v>0</v>
          </cell>
          <cell r="B1125">
            <v>0</v>
          </cell>
          <cell r="E1125">
            <v>0</v>
          </cell>
          <cell r="F1125">
            <v>0</v>
          </cell>
          <cell r="AO1125">
            <v>0</v>
          </cell>
          <cell r="AP1125">
            <v>0</v>
          </cell>
          <cell r="AQ1125">
            <v>0</v>
          </cell>
          <cell r="BA1125">
            <v>0</v>
          </cell>
          <cell r="BC1125">
            <v>0</v>
          </cell>
        </row>
        <row r="1126">
          <cell r="A1126">
            <v>0</v>
          </cell>
          <cell r="B1126">
            <v>0</v>
          </cell>
          <cell r="E1126">
            <v>0</v>
          </cell>
          <cell r="F1126">
            <v>0</v>
          </cell>
          <cell r="AO1126">
            <v>0</v>
          </cell>
          <cell r="AP1126">
            <v>0</v>
          </cell>
          <cell r="AQ1126">
            <v>0</v>
          </cell>
          <cell r="BA1126">
            <v>0</v>
          </cell>
          <cell r="BC1126">
            <v>0</v>
          </cell>
        </row>
        <row r="1127">
          <cell r="A1127">
            <v>0</v>
          </cell>
          <cell r="B1127">
            <v>0</v>
          </cell>
          <cell r="E1127">
            <v>0</v>
          </cell>
          <cell r="F1127">
            <v>0</v>
          </cell>
          <cell r="AO1127">
            <v>0</v>
          </cell>
          <cell r="AP1127">
            <v>0</v>
          </cell>
          <cell r="AQ1127">
            <v>0</v>
          </cell>
          <cell r="BA1127">
            <v>0</v>
          </cell>
          <cell r="BC1127">
            <v>0</v>
          </cell>
        </row>
        <row r="1128">
          <cell r="A1128">
            <v>0</v>
          </cell>
          <cell r="B1128">
            <v>0</v>
          </cell>
          <cell r="E1128">
            <v>0</v>
          </cell>
          <cell r="F1128">
            <v>0</v>
          </cell>
          <cell r="AO1128">
            <v>0</v>
          </cell>
          <cell r="AP1128">
            <v>0</v>
          </cell>
          <cell r="AQ1128">
            <v>0</v>
          </cell>
          <cell r="BA1128">
            <v>0</v>
          </cell>
          <cell r="BC1128">
            <v>0</v>
          </cell>
        </row>
        <row r="1129">
          <cell r="A1129">
            <v>0</v>
          </cell>
          <cell r="B1129">
            <v>0</v>
          </cell>
          <cell r="E1129">
            <v>0</v>
          </cell>
          <cell r="F1129">
            <v>0</v>
          </cell>
          <cell r="AO1129">
            <v>0</v>
          </cell>
          <cell r="AP1129">
            <v>0</v>
          </cell>
          <cell r="AQ1129">
            <v>0</v>
          </cell>
          <cell r="BA1129">
            <v>0</v>
          </cell>
          <cell r="BC1129">
            <v>0</v>
          </cell>
        </row>
        <row r="1130">
          <cell r="A1130">
            <v>0</v>
          </cell>
          <cell r="B1130">
            <v>0</v>
          </cell>
          <cell r="E1130">
            <v>0</v>
          </cell>
          <cell r="F1130">
            <v>0</v>
          </cell>
          <cell r="AO1130">
            <v>0</v>
          </cell>
          <cell r="AP1130">
            <v>0</v>
          </cell>
          <cell r="AQ1130">
            <v>0</v>
          </cell>
          <cell r="BA1130">
            <v>0</v>
          </cell>
          <cell r="BC1130">
            <v>0</v>
          </cell>
        </row>
        <row r="1131">
          <cell r="A1131">
            <v>0</v>
          </cell>
          <cell r="B1131">
            <v>0</v>
          </cell>
          <cell r="E1131">
            <v>0</v>
          </cell>
          <cell r="F1131">
            <v>0</v>
          </cell>
          <cell r="AO1131">
            <v>0</v>
          </cell>
          <cell r="AP1131">
            <v>0</v>
          </cell>
          <cell r="AQ1131">
            <v>0</v>
          </cell>
          <cell r="BA1131">
            <v>0</v>
          </cell>
          <cell r="BC1131">
            <v>0</v>
          </cell>
        </row>
        <row r="1132">
          <cell r="A1132">
            <v>0</v>
          </cell>
          <cell r="B1132">
            <v>0</v>
          </cell>
          <cell r="E1132">
            <v>0</v>
          </cell>
          <cell r="F1132">
            <v>0</v>
          </cell>
          <cell r="AO1132">
            <v>0</v>
          </cell>
          <cell r="AP1132">
            <v>0</v>
          </cell>
          <cell r="AQ1132">
            <v>0</v>
          </cell>
          <cell r="BA1132">
            <v>0</v>
          </cell>
          <cell r="BC1132">
            <v>0</v>
          </cell>
        </row>
        <row r="1133">
          <cell r="A1133">
            <v>0</v>
          </cell>
          <cell r="B1133">
            <v>0</v>
          </cell>
          <cell r="E1133">
            <v>0</v>
          </cell>
          <cell r="F1133">
            <v>0</v>
          </cell>
          <cell r="AO1133">
            <v>0</v>
          </cell>
          <cell r="AP1133">
            <v>0</v>
          </cell>
          <cell r="AQ1133">
            <v>0</v>
          </cell>
          <cell r="BA1133">
            <v>0</v>
          </cell>
          <cell r="BC1133">
            <v>0</v>
          </cell>
        </row>
        <row r="1134">
          <cell r="A1134">
            <v>0</v>
          </cell>
          <cell r="B1134">
            <v>0</v>
          </cell>
          <cell r="E1134">
            <v>0</v>
          </cell>
          <cell r="F1134">
            <v>0</v>
          </cell>
          <cell r="AO1134">
            <v>0</v>
          </cell>
          <cell r="AP1134">
            <v>0</v>
          </cell>
          <cell r="AQ1134">
            <v>0</v>
          </cell>
          <cell r="BA1134">
            <v>0</v>
          </cell>
          <cell r="BC1134">
            <v>0</v>
          </cell>
        </row>
        <row r="1135">
          <cell r="A1135">
            <v>0</v>
          </cell>
          <cell r="B1135">
            <v>0</v>
          </cell>
          <cell r="E1135">
            <v>0</v>
          </cell>
          <cell r="F1135">
            <v>0</v>
          </cell>
          <cell r="AO1135">
            <v>0</v>
          </cell>
          <cell r="AP1135">
            <v>0</v>
          </cell>
          <cell r="AQ1135">
            <v>0</v>
          </cell>
          <cell r="BA1135">
            <v>0</v>
          </cell>
          <cell r="BC1135">
            <v>0</v>
          </cell>
        </row>
        <row r="1136">
          <cell r="A1136">
            <v>0</v>
          </cell>
          <cell r="B1136">
            <v>0</v>
          </cell>
          <cell r="E1136">
            <v>0</v>
          </cell>
          <cell r="F1136">
            <v>0</v>
          </cell>
          <cell r="AO1136">
            <v>0</v>
          </cell>
          <cell r="AP1136">
            <v>0</v>
          </cell>
          <cell r="AQ1136">
            <v>0</v>
          </cell>
          <cell r="BA1136">
            <v>0</v>
          </cell>
          <cell r="BC1136">
            <v>0</v>
          </cell>
        </row>
        <row r="1137">
          <cell r="A1137">
            <v>0</v>
          </cell>
          <cell r="B1137">
            <v>0</v>
          </cell>
          <cell r="E1137">
            <v>0</v>
          </cell>
          <cell r="F1137">
            <v>0</v>
          </cell>
          <cell r="AO1137">
            <v>0</v>
          </cell>
          <cell r="AP1137">
            <v>0</v>
          </cell>
          <cell r="AQ1137">
            <v>0</v>
          </cell>
          <cell r="BA1137">
            <v>0</v>
          </cell>
          <cell r="BC1137">
            <v>0</v>
          </cell>
        </row>
        <row r="1138">
          <cell r="A1138">
            <v>0</v>
          </cell>
          <cell r="B1138">
            <v>0</v>
          </cell>
          <cell r="E1138">
            <v>0</v>
          </cell>
          <cell r="F1138">
            <v>0</v>
          </cell>
          <cell r="AO1138">
            <v>0</v>
          </cell>
          <cell r="AP1138">
            <v>0</v>
          </cell>
          <cell r="AQ1138">
            <v>0</v>
          </cell>
          <cell r="BA1138">
            <v>0</v>
          </cell>
          <cell r="BC1138">
            <v>0</v>
          </cell>
        </row>
        <row r="1139">
          <cell r="A1139">
            <v>0</v>
          </cell>
          <cell r="B1139">
            <v>0</v>
          </cell>
          <cell r="E1139">
            <v>0</v>
          </cell>
          <cell r="F1139">
            <v>0</v>
          </cell>
          <cell r="AO1139">
            <v>0</v>
          </cell>
          <cell r="AP1139">
            <v>0</v>
          </cell>
          <cell r="AQ1139">
            <v>0</v>
          </cell>
          <cell r="BA1139">
            <v>0</v>
          </cell>
          <cell r="BC1139">
            <v>0</v>
          </cell>
        </row>
        <row r="1140">
          <cell r="A1140">
            <v>0</v>
          </cell>
          <cell r="B1140">
            <v>0</v>
          </cell>
          <cell r="E1140">
            <v>0</v>
          </cell>
          <cell r="F1140">
            <v>0</v>
          </cell>
          <cell r="AO1140">
            <v>0</v>
          </cell>
          <cell r="AP1140">
            <v>0</v>
          </cell>
          <cell r="AQ1140">
            <v>0</v>
          </cell>
          <cell r="BA1140">
            <v>0</v>
          </cell>
          <cell r="BC1140">
            <v>0</v>
          </cell>
        </row>
        <row r="1141">
          <cell r="A1141">
            <v>0</v>
          </cell>
          <cell r="B1141">
            <v>0</v>
          </cell>
          <cell r="E1141">
            <v>0</v>
          </cell>
          <cell r="F1141">
            <v>0</v>
          </cell>
          <cell r="AO1141">
            <v>0</v>
          </cell>
          <cell r="AP1141">
            <v>0</v>
          </cell>
          <cell r="AQ1141">
            <v>0</v>
          </cell>
          <cell r="BA1141">
            <v>0</v>
          </cell>
          <cell r="BC1141">
            <v>0</v>
          </cell>
        </row>
        <row r="1142">
          <cell r="A1142">
            <v>0</v>
          </cell>
          <cell r="B1142">
            <v>0</v>
          </cell>
          <cell r="E1142">
            <v>0</v>
          </cell>
          <cell r="F1142">
            <v>0</v>
          </cell>
          <cell r="AO1142">
            <v>0</v>
          </cell>
          <cell r="AP1142">
            <v>0</v>
          </cell>
          <cell r="AQ1142">
            <v>0</v>
          </cell>
          <cell r="BA1142">
            <v>0</v>
          </cell>
          <cell r="BC1142">
            <v>0</v>
          </cell>
        </row>
        <row r="1143">
          <cell r="A1143">
            <v>0</v>
          </cell>
          <cell r="B1143">
            <v>0</v>
          </cell>
          <cell r="E1143">
            <v>0</v>
          </cell>
          <cell r="F1143">
            <v>0</v>
          </cell>
          <cell r="AO1143">
            <v>0</v>
          </cell>
          <cell r="AP1143">
            <v>0</v>
          </cell>
          <cell r="AQ1143">
            <v>0</v>
          </cell>
          <cell r="BA1143">
            <v>0</v>
          </cell>
          <cell r="BC1143">
            <v>0</v>
          </cell>
        </row>
        <row r="1144">
          <cell r="A1144">
            <v>0</v>
          </cell>
          <cell r="B1144">
            <v>0</v>
          </cell>
          <cell r="E1144">
            <v>0</v>
          </cell>
          <cell r="F1144">
            <v>0</v>
          </cell>
          <cell r="AO1144">
            <v>0</v>
          </cell>
          <cell r="AP1144">
            <v>0</v>
          </cell>
          <cell r="AQ1144">
            <v>0</v>
          </cell>
          <cell r="BA1144">
            <v>0</v>
          </cell>
          <cell r="BC1144">
            <v>0</v>
          </cell>
        </row>
        <row r="1145">
          <cell r="A1145">
            <v>0</v>
          </cell>
          <cell r="B1145">
            <v>0</v>
          </cell>
          <cell r="E1145">
            <v>0</v>
          </cell>
          <cell r="F1145">
            <v>0</v>
          </cell>
          <cell r="AO1145">
            <v>0</v>
          </cell>
          <cell r="AP1145">
            <v>0</v>
          </cell>
          <cell r="AQ1145">
            <v>0</v>
          </cell>
          <cell r="BA1145">
            <v>0</v>
          </cell>
          <cell r="BC1145">
            <v>0</v>
          </cell>
        </row>
        <row r="1146">
          <cell r="A1146">
            <v>0</v>
          </cell>
          <cell r="B1146">
            <v>0</v>
          </cell>
          <cell r="E1146">
            <v>0</v>
          </cell>
          <cell r="F1146">
            <v>0</v>
          </cell>
          <cell r="AO1146">
            <v>0</v>
          </cell>
          <cell r="AP1146">
            <v>0</v>
          </cell>
          <cell r="AQ1146">
            <v>0</v>
          </cell>
          <cell r="BA1146">
            <v>0</v>
          </cell>
          <cell r="BC1146">
            <v>0</v>
          </cell>
        </row>
        <row r="1147">
          <cell r="A1147">
            <v>0</v>
          </cell>
          <cell r="B1147">
            <v>0</v>
          </cell>
          <cell r="E1147">
            <v>0</v>
          </cell>
          <cell r="F1147">
            <v>0</v>
          </cell>
          <cell r="AO1147">
            <v>0</v>
          </cell>
          <cell r="AP1147">
            <v>0</v>
          </cell>
          <cell r="AQ1147">
            <v>0</v>
          </cell>
          <cell r="BA1147">
            <v>0</v>
          </cell>
          <cell r="BC1147">
            <v>0</v>
          </cell>
        </row>
        <row r="1148">
          <cell r="A1148">
            <v>0</v>
          </cell>
          <cell r="B1148">
            <v>0</v>
          </cell>
          <cell r="E1148">
            <v>0</v>
          </cell>
          <cell r="F1148">
            <v>0</v>
          </cell>
          <cell r="AO1148">
            <v>0</v>
          </cell>
          <cell r="AP1148">
            <v>0</v>
          </cell>
          <cell r="AQ1148">
            <v>0</v>
          </cell>
          <cell r="BA1148">
            <v>0</v>
          </cell>
          <cell r="BC1148">
            <v>0</v>
          </cell>
        </row>
        <row r="1149">
          <cell r="A1149">
            <v>0</v>
          </cell>
          <cell r="B1149">
            <v>0</v>
          </cell>
          <cell r="E1149">
            <v>0</v>
          </cell>
          <cell r="F1149">
            <v>0</v>
          </cell>
          <cell r="AO1149">
            <v>0</v>
          </cell>
          <cell r="AP1149">
            <v>0</v>
          </cell>
          <cell r="AQ1149">
            <v>0</v>
          </cell>
          <cell r="BA1149">
            <v>0</v>
          </cell>
          <cell r="BC1149">
            <v>0</v>
          </cell>
        </row>
        <row r="1150">
          <cell r="A1150">
            <v>0</v>
          </cell>
          <cell r="B1150">
            <v>0</v>
          </cell>
          <cell r="E1150">
            <v>0</v>
          </cell>
          <cell r="F1150">
            <v>0</v>
          </cell>
          <cell r="AO1150">
            <v>0</v>
          </cell>
          <cell r="AP1150">
            <v>0</v>
          </cell>
          <cell r="AQ1150">
            <v>0</v>
          </cell>
          <cell r="BA1150">
            <v>0</v>
          </cell>
          <cell r="BC1150">
            <v>0</v>
          </cell>
        </row>
        <row r="1151">
          <cell r="A1151">
            <v>0</v>
          </cell>
          <cell r="B1151">
            <v>0</v>
          </cell>
          <cell r="E1151">
            <v>0</v>
          </cell>
          <cell r="F1151">
            <v>0</v>
          </cell>
          <cell r="AO1151">
            <v>0</v>
          </cell>
          <cell r="AP1151">
            <v>0</v>
          </cell>
          <cell r="AQ1151">
            <v>0</v>
          </cell>
          <cell r="BA1151">
            <v>0</v>
          </cell>
          <cell r="BC1151">
            <v>0</v>
          </cell>
        </row>
        <row r="1152">
          <cell r="A1152">
            <v>0</v>
          </cell>
          <cell r="B1152">
            <v>0</v>
          </cell>
          <cell r="E1152">
            <v>0</v>
          </cell>
          <cell r="F1152">
            <v>0</v>
          </cell>
          <cell r="AO1152">
            <v>0</v>
          </cell>
          <cell r="AP1152">
            <v>0</v>
          </cell>
          <cell r="AQ1152">
            <v>0</v>
          </cell>
          <cell r="BA1152">
            <v>0</v>
          </cell>
          <cell r="BC1152">
            <v>0</v>
          </cell>
        </row>
        <row r="1153">
          <cell r="A1153">
            <v>0</v>
          </cell>
          <cell r="B1153">
            <v>0</v>
          </cell>
          <cell r="E1153">
            <v>0</v>
          </cell>
          <cell r="F1153">
            <v>0</v>
          </cell>
          <cell r="AO1153">
            <v>0</v>
          </cell>
          <cell r="AP1153">
            <v>0</v>
          </cell>
          <cell r="AQ1153">
            <v>0</v>
          </cell>
          <cell r="BA1153">
            <v>0</v>
          </cell>
          <cell r="BC1153">
            <v>0</v>
          </cell>
        </row>
        <row r="1154">
          <cell r="A1154">
            <v>0</v>
          </cell>
          <cell r="B1154">
            <v>0</v>
          </cell>
          <cell r="E1154">
            <v>0</v>
          </cell>
          <cell r="F1154">
            <v>0</v>
          </cell>
          <cell r="AO1154">
            <v>0</v>
          </cell>
          <cell r="AP1154">
            <v>0</v>
          </cell>
          <cell r="AQ1154">
            <v>0</v>
          </cell>
          <cell r="BA1154">
            <v>0</v>
          </cell>
          <cell r="BC1154">
            <v>0</v>
          </cell>
        </row>
        <row r="1155">
          <cell r="A1155">
            <v>0</v>
          </cell>
          <cell r="B1155">
            <v>0</v>
          </cell>
          <cell r="E1155">
            <v>0</v>
          </cell>
          <cell r="F1155">
            <v>0</v>
          </cell>
          <cell r="AO1155">
            <v>0</v>
          </cell>
          <cell r="AP1155">
            <v>0</v>
          </cell>
          <cell r="AQ1155">
            <v>0</v>
          </cell>
          <cell r="BA1155">
            <v>0</v>
          </cell>
          <cell r="BC1155">
            <v>0</v>
          </cell>
        </row>
        <row r="1156">
          <cell r="A1156">
            <v>0</v>
          </cell>
          <cell r="B1156">
            <v>0</v>
          </cell>
          <cell r="E1156">
            <v>0</v>
          </cell>
          <cell r="F1156">
            <v>0</v>
          </cell>
          <cell r="AO1156">
            <v>0</v>
          </cell>
          <cell r="AP1156">
            <v>0</v>
          </cell>
          <cell r="AQ1156">
            <v>0</v>
          </cell>
          <cell r="BA1156">
            <v>0</v>
          </cell>
          <cell r="BC1156">
            <v>0</v>
          </cell>
        </row>
        <row r="1157">
          <cell r="A1157">
            <v>0</v>
          </cell>
          <cell r="B1157">
            <v>0</v>
          </cell>
          <cell r="E1157">
            <v>0</v>
          </cell>
          <cell r="F1157">
            <v>0</v>
          </cell>
          <cell r="AO1157">
            <v>0</v>
          </cell>
          <cell r="AP1157">
            <v>0</v>
          </cell>
          <cell r="AQ1157">
            <v>0</v>
          </cell>
          <cell r="BA1157">
            <v>0</v>
          </cell>
          <cell r="BC1157">
            <v>0</v>
          </cell>
        </row>
        <row r="1158">
          <cell r="A1158">
            <v>0</v>
          </cell>
          <cell r="B1158">
            <v>0</v>
          </cell>
          <cell r="E1158">
            <v>0</v>
          </cell>
          <cell r="F1158">
            <v>0</v>
          </cell>
          <cell r="AO1158">
            <v>0</v>
          </cell>
          <cell r="AP1158">
            <v>0</v>
          </cell>
          <cell r="AQ1158">
            <v>0</v>
          </cell>
          <cell r="BA1158">
            <v>0</v>
          </cell>
          <cell r="BC1158">
            <v>0</v>
          </cell>
        </row>
        <row r="1159">
          <cell r="A1159">
            <v>0</v>
          </cell>
          <cell r="B1159">
            <v>0</v>
          </cell>
          <cell r="E1159">
            <v>0</v>
          </cell>
          <cell r="F1159">
            <v>0</v>
          </cell>
          <cell r="AO1159">
            <v>0</v>
          </cell>
          <cell r="AP1159">
            <v>0</v>
          </cell>
          <cell r="AQ1159">
            <v>0</v>
          </cell>
          <cell r="BA1159">
            <v>0</v>
          </cell>
          <cell r="BC1159">
            <v>0</v>
          </cell>
        </row>
        <row r="1160">
          <cell r="A1160">
            <v>0</v>
          </cell>
          <cell r="B1160">
            <v>0</v>
          </cell>
          <cell r="E1160">
            <v>0</v>
          </cell>
          <cell r="F1160">
            <v>0</v>
          </cell>
          <cell r="AO1160">
            <v>0</v>
          </cell>
          <cell r="AP1160">
            <v>0</v>
          </cell>
          <cell r="AQ1160">
            <v>0</v>
          </cell>
          <cell r="BA1160">
            <v>0</v>
          </cell>
          <cell r="BC1160">
            <v>0</v>
          </cell>
        </row>
        <row r="1161">
          <cell r="A1161">
            <v>0</v>
          </cell>
          <cell r="B1161">
            <v>0</v>
          </cell>
          <cell r="E1161">
            <v>0</v>
          </cell>
          <cell r="F1161">
            <v>0</v>
          </cell>
          <cell r="AO1161">
            <v>0</v>
          </cell>
          <cell r="AP1161">
            <v>0</v>
          </cell>
          <cell r="AQ1161">
            <v>0</v>
          </cell>
          <cell r="BA1161">
            <v>0</v>
          </cell>
          <cell r="BC1161">
            <v>0</v>
          </cell>
        </row>
        <row r="1162">
          <cell r="A1162">
            <v>0</v>
          </cell>
          <cell r="B1162">
            <v>0</v>
          </cell>
          <cell r="E1162">
            <v>0</v>
          </cell>
          <cell r="F1162">
            <v>0</v>
          </cell>
          <cell r="AO1162">
            <v>0</v>
          </cell>
          <cell r="AP1162">
            <v>0</v>
          </cell>
          <cell r="AQ1162">
            <v>0</v>
          </cell>
          <cell r="BA1162">
            <v>0</v>
          </cell>
          <cell r="BC1162">
            <v>0</v>
          </cell>
        </row>
        <row r="1163">
          <cell r="A1163">
            <v>0</v>
          </cell>
          <cell r="B1163">
            <v>0</v>
          </cell>
          <cell r="E1163">
            <v>0</v>
          </cell>
          <cell r="F1163">
            <v>0</v>
          </cell>
          <cell r="AO1163">
            <v>0</v>
          </cell>
          <cell r="AP1163">
            <v>0</v>
          </cell>
          <cell r="AQ1163">
            <v>0</v>
          </cell>
          <cell r="BA1163">
            <v>0</v>
          </cell>
          <cell r="BC1163">
            <v>0</v>
          </cell>
        </row>
        <row r="1164">
          <cell r="A1164">
            <v>0</v>
          </cell>
          <cell r="B1164">
            <v>0</v>
          </cell>
          <cell r="E1164">
            <v>0</v>
          </cell>
          <cell r="F1164">
            <v>0</v>
          </cell>
          <cell r="AO1164">
            <v>0</v>
          </cell>
          <cell r="AP1164">
            <v>0</v>
          </cell>
          <cell r="AQ1164">
            <v>0</v>
          </cell>
          <cell r="BA1164">
            <v>0</v>
          </cell>
          <cell r="BC1164">
            <v>0</v>
          </cell>
        </row>
        <row r="1165">
          <cell r="A1165">
            <v>0</v>
          </cell>
          <cell r="B1165">
            <v>0</v>
          </cell>
          <cell r="E1165">
            <v>0</v>
          </cell>
          <cell r="F1165">
            <v>0</v>
          </cell>
          <cell r="AO1165">
            <v>0</v>
          </cell>
          <cell r="AP1165">
            <v>0</v>
          </cell>
          <cell r="AQ1165">
            <v>0</v>
          </cell>
          <cell r="BA1165">
            <v>0</v>
          </cell>
          <cell r="BC1165">
            <v>0</v>
          </cell>
        </row>
        <row r="1166">
          <cell r="A1166">
            <v>0</v>
          </cell>
          <cell r="B1166">
            <v>0</v>
          </cell>
          <cell r="E1166">
            <v>0</v>
          </cell>
          <cell r="F1166">
            <v>0</v>
          </cell>
          <cell r="AO1166">
            <v>0</v>
          </cell>
          <cell r="AP1166">
            <v>0</v>
          </cell>
          <cell r="AQ1166">
            <v>0</v>
          </cell>
          <cell r="BA1166">
            <v>0</v>
          </cell>
          <cell r="BC1166">
            <v>0</v>
          </cell>
        </row>
        <row r="1167">
          <cell r="A1167">
            <v>0</v>
          </cell>
          <cell r="B1167">
            <v>0</v>
          </cell>
          <cell r="E1167">
            <v>0</v>
          </cell>
          <cell r="F1167">
            <v>0</v>
          </cell>
          <cell r="AO1167">
            <v>0</v>
          </cell>
          <cell r="AP1167">
            <v>0</v>
          </cell>
          <cell r="AQ1167">
            <v>0</v>
          </cell>
          <cell r="BA1167">
            <v>0</v>
          </cell>
          <cell r="BC1167">
            <v>0</v>
          </cell>
        </row>
        <row r="1168">
          <cell r="A1168">
            <v>0</v>
          </cell>
          <cell r="B1168">
            <v>0</v>
          </cell>
          <cell r="E1168">
            <v>0</v>
          </cell>
          <cell r="F1168">
            <v>0</v>
          </cell>
          <cell r="AO1168">
            <v>0</v>
          </cell>
          <cell r="AP1168">
            <v>0</v>
          </cell>
          <cell r="AQ1168">
            <v>0</v>
          </cell>
          <cell r="BA1168">
            <v>0</v>
          </cell>
          <cell r="BC1168">
            <v>0</v>
          </cell>
        </row>
        <row r="1169">
          <cell r="A1169">
            <v>0</v>
          </cell>
          <cell r="B1169">
            <v>0</v>
          </cell>
          <cell r="E1169">
            <v>0</v>
          </cell>
          <cell r="F1169">
            <v>0</v>
          </cell>
          <cell r="AO1169">
            <v>0</v>
          </cell>
          <cell r="AP1169">
            <v>0</v>
          </cell>
          <cell r="AQ1169">
            <v>0</v>
          </cell>
          <cell r="BA1169">
            <v>0</v>
          </cell>
          <cell r="BC1169">
            <v>0</v>
          </cell>
        </row>
        <row r="1170">
          <cell r="A1170">
            <v>0</v>
          </cell>
          <cell r="B1170">
            <v>0</v>
          </cell>
          <cell r="E1170">
            <v>0</v>
          </cell>
          <cell r="F1170">
            <v>0</v>
          </cell>
          <cell r="AO1170">
            <v>0</v>
          </cell>
          <cell r="AP1170">
            <v>0</v>
          </cell>
          <cell r="AQ1170">
            <v>0</v>
          </cell>
          <cell r="BA1170">
            <v>0</v>
          </cell>
          <cell r="BC1170">
            <v>0</v>
          </cell>
        </row>
        <row r="1171">
          <cell r="A1171">
            <v>0</v>
          </cell>
          <cell r="B1171">
            <v>0</v>
          </cell>
          <cell r="E1171">
            <v>0</v>
          </cell>
          <cell r="F1171">
            <v>0</v>
          </cell>
          <cell r="AO1171">
            <v>0</v>
          </cell>
          <cell r="AP1171">
            <v>0</v>
          </cell>
          <cell r="AQ1171">
            <v>0</v>
          </cell>
          <cell r="BA1171">
            <v>0</v>
          </cell>
          <cell r="BC1171">
            <v>0</v>
          </cell>
        </row>
        <row r="1172">
          <cell r="A1172">
            <v>0</v>
          </cell>
          <cell r="B1172">
            <v>0</v>
          </cell>
          <cell r="E1172">
            <v>0</v>
          </cell>
          <cell r="F1172">
            <v>0</v>
          </cell>
          <cell r="AO1172">
            <v>0</v>
          </cell>
          <cell r="AP1172">
            <v>0</v>
          </cell>
          <cell r="AQ1172">
            <v>0</v>
          </cell>
          <cell r="BA1172">
            <v>0</v>
          </cell>
          <cell r="BC1172">
            <v>0</v>
          </cell>
        </row>
        <row r="1173">
          <cell r="A1173">
            <v>0</v>
          </cell>
          <cell r="B1173">
            <v>0</v>
          </cell>
          <cell r="E1173">
            <v>0</v>
          </cell>
          <cell r="F1173">
            <v>0</v>
          </cell>
          <cell r="AO1173">
            <v>0</v>
          </cell>
          <cell r="AP1173">
            <v>0</v>
          </cell>
          <cell r="AQ1173">
            <v>0</v>
          </cell>
          <cell r="BA1173">
            <v>0</v>
          </cell>
          <cell r="BC1173">
            <v>0</v>
          </cell>
        </row>
        <row r="1174">
          <cell r="A1174">
            <v>0</v>
          </cell>
          <cell r="B1174">
            <v>0</v>
          </cell>
          <cell r="E1174">
            <v>0</v>
          </cell>
          <cell r="F1174">
            <v>0</v>
          </cell>
          <cell r="AO1174">
            <v>0</v>
          </cell>
          <cell r="AP1174">
            <v>0</v>
          </cell>
          <cell r="AQ1174">
            <v>0</v>
          </cell>
          <cell r="BA1174">
            <v>0</v>
          </cell>
          <cell r="BC1174">
            <v>0</v>
          </cell>
        </row>
        <row r="1175">
          <cell r="A1175">
            <v>0</v>
          </cell>
          <cell r="B1175">
            <v>0</v>
          </cell>
          <cell r="E1175">
            <v>0</v>
          </cell>
          <cell r="F1175">
            <v>0</v>
          </cell>
          <cell r="AO1175">
            <v>0</v>
          </cell>
          <cell r="AP1175">
            <v>0</v>
          </cell>
          <cell r="AQ1175">
            <v>0</v>
          </cell>
          <cell r="BA1175">
            <v>0</v>
          </cell>
          <cell r="BC1175">
            <v>0</v>
          </cell>
        </row>
        <row r="1176">
          <cell r="A1176">
            <v>0</v>
          </cell>
          <cell r="B1176">
            <v>0</v>
          </cell>
          <cell r="E1176">
            <v>0</v>
          </cell>
          <cell r="F1176">
            <v>0</v>
          </cell>
          <cell r="AO1176">
            <v>0</v>
          </cell>
          <cell r="AP1176">
            <v>0</v>
          </cell>
          <cell r="AQ1176">
            <v>0</v>
          </cell>
          <cell r="BA1176">
            <v>0</v>
          </cell>
          <cell r="BC1176">
            <v>0</v>
          </cell>
        </row>
        <row r="1177">
          <cell r="A1177">
            <v>0</v>
          </cell>
          <cell r="B1177">
            <v>0</v>
          </cell>
          <cell r="E1177">
            <v>0</v>
          </cell>
          <cell r="F1177">
            <v>0</v>
          </cell>
          <cell r="AO1177">
            <v>0</v>
          </cell>
          <cell r="AP1177">
            <v>0</v>
          </cell>
          <cell r="AQ1177">
            <v>0</v>
          </cell>
          <cell r="BA1177">
            <v>0</v>
          </cell>
          <cell r="BC1177">
            <v>0</v>
          </cell>
        </row>
        <row r="1178">
          <cell r="A1178">
            <v>0</v>
          </cell>
          <cell r="B1178">
            <v>0</v>
          </cell>
          <cell r="E1178">
            <v>0</v>
          </cell>
          <cell r="F1178">
            <v>0</v>
          </cell>
          <cell r="AO1178">
            <v>0</v>
          </cell>
          <cell r="AP1178">
            <v>0</v>
          </cell>
          <cell r="AQ1178">
            <v>0</v>
          </cell>
          <cell r="BA1178">
            <v>0</v>
          </cell>
          <cell r="BC1178">
            <v>0</v>
          </cell>
        </row>
        <row r="1179">
          <cell r="A1179">
            <v>0</v>
          </cell>
          <cell r="B1179">
            <v>0</v>
          </cell>
          <cell r="E1179">
            <v>0</v>
          </cell>
          <cell r="F1179">
            <v>0</v>
          </cell>
          <cell r="AO1179">
            <v>0</v>
          </cell>
          <cell r="AP1179">
            <v>0</v>
          </cell>
          <cell r="AQ1179">
            <v>0</v>
          </cell>
          <cell r="BA1179">
            <v>0</v>
          </cell>
          <cell r="BC1179">
            <v>0</v>
          </cell>
        </row>
        <row r="1180">
          <cell r="A1180">
            <v>0</v>
          </cell>
          <cell r="B1180">
            <v>0</v>
          </cell>
          <cell r="E1180">
            <v>0</v>
          </cell>
          <cell r="F1180">
            <v>0</v>
          </cell>
          <cell r="AO1180">
            <v>0</v>
          </cell>
          <cell r="AP1180">
            <v>0</v>
          </cell>
          <cell r="AQ1180">
            <v>0</v>
          </cell>
          <cell r="BA1180">
            <v>0</v>
          </cell>
          <cell r="BC1180">
            <v>0</v>
          </cell>
        </row>
        <row r="1181">
          <cell r="A1181">
            <v>0</v>
          </cell>
          <cell r="B1181">
            <v>0</v>
          </cell>
          <cell r="E1181">
            <v>0</v>
          </cell>
          <cell r="F1181">
            <v>0</v>
          </cell>
          <cell r="AO1181">
            <v>0</v>
          </cell>
          <cell r="AP1181">
            <v>0</v>
          </cell>
          <cell r="AQ1181">
            <v>0</v>
          </cell>
          <cell r="BA1181">
            <v>0</v>
          </cell>
          <cell r="BC1181">
            <v>0</v>
          </cell>
        </row>
        <row r="1182">
          <cell r="A1182">
            <v>0</v>
          </cell>
          <cell r="B1182">
            <v>0</v>
          </cell>
          <cell r="E1182">
            <v>0</v>
          </cell>
          <cell r="F1182">
            <v>0</v>
          </cell>
          <cell r="AO1182">
            <v>0</v>
          </cell>
          <cell r="AP1182">
            <v>0</v>
          </cell>
          <cell r="AQ1182">
            <v>0</v>
          </cell>
          <cell r="BA1182">
            <v>0</v>
          </cell>
          <cell r="BC1182">
            <v>0</v>
          </cell>
        </row>
        <row r="1183">
          <cell r="A1183">
            <v>0</v>
          </cell>
          <cell r="B1183">
            <v>0</v>
          </cell>
          <cell r="E1183">
            <v>0</v>
          </cell>
          <cell r="F1183">
            <v>0</v>
          </cell>
          <cell r="AO1183">
            <v>0</v>
          </cell>
          <cell r="AP1183">
            <v>0</v>
          </cell>
          <cell r="AQ1183">
            <v>0</v>
          </cell>
          <cell r="BA1183">
            <v>0</v>
          </cell>
          <cell r="BC1183">
            <v>0</v>
          </cell>
        </row>
        <row r="1184">
          <cell r="A1184">
            <v>0</v>
          </cell>
          <cell r="B1184">
            <v>0</v>
          </cell>
          <cell r="E1184">
            <v>0</v>
          </cell>
          <cell r="F1184">
            <v>0</v>
          </cell>
          <cell r="AO1184">
            <v>0</v>
          </cell>
          <cell r="AP1184">
            <v>0</v>
          </cell>
          <cell r="AQ1184">
            <v>0</v>
          </cell>
          <cell r="BA1184">
            <v>0</v>
          </cell>
          <cell r="BC1184">
            <v>0</v>
          </cell>
        </row>
        <row r="1185">
          <cell r="A1185">
            <v>0</v>
          </cell>
          <cell r="B1185">
            <v>0</v>
          </cell>
          <cell r="E1185">
            <v>0</v>
          </cell>
          <cell r="F1185">
            <v>0</v>
          </cell>
          <cell r="AO1185">
            <v>0</v>
          </cell>
          <cell r="AP1185">
            <v>0</v>
          </cell>
          <cell r="AQ1185">
            <v>0</v>
          </cell>
          <cell r="BA1185">
            <v>0</v>
          </cell>
          <cell r="BC1185">
            <v>0</v>
          </cell>
        </row>
        <row r="1186">
          <cell r="A1186">
            <v>0</v>
          </cell>
          <cell r="B1186">
            <v>0</v>
          </cell>
          <cell r="E1186">
            <v>0</v>
          </cell>
          <cell r="F1186">
            <v>0</v>
          </cell>
          <cell r="AO1186">
            <v>0</v>
          </cell>
          <cell r="AP1186">
            <v>0</v>
          </cell>
          <cell r="AQ1186">
            <v>0</v>
          </cell>
          <cell r="BA1186">
            <v>0</v>
          </cell>
          <cell r="BC1186">
            <v>0</v>
          </cell>
        </row>
        <row r="1187">
          <cell r="A1187">
            <v>0</v>
          </cell>
          <cell r="B1187">
            <v>0</v>
          </cell>
          <cell r="E1187">
            <v>0</v>
          </cell>
          <cell r="F1187">
            <v>0</v>
          </cell>
          <cell r="AO1187">
            <v>0</v>
          </cell>
          <cell r="AP1187">
            <v>0</v>
          </cell>
          <cell r="AQ1187">
            <v>0</v>
          </cell>
          <cell r="BA1187">
            <v>0</v>
          </cell>
          <cell r="BC1187">
            <v>0</v>
          </cell>
        </row>
        <row r="1188">
          <cell r="A1188">
            <v>0</v>
          </cell>
          <cell r="B1188">
            <v>0</v>
          </cell>
          <cell r="E1188">
            <v>0</v>
          </cell>
          <cell r="F1188">
            <v>0</v>
          </cell>
          <cell r="AO1188">
            <v>0</v>
          </cell>
          <cell r="AP1188">
            <v>0</v>
          </cell>
          <cell r="AQ1188">
            <v>0</v>
          </cell>
          <cell r="BA1188">
            <v>0</v>
          </cell>
          <cell r="BC1188">
            <v>0</v>
          </cell>
        </row>
        <row r="1189">
          <cell r="A1189">
            <v>0</v>
          </cell>
          <cell r="B1189">
            <v>0</v>
          </cell>
          <cell r="E1189">
            <v>0</v>
          </cell>
          <cell r="F1189">
            <v>0</v>
          </cell>
          <cell r="AO1189">
            <v>0</v>
          </cell>
          <cell r="AP1189">
            <v>0</v>
          </cell>
          <cell r="AQ1189">
            <v>0</v>
          </cell>
          <cell r="BA1189">
            <v>0</v>
          </cell>
          <cell r="BC1189">
            <v>0</v>
          </cell>
        </row>
        <row r="1190">
          <cell r="A1190">
            <v>0</v>
          </cell>
          <cell r="B1190">
            <v>0</v>
          </cell>
          <cell r="E1190">
            <v>0</v>
          </cell>
          <cell r="F1190">
            <v>0</v>
          </cell>
          <cell r="AO1190">
            <v>0</v>
          </cell>
          <cell r="AP1190">
            <v>0</v>
          </cell>
          <cell r="AQ1190">
            <v>0</v>
          </cell>
          <cell r="BA1190">
            <v>0</v>
          </cell>
          <cell r="BC1190">
            <v>0</v>
          </cell>
        </row>
        <row r="1191">
          <cell r="A1191">
            <v>0</v>
          </cell>
          <cell r="B1191">
            <v>0</v>
          </cell>
          <cell r="E1191">
            <v>0</v>
          </cell>
          <cell r="F1191">
            <v>0</v>
          </cell>
          <cell r="AO1191">
            <v>0</v>
          </cell>
          <cell r="AP1191">
            <v>0</v>
          </cell>
          <cell r="AQ1191">
            <v>0</v>
          </cell>
          <cell r="BA1191">
            <v>0</v>
          </cell>
          <cell r="BC1191">
            <v>0</v>
          </cell>
        </row>
        <row r="1192">
          <cell r="A1192">
            <v>0</v>
          </cell>
          <cell r="B1192">
            <v>0</v>
          </cell>
          <cell r="E1192">
            <v>0</v>
          </cell>
          <cell r="F1192">
            <v>0</v>
          </cell>
          <cell r="AO1192">
            <v>0</v>
          </cell>
          <cell r="AP1192">
            <v>0</v>
          </cell>
          <cell r="AQ1192">
            <v>0</v>
          </cell>
          <cell r="BA1192">
            <v>0</v>
          </cell>
          <cell r="BC1192">
            <v>0</v>
          </cell>
        </row>
        <row r="1193">
          <cell r="A1193">
            <v>0</v>
          </cell>
          <cell r="B1193">
            <v>0</v>
          </cell>
          <cell r="E1193">
            <v>0</v>
          </cell>
          <cell r="F1193">
            <v>0</v>
          </cell>
          <cell r="AO1193">
            <v>0</v>
          </cell>
          <cell r="AP1193">
            <v>0</v>
          </cell>
          <cell r="AQ1193">
            <v>0</v>
          </cell>
          <cell r="BA1193">
            <v>0</v>
          </cell>
          <cell r="BC1193">
            <v>0</v>
          </cell>
        </row>
        <row r="1194">
          <cell r="A1194">
            <v>0</v>
          </cell>
          <cell r="B1194">
            <v>0</v>
          </cell>
          <cell r="E1194">
            <v>0</v>
          </cell>
          <cell r="F1194">
            <v>0</v>
          </cell>
          <cell r="AO1194">
            <v>0</v>
          </cell>
          <cell r="AP1194">
            <v>0</v>
          </cell>
          <cell r="AQ1194">
            <v>0</v>
          </cell>
          <cell r="BA1194">
            <v>0</v>
          </cell>
          <cell r="BC1194">
            <v>0</v>
          </cell>
        </row>
        <row r="1195">
          <cell r="A1195">
            <v>0</v>
          </cell>
          <cell r="B1195">
            <v>0</v>
          </cell>
          <cell r="E1195">
            <v>0</v>
          </cell>
          <cell r="F1195">
            <v>0</v>
          </cell>
          <cell r="AO1195">
            <v>0</v>
          </cell>
          <cell r="AP1195">
            <v>0</v>
          </cell>
          <cell r="AQ1195">
            <v>0</v>
          </cell>
          <cell r="BA1195">
            <v>0</v>
          </cell>
          <cell r="BC1195">
            <v>0</v>
          </cell>
        </row>
        <row r="1196">
          <cell r="A1196">
            <v>0</v>
          </cell>
          <cell r="B1196">
            <v>0</v>
          </cell>
          <cell r="E1196">
            <v>0</v>
          </cell>
          <cell r="F1196">
            <v>0</v>
          </cell>
          <cell r="AO1196">
            <v>0</v>
          </cell>
          <cell r="AP1196">
            <v>0</v>
          </cell>
          <cell r="AQ1196">
            <v>0</v>
          </cell>
          <cell r="BA1196">
            <v>0</v>
          </cell>
          <cell r="BC1196">
            <v>0</v>
          </cell>
        </row>
        <row r="1197">
          <cell r="A1197">
            <v>0</v>
          </cell>
          <cell r="B1197">
            <v>0</v>
          </cell>
          <cell r="E1197">
            <v>0</v>
          </cell>
          <cell r="F1197">
            <v>0</v>
          </cell>
          <cell r="AO1197">
            <v>0</v>
          </cell>
          <cell r="AP1197">
            <v>0</v>
          </cell>
          <cell r="AQ1197">
            <v>0</v>
          </cell>
          <cell r="BA1197">
            <v>0</v>
          </cell>
          <cell r="BC1197">
            <v>0</v>
          </cell>
        </row>
        <row r="1198">
          <cell r="A1198">
            <v>0</v>
          </cell>
          <cell r="B1198">
            <v>0</v>
          </cell>
          <cell r="E1198">
            <v>0</v>
          </cell>
          <cell r="F1198">
            <v>0</v>
          </cell>
          <cell r="AO1198">
            <v>0</v>
          </cell>
          <cell r="AP1198">
            <v>0</v>
          </cell>
          <cell r="AQ1198">
            <v>0</v>
          </cell>
          <cell r="BA1198">
            <v>0</v>
          </cell>
          <cell r="BC1198">
            <v>0</v>
          </cell>
        </row>
        <row r="1199">
          <cell r="A1199">
            <v>0</v>
          </cell>
          <cell r="B1199">
            <v>0</v>
          </cell>
          <cell r="E1199">
            <v>0</v>
          </cell>
          <cell r="F1199">
            <v>0</v>
          </cell>
          <cell r="AO1199">
            <v>0</v>
          </cell>
          <cell r="AP1199">
            <v>0</v>
          </cell>
          <cell r="AQ1199">
            <v>0</v>
          </cell>
          <cell r="BA1199">
            <v>0</v>
          </cell>
          <cell r="BC1199">
            <v>0</v>
          </cell>
        </row>
        <row r="1200">
          <cell r="A1200">
            <v>0</v>
          </cell>
          <cell r="B1200">
            <v>0</v>
          </cell>
          <cell r="E1200">
            <v>0</v>
          </cell>
          <cell r="F1200">
            <v>0</v>
          </cell>
          <cell r="AO1200">
            <v>0</v>
          </cell>
          <cell r="AP1200">
            <v>0</v>
          </cell>
          <cell r="AQ1200">
            <v>0</v>
          </cell>
          <cell r="BA1200">
            <v>0</v>
          </cell>
          <cell r="BC1200">
            <v>0</v>
          </cell>
        </row>
        <row r="1201">
          <cell r="A1201">
            <v>0</v>
          </cell>
          <cell r="B1201">
            <v>0</v>
          </cell>
          <cell r="E1201">
            <v>0</v>
          </cell>
          <cell r="F1201">
            <v>0</v>
          </cell>
          <cell r="AO1201">
            <v>0</v>
          </cell>
          <cell r="AP1201">
            <v>0</v>
          </cell>
          <cell r="AQ1201">
            <v>0</v>
          </cell>
          <cell r="BA1201">
            <v>0</v>
          </cell>
          <cell r="BC1201">
            <v>0</v>
          </cell>
        </row>
        <row r="1202">
          <cell r="A1202">
            <v>0</v>
          </cell>
          <cell r="B1202">
            <v>0</v>
          </cell>
          <cell r="E1202">
            <v>0</v>
          </cell>
          <cell r="F1202">
            <v>0</v>
          </cell>
          <cell r="AO1202">
            <v>0</v>
          </cell>
          <cell r="AP1202">
            <v>0</v>
          </cell>
          <cell r="AQ1202">
            <v>0</v>
          </cell>
          <cell r="BA1202">
            <v>0</v>
          </cell>
          <cell r="BC1202">
            <v>0</v>
          </cell>
        </row>
        <row r="1203">
          <cell r="A1203">
            <v>0</v>
          </cell>
          <cell r="B1203">
            <v>0</v>
          </cell>
          <cell r="E1203">
            <v>0</v>
          </cell>
          <cell r="F1203">
            <v>0</v>
          </cell>
          <cell r="AO1203">
            <v>0</v>
          </cell>
          <cell r="AP1203">
            <v>0</v>
          </cell>
          <cell r="AQ1203">
            <v>0</v>
          </cell>
          <cell r="BA1203">
            <v>0</v>
          </cell>
          <cell r="BC1203">
            <v>0</v>
          </cell>
        </row>
        <row r="1204">
          <cell r="A1204">
            <v>0</v>
          </cell>
          <cell r="B1204">
            <v>0</v>
          </cell>
          <cell r="E1204">
            <v>0</v>
          </cell>
          <cell r="F1204">
            <v>0</v>
          </cell>
          <cell r="AO1204">
            <v>0</v>
          </cell>
          <cell r="AP1204">
            <v>0</v>
          </cell>
          <cell r="AQ1204">
            <v>0</v>
          </cell>
          <cell r="BA1204">
            <v>0</v>
          </cell>
          <cell r="BC1204">
            <v>0</v>
          </cell>
        </row>
        <row r="1205">
          <cell r="A1205">
            <v>0</v>
          </cell>
          <cell r="B1205">
            <v>0</v>
          </cell>
          <cell r="E1205">
            <v>0</v>
          </cell>
          <cell r="F1205">
            <v>0</v>
          </cell>
          <cell r="AO1205">
            <v>0</v>
          </cell>
          <cell r="AP1205">
            <v>0</v>
          </cell>
          <cell r="AQ1205">
            <v>0</v>
          </cell>
          <cell r="BA1205">
            <v>0</v>
          </cell>
          <cell r="BC1205">
            <v>0</v>
          </cell>
        </row>
        <row r="1206">
          <cell r="A1206">
            <v>0</v>
          </cell>
          <cell r="B1206">
            <v>0</v>
          </cell>
          <cell r="E1206">
            <v>0</v>
          </cell>
          <cell r="F1206">
            <v>0</v>
          </cell>
          <cell r="AO1206">
            <v>0</v>
          </cell>
          <cell r="AP1206">
            <v>0</v>
          </cell>
          <cell r="AQ1206">
            <v>0</v>
          </cell>
          <cell r="BA1206">
            <v>0</v>
          </cell>
          <cell r="BC1206">
            <v>0</v>
          </cell>
        </row>
        <row r="1207">
          <cell r="A1207">
            <v>0</v>
          </cell>
          <cell r="B1207">
            <v>0</v>
          </cell>
          <cell r="E1207">
            <v>0</v>
          </cell>
          <cell r="F1207">
            <v>0</v>
          </cell>
          <cell r="AO1207">
            <v>0</v>
          </cell>
          <cell r="AP1207">
            <v>0</v>
          </cell>
          <cell r="AQ1207">
            <v>0</v>
          </cell>
          <cell r="BA1207">
            <v>0</v>
          </cell>
          <cell r="BC1207">
            <v>0</v>
          </cell>
        </row>
        <row r="1208">
          <cell r="A1208">
            <v>0</v>
          </cell>
          <cell r="B1208">
            <v>0</v>
          </cell>
          <cell r="E1208">
            <v>0</v>
          </cell>
          <cell r="F1208">
            <v>0</v>
          </cell>
          <cell r="AO1208">
            <v>0</v>
          </cell>
          <cell r="AP1208">
            <v>0</v>
          </cell>
          <cell r="AQ1208">
            <v>0</v>
          </cell>
          <cell r="BA1208">
            <v>0</v>
          </cell>
          <cell r="BC1208">
            <v>0</v>
          </cell>
        </row>
        <row r="1209">
          <cell r="A1209">
            <v>0</v>
          </cell>
          <cell r="B1209">
            <v>0</v>
          </cell>
          <cell r="E1209">
            <v>0</v>
          </cell>
          <cell r="F1209">
            <v>0</v>
          </cell>
          <cell r="AO1209">
            <v>0</v>
          </cell>
          <cell r="AP1209">
            <v>0</v>
          </cell>
          <cell r="AQ1209">
            <v>0</v>
          </cell>
          <cell r="BA1209">
            <v>0</v>
          </cell>
          <cell r="BC1209">
            <v>0</v>
          </cell>
        </row>
        <row r="1210">
          <cell r="A1210">
            <v>0</v>
          </cell>
          <cell r="B1210">
            <v>0</v>
          </cell>
          <cell r="E1210">
            <v>0</v>
          </cell>
          <cell r="F1210">
            <v>0</v>
          </cell>
          <cell r="AO1210">
            <v>0</v>
          </cell>
          <cell r="AP1210">
            <v>0</v>
          </cell>
          <cell r="AQ1210">
            <v>0</v>
          </cell>
          <cell r="BA1210">
            <v>0</v>
          </cell>
          <cell r="BC1210">
            <v>0</v>
          </cell>
        </row>
        <row r="1211">
          <cell r="A1211">
            <v>0</v>
          </cell>
          <cell r="B1211">
            <v>0</v>
          </cell>
          <cell r="E1211">
            <v>0</v>
          </cell>
          <cell r="F1211">
            <v>0</v>
          </cell>
          <cell r="AO1211">
            <v>0</v>
          </cell>
          <cell r="AP1211">
            <v>0</v>
          </cell>
          <cell r="AQ1211">
            <v>0</v>
          </cell>
          <cell r="BA1211">
            <v>0</v>
          </cell>
          <cell r="BC1211">
            <v>0</v>
          </cell>
        </row>
        <row r="1212">
          <cell r="A1212">
            <v>0</v>
          </cell>
          <cell r="B1212">
            <v>0</v>
          </cell>
          <cell r="E1212">
            <v>0</v>
          </cell>
          <cell r="F1212">
            <v>0</v>
          </cell>
          <cell r="AO1212">
            <v>0</v>
          </cell>
          <cell r="AP1212">
            <v>0</v>
          </cell>
          <cell r="AQ1212">
            <v>0</v>
          </cell>
          <cell r="BA1212">
            <v>0</v>
          </cell>
          <cell r="BC1212">
            <v>0</v>
          </cell>
        </row>
        <row r="1213">
          <cell r="A1213">
            <v>0</v>
          </cell>
          <cell r="B1213">
            <v>0</v>
          </cell>
          <cell r="E1213">
            <v>0</v>
          </cell>
          <cell r="F1213">
            <v>0</v>
          </cell>
          <cell r="AO1213">
            <v>0</v>
          </cell>
          <cell r="AP1213">
            <v>0</v>
          </cell>
          <cell r="AQ1213">
            <v>0</v>
          </cell>
          <cell r="BA1213">
            <v>0</v>
          </cell>
          <cell r="BC1213">
            <v>0</v>
          </cell>
        </row>
        <row r="1214">
          <cell r="A1214">
            <v>0</v>
          </cell>
          <cell r="B1214">
            <v>0</v>
          </cell>
          <cell r="E1214">
            <v>0</v>
          </cell>
          <cell r="F1214">
            <v>0</v>
          </cell>
          <cell r="AO1214">
            <v>0</v>
          </cell>
          <cell r="AP1214">
            <v>0</v>
          </cell>
          <cell r="AQ1214">
            <v>0</v>
          </cell>
          <cell r="BA1214">
            <v>0</v>
          </cell>
          <cell r="BC1214">
            <v>0</v>
          </cell>
        </row>
        <row r="1215">
          <cell r="A1215">
            <v>0</v>
          </cell>
          <cell r="B1215">
            <v>0</v>
          </cell>
          <cell r="E1215">
            <v>0</v>
          </cell>
          <cell r="F1215">
            <v>0</v>
          </cell>
          <cell r="AO1215">
            <v>0</v>
          </cell>
          <cell r="AP1215">
            <v>0</v>
          </cell>
          <cell r="AQ1215">
            <v>0</v>
          </cell>
          <cell r="BA1215">
            <v>0</v>
          </cell>
          <cell r="BC1215">
            <v>0</v>
          </cell>
        </row>
        <row r="1216">
          <cell r="A1216">
            <v>0</v>
          </cell>
          <cell r="B1216">
            <v>0</v>
          </cell>
          <cell r="E1216">
            <v>0</v>
          </cell>
          <cell r="F1216">
            <v>0</v>
          </cell>
          <cell r="AO1216">
            <v>0</v>
          </cell>
          <cell r="AP1216">
            <v>0</v>
          </cell>
          <cell r="AQ1216">
            <v>0</v>
          </cell>
          <cell r="BA1216">
            <v>0</v>
          </cell>
          <cell r="BC1216">
            <v>0</v>
          </cell>
        </row>
        <row r="1217">
          <cell r="A1217">
            <v>0</v>
          </cell>
          <cell r="B1217">
            <v>0</v>
          </cell>
          <cell r="E1217">
            <v>0</v>
          </cell>
          <cell r="F1217">
            <v>0</v>
          </cell>
          <cell r="AO1217">
            <v>0</v>
          </cell>
          <cell r="AP1217">
            <v>0</v>
          </cell>
          <cell r="AQ1217">
            <v>0</v>
          </cell>
          <cell r="BA1217">
            <v>0</v>
          </cell>
          <cell r="BC1217">
            <v>0</v>
          </cell>
        </row>
        <row r="1218">
          <cell r="A1218">
            <v>0</v>
          </cell>
          <cell r="B1218">
            <v>0</v>
          </cell>
          <cell r="E1218">
            <v>0</v>
          </cell>
          <cell r="F1218">
            <v>0</v>
          </cell>
          <cell r="AO1218">
            <v>0</v>
          </cell>
          <cell r="AP1218">
            <v>0</v>
          </cell>
          <cell r="AQ1218">
            <v>0</v>
          </cell>
          <cell r="BA1218">
            <v>0</v>
          </cell>
          <cell r="BC1218">
            <v>0</v>
          </cell>
        </row>
        <row r="1219">
          <cell r="A1219">
            <v>0</v>
          </cell>
          <cell r="B1219">
            <v>0</v>
          </cell>
          <cell r="E1219">
            <v>0</v>
          </cell>
          <cell r="F1219">
            <v>0</v>
          </cell>
          <cell r="AO1219">
            <v>0</v>
          </cell>
          <cell r="AP1219">
            <v>0</v>
          </cell>
          <cell r="AQ1219">
            <v>0</v>
          </cell>
          <cell r="BA1219">
            <v>0</v>
          </cell>
          <cell r="BC1219">
            <v>0</v>
          </cell>
        </row>
        <row r="1220">
          <cell r="A1220">
            <v>0</v>
          </cell>
          <cell r="B1220">
            <v>0</v>
          </cell>
          <cell r="E1220">
            <v>0</v>
          </cell>
          <cell r="F1220">
            <v>0</v>
          </cell>
          <cell r="AO1220">
            <v>0</v>
          </cell>
          <cell r="AP1220">
            <v>0</v>
          </cell>
          <cell r="AQ1220">
            <v>0</v>
          </cell>
          <cell r="BA1220">
            <v>0</v>
          </cell>
          <cell r="BC1220">
            <v>0</v>
          </cell>
        </row>
        <row r="1221">
          <cell r="A1221">
            <v>0</v>
          </cell>
          <cell r="B1221">
            <v>0</v>
          </cell>
          <cell r="E1221">
            <v>0</v>
          </cell>
          <cell r="F1221">
            <v>0</v>
          </cell>
          <cell r="AO1221">
            <v>0</v>
          </cell>
          <cell r="AP1221">
            <v>0</v>
          </cell>
          <cell r="AQ1221">
            <v>0</v>
          </cell>
          <cell r="BA1221">
            <v>0</v>
          </cell>
          <cell r="BC1221">
            <v>0</v>
          </cell>
        </row>
        <row r="1222">
          <cell r="A1222">
            <v>0</v>
          </cell>
          <cell r="B1222">
            <v>0</v>
          </cell>
          <cell r="E1222">
            <v>0</v>
          </cell>
          <cell r="F1222">
            <v>0</v>
          </cell>
          <cell r="AO1222">
            <v>0</v>
          </cell>
          <cell r="AP1222">
            <v>0</v>
          </cell>
          <cell r="AQ1222">
            <v>0</v>
          </cell>
          <cell r="BA1222">
            <v>0</v>
          </cell>
          <cell r="BC1222">
            <v>0</v>
          </cell>
        </row>
        <row r="1223">
          <cell r="A1223">
            <v>0</v>
          </cell>
          <cell r="B1223">
            <v>0</v>
          </cell>
          <cell r="E1223">
            <v>0</v>
          </cell>
          <cell r="F1223">
            <v>0</v>
          </cell>
          <cell r="AO1223">
            <v>0</v>
          </cell>
          <cell r="AP1223">
            <v>0</v>
          </cell>
          <cell r="AQ1223">
            <v>0</v>
          </cell>
          <cell r="BA1223">
            <v>0</v>
          </cell>
          <cell r="BC1223">
            <v>0</v>
          </cell>
        </row>
        <row r="1224">
          <cell r="A1224">
            <v>0</v>
          </cell>
          <cell r="B1224">
            <v>0</v>
          </cell>
          <cell r="E1224">
            <v>0</v>
          </cell>
          <cell r="F1224">
            <v>0</v>
          </cell>
          <cell r="AO1224">
            <v>0</v>
          </cell>
          <cell r="AP1224">
            <v>0</v>
          </cell>
          <cell r="AQ1224">
            <v>0</v>
          </cell>
          <cell r="BA1224">
            <v>0</v>
          </cell>
          <cell r="BC1224">
            <v>0</v>
          </cell>
        </row>
        <row r="1225">
          <cell r="A1225">
            <v>0</v>
          </cell>
          <cell r="B1225">
            <v>0</v>
          </cell>
          <cell r="E1225">
            <v>0</v>
          </cell>
          <cell r="F1225">
            <v>0</v>
          </cell>
          <cell r="AO1225">
            <v>0</v>
          </cell>
          <cell r="AP1225">
            <v>0</v>
          </cell>
          <cell r="AQ1225">
            <v>0</v>
          </cell>
          <cell r="BA1225">
            <v>0</v>
          </cell>
          <cell r="BC1225">
            <v>0</v>
          </cell>
        </row>
        <row r="1226">
          <cell r="A1226">
            <v>0</v>
          </cell>
          <cell r="B1226">
            <v>0</v>
          </cell>
          <cell r="E1226">
            <v>0</v>
          </cell>
          <cell r="F1226">
            <v>0</v>
          </cell>
          <cell r="AO1226">
            <v>0</v>
          </cell>
          <cell r="AP1226">
            <v>0</v>
          </cell>
          <cell r="AQ1226">
            <v>0</v>
          </cell>
          <cell r="BA1226">
            <v>0</v>
          </cell>
          <cell r="BC1226">
            <v>0</v>
          </cell>
        </row>
        <row r="1227">
          <cell r="A1227">
            <v>0</v>
          </cell>
          <cell r="B1227">
            <v>0</v>
          </cell>
          <cell r="E1227">
            <v>0</v>
          </cell>
          <cell r="F1227">
            <v>0</v>
          </cell>
          <cell r="AO1227">
            <v>0</v>
          </cell>
          <cell r="AP1227">
            <v>0</v>
          </cell>
          <cell r="AQ1227">
            <v>0</v>
          </cell>
          <cell r="BA1227">
            <v>0</v>
          </cell>
          <cell r="BC1227">
            <v>0</v>
          </cell>
        </row>
        <row r="1228">
          <cell r="A1228">
            <v>0</v>
          </cell>
          <cell r="B1228">
            <v>0</v>
          </cell>
          <cell r="E1228">
            <v>0</v>
          </cell>
          <cell r="F1228">
            <v>0</v>
          </cell>
          <cell r="AO1228">
            <v>0</v>
          </cell>
          <cell r="AP1228">
            <v>0</v>
          </cell>
          <cell r="AQ1228">
            <v>0</v>
          </cell>
          <cell r="BA1228">
            <v>0</v>
          </cell>
          <cell r="BC1228">
            <v>0</v>
          </cell>
        </row>
        <row r="1229">
          <cell r="A1229">
            <v>0</v>
          </cell>
          <cell r="B1229">
            <v>0</v>
          </cell>
          <cell r="E1229">
            <v>0</v>
          </cell>
          <cell r="F1229">
            <v>0</v>
          </cell>
          <cell r="AO1229">
            <v>0</v>
          </cell>
          <cell r="AP1229">
            <v>0</v>
          </cell>
          <cell r="AQ1229">
            <v>0</v>
          </cell>
          <cell r="BA1229">
            <v>0</v>
          </cell>
          <cell r="BC1229">
            <v>0</v>
          </cell>
        </row>
        <row r="1230">
          <cell r="A1230">
            <v>0</v>
          </cell>
          <cell r="B1230">
            <v>0</v>
          </cell>
          <cell r="E1230">
            <v>0</v>
          </cell>
          <cell r="F1230">
            <v>0</v>
          </cell>
          <cell r="AO1230">
            <v>0</v>
          </cell>
          <cell r="AP1230">
            <v>0</v>
          </cell>
          <cell r="AQ1230">
            <v>0</v>
          </cell>
          <cell r="BA1230">
            <v>0</v>
          </cell>
          <cell r="BC1230">
            <v>0</v>
          </cell>
        </row>
        <row r="1231">
          <cell r="A1231">
            <v>0</v>
          </cell>
          <cell r="B1231">
            <v>0</v>
          </cell>
          <cell r="E1231">
            <v>0</v>
          </cell>
          <cell r="F1231">
            <v>0</v>
          </cell>
          <cell r="AO1231">
            <v>0</v>
          </cell>
          <cell r="AP1231">
            <v>0</v>
          </cell>
          <cell r="AQ1231">
            <v>0</v>
          </cell>
          <cell r="BA1231">
            <v>0</v>
          </cell>
          <cell r="BC1231">
            <v>0</v>
          </cell>
        </row>
        <row r="1232">
          <cell r="A1232">
            <v>0</v>
          </cell>
          <cell r="B1232">
            <v>0</v>
          </cell>
          <cell r="E1232">
            <v>0</v>
          </cell>
          <cell r="F1232">
            <v>0</v>
          </cell>
          <cell r="AO1232">
            <v>0</v>
          </cell>
          <cell r="AP1232">
            <v>0</v>
          </cell>
          <cell r="AQ1232">
            <v>0</v>
          </cell>
          <cell r="BA1232">
            <v>0</v>
          </cell>
          <cell r="BC1232">
            <v>0</v>
          </cell>
        </row>
        <row r="1233">
          <cell r="A1233">
            <v>0</v>
          </cell>
          <cell r="B1233">
            <v>0</v>
          </cell>
          <cell r="E1233">
            <v>0</v>
          </cell>
          <cell r="F1233">
            <v>0</v>
          </cell>
          <cell r="AO1233">
            <v>0</v>
          </cell>
          <cell r="AP1233">
            <v>0</v>
          </cell>
          <cell r="AQ1233">
            <v>0</v>
          </cell>
          <cell r="BA1233">
            <v>0</v>
          </cell>
          <cell r="BC1233">
            <v>0</v>
          </cell>
        </row>
        <row r="1234">
          <cell r="A1234">
            <v>0</v>
          </cell>
          <cell r="B1234">
            <v>0</v>
          </cell>
          <cell r="E1234">
            <v>0</v>
          </cell>
          <cell r="F1234">
            <v>0</v>
          </cell>
          <cell r="AO1234">
            <v>0</v>
          </cell>
          <cell r="AP1234">
            <v>0</v>
          </cell>
          <cell r="AQ1234">
            <v>0</v>
          </cell>
          <cell r="BA1234">
            <v>0</v>
          </cell>
          <cell r="BC1234">
            <v>0</v>
          </cell>
        </row>
        <row r="1235">
          <cell r="A1235">
            <v>0</v>
          </cell>
          <cell r="B1235">
            <v>0</v>
          </cell>
          <cell r="E1235">
            <v>0</v>
          </cell>
          <cell r="F1235">
            <v>0</v>
          </cell>
          <cell r="AO1235">
            <v>0</v>
          </cell>
          <cell r="AP1235">
            <v>0</v>
          </cell>
          <cell r="AQ1235">
            <v>0</v>
          </cell>
          <cell r="BA1235">
            <v>0</v>
          </cell>
          <cell r="BC1235">
            <v>0</v>
          </cell>
        </row>
        <row r="1236">
          <cell r="A1236">
            <v>0</v>
          </cell>
          <cell r="B1236">
            <v>0</v>
          </cell>
          <cell r="E1236">
            <v>0</v>
          </cell>
          <cell r="F1236">
            <v>0</v>
          </cell>
          <cell r="AO1236">
            <v>0</v>
          </cell>
          <cell r="AP1236">
            <v>0</v>
          </cell>
          <cell r="AQ1236">
            <v>0</v>
          </cell>
          <cell r="BA1236">
            <v>0</v>
          </cell>
          <cell r="BC1236">
            <v>0</v>
          </cell>
        </row>
        <row r="1237">
          <cell r="A1237">
            <v>0</v>
          </cell>
          <cell r="B1237">
            <v>0</v>
          </cell>
          <cell r="E1237">
            <v>0</v>
          </cell>
          <cell r="F1237">
            <v>0</v>
          </cell>
          <cell r="AO1237">
            <v>0</v>
          </cell>
          <cell r="AP1237">
            <v>0</v>
          </cell>
          <cell r="AQ1237">
            <v>0</v>
          </cell>
          <cell r="BA1237">
            <v>0</v>
          </cell>
          <cell r="BC1237">
            <v>0</v>
          </cell>
        </row>
        <row r="1238">
          <cell r="A1238">
            <v>0</v>
          </cell>
          <cell r="B1238">
            <v>0</v>
          </cell>
          <cell r="E1238">
            <v>0</v>
          </cell>
          <cell r="F1238">
            <v>0</v>
          </cell>
          <cell r="AO1238">
            <v>0</v>
          </cell>
          <cell r="AP1238">
            <v>0</v>
          </cell>
          <cell r="AQ1238">
            <v>0</v>
          </cell>
          <cell r="BA1238">
            <v>0</v>
          </cell>
          <cell r="BC1238">
            <v>0</v>
          </cell>
        </row>
        <row r="1239">
          <cell r="A1239">
            <v>0</v>
          </cell>
          <cell r="B1239">
            <v>0</v>
          </cell>
          <cell r="E1239">
            <v>0</v>
          </cell>
          <cell r="F1239">
            <v>0</v>
          </cell>
          <cell r="AO1239">
            <v>0</v>
          </cell>
          <cell r="AP1239">
            <v>0</v>
          </cell>
          <cell r="AQ1239">
            <v>0</v>
          </cell>
          <cell r="BA1239">
            <v>0</v>
          </cell>
          <cell r="BC1239">
            <v>0</v>
          </cell>
        </row>
        <row r="1240">
          <cell r="A1240">
            <v>0</v>
          </cell>
          <cell r="B1240">
            <v>0</v>
          </cell>
          <cell r="E1240">
            <v>0</v>
          </cell>
          <cell r="F1240">
            <v>0</v>
          </cell>
          <cell r="AO1240">
            <v>0</v>
          </cell>
          <cell r="AP1240">
            <v>0</v>
          </cell>
          <cell r="AQ1240">
            <v>0</v>
          </cell>
          <cell r="BA1240">
            <v>0</v>
          </cell>
          <cell r="BC1240">
            <v>0</v>
          </cell>
        </row>
        <row r="1241">
          <cell r="A1241">
            <v>0</v>
          </cell>
          <cell r="B1241">
            <v>0</v>
          </cell>
          <cell r="E1241">
            <v>0</v>
          </cell>
          <cell r="F1241">
            <v>0</v>
          </cell>
          <cell r="AO1241">
            <v>0</v>
          </cell>
          <cell r="AP1241">
            <v>0</v>
          </cell>
          <cell r="AQ1241">
            <v>0</v>
          </cell>
          <cell r="BA1241">
            <v>0</v>
          </cell>
          <cell r="BC1241">
            <v>0</v>
          </cell>
        </row>
        <row r="1242">
          <cell r="A1242">
            <v>0</v>
          </cell>
          <cell r="B1242">
            <v>0</v>
          </cell>
          <cell r="E1242">
            <v>0</v>
          </cell>
          <cell r="F1242">
            <v>0</v>
          </cell>
          <cell r="AO1242">
            <v>0</v>
          </cell>
          <cell r="AP1242">
            <v>0</v>
          </cell>
          <cell r="AQ1242">
            <v>0</v>
          </cell>
          <cell r="BA1242">
            <v>0</v>
          </cell>
          <cell r="BC1242">
            <v>0</v>
          </cell>
        </row>
        <row r="1243">
          <cell r="A1243">
            <v>0</v>
          </cell>
          <cell r="B1243">
            <v>0</v>
          </cell>
          <cell r="E1243">
            <v>0</v>
          </cell>
          <cell r="F1243">
            <v>0</v>
          </cell>
          <cell r="AO1243">
            <v>0</v>
          </cell>
          <cell r="AP1243">
            <v>0</v>
          </cell>
          <cell r="AQ1243">
            <v>0</v>
          </cell>
          <cell r="BA1243">
            <v>0</v>
          </cell>
          <cell r="BC1243">
            <v>0</v>
          </cell>
        </row>
        <row r="1244">
          <cell r="A1244">
            <v>0</v>
          </cell>
          <cell r="B1244">
            <v>0</v>
          </cell>
          <cell r="E1244">
            <v>0</v>
          </cell>
          <cell r="F1244">
            <v>0</v>
          </cell>
          <cell r="AO1244">
            <v>0</v>
          </cell>
          <cell r="AP1244">
            <v>0</v>
          </cell>
          <cell r="AQ1244">
            <v>0</v>
          </cell>
          <cell r="BA1244">
            <v>0</v>
          </cell>
          <cell r="BC1244">
            <v>0</v>
          </cell>
        </row>
        <row r="1245">
          <cell r="A1245">
            <v>0</v>
          </cell>
          <cell r="B1245">
            <v>0</v>
          </cell>
          <cell r="E1245">
            <v>0</v>
          </cell>
          <cell r="F1245">
            <v>0</v>
          </cell>
          <cell r="AO1245">
            <v>0</v>
          </cell>
          <cell r="AP1245">
            <v>0</v>
          </cell>
          <cell r="AQ1245">
            <v>0</v>
          </cell>
          <cell r="BA1245">
            <v>0</v>
          </cell>
          <cell r="BC1245">
            <v>0</v>
          </cell>
        </row>
        <row r="1246">
          <cell r="A1246">
            <v>0</v>
          </cell>
          <cell r="B1246">
            <v>0</v>
          </cell>
          <cell r="E1246">
            <v>0</v>
          </cell>
          <cell r="F1246">
            <v>0</v>
          </cell>
          <cell r="AO1246">
            <v>0</v>
          </cell>
          <cell r="AP1246">
            <v>0</v>
          </cell>
          <cell r="AQ1246">
            <v>0</v>
          </cell>
          <cell r="BA1246">
            <v>0</v>
          </cell>
          <cell r="BC1246">
            <v>0</v>
          </cell>
        </row>
        <row r="1247">
          <cell r="A1247">
            <v>0</v>
          </cell>
          <cell r="B1247">
            <v>0</v>
          </cell>
          <cell r="E1247">
            <v>0</v>
          </cell>
          <cell r="F1247">
            <v>0</v>
          </cell>
          <cell r="AO1247">
            <v>0</v>
          </cell>
          <cell r="AP1247">
            <v>0</v>
          </cell>
          <cell r="AQ1247">
            <v>0</v>
          </cell>
          <cell r="BA1247">
            <v>0</v>
          </cell>
          <cell r="BC1247">
            <v>0</v>
          </cell>
        </row>
        <row r="1248">
          <cell r="A1248">
            <v>0</v>
          </cell>
          <cell r="B1248">
            <v>0</v>
          </cell>
          <cell r="E1248">
            <v>0</v>
          </cell>
          <cell r="F1248">
            <v>0</v>
          </cell>
          <cell r="AO1248">
            <v>0</v>
          </cell>
          <cell r="AP1248">
            <v>0</v>
          </cell>
          <cell r="AQ1248">
            <v>0</v>
          </cell>
          <cell r="BA1248">
            <v>0</v>
          </cell>
          <cell r="BC1248">
            <v>0</v>
          </cell>
        </row>
        <row r="1249">
          <cell r="A1249">
            <v>0</v>
          </cell>
          <cell r="B1249">
            <v>0</v>
          </cell>
          <cell r="E1249">
            <v>0</v>
          </cell>
          <cell r="F1249">
            <v>0</v>
          </cell>
          <cell r="AO1249">
            <v>0</v>
          </cell>
          <cell r="AP1249">
            <v>0</v>
          </cell>
          <cell r="AQ1249">
            <v>0</v>
          </cell>
          <cell r="BA1249">
            <v>0</v>
          </cell>
          <cell r="BC1249">
            <v>0</v>
          </cell>
        </row>
        <row r="1250">
          <cell r="A1250">
            <v>0</v>
          </cell>
          <cell r="B1250">
            <v>0</v>
          </cell>
          <cell r="E1250">
            <v>0</v>
          </cell>
          <cell r="F1250">
            <v>0</v>
          </cell>
          <cell r="AO1250">
            <v>0</v>
          </cell>
          <cell r="AP1250">
            <v>0</v>
          </cell>
          <cell r="AQ1250">
            <v>0</v>
          </cell>
          <cell r="BA1250">
            <v>0</v>
          </cell>
          <cell r="BC1250">
            <v>0</v>
          </cell>
        </row>
        <row r="1251">
          <cell r="A1251">
            <v>0</v>
          </cell>
          <cell r="B1251">
            <v>0</v>
          </cell>
          <cell r="E1251">
            <v>0</v>
          </cell>
          <cell r="F1251">
            <v>0</v>
          </cell>
          <cell r="AO1251">
            <v>0</v>
          </cell>
          <cell r="AP1251">
            <v>0</v>
          </cell>
          <cell r="AQ1251">
            <v>0</v>
          </cell>
          <cell r="BA1251">
            <v>0</v>
          </cell>
          <cell r="BC1251">
            <v>0</v>
          </cell>
        </row>
        <row r="1252">
          <cell r="A1252">
            <v>0</v>
          </cell>
          <cell r="B1252">
            <v>0</v>
          </cell>
          <cell r="E1252">
            <v>0</v>
          </cell>
          <cell r="F1252">
            <v>0</v>
          </cell>
          <cell r="AO1252">
            <v>0</v>
          </cell>
          <cell r="AP1252">
            <v>0</v>
          </cell>
          <cell r="AQ1252">
            <v>0</v>
          </cell>
          <cell r="BA1252">
            <v>0</v>
          </cell>
          <cell r="BC1252">
            <v>0</v>
          </cell>
        </row>
        <row r="1253">
          <cell r="A1253">
            <v>0</v>
          </cell>
          <cell r="B1253">
            <v>0</v>
          </cell>
          <cell r="E1253">
            <v>0</v>
          </cell>
          <cell r="F1253">
            <v>0</v>
          </cell>
          <cell r="AO1253">
            <v>0</v>
          </cell>
          <cell r="AP1253">
            <v>0</v>
          </cell>
          <cell r="AQ1253">
            <v>0</v>
          </cell>
          <cell r="BA1253">
            <v>0</v>
          </cell>
          <cell r="BC1253">
            <v>0</v>
          </cell>
        </row>
        <row r="1254">
          <cell r="A1254">
            <v>0</v>
          </cell>
          <cell r="B1254">
            <v>0</v>
          </cell>
          <cell r="E1254">
            <v>0</v>
          </cell>
          <cell r="F1254">
            <v>0</v>
          </cell>
          <cell r="AO1254">
            <v>0</v>
          </cell>
          <cell r="AP1254">
            <v>0</v>
          </cell>
          <cell r="AQ1254">
            <v>0</v>
          </cell>
          <cell r="BA1254">
            <v>0</v>
          </cell>
          <cell r="BC1254">
            <v>0</v>
          </cell>
        </row>
        <row r="1255">
          <cell r="A1255">
            <v>0</v>
          </cell>
          <cell r="B1255">
            <v>0</v>
          </cell>
          <cell r="E1255">
            <v>0</v>
          </cell>
          <cell r="F1255">
            <v>0</v>
          </cell>
          <cell r="AO1255">
            <v>0</v>
          </cell>
          <cell r="AP1255">
            <v>0</v>
          </cell>
          <cell r="AQ1255">
            <v>0</v>
          </cell>
          <cell r="BA1255">
            <v>0</v>
          </cell>
          <cell r="BC1255">
            <v>0</v>
          </cell>
        </row>
        <row r="1256">
          <cell r="A1256">
            <v>0</v>
          </cell>
          <cell r="B1256">
            <v>0</v>
          </cell>
          <cell r="E1256">
            <v>0</v>
          </cell>
          <cell r="F1256">
            <v>0</v>
          </cell>
          <cell r="AO1256">
            <v>0</v>
          </cell>
          <cell r="AP1256">
            <v>0</v>
          </cell>
          <cell r="AQ1256">
            <v>0</v>
          </cell>
          <cell r="BA1256">
            <v>0</v>
          </cell>
          <cell r="BC1256">
            <v>0</v>
          </cell>
        </row>
        <row r="1257">
          <cell r="A1257">
            <v>0</v>
          </cell>
          <cell r="B1257">
            <v>0</v>
          </cell>
          <cell r="E1257">
            <v>0</v>
          </cell>
          <cell r="F1257">
            <v>0</v>
          </cell>
          <cell r="AO1257">
            <v>0</v>
          </cell>
          <cell r="AP1257">
            <v>0</v>
          </cell>
          <cell r="AQ1257">
            <v>0</v>
          </cell>
          <cell r="BA1257">
            <v>0</v>
          </cell>
          <cell r="BC1257">
            <v>0</v>
          </cell>
        </row>
        <row r="1258">
          <cell r="A1258">
            <v>0</v>
          </cell>
          <cell r="B1258">
            <v>0</v>
          </cell>
          <cell r="E1258">
            <v>0</v>
          </cell>
          <cell r="F1258">
            <v>0</v>
          </cell>
          <cell r="AO1258">
            <v>0</v>
          </cell>
          <cell r="AP1258">
            <v>0</v>
          </cell>
          <cell r="AQ1258">
            <v>0</v>
          </cell>
          <cell r="BA1258">
            <v>0</v>
          </cell>
          <cell r="BC1258">
            <v>0</v>
          </cell>
        </row>
        <row r="1259">
          <cell r="A1259">
            <v>0</v>
          </cell>
          <cell r="B1259">
            <v>0</v>
          </cell>
          <cell r="E1259">
            <v>0</v>
          </cell>
          <cell r="F1259">
            <v>0</v>
          </cell>
          <cell r="AO1259">
            <v>0</v>
          </cell>
          <cell r="AP1259">
            <v>0</v>
          </cell>
          <cell r="AQ1259">
            <v>0</v>
          </cell>
          <cell r="BA1259">
            <v>0</v>
          </cell>
          <cell r="BC1259">
            <v>0</v>
          </cell>
        </row>
        <row r="1260">
          <cell r="A1260">
            <v>0</v>
          </cell>
          <cell r="B1260">
            <v>0</v>
          </cell>
          <cell r="E1260">
            <v>0</v>
          </cell>
          <cell r="F1260">
            <v>0</v>
          </cell>
          <cell r="AO1260">
            <v>0</v>
          </cell>
          <cell r="AP1260">
            <v>0</v>
          </cell>
          <cell r="AQ1260">
            <v>0</v>
          </cell>
          <cell r="BA1260">
            <v>0</v>
          </cell>
          <cell r="BC1260">
            <v>0</v>
          </cell>
        </row>
        <row r="1261">
          <cell r="A1261">
            <v>0</v>
          </cell>
          <cell r="B1261">
            <v>0</v>
          </cell>
          <cell r="E1261">
            <v>0</v>
          </cell>
          <cell r="F1261">
            <v>0</v>
          </cell>
          <cell r="AO1261">
            <v>0</v>
          </cell>
          <cell r="AP1261">
            <v>0</v>
          </cell>
          <cell r="AQ1261">
            <v>0</v>
          </cell>
          <cell r="BA1261">
            <v>0</v>
          </cell>
          <cell r="BC1261">
            <v>0</v>
          </cell>
        </row>
        <row r="1262">
          <cell r="A1262">
            <v>0</v>
          </cell>
          <cell r="B1262">
            <v>0</v>
          </cell>
          <cell r="E1262">
            <v>0</v>
          </cell>
          <cell r="F1262">
            <v>0</v>
          </cell>
          <cell r="AO1262">
            <v>0</v>
          </cell>
          <cell r="AP1262">
            <v>0</v>
          </cell>
          <cell r="AQ1262">
            <v>0</v>
          </cell>
          <cell r="BA1262">
            <v>0</v>
          </cell>
          <cell r="BC1262">
            <v>0</v>
          </cell>
        </row>
        <row r="1263">
          <cell r="A1263">
            <v>0</v>
          </cell>
          <cell r="B1263">
            <v>0</v>
          </cell>
          <cell r="E1263">
            <v>0</v>
          </cell>
          <cell r="F1263">
            <v>0</v>
          </cell>
          <cell r="AO1263">
            <v>0</v>
          </cell>
          <cell r="AP1263">
            <v>0</v>
          </cell>
          <cell r="AQ1263">
            <v>0</v>
          </cell>
          <cell r="BA1263">
            <v>0</v>
          </cell>
          <cell r="BC1263">
            <v>0</v>
          </cell>
        </row>
        <row r="1264">
          <cell r="A1264">
            <v>0</v>
          </cell>
          <cell r="B1264">
            <v>0</v>
          </cell>
          <cell r="E1264">
            <v>0</v>
          </cell>
          <cell r="F1264">
            <v>0</v>
          </cell>
          <cell r="AO1264">
            <v>0</v>
          </cell>
          <cell r="AP1264">
            <v>0</v>
          </cell>
          <cell r="AQ1264">
            <v>0</v>
          </cell>
          <cell r="BA1264">
            <v>0</v>
          </cell>
          <cell r="BC1264">
            <v>0</v>
          </cell>
        </row>
        <row r="1265">
          <cell r="A1265">
            <v>0</v>
          </cell>
          <cell r="B1265">
            <v>0</v>
          </cell>
          <cell r="E1265">
            <v>0</v>
          </cell>
          <cell r="F1265">
            <v>0</v>
          </cell>
          <cell r="AO1265">
            <v>0</v>
          </cell>
          <cell r="AP1265">
            <v>0</v>
          </cell>
          <cell r="AQ1265">
            <v>0</v>
          </cell>
          <cell r="BA1265">
            <v>0</v>
          </cell>
          <cell r="BC1265">
            <v>0</v>
          </cell>
        </row>
        <row r="1266">
          <cell r="A1266">
            <v>0</v>
          </cell>
          <cell r="B1266">
            <v>0</v>
          </cell>
          <cell r="E1266">
            <v>0</v>
          </cell>
          <cell r="F1266">
            <v>0</v>
          </cell>
          <cell r="AO1266">
            <v>0</v>
          </cell>
          <cell r="AP1266">
            <v>0</v>
          </cell>
          <cell r="AQ1266">
            <v>0</v>
          </cell>
          <cell r="BA1266">
            <v>0</v>
          </cell>
          <cell r="BC1266">
            <v>0</v>
          </cell>
        </row>
        <row r="1267">
          <cell r="A1267">
            <v>0</v>
          </cell>
          <cell r="B1267">
            <v>0</v>
          </cell>
          <cell r="E1267">
            <v>0</v>
          </cell>
          <cell r="F1267">
            <v>0</v>
          </cell>
          <cell r="AO1267">
            <v>0</v>
          </cell>
          <cell r="AP1267">
            <v>0</v>
          </cell>
          <cell r="AQ1267">
            <v>0</v>
          </cell>
          <cell r="BA1267">
            <v>0</v>
          </cell>
          <cell r="BC1267">
            <v>0</v>
          </cell>
        </row>
        <row r="1268">
          <cell r="A1268">
            <v>0</v>
          </cell>
          <cell r="B1268">
            <v>0</v>
          </cell>
          <cell r="E1268">
            <v>0</v>
          </cell>
          <cell r="F1268">
            <v>0</v>
          </cell>
          <cell r="AO1268">
            <v>0</v>
          </cell>
          <cell r="AP1268">
            <v>0</v>
          </cell>
          <cell r="AQ1268">
            <v>0</v>
          </cell>
          <cell r="BA1268">
            <v>0</v>
          </cell>
          <cell r="BC1268">
            <v>0</v>
          </cell>
        </row>
        <row r="1269">
          <cell r="A1269">
            <v>0</v>
          </cell>
          <cell r="B1269">
            <v>0</v>
          </cell>
          <cell r="E1269">
            <v>0</v>
          </cell>
          <cell r="F1269">
            <v>0</v>
          </cell>
          <cell r="AO1269">
            <v>0</v>
          </cell>
          <cell r="AP1269">
            <v>0</v>
          </cell>
          <cell r="AQ1269">
            <v>0</v>
          </cell>
          <cell r="BA1269">
            <v>0</v>
          </cell>
          <cell r="BC1269">
            <v>0</v>
          </cell>
        </row>
        <row r="1270">
          <cell r="A1270">
            <v>0</v>
          </cell>
          <cell r="B1270">
            <v>0</v>
          </cell>
          <cell r="E1270">
            <v>0</v>
          </cell>
          <cell r="F1270">
            <v>0</v>
          </cell>
          <cell r="AO1270">
            <v>0</v>
          </cell>
          <cell r="AP1270">
            <v>0</v>
          </cell>
          <cell r="AQ1270">
            <v>0</v>
          </cell>
          <cell r="BA1270">
            <v>0</v>
          </cell>
          <cell r="BC1270">
            <v>0</v>
          </cell>
        </row>
        <row r="1271">
          <cell r="A1271">
            <v>0</v>
          </cell>
          <cell r="B1271">
            <v>0</v>
          </cell>
          <cell r="E1271">
            <v>0</v>
          </cell>
          <cell r="F1271">
            <v>0</v>
          </cell>
          <cell r="AO1271">
            <v>0</v>
          </cell>
          <cell r="AP1271">
            <v>0</v>
          </cell>
          <cell r="AQ1271">
            <v>0</v>
          </cell>
          <cell r="BA1271">
            <v>0</v>
          </cell>
          <cell r="BC1271">
            <v>0</v>
          </cell>
        </row>
        <row r="1272">
          <cell r="A1272">
            <v>0</v>
          </cell>
          <cell r="B1272">
            <v>0</v>
          </cell>
          <cell r="E1272">
            <v>0</v>
          </cell>
          <cell r="F1272">
            <v>0</v>
          </cell>
          <cell r="AO1272">
            <v>0</v>
          </cell>
          <cell r="AP1272">
            <v>0</v>
          </cell>
          <cell r="AQ1272">
            <v>0</v>
          </cell>
          <cell r="BA1272">
            <v>0</v>
          </cell>
          <cell r="BC1272">
            <v>0</v>
          </cell>
        </row>
        <row r="1273">
          <cell r="A1273">
            <v>0</v>
          </cell>
          <cell r="B1273">
            <v>0</v>
          </cell>
          <cell r="E1273">
            <v>0</v>
          </cell>
          <cell r="F1273">
            <v>0</v>
          </cell>
          <cell r="AO1273">
            <v>0</v>
          </cell>
          <cell r="AP1273">
            <v>0</v>
          </cell>
          <cell r="AQ1273">
            <v>0</v>
          </cell>
          <cell r="BA1273">
            <v>0</v>
          </cell>
          <cell r="BC1273">
            <v>0</v>
          </cell>
        </row>
        <row r="1274">
          <cell r="A1274">
            <v>0</v>
          </cell>
          <cell r="B1274">
            <v>0</v>
          </cell>
          <cell r="E1274">
            <v>0</v>
          </cell>
          <cell r="F1274">
            <v>0</v>
          </cell>
          <cell r="AO1274">
            <v>0</v>
          </cell>
          <cell r="AP1274">
            <v>0</v>
          </cell>
          <cell r="AQ1274">
            <v>0</v>
          </cell>
          <cell r="BA1274">
            <v>0</v>
          </cell>
          <cell r="BC1274">
            <v>0</v>
          </cell>
        </row>
        <row r="1275">
          <cell r="A1275">
            <v>0</v>
          </cell>
          <cell r="B1275">
            <v>0</v>
          </cell>
          <cell r="E1275">
            <v>0</v>
          </cell>
          <cell r="F1275">
            <v>0</v>
          </cell>
          <cell r="AO1275">
            <v>0</v>
          </cell>
          <cell r="AP1275">
            <v>0</v>
          </cell>
          <cell r="AQ1275">
            <v>0</v>
          </cell>
          <cell r="BA1275">
            <v>0</v>
          </cell>
          <cell r="BC1275">
            <v>0</v>
          </cell>
        </row>
        <row r="1276">
          <cell r="A1276">
            <v>0</v>
          </cell>
          <cell r="B1276">
            <v>0</v>
          </cell>
          <cell r="E1276">
            <v>0</v>
          </cell>
          <cell r="F1276">
            <v>0</v>
          </cell>
          <cell r="AO1276">
            <v>0</v>
          </cell>
          <cell r="AP1276">
            <v>0</v>
          </cell>
          <cell r="AQ1276">
            <v>0</v>
          </cell>
          <cell r="BA1276">
            <v>0</v>
          </cell>
          <cell r="BC1276">
            <v>0</v>
          </cell>
        </row>
        <row r="1277">
          <cell r="A1277">
            <v>0</v>
          </cell>
          <cell r="B1277">
            <v>0</v>
          </cell>
          <cell r="E1277">
            <v>0</v>
          </cell>
          <cell r="F1277">
            <v>0</v>
          </cell>
          <cell r="AO1277">
            <v>0</v>
          </cell>
          <cell r="AP1277">
            <v>0</v>
          </cell>
          <cell r="AQ1277">
            <v>0</v>
          </cell>
          <cell r="BA1277">
            <v>0</v>
          </cell>
          <cell r="BC1277">
            <v>0</v>
          </cell>
        </row>
        <row r="1278">
          <cell r="A1278">
            <v>0</v>
          </cell>
          <cell r="B1278">
            <v>0</v>
          </cell>
          <cell r="E1278">
            <v>0</v>
          </cell>
          <cell r="F1278">
            <v>0</v>
          </cell>
          <cell r="AO1278">
            <v>0</v>
          </cell>
          <cell r="AP1278">
            <v>0</v>
          </cell>
          <cell r="AQ1278">
            <v>0</v>
          </cell>
          <cell r="BA1278">
            <v>0</v>
          </cell>
          <cell r="BC1278">
            <v>0</v>
          </cell>
        </row>
        <row r="1279">
          <cell r="A1279">
            <v>0</v>
          </cell>
          <cell r="B1279">
            <v>0</v>
          </cell>
          <cell r="E1279">
            <v>0</v>
          </cell>
          <cell r="F1279">
            <v>0</v>
          </cell>
          <cell r="AO1279">
            <v>0</v>
          </cell>
          <cell r="AP1279">
            <v>0</v>
          </cell>
          <cell r="AQ1279">
            <v>0</v>
          </cell>
          <cell r="BA1279">
            <v>0</v>
          </cell>
          <cell r="BC1279">
            <v>0</v>
          </cell>
        </row>
        <row r="1280">
          <cell r="A1280">
            <v>0</v>
          </cell>
          <cell r="B1280">
            <v>0</v>
          </cell>
          <cell r="E1280">
            <v>0</v>
          </cell>
          <cell r="F1280">
            <v>0</v>
          </cell>
          <cell r="AO1280">
            <v>0</v>
          </cell>
          <cell r="AP1280">
            <v>0</v>
          </cell>
          <cell r="AQ1280">
            <v>0</v>
          </cell>
          <cell r="BA1280">
            <v>0</v>
          </cell>
          <cell r="BC1280">
            <v>0</v>
          </cell>
        </row>
        <row r="1281">
          <cell r="A1281">
            <v>0</v>
          </cell>
          <cell r="B1281">
            <v>0</v>
          </cell>
          <cell r="E1281">
            <v>0</v>
          </cell>
          <cell r="F1281">
            <v>0</v>
          </cell>
          <cell r="AO1281">
            <v>0</v>
          </cell>
          <cell r="AP1281">
            <v>0</v>
          </cell>
          <cell r="AQ1281">
            <v>0</v>
          </cell>
          <cell r="BA1281">
            <v>0</v>
          </cell>
          <cell r="BC1281">
            <v>0</v>
          </cell>
        </row>
        <row r="1282">
          <cell r="A1282">
            <v>0</v>
          </cell>
          <cell r="B1282">
            <v>0</v>
          </cell>
          <cell r="E1282">
            <v>0</v>
          </cell>
          <cell r="F1282">
            <v>0</v>
          </cell>
          <cell r="AO1282">
            <v>0</v>
          </cell>
          <cell r="AP1282">
            <v>0</v>
          </cell>
          <cell r="AQ1282">
            <v>0</v>
          </cell>
          <cell r="BA1282">
            <v>0</v>
          </cell>
          <cell r="BC1282">
            <v>0</v>
          </cell>
        </row>
        <row r="1283">
          <cell r="A1283">
            <v>0</v>
          </cell>
          <cell r="B1283">
            <v>0</v>
          </cell>
          <cell r="E1283">
            <v>0</v>
          </cell>
          <cell r="F1283">
            <v>0</v>
          </cell>
          <cell r="AO1283">
            <v>0</v>
          </cell>
          <cell r="AP1283">
            <v>0</v>
          </cell>
          <cell r="AQ1283">
            <v>0</v>
          </cell>
          <cell r="BA1283">
            <v>0</v>
          </cell>
          <cell r="BC1283">
            <v>0</v>
          </cell>
        </row>
        <row r="1284">
          <cell r="A1284">
            <v>0</v>
          </cell>
          <cell r="B1284">
            <v>0</v>
          </cell>
          <cell r="E1284">
            <v>0</v>
          </cell>
          <cell r="F1284">
            <v>0</v>
          </cell>
          <cell r="AO1284">
            <v>0</v>
          </cell>
          <cell r="AP1284">
            <v>0</v>
          </cell>
          <cell r="AQ1284">
            <v>0</v>
          </cell>
          <cell r="BA1284">
            <v>0</v>
          </cell>
          <cell r="BC1284">
            <v>0</v>
          </cell>
        </row>
        <row r="1285">
          <cell r="A1285">
            <v>0</v>
          </cell>
          <cell r="B1285">
            <v>0</v>
          </cell>
          <cell r="E1285">
            <v>0</v>
          </cell>
          <cell r="F1285">
            <v>0</v>
          </cell>
          <cell r="AO1285">
            <v>0</v>
          </cell>
          <cell r="AP1285">
            <v>0</v>
          </cell>
          <cell r="AQ1285">
            <v>0</v>
          </cell>
          <cell r="BA1285">
            <v>0</v>
          </cell>
          <cell r="BC1285">
            <v>0</v>
          </cell>
        </row>
        <row r="1286">
          <cell r="A1286">
            <v>0</v>
          </cell>
          <cell r="B1286">
            <v>0</v>
          </cell>
          <cell r="E1286">
            <v>0</v>
          </cell>
          <cell r="F1286">
            <v>0</v>
          </cell>
          <cell r="AO1286">
            <v>0</v>
          </cell>
          <cell r="AP1286">
            <v>0</v>
          </cell>
          <cell r="AQ1286">
            <v>0</v>
          </cell>
          <cell r="BA1286">
            <v>0</v>
          </cell>
          <cell r="BC1286">
            <v>0</v>
          </cell>
        </row>
        <row r="1287">
          <cell r="A1287">
            <v>0</v>
          </cell>
          <cell r="B1287">
            <v>0</v>
          </cell>
          <cell r="E1287">
            <v>0</v>
          </cell>
          <cell r="F1287">
            <v>0</v>
          </cell>
          <cell r="AO1287">
            <v>0</v>
          </cell>
          <cell r="AP1287">
            <v>0</v>
          </cell>
          <cell r="AQ1287">
            <v>0</v>
          </cell>
          <cell r="BA1287">
            <v>0</v>
          </cell>
          <cell r="BC1287">
            <v>0</v>
          </cell>
        </row>
        <row r="1288">
          <cell r="A1288">
            <v>0</v>
          </cell>
          <cell r="B1288">
            <v>0</v>
          </cell>
          <cell r="E1288">
            <v>0</v>
          </cell>
          <cell r="F1288">
            <v>0</v>
          </cell>
          <cell r="AO1288">
            <v>0</v>
          </cell>
          <cell r="AP1288">
            <v>0</v>
          </cell>
          <cell r="AQ1288">
            <v>0</v>
          </cell>
          <cell r="BA1288">
            <v>0</v>
          </cell>
          <cell r="BC1288">
            <v>0</v>
          </cell>
        </row>
        <row r="1289">
          <cell r="A1289">
            <v>0</v>
          </cell>
          <cell r="B1289">
            <v>0</v>
          </cell>
          <cell r="E1289">
            <v>0</v>
          </cell>
          <cell r="F1289">
            <v>0</v>
          </cell>
          <cell r="AO1289">
            <v>0</v>
          </cell>
          <cell r="AP1289">
            <v>0</v>
          </cell>
          <cell r="AQ1289">
            <v>0</v>
          </cell>
          <cell r="BA1289">
            <v>0</v>
          </cell>
          <cell r="BC1289">
            <v>0</v>
          </cell>
        </row>
        <row r="1290">
          <cell r="A1290">
            <v>0</v>
          </cell>
          <cell r="B1290">
            <v>0</v>
          </cell>
          <cell r="E1290">
            <v>0</v>
          </cell>
          <cell r="F1290">
            <v>0</v>
          </cell>
          <cell r="AO1290">
            <v>0</v>
          </cell>
          <cell r="AP1290">
            <v>0</v>
          </cell>
          <cell r="AQ1290">
            <v>0</v>
          </cell>
          <cell r="BA1290">
            <v>0</v>
          </cell>
          <cell r="BC1290">
            <v>0</v>
          </cell>
        </row>
        <row r="1291">
          <cell r="A1291">
            <v>0</v>
          </cell>
          <cell r="B1291">
            <v>0</v>
          </cell>
          <cell r="E1291">
            <v>0</v>
          </cell>
          <cell r="F1291">
            <v>0</v>
          </cell>
          <cell r="AO1291">
            <v>0</v>
          </cell>
          <cell r="AP1291">
            <v>0</v>
          </cell>
          <cell r="AQ1291">
            <v>0</v>
          </cell>
          <cell r="BA1291">
            <v>0</v>
          </cell>
          <cell r="BC1291">
            <v>0</v>
          </cell>
        </row>
        <row r="1292">
          <cell r="A1292">
            <v>0</v>
          </cell>
          <cell r="B1292">
            <v>0</v>
          </cell>
          <cell r="E1292">
            <v>0</v>
          </cell>
          <cell r="F1292">
            <v>0</v>
          </cell>
          <cell r="AO1292">
            <v>0</v>
          </cell>
          <cell r="AP1292">
            <v>0</v>
          </cell>
          <cell r="AQ1292">
            <v>0</v>
          </cell>
          <cell r="BA1292">
            <v>0</v>
          </cell>
          <cell r="BC1292">
            <v>0</v>
          </cell>
        </row>
        <row r="1293">
          <cell r="A1293">
            <v>0</v>
          </cell>
          <cell r="B1293">
            <v>0</v>
          </cell>
          <cell r="E1293">
            <v>0</v>
          </cell>
          <cell r="F1293">
            <v>0</v>
          </cell>
          <cell r="AO1293">
            <v>0</v>
          </cell>
          <cell r="AP1293">
            <v>0</v>
          </cell>
          <cell r="AQ1293">
            <v>0</v>
          </cell>
          <cell r="BA1293">
            <v>0</v>
          </cell>
          <cell r="BC1293">
            <v>0</v>
          </cell>
        </row>
        <row r="1294">
          <cell r="A1294">
            <v>0</v>
          </cell>
          <cell r="B1294">
            <v>0</v>
          </cell>
          <cell r="E1294">
            <v>0</v>
          </cell>
          <cell r="F1294">
            <v>0</v>
          </cell>
          <cell r="AO1294">
            <v>0</v>
          </cell>
          <cell r="AP1294">
            <v>0</v>
          </cell>
          <cell r="AQ1294">
            <v>0</v>
          </cell>
          <cell r="BA1294">
            <v>0</v>
          </cell>
          <cell r="BC1294">
            <v>0</v>
          </cell>
        </row>
        <row r="1295">
          <cell r="A1295">
            <v>0</v>
          </cell>
          <cell r="B1295">
            <v>0</v>
          </cell>
          <cell r="E1295">
            <v>0</v>
          </cell>
          <cell r="F1295">
            <v>0</v>
          </cell>
          <cell r="AO1295">
            <v>0</v>
          </cell>
          <cell r="AP1295">
            <v>0</v>
          </cell>
          <cell r="AQ1295">
            <v>0</v>
          </cell>
          <cell r="BA1295">
            <v>0</v>
          </cell>
          <cell r="BC1295">
            <v>0</v>
          </cell>
        </row>
        <row r="1296">
          <cell r="A1296">
            <v>0</v>
          </cell>
          <cell r="B1296">
            <v>0</v>
          </cell>
          <cell r="E1296">
            <v>0</v>
          </cell>
          <cell r="F1296">
            <v>0</v>
          </cell>
          <cell r="AO1296">
            <v>0</v>
          </cell>
          <cell r="AP1296">
            <v>0</v>
          </cell>
          <cell r="AQ1296">
            <v>0</v>
          </cell>
          <cell r="BA1296">
            <v>0</v>
          </cell>
          <cell r="BC1296">
            <v>0</v>
          </cell>
        </row>
        <row r="1297">
          <cell r="A1297">
            <v>0</v>
          </cell>
          <cell r="B1297">
            <v>0</v>
          </cell>
          <cell r="E1297">
            <v>0</v>
          </cell>
          <cell r="F1297">
            <v>0</v>
          </cell>
          <cell r="AO1297">
            <v>0</v>
          </cell>
          <cell r="AP1297">
            <v>0</v>
          </cell>
          <cell r="AQ1297">
            <v>0</v>
          </cell>
          <cell r="BA1297">
            <v>0</v>
          </cell>
          <cell r="BC1297">
            <v>0</v>
          </cell>
        </row>
        <row r="1298">
          <cell r="A1298">
            <v>0</v>
          </cell>
          <cell r="B1298">
            <v>0</v>
          </cell>
          <cell r="E1298">
            <v>0</v>
          </cell>
          <cell r="F1298">
            <v>0</v>
          </cell>
          <cell r="AO1298">
            <v>0</v>
          </cell>
          <cell r="AP1298">
            <v>0</v>
          </cell>
          <cell r="AQ1298">
            <v>0</v>
          </cell>
          <cell r="BA1298">
            <v>0</v>
          </cell>
          <cell r="BC1298">
            <v>0</v>
          </cell>
        </row>
        <row r="1299">
          <cell r="A1299">
            <v>0</v>
          </cell>
          <cell r="B1299">
            <v>0</v>
          </cell>
          <cell r="E1299">
            <v>0</v>
          </cell>
          <cell r="F1299">
            <v>0</v>
          </cell>
          <cell r="AO1299">
            <v>0</v>
          </cell>
          <cell r="AP1299">
            <v>0</v>
          </cell>
          <cell r="AQ1299">
            <v>0</v>
          </cell>
          <cell r="BA1299">
            <v>0</v>
          </cell>
          <cell r="BC1299">
            <v>0</v>
          </cell>
        </row>
        <row r="1300">
          <cell r="A1300">
            <v>0</v>
          </cell>
          <cell r="B1300">
            <v>0</v>
          </cell>
          <cell r="E1300">
            <v>0</v>
          </cell>
          <cell r="F1300">
            <v>0</v>
          </cell>
          <cell r="AO1300">
            <v>0</v>
          </cell>
          <cell r="AP1300">
            <v>0</v>
          </cell>
          <cell r="AQ1300">
            <v>0</v>
          </cell>
          <cell r="BA1300">
            <v>0</v>
          </cell>
          <cell r="BC1300">
            <v>0</v>
          </cell>
        </row>
        <row r="1301">
          <cell r="A1301">
            <v>0</v>
          </cell>
          <cell r="B1301">
            <v>0</v>
          </cell>
          <cell r="E1301">
            <v>0</v>
          </cell>
          <cell r="F1301">
            <v>0</v>
          </cell>
          <cell r="AO1301">
            <v>0</v>
          </cell>
          <cell r="AP1301">
            <v>0</v>
          </cell>
          <cell r="AQ1301">
            <v>0</v>
          </cell>
          <cell r="BA1301">
            <v>0</v>
          </cell>
          <cell r="BC1301">
            <v>0</v>
          </cell>
        </row>
        <row r="1302">
          <cell r="A1302">
            <v>0</v>
          </cell>
          <cell r="B1302">
            <v>0</v>
          </cell>
          <cell r="E1302">
            <v>0</v>
          </cell>
          <cell r="F1302">
            <v>0</v>
          </cell>
          <cell r="AO1302">
            <v>0</v>
          </cell>
          <cell r="AP1302">
            <v>0</v>
          </cell>
          <cell r="AQ1302">
            <v>0</v>
          </cell>
          <cell r="BA1302">
            <v>0</v>
          </cell>
          <cell r="BC1302">
            <v>0</v>
          </cell>
        </row>
        <row r="1303">
          <cell r="A1303">
            <v>0</v>
          </cell>
          <cell r="B1303">
            <v>0</v>
          </cell>
          <cell r="E1303">
            <v>0</v>
          </cell>
          <cell r="F1303">
            <v>0</v>
          </cell>
          <cell r="AO1303">
            <v>0</v>
          </cell>
          <cell r="AP1303">
            <v>0</v>
          </cell>
          <cell r="AQ1303">
            <v>0</v>
          </cell>
          <cell r="BA1303">
            <v>0</v>
          </cell>
          <cell r="BC1303">
            <v>0</v>
          </cell>
        </row>
        <row r="1304">
          <cell r="A1304">
            <v>0</v>
          </cell>
          <cell r="B1304">
            <v>0</v>
          </cell>
          <cell r="E1304">
            <v>0</v>
          </cell>
          <cell r="F1304">
            <v>0</v>
          </cell>
          <cell r="AO1304">
            <v>0</v>
          </cell>
          <cell r="AP1304">
            <v>0</v>
          </cell>
          <cell r="AQ1304">
            <v>0</v>
          </cell>
          <cell r="BA1304">
            <v>0</v>
          </cell>
          <cell r="BC1304">
            <v>0</v>
          </cell>
        </row>
        <row r="1305">
          <cell r="A1305">
            <v>0</v>
          </cell>
          <cell r="B1305">
            <v>0</v>
          </cell>
          <cell r="E1305">
            <v>0</v>
          </cell>
          <cell r="F1305">
            <v>0</v>
          </cell>
          <cell r="AO1305">
            <v>0</v>
          </cell>
          <cell r="AP1305">
            <v>0</v>
          </cell>
          <cell r="AQ1305">
            <v>0</v>
          </cell>
          <cell r="BA1305">
            <v>0</v>
          </cell>
          <cell r="BC1305">
            <v>0</v>
          </cell>
        </row>
        <row r="1306">
          <cell r="A1306">
            <v>0</v>
          </cell>
          <cell r="B1306">
            <v>0</v>
          </cell>
          <cell r="E1306">
            <v>0</v>
          </cell>
          <cell r="F1306">
            <v>0</v>
          </cell>
          <cell r="AO1306">
            <v>0</v>
          </cell>
          <cell r="AP1306">
            <v>0</v>
          </cell>
          <cell r="AQ1306">
            <v>0</v>
          </cell>
          <cell r="BA1306">
            <v>0</v>
          </cell>
          <cell r="BC1306">
            <v>0</v>
          </cell>
        </row>
        <row r="1307">
          <cell r="A1307">
            <v>0</v>
          </cell>
          <cell r="B1307">
            <v>0</v>
          </cell>
          <cell r="E1307">
            <v>0</v>
          </cell>
          <cell r="F1307">
            <v>0</v>
          </cell>
          <cell r="AO1307">
            <v>0</v>
          </cell>
          <cell r="AP1307">
            <v>0</v>
          </cell>
          <cell r="AQ1307">
            <v>0</v>
          </cell>
          <cell r="BA1307">
            <v>0</v>
          </cell>
          <cell r="BC1307">
            <v>0</v>
          </cell>
        </row>
        <row r="1308">
          <cell r="A1308">
            <v>0</v>
          </cell>
          <cell r="B1308">
            <v>0</v>
          </cell>
          <cell r="E1308">
            <v>0</v>
          </cell>
          <cell r="F1308">
            <v>0</v>
          </cell>
          <cell r="AO1308">
            <v>0</v>
          </cell>
          <cell r="AP1308">
            <v>0</v>
          </cell>
          <cell r="AQ1308">
            <v>0</v>
          </cell>
          <cell r="BA1308">
            <v>0</v>
          </cell>
          <cell r="BC1308">
            <v>0</v>
          </cell>
        </row>
        <row r="1309">
          <cell r="A1309">
            <v>0</v>
          </cell>
          <cell r="B1309">
            <v>0</v>
          </cell>
          <cell r="E1309">
            <v>0</v>
          </cell>
          <cell r="F1309">
            <v>0</v>
          </cell>
          <cell r="AO1309">
            <v>0</v>
          </cell>
          <cell r="AP1309">
            <v>0</v>
          </cell>
          <cell r="AQ1309">
            <v>0</v>
          </cell>
          <cell r="BA1309">
            <v>0</v>
          </cell>
          <cell r="BC1309">
            <v>0</v>
          </cell>
        </row>
        <row r="1310">
          <cell r="A1310">
            <v>0</v>
          </cell>
          <cell r="B1310">
            <v>0</v>
          </cell>
          <cell r="E1310">
            <v>0</v>
          </cell>
          <cell r="F1310">
            <v>0</v>
          </cell>
          <cell r="AO1310">
            <v>0</v>
          </cell>
          <cell r="AP1310">
            <v>0</v>
          </cell>
          <cell r="AQ1310">
            <v>0</v>
          </cell>
          <cell r="BA1310">
            <v>0</v>
          </cell>
          <cell r="BC1310">
            <v>0</v>
          </cell>
        </row>
        <row r="1311">
          <cell r="A1311">
            <v>0</v>
          </cell>
          <cell r="B1311">
            <v>0</v>
          </cell>
          <cell r="E1311">
            <v>0</v>
          </cell>
          <cell r="F1311">
            <v>0</v>
          </cell>
          <cell r="AO1311">
            <v>0</v>
          </cell>
          <cell r="AP1311">
            <v>0</v>
          </cell>
          <cell r="AQ1311">
            <v>0</v>
          </cell>
          <cell r="BA1311">
            <v>0</v>
          </cell>
          <cell r="BC1311">
            <v>0</v>
          </cell>
        </row>
        <row r="1312">
          <cell r="A1312">
            <v>0</v>
          </cell>
          <cell r="B1312">
            <v>0</v>
          </cell>
          <cell r="E1312">
            <v>0</v>
          </cell>
          <cell r="F1312">
            <v>0</v>
          </cell>
          <cell r="AO1312">
            <v>0</v>
          </cell>
          <cell r="AP1312">
            <v>0</v>
          </cell>
          <cell r="AQ1312">
            <v>0</v>
          </cell>
          <cell r="BA1312">
            <v>0</v>
          </cell>
          <cell r="BC1312">
            <v>0</v>
          </cell>
        </row>
        <row r="1313">
          <cell r="A1313">
            <v>0</v>
          </cell>
          <cell r="B1313">
            <v>0</v>
          </cell>
          <cell r="E1313">
            <v>0</v>
          </cell>
          <cell r="F1313">
            <v>0</v>
          </cell>
          <cell r="AO1313">
            <v>0</v>
          </cell>
          <cell r="AP1313">
            <v>0</v>
          </cell>
          <cell r="AQ1313">
            <v>0</v>
          </cell>
          <cell r="BA1313">
            <v>0</v>
          </cell>
          <cell r="BC1313">
            <v>0</v>
          </cell>
        </row>
        <row r="1314">
          <cell r="A1314">
            <v>0</v>
          </cell>
          <cell r="B1314">
            <v>0</v>
          </cell>
          <cell r="E1314">
            <v>0</v>
          </cell>
          <cell r="F1314">
            <v>0</v>
          </cell>
          <cell r="AO1314">
            <v>0</v>
          </cell>
          <cell r="AP1314">
            <v>0</v>
          </cell>
          <cell r="AQ1314">
            <v>0</v>
          </cell>
          <cell r="BA1314">
            <v>0</v>
          </cell>
          <cell r="BC1314">
            <v>0</v>
          </cell>
        </row>
        <row r="1315">
          <cell r="A1315">
            <v>0</v>
          </cell>
          <cell r="B1315">
            <v>0</v>
          </cell>
          <cell r="E1315">
            <v>0</v>
          </cell>
          <cell r="F1315">
            <v>0</v>
          </cell>
          <cell r="AO1315">
            <v>0</v>
          </cell>
          <cell r="AP1315">
            <v>0</v>
          </cell>
          <cell r="AQ1315">
            <v>0</v>
          </cell>
          <cell r="BA1315">
            <v>0</v>
          </cell>
          <cell r="BC1315">
            <v>0</v>
          </cell>
        </row>
        <row r="1316">
          <cell r="A1316">
            <v>0</v>
          </cell>
          <cell r="B1316">
            <v>0</v>
          </cell>
          <cell r="E1316">
            <v>0</v>
          </cell>
          <cell r="F1316">
            <v>0</v>
          </cell>
          <cell r="AO1316">
            <v>0</v>
          </cell>
          <cell r="AP1316">
            <v>0</v>
          </cell>
          <cell r="AQ1316">
            <v>0</v>
          </cell>
          <cell r="BA1316">
            <v>0</v>
          </cell>
          <cell r="BC1316">
            <v>0</v>
          </cell>
        </row>
        <row r="1317">
          <cell r="A1317">
            <v>0</v>
          </cell>
          <cell r="B1317">
            <v>0</v>
          </cell>
          <cell r="E1317">
            <v>0</v>
          </cell>
          <cell r="F1317">
            <v>0</v>
          </cell>
          <cell r="AO1317">
            <v>0</v>
          </cell>
          <cell r="AP1317">
            <v>0</v>
          </cell>
          <cell r="AQ1317">
            <v>0</v>
          </cell>
          <cell r="BA1317">
            <v>0</v>
          </cell>
          <cell r="BC1317">
            <v>0</v>
          </cell>
        </row>
        <row r="1318">
          <cell r="A1318">
            <v>0</v>
          </cell>
          <cell r="B1318">
            <v>0</v>
          </cell>
          <cell r="E1318">
            <v>0</v>
          </cell>
          <cell r="F1318">
            <v>0</v>
          </cell>
          <cell r="AO1318">
            <v>0</v>
          </cell>
          <cell r="AP1318">
            <v>0</v>
          </cell>
          <cell r="AQ1318">
            <v>0</v>
          </cell>
          <cell r="BA1318">
            <v>0</v>
          </cell>
          <cell r="BC1318">
            <v>0</v>
          </cell>
        </row>
        <row r="1319">
          <cell r="A1319">
            <v>0</v>
          </cell>
          <cell r="B1319">
            <v>0</v>
          </cell>
          <cell r="E1319">
            <v>0</v>
          </cell>
          <cell r="F1319">
            <v>0</v>
          </cell>
          <cell r="AO1319">
            <v>0</v>
          </cell>
          <cell r="AP1319">
            <v>0</v>
          </cell>
          <cell r="AQ1319">
            <v>0</v>
          </cell>
          <cell r="BA1319">
            <v>0</v>
          </cell>
          <cell r="BC1319">
            <v>0</v>
          </cell>
        </row>
        <row r="1320">
          <cell r="A1320">
            <v>0</v>
          </cell>
          <cell r="B1320">
            <v>0</v>
          </cell>
          <cell r="E1320">
            <v>0</v>
          </cell>
          <cell r="F1320">
            <v>0</v>
          </cell>
          <cell r="AO1320">
            <v>0</v>
          </cell>
          <cell r="AP1320">
            <v>0</v>
          </cell>
          <cell r="AQ1320">
            <v>0</v>
          </cell>
          <cell r="BA1320">
            <v>0</v>
          </cell>
          <cell r="BC1320">
            <v>0</v>
          </cell>
        </row>
        <row r="1321">
          <cell r="A1321">
            <v>0</v>
          </cell>
          <cell r="B1321">
            <v>0</v>
          </cell>
          <cell r="E1321">
            <v>0</v>
          </cell>
          <cell r="F1321">
            <v>0</v>
          </cell>
          <cell r="AO1321">
            <v>0</v>
          </cell>
          <cell r="AP1321">
            <v>0</v>
          </cell>
          <cell r="AQ1321">
            <v>0</v>
          </cell>
          <cell r="BA1321">
            <v>0</v>
          </cell>
          <cell r="BC1321">
            <v>0</v>
          </cell>
        </row>
        <row r="1322">
          <cell r="A1322">
            <v>0</v>
          </cell>
          <cell r="B1322">
            <v>0</v>
          </cell>
          <cell r="E1322">
            <v>0</v>
          </cell>
          <cell r="F1322">
            <v>0</v>
          </cell>
          <cell r="AO1322">
            <v>0</v>
          </cell>
          <cell r="AP1322">
            <v>0</v>
          </cell>
          <cell r="AQ1322">
            <v>0</v>
          </cell>
          <cell r="BA1322">
            <v>0</v>
          </cell>
          <cell r="BC1322">
            <v>0</v>
          </cell>
        </row>
        <row r="1323">
          <cell r="A1323">
            <v>0</v>
          </cell>
          <cell r="B1323">
            <v>0</v>
          </cell>
          <cell r="E1323">
            <v>0</v>
          </cell>
          <cell r="F1323">
            <v>0</v>
          </cell>
          <cell r="AO1323">
            <v>0</v>
          </cell>
          <cell r="AP1323">
            <v>0</v>
          </cell>
          <cell r="AQ1323">
            <v>0</v>
          </cell>
          <cell r="BA1323">
            <v>0</v>
          </cell>
          <cell r="BC1323">
            <v>0</v>
          </cell>
        </row>
        <row r="1324">
          <cell r="A1324">
            <v>0</v>
          </cell>
          <cell r="B1324">
            <v>0</v>
          </cell>
          <cell r="E1324">
            <v>0</v>
          </cell>
          <cell r="F1324">
            <v>0</v>
          </cell>
          <cell r="AO1324">
            <v>0</v>
          </cell>
          <cell r="AP1324">
            <v>0</v>
          </cell>
          <cell r="AQ1324">
            <v>0</v>
          </cell>
          <cell r="BA1324">
            <v>0</v>
          </cell>
          <cell r="BC1324">
            <v>0</v>
          </cell>
        </row>
        <row r="1325">
          <cell r="A1325">
            <v>0</v>
          </cell>
          <cell r="B1325">
            <v>0</v>
          </cell>
          <cell r="E1325">
            <v>0</v>
          </cell>
          <cell r="F1325">
            <v>0</v>
          </cell>
          <cell r="AO1325">
            <v>0</v>
          </cell>
          <cell r="AP1325">
            <v>0</v>
          </cell>
          <cell r="AQ1325">
            <v>0</v>
          </cell>
          <cell r="BA1325">
            <v>0</v>
          </cell>
          <cell r="BC1325">
            <v>0</v>
          </cell>
        </row>
        <row r="1326">
          <cell r="A1326">
            <v>0</v>
          </cell>
          <cell r="B1326">
            <v>0</v>
          </cell>
          <cell r="E1326">
            <v>0</v>
          </cell>
          <cell r="F1326">
            <v>0</v>
          </cell>
          <cell r="AO1326">
            <v>0</v>
          </cell>
          <cell r="AP1326">
            <v>0</v>
          </cell>
          <cell r="AQ1326">
            <v>0</v>
          </cell>
          <cell r="BA1326">
            <v>0</v>
          </cell>
          <cell r="BC1326">
            <v>0</v>
          </cell>
        </row>
        <row r="1327">
          <cell r="A1327">
            <v>0</v>
          </cell>
          <cell r="B1327">
            <v>0</v>
          </cell>
          <cell r="E1327">
            <v>0</v>
          </cell>
          <cell r="F1327">
            <v>0</v>
          </cell>
          <cell r="AO1327">
            <v>0</v>
          </cell>
          <cell r="AP1327">
            <v>0</v>
          </cell>
          <cell r="AQ1327">
            <v>0</v>
          </cell>
          <cell r="BA1327">
            <v>0</v>
          </cell>
          <cell r="BC1327">
            <v>0</v>
          </cell>
        </row>
        <row r="1328">
          <cell r="A1328">
            <v>0</v>
          </cell>
          <cell r="B1328">
            <v>0</v>
          </cell>
          <cell r="E1328">
            <v>0</v>
          </cell>
          <cell r="F1328">
            <v>0</v>
          </cell>
          <cell r="AO1328">
            <v>0</v>
          </cell>
          <cell r="AP1328">
            <v>0</v>
          </cell>
          <cell r="AQ1328">
            <v>0</v>
          </cell>
          <cell r="BA1328">
            <v>0</v>
          </cell>
          <cell r="BC1328">
            <v>0</v>
          </cell>
        </row>
        <row r="1329">
          <cell r="A1329">
            <v>0</v>
          </cell>
          <cell r="B1329">
            <v>0</v>
          </cell>
          <cell r="E1329">
            <v>0</v>
          </cell>
          <cell r="F1329">
            <v>0</v>
          </cell>
          <cell r="AO1329">
            <v>0</v>
          </cell>
          <cell r="AP1329">
            <v>0</v>
          </cell>
          <cell r="AQ1329">
            <v>0</v>
          </cell>
          <cell r="BA1329">
            <v>0</v>
          </cell>
          <cell r="BC1329">
            <v>0</v>
          </cell>
        </row>
        <row r="1330">
          <cell r="A1330">
            <v>0</v>
          </cell>
          <cell r="B1330">
            <v>0</v>
          </cell>
          <cell r="E1330">
            <v>0</v>
          </cell>
          <cell r="F1330">
            <v>0</v>
          </cell>
          <cell r="AO1330">
            <v>0</v>
          </cell>
          <cell r="AP1330">
            <v>0</v>
          </cell>
          <cell r="AQ1330">
            <v>0</v>
          </cell>
          <cell r="BA1330">
            <v>0</v>
          </cell>
          <cell r="BC1330">
            <v>0</v>
          </cell>
        </row>
        <row r="1331">
          <cell r="A1331">
            <v>0</v>
          </cell>
          <cell r="B1331">
            <v>0</v>
          </cell>
          <cell r="E1331">
            <v>0</v>
          </cell>
          <cell r="F1331">
            <v>0</v>
          </cell>
          <cell r="AO1331">
            <v>0</v>
          </cell>
          <cell r="AP1331">
            <v>0</v>
          </cell>
          <cell r="AQ1331">
            <v>0</v>
          </cell>
          <cell r="BA1331">
            <v>0</v>
          </cell>
          <cell r="BC1331">
            <v>0</v>
          </cell>
        </row>
        <row r="1332">
          <cell r="A1332">
            <v>0</v>
          </cell>
          <cell r="B1332">
            <v>0</v>
          </cell>
          <cell r="E1332">
            <v>0</v>
          </cell>
          <cell r="F1332">
            <v>0</v>
          </cell>
          <cell r="AO1332">
            <v>0</v>
          </cell>
          <cell r="AP1332">
            <v>0</v>
          </cell>
          <cell r="AQ1332">
            <v>0</v>
          </cell>
          <cell r="BA1332">
            <v>0</v>
          </cell>
          <cell r="BC1332">
            <v>0</v>
          </cell>
        </row>
        <row r="1333">
          <cell r="A1333">
            <v>0</v>
          </cell>
          <cell r="B1333">
            <v>0</v>
          </cell>
          <cell r="E1333">
            <v>0</v>
          </cell>
          <cell r="F1333">
            <v>0</v>
          </cell>
          <cell r="AO1333">
            <v>0</v>
          </cell>
          <cell r="AP1333">
            <v>0</v>
          </cell>
          <cell r="AQ1333">
            <v>0</v>
          </cell>
          <cell r="BA1333">
            <v>0</v>
          </cell>
          <cell r="BC1333">
            <v>0</v>
          </cell>
        </row>
        <row r="1334">
          <cell r="A1334">
            <v>0</v>
          </cell>
          <cell r="B1334">
            <v>0</v>
          </cell>
          <cell r="E1334">
            <v>0</v>
          </cell>
          <cell r="F1334">
            <v>0</v>
          </cell>
          <cell r="AO1334">
            <v>0</v>
          </cell>
          <cell r="AP1334">
            <v>0</v>
          </cell>
          <cell r="AQ1334">
            <v>0</v>
          </cell>
          <cell r="BA1334">
            <v>0</v>
          </cell>
          <cell r="BC1334">
            <v>0</v>
          </cell>
        </row>
        <row r="1335">
          <cell r="A1335">
            <v>0</v>
          </cell>
          <cell r="B1335">
            <v>0</v>
          </cell>
          <cell r="E1335">
            <v>0</v>
          </cell>
          <cell r="F1335">
            <v>0</v>
          </cell>
          <cell r="AO1335">
            <v>0</v>
          </cell>
          <cell r="AP1335">
            <v>0</v>
          </cell>
          <cell r="AQ1335">
            <v>0</v>
          </cell>
          <cell r="BA1335">
            <v>0</v>
          </cell>
          <cell r="BC1335">
            <v>0</v>
          </cell>
        </row>
        <row r="1336">
          <cell r="A1336">
            <v>0</v>
          </cell>
          <cell r="B1336">
            <v>0</v>
          </cell>
          <cell r="E1336">
            <v>0</v>
          </cell>
          <cell r="F1336">
            <v>0</v>
          </cell>
          <cell r="AO1336">
            <v>0</v>
          </cell>
          <cell r="AP1336">
            <v>0</v>
          </cell>
          <cell r="AQ1336">
            <v>0</v>
          </cell>
          <cell r="BA1336">
            <v>0</v>
          </cell>
          <cell r="BC1336">
            <v>0</v>
          </cell>
        </row>
        <row r="1337">
          <cell r="A1337">
            <v>0</v>
          </cell>
          <cell r="B1337">
            <v>0</v>
          </cell>
          <cell r="E1337">
            <v>0</v>
          </cell>
          <cell r="F1337">
            <v>0</v>
          </cell>
          <cell r="AO1337">
            <v>0</v>
          </cell>
          <cell r="AP1337">
            <v>0</v>
          </cell>
          <cell r="AQ1337">
            <v>0</v>
          </cell>
          <cell r="BA1337">
            <v>0</v>
          </cell>
          <cell r="BC1337">
            <v>0</v>
          </cell>
        </row>
        <row r="1338">
          <cell r="A1338">
            <v>0</v>
          </cell>
          <cell r="B1338">
            <v>0</v>
          </cell>
          <cell r="E1338">
            <v>0</v>
          </cell>
          <cell r="F1338">
            <v>0</v>
          </cell>
          <cell r="AO1338">
            <v>0</v>
          </cell>
          <cell r="AP1338">
            <v>0</v>
          </cell>
          <cell r="AQ1338">
            <v>0</v>
          </cell>
          <cell r="BA1338">
            <v>0</v>
          </cell>
          <cell r="BC1338">
            <v>0</v>
          </cell>
        </row>
        <row r="1339">
          <cell r="A1339">
            <v>0</v>
          </cell>
          <cell r="B1339">
            <v>0</v>
          </cell>
          <cell r="E1339">
            <v>0</v>
          </cell>
          <cell r="F1339">
            <v>0</v>
          </cell>
          <cell r="AO1339">
            <v>0</v>
          </cell>
          <cell r="AP1339">
            <v>0</v>
          </cell>
          <cell r="AQ1339">
            <v>0</v>
          </cell>
          <cell r="BA1339">
            <v>0</v>
          </cell>
          <cell r="BC1339">
            <v>0</v>
          </cell>
        </row>
        <row r="1340">
          <cell r="A1340">
            <v>0</v>
          </cell>
          <cell r="B1340">
            <v>0</v>
          </cell>
          <cell r="E1340">
            <v>0</v>
          </cell>
          <cell r="F1340">
            <v>0</v>
          </cell>
          <cell r="AO1340">
            <v>0</v>
          </cell>
          <cell r="AP1340">
            <v>0</v>
          </cell>
          <cell r="AQ1340">
            <v>0</v>
          </cell>
          <cell r="BA1340">
            <v>0</v>
          </cell>
          <cell r="BC1340">
            <v>0</v>
          </cell>
        </row>
        <row r="1341">
          <cell r="A1341">
            <v>0</v>
          </cell>
          <cell r="B1341">
            <v>0</v>
          </cell>
          <cell r="E1341">
            <v>0</v>
          </cell>
          <cell r="F1341">
            <v>0</v>
          </cell>
          <cell r="AO1341">
            <v>0</v>
          </cell>
          <cell r="AP1341">
            <v>0</v>
          </cell>
          <cell r="AQ1341">
            <v>0</v>
          </cell>
          <cell r="BA1341">
            <v>0</v>
          </cell>
          <cell r="BC1341">
            <v>0</v>
          </cell>
        </row>
        <row r="1342">
          <cell r="A1342">
            <v>0</v>
          </cell>
          <cell r="B1342">
            <v>0</v>
          </cell>
          <cell r="E1342">
            <v>0</v>
          </cell>
          <cell r="F1342">
            <v>0</v>
          </cell>
          <cell r="AO1342">
            <v>0</v>
          </cell>
          <cell r="AP1342">
            <v>0</v>
          </cell>
          <cell r="AQ1342">
            <v>0</v>
          </cell>
          <cell r="BA1342">
            <v>0</v>
          </cell>
          <cell r="BC1342">
            <v>0</v>
          </cell>
        </row>
        <row r="1343">
          <cell r="A1343">
            <v>0</v>
          </cell>
          <cell r="B1343">
            <v>0</v>
          </cell>
          <cell r="E1343">
            <v>0</v>
          </cell>
          <cell r="F1343">
            <v>0</v>
          </cell>
          <cell r="AO1343">
            <v>0</v>
          </cell>
          <cell r="AP1343">
            <v>0</v>
          </cell>
          <cell r="AQ1343">
            <v>0</v>
          </cell>
          <cell r="BA1343">
            <v>0</v>
          </cell>
          <cell r="BC1343">
            <v>0</v>
          </cell>
        </row>
        <row r="1344">
          <cell r="A1344">
            <v>0</v>
          </cell>
          <cell r="B1344">
            <v>0</v>
          </cell>
          <cell r="E1344">
            <v>0</v>
          </cell>
          <cell r="F1344">
            <v>0</v>
          </cell>
          <cell r="AO1344">
            <v>0</v>
          </cell>
          <cell r="AP1344">
            <v>0</v>
          </cell>
          <cell r="AQ1344">
            <v>0</v>
          </cell>
          <cell r="BA1344">
            <v>0</v>
          </cell>
          <cell r="BC1344">
            <v>0</v>
          </cell>
        </row>
        <row r="1345">
          <cell r="A1345">
            <v>0</v>
          </cell>
          <cell r="B1345">
            <v>0</v>
          </cell>
          <cell r="E1345">
            <v>0</v>
          </cell>
          <cell r="F1345">
            <v>0</v>
          </cell>
          <cell r="AO1345">
            <v>0</v>
          </cell>
          <cell r="AP1345">
            <v>0</v>
          </cell>
          <cell r="AQ1345">
            <v>0</v>
          </cell>
          <cell r="BA1345">
            <v>0</v>
          </cell>
          <cell r="BC1345">
            <v>0</v>
          </cell>
        </row>
        <row r="1346">
          <cell r="A1346">
            <v>0</v>
          </cell>
          <cell r="B1346">
            <v>0</v>
          </cell>
          <cell r="E1346">
            <v>0</v>
          </cell>
          <cell r="F1346">
            <v>0</v>
          </cell>
          <cell r="AO1346">
            <v>0</v>
          </cell>
          <cell r="AP1346">
            <v>0</v>
          </cell>
          <cell r="AQ1346">
            <v>0</v>
          </cell>
          <cell r="BA1346">
            <v>0</v>
          </cell>
          <cell r="BC1346">
            <v>0</v>
          </cell>
        </row>
        <row r="1347">
          <cell r="A1347">
            <v>0</v>
          </cell>
          <cell r="B1347">
            <v>0</v>
          </cell>
          <cell r="E1347">
            <v>0</v>
          </cell>
          <cell r="F1347">
            <v>0</v>
          </cell>
          <cell r="AO1347">
            <v>0</v>
          </cell>
          <cell r="AP1347">
            <v>0</v>
          </cell>
          <cell r="AQ1347">
            <v>0</v>
          </cell>
          <cell r="BA1347">
            <v>0</v>
          </cell>
          <cell r="BC1347">
            <v>0</v>
          </cell>
        </row>
        <row r="1348">
          <cell r="A1348">
            <v>0</v>
          </cell>
          <cell r="B1348">
            <v>0</v>
          </cell>
          <cell r="E1348">
            <v>0</v>
          </cell>
          <cell r="F1348">
            <v>0</v>
          </cell>
          <cell r="AO1348">
            <v>0</v>
          </cell>
          <cell r="AP1348">
            <v>0</v>
          </cell>
          <cell r="AQ1348">
            <v>0</v>
          </cell>
          <cell r="BA1348">
            <v>0</v>
          </cell>
          <cell r="BC1348">
            <v>0</v>
          </cell>
        </row>
        <row r="1349">
          <cell r="A1349">
            <v>0</v>
          </cell>
          <cell r="B1349">
            <v>0</v>
          </cell>
          <cell r="E1349">
            <v>0</v>
          </cell>
          <cell r="F1349">
            <v>0</v>
          </cell>
          <cell r="AO1349">
            <v>0</v>
          </cell>
          <cell r="AP1349">
            <v>0</v>
          </cell>
          <cell r="AQ1349">
            <v>0</v>
          </cell>
          <cell r="BA1349">
            <v>0</v>
          </cell>
          <cell r="BC1349">
            <v>0</v>
          </cell>
        </row>
        <row r="1350">
          <cell r="A1350">
            <v>0</v>
          </cell>
          <cell r="B1350">
            <v>0</v>
          </cell>
          <cell r="E1350">
            <v>0</v>
          </cell>
          <cell r="F1350">
            <v>0</v>
          </cell>
          <cell r="AO1350">
            <v>0</v>
          </cell>
          <cell r="AP1350">
            <v>0</v>
          </cell>
          <cell r="AQ1350">
            <v>0</v>
          </cell>
          <cell r="BA1350">
            <v>0</v>
          </cell>
          <cell r="BC1350">
            <v>0</v>
          </cell>
        </row>
        <row r="1351">
          <cell r="A1351">
            <v>0</v>
          </cell>
          <cell r="B1351">
            <v>0</v>
          </cell>
          <cell r="E1351">
            <v>0</v>
          </cell>
          <cell r="F1351">
            <v>0</v>
          </cell>
          <cell r="AO1351">
            <v>0</v>
          </cell>
          <cell r="AP1351">
            <v>0</v>
          </cell>
          <cell r="AQ1351">
            <v>0</v>
          </cell>
          <cell r="BA1351">
            <v>0</v>
          </cell>
          <cell r="BC1351">
            <v>0</v>
          </cell>
        </row>
        <row r="1352">
          <cell r="A1352">
            <v>0</v>
          </cell>
          <cell r="B1352">
            <v>0</v>
          </cell>
          <cell r="E1352">
            <v>0</v>
          </cell>
          <cell r="F1352">
            <v>0</v>
          </cell>
          <cell r="AO1352">
            <v>0</v>
          </cell>
          <cell r="AP1352">
            <v>0</v>
          </cell>
          <cell r="AQ1352">
            <v>0</v>
          </cell>
          <cell r="BA1352">
            <v>0</v>
          </cell>
          <cell r="BC1352">
            <v>0</v>
          </cell>
        </row>
        <row r="1353">
          <cell r="A1353">
            <v>0</v>
          </cell>
          <cell r="B1353">
            <v>0</v>
          </cell>
          <cell r="E1353">
            <v>0</v>
          </cell>
          <cell r="F1353">
            <v>0</v>
          </cell>
          <cell r="AO1353">
            <v>0</v>
          </cell>
          <cell r="AP1353">
            <v>0</v>
          </cell>
          <cell r="AQ1353">
            <v>0</v>
          </cell>
          <cell r="BA1353">
            <v>0</v>
          </cell>
          <cell r="BC1353">
            <v>0</v>
          </cell>
        </row>
        <row r="1354">
          <cell r="A1354">
            <v>0</v>
          </cell>
          <cell r="B1354">
            <v>0</v>
          </cell>
          <cell r="E1354">
            <v>0</v>
          </cell>
          <cell r="F1354">
            <v>0</v>
          </cell>
          <cell r="AO1354">
            <v>0</v>
          </cell>
          <cell r="AP1354">
            <v>0</v>
          </cell>
          <cell r="AQ1354">
            <v>0</v>
          </cell>
          <cell r="BA1354">
            <v>0</v>
          </cell>
          <cell r="BC1354">
            <v>0</v>
          </cell>
        </row>
        <row r="1355">
          <cell r="A1355">
            <v>0</v>
          </cell>
          <cell r="B1355">
            <v>0</v>
          </cell>
          <cell r="E1355">
            <v>0</v>
          </cell>
          <cell r="F1355">
            <v>0</v>
          </cell>
          <cell r="AO1355">
            <v>0</v>
          </cell>
          <cell r="AP1355">
            <v>0</v>
          </cell>
          <cell r="AQ1355">
            <v>0</v>
          </cell>
          <cell r="BA1355">
            <v>0</v>
          </cell>
          <cell r="BC1355">
            <v>0</v>
          </cell>
        </row>
        <row r="1356">
          <cell r="A1356">
            <v>0</v>
          </cell>
          <cell r="B1356">
            <v>0</v>
          </cell>
          <cell r="E1356">
            <v>0</v>
          </cell>
          <cell r="F1356">
            <v>0</v>
          </cell>
          <cell r="AO1356">
            <v>0</v>
          </cell>
          <cell r="AP1356">
            <v>0</v>
          </cell>
          <cell r="AQ1356">
            <v>0</v>
          </cell>
          <cell r="BA1356">
            <v>0</v>
          </cell>
          <cell r="BC1356">
            <v>0</v>
          </cell>
        </row>
        <row r="1357">
          <cell r="A1357">
            <v>0</v>
          </cell>
          <cell r="B1357">
            <v>0</v>
          </cell>
          <cell r="E1357">
            <v>0</v>
          </cell>
          <cell r="F1357">
            <v>0</v>
          </cell>
          <cell r="AO1357">
            <v>0</v>
          </cell>
          <cell r="AP1357">
            <v>0</v>
          </cell>
          <cell r="AQ1357">
            <v>0</v>
          </cell>
          <cell r="BA1357">
            <v>0</v>
          </cell>
          <cell r="BC1357">
            <v>0</v>
          </cell>
        </row>
        <row r="1358">
          <cell r="A1358">
            <v>0</v>
          </cell>
          <cell r="B1358">
            <v>0</v>
          </cell>
          <cell r="E1358">
            <v>0</v>
          </cell>
          <cell r="F1358">
            <v>0</v>
          </cell>
          <cell r="AO1358">
            <v>0</v>
          </cell>
          <cell r="AP1358">
            <v>0</v>
          </cell>
          <cell r="AQ1358">
            <v>0</v>
          </cell>
          <cell r="BA1358">
            <v>0</v>
          </cell>
          <cell r="BC1358">
            <v>0</v>
          </cell>
        </row>
        <row r="1359">
          <cell r="A1359">
            <v>0</v>
          </cell>
          <cell r="B1359">
            <v>0</v>
          </cell>
          <cell r="E1359">
            <v>0</v>
          </cell>
          <cell r="F1359">
            <v>0</v>
          </cell>
          <cell r="AO1359">
            <v>0</v>
          </cell>
          <cell r="AP1359">
            <v>0</v>
          </cell>
          <cell r="AQ1359">
            <v>0</v>
          </cell>
          <cell r="BA1359">
            <v>0</v>
          </cell>
          <cell r="BC1359">
            <v>0</v>
          </cell>
        </row>
        <row r="1360">
          <cell r="A1360">
            <v>0</v>
          </cell>
          <cell r="B1360">
            <v>0</v>
          </cell>
          <cell r="E1360">
            <v>0</v>
          </cell>
          <cell r="F1360">
            <v>0</v>
          </cell>
          <cell r="AO1360">
            <v>0</v>
          </cell>
          <cell r="AP1360">
            <v>0</v>
          </cell>
          <cell r="AQ1360">
            <v>0</v>
          </cell>
          <cell r="BA1360">
            <v>0</v>
          </cell>
          <cell r="BC1360">
            <v>0</v>
          </cell>
        </row>
        <row r="1361">
          <cell r="A1361">
            <v>0</v>
          </cell>
          <cell r="B1361">
            <v>0</v>
          </cell>
          <cell r="E1361">
            <v>0</v>
          </cell>
          <cell r="F1361">
            <v>0</v>
          </cell>
          <cell r="AO1361">
            <v>0</v>
          </cell>
          <cell r="AP1361">
            <v>0</v>
          </cell>
          <cell r="AQ1361">
            <v>0</v>
          </cell>
          <cell r="BA1361">
            <v>0</v>
          </cell>
          <cell r="BC1361">
            <v>0</v>
          </cell>
        </row>
        <row r="1362">
          <cell r="A1362">
            <v>0</v>
          </cell>
          <cell r="B1362">
            <v>0</v>
          </cell>
          <cell r="E1362">
            <v>0</v>
          </cell>
          <cell r="F1362">
            <v>0</v>
          </cell>
          <cell r="AO1362">
            <v>0</v>
          </cell>
          <cell r="AP1362">
            <v>0</v>
          </cell>
          <cell r="AQ1362">
            <v>0</v>
          </cell>
          <cell r="BA1362">
            <v>0</v>
          </cell>
          <cell r="BC1362">
            <v>0</v>
          </cell>
        </row>
        <row r="1363">
          <cell r="A1363">
            <v>0</v>
          </cell>
          <cell r="B1363">
            <v>0</v>
          </cell>
          <cell r="E1363">
            <v>0</v>
          </cell>
          <cell r="F1363">
            <v>0</v>
          </cell>
          <cell r="AO1363">
            <v>0</v>
          </cell>
          <cell r="AP1363">
            <v>0</v>
          </cell>
          <cell r="AQ1363">
            <v>0</v>
          </cell>
          <cell r="BA1363">
            <v>0</v>
          </cell>
          <cell r="BC1363">
            <v>0</v>
          </cell>
        </row>
        <row r="1364">
          <cell r="A1364">
            <v>0</v>
          </cell>
          <cell r="B1364">
            <v>0</v>
          </cell>
          <cell r="E1364">
            <v>0</v>
          </cell>
          <cell r="F1364">
            <v>0</v>
          </cell>
          <cell r="AO1364">
            <v>0</v>
          </cell>
          <cell r="AP1364">
            <v>0</v>
          </cell>
          <cell r="AQ1364">
            <v>0</v>
          </cell>
          <cell r="BA1364">
            <v>0</v>
          </cell>
          <cell r="BC1364">
            <v>0</v>
          </cell>
        </row>
        <row r="1365">
          <cell r="A1365">
            <v>0</v>
          </cell>
          <cell r="B1365">
            <v>0</v>
          </cell>
          <cell r="E1365">
            <v>0</v>
          </cell>
          <cell r="F1365">
            <v>0</v>
          </cell>
          <cell r="AO1365">
            <v>0</v>
          </cell>
          <cell r="AP1365">
            <v>0</v>
          </cell>
          <cell r="AQ1365">
            <v>0</v>
          </cell>
          <cell r="BA1365">
            <v>0</v>
          </cell>
          <cell r="BC1365">
            <v>0</v>
          </cell>
        </row>
        <row r="1366">
          <cell r="A1366">
            <v>0</v>
          </cell>
          <cell r="B1366">
            <v>0</v>
          </cell>
          <cell r="E1366">
            <v>0</v>
          </cell>
          <cell r="F1366">
            <v>0</v>
          </cell>
          <cell r="AO1366">
            <v>0</v>
          </cell>
          <cell r="AP1366">
            <v>0</v>
          </cell>
          <cell r="AQ1366">
            <v>0</v>
          </cell>
          <cell r="BA1366">
            <v>0</v>
          </cell>
          <cell r="BC1366">
            <v>0</v>
          </cell>
        </row>
        <row r="1367">
          <cell r="A1367">
            <v>0</v>
          </cell>
          <cell r="B1367">
            <v>0</v>
          </cell>
          <cell r="E1367">
            <v>0</v>
          </cell>
          <cell r="F1367">
            <v>0</v>
          </cell>
          <cell r="AO1367">
            <v>0</v>
          </cell>
          <cell r="AP1367">
            <v>0</v>
          </cell>
          <cell r="AQ1367">
            <v>0</v>
          </cell>
          <cell r="BA1367">
            <v>0</v>
          </cell>
          <cell r="BC1367">
            <v>0</v>
          </cell>
        </row>
        <row r="1368">
          <cell r="A1368">
            <v>0</v>
          </cell>
          <cell r="B1368">
            <v>0</v>
          </cell>
          <cell r="E1368">
            <v>0</v>
          </cell>
          <cell r="F1368">
            <v>0</v>
          </cell>
          <cell r="AO1368">
            <v>0</v>
          </cell>
          <cell r="AP1368">
            <v>0</v>
          </cell>
          <cell r="AQ1368">
            <v>0</v>
          </cell>
          <cell r="BA1368">
            <v>0</v>
          </cell>
          <cell r="BC1368">
            <v>0</v>
          </cell>
        </row>
        <row r="1369">
          <cell r="A1369">
            <v>0</v>
          </cell>
          <cell r="B1369">
            <v>0</v>
          </cell>
          <cell r="E1369">
            <v>0</v>
          </cell>
          <cell r="F1369">
            <v>0</v>
          </cell>
          <cell r="AO1369">
            <v>0</v>
          </cell>
          <cell r="AP1369">
            <v>0</v>
          </cell>
          <cell r="AQ1369">
            <v>0</v>
          </cell>
          <cell r="BA1369">
            <v>0</v>
          </cell>
          <cell r="BC1369">
            <v>0</v>
          </cell>
        </row>
        <row r="1370">
          <cell r="A1370">
            <v>0</v>
          </cell>
          <cell r="B1370">
            <v>0</v>
          </cell>
          <cell r="E1370">
            <v>0</v>
          </cell>
          <cell r="F1370">
            <v>0</v>
          </cell>
          <cell r="AO1370">
            <v>0</v>
          </cell>
          <cell r="AP1370">
            <v>0</v>
          </cell>
          <cell r="AQ1370">
            <v>0</v>
          </cell>
          <cell r="BA1370">
            <v>0</v>
          </cell>
          <cell r="BC1370">
            <v>0</v>
          </cell>
        </row>
        <row r="1371">
          <cell r="A1371">
            <v>0</v>
          </cell>
          <cell r="B1371">
            <v>0</v>
          </cell>
          <cell r="E1371">
            <v>0</v>
          </cell>
          <cell r="F1371">
            <v>0</v>
          </cell>
          <cell r="AO1371">
            <v>0</v>
          </cell>
          <cell r="AP1371">
            <v>0</v>
          </cell>
          <cell r="AQ1371">
            <v>0</v>
          </cell>
          <cell r="BA1371">
            <v>0</v>
          </cell>
          <cell r="BC1371">
            <v>0</v>
          </cell>
        </row>
        <row r="1372">
          <cell r="A1372">
            <v>0</v>
          </cell>
          <cell r="B1372">
            <v>0</v>
          </cell>
          <cell r="E1372">
            <v>0</v>
          </cell>
          <cell r="F1372">
            <v>0</v>
          </cell>
          <cell r="AO1372">
            <v>0</v>
          </cell>
          <cell r="AP1372">
            <v>0</v>
          </cell>
          <cell r="AQ1372">
            <v>0</v>
          </cell>
          <cell r="BA1372">
            <v>0</v>
          </cell>
          <cell r="BC1372">
            <v>0</v>
          </cell>
        </row>
        <row r="1373">
          <cell r="A1373">
            <v>0</v>
          </cell>
          <cell r="B1373">
            <v>0</v>
          </cell>
          <cell r="E1373">
            <v>0</v>
          </cell>
          <cell r="F1373">
            <v>0</v>
          </cell>
          <cell r="AO1373">
            <v>0</v>
          </cell>
          <cell r="AP1373">
            <v>0</v>
          </cell>
          <cell r="AQ1373">
            <v>0</v>
          </cell>
          <cell r="BA1373">
            <v>0</v>
          </cell>
          <cell r="BC1373">
            <v>0</v>
          </cell>
        </row>
        <row r="1374">
          <cell r="A1374">
            <v>0</v>
          </cell>
          <cell r="B1374">
            <v>0</v>
          </cell>
          <cell r="E1374">
            <v>0</v>
          </cell>
          <cell r="F1374">
            <v>0</v>
          </cell>
          <cell r="AO1374">
            <v>0</v>
          </cell>
          <cell r="AP1374">
            <v>0</v>
          </cell>
          <cell r="AQ1374">
            <v>0</v>
          </cell>
          <cell r="BA1374">
            <v>0</v>
          </cell>
          <cell r="BC1374">
            <v>0</v>
          </cell>
        </row>
        <row r="1375">
          <cell r="A1375">
            <v>0</v>
          </cell>
          <cell r="B1375">
            <v>0</v>
          </cell>
          <cell r="E1375">
            <v>0</v>
          </cell>
          <cell r="F1375">
            <v>0</v>
          </cell>
          <cell r="AO1375">
            <v>0</v>
          </cell>
          <cell r="AP1375">
            <v>0</v>
          </cell>
          <cell r="AQ1375">
            <v>0</v>
          </cell>
          <cell r="BA1375">
            <v>0</v>
          </cell>
          <cell r="BC1375">
            <v>0</v>
          </cell>
        </row>
        <row r="1376">
          <cell r="A1376">
            <v>0</v>
          </cell>
          <cell r="B1376">
            <v>0</v>
          </cell>
          <cell r="E1376">
            <v>0</v>
          </cell>
          <cell r="F1376">
            <v>0</v>
          </cell>
          <cell r="AO1376">
            <v>0</v>
          </cell>
          <cell r="AP1376">
            <v>0</v>
          </cell>
          <cell r="AQ1376">
            <v>0</v>
          </cell>
          <cell r="BA1376">
            <v>0</v>
          </cell>
          <cell r="BC1376">
            <v>0</v>
          </cell>
        </row>
        <row r="1377">
          <cell r="A1377">
            <v>0</v>
          </cell>
          <cell r="B1377">
            <v>0</v>
          </cell>
          <cell r="E1377">
            <v>0</v>
          </cell>
          <cell r="F1377">
            <v>0</v>
          </cell>
          <cell r="AO1377">
            <v>0</v>
          </cell>
          <cell r="AP1377">
            <v>0</v>
          </cell>
          <cell r="AQ1377">
            <v>0</v>
          </cell>
          <cell r="BA1377">
            <v>0</v>
          </cell>
          <cell r="BC1377">
            <v>0</v>
          </cell>
        </row>
        <row r="1378">
          <cell r="A1378">
            <v>0</v>
          </cell>
          <cell r="B1378">
            <v>0</v>
          </cell>
          <cell r="E1378">
            <v>0</v>
          </cell>
          <cell r="F1378">
            <v>0</v>
          </cell>
          <cell r="AO1378">
            <v>0</v>
          </cell>
          <cell r="AP1378">
            <v>0</v>
          </cell>
          <cell r="AQ1378">
            <v>0</v>
          </cell>
          <cell r="BA1378">
            <v>0</v>
          </cell>
          <cell r="BC1378">
            <v>0</v>
          </cell>
        </row>
        <row r="1379">
          <cell r="A1379">
            <v>0</v>
          </cell>
          <cell r="B1379">
            <v>0</v>
          </cell>
          <cell r="E1379">
            <v>0</v>
          </cell>
          <cell r="F1379">
            <v>0</v>
          </cell>
          <cell r="AO1379">
            <v>0</v>
          </cell>
          <cell r="AP1379">
            <v>0</v>
          </cell>
          <cell r="AQ1379">
            <v>0</v>
          </cell>
          <cell r="BA1379">
            <v>0</v>
          </cell>
          <cell r="BC1379">
            <v>0</v>
          </cell>
        </row>
        <row r="1380">
          <cell r="A1380">
            <v>0</v>
          </cell>
          <cell r="B1380">
            <v>0</v>
          </cell>
          <cell r="E1380">
            <v>0</v>
          </cell>
          <cell r="F1380">
            <v>0</v>
          </cell>
          <cell r="AO1380">
            <v>0</v>
          </cell>
          <cell r="AP1380">
            <v>0</v>
          </cell>
          <cell r="AQ1380">
            <v>0</v>
          </cell>
          <cell r="BA1380">
            <v>0</v>
          </cell>
          <cell r="BC1380">
            <v>0</v>
          </cell>
        </row>
        <row r="1381">
          <cell r="A1381">
            <v>0</v>
          </cell>
          <cell r="B1381">
            <v>0</v>
          </cell>
          <cell r="E1381">
            <v>0</v>
          </cell>
          <cell r="F1381">
            <v>0</v>
          </cell>
          <cell r="AO1381">
            <v>0</v>
          </cell>
          <cell r="AP1381">
            <v>0</v>
          </cell>
          <cell r="AQ1381">
            <v>0</v>
          </cell>
          <cell r="BA1381">
            <v>0</v>
          </cell>
          <cell r="BC1381">
            <v>0</v>
          </cell>
        </row>
        <row r="1382">
          <cell r="A1382">
            <v>0</v>
          </cell>
          <cell r="B1382">
            <v>0</v>
          </cell>
          <cell r="E1382">
            <v>0</v>
          </cell>
          <cell r="F1382">
            <v>0</v>
          </cell>
          <cell r="AO1382">
            <v>0</v>
          </cell>
          <cell r="AP1382">
            <v>0</v>
          </cell>
          <cell r="AQ1382">
            <v>0</v>
          </cell>
          <cell r="BA1382">
            <v>0</v>
          </cell>
          <cell r="BC1382">
            <v>0</v>
          </cell>
        </row>
        <row r="1383">
          <cell r="A1383">
            <v>0</v>
          </cell>
          <cell r="B1383">
            <v>0</v>
          </cell>
          <cell r="E1383">
            <v>0</v>
          </cell>
          <cell r="F1383">
            <v>0</v>
          </cell>
          <cell r="AO1383">
            <v>0</v>
          </cell>
          <cell r="AP1383">
            <v>0</v>
          </cell>
          <cell r="AQ1383">
            <v>0</v>
          </cell>
          <cell r="BA1383">
            <v>0</v>
          </cell>
          <cell r="BC1383">
            <v>0</v>
          </cell>
        </row>
        <row r="1384">
          <cell r="A1384">
            <v>0</v>
          </cell>
          <cell r="B1384">
            <v>0</v>
          </cell>
          <cell r="E1384">
            <v>0</v>
          </cell>
          <cell r="F1384">
            <v>0</v>
          </cell>
          <cell r="AO1384">
            <v>0</v>
          </cell>
          <cell r="AP1384">
            <v>0</v>
          </cell>
          <cell r="AQ1384">
            <v>0</v>
          </cell>
          <cell r="BA1384">
            <v>0</v>
          </cell>
          <cell r="BC1384">
            <v>0</v>
          </cell>
        </row>
        <row r="1385">
          <cell r="A1385">
            <v>0</v>
          </cell>
          <cell r="B1385">
            <v>0</v>
          </cell>
          <cell r="E1385">
            <v>0</v>
          </cell>
          <cell r="F1385">
            <v>0</v>
          </cell>
          <cell r="AO1385">
            <v>0</v>
          </cell>
          <cell r="AP1385">
            <v>0</v>
          </cell>
          <cell r="AQ1385">
            <v>0</v>
          </cell>
          <cell r="BA1385">
            <v>0</v>
          </cell>
          <cell r="BC1385">
            <v>0</v>
          </cell>
        </row>
        <row r="1386">
          <cell r="A1386">
            <v>0</v>
          </cell>
          <cell r="B1386">
            <v>0</v>
          </cell>
          <cell r="E1386">
            <v>0</v>
          </cell>
          <cell r="F1386">
            <v>0</v>
          </cell>
          <cell r="AO1386">
            <v>0</v>
          </cell>
          <cell r="AP1386">
            <v>0</v>
          </cell>
          <cell r="AQ1386">
            <v>0</v>
          </cell>
          <cell r="BA1386">
            <v>0</v>
          </cell>
          <cell r="BC1386">
            <v>0</v>
          </cell>
        </row>
        <row r="1387">
          <cell r="A1387">
            <v>0</v>
          </cell>
          <cell r="B1387">
            <v>0</v>
          </cell>
          <cell r="E1387">
            <v>0</v>
          </cell>
          <cell r="F1387">
            <v>0</v>
          </cell>
          <cell r="AO1387">
            <v>0</v>
          </cell>
          <cell r="AP1387">
            <v>0</v>
          </cell>
          <cell r="AQ1387">
            <v>0</v>
          </cell>
          <cell r="BA1387">
            <v>0</v>
          </cell>
          <cell r="BC1387">
            <v>0</v>
          </cell>
        </row>
        <row r="1388">
          <cell r="A1388">
            <v>0</v>
          </cell>
          <cell r="B1388">
            <v>0</v>
          </cell>
          <cell r="E1388">
            <v>0</v>
          </cell>
          <cell r="F1388">
            <v>0</v>
          </cell>
          <cell r="AO1388">
            <v>0</v>
          </cell>
          <cell r="AP1388">
            <v>0</v>
          </cell>
          <cell r="AQ1388">
            <v>0</v>
          </cell>
          <cell r="BA1388">
            <v>0</v>
          </cell>
          <cell r="BC1388">
            <v>0</v>
          </cell>
        </row>
        <row r="1389">
          <cell r="A1389">
            <v>0</v>
          </cell>
          <cell r="B1389">
            <v>0</v>
          </cell>
          <cell r="E1389">
            <v>0</v>
          </cell>
          <cell r="F1389">
            <v>0</v>
          </cell>
          <cell r="AO1389">
            <v>0</v>
          </cell>
          <cell r="AP1389">
            <v>0</v>
          </cell>
          <cell r="AQ1389">
            <v>0</v>
          </cell>
          <cell r="BA1389">
            <v>0</v>
          </cell>
          <cell r="BC1389">
            <v>0</v>
          </cell>
        </row>
        <row r="1390">
          <cell r="A1390">
            <v>0</v>
          </cell>
          <cell r="B1390">
            <v>0</v>
          </cell>
          <cell r="E1390">
            <v>0</v>
          </cell>
          <cell r="F1390">
            <v>0</v>
          </cell>
          <cell r="AO1390">
            <v>0</v>
          </cell>
          <cell r="AP1390">
            <v>0</v>
          </cell>
          <cell r="AQ1390">
            <v>0</v>
          </cell>
          <cell r="BA1390">
            <v>0</v>
          </cell>
          <cell r="BC1390">
            <v>0</v>
          </cell>
        </row>
        <row r="1391">
          <cell r="A1391">
            <v>0</v>
          </cell>
          <cell r="B1391">
            <v>0</v>
          </cell>
          <cell r="E1391">
            <v>0</v>
          </cell>
          <cell r="F1391">
            <v>0</v>
          </cell>
          <cell r="AO1391">
            <v>0</v>
          </cell>
          <cell r="AP1391">
            <v>0</v>
          </cell>
          <cell r="AQ1391">
            <v>0</v>
          </cell>
          <cell r="BA1391">
            <v>0</v>
          </cell>
          <cell r="BC1391">
            <v>0</v>
          </cell>
        </row>
        <row r="1392">
          <cell r="A1392">
            <v>0</v>
          </cell>
          <cell r="B1392">
            <v>0</v>
          </cell>
          <cell r="E1392">
            <v>0</v>
          </cell>
          <cell r="F1392">
            <v>0</v>
          </cell>
          <cell r="AO1392">
            <v>0</v>
          </cell>
          <cell r="AP1392">
            <v>0</v>
          </cell>
          <cell r="AQ1392">
            <v>0</v>
          </cell>
          <cell r="BA1392">
            <v>0</v>
          </cell>
          <cell r="BC1392">
            <v>0</v>
          </cell>
        </row>
        <row r="1393">
          <cell r="A1393">
            <v>0</v>
          </cell>
          <cell r="B1393">
            <v>0</v>
          </cell>
          <cell r="E1393">
            <v>0</v>
          </cell>
          <cell r="F1393">
            <v>0</v>
          </cell>
          <cell r="AO1393">
            <v>0</v>
          </cell>
          <cell r="AP1393">
            <v>0</v>
          </cell>
          <cell r="AQ1393">
            <v>0</v>
          </cell>
          <cell r="BA1393">
            <v>0</v>
          </cell>
          <cell r="BC1393">
            <v>0</v>
          </cell>
        </row>
        <row r="1394">
          <cell r="A1394">
            <v>0</v>
          </cell>
          <cell r="B1394">
            <v>0</v>
          </cell>
          <cell r="E1394">
            <v>0</v>
          </cell>
          <cell r="F1394">
            <v>0</v>
          </cell>
          <cell r="AO1394">
            <v>0</v>
          </cell>
          <cell r="AP1394">
            <v>0</v>
          </cell>
          <cell r="AQ1394">
            <v>0</v>
          </cell>
          <cell r="BA1394">
            <v>0</v>
          </cell>
          <cell r="BC1394">
            <v>0</v>
          </cell>
        </row>
        <row r="1395">
          <cell r="A1395">
            <v>0</v>
          </cell>
          <cell r="B1395">
            <v>0</v>
          </cell>
          <cell r="E1395">
            <v>0</v>
          </cell>
          <cell r="F1395">
            <v>0</v>
          </cell>
          <cell r="AO1395">
            <v>0</v>
          </cell>
          <cell r="AP1395">
            <v>0</v>
          </cell>
          <cell r="AQ1395">
            <v>0</v>
          </cell>
          <cell r="BA1395">
            <v>0</v>
          </cell>
          <cell r="BC1395">
            <v>0</v>
          </cell>
        </row>
        <row r="1396">
          <cell r="A1396">
            <v>0</v>
          </cell>
          <cell r="B1396">
            <v>0</v>
          </cell>
          <cell r="E1396">
            <v>0</v>
          </cell>
          <cell r="F1396">
            <v>0</v>
          </cell>
          <cell r="AO1396">
            <v>0</v>
          </cell>
          <cell r="AP1396">
            <v>0</v>
          </cell>
          <cell r="AQ1396">
            <v>0</v>
          </cell>
          <cell r="BA1396">
            <v>0</v>
          </cell>
          <cell r="BC1396">
            <v>0</v>
          </cell>
        </row>
        <row r="1397">
          <cell r="A1397">
            <v>0</v>
          </cell>
          <cell r="B1397">
            <v>0</v>
          </cell>
          <cell r="E1397">
            <v>0</v>
          </cell>
          <cell r="F1397">
            <v>0</v>
          </cell>
          <cell r="AO1397">
            <v>0</v>
          </cell>
          <cell r="AP1397">
            <v>0</v>
          </cell>
          <cell r="AQ1397">
            <v>0</v>
          </cell>
          <cell r="BA1397">
            <v>0</v>
          </cell>
          <cell r="BC1397">
            <v>0</v>
          </cell>
        </row>
        <row r="1398">
          <cell r="A1398">
            <v>0</v>
          </cell>
          <cell r="B1398">
            <v>0</v>
          </cell>
          <cell r="E1398">
            <v>0</v>
          </cell>
          <cell r="F1398">
            <v>0</v>
          </cell>
          <cell r="AO1398">
            <v>0</v>
          </cell>
          <cell r="AP1398">
            <v>0</v>
          </cell>
          <cell r="AQ1398">
            <v>0</v>
          </cell>
          <cell r="BA1398">
            <v>0</v>
          </cell>
          <cell r="BC1398">
            <v>0</v>
          </cell>
        </row>
        <row r="1399">
          <cell r="A1399">
            <v>0</v>
          </cell>
          <cell r="B1399">
            <v>0</v>
          </cell>
          <cell r="E1399">
            <v>0</v>
          </cell>
          <cell r="F1399">
            <v>0</v>
          </cell>
          <cell r="AO1399">
            <v>0</v>
          </cell>
          <cell r="AP1399">
            <v>0</v>
          </cell>
          <cell r="AQ1399">
            <v>0</v>
          </cell>
          <cell r="BA1399">
            <v>0</v>
          </cell>
          <cell r="BC1399">
            <v>0</v>
          </cell>
        </row>
        <row r="1400">
          <cell r="A1400">
            <v>0</v>
          </cell>
          <cell r="B1400">
            <v>0</v>
          </cell>
          <cell r="E1400">
            <v>0</v>
          </cell>
          <cell r="F1400">
            <v>0</v>
          </cell>
          <cell r="AO1400">
            <v>0</v>
          </cell>
          <cell r="AP1400">
            <v>0</v>
          </cell>
          <cell r="AQ1400">
            <v>0</v>
          </cell>
          <cell r="BA1400">
            <v>0</v>
          </cell>
          <cell r="BC1400">
            <v>0</v>
          </cell>
        </row>
        <row r="1401">
          <cell r="A1401">
            <v>0</v>
          </cell>
          <cell r="B1401">
            <v>0</v>
          </cell>
          <cell r="E1401">
            <v>0</v>
          </cell>
          <cell r="F1401">
            <v>0</v>
          </cell>
          <cell r="AO1401">
            <v>0</v>
          </cell>
          <cell r="AP1401">
            <v>0</v>
          </cell>
          <cell r="AQ1401">
            <v>0</v>
          </cell>
          <cell r="BA1401">
            <v>0</v>
          </cell>
          <cell r="BC1401">
            <v>0</v>
          </cell>
        </row>
        <row r="1402">
          <cell r="A1402">
            <v>0</v>
          </cell>
          <cell r="B1402">
            <v>0</v>
          </cell>
          <cell r="E1402">
            <v>0</v>
          </cell>
          <cell r="F1402">
            <v>0</v>
          </cell>
          <cell r="AO1402">
            <v>0</v>
          </cell>
          <cell r="AP1402">
            <v>0</v>
          </cell>
          <cell r="AQ1402">
            <v>0</v>
          </cell>
          <cell r="BA1402">
            <v>0</v>
          </cell>
          <cell r="BC1402">
            <v>0</v>
          </cell>
        </row>
        <row r="1403">
          <cell r="A1403">
            <v>0</v>
          </cell>
          <cell r="B1403">
            <v>0</v>
          </cell>
          <cell r="E1403">
            <v>0</v>
          </cell>
          <cell r="F1403">
            <v>0</v>
          </cell>
          <cell r="AO1403">
            <v>0</v>
          </cell>
          <cell r="AP1403">
            <v>0</v>
          </cell>
          <cell r="AQ1403">
            <v>0</v>
          </cell>
          <cell r="BA1403">
            <v>0</v>
          </cell>
          <cell r="BC1403">
            <v>0</v>
          </cell>
        </row>
        <row r="1404">
          <cell r="A1404">
            <v>0</v>
          </cell>
          <cell r="B1404">
            <v>0</v>
          </cell>
          <cell r="E1404">
            <v>0</v>
          </cell>
          <cell r="F1404">
            <v>0</v>
          </cell>
          <cell r="AO1404">
            <v>0</v>
          </cell>
          <cell r="AP1404">
            <v>0</v>
          </cell>
          <cell r="AQ1404">
            <v>0</v>
          </cell>
          <cell r="BA1404">
            <v>0</v>
          </cell>
          <cell r="BC1404">
            <v>0</v>
          </cell>
        </row>
        <row r="1405">
          <cell r="A1405">
            <v>0</v>
          </cell>
          <cell r="B1405">
            <v>0</v>
          </cell>
          <cell r="E1405">
            <v>0</v>
          </cell>
          <cell r="F1405">
            <v>0</v>
          </cell>
          <cell r="AO1405">
            <v>0</v>
          </cell>
          <cell r="AP1405">
            <v>0</v>
          </cell>
          <cell r="AQ1405">
            <v>0</v>
          </cell>
          <cell r="BA1405">
            <v>0</v>
          </cell>
          <cell r="BC1405">
            <v>0</v>
          </cell>
        </row>
        <row r="1406">
          <cell r="A1406">
            <v>0</v>
          </cell>
          <cell r="B1406">
            <v>0</v>
          </cell>
          <cell r="E1406">
            <v>0</v>
          </cell>
          <cell r="F1406">
            <v>0</v>
          </cell>
          <cell r="AO1406">
            <v>0</v>
          </cell>
          <cell r="AP1406">
            <v>0</v>
          </cell>
          <cell r="AQ1406">
            <v>0</v>
          </cell>
          <cell r="BA1406">
            <v>0</v>
          </cell>
          <cell r="BC1406">
            <v>0</v>
          </cell>
        </row>
        <row r="1407">
          <cell r="A1407">
            <v>0</v>
          </cell>
          <cell r="B1407">
            <v>0</v>
          </cell>
          <cell r="E1407">
            <v>0</v>
          </cell>
          <cell r="F1407">
            <v>0</v>
          </cell>
          <cell r="AO1407">
            <v>0</v>
          </cell>
          <cell r="AP1407">
            <v>0</v>
          </cell>
          <cell r="AQ1407">
            <v>0</v>
          </cell>
          <cell r="BA1407">
            <v>0</v>
          </cell>
          <cell r="BC1407">
            <v>0</v>
          </cell>
        </row>
        <row r="1408">
          <cell r="A1408">
            <v>0</v>
          </cell>
          <cell r="B1408">
            <v>0</v>
          </cell>
          <cell r="E1408">
            <v>0</v>
          </cell>
          <cell r="F1408">
            <v>0</v>
          </cell>
          <cell r="AO1408">
            <v>0</v>
          </cell>
          <cell r="AP1408">
            <v>0</v>
          </cell>
          <cell r="AQ1408">
            <v>0</v>
          </cell>
          <cell r="BA1408">
            <v>0</v>
          </cell>
          <cell r="BC1408">
            <v>0</v>
          </cell>
        </row>
        <row r="1409">
          <cell r="A1409">
            <v>0</v>
          </cell>
          <cell r="B1409">
            <v>0</v>
          </cell>
          <cell r="E1409">
            <v>0</v>
          </cell>
          <cell r="F1409">
            <v>0</v>
          </cell>
          <cell r="AO1409">
            <v>0</v>
          </cell>
          <cell r="AP1409">
            <v>0</v>
          </cell>
          <cell r="AQ1409">
            <v>0</v>
          </cell>
          <cell r="BA1409">
            <v>0</v>
          </cell>
          <cell r="BC1409">
            <v>0</v>
          </cell>
        </row>
        <row r="1410">
          <cell r="A1410">
            <v>0</v>
          </cell>
          <cell r="B1410">
            <v>0</v>
          </cell>
          <cell r="E1410">
            <v>0</v>
          </cell>
          <cell r="F1410">
            <v>0</v>
          </cell>
          <cell r="AO1410">
            <v>0</v>
          </cell>
          <cell r="AP1410">
            <v>0</v>
          </cell>
          <cell r="AQ1410">
            <v>0</v>
          </cell>
          <cell r="BA1410">
            <v>0</v>
          </cell>
          <cell r="BC1410">
            <v>0</v>
          </cell>
        </row>
        <row r="1411">
          <cell r="A1411">
            <v>0</v>
          </cell>
          <cell r="B1411">
            <v>0</v>
          </cell>
          <cell r="E1411">
            <v>0</v>
          </cell>
          <cell r="F1411">
            <v>0</v>
          </cell>
          <cell r="AO1411">
            <v>0</v>
          </cell>
          <cell r="AP1411">
            <v>0</v>
          </cell>
          <cell r="AQ1411">
            <v>0</v>
          </cell>
          <cell r="BA1411">
            <v>0</v>
          </cell>
          <cell r="BC1411">
            <v>0</v>
          </cell>
        </row>
        <row r="1412">
          <cell r="A1412">
            <v>0</v>
          </cell>
          <cell r="B1412">
            <v>0</v>
          </cell>
          <cell r="E1412">
            <v>0</v>
          </cell>
          <cell r="F1412">
            <v>0</v>
          </cell>
          <cell r="AO1412">
            <v>0</v>
          </cell>
          <cell r="AP1412">
            <v>0</v>
          </cell>
          <cell r="AQ1412">
            <v>0</v>
          </cell>
          <cell r="BA1412">
            <v>0</v>
          </cell>
          <cell r="BC1412">
            <v>0</v>
          </cell>
        </row>
        <row r="1413">
          <cell r="A1413">
            <v>0</v>
          </cell>
          <cell r="B1413">
            <v>0</v>
          </cell>
          <cell r="E1413">
            <v>0</v>
          </cell>
          <cell r="F1413">
            <v>0</v>
          </cell>
          <cell r="AO1413">
            <v>0</v>
          </cell>
          <cell r="AP1413">
            <v>0</v>
          </cell>
          <cell r="AQ1413">
            <v>0</v>
          </cell>
          <cell r="BA1413">
            <v>0</v>
          </cell>
          <cell r="BC1413">
            <v>0</v>
          </cell>
        </row>
        <row r="1414">
          <cell r="A1414">
            <v>0</v>
          </cell>
          <cell r="B1414">
            <v>0</v>
          </cell>
          <cell r="E1414">
            <v>0</v>
          </cell>
          <cell r="F1414">
            <v>0</v>
          </cell>
          <cell r="AO1414">
            <v>0</v>
          </cell>
          <cell r="AP1414">
            <v>0</v>
          </cell>
          <cell r="AQ1414">
            <v>0</v>
          </cell>
          <cell r="BA1414">
            <v>0</v>
          </cell>
          <cell r="BC1414">
            <v>0</v>
          </cell>
        </row>
        <row r="1415">
          <cell r="A1415">
            <v>0</v>
          </cell>
          <cell r="B1415">
            <v>0</v>
          </cell>
          <cell r="E1415">
            <v>0</v>
          </cell>
          <cell r="F1415">
            <v>0</v>
          </cell>
          <cell r="AO1415">
            <v>0</v>
          </cell>
          <cell r="AP1415">
            <v>0</v>
          </cell>
          <cell r="AQ1415">
            <v>0</v>
          </cell>
          <cell r="BA1415">
            <v>0</v>
          </cell>
          <cell r="BC1415">
            <v>0</v>
          </cell>
        </row>
        <row r="1416">
          <cell r="A1416">
            <v>0</v>
          </cell>
          <cell r="B1416">
            <v>0</v>
          </cell>
          <cell r="E1416">
            <v>0</v>
          </cell>
          <cell r="F1416">
            <v>0</v>
          </cell>
          <cell r="AO1416">
            <v>0</v>
          </cell>
          <cell r="AP1416">
            <v>0</v>
          </cell>
          <cell r="AQ1416">
            <v>0</v>
          </cell>
          <cell r="BA1416">
            <v>0</v>
          </cell>
          <cell r="BC1416">
            <v>0</v>
          </cell>
        </row>
        <row r="1417">
          <cell r="A1417">
            <v>0</v>
          </cell>
          <cell r="B1417">
            <v>0</v>
          </cell>
          <cell r="E1417">
            <v>0</v>
          </cell>
          <cell r="F1417">
            <v>0</v>
          </cell>
          <cell r="AO1417">
            <v>0</v>
          </cell>
          <cell r="AP1417">
            <v>0</v>
          </cell>
          <cell r="AQ1417">
            <v>0</v>
          </cell>
          <cell r="BA1417">
            <v>0</v>
          </cell>
          <cell r="BC1417">
            <v>0</v>
          </cell>
        </row>
        <row r="1418">
          <cell r="A1418">
            <v>0</v>
          </cell>
          <cell r="B1418">
            <v>0</v>
          </cell>
          <cell r="E1418">
            <v>0</v>
          </cell>
          <cell r="F1418">
            <v>0</v>
          </cell>
          <cell r="AO1418">
            <v>0</v>
          </cell>
          <cell r="AP1418">
            <v>0</v>
          </cell>
          <cell r="AQ1418">
            <v>0</v>
          </cell>
          <cell r="BA1418">
            <v>0</v>
          </cell>
          <cell r="BC1418">
            <v>0</v>
          </cell>
        </row>
        <row r="1419">
          <cell r="A1419">
            <v>0</v>
          </cell>
          <cell r="B1419">
            <v>0</v>
          </cell>
          <cell r="E1419">
            <v>0</v>
          </cell>
          <cell r="F1419">
            <v>0</v>
          </cell>
          <cell r="AO1419">
            <v>0</v>
          </cell>
          <cell r="AP1419">
            <v>0</v>
          </cell>
          <cell r="AQ1419">
            <v>0</v>
          </cell>
          <cell r="BA1419">
            <v>0</v>
          </cell>
          <cell r="BC1419">
            <v>0</v>
          </cell>
        </row>
        <row r="1420">
          <cell r="A1420">
            <v>0</v>
          </cell>
          <cell r="B1420">
            <v>0</v>
          </cell>
          <cell r="E1420">
            <v>0</v>
          </cell>
          <cell r="F1420">
            <v>0</v>
          </cell>
          <cell r="AO1420">
            <v>0</v>
          </cell>
          <cell r="AP1420">
            <v>0</v>
          </cell>
          <cell r="AQ1420">
            <v>0</v>
          </cell>
          <cell r="BA1420">
            <v>0</v>
          </cell>
          <cell r="BC1420">
            <v>0</v>
          </cell>
        </row>
        <row r="1421">
          <cell r="A1421">
            <v>0</v>
          </cell>
          <cell r="B1421">
            <v>0</v>
          </cell>
          <cell r="E1421">
            <v>0</v>
          </cell>
          <cell r="F1421">
            <v>0</v>
          </cell>
          <cell r="AO1421">
            <v>0</v>
          </cell>
          <cell r="AP1421">
            <v>0</v>
          </cell>
          <cell r="AQ1421">
            <v>0</v>
          </cell>
          <cell r="BA1421">
            <v>0</v>
          </cell>
          <cell r="BC1421">
            <v>0</v>
          </cell>
        </row>
        <row r="1422">
          <cell r="A1422">
            <v>0</v>
          </cell>
          <cell r="B1422">
            <v>0</v>
          </cell>
          <cell r="E1422">
            <v>0</v>
          </cell>
          <cell r="F1422">
            <v>0</v>
          </cell>
          <cell r="AO1422">
            <v>0</v>
          </cell>
          <cell r="AP1422">
            <v>0</v>
          </cell>
          <cell r="AQ1422">
            <v>0</v>
          </cell>
          <cell r="BA1422">
            <v>0</v>
          </cell>
          <cell r="BC1422">
            <v>0</v>
          </cell>
        </row>
        <row r="1423">
          <cell r="A1423">
            <v>0</v>
          </cell>
          <cell r="B1423">
            <v>0</v>
          </cell>
          <cell r="E1423">
            <v>0</v>
          </cell>
          <cell r="F1423">
            <v>0</v>
          </cell>
          <cell r="AO1423">
            <v>0</v>
          </cell>
          <cell r="AP1423">
            <v>0</v>
          </cell>
          <cell r="AQ1423">
            <v>0</v>
          </cell>
          <cell r="BA1423">
            <v>0</v>
          </cell>
          <cell r="BC1423">
            <v>0</v>
          </cell>
        </row>
        <row r="1424">
          <cell r="A1424">
            <v>0</v>
          </cell>
          <cell r="B1424">
            <v>0</v>
          </cell>
          <cell r="E1424">
            <v>0</v>
          </cell>
          <cell r="F1424">
            <v>0</v>
          </cell>
          <cell r="AO1424">
            <v>0</v>
          </cell>
          <cell r="AP1424">
            <v>0</v>
          </cell>
          <cell r="AQ1424">
            <v>0</v>
          </cell>
          <cell r="BA1424">
            <v>0</v>
          </cell>
          <cell r="BC1424">
            <v>0</v>
          </cell>
        </row>
        <row r="1425">
          <cell r="A1425">
            <v>0</v>
          </cell>
          <cell r="B1425">
            <v>0</v>
          </cell>
          <cell r="E1425">
            <v>0</v>
          </cell>
          <cell r="F1425">
            <v>0</v>
          </cell>
          <cell r="AO1425">
            <v>0</v>
          </cell>
          <cell r="AP1425">
            <v>0</v>
          </cell>
          <cell r="AQ1425">
            <v>0</v>
          </cell>
          <cell r="BA1425">
            <v>0</v>
          </cell>
          <cell r="BC1425">
            <v>0</v>
          </cell>
        </row>
        <row r="1426">
          <cell r="A1426">
            <v>0</v>
          </cell>
          <cell r="B1426">
            <v>0</v>
          </cell>
          <cell r="E1426">
            <v>0</v>
          </cell>
          <cell r="F1426">
            <v>0</v>
          </cell>
          <cell r="AO1426">
            <v>0</v>
          </cell>
          <cell r="AP1426">
            <v>0</v>
          </cell>
          <cell r="AQ1426">
            <v>0</v>
          </cell>
          <cell r="BA1426">
            <v>0</v>
          </cell>
          <cell r="BC1426">
            <v>0</v>
          </cell>
        </row>
        <row r="1427">
          <cell r="A1427">
            <v>0</v>
          </cell>
          <cell r="B1427">
            <v>0</v>
          </cell>
          <cell r="E1427">
            <v>0</v>
          </cell>
          <cell r="F1427">
            <v>0</v>
          </cell>
          <cell r="AO1427">
            <v>0</v>
          </cell>
          <cell r="AP1427">
            <v>0</v>
          </cell>
          <cell r="AQ1427">
            <v>0</v>
          </cell>
          <cell r="BA1427">
            <v>0</v>
          </cell>
          <cell r="BC1427">
            <v>0</v>
          </cell>
        </row>
        <row r="1428">
          <cell r="A1428">
            <v>0</v>
          </cell>
          <cell r="B1428">
            <v>0</v>
          </cell>
          <cell r="E1428">
            <v>0</v>
          </cell>
          <cell r="F1428">
            <v>0</v>
          </cell>
          <cell r="AO1428">
            <v>0</v>
          </cell>
          <cell r="AP1428">
            <v>0</v>
          </cell>
          <cell r="AQ1428">
            <v>0</v>
          </cell>
          <cell r="BA1428">
            <v>0</v>
          </cell>
          <cell r="BC1428">
            <v>0</v>
          </cell>
        </row>
        <row r="1429">
          <cell r="A1429">
            <v>0</v>
          </cell>
          <cell r="B1429">
            <v>0</v>
          </cell>
          <cell r="E1429">
            <v>0</v>
          </cell>
          <cell r="F1429">
            <v>0</v>
          </cell>
          <cell r="AO1429">
            <v>0</v>
          </cell>
          <cell r="AP1429">
            <v>0</v>
          </cell>
          <cell r="AQ1429">
            <v>0</v>
          </cell>
          <cell r="BA1429">
            <v>0</v>
          </cell>
          <cell r="BC1429">
            <v>0</v>
          </cell>
        </row>
        <row r="1430">
          <cell r="A1430">
            <v>0</v>
          </cell>
          <cell r="B1430">
            <v>0</v>
          </cell>
          <cell r="E1430">
            <v>0</v>
          </cell>
          <cell r="F1430">
            <v>0</v>
          </cell>
          <cell r="AO1430">
            <v>0</v>
          </cell>
          <cell r="AP1430">
            <v>0</v>
          </cell>
          <cell r="AQ1430">
            <v>0</v>
          </cell>
          <cell r="BA1430">
            <v>0</v>
          </cell>
          <cell r="BC1430">
            <v>0</v>
          </cell>
        </row>
        <row r="1431">
          <cell r="A1431">
            <v>0</v>
          </cell>
          <cell r="B1431">
            <v>0</v>
          </cell>
          <cell r="E1431">
            <v>0</v>
          </cell>
          <cell r="F1431">
            <v>0</v>
          </cell>
          <cell r="AO1431">
            <v>0</v>
          </cell>
          <cell r="AP1431">
            <v>0</v>
          </cell>
          <cell r="AQ1431">
            <v>0</v>
          </cell>
          <cell r="BA1431">
            <v>0</v>
          </cell>
          <cell r="BC1431">
            <v>0</v>
          </cell>
        </row>
        <row r="1432">
          <cell r="A1432">
            <v>0</v>
          </cell>
          <cell r="B1432">
            <v>0</v>
          </cell>
          <cell r="E1432">
            <v>0</v>
          </cell>
          <cell r="F1432">
            <v>0</v>
          </cell>
          <cell r="AO1432">
            <v>0</v>
          </cell>
          <cell r="AP1432">
            <v>0</v>
          </cell>
          <cell r="AQ1432">
            <v>0</v>
          </cell>
          <cell r="BA1432">
            <v>0</v>
          </cell>
          <cell r="BC1432">
            <v>0</v>
          </cell>
        </row>
        <row r="1433">
          <cell r="A1433">
            <v>0</v>
          </cell>
          <cell r="B1433">
            <v>0</v>
          </cell>
          <cell r="E1433">
            <v>0</v>
          </cell>
          <cell r="F1433">
            <v>0</v>
          </cell>
          <cell r="AO1433">
            <v>0</v>
          </cell>
          <cell r="AP1433">
            <v>0</v>
          </cell>
          <cell r="AQ1433">
            <v>0</v>
          </cell>
          <cell r="BA1433">
            <v>0</v>
          </cell>
          <cell r="BC1433">
            <v>0</v>
          </cell>
        </row>
        <row r="1434">
          <cell r="A1434">
            <v>0</v>
          </cell>
          <cell r="B1434">
            <v>0</v>
          </cell>
          <cell r="E1434">
            <v>0</v>
          </cell>
          <cell r="F1434">
            <v>0</v>
          </cell>
          <cell r="AO1434">
            <v>0</v>
          </cell>
          <cell r="AP1434">
            <v>0</v>
          </cell>
          <cell r="AQ1434">
            <v>0</v>
          </cell>
          <cell r="BA1434">
            <v>0</v>
          </cell>
          <cell r="BC1434">
            <v>0</v>
          </cell>
        </row>
        <row r="1435">
          <cell r="A1435">
            <v>0</v>
          </cell>
          <cell r="B1435">
            <v>0</v>
          </cell>
          <cell r="E1435">
            <v>0</v>
          </cell>
          <cell r="F1435">
            <v>0</v>
          </cell>
          <cell r="AO1435">
            <v>0</v>
          </cell>
          <cell r="AP1435">
            <v>0</v>
          </cell>
          <cell r="AQ1435">
            <v>0</v>
          </cell>
          <cell r="BA1435">
            <v>0</v>
          </cell>
          <cell r="BC1435">
            <v>0</v>
          </cell>
        </row>
        <row r="1436">
          <cell r="A1436">
            <v>0</v>
          </cell>
          <cell r="B1436">
            <v>0</v>
          </cell>
          <cell r="E1436">
            <v>0</v>
          </cell>
          <cell r="F1436">
            <v>0</v>
          </cell>
          <cell r="AO1436">
            <v>0</v>
          </cell>
          <cell r="AP1436">
            <v>0</v>
          </cell>
          <cell r="AQ1436">
            <v>0</v>
          </cell>
          <cell r="BA1436">
            <v>0</v>
          </cell>
          <cell r="BC1436">
            <v>0</v>
          </cell>
        </row>
        <row r="1437">
          <cell r="A1437">
            <v>0</v>
          </cell>
          <cell r="B1437">
            <v>0</v>
          </cell>
          <cell r="E1437">
            <v>0</v>
          </cell>
          <cell r="F1437">
            <v>0</v>
          </cell>
          <cell r="AO1437">
            <v>0</v>
          </cell>
          <cell r="AP1437">
            <v>0</v>
          </cell>
          <cell r="AQ1437">
            <v>0</v>
          </cell>
          <cell r="BA1437">
            <v>0</v>
          </cell>
          <cell r="BC1437">
            <v>0</v>
          </cell>
        </row>
        <row r="1438">
          <cell r="A1438">
            <v>0</v>
          </cell>
          <cell r="B1438">
            <v>0</v>
          </cell>
          <cell r="E1438">
            <v>0</v>
          </cell>
          <cell r="F1438">
            <v>0</v>
          </cell>
          <cell r="AO1438">
            <v>0</v>
          </cell>
          <cell r="AP1438">
            <v>0</v>
          </cell>
          <cell r="AQ1438">
            <v>0</v>
          </cell>
          <cell r="BA1438">
            <v>0</v>
          </cell>
          <cell r="BC1438">
            <v>0</v>
          </cell>
        </row>
        <row r="1439">
          <cell r="A1439">
            <v>0</v>
          </cell>
          <cell r="B1439">
            <v>0</v>
          </cell>
          <cell r="E1439">
            <v>0</v>
          </cell>
          <cell r="F1439">
            <v>0</v>
          </cell>
          <cell r="AO1439">
            <v>0</v>
          </cell>
          <cell r="AP1439">
            <v>0</v>
          </cell>
          <cell r="AQ1439">
            <v>0</v>
          </cell>
          <cell r="BA1439">
            <v>0</v>
          </cell>
          <cell r="BC1439">
            <v>0</v>
          </cell>
        </row>
        <row r="1440">
          <cell r="A1440">
            <v>0</v>
          </cell>
          <cell r="B1440">
            <v>0</v>
          </cell>
          <cell r="E1440">
            <v>0</v>
          </cell>
          <cell r="F1440">
            <v>0</v>
          </cell>
          <cell r="AO1440">
            <v>0</v>
          </cell>
          <cell r="AP1440">
            <v>0</v>
          </cell>
          <cell r="AQ1440">
            <v>0</v>
          </cell>
          <cell r="BA1440">
            <v>0</v>
          </cell>
          <cell r="BC1440">
            <v>0</v>
          </cell>
        </row>
        <row r="1441">
          <cell r="A1441">
            <v>0</v>
          </cell>
          <cell r="B1441">
            <v>0</v>
          </cell>
          <cell r="E1441">
            <v>0</v>
          </cell>
          <cell r="F1441">
            <v>0</v>
          </cell>
          <cell r="AO1441">
            <v>0</v>
          </cell>
          <cell r="AP1441">
            <v>0</v>
          </cell>
          <cell r="AQ1441">
            <v>0</v>
          </cell>
          <cell r="BA1441">
            <v>0</v>
          </cell>
          <cell r="BC1441">
            <v>0</v>
          </cell>
        </row>
        <row r="1442">
          <cell r="A1442">
            <v>0</v>
          </cell>
          <cell r="B1442">
            <v>0</v>
          </cell>
          <cell r="E1442">
            <v>0</v>
          </cell>
          <cell r="F1442">
            <v>0</v>
          </cell>
          <cell r="AO1442">
            <v>0</v>
          </cell>
          <cell r="AP1442">
            <v>0</v>
          </cell>
          <cell r="AQ1442">
            <v>0</v>
          </cell>
          <cell r="BA1442">
            <v>0</v>
          </cell>
          <cell r="BC1442">
            <v>0</v>
          </cell>
        </row>
        <row r="1443">
          <cell r="A1443">
            <v>0</v>
          </cell>
          <cell r="B1443">
            <v>0</v>
          </cell>
          <cell r="E1443">
            <v>0</v>
          </cell>
          <cell r="F1443">
            <v>0</v>
          </cell>
          <cell r="AO1443">
            <v>0</v>
          </cell>
          <cell r="AP1443">
            <v>0</v>
          </cell>
          <cell r="AQ1443">
            <v>0</v>
          </cell>
          <cell r="BA1443">
            <v>0</v>
          </cell>
          <cell r="BC1443">
            <v>0</v>
          </cell>
        </row>
        <row r="1444">
          <cell r="A1444">
            <v>0</v>
          </cell>
          <cell r="B1444">
            <v>0</v>
          </cell>
          <cell r="E1444">
            <v>0</v>
          </cell>
          <cell r="F1444">
            <v>0</v>
          </cell>
          <cell r="AO1444">
            <v>0</v>
          </cell>
          <cell r="AP1444">
            <v>0</v>
          </cell>
          <cell r="AQ1444">
            <v>0</v>
          </cell>
          <cell r="BA1444">
            <v>0</v>
          </cell>
          <cell r="BC1444">
            <v>0</v>
          </cell>
        </row>
        <row r="1445">
          <cell r="A1445">
            <v>0</v>
          </cell>
          <cell r="B1445">
            <v>0</v>
          </cell>
          <cell r="E1445">
            <v>0</v>
          </cell>
          <cell r="F1445">
            <v>0</v>
          </cell>
          <cell r="AO1445">
            <v>0</v>
          </cell>
          <cell r="AP1445">
            <v>0</v>
          </cell>
          <cell r="AQ1445">
            <v>0</v>
          </cell>
          <cell r="BA1445">
            <v>0</v>
          </cell>
          <cell r="BC1445">
            <v>0</v>
          </cell>
        </row>
        <row r="1446">
          <cell r="A1446">
            <v>0</v>
          </cell>
          <cell r="B1446">
            <v>0</v>
          </cell>
          <cell r="E1446">
            <v>0</v>
          </cell>
          <cell r="F1446">
            <v>0</v>
          </cell>
          <cell r="AO1446">
            <v>0</v>
          </cell>
          <cell r="AP1446">
            <v>0</v>
          </cell>
          <cell r="AQ1446">
            <v>0</v>
          </cell>
          <cell r="BA1446">
            <v>0</v>
          </cell>
          <cell r="BC1446">
            <v>0</v>
          </cell>
        </row>
        <row r="1447">
          <cell r="A1447">
            <v>0</v>
          </cell>
          <cell r="B1447">
            <v>0</v>
          </cell>
          <cell r="E1447">
            <v>0</v>
          </cell>
          <cell r="F1447">
            <v>0</v>
          </cell>
          <cell r="AO1447">
            <v>0</v>
          </cell>
          <cell r="AP1447">
            <v>0</v>
          </cell>
          <cell r="AQ1447">
            <v>0</v>
          </cell>
          <cell r="BA1447">
            <v>0</v>
          </cell>
          <cell r="BC1447">
            <v>0</v>
          </cell>
        </row>
        <row r="1448">
          <cell r="A1448">
            <v>0</v>
          </cell>
          <cell r="B1448">
            <v>0</v>
          </cell>
          <cell r="E1448">
            <v>0</v>
          </cell>
          <cell r="F1448">
            <v>0</v>
          </cell>
          <cell r="AO1448">
            <v>0</v>
          </cell>
          <cell r="AP1448">
            <v>0</v>
          </cell>
          <cell r="AQ1448">
            <v>0</v>
          </cell>
          <cell r="BA1448">
            <v>0</v>
          </cell>
          <cell r="BC1448">
            <v>0</v>
          </cell>
        </row>
        <row r="1449">
          <cell r="A1449">
            <v>0</v>
          </cell>
          <cell r="B1449">
            <v>0</v>
          </cell>
          <cell r="E1449">
            <v>0</v>
          </cell>
          <cell r="F1449">
            <v>0</v>
          </cell>
          <cell r="AO1449">
            <v>0</v>
          </cell>
          <cell r="AP1449">
            <v>0</v>
          </cell>
          <cell r="AQ1449">
            <v>0</v>
          </cell>
          <cell r="BA1449">
            <v>0</v>
          </cell>
          <cell r="BC1449">
            <v>0</v>
          </cell>
        </row>
        <row r="1450">
          <cell r="A1450">
            <v>0</v>
          </cell>
          <cell r="B1450">
            <v>0</v>
          </cell>
          <cell r="E1450">
            <v>0</v>
          </cell>
          <cell r="F1450">
            <v>0</v>
          </cell>
          <cell r="AO1450">
            <v>0</v>
          </cell>
          <cell r="AP1450">
            <v>0</v>
          </cell>
          <cell r="AQ1450">
            <v>0</v>
          </cell>
          <cell r="BA1450">
            <v>0</v>
          </cell>
          <cell r="BC1450">
            <v>0</v>
          </cell>
        </row>
        <row r="1451">
          <cell r="A1451">
            <v>0</v>
          </cell>
          <cell r="B1451">
            <v>0</v>
          </cell>
          <cell r="E1451">
            <v>0</v>
          </cell>
          <cell r="F1451">
            <v>0</v>
          </cell>
          <cell r="AO1451">
            <v>0</v>
          </cell>
          <cell r="AP1451">
            <v>0</v>
          </cell>
          <cell r="AQ1451">
            <v>0</v>
          </cell>
          <cell r="BA1451">
            <v>0</v>
          </cell>
          <cell r="BC1451">
            <v>0</v>
          </cell>
        </row>
        <row r="1452">
          <cell r="A1452">
            <v>0</v>
          </cell>
          <cell r="B1452">
            <v>0</v>
          </cell>
          <cell r="E1452">
            <v>0</v>
          </cell>
          <cell r="F1452">
            <v>0</v>
          </cell>
          <cell r="AO1452">
            <v>0</v>
          </cell>
          <cell r="AP1452">
            <v>0</v>
          </cell>
          <cell r="AQ1452">
            <v>0</v>
          </cell>
          <cell r="BA1452">
            <v>0</v>
          </cell>
          <cell r="BC1452">
            <v>0</v>
          </cell>
        </row>
        <row r="1453">
          <cell r="A1453">
            <v>0</v>
          </cell>
          <cell r="B1453">
            <v>0</v>
          </cell>
          <cell r="E1453">
            <v>0</v>
          </cell>
          <cell r="F1453">
            <v>0</v>
          </cell>
          <cell r="AO1453">
            <v>0</v>
          </cell>
          <cell r="AP1453">
            <v>0</v>
          </cell>
          <cell r="AQ1453">
            <v>0</v>
          </cell>
          <cell r="BA1453">
            <v>0</v>
          </cell>
          <cell r="BC1453">
            <v>0</v>
          </cell>
        </row>
        <row r="1454">
          <cell r="A1454">
            <v>0</v>
          </cell>
          <cell r="B1454">
            <v>0</v>
          </cell>
          <cell r="E1454">
            <v>0</v>
          </cell>
          <cell r="F1454">
            <v>0</v>
          </cell>
          <cell r="AO1454">
            <v>0</v>
          </cell>
          <cell r="AP1454">
            <v>0</v>
          </cell>
          <cell r="AQ1454">
            <v>0</v>
          </cell>
          <cell r="BA1454">
            <v>0</v>
          </cell>
          <cell r="BC1454">
            <v>0</v>
          </cell>
        </row>
        <row r="1455">
          <cell r="A1455">
            <v>0</v>
          </cell>
          <cell r="B1455">
            <v>0</v>
          </cell>
          <cell r="E1455">
            <v>0</v>
          </cell>
          <cell r="F1455">
            <v>0</v>
          </cell>
          <cell r="AO1455">
            <v>0</v>
          </cell>
          <cell r="AP1455">
            <v>0</v>
          </cell>
          <cell r="AQ1455">
            <v>0</v>
          </cell>
          <cell r="BA1455">
            <v>0</v>
          </cell>
          <cell r="BC1455">
            <v>0</v>
          </cell>
        </row>
        <row r="1456">
          <cell r="A1456">
            <v>0</v>
          </cell>
          <cell r="B1456">
            <v>0</v>
          </cell>
          <cell r="E1456">
            <v>0</v>
          </cell>
          <cell r="F1456">
            <v>0</v>
          </cell>
          <cell r="AO1456">
            <v>0</v>
          </cell>
          <cell r="AP1456">
            <v>0</v>
          </cell>
          <cell r="AQ1456">
            <v>0</v>
          </cell>
          <cell r="BA1456">
            <v>0</v>
          </cell>
          <cell r="BC1456">
            <v>0</v>
          </cell>
        </row>
        <row r="1457">
          <cell r="A1457">
            <v>0</v>
          </cell>
          <cell r="B1457">
            <v>0</v>
          </cell>
          <cell r="E1457">
            <v>0</v>
          </cell>
          <cell r="F1457">
            <v>0</v>
          </cell>
          <cell r="AO1457">
            <v>0</v>
          </cell>
          <cell r="AP1457">
            <v>0</v>
          </cell>
          <cell r="AQ1457">
            <v>0</v>
          </cell>
          <cell r="BA1457">
            <v>0</v>
          </cell>
          <cell r="BC1457">
            <v>0</v>
          </cell>
        </row>
        <row r="1458">
          <cell r="A1458">
            <v>0</v>
          </cell>
          <cell r="B1458">
            <v>0</v>
          </cell>
          <cell r="E1458">
            <v>0</v>
          </cell>
          <cell r="F1458">
            <v>0</v>
          </cell>
          <cell r="AO1458">
            <v>0</v>
          </cell>
          <cell r="AP1458">
            <v>0</v>
          </cell>
          <cell r="AQ1458">
            <v>0</v>
          </cell>
          <cell r="BA1458">
            <v>0</v>
          </cell>
          <cell r="BC1458">
            <v>0</v>
          </cell>
        </row>
        <row r="1459">
          <cell r="A1459">
            <v>0</v>
          </cell>
          <cell r="B1459">
            <v>0</v>
          </cell>
          <cell r="E1459">
            <v>0</v>
          </cell>
          <cell r="F1459">
            <v>0</v>
          </cell>
          <cell r="AO1459">
            <v>0</v>
          </cell>
          <cell r="AP1459">
            <v>0</v>
          </cell>
          <cell r="AQ1459">
            <v>0</v>
          </cell>
          <cell r="BA1459">
            <v>0</v>
          </cell>
          <cell r="BC1459">
            <v>0</v>
          </cell>
        </row>
        <row r="1460">
          <cell r="A1460">
            <v>0</v>
          </cell>
          <cell r="B1460">
            <v>0</v>
          </cell>
          <cell r="E1460">
            <v>0</v>
          </cell>
          <cell r="F1460">
            <v>0</v>
          </cell>
          <cell r="AO1460">
            <v>0</v>
          </cell>
          <cell r="AP1460">
            <v>0</v>
          </cell>
          <cell r="AQ1460">
            <v>0</v>
          </cell>
          <cell r="BA1460">
            <v>0</v>
          </cell>
          <cell r="BC1460">
            <v>0</v>
          </cell>
        </row>
        <row r="1461">
          <cell r="A1461">
            <v>0</v>
          </cell>
          <cell r="B1461">
            <v>0</v>
          </cell>
          <cell r="E1461">
            <v>0</v>
          </cell>
          <cell r="F1461">
            <v>0</v>
          </cell>
          <cell r="AO1461">
            <v>0</v>
          </cell>
          <cell r="AP1461">
            <v>0</v>
          </cell>
          <cell r="AQ1461">
            <v>0</v>
          </cell>
          <cell r="BA1461">
            <v>0</v>
          </cell>
          <cell r="BC1461">
            <v>0</v>
          </cell>
        </row>
        <row r="1462">
          <cell r="A1462">
            <v>0</v>
          </cell>
          <cell r="B1462">
            <v>0</v>
          </cell>
          <cell r="E1462">
            <v>0</v>
          </cell>
          <cell r="F1462">
            <v>0</v>
          </cell>
          <cell r="AO1462">
            <v>0</v>
          </cell>
          <cell r="AP1462">
            <v>0</v>
          </cell>
          <cell r="AQ1462">
            <v>0</v>
          </cell>
          <cell r="BA1462">
            <v>0</v>
          </cell>
          <cell r="BC1462">
            <v>0</v>
          </cell>
        </row>
        <row r="1463">
          <cell r="A1463">
            <v>0</v>
          </cell>
          <cell r="B1463">
            <v>0</v>
          </cell>
          <cell r="E1463">
            <v>0</v>
          </cell>
          <cell r="F1463">
            <v>0</v>
          </cell>
          <cell r="AO1463">
            <v>0</v>
          </cell>
          <cell r="AP1463">
            <v>0</v>
          </cell>
          <cell r="AQ1463">
            <v>0</v>
          </cell>
          <cell r="BA1463">
            <v>0</v>
          </cell>
          <cell r="BC1463">
            <v>0</v>
          </cell>
        </row>
        <row r="1464">
          <cell r="A1464">
            <v>0</v>
          </cell>
          <cell r="B1464">
            <v>0</v>
          </cell>
          <cell r="E1464">
            <v>0</v>
          </cell>
          <cell r="F1464">
            <v>0</v>
          </cell>
          <cell r="AO1464">
            <v>0</v>
          </cell>
          <cell r="AP1464">
            <v>0</v>
          </cell>
          <cell r="AQ1464">
            <v>0</v>
          </cell>
          <cell r="BA1464">
            <v>0</v>
          </cell>
          <cell r="BC1464">
            <v>0</v>
          </cell>
        </row>
        <row r="1465">
          <cell r="A1465">
            <v>0</v>
          </cell>
          <cell r="B1465">
            <v>0</v>
          </cell>
          <cell r="E1465">
            <v>0</v>
          </cell>
          <cell r="F1465">
            <v>0</v>
          </cell>
          <cell r="AO1465">
            <v>0</v>
          </cell>
          <cell r="AP1465">
            <v>0</v>
          </cell>
          <cell r="AQ1465">
            <v>0</v>
          </cell>
          <cell r="BA1465">
            <v>0</v>
          </cell>
          <cell r="BC1465">
            <v>0</v>
          </cell>
        </row>
        <row r="1466">
          <cell r="A1466">
            <v>0</v>
          </cell>
          <cell r="B1466">
            <v>0</v>
          </cell>
          <cell r="E1466">
            <v>0</v>
          </cell>
          <cell r="F1466">
            <v>0</v>
          </cell>
          <cell r="AO1466">
            <v>0</v>
          </cell>
          <cell r="AP1466">
            <v>0</v>
          </cell>
          <cell r="AQ1466">
            <v>0</v>
          </cell>
          <cell r="BA1466">
            <v>0</v>
          </cell>
          <cell r="BC1466">
            <v>0</v>
          </cell>
        </row>
        <row r="1467">
          <cell r="A1467">
            <v>0</v>
          </cell>
          <cell r="B1467">
            <v>0</v>
          </cell>
          <cell r="E1467">
            <v>0</v>
          </cell>
          <cell r="F1467">
            <v>0</v>
          </cell>
          <cell r="AO1467">
            <v>0</v>
          </cell>
          <cell r="AP1467">
            <v>0</v>
          </cell>
          <cell r="AQ1467">
            <v>0</v>
          </cell>
          <cell r="BA1467">
            <v>0</v>
          </cell>
          <cell r="BC1467">
            <v>0</v>
          </cell>
        </row>
        <row r="1468">
          <cell r="A1468">
            <v>0</v>
          </cell>
          <cell r="B1468">
            <v>0</v>
          </cell>
          <cell r="E1468">
            <v>0</v>
          </cell>
          <cell r="F1468">
            <v>0</v>
          </cell>
          <cell r="AO1468">
            <v>0</v>
          </cell>
          <cell r="AP1468">
            <v>0</v>
          </cell>
          <cell r="AQ1468">
            <v>0</v>
          </cell>
          <cell r="BA1468">
            <v>0</v>
          </cell>
          <cell r="BC1468">
            <v>0</v>
          </cell>
        </row>
        <row r="1469">
          <cell r="A1469">
            <v>0</v>
          </cell>
          <cell r="B1469">
            <v>0</v>
          </cell>
          <cell r="E1469">
            <v>0</v>
          </cell>
          <cell r="F1469">
            <v>0</v>
          </cell>
          <cell r="AO1469">
            <v>0</v>
          </cell>
          <cell r="AP1469">
            <v>0</v>
          </cell>
          <cell r="AQ1469">
            <v>0</v>
          </cell>
          <cell r="BA1469">
            <v>0</v>
          </cell>
          <cell r="BC1469">
            <v>0</v>
          </cell>
        </row>
        <row r="1470">
          <cell r="A1470">
            <v>0</v>
          </cell>
          <cell r="B1470">
            <v>0</v>
          </cell>
          <cell r="E1470">
            <v>0</v>
          </cell>
          <cell r="F1470">
            <v>0</v>
          </cell>
          <cell r="AO1470">
            <v>0</v>
          </cell>
          <cell r="AP1470">
            <v>0</v>
          </cell>
          <cell r="AQ1470">
            <v>0</v>
          </cell>
          <cell r="BA1470">
            <v>0</v>
          </cell>
          <cell r="BC1470">
            <v>0</v>
          </cell>
        </row>
        <row r="1471">
          <cell r="A1471">
            <v>0</v>
          </cell>
          <cell r="B1471">
            <v>0</v>
          </cell>
          <cell r="E1471">
            <v>0</v>
          </cell>
          <cell r="F1471">
            <v>0</v>
          </cell>
          <cell r="AO1471">
            <v>0</v>
          </cell>
          <cell r="AP1471">
            <v>0</v>
          </cell>
          <cell r="AQ1471">
            <v>0</v>
          </cell>
          <cell r="BA1471">
            <v>0</v>
          </cell>
          <cell r="BC1471">
            <v>0</v>
          </cell>
        </row>
        <row r="1472">
          <cell r="A1472">
            <v>0</v>
          </cell>
          <cell r="B1472">
            <v>0</v>
          </cell>
          <cell r="E1472">
            <v>0</v>
          </cell>
          <cell r="F1472">
            <v>0</v>
          </cell>
          <cell r="AO1472">
            <v>0</v>
          </cell>
          <cell r="AP1472">
            <v>0</v>
          </cell>
          <cell r="AQ1472">
            <v>0</v>
          </cell>
          <cell r="BA1472">
            <v>0</v>
          </cell>
          <cell r="BC1472">
            <v>0</v>
          </cell>
        </row>
        <row r="1473">
          <cell r="A1473">
            <v>0</v>
          </cell>
          <cell r="B1473">
            <v>0</v>
          </cell>
          <cell r="E1473">
            <v>0</v>
          </cell>
          <cell r="F1473">
            <v>0</v>
          </cell>
          <cell r="AO1473">
            <v>0</v>
          </cell>
          <cell r="AP1473">
            <v>0</v>
          </cell>
          <cell r="AQ1473">
            <v>0</v>
          </cell>
          <cell r="BA1473">
            <v>0</v>
          </cell>
          <cell r="BC1473">
            <v>0</v>
          </cell>
        </row>
        <row r="1474">
          <cell r="A1474">
            <v>0</v>
          </cell>
          <cell r="B1474">
            <v>0</v>
          </cell>
          <cell r="E1474">
            <v>0</v>
          </cell>
          <cell r="F1474">
            <v>0</v>
          </cell>
          <cell r="AO1474">
            <v>0</v>
          </cell>
          <cell r="AP1474">
            <v>0</v>
          </cell>
          <cell r="AQ1474">
            <v>0</v>
          </cell>
          <cell r="BA1474">
            <v>0</v>
          </cell>
          <cell r="BC1474">
            <v>0</v>
          </cell>
        </row>
        <row r="1475">
          <cell r="A1475">
            <v>0</v>
          </cell>
          <cell r="B1475">
            <v>0</v>
          </cell>
          <cell r="E1475">
            <v>0</v>
          </cell>
          <cell r="F1475">
            <v>0</v>
          </cell>
          <cell r="AO1475">
            <v>0</v>
          </cell>
          <cell r="AP1475">
            <v>0</v>
          </cell>
          <cell r="AQ1475">
            <v>0</v>
          </cell>
          <cell r="BA1475">
            <v>0</v>
          </cell>
          <cell r="BC1475">
            <v>0</v>
          </cell>
        </row>
        <row r="1476">
          <cell r="A1476">
            <v>0</v>
          </cell>
          <cell r="B1476">
            <v>0</v>
          </cell>
          <cell r="E1476">
            <v>0</v>
          </cell>
          <cell r="F1476">
            <v>0</v>
          </cell>
          <cell r="AO1476">
            <v>0</v>
          </cell>
          <cell r="AP1476">
            <v>0</v>
          </cell>
          <cell r="AQ1476">
            <v>0</v>
          </cell>
          <cell r="BA1476">
            <v>0</v>
          </cell>
          <cell r="BC1476">
            <v>0</v>
          </cell>
        </row>
        <row r="1477">
          <cell r="A1477">
            <v>0</v>
          </cell>
          <cell r="B1477">
            <v>0</v>
          </cell>
          <cell r="E1477">
            <v>0</v>
          </cell>
          <cell r="F1477">
            <v>0</v>
          </cell>
          <cell r="AO1477">
            <v>0</v>
          </cell>
          <cell r="AP1477">
            <v>0</v>
          </cell>
          <cell r="AQ1477">
            <v>0</v>
          </cell>
          <cell r="BA1477">
            <v>0</v>
          </cell>
          <cell r="BC1477">
            <v>0</v>
          </cell>
        </row>
        <row r="1478">
          <cell r="A1478">
            <v>0</v>
          </cell>
          <cell r="B1478">
            <v>0</v>
          </cell>
          <cell r="E1478">
            <v>0</v>
          </cell>
          <cell r="F1478">
            <v>0</v>
          </cell>
          <cell r="AO1478">
            <v>0</v>
          </cell>
          <cell r="AP1478">
            <v>0</v>
          </cell>
          <cell r="AQ1478">
            <v>0</v>
          </cell>
          <cell r="BA1478">
            <v>0</v>
          </cell>
          <cell r="BC1478">
            <v>0</v>
          </cell>
        </row>
        <row r="1479">
          <cell r="A1479">
            <v>0</v>
          </cell>
          <cell r="B1479">
            <v>0</v>
          </cell>
          <cell r="E1479">
            <v>0</v>
          </cell>
          <cell r="F1479">
            <v>0</v>
          </cell>
          <cell r="AO1479">
            <v>0</v>
          </cell>
          <cell r="AP1479">
            <v>0</v>
          </cell>
          <cell r="AQ1479">
            <v>0</v>
          </cell>
          <cell r="BA1479">
            <v>0</v>
          </cell>
          <cell r="BC1479">
            <v>0</v>
          </cell>
        </row>
        <row r="1480">
          <cell r="A1480">
            <v>0</v>
          </cell>
          <cell r="B1480">
            <v>0</v>
          </cell>
          <cell r="E1480">
            <v>0</v>
          </cell>
          <cell r="F1480">
            <v>0</v>
          </cell>
          <cell r="AO1480">
            <v>0</v>
          </cell>
          <cell r="AP1480">
            <v>0</v>
          </cell>
          <cell r="AQ1480">
            <v>0</v>
          </cell>
          <cell r="BA1480">
            <v>0</v>
          </cell>
          <cell r="BC1480">
            <v>0</v>
          </cell>
        </row>
        <row r="1481">
          <cell r="A1481">
            <v>0</v>
          </cell>
          <cell r="B1481">
            <v>0</v>
          </cell>
          <cell r="E1481">
            <v>0</v>
          </cell>
          <cell r="F1481">
            <v>0</v>
          </cell>
          <cell r="AO1481">
            <v>0</v>
          </cell>
          <cell r="AP1481">
            <v>0</v>
          </cell>
          <cell r="AQ1481">
            <v>0</v>
          </cell>
          <cell r="BA1481">
            <v>0</v>
          </cell>
          <cell r="BC1481">
            <v>0</v>
          </cell>
        </row>
        <row r="1482">
          <cell r="A1482">
            <v>0</v>
          </cell>
          <cell r="B1482">
            <v>0</v>
          </cell>
          <cell r="E1482">
            <v>0</v>
          </cell>
          <cell r="F1482">
            <v>0</v>
          </cell>
          <cell r="AO1482">
            <v>0</v>
          </cell>
          <cell r="AP1482">
            <v>0</v>
          </cell>
          <cell r="AQ1482">
            <v>0</v>
          </cell>
          <cell r="BA1482">
            <v>0</v>
          </cell>
          <cell r="BC1482">
            <v>0</v>
          </cell>
        </row>
        <row r="1483">
          <cell r="A1483">
            <v>0</v>
          </cell>
          <cell r="B1483">
            <v>0</v>
          </cell>
          <cell r="E1483">
            <v>0</v>
          </cell>
          <cell r="F1483">
            <v>0</v>
          </cell>
          <cell r="AO1483">
            <v>0</v>
          </cell>
          <cell r="AP1483">
            <v>0</v>
          </cell>
          <cell r="AQ1483">
            <v>0</v>
          </cell>
          <cell r="BA1483">
            <v>0</v>
          </cell>
          <cell r="BC1483">
            <v>0</v>
          </cell>
        </row>
        <row r="1484">
          <cell r="A1484">
            <v>0</v>
          </cell>
          <cell r="B1484">
            <v>0</v>
          </cell>
          <cell r="E1484">
            <v>0</v>
          </cell>
          <cell r="F1484">
            <v>0</v>
          </cell>
          <cell r="AO1484">
            <v>0</v>
          </cell>
          <cell r="AP1484">
            <v>0</v>
          </cell>
          <cell r="AQ1484">
            <v>0</v>
          </cell>
          <cell r="BA1484">
            <v>0</v>
          </cell>
          <cell r="BC1484">
            <v>0</v>
          </cell>
        </row>
        <row r="1485">
          <cell r="A1485">
            <v>0</v>
          </cell>
          <cell r="B1485">
            <v>0</v>
          </cell>
          <cell r="E1485">
            <v>0</v>
          </cell>
          <cell r="F1485">
            <v>0</v>
          </cell>
          <cell r="AO1485">
            <v>0</v>
          </cell>
          <cell r="AP1485">
            <v>0</v>
          </cell>
          <cell r="AQ1485">
            <v>0</v>
          </cell>
          <cell r="BA1485">
            <v>0</v>
          </cell>
          <cell r="BC1485">
            <v>0</v>
          </cell>
        </row>
        <row r="1486">
          <cell r="A1486">
            <v>0</v>
          </cell>
          <cell r="B1486">
            <v>0</v>
          </cell>
          <cell r="E1486">
            <v>0</v>
          </cell>
          <cell r="F1486">
            <v>0</v>
          </cell>
          <cell r="AO1486">
            <v>0</v>
          </cell>
          <cell r="AP1486">
            <v>0</v>
          </cell>
          <cell r="AQ1486">
            <v>0</v>
          </cell>
          <cell r="BA1486">
            <v>0</v>
          </cell>
          <cell r="BC1486">
            <v>0</v>
          </cell>
        </row>
        <row r="1487">
          <cell r="A1487">
            <v>0</v>
          </cell>
          <cell r="B1487">
            <v>0</v>
          </cell>
          <cell r="E1487">
            <v>0</v>
          </cell>
          <cell r="F1487">
            <v>0</v>
          </cell>
          <cell r="AO1487">
            <v>0</v>
          </cell>
          <cell r="AP1487">
            <v>0</v>
          </cell>
          <cell r="AQ1487">
            <v>0</v>
          </cell>
          <cell r="BA1487">
            <v>0</v>
          </cell>
          <cell r="BC1487">
            <v>0</v>
          </cell>
        </row>
        <row r="1488">
          <cell r="A1488">
            <v>0</v>
          </cell>
          <cell r="B1488">
            <v>0</v>
          </cell>
          <cell r="E1488">
            <v>0</v>
          </cell>
          <cell r="F1488">
            <v>0</v>
          </cell>
          <cell r="AO1488">
            <v>0</v>
          </cell>
          <cell r="AP1488">
            <v>0</v>
          </cell>
          <cell r="AQ1488">
            <v>0</v>
          </cell>
          <cell r="BA1488">
            <v>0</v>
          </cell>
          <cell r="BC1488">
            <v>0</v>
          </cell>
        </row>
        <row r="1489">
          <cell r="A1489">
            <v>0</v>
          </cell>
          <cell r="B1489">
            <v>0</v>
          </cell>
          <cell r="E1489">
            <v>0</v>
          </cell>
          <cell r="F1489">
            <v>0</v>
          </cell>
          <cell r="AO1489">
            <v>0</v>
          </cell>
          <cell r="AP1489">
            <v>0</v>
          </cell>
          <cell r="AQ1489">
            <v>0</v>
          </cell>
          <cell r="BA1489">
            <v>0</v>
          </cell>
          <cell r="BC1489">
            <v>0</v>
          </cell>
        </row>
        <row r="1490">
          <cell r="A1490">
            <v>0</v>
          </cell>
          <cell r="B1490">
            <v>0</v>
          </cell>
          <cell r="E1490">
            <v>0</v>
          </cell>
          <cell r="F1490">
            <v>0</v>
          </cell>
          <cell r="AO1490">
            <v>0</v>
          </cell>
          <cell r="AP1490">
            <v>0</v>
          </cell>
          <cell r="AQ1490">
            <v>0</v>
          </cell>
          <cell r="BA1490">
            <v>0</v>
          </cell>
          <cell r="BC1490">
            <v>0</v>
          </cell>
        </row>
        <row r="1491">
          <cell r="A1491">
            <v>0</v>
          </cell>
          <cell r="B1491">
            <v>0</v>
          </cell>
          <cell r="E1491">
            <v>0</v>
          </cell>
          <cell r="F1491">
            <v>0</v>
          </cell>
          <cell r="AO1491">
            <v>0</v>
          </cell>
          <cell r="AP1491">
            <v>0</v>
          </cell>
          <cell r="AQ1491">
            <v>0</v>
          </cell>
          <cell r="BA1491">
            <v>0</v>
          </cell>
          <cell r="BC1491">
            <v>0</v>
          </cell>
        </row>
        <row r="1492">
          <cell r="A1492">
            <v>0</v>
          </cell>
          <cell r="B1492">
            <v>0</v>
          </cell>
          <cell r="E1492">
            <v>0</v>
          </cell>
          <cell r="F1492">
            <v>0</v>
          </cell>
          <cell r="AO1492">
            <v>0</v>
          </cell>
          <cell r="AP1492">
            <v>0</v>
          </cell>
          <cell r="AQ1492">
            <v>0</v>
          </cell>
          <cell r="BA1492">
            <v>0</v>
          </cell>
          <cell r="BC1492">
            <v>0</v>
          </cell>
        </row>
        <row r="1493">
          <cell r="A1493">
            <v>0</v>
          </cell>
          <cell r="B1493">
            <v>0</v>
          </cell>
          <cell r="E1493">
            <v>0</v>
          </cell>
          <cell r="F1493">
            <v>0</v>
          </cell>
          <cell r="AO1493">
            <v>0</v>
          </cell>
          <cell r="AP1493">
            <v>0</v>
          </cell>
          <cell r="AQ1493">
            <v>0</v>
          </cell>
          <cell r="BA1493">
            <v>0</v>
          </cell>
          <cell r="BC1493">
            <v>0</v>
          </cell>
        </row>
        <row r="1494">
          <cell r="A1494">
            <v>0</v>
          </cell>
          <cell r="B1494">
            <v>0</v>
          </cell>
          <cell r="E1494">
            <v>0</v>
          </cell>
          <cell r="F1494">
            <v>0</v>
          </cell>
          <cell r="AO1494">
            <v>0</v>
          </cell>
          <cell r="AP1494">
            <v>0</v>
          </cell>
          <cell r="AQ1494">
            <v>0</v>
          </cell>
          <cell r="BA1494">
            <v>0</v>
          </cell>
          <cell r="BC1494">
            <v>0</v>
          </cell>
        </row>
        <row r="1495">
          <cell r="A1495">
            <v>0</v>
          </cell>
          <cell r="B1495">
            <v>0</v>
          </cell>
          <cell r="E1495">
            <v>0</v>
          </cell>
          <cell r="F1495">
            <v>0</v>
          </cell>
          <cell r="AO1495">
            <v>0</v>
          </cell>
          <cell r="AP1495">
            <v>0</v>
          </cell>
          <cell r="AQ1495">
            <v>0</v>
          </cell>
          <cell r="BA1495">
            <v>0</v>
          </cell>
          <cell r="BC1495">
            <v>0</v>
          </cell>
        </row>
        <row r="1496">
          <cell r="A1496">
            <v>0</v>
          </cell>
          <cell r="B1496">
            <v>0</v>
          </cell>
          <cell r="E1496">
            <v>0</v>
          </cell>
          <cell r="F1496">
            <v>0</v>
          </cell>
          <cell r="AO1496">
            <v>0</v>
          </cell>
          <cell r="AP1496">
            <v>0</v>
          </cell>
          <cell r="AQ1496">
            <v>0</v>
          </cell>
          <cell r="BA1496">
            <v>0</v>
          </cell>
          <cell r="BC1496">
            <v>0</v>
          </cell>
        </row>
        <row r="1497">
          <cell r="A1497">
            <v>0</v>
          </cell>
          <cell r="B1497">
            <v>0</v>
          </cell>
          <cell r="E1497">
            <v>0</v>
          </cell>
          <cell r="F1497">
            <v>0</v>
          </cell>
          <cell r="AO1497">
            <v>0</v>
          </cell>
          <cell r="AP1497">
            <v>0</v>
          </cell>
          <cell r="AQ1497">
            <v>0</v>
          </cell>
          <cell r="BA1497">
            <v>0</v>
          </cell>
          <cell r="BC1497">
            <v>0</v>
          </cell>
        </row>
        <row r="1498">
          <cell r="A1498">
            <v>0</v>
          </cell>
          <cell r="B1498">
            <v>0</v>
          </cell>
          <cell r="E1498">
            <v>0</v>
          </cell>
          <cell r="F1498">
            <v>0</v>
          </cell>
          <cell r="AO1498">
            <v>0</v>
          </cell>
          <cell r="AP1498">
            <v>0</v>
          </cell>
          <cell r="AQ1498">
            <v>0</v>
          </cell>
          <cell r="BA1498">
            <v>0</v>
          </cell>
          <cell r="BC1498">
            <v>0</v>
          </cell>
        </row>
        <row r="1499">
          <cell r="A1499">
            <v>0</v>
          </cell>
          <cell r="B1499">
            <v>0</v>
          </cell>
          <cell r="E1499">
            <v>0</v>
          </cell>
          <cell r="F1499">
            <v>0</v>
          </cell>
          <cell r="AO1499">
            <v>0</v>
          </cell>
          <cell r="AP1499">
            <v>0</v>
          </cell>
          <cell r="AQ1499">
            <v>0</v>
          </cell>
          <cell r="BA1499">
            <v>0</v>
          </cell>
          <cell r="BC1499">
            <v>0</v>
          </cell>
        </row>
        <row r="1500">
          <cell r="A1500">
            <v>0</v>
          </cell>
          <cell r="B1500">
            <v>0</v>
          </cell>
          <cell r="E1500">
            <v>0</v>
          </cell>
          <cell r="F1500">
            <v>0</v>
          </cell>
          <cell r="AO1500">
            <v>0</v>
          </cell>
          <cell r="AP1500">
            <v>0</v>
          </cell>
          <cell r="AQ1500">
            <v>0</v>
          </cell>
          <cell r="BA1500">
            <v>0</v>
          </cell>
          <cell r="BC1500">
            <v>0</v>
          </cell>
        </row>
        <row r="1501">
          <cell r="A1501">
            <v>0</v>
          </cell>
          <cell r="B1501">
            <v>0</v>
          </cell>
          <cell r="E1501">
            <v>0</v>
          </cell>
          <cell r="F1501">
            <v>0</v>
          </cell>
          <cell r="AO1501">
            <v>0</v>
          </cell>
          <cell r="AP1501">
            <v>0</v>
          </cell>
          <cell r="AQ1501">
            <v>0</v>
          </cell>
          <cell r="BA1501">
            <v>0</v>
          </cell>
          <cell r="BC1501">
            <v>0</v>
          </cell>
        </row>
        <row r="1502">
          <cell r="A1502">
            <v>0</v>
          </cell>
          <cell r="B1502">
            <v>0</v>
          </cell>
          <cell r="E1502">
            <v>0</v>
          </cell>
          <cell r="F1502">
            <v>0</v>
          </cell>
          <cell r="AO1502">
            <v>0</v>
          </cell>
          <cell r="AP1502">
            <v>0</v>
          </cell>
          <cell r="AQ1502">
            <v>0</v>
          </cell>
          <cell r="BA1502">
            <v>0</v>
          </cell>
          <cell r="BC1502">
            <v>0</v>
          </cell>
        </row>
        <row r="1503">
          <cell r="A1503">
            <v>0</v>
          </cell>
          <cell r="B1503">
            <v>0</v>
          </cell>
          <cell r="E1503">
            <v>0</v>
          </cell>
          <cell r="F1503">
            <v>0</v>
          </cell>
          <cell r="AO1503">
            <v>0</v>
          </cell>
          <cell r="AP1503">
            <v>0</v>
          </cell>
          <cell r="AQ1503">
            <v>0</v>
          </cell>
          <cell r="BA1503">
            <v>0</v>
          </cell>
          <cell r="BC1503">
            <v>0</v>
          </cell>
        </row>
        <row r="1504">
          <cell r="A1504">
            <v>0</v>
          </cell>
          <cell r="B1504">
            <v>0</v>
          </cell>
          <cell r="E1504">
            <v>0</v>
          </cell>
          <cell r="F1504">
            <v>0</v>
          </cell>
          <cell r="AO1504">
            <v>0</v>
          </cell>
          <cell r="AP1504">
            <v>0</v>
          </cell>
          <cell r="AQ1504">
            <v>0</v>
          </cell>
          <cell r="BA1504">
            <v>0</v>
          </cell>
          <cell r="BC1504">
            <v>0</v>
          </cell>
        </row>
        <row r="1505">
          <cell r="A1505">
            <v>0</v>
          </cell>
          <cell r="B1505">
            <v>0</v>
          </cell>
          <cell r="E1505">
            <v>0</v>
          </cell>
          <cell r="F1505">
            <v>0</v>
          </cell>
          <cell r="AO1505">
            <v>0</v>
          </cell>
          <cell r="AP1505">
            <v>0</v>
          </cell>
          <cell r="AQ1505">
            <v>0</v>
          </cell>
          <cell r="BA1505">
            <v>0</v>
          </cell>
          <cell r="BC1505">
            <v>0</v>
          </cell>
        </row>
        <row r="1506">
          <cell r="A1506">
            <v>0</v>
          </cell>
          <cell r="B1506">
            <v>0</v>
          </cell>
          <cell r="E1506">
            <v>0</v>
          </cell>
          <cell r="F1506">
            <v>0</v>
          </cell>
          <cell r="AO1506">
            <v>0</v>
          </cell>
          <cell r="AP1506">
            <v>0</v>
          </cell>
          <cell r="AQ1506">
            <v>0</v>
          </cell>
          <cell r="BA1506">
            <v>0</v>
          </cell>
          <cell r="BC1506">
            <v>0</v>
          </cell>
        </row>
        <row r="1507">
          <cell r="A1507">
            <v>0</v>
          </cell>
          <cell r="B1507">
            <v>0</v>
          </cell>
          <cell r="E1507">
            <v>0</v>
          </cell>
          <cell r="F1507">
            <v>0</v>
          </cell>
          <cell r="AO1507">
            <v>0</v>
          </cell>
          <cell r="AP1507">
            <v>0</v>
          </cell>
          <cell r="AQ1507">
            <v>0</v>
          </cell>
          <cell r="BA1507">
            <v>0</v>
          </cell>
          <cell r="BC1507">
            <v>0</v>
          </cell>
        </row>
        <row r="1508">
          <cell r="A1508">
            <v>0</v>
          </cell>
          <cell r="B1508">
            <v>0</v>
          </cell>
          <cell r="E1508">
            <v>0</v>
          </cell>
          <cell r="F1508">
            <v>0</v>
          </cell>
          <cell r="AO1508">
            <v>0</v>
          </cell>
          <cell r="AP1508">
            <v>0</v>
          </cell>
          <cell r="AQ1508">
            <v>0</v>
          </cell>
          <cell r="BA1508">
            <v>0</v>
          </cell>
          <cell r="BC1508">
            <v>0</v>
          </cell>
        </row>
        <row r="1509">
          <cell r="A1509">
            <v>0</v>
          </cell>
          <cell r="B1509">
            <v>0</v>
          </cell>
          <cell r="E1509">
            <v>0</v>
          </cell>
          <cell r="F1509">
            <v>0</v>
          </cell>
          <cell r="AO1509">
            <v>0</v>
          </cell>
          <cell r="AP1509">
            <v>0</v>
          </cell>
          <cell r="AQ1509">
            <v>0</v>
          </cell>
          <cell r="BA1509">
            <v>0</v>
          </cell>
          <cell r="BC1509">
            <v>0</v>
          </cell>
        </row>
        <row r="1510">
          <cell r="A1510">
            <v>0</v>
          </cell>
          <cell r="B1510">
            <v>0</v>
          </cell>
          <cell r="E1510">
            <v>0</v>
          </cell>
          <cell r="F1510">
            <v>0</v>
          </cell>
          <cell r="AO1510">
            <v>0</v>
          </cell>
          <cell r="AP1510">
            <v>0</v>
          </cell>
          <cell r="AQ1510">
            <v>0</v>
          </cell>
          <cell r="BA1510">
            <v>0</v>
          </cell>
          <cell r="BC1510">
            <v>0</v>
          </cell>
        </row>
        <row r="1511">
          <cell r="A1511">
            <v>0</v>
          </cell>
          <cell r="B1511">
            <v>0</v>
          </cell>
          <cell r="E1511">
            <v>0</v>
          </cell>
          <cell r="F1511">
            <v>0</v>
          </cell>
          <cell r="AO1511">
            <v>0</v>
          </cell>
          <cell r="AP1511">
            <v>0</v>
          </cell>
          <cell r="AQ1511">
            <v>0</v>
          </cell>
          <cell r="BA1511">
            <v>0</v>
          </cell>
          <cell r="BC1511">
            <v>0</v>
          </cell>
        </row>
        <row r="1512">
          <cell r="A1512">
            <v>0</v>
          </cell>
          <cell r="B1512">
            <v>0</v>
          </cell>
          <cell r="E1512">
            <v>0</v>
          </cell>
          <cell r="F1512">
            <v>0</v>
          </cell>
          <cell r="AO1512">
            <v>0</v>
          </cell>
          <cell r="AP1512">
            <v>0</v>
          </cell>
          <cell r="AQ1512">
            <v>0</v>
          </cell>
          <cell r="BA1512">
            <v>0</v>
          </cell>
          <cell r="BC1512">
            <v>0</v>
          </cell>
        </row>
        <row r="1513">
          <cell r="A1513">
            <v>0</v>
          </cell>
          <cell r="B1513">
            <v>0</v>
          </cell>
          <cell r="E1513">
            <v>0</v>
          </cell>
          <cell r="F1513">
            <v>0</v>
          </cell>
          <cell r="AO1513">
            <v>0</v>
          </cell>
          <cell r="AP1513">
            <v>0</v>
          </cell>
          <cell r="AQ1513">
            <v>0</v>
          </cell>
          <cell r="BA1513">
            <v>0</v>
          </cell>
          <cell r="BC1513">
            <v>0</v>
          </cell>
        </row>
        <row r="1514">
          <cell r="A1514">
            <v>0</v>
          </cell>
          <cell r="B1514">
            <v>0</v>
          </cell>
          <cell r="E1514">
            <v>0</v>
          </cell>
          <cell r="F1514">
            <v>0</v>
          </cell>
          <cell r="AO1514">
            <v>0</v>
          </cell>
          <cell r="AP1514">
            <v>0</v>
          </cell>
          <cell r="AQ1514">
            <v>0</v>
          </cell>
          <cell r="BA1514">
            <v>0</v>
          </cell>
          <cell r="BC1514">
            <v>0</v>
          </cell>
        </row>
        <row r="1515">
          <cell r="A1515">
            <v>0</v>
          </cell>
          <cell r="B1515">
            <v>0</v>
          </cell>
          <cell r="E1515">
            <v>0</v>
          </cell>
          <cell r="F1515">
            <v>0</v>
          </cell>
          <cell r="AO1515">
            <v>0</v>
          </cell>
          <cell r="AP1515">
            <v>0</v>
          </cell>
          <cell r="AQ1515">
            <v>0</v>
          </cell>
          <cell r="BA1515">
            <v>0</v>
          </cell>
          <cell r="BC1515">
            <v>0</v>
          </cell>
        </row>
        <row r="1516">
          <cell r="A1516">
            <v>0</v>
          </cell>
          <cell r="B1516">
            <v>0</v>
          </cell>
          <cell r="E1516">
            <v>0</v>
          </cell>
          <cell r="F1516">
            <v>0</v>
          </cell>
          <cell r="AO1516">
            <v>0</v>
          </cell>
          <cell r="AP1516">
            <v>0</v>
          </cell>
          <cell r="AQ1516">
            <v>0</v>
          </cell>
          <cell r="BA1516">
            <v>0</v>
          </cell>
          <cell r="BC1516">
            <v>0</v>
          </cell>
        </row>
        <row r="1517">
          <cell r="A1517">
            <v>0</v>
          </cell>
          <cell r="B1517">
            <v>0</v>
          </cell>
          <cell r="E1517">
            <v>0</v>
          </cell>
          <cell r="F1517">
            <v>0</v>
          </cell>
          <cell r="AO1517">
            <v>0</v>
          </cell>
          <cell r="AP1517">
            <v>0</v>
          </cell>
          <cell r="AQ1517">
            <v>0</v>
          </cell>
          <cell r="BA1517">
            <v>0</v>
          </cell>
          <cell r="BC1517">
            <v>0</v>
          </cell>
        </row>
        <row r="1518">
          <cell r="A1518">
            <v>0</v>
          </cell>
          <cell r="B1518">
            <v>0</v>
          </cell>
          <cell r="E1518">
            <v>0</v>
          </cell>
          <cell r="F1518">
            <v>0</v>
          </cell>
          <cell r="AO1518">
            <v>0</v>
          </cell>
          <cell r="AP1518">
            <v>0</v>
          </cell>
          <cell r="AQ1518">
            <v>0</v>
          </cell>
          <cell r="BA1518">
            <v>0</v>
          </cell>
          <cell r="BC1518">
            <v>0</v>
          </cell>
        </row>
        <row r="1519">
          <cell r="A1519">
            <v>0</v>
          </cell>
          <cell r="B1519">
            <v>0</v>
          </cell>
          <cell r="E1519">
            <v>0</v>
          </cell>
          <cell r="F1519">
            <v>0</v>
          </cell>
          <cell r="AO1519">
            <v>0</v>
          </cell>
          <cell r="AP1519">
            <v>0</v>
          </cell>
          <cell r="AQ1519">
            <v>0</v>
          </cell>
          <cell r="BA1519">
            <v>0</v>
          </cell>
          <cell r="BC1519">
            <v>0</v>
          </cell>
        </row>
        <row r="1520">
          <cell r="A1520">
            <v>0</v>
          </cell>
          <cell r="B1520">
            <v>0</v>
          </cell>
          <cell r="E1520">
            <v>0</v>
          </cell>
          <cell r="F1520">
            <v>0</v>
          </cell>
          <cell r="AO1520">
            <v>0</v>
          </cell>
          <cell r="AP1520">
            <v>0</v>
          </cell>
          <cell r="AQ1520">
            <v>0</v>
          </cell>
          <cell r="BA1520">
            <v>0</v>
          </cell>
          <cell r="BC1520">
            <v>0</v>
          </cell>
        </row>
        <row r="1521">
          <cell r="A1521">
            <v>0</v>
          </cell>
          <cell r="B1521">
            <v>0</v>
          </cell>
          <cell r="E1521">
            <v>0</v>
          </cell>
          <cell r="F1521">
            <v>0</v>
          </cell>
          <cell r="AO1521">
            <v>0</v>
          </cell>
          <cell r="AP1521">
            <v>0</v>
          </cell>
          <cell r="AQ1521">
            <v>0</v>
          </cell>
          <cell r="BA1521">
            <v>0</v>
          </cell>
          <cell r="BC1521">
            <v>0</v>
          </cell>
        </row>
        <row r="1522">
          <cell r="A1522">
            <v>0</v>
          </cell>
          <cell r="B1522">
            <v>0</v>
          </cell>
          <cell r="E1522">
            <v>0</v>
          </cell>
          <cell r="F1522">
            <v>0</v>
          </cell>
          <cell r="AO1522">
            <v>0</v>
          </cell>
          <cell r="AP1522">
            <v>0</v>
          </cell>
          <cell r="AQ1522">
            <v>0</v>
          </cell>
          <cell r="BA1522">
            <v>0</v>
          </cell>
          <cell r="BC1522">
            <v>0</v>
          </cell>
        </row>
        <row r="1523">
          <cell r="A1523">
            <v>0</v>
          </cell>
          <cell r="B1523">
            <v>0</v>
          </cell>
          <cell r="E1523">
            <v>0</v>
          </cell>
          <cell r="F1523">
            <v>0</v>
          </cell>
          <cell r="AO1523">
            <v>0</v>
          </cell>
          <cell r="AP1523">
            <v>0</v>
          </cell>
          <cell r="AQ1523">
            <v>0</v>
          </cell>
          <cell r="BA1523">
            <v>0</v>
          </cell>
          <cell r="BC1523">
            <v>0</v>
          </cell>
        </row>
        <row r="1524">
          <cell r="A1524">
            <v>0</v>
          </cell>
          <cell r="B1524">
            <v>0</v>
          </cell>
          <cell r="E1524">
            <v>0</v>
          </cell>
          <cell r="F1524">
            <v>0</v>
          </cell>
          <cell r="AO1524">
            <v>0</v>
          </cell>
          <cell r="AP1524">
            <v>0</v>
          </cell>
          <cell r="AQ1524">
            <v>0</v>
          </cell>
          <cell r="BA1524">
            <v>0</v>
          </cell>
          <cell r="BC1524">
            <v>0</v>
          </cell>
        </row>
        <row r="1525">
          <cell r="A1525">
            <v>0</v>
          </cell>
          <cell r="B1525">
            <v>0</v>
          </cell>
          <cell r="E1525">
            <v>0</v>
          </cell>
          <cell r="F1525">
            <v>0</v>
          </cell>
          <cell r="AO1525">
            <v>0</v>
          </cell>
          <cell r="AP1525">
            <v>0</v>
          </cell>
          <cell r="AQ1525">
            <v>0</v>
          </cell>
          <cell r="BA1525">
            <v>0</v>
          </cell>
          <cell r="BC1525">
            <v>0</v>
          </cell>
        </row>
        <row r="1526">
          <cell r="A1526">
            <v>0</v>
          </cell>
          <cell r="B1526">
            <v>0</v>
          </cell>
          <cell r="E1526">
            <v>0</v>
          </cell>
          <cell r="F1526">
            <v>0</v>
          </cell>
          <cell r="AO1526">
            <v>0</v>
          </cell>
          <cell r="AP1526">
            <v>0</v>
          </cell>
          <cell r="AQ1526">
            <v>0</v>
          </cell>
          <cell r="BA1526">
            <v>0</v>
          </cell>
          <cell r="BC1526">
            <v>0</v>
          </cell>
        </row>
        <row r="1527">
          <cell r="A1527">
            <v>0</v>
          </cell>
          <cell r="B1527">
            <v>0</v>
          </cell>
          <cell r="E1527">
            <v>0</v>
          </cell>
          <cell r="F1527">
            <v>0</v>
          </cell>
          <cell r="AO1527">
            <v>0</v>
          </cell>
          <cell r="AP1527">
            <v>0</v>
          </cell>
          <cell r="AQ1527">
            <v>0</v>
          </cell>
          <cell r="BA1527">
            <v>0</v>
          </cell>
          <cell r="BC1527">
            <v>0</v>
          </cell>
        </row>
        <row r="1528">
          <cell r="A1528">
            <v>0</v>
          </cell>
          <cell r="B1528">
            <v>0</v>
          </cell>
          <cell r="E1528">
            <v>0</v>
          </cell>
          <cell r="F1528">
            <v>0</v>
          </cell>
          <cell r="AO1528">
            <v>0</v>
          </cell>
          <cell r="AP1528">
            <v>0</v>
          </cell>
          <cell r="AQ1528">
            <v>0</v>
          </cell>
          <cell r="BA1528">
            <v>0</v>
          </cell>
          <cell r="BC1528">
            <v>0</v>
          </cell>
        </row>
        <row r="1529">
          <cell r="A1529">
            <v>0</v>
          </cell>
          <cell r="B1529">
            <v>0</v>
          </cell>
          <cell r="E1529">
            <v>0</v>
          </cell>
          <cell r="F1529">
            <v>0</v>
          </cell>
          <cell r="AO1529">
            <v>0</v>
          </cell>
          <cell r="AP1529">
            <v>0</v>
          </cell>
          <cell r="AQ1529">
            <v>0</v>
          </cell>
          <cell r="BA1529">
            <v>0</v>
          </cell>
          <cell r="BC1529">
            <v>0</v>
          </cell>
        </row>
        <row r="1530">
          <cell r="A1530">
            <v>0</v>
          </cell>
          <cell r="B1530">
            <v>0</v>
          </cell>
          <cell r="E1530">
            <v>0</v>
          </cell>
          <cell r="F1530">
            <v>0</v>
          </cell>
          <cell r="AO1530">
            <v>0</v>
          </cell>
          <cell r="AP1530">
            <v>0</v>
          </cell>
          <cell r="AQ1530">
            <v>0</v>
          </cell>
          <cell r="BA1530">
            <v>0</v>
          </cell>
          <cell r="BC1530">
            <v>0</v>
          </cell>
        </row>
        <row r="1531">
          <cell r="A1531">
            <v>0</v>
          </cell>
          <cell r="B1531">
            <v>0</v>
          </cell>
          <cell r="E1531">
            <v>0</v>
          </cell>
          <cell r="F1531">
            <v>0</v>
          </cell>
          <cell r="AO1531">
            <v>0</v>
          </cell>
          <cell r="AP1531">
            <v>0</v>
          </cell>
          <cell r="AQ1531">
            <v>0</v>
          </cell>
          <cell r="BA1531">
            <v>0</v>
          </cell>
          <cell r="BC1531">
            <v>0</v>
          </cell>
        </row>
        <row r="1532">
          <cell r="A1532">
            <v>0</v>
          </cell>
          <cell r="B1532">
            <v>0</v>
          </cell>
          <cell r="E1532">
            <v>0</v>
          </cell>
          <cell r="F1532">
            <v>0</v>
          </cell>
          <cell r="AO1532">
            <v>0</v>
          </cell>
          <cell r="AP1532">
            <v>0</v>
          </cell>
          <cell r="AQ1532">
            <v>0</v>
          </cell>
          <cell r="BA1532">
            <v>0</v>
          </cell>
          <cell r="BC1532">
            <v>0</v>
          </cell>
        </row>
        <row r="1533">
          <cell r="A1533">
            <v>0</v>
          </cell>
          <cell r="B1533">
            <v>0</v>
          </cell>
          <cell r="E1533">
            <v>0</v>
          </cell>
          <cell r="F1533">
            <v>0</v>
          </cell>
          <cell r="AO1533">
            <v>0</v>
          </cell>
          <cell r="AP1533">
            <v>0</v>
          </cell>
          <cell r="AQ1533">
            <v>0</v>
          </cell>
          <cell r="BA1533">
            <v>0</v>
          </cell>
          <cell r="BC1533">
            <v>0</v>
          </cell>
        </row>
        <row r="1534">
          <cell r="A1534">
            <v>0</v>
          </cell>
          <cell r="B1534">
            <v>0</v>
          </cell>
          <cell r="E1534">
            <v>0</v>
          </cell>
          <cell r="F1534">
            <v>0</v>
          </cell>
          <cell r="AO1534">
            <v>0</v>
          </cell>
          <cell r="AP1534">
            <v>0</v>
          </cell>
          <cell r="AQ1534">
            <v>0</v>
          </cell>
          <cell r="BA1534">
            <v>0</v>
          </cell>
          <cell r="BC1534">
            <v>0</v>
          </cell>
        </row>
        <row r="1535">
          <cell r="A1535">
            <v>0</v>
          </cell>
          <cell r="B1535">
            <v>0</v>
          </cell>
          <cell r="E1535">
            <v>0</v>
          </cell>
          <cell r="F1535">
            <v>0</v>
          </cell>
          <cell r="AO1535">
            <v>0</v>
          </cell>
          <cell r="AP1535">
            <v>0</v>
          </cell>
          <cell r="AQ1535">
            <v>0</v>
          </cell>
          <cell r="BA1535">
            <v>0</v>
          </cell>
          <cell r="BC1535">
            <v>0</v>
          </cell>
        </row>
        <row r="1536">
          <cell r="A1536">
            <v>0</v>
          </cell>
          <cell r="B1536">
            <v>0</v>
          </cell>
          <cell r="E1536">
            <v>0</v>
          </cell>
          <cell r="F1536">
            <v>0</v>
          </cell>
          <cell r="AO1536">
            <v>0</v>
          </cell>
          <cell r="AP1536">
            <v>0</v>
          </cell>
          <cell r="AQ1536">
            <v>0</v>
          </cell>
          <cell r="BA1536">
            <v>0</v>
          </cell>
          <cell r="BC1536">
            <v>0</v>
          </cell>
        </row>
        <row r="1537">
          <cell r="A1537">
            <v>0</v>
          </cell>
          <cell r="B1537">
            <v>0</v>
          </cell>
          <cell r="E1537">
            <v>0</v>
          </cell>
          <cell r="F1537">
            <v>0</v>
          </cell>
          <cell r="AO1537">
            <v>0</v>
          </cell>
          <cell r="AP1537">
            <v>0</v>
          </cell>
          <cell r="AQ1537">
            <v>0</v>
          </cell>
          <cell r="BA1537">
            <v>0</v>
          </cell>
          <cell r="BC1537">
            <v>0</v>
          </cell>
        </row>
        <row r="1538">
          <cell r="A1538">
            <v>0</v>
          </cell>
          <cell r="B1538">
            <v>0</v>
          </cell>
          <cell r="E1538">
            <v>0</v>
          </cell>
          <cell r="F1538">
            <v>0</v>
          </cell>
          <cell r="AO1538">
            <v>0</v>
          </cell>
          <cell r="AP1538">
            <v>0</v>
          </cell>
          <cell r="AQ1538">
            <v>0</v>
          </cell>
          <cell r="BA1538">
            <v>0</v>
          </cell>
          <cell r="BC1538">
            <v>0</v>
          </cell>
        </row>
        <row r="1539">
          <cell r="A1539">
            <v>0</v>
          </cell>
          <cell r="B1539">
            <v>0</v>
          </cell>
          <cell r="E1539">
            <v>0</v>
          </cell>
          <cell r="F1539">
            <v>0</v>
          </cell>
          <cell r="AO1539">
            <v>0</v>
          </cell>
          <cell r="AP1539">
            <v>0</v>
          </cell>
          <cell r="AQ1539">
            <v>0</v>
          </cell>
          <cell r="BA1539">
            <v>0</v>
          </cell>
          <cell r="BC1539">
            <v>0</v>
          </cell>
        </row>
        <row r="1540">
          <cell r="A1540">
            <v>0</v>
          </cell>
          <cell r="B1540">
            <v>0</v>
          </cell>
          <cell r="E1540">
            <v>0</v>
          </cell>
          <cell r="F1540">
            <v>0</v>
          </cell>
          <cell r="AO1540">
            <v>0</v>
          </cell>
          <cell r="AP1540">
            <v>0</v>
          </cell>
          <cell r="AQ1540">
            <v>0</v>
          </cell>
          <cell r="BA1540">
            <v>0</v>
          </cell>
          <cell r="BC1540">
            <v>0</v>
          </cell>
        </row>
        <row r="1541">
          <cell r="A1541">
            <v>0</v>
          </cell>
          <cell r="B1541">
            <v>0</v>
          </cell>
          <cell r="E1541">
            <v>0</v>
          </cell>
          <cell r="F1541">
            <v>0</v>
          </cell>
          <cell r="AO1541">
            <v>0</v>
          </cell>
          <cell r="AP1541">
            <v>0</v>
          </cell>
          <cell r="AQ1541">
            <v>0</v>
          </cell>
          <cell r="BA1541">
            <v>0</v>
          </cell>
          <cell r="BC1541">
            <v>0</v>
          </cell>
        </row>
        <row r="1542">
          <cell r="A1542">
            <v>0</v>
          </cell>
          <cell r="B1542">
            <v>0</v>
          </cell>
          <cell r="E1542">
            <v>0</v>
          </cell>
          <cell r="F1542">
            <v>0</v>
          </cell>
          <cell r="AO1542">
            <v>0</v>
          </cell>
          <cell r="AP1542">
            <v>0</v>
          </cell>
          <cell r="AQ1542">
            <v>0</v>
          </cell>
          <cell r="BA1542">
            <v>0</v>
          </cell>
          <cell r="BC1542">
            <v>0</v>
          </cell>
        </row>
        <row r="1543">
          <cell r="A1543">
            <v>0</v>
          </cell>
          <cell r="B1543">
            <v>0</v>
          </cell>
          <cell r="E1543">
            <v>0</v>
          </cell>
          <cell r="F1543">
            <v>0</v>
          </cell>
          <cell r="AO1543">
            <v>0</v>
          </cell>
          <cell r="AP1543">
            <v>0</v>
          </cell>
          <cell r="AQ1543">
            <v>0</v>
          </cell>
          <cell r="BA1543">
            <v>0</v>
          </cell>
          <cell r="BC1543">
            <v>0</v>
          </cell>
        </row>
        <row r="1544">
          <cell r="A1544">
            <v>0</v>
          </cell>
          <cell r="B1544">
            <v>0</v>
          </cell>
          <cell r="E1544">
            <v>0</v>
          </cell>
          <cell r="F1544">
            <v>0</v>
          </cell>
          <cell r="AO1544">
            <v>0</v>
          </cell>
          <cell r="AP1544">
            <v>0</v>
          </cell>
          <cell r="AQ1544">
            <v>0</v>
          </cell>
          <cell r="BA1544">
            <v>0</v>
          </cell>
          <cell r="BC1544">
            <v>0</v>
          </cell>
        </row>
        <row r="1545">
          <cell r="A1545">
            <v>0</v>
          </cell>
          <cell r="B1545">
            <v>0</v>
          </cell>
          <cell r="E1545">
            <v>0</v>
          </cell>
          <cell r="F1545">
            <v>0</v>
          </cell>
          <cell r="AO1545">
            <v>0</v>
          </cell>
          <cell r="AP1545">
            <v>0</v>
          </cell>
          <cell r="AQ1545">
            <v>0</v>
          </cell>
          <cell r="BA1545">
            <v>0</v>
          </cell>
          <cell r="BC1545">
            <v>0</v>
          </cell>
        </row>
        <row r="1546">
          <cell r="A1546">
            <v>0</v>
          </cell>
          <cell r="B1546">
            <v>0</v>
          </cell>
          <cell r="E1546">
            <v>0</v>
          </cell>
          <cell r="F1546">
            <v>0</v>
          </cell>
          <cell r="AO1546">
            <v>0</v>
          </cell>
          <cell r="AP1546">
            <v>0</v>
          </cell>
          <cell r="AQ1546">
            <v>0</v>
          </cell>
          <cell r="BA1546">
            <v>0</v>
          </cell>
          <cell r="BC1546">
            <v>0</v>
          </cell>
        </row>
        <row r="1547">
          <cell r="A1547">
            <v>0</v>
          </cell>
          <cell r="B1547">
            <v>0</v>
          </cell>
          <cell r="E1547">
            <v>0</v>
          </cell>
          <cell r="F1547">
            <v>0</v>
          </cell>
          <cell r="AO1547">
            <v>0</v>
          </cell>
          <cell r="AP1547">
            <v>0</v>
          </cell>
          <cell r="AQ1547">
            <v>0</v>
          </cell>
          <cell r="BA1547">
            <v>0</v>
          </cell>
          <cell r="BC1547">
            <v>0</v>
          </cell>
        </row>
        <row r="1548">
          <cell r="A1548">
            <v>0</v>
          </cell>
          <cell r="B1548">
            <v>0</v>
          </cell>
          <cell r="E1548">
            <v>0</v>
          </cell>
          <cell r="F1548">
            <v>0</v>
          </cell>
          <cell r="AO1548">
            <v>0</v>
          </cell>
          <cell r="AP1548">
            <v>0</v>
          </cell>
          <cell r="AQ1548">
            <v>0</v>
          </cell>
          <cell r="BA1548">
            <v>0</v>
          </cell>
          <cell r="BC1548">
            <v>0</v>
          </cell>
        </row>
        <row r="1549">
          <cell r="A1549">
            <v>0</v>
          </cell>
          <cell r="B1549">
            <v>0</v>
          </cell>
          <cell r="E1549">
            <v>0</v>
          </cell>
          <cell r="F1549">
            <v>0</v>
          </cell>
          <cell r="AO1549">
            <v>0</v>
          </cell>
          <cell r="AP1549">
            <v>0</v>
          </cell>
          <cell r="AQ1549">
            <v>0</v>
          </cell>
          <cell r="BA1549">
            <v>0</v>
          </cell>
          <cell r="BC1549">
            <v>0</v>
          </cell>
        </row>
        <row r="1550">
          <cell r="A1550">
            <v>0</v>
          </cell>
          <cell r="B1550">
            <v>0</v>
          </cell>
          <cell r="E1550">
            <v>0</v>
          </cell>
          <cell r="F1550">
            <v>0</v>
          </cell>
          <cell r="AO1550">
            <v>0</v>
          </cell>
          <cell r="AP1550">
            <v>0</v>
          </cell>
          <cell r="AQ1550">
            <v>0</v>
          </cell>
          <cell r="BA1550">
            <v>0</v>
          </cell>
          <cell r="BC1550">
            <v>0</v>
          </cell>
        </row>
        <row r="1551">
          <cell r="A1551">
            <v>0</v>
          </cell>
          <cell r="B1551">
            <v>0</v>
          </cell>
          <cell r="E1551">
            <v>0</v>
          </cell>
          <cell r="F1551">
            <v>0</v>
          </cell>
          <cell r="AO1551">
            <v>0</v>
          </cell>
          <cell r="AP1551">
            <v>0</v>
          </cell>
          <cell r="AQ1551">
            <v>0</v>
          </cell>
          <cell r="BA1551">
            <v>0</v>
          </cell>
          <cell r="BC1551">
            <v>0</v>
          </cell>
        </row>
        <row r="1552">
          <cell r="A1552">
            <v>0</v>
          </cell>
          <cell r="B1552">
            <v>0</v>
          </cell>
          <cell r="E1552">
            <v>0</v>
          </cell>
          <cell r="F1552">
            <v>0</v>
          </cell>
          <cell r="AO1552">
            <v>0</v>
          </cell>
          <cell r="AP1552">
            <v>0</v>
          </cell>
          <cell r="AQ1552">
            <v>0</v>
          </cell>
          <cell r="BA1552">
            <v>0</v>
          </cell>
          <cell r="BC1552">
            <v>0</v>
          </cell>
        </row>
        <row r="1553">
          <cell r="A1553">
            <v>0</v>
          </cell>
          <cell r="B1553">
            <v>0</v>
          </cell>
          <cell r="E1553">
            <v>0</v>
          </cell>
          <cell r="F1553">
            <v>0</v>
          </cell>
          <cell r="AO1553">
            <v>0</v>
          </cell>
          <cell r="AP1553">
            <v>0</v>
          </cell>
          <cell r="AQ1553">
            <v>0</v>
          </cell>
          <cell r="BA1553">
            <v>0</v>
          </cell>
          <cell r="BC1553">
            <v>0</v>
          </cell>
        </row>
        <row r="1554">
          <cell r="A1554">
            <v>0</v>
          </cell>
          <cell r="B1554">
            <v>0</v>
          </cell>
          <cell r="E1554">
            <v>0</v>
          </cell>
          <cell r="F1554">
            <v>0</v>
          </cell>
          <cell r="AO1554">
            <v>0</v>
          </cell>
          <cell r="AP1554">
            <v>0</v>
          </cell>
          <cell r="AQ1554">
            <v>0</v>
          </cell>
          <cell r="BA1554">
            <v>0</v>
          </cell>
          <cell r="BC1554">
            <v>0</v>
          </cell>
        </row>
        <row r="1555">
          <cell r="A1555">
            <v>0</v>
          </cell>
          <cell r="B1555">
            <v>0</v>
          </cell>
          <cell r="E1555">
            <v>0</v>
          </cell>
          <cell r="F1555">
            <v>0</v>
          </cell>
          <cell r="AO1555">
            <v>0</v>
          </cell>
          <cell r="AP1555">
            <v>0</v>
          </cell>
          <cell r="AQ1555">
            <v>0</v>
          </cell>
          <cell r="BA1555">
            <v>0</v>
          </cell>
          <cell r="BC1555">
            <v>0</v>
          </cell>
        </row>
        <row r="1556">
          <cell r="A1556">
            <v>0</v>
          </cell>
          <cell r="B1556">
            <v>0</v>
          </cell>
          <cell r="E1556">
            <v>0</v>
          </cell>
          <cell r="F1556">
            <v>0</v>
          </cell>
          <cell r="AO1556">
            <v>0</v>
          </cell>
          <cell r="AP1556">
            <v>0</v>
          </cell>
          <cell r="AQ1556">
            <v>0</v>
          </cell>
          <cell r="BA1556">
            <v>0</v>
          </cell>
          <cell r="BC1556">
            <v>0</v>
          </cell>
        </row>
        <row r="1557">
          <cell r="A1557">
            <v>0</v>
          </cell>
          <cell r="B1557">
            <v>0</v>
          </cell>
          <cell r="E1557">
            <v>0</v>
          </cell>
          <cell r="F1557">
            <v>0</v>
          </cell>
          <cell r="AO1557">
            <v>0</v>
          </cell>
          <cell r="AP1557">
            <v>0</v>
          </cell>
          <cell r="AQ1557">
            <v>0</v>
          </cell>
          <cell r="BA1557">
            <v>0</v>
          </cell>
          <cell r="BC1557">
            <v>0</v>
          </cell>
        </row>
        <row r="1558">
          <cell r="A1558">
            <v>0</v>
          </cell>
          <cell r="B1558">
            <v>0</v>
          </cell>
          <cell r="E1558">
            <v>0</v>
          </cell>
          <cell r="F1558">
            <v>0</v>
          </cell>
          <cell r="AO1558">
            <v>0</v>
          </cell>
          <cell r="AP1558">
            <v>0</v>
          </cell>
          <cell r="AQ1558">
            <v>0</v>
          </cell>
          <cell r="BA1558">
            <v>0</v>
          </cell>
          <cell r="BC1558">
            <v>0</v>
          </cell>
        </row>
        <row r="1559">
          <cell r="A1559">
            <v>0</v>
          </cell>
          <cell r="B1559">
            <v>0</v>
          </cell>
          <cell r="E1559">
            <v>0</v>
          </cell>
          <cell r="F1559">
            <v>0</v>
          </cell>
          <cell r="AO1559">
            <v>0</v>
          </cell>
          <cell r="AP1559">
            <v>0</v>
          </cell>
          <cell r="AQ1559">
            <v>0</v>
          </cell>
          <cell r="BA1559">
            <v>0</v>
          </cell>
          <cell r="BC1559">
            <v>0</v>
          </cell>
        </row>
        <row r="1560">
          <cell r="A1560">
            <v>0</v>
          </cell>
          <cell r="B1560">
            <v>0</v>
          </cell>
          <cell r="E1560">
            <v>0</v>
          </cell>
          <cell r="F1560">
            <v>0</v>
          </cell>
          <cell r="AO1560">
            <v>0</v>
          </cell>
          <cell r="AP1560">
            <v>0</v>
          </cell>
          <cell r="AQ1560">
            <v>0</v>
          </cell>
          <cell r="BA1560">
            <v>0</v>
          </cell>
          <cell r="BC1560">
            <v>0</v>
          </cell>
        </row>
        <row r="1561">
          <cell r="A1561">
            <v>0</v>
          </cell>
          <cell r="B1561">
            <v>0</v>
          </cell>
          <cell r="E1561">
            <v>0</v>
          </cell>
          <cell r="F1561">
            <v>0</v>
          </cell>
          <cell r="AO1561">
            <v>0</v>
          </cell>
          <cell r="AP1561">
            <v>0</v>
          </cell>
          <cell r="AQ1561">
            <v>0</v>
          </cell>
          <cell r="BA1561">
            <v>0</v>
          </cell>
          <cell r="BC1561">
            <v>0</v>
          </cell>
        </row>
        <row r="1562">
          <cell r="A1562">
            <v>0</v>
          </cell>
          <cell r="B1562">
            <v>0</v>
          </cell>
          <cell r="E1562">
            <v>0</v>
          </cell>
          <cell r="F1562">
            <v>0</v>
          </cell>
          <cell r="AO1562">
            <v>0</v>
          </cell>
          <cell r="AP1562">
            <v>0</v>
          </cell>
          <cell r="AQ1562">
            <v>0</v>
          </cell>
          <cell r="BA1562">
            <v>0</v>
          </cell>
          <cell r="BC1562">
            <v>0</v>
          </cell>
        </row>
        <row r="1563">
          <cell r="A1563">
            <v>0</v>
          </cell>
          <cell r="B1563">
            <v>0</v>
          </cell>
          <cell r="E1563">
            <v>0</v>
          </cell>
          <cell r="F1563">
            <v>0</v>
          </cell>
          <cell r="AO1563">
            <v>0</v>
          </cell>
          <cell r="AP1563">
            <v>0</v>
          </cell>
          <cell r="AQ1563">
            <v>0</v>
          </cell>
          <cell r="BA1563">
            <v>0</v>
          </cell>
          <cell r="BC1563">
            <v>0</v>
          </cell>
        </row>
        <row r="1564">
          <cell r="A1564">
            <v>0</v>
          </cell>
          <cell r="B1564">
            <v>0</v>
          </cell>
          <cell r="E1564">
            <v>0</v>
          </cell>
          <cell r="F1564">
            <v>0</v>
          </cell>
          <cell r="AO1564">
            <v>0</v>
          </cell>
          <cell r="AP1564">
            <v>0</v>
          </cell>
          <cell r="AQ1564">
            <v>0</v>
          </cell>
          <cell r="BA1564">
            <v>0</v>
          </cell>
          <cell r="BC1564">
            <v>0</v>
          </cell>
        </row>
        <row r="1565">
          <cell r="A1565">
            <v>0</v>
          </cell>
          <cell r="B1565">
            <v>0</v>
          </cell>
          <cell r="E1565">
            <v>0</v>
          </cell>
          <cell r="F1565">
            <v>0</v>
          </cell>
          <cell r="AO1565">
            <v>0</v>
          </cell>
          <cell r="AP1565">
            <v>0</v>
          </cell>
          <cell r="AQ1565">
            <v>0</v>
          </cell>
          <cell r="BA1565">
            <v>0</v>
          </cell>
          <cell r="BC1565">
            <v>0</v>
          </cell>
        </row>
        <row r="1566">
          <cell r="A1566">
            <v>0</v>
          </cell>
          <cell r="B1566">
            <v>0</v>
          </cell>
          <cell r="E1566">
            <v>0</v>
          </cell>
          <cell r="F1566">
            <v>0</v>
          </cell>
          <cell r="AO1566">
            <v>0</v>
          </cell>
          <cell r="AP1566">
            <v>0</v>
          </cell>
          <cell r="AQ1566">
            <v>0</v>
          </cell>
          <cell r="BA1566">
            <v>0</v>
          </cell>
          <cell r="BC1566">
            <v>0</v>
          </cell>
        </row>
        <row r="1567">
          <cell r="A1567">
            <v>0</v>
          </cell>
          <cell r="B1567">
            <v>0</v>
          </cell>
          <cell r="E1567">
            <v>0</v>
          </cell>
          <cell r="F1567">
            <v>0</v>
          </cell>
          <cell r="AO1567">
            <v>0</v>
          </cell>
          <cell r="AP1567">
            <v>0</v>
          </cell>
          <cell r="AQ1567">
            <v>0</v>
          </cell>
          <cell r="BA1567">
            <v>0</v>
          </cell>
          <cell r="BC1567">
            <v>0</v>
          </cell>
        </row>
        <row r="1568">
          <cell r="A1568">
            <v>0</v>
          </cell>
          <cell r="B1568">
            <v>0</v>
          </cell>
          <cell r="E1568">
            <v>0</v>
          </cell>
          <cell r="F1568">
            <v>0</v>
          </cell>
          <cell r="AO1568">
            <v>0</v>
          </cell>
          <cell r="AP1568">
            <v>0</v>
          </cell>
          <cell r="AQ1568">
            <v>0</v>
          </cell>
          <cell r="BA1568">
            <v>0</v>
          </cell>
          <cell r="BC1568">
            <v>0</v>
          </cell>
        </row>
        <row r="1569">
          <cell r="A1569">
            <v>0</v>
          </cell>
          <cell r="B1569">
            <v>0</v>
          </cell>
          <cell r="E1569">
            <v>0</v>
          </cell>
          <cell r="F1569">
            <v>0</v>
          </cell>
          <cell r="AO1569">
            <v>0</v>
          </cell>
          <cell r="AP1569">
            <v>0</v>
          </cell>
          <cell r="AQ1569">
            <v>0</v>
          </cell>
          <cell r="BA1569">
            <v>0</v>
          </cell>
          <cell r="BC1569">
            <v>0</v>
          </cell>
        </row>
        <row r="1570">
          <cell r="A1570">
            <v>0</v>
          </cell>
          <cell r="B1570">
            <v>0</v>
          </cell>
          <cell r="E1570">
            <v>0</v>
          </cell>
          <cell r="F1570">
            <v>0</v>
          </cell>
          <cell r="AO1570">
            <v>0</v>
          </cell>
          <cell r="AP1570">
            <v>0</v>
          </cell>
          <cell r="AQ1570">
            <v>0</v>
          </cell>
          <cell r="BA1570">
            <v>0</v>
          </cell>
          <cell r="BC1570">
            <v>0</v>
          </cell>
        </row>
        <row r="1571">
          <cell r="A1571">
            <v>0</v>
          </cell>
          <cell r="B1571">
            <v>0</v>
          </cell>
          <cell r="E1571">
            <v>0</v>
          </cell>
          <cell r="F1571">
            <v>0</v>
          </cell>
          <cell r="AO1571">
            <v>0</v>
          </cell>
          <cell r="AP1571">
            <v>0</v>
          </cell>
          <cell r="AQ1571">
            <v>0</v>
          </cell>
          <cell r="BA1571">
            <v>0</v>
          </cell>
          <cell r="BC1571">
            <v>0</v>
          </cell>
        </row>
        <row r="1572">
          <cell r="A1572">
            <v>0</v>
          </cell>
          <cell r="B1572">
            <v>0</v>
          </cell>
          <cell r="E1572">
            <v>0</v>
          </cell>
          <cell r="F1572">
            <v>0</v>
          </cell>
          <cell r="AO1572">
            <v>0</v>
          </cell>
          <cell r="AP1572">
            <v>0</v>
          </cell>
          <cell r="AQ1572">
            <v>0</v>
          </cell>
          <cell r="BA1572">
            <v>0</v>
          </cell>
          <cell r="BC1572">
            <v>0</v>
          </cell>
        </row>
        <row r="1573">
          <cell r="A1573">
            <v>0</v>
          </cell>
          <cell r="B1573">
            <v>0</v>
          </cell>
          <cell r="E1573">
            <v>0</v>
          </cell>
          <cell r="F1573">
            <v>0</v>
          </cell>
          <cell r="AO1573">
            <v>0</v>
          </cell>
          <cell r="AP1573">
            <v>0</v>
          </cell>
          <cell r="AQ1573">
            <v>0</v>
          </cell>
          <cell r="BA1573">
            <v>0</v>
          </cell>
          <cell r="BC1573">
            <v>0</v>
          </cell>
        </row>
        <row r="1574">
          <cell r="A1574">
            <v>0</v>
          </cell>
          <cell r="B1574">
            <v>0</v>
          </cell>
          <cell r="E1574">
            <v>0</v>
          </cell>
          <cell r="F1574">
            <v>0</v>
          </cell>
          <cell r="AO1574">
            <v>0</v>
          </cell>
          <cell r="AP1574">
            <v>0</v>
          </cell>
          <cell r="AQ1574">
            <v>0</v>
          </cell>
          <cell r="BA1574">
            <v>0</v>
          </cell>
          <cell r="BC1574">
            <v>0</v>
          </cell>
        </row>
        <row r="1575">
          <cell r="A1575">
            <v>0</v>
          </cell>
          <cell r="B1575">
            <v>0</v>
          </cell>
          <cell r="E1575">
            <v>0</v>
          </cell>
          <cell r="F1575">
            <v>0</v>
          </cell>
          <cell r="AO1575">
            <v>0</v>
          </cell>
          <cell r="AP1575">
            <v>0</v>
          </cell>
          <cell r="AQ1575">
            <v>0</v>
          </cell>
          <cell r="BA1575">
            <v>0</v>
          </cell>
          <cell r="BC1575">
            <v>0</v>
          </cell>
        </row>
        <row r="1576">
          <cell r="A1576">
            <v>0</v>
          </cell>
          <cell r="B1576">
            <v>0</v>
          </cell>
          <cell r="E1576">
            <v>0</v>
          </cell>
          <cell r="F1576">
            <v>0</v>
          </cell>
          <cell r="AO1576">
            <v>0</v>
          </cell>
          <cell r="AP1576">
            <v>0</v>
          </cell>
          <cell r="AQ1576">
            <v>0</v>
          </cell>
          <cell r="BA1576">
            <v>0</v>
          </cell>
          <cell r="BC1576">
            <v>0</v>
          </cell>
        </row>
        <row r="1577">
          <cell r="A1577">
            <v>0</v>
          </cell>
          <cell r="B1577">
            <v>0</v>
          </cell>
          <cell r="E1577">
            <v>0</v>
          </cell>
          <cell r="F1577">
            <v>0</v>
          </cell>
          <cell r="AO1577">
            <v>0</v>
          </cell>
          <cell r="AP1577">
            <v>0</v>
          </cell>
          <cell r="AQ1577">
            <v>0</v>
          </cell>
          <cell r="BA1577">
            <v>0</v>
          </cell>
          <cell r="BC1577">
            <v>0</v>
          </cell>
        </row>
        <row r="1578">
          <cell r="A1578">
            <v>0</v>
          </cell>
          <cell r="B1578">
            <v>0</v>
          </cell>
          <cell r="E1578">
            <v>0</v>
          </cell>
          <cell r="F1578">
            <v>0</v>
          </cell>
          <cell r="AO1578">
            <v>0</v>
          </cell>
          <cell r="AP1578">
            <v>0</v>
          </cell>
          <cell r="AQ1578">
            <v>0</v>
          </cell>
          <cell r="BA1578">
            <v>0</v>
          </cell>
          <cell r="BC1578">
            <v>0</v>
          </cell>
        </row>
        <row r="1579">
          <cell r="A1579">
            <v>0</v>
          </cell>
          <cell r="B1579">
            <v>0</v>
          </cell>
          <cell r="E1579">
            <v>0</v>
          </cell>
          <cell r="F1579">
            <v>0</v>
          </cell>
          <cell r="AO1579">
            <v>0</v>
          </cell>
          <cell r="AP1579">
            <v>0</v>
          </cell>
          <cell r="AQ1579">
            <v>0</v>
          </cell>
          <cell r="BA1579">
            <v>0</v>
          </cell>
          <cell r="BC1579">
            <v>0</v>
          </cell>
        </row>
        <row r="1580">
          <cell r="A1580">
            <v>0</v>
          </cell>
          <cell r="B1580">
            <v>0</v>
          </cell>
          <cell r="E1580">
            <v>0</v>
          </cell>
          <cell r="F1580">
            <v>0</v>
          </cell>
          <cell r="AO1580">
            <v>0</v>
          </cell>
          <cell r="AP1580">
            <v>0</v>
          </cell>
          <cell r="AQ1580">
            <v>0</v>
          </cell>
          <cell r="BA1580">
            <v>0</v>
          </cell>
          <cell r="BC1580">
            <v>0</v>
          </cell>
        </row>
        <row r="1581">
          <cell r="A1581">
            <v>0</v>
          </cell>
          <cell r="B1581">
            <v>0</v>
          </cell>
          <cell r="E1581">
            <v>0</v>
          </cell>
          <cell r="F1581">
            <v>0</v>
          </cell>
          <cell r="AO1581">
            <v>0</v>
          </cell>
          <cell r="AP1581">
            <v>0</v>
          </cell>
          <cell r="AQ1581">
            <v>0</v>
          </cell>
          <cell r="BA1581">
            <v>0</v>
          </cell>
          <cell r="BC1581">
            <v>0</v>
          </cell>
        </row>
        <row r="1582">
          <cell r="A1582">
            <v>0</v>
          </cell>
          <cell r="B1582">
            <v>0</v>
          </cell>
          <cell r="E1582">
            <v>0</v>
          </cell>
          <cell r="F1582">
            <v>0</v>
          </cell>
          <cell r="AO1582">
            <v>0</v>
          </cell>
          <cell r="AP1582">
            <v>0</v>
          </cell>
          <cell r="AQ1582">
            <v>0</v>
          </cell>
          <cell r="BA1582">
            <v>0</v>
          </cell>
          <cell r="BC1582">
            <v>0</v>
          </cell>
        </row>
        <row r="1583">
          <cell r="A1583">
            <v>0</v>
          </cell>
          <cell r="B1583">
            <v>0</v>
          </cell>
          <cell r="E1583">
            <v>0</v>
          </cell>
          <cell r="F1583">
            <v>0</v>
          </cell>
          <cell r="AO1583">
            <v>0</v>
          </cell>
          <cell r="AP1583">
            <v>0</v>
          </cell>
          <cell r="AQ1583">
            <v>0</v>
          </cell>
          <cell r="BA1583">
            <v>0</v>
          </cell>
          <cell r="BC1583">
            <v>0</v>
          </cell>
        </row>
        <row r="1584">
          <cell r="A1584">
            <v>0</v>
          </cell>
          <cell r="B1584">
            <v>0</v>
          </cell>
          <cell r="E1584">
            <v>0</v>
          </cell>
          <cell r="F1584">
            <v>0</v>
          </cell>
          <cell r="AO1584">
            <v>0</v>
          </cell>
          <cell r="AP1584">
            <v>0</v>
          </cell>
          <cell r="AQ1584">
            <v>0</v>
          </cell>
          <cell r="BA1584">
            <v>0</v>
          </cell>
          <cell r="BC1584">
            <v>0</v>
          </cell>
        </row>
        <row r="1585">
          <cell r="A1585">
            <v>0</v>
          </cell>
          <cell r="B1585">
            <v>0</v>
          </cell>
          <cell r="E1585">
            <v>0</v>
          </cell>
          <cell r="F1585">
            <v>0</v>
          </cell>
          <cell r="AO1585">
            <v>0</v>
          </cell>
          <cell r="AP1585">
            <v>0</v>
          </cell>
          <cell r="AQ1585">
            <v>0</v>
          </cell>
          <cell r="BA1585">
            <v>0</v>
          </cell>
          <cell r="BC1585">
            <v>0</v>
          </cell>
        </row>
        <row r="1586">
          <cell r="A1586">
            <v>0</v>
          </cell>
          <cell r="B1586">
            <v>0</v>
          </cell>
          <cell r="E1586">
            <v>0</v>
          </cell>
          <cell r="F1586">
            <v>0</v>
          </cell>
          <cell r="AO1586">
            <v>0</v>
          </cell>
          <cell r="AP1586">
            <v>0</v>
          </cell>
          <cell r="AQ1586">
            <v>0</v>
          </cell>
          <cell r="BA1586">
            <v>0</v>
          </cell>
          <cell r="BC1586">
            <v>0</v>
          </cell>
        </row>
        <row r="1587">
          <cell r="A1587">
            <v>0</v>
          </cell>
          <cell r="B1587">
            <v>0</v>
          </cell>
          <cell r="E1587">
            <v>0</v>
          </cell>
          <cell r="F1587">
            <v>0</v>
          </cell>
          <cell r="AO1587">
            <v>0</v>
          </cell>
          <cell r="AP1587">
            <v>0</v>
          </cell>
          <cell r="AQ1587">
            <v>0</v>
          </cell>
          <cell r="BA1587">
            <v>0</v>
          </cell>
          <cell r="BC1587">
            <v>0</v>
          </cell>
        </row>
        <row r="1588">
          <cell r="A1588">
            <v>0</v>
          </cell>
          <cell r="B1588">
            <v>0</v>
          </cell>
          <cell r="E1588">
            <v>0</v>
          </cell>
          <cell r="F1588">
            <v>0</v>
          </cell>
          <cell r="AO1588">
            <v>0</v>
          </cell>
          <cell r="AP1588">
            <v>0</v>
          </cell>
          <cell r="AQ1588">
            <v>0</v>
          </cell>
          <cell r="BA1588">
            <v>0</v>
          </cell>
          <cell r="BC1588">
            <v>0</v>
          </cell>
        </row>
        <row r="1589">
          <cell r="A1589">
            <v>0</v>
          </cell>
          <cell r="B1589">
            <v>0</v>
          </cell>
          <cell r="E1589">
            <v>0</v>
          </cell>
          <cell r="F1589">
            <v>0</v>
          </cell>
          <cell r="AO1589">
            <v>0</v>
          </cell>
          <cell r="AP1589">
            <v>0</v>
          </cell>
          <cell r="AQ1589">
            <v>0</v>
          </cell>
          <cell r="BA1589">
            <v>0</v>
          </cell>
          <cell r="BC1589">
            <v>0</v>
          </cell>
        </row>
        <row r="1590">
          <cell r="A1590">
            <v>0</v>
          </cell>
          <cell r="B1590">
            <v>0</v>
          </cell>
          <cell r="E1590">
            <v>0</v>
          </cell>
          <cell r="F1590">
            <v>0</v>
          </cell>
          <cell r="AO1590">
            <v>0</v>
          </cell>
          <cell r="AP1590">
            <v>0</v>
          </cell>
          <cell r="AQ1590">
            <v>0</v>
          </cell>
          <cell r="BA1590">
            <v>0</v>
          </cell>
          <cell r="BC1590">
            <v>0</v>
          </cell>
        </row>
        <row r="1591">
          <cell r="A1591">
            <v>0</v>
          </cell>
          <cell r="B1591">
            <v>0</v>
          </cell>
          <cell r="E1591">
            <v>0</v>
          </cell>
          <cell r="F1591">
            <v>0</v>
          </cell>
          <cell r="AO1591">
            <v>0</v>
          </cell>
          <cell r="AP1591">
            <v>0</v>
          </cell>
          <cell r="AQ1591">
            <v>0</v>
          </cell>
          <cell r="BA1591">
            <v>0</v>
          </cell>
          <cell r="BC1591">
            <v>0</v>
          </cell>
        </row>
        <row r="1592">
          <cell r="A1592">
            <v>0</v>
          </cell>
          <cell r="B1592">
            <v>0</v>
          </cell>
          <cell r="E1592">
            <v>0</v>
          </cell>
          <cell r="F1592">
            <v>0</v>
          </cell>
          <cell r="AO1592">
            <v>0</v>
          </cell>
          <cell r="AP1592">
            <v>0</v>
          </cell>
          <cell r="AQ1592">
            <v>0</v>
          </cell>
          <cell r="BA1592">
            <v>0</v>
          </cell>
          <cell r="BC1592">
            <v>0</v>
          </cell>
        </row>
        <row r="1593">
          <cell r="A1593">
            <v>0</v>
          </cell>
          <cell r="B1593">
            <v>0</v>
          </cell>
          <cell r="E1593">
            <v>0</v>
          </cell>
          <cell r="F1593">
            <v>0</v>
          </cell>
          <cell r="AO1593">
            <v>0</v>
          </cell>
          <cell r="AP1593">
            <v>0</v>
          </cell>
          <cell r="AQ1593">
            <v>0</v>
          </cell>
          <cell r="BA1593">
            <v>0</v>
          </cell>
          <cell r="BC1593">
            <v>0</v>
          </cell>
        </row>
        <row r="1594">
          <cell r="A1594">
            <v>0</v>
          </cell>
          <cell r="B1594">
            <v>0</v>
          </cell>
          <cell r="E1594">
            <v>0</v>
          </cell>
          <cell r="F1594">
            <v>0</v>
          </cell>
          <cell r="AO1594">
            <v>0</v>
          </cell>
          <cell r="AP1594">
            <v>0</v>
          </cell>
          <cell r="AQ1594">
            <v>0</v>
          </cell>
          <cell r="BA1594">
            <v>0</v>
          </cell>
          <cell r="BC1594">
            <v>0</v>
          </cell>
        </row>
        <row r="1595">
          <cell r="A1595">
            <v>0</v>
          </cell>
          <cell r="B1595">
            <v>0</v>
          </cell>
          <cell r="E1595">
            <v>0</v>
          </cell>
          <cell r="F1595">
            <v>0</v>
          </cell>
          <cell r="AO1595">
            <v>0</v>
          </cell>
          <cell r="AP1595">
            <v>0</v>
          </cell>
          <cell r="AQ1595">
            <v>0</v>
          </cell>
          <cell r="BA1595">
            <v>0</v>
          </cell>
          <cell r="BC1595">
            <v>0</v>
          </cell>
        </row>
        <row r="1596">
          <cell r="A1596">
            <v>0</v>
          </cell>
          <cell r="B1596">
            <v>0</v>
          </cell>
          <cell r="E1596">
            <v>0</v>
          </cell>
          <cell r="F1596">
            <v>0</v>
          </cell>
          <cell r="AO1596">
            <v>0</v>
          </cell>
          <cell r="AP1596">
            <v>0</v>
          </cell>
          <cell r="AQ1596">
            <v>0</v>
          </cell>
          <cell r="BA1596">
            <v>0</v>
          </cell>
          <cell r="BC1596">
            <v>0</v>
          </cell>
        </row>
        <row r="1597">
          <cell r="A1597">
            <v>0</v>
          </cell>
          <cell r="B1597">
            <v>0</v>
          </cell>
          <cell r="E1597">
            <v>0</v>
          </cell>
          <cell r="F1597">
            <v>0</v>
          </cell>
          <cell r="AO1597">
            <v>0</v>
          </cell>
          <cell r="AP1597">
            <v>0</v>
          </cell>
          <cell r="AQ1597">
            <v>0</v>
          </cell>
          <cell r="BA1597">
            <v>0</v>
          </cell>
          <cell r="BC1597">
            <v>0</v>
          </cell>
        </row>
        <row r="1598">
          <cell r="A1598">
            <v>0</v>
          </cell>
          <cell r="B1598">
            <v>0</v>
          </cell>
          <cell r="E1598">
            <v>0</v>
          </cell>
          <cell r="F1598">
            <v>0</v>
          </cell>
          <cell r="AO1598">
            <v>0</v>
          </cell>
          <cell r="AP1598">
            <v>0</v>
          </cell>
          <cell r="AQ1598">
            <v>0</v>
          </cell>
          <cell r="BA1598">
            <v>0</v>
          </cell>
          <cell r="BC1598">
            <v>0</v>
          </cell>
        </row>
        <row r="1599">
          <cell r="A1599">
            <v>0</v>
          </cell>
          <cell r="B1599">
            <v>0</v>
          </cell>
          <cell r="E1599">
            <v>0</v>
          </cell>
          <cell r="F1599">
            <v>0</v>
          </cell>
          <cell r="AO1599">
            <v>0</v>
          </cell>
          <cell r="AP1599">
            <v>0</v>
          </cell>
          <cell r="AQ1599">
            <v>0</v>
          </cell>
          <cell r="BA1599">
            <v>0</v>
          </cell>
          <cell r="BC1599">
            <v>0</v>
          </cell>
        </row>
        <row r="1600">
          <cell r="A1600">
            <v>0</v>
          </cell>
          <cell r="B1600">
            <v>0</v>
          </cell>
          <cell r="E1600">
            <v>0</v>
          </cell>
          <cell r="F1600">
            <v>0</v>
          </cell>
          <cell r="AO1600">
            <v>0</v>
          </cell>
          <cell r="AP1600">
            <v>0</v>
          </cell>
          <cell r="AQ1600">
            <v>0</v>
          </cell>
          <cell r="BA1600">
            <v>0</v>
          </cell>
          <cell r="BC1600">
            <v>0</v>
          </cell>
        </row>
        <row r="1601">
          <cell r="A1601">
            <v>0</v>
          </cell>
          <cell r="B1601">
            <v>0</v>
          </cell>
          <cell r="E1601">
            <v>0</v>
          </cell>
          <cell r="F1601">
            <v>0</v>
          </cell>
          <cell r="AO1601">
            <v>0</v>
          </cell>
          <cell r="AP1601">
            <v>0</v>
          </cell>
          <cell r="AQ1601">
            <v>0</v>
          </cell>
          <cell r="BA1601">
            <v>0</v>
          </cell>
          <cell r="BC1601">
            <v>0</v>
          </cell>
        </row>
        <row r="1602">
          <cell r="A1602">
            <v>0</v>
          </cell>
          <cell r="B1602">
            <v>0</v>
          </cell>
          <cell r="E1602">
            <v>0</v>
          </cell>
          <cell r="F1602">
            <v>0</v>
          </cell>
          <cell r="AO1602">
            <v>0</v>
          </cell>
          <cell r="AP1602">
            <v>0</v>
          </cell>
          <cell r="AQ1602">
            <v>0</v>
          </cell>
          <cell r="BA1602">
            <v>0</v>
          </cell>
          <cell r="BC1602">
            <v>0</v>
          </cell>
        </row>
        <row r="1603">
          <cell r="A1603">
            <v>0</v>
          </cell>
          <cell r="B1603">
            <v>0</v>
          </cell>
          <cell r="E1603">
            <v>0</v>
          </cell>
          <cell r="F1603">
            <v>0</v>
          </cell>
          <cell r="AO1603">
            <v>0</v>
          </cell>
          <cell r="AP1603">
            <v>0</v>
          </cell>
          <cell r="AQ1603">
            <v>0</v>
          </cell>
          <cell r="BA1603">
            <v>0</v>
          </cell>
          <cell r="BC1603">
            <v>0</v>
          </cell>
        </row>
        <row r="1604">
          <cell r="A1604">
            <v>0</v>
          </cell>
          <cell r="B1604">
            <v>0</v>
          </cell>
          <cell r="E1604">
            <v>0</v>
          </cell>
          <cell r="F1604">
            <v>0</v>
          </cell>
          <cell r="AO1604">
            <v>0</v>
          </cell>
          <cell r="AP1604">
            <v>0</v>
          </cell>
          <cell r="AQ1604">
            <v>0</v>
          </cell>
          <cell r="BA1604">
            <v>0</v>
          </cell>
          <cell r="BC1604">
            <v>0</v>
          </cell>
        </row>
        <row r="1605">
          <cell r="A1605">
            <v>0</v>
          </cell>
          <cell r="B1605">
            <v>0</v>
          </cell>
          <cell r="E1605">
            <v>0</v>
          </cell>
          <cell r="F1605">
            <v>0</v>
          </cell>
          <cell r="AO1605">
            <v>0</v>
          </cell>
          <cell r="AP1605">
            <v>0</v>
          </cell>
          <cell r="AQ1605">
            <v>0</v>
          </cell>
          <cell r="BA1605">
            <v>0</v>
          </cell>
          <cell r="BC1605">
            <v>0</v>
          </cell>
        </row>
        <row r="1606">
          <cell r="A1606">
            <v>0</v>
          </cell>
          <cell r="B1606">
            <v>0</v>
          </cell>
          <cell r="E1606">
            <v>0</v>
          </cell>
          <cell r="F1606">
            <v>0</v>
          </cell>
          <cell r="AO1606">
            <v>0</v>
          </cell>
          <cell r="AP1606">
            <v>0</v>
          </cell>
          <cell r="AQ1606">
            <v>0</v>
          </cell>
          <cell r="BA1606">
            <v>0</v>
          </cell>
          <cell r="BC1606">
            <v>0</v>
          </cell>
        </row>
        <row r="1607">
          <cell r="A1607">
            <v>0</v>
          </cell>
          <cell r="B1607">
            <v>0</v>
          </cell>
          <cell r="E1607">
            <v>0</v>
          </cell>
          <cell r="F1607">
            <v>0</v>
          </cell>
          <cell r="AO1607">
            <v>0</v>
          </cell>
          <cell r="AP1607">
            <v>0</v>
          </cell>
          <cell r="AQ1607">
            <v>0</v>
          </cell>
          <cell r="BA1607">
            <v>0</v>
          </cell>
          <cell r="BC1607">
            <v>0</v>
          </cell>
        </row>
        <row r="1608">
          <cell r="A1608">
            <v>0</v>
          </cell>
          <cell r="B1608">
            <v>0</v>
          </cell>
          <cell r="E1608">
            <v>0</v>
          </cell>
          <cell r="F1608">
            <v>0</v>
          </cell>
          <cell r="AO1608">
            <v>0</v>
          </cell>
          <cell r="AP1608">
            <v>0</v>
          </cell>
          <cell r="AQ1608">
            <v>0</v>
          </cell>
          <cell r="BA1608">
            <v>0</v>
          </cell>
          <cell r="BC1608">
            <v>0</v>
          </cell>
        </row>
        <row r="1609">
          <cell r="A1609">
            <v>0</v>
          </cell>
          <cell r="B1609">
            <v>0</v>
          </cell>
          <cell r="E1609">
            <v>0</v>
          </cell>
          <cell r="F1609">
            <v>0</v>
          </cell>
          <cell r="AO1609">
            <v>0</v>
          </cell>
          <cell r="AP1609">
            <v>0</v>
          </cell>
          <cell r="AQ1609">
            <v>0</v>
          </cell>
          <cell r="BA1609">
            <v>0</v>
          </cell>
          <cell r="BC1609">
            <v>0</v>
          </cell>
        </row>
        <row r="1610">
          <cell r="A1610">
            <v>0</v>
          </cell>
          <cell r="B1610">
            <v>0</v>
          </cell>
          <cell r="E1610">
            <v>0</v>
          </cell>
          <cell r="F1610">
            <v>0</v>
          </cell>
          <cell r="AO1610">
            <v>0</v>
          </cell>
          <cell r="AP1610">
            <v>0</v>
          </cell>
          <cell r="AQ1610">
            <v>0</v>
          </cell>
          <cell r="BA1610">
            <v>0</v>
          </cell>
          <cell r="BC1610">
            <v>0</v>
          </cell>
        </row>
        <row r="1611">
          <cell r="A1611">
            <v>0</v>
          </cell>
          <cell r="B1611">
            <v>0</v>
          </cell>
          <cell r="E1611">
            <v>0</v>
          </cell>
          <cell r="F1611">
            <v>0</v>
          </cell>
          <cell r="AO1611">
            <v>0</v>
          </cell>
          <cell r="AP1611">
            <v>0</v>
          </cell>
          <cell r="AQ1611">
            <v>0</v>
          </cell>
          <cell r="BA1611">
            <v>0</v>
          </cell>
          <cell r="BC1611">
            <v>0</v>
          </cell>
        </row>
        <row r="1612">
          <cell r="A1612">
            <v>0</v>
          </cell>
          <cell r="B1612">
            <v>0</v>
          </cell>
          <cell r="E1612">
            <v>0</v>
          </cell>
          <cell r="F1612">
            <v>0</v>
          </cell>
          <cell r="AO1612">
            <v>0</v>
          </cell>
          <cell r="AP1612">
            <v>0</v>
          </cell>
          <cell r="AQ1612">
            <v>0</v>
          </cell>
          <cell r="BA1612">
            <v>0</v>
          </cell>
          <cell r="BC1612">
            <v>0</v>
          </cell>
        </row>
        <row r="1613">
          <cell r="A1613">
            <v>0</v>
          </cell>
          <cell r="B1613">
            <v>0</v>
          </cell>
          <cell r="E1613">
            <v>0</v>
          </cell>
          <cell r="F1613">
            <v>0</v>
          </cell>
          <cell r="AO1613">
            <v>0</v>
          </cell>
          <cell r="AP1613">
            <v>0</v>
          </cell>
          <cell r="AQ1613">
            <v>0</v>
          </cell>
          <cell r="BA1613">
            <v>0</v>
          </cell>
          <cell r="BC1613">
            <v>0</v>
          </cell>
        </row>
        <row r="1614">
          <cell r="A1614">
            <v>0</v>
          </cell>
          <cell r="B1614">
            <v>0</v>
          </cell>
          <cell r="E1614">
            <v>0</v>
          </cell>
          <cell r="F1614">
            <v>0</v>
          </cell>
          <cell r="AO1614">
            <v>0</v>
          </cell>
          <cell r="AP1614">
            <v>0</v>
          </cell>
          <cell r="AQ1614">
            <v>0</v>
          </cell>
          <cell r="BA1614">
            <v>0</v>
          </cell>
          <cell r="BC1614">
            <v>0</v>
          </cell>
        </row>
        <row r="1615">
          <cell r="A1615">
            <v>0</v>
          </cell>
          <cell r="B1615">
            <v>0</v>
          </cell>
          <cell r="E1615">
            <v>0</v>
          </cell>
          <cell r="F1615">
            <v>0</v>
          </cell>
          <cell r="AO1615">
            <v>0</v>
          </cell>
          <cell r="AP1615">
            <v>0</v>
          </cell>
          <cell r="AQ1615">
            <v>0</v>
          </cell>
          <cell r="BA1615">
            <v>0</v>
          </cell>
          <cell r="BC1615">
            <v>0</v>
          </cell>
        </row>
        <row r="1616">
          <cell r="A1616">
            <v>0</v>
          </cell>
          <cell r="B1616">
            <v>0</v>
          </cell>
          <cell r="E1616">
            <v>0</v>
          </cell>
          <cell r="F1616">
            <v>0</v>
          </cell>
          <cell r="AO1616">
            <v>0</v>
          </cell>
          <cell r="AP1616">
            <v>0</v>
          </cell>
          <cell r="AQ1616">
            <v>0</v>
          </cell>
          <cell r="BA1616">
            <v>0</v>
          </cell>
          <cell r="BC1616">
            <v>0</v>
          </cell>
        </row>
        <row r="1617">
          <cell r="A1617">
            <v>0</v>
          </cell>
          <cell r="B1617">
            <v>0</v>
          </cell>
          <cell r="E1617">
            <v>0</v>
          </cell>
          <cell r="F1617">
            <v>0</v>
          </cell>
          <cell r="AO1617">
            <v>0</v>
          </cell>
          <cell r="AP1617">
            <v>0</v>
          </cell>
          <cell r="AQ1617">
            <v>0</v>
          </cell>
          <cell r="BA1617">
            <v>0</v>
          </cell>
          <cell r="BC1617">
            <v>0</v>
          </cell>
        </row>
        <row r="1618">
          <cell r="A1618">
            <v>0</v>
          </cell>
          <cell r="B1618">
            <v>0</v>
          </cell>
          <cell r="E1618">
            <v>0</v>
          </cell>
          <cell r="F1618">
            <v>0</v>
          </cell>
          <cell r="AO1618">
            <v>0</v>
          </cell>
          <cell r="AP1618">
            <v>0</v>
          </cell>
          <cell r="AQ1618">
            <v>0</v>
          </cell>
          <cell r="BA1618">
            <v>0</v>
          </cell>
          <cell r="BC1618">
            <v>0</v>
          </cell>
        </row>
        <row r="1619">
          <cell r="A1619">
            <v>0</v>
          </cell>
          <cell r="B1619">
            <v>0</v>
          </cell>
          <cell r="E1619">
            <v>0</v>
          </cell>
          <cell r="F1619">
            <v>0</v>
          </cell>
          <cell r="AO1619">
            <v>0</v>
          </cell>
          <cell r="AP1619">
            <v>0</v>
          </cell>
          <cell r="AQ1619">
            <v>0</v>
          </cell>
          <cell r="BA1619">
            <v>0</v>
          </cell>
          <cell r="BC1619">
            <v>0</v>
          </cell>
        </row>
        <row r="1620">
          <cell r="A1620">
            <v>0</v>
          </cell>
          <cell r="B1620">
            <v>0</v>
          </cell>
          <cell r="E1620">
            <v>0</v>
          </cell>
          <cell r="F1620">
            <v>0</v>
          </cell>
          <cell r="AO1620">
            <v>0</v>
          </cell>
          <cell r="AP1620">
            <v>0</v>
          </cell>
          <cell r="AQ1620">
            <v>0</v>
          </cell>
          <cell r="BA1620">
            <v>0</v>
          </cell>
          <cell r="BC1620">
            <v>0</v>
          </cell>
        </row>
        <row r="1621">
          <cell r="A1621">
            <v>0</v>
          </cell>
          <cell r="B1621">
            <v>0</v>
          </cell>
          <cell r="E1621">
            <v>0</v>
          </cell>
          <cell r="F1621">
            <v>0</v>
          </cell>
          <cell r="AO1621">
            <v>0</v>
          </cell>
          <cell r="AP1621">
            <v>0</v>
          </cell>
          <cell r="AQ1621">
            <v>0</v>
          </cell>
          <cell r="BA1621">
            <v>0</v>
          </cell>
          <cell r="BC1621">
            <v>0</v>
          </cell>
        </row>
        <row r="1622">
          <cell r="A1622">
            <v>0</v>
          </cell>
          <cell r="B1622">
            <v>0</v>
          </cell>
          <cell r="E1622">
            <v>0</v>
          </cell>
          <cell r="F1622">
            <v>0</v>
          </cell>
          <cell r="AO1622">
            <v>0</v>
          </cell>
          <cell r="AP1622">
            <v>0</v>
          </cell>
          <cell r="AQ1622">
            <v>0</v>
          </cell>
          <cell r="BA1622">
            <v>0</v>
          </cell>
          <cell r="BC1622">
            <v>0</v>
          </cell>
        </row>
        <row r="1623">
          <cell r="A1623">
            <v>0</v>
          </cell>
          <cell r="B1623">
            <v>0</v>
          </cell>
          <cell r="E1623">
            <v>0</v>
          </cell>
          <cell r="F1623">
            <v>0</v>
          </cell>
          <cell r="AO1623">
            <v>0</v>
          </cell>
          <cell r="AP1623">
            <v>0</v>
          </cell>
          <cell r="AQ1623">
            <v>0</v>
          </cell>
          <cell r="BA1623">
            <v>0</v>
          </cell>
          <cell r="BC1623">
            <v>0</v>
          </cell>
        </row>
        <row r="1624">
          <cell r="A1624">
            <v>0</v>
          </cell>
          <cell r="B1624">
            <v>0</v>
          </cell>
          <cell r="E1624">
            <v>0</v>
          </cell>
          <cell r="F1624">
            <v>0</v>
          </cell>
          <cell r="AO1624">
            <v>0</v>
          </cell>
          <cell r="AP1624">
            <v>0</v>
          </cell>
          <cell r="AQ1624">
            <v>0</v>
          </cell>
          <cell r="BA1624">
            <v>0</v>
          </cell>
          <cell r="BC1624">
            <v>0</v>
          </cell>
        </row>
        <row r="1625">
          <cell r="A1625">
            <v>0</v>
          </cell>
          <cell r="B1625">
            <v>0</v>
          </cell>
          <cell r="E1625">
            <v>0</v>
          </cell>
          <cell r="F1625">
            <v>0</v>
          </cell>
          <cell r="AO1625">
            <v>0</v>
          </cell>
          <cell r="AP1625">
            <v>0</v>
          </cell>
          <cell r="AQ1625">
            <v>0</v>
          </cell>
          <cell r="BA1625">
            <v>0</v>
          </cell>
          <cell r="BC1625">
            <v>0</v>
          </cell>
        </row>
        <row r="1626">
          <cell r="A1626">
            <v>0</v>
          </cell>
          <cell r="B1626">
            <v>0</v>
          </cell>
          <cell r="E1626">
            <v>0</v>
          </cell>
          <cell r="F1626">
            <v>0</v>
          </cell>
          <cell r="AO1626">
            <v>0</v>
          </cell>
          <cell r="AP1626">
            <v>0</v>
          </cell>
          <cell r="AQ1626">
            <v>0</v>
          </cell>
          <cell r="BA1626">
            <v>0</v>
          </cell>
          <cell r="BC1626">
            <v>0</v>
          </cell>
        </row>
        <row r="1627">
          <cell r="A1627">
            <v>0</v>
          </cell>
          <cell r="B1627">
            <v>0</v>
          </cell>
          <cell r="E1627">
            <v>0</v>
          </cell>
          <cell r="F1627">
            <v>0</v>
          </cell>
          <cell r="AO1627">
            <v>0</v>
          </cell>
          <cell r="AP1627">
            <v>0</v>
          </cell>
          <cell r="AQ1627">
            <v>0</v>
          </cell>
          <cell r="BA1627">
            <v>0</v>
          </cell>
          <cell r="BC1627">
            <v>0</v>
          </cell>
        </row>
        <row r="1628">
          <cell r="A1628">
            <v>0</v>
          </cell>
          <cell r="B1628">
            <v>0</v>
          </cell>
          <cell r="E1628">
            <v>0</v>
          </cell>
          <cell r="F1628">
            <v>0</v>
          </cell>
          <cell r="AO1628">
            <v>0</v>
          </cell>
          <cell r="AP1628">
            <v>0</v>
          </cell>
          <cell r="AQ1628">
            <v>0</v>
          </cell>
          <cell r="BA1628">
            <v>0</v>
          </cell>
          <cell r="BC1628">
            <v>0</v>
          </cell>
        </row>
        <row r="1629">
          <cell r="A1629">
            <v>0</v>
          </cell>
          <cell r="B1629">
            <v>0</v>
          </cell>
          <cell r="E1629">
            <v>0</v>
          </cell>
          <cell r="F1629">
            <v>0</v>
          </cell>
          <cell r="AO1629">
            <v>0</v>
          </cell>
          <cell r="AP1629">
            <v>0</v>
          </cell>
          <cell r="AQ1629">
            <v>0</v>
          </cell>
          <cell r="BA1629">
            <v>0</v>
          </cell>
          <cell r="BC1629">
            <v>0</v>
          </cell>
        </row>
        <row r="1630">
          <cell r="A1630">
            <v>0</v>
          </cell>
          <cell r="B1630">
            <v>0</v>
          </cell>
          <cell r="E1630">
            <v>0</v>
          </cell>
          <cell r="F1630">
            <v>0</v>
          </cell>
          <cell r="AO1630">
            <v>0</v>
          </cell>
          <cell r="AP1630">
            <v>0</v>
          </cell>
          <cell r="AQ1630">
            <v>0</v>
          </cell>
          <cell r="BA1630">
            <v>0</v>
          </cell>
          <cell r="BC1630">
            <v>0</v>
          </cell>
        </row>
        <row r="1631">
          <cell r="A1631">
            <v>0</v>
          </cell>
          <cell r="B1631">
            <v>0</v>
          </cell>
          <cell r="E1631">
            <v>0</v>
          </cell>
          <cell r="F1631">
            <v>0</v>
          </cell>
          <cell r="AO1631">
            <v>0</v>
          </cell>
          <cell r="AP1631">
            <v>0</v>
          </cell>
          <cell r="AQ1631">
            <v>0</v>
          </cell>
          <cell r="BA1631">
            <v>0</v>
          </cell>
          <cell r="BC1631">
            <v>0</v>
          </cell>
        </row>
        <row r="1632">
          <cell r="A1632">
            <v>0</v>
          </cell>
          <cell r="B1632">
            <v>0</v>
          </cell>
          <cell r="E1632">
            <v>0</v>
          </cell>
          <cell r="F1632">
            <v>0</v>
          </cell>
          <cell r="AO1632">
            <v>0</v>
          </cell>
          <cell r="AP1632">
            <v>0</v>
          </cell>
          <cell r="AQ1632">
            <v>0</v>
          </cell>
          <cell r="BA1632">
            <v>0</v>
          </cell>
          <cell r="BC1632">
            <v>0</v>
          </cell>
        </row>
        <row r="1633">
          <cell r="A1633">
            <v>0</v>
          </cell>
          <cell r="B1633">
            <v>0</v>
          </cell>
          <cell r="E1633">
            <v>0</v>
          </cell>
          <cell r="F1633">
            <v>0</v>
          </cell>
          <cell r="AO1633">
            <v>0</v>
          </cell>
          <cell r="AP1633">
            <v>0</v>
          </cell>
          <cell r="AQ1633">
            <v>0</v>
          </cell>
          <cell r="BA1633">
            <v>0</v>
          </cell>
          <cell r="BC1633">
            <v>0</v>
          </cell>
        </row>
        <row r="1634">
          <cell r="A1634">
            <v>0</v>
          </cell>
          <cell r="B1634">
            <v>0</v>
          </cell>
          <cell r="E1634">
            <v>0</v>
          </cell>
          <cell r="F1634">
            <v>0</v>
          </cell>
          <cell r="AO1634">
            <v>0</v>
          </cell>
          <cell r="AP1634">
            <v>0</v>
          </cell>
          <cell r="AQ1634">
            <v>0</v>
          </cell>
          <cell r="BA1634">
            <v>0</v>
          </cell>
          <cell r="BC1634">
            <v>0</v>
          </cell>
        </row>
        <row r="1635">
          <cell r="A1635">
            <v>0</v>
          </cell>
          <cell r="B1635">
            <v>0</v>
          </cell>
          <cell r="E1635">
            <v>0</v>
          </cell>
          <cell r="F1635">
            <v>0</v>
          </cell>
          <cell r="AO1635">
            <v>0</v>
          </cell>
          <cell r="AP1635">
            <v>0</v>
          </cell>
          <cell r="AQ1635">
            <v>0</v>
          </cell>
          <cell r="BA1635">
            <v>0</v>
          </cell>
          <cell r="BC1635">
            <v>0</v>
          </cell>
        </row>
        <row r="1636">
          <cell r="A1636">
            <v>0</v>
          </cell>
          <cell r="B1636">
            <v>0</v>
          </cell>
          <cell r="E1636">
            <v>0</v>
          </cell>
          <cell r="F1636">
            <v>0</v>
          </cell>
          <cell r="AO1636">
            <v>0</v>
          </cell>
          <cell r="AP1636">
            <v>0</v>
          </cell>
          <cell r="AQ1636">
            <v>0</v>
          </cell>
          <cell r="BA1636">
            <v>0</v>
          </cell>
          <cell r="BC1636">
            <v>0</v>
          </cell>
        </row>
        <row r="1637">
          <cell r="A1637">
            <v>0</v>
          </cell>
          <cell r="B1637">
            <v>0</v>
          </cell>
          <cell r="E1637">
            <v>0</v>
          </cell>
          <cell r="F1637">
            <v>0</v>
          </cell>
          <cell r="AO1637">
            <v>0</v>
          </cell>
          <cell r="AP1637">
            <v>0</v>
          </cell>
          <cell r="AQ1637">
            <v>0</v>
          </cell>
          <cell r="BA1637">
            <v>0</v>
          </cell>
          <cell r="BC1637">
            <v>0</v>
          </cell>
        </row>
        <row r="1638">
          <cell r="A1638">
            <v>0</v>
          </cell>
          <cell r="B1638">
            <v>0</v>
          </cell>
          <cell r="E1638">
            <v>0</v>
          </cell>
          <cell r="F1638">
            <v>0</v>
          </cell>
          <cell r="AO1638">
            <v>0</v>
          </cell>
          <cell r="AP1638">
            <v>0</v>
          </cell>
          <cell r="AQ1638">
            <v>0</v>
          </cell>
          <cell r="BA1638">
            <v>0</v>
          </cell>
          <cell r="BC1638">
            <v>0</v>
          </cell>
        </row>
        <row r="1639">
          <cell r="A1639">
            <v>0</v>
          </cell>
          <cell r="B1639">
            <v>0</v>
          </cell>
          <cell r="E1639">
            <v>0</v>
          </cell>
          <cell r="F1639">
            <v>0</v>
          </cell>
          <cell r="AO1639">
            <v>0</v>
          </cell>
          <cell r="AP1639">
            <v>0</v>
          </cell>
          <cell r="AQ1639">
            <v>0</v>
          </cell>
          <cell r="BA1639">
            <v>0</v>
          </cell>
          <cell r="BC1639">
            <v>0</v>
          </cell>
        </row>
        <row r="1640">
          <cell r="A1640">
            <v>0</v>
          </cell>
          <cell r="B1640">
            <v>0</v>
          </cell>
          <cell r="E1640">
            <v>0</v>
          </cell>
          <cell r="F1640">
            <v>0</v>
          </cell>
          <cell r="AO1640">
            <v>0</v>
          </cell>
          <cell r="AP1640">
            <v>0</v>
          </cell>
          <cell r="AQ1640">
            <v>0</v>
          </cell>
          <cell r="BA1640">
            <v>0</v>
          </cell>
          <cell r="BC1640">
            <v>0</v>
          </cell>
        </row>
        <row r="1641">
          <cell r="A1641">
            <v>0</v>
          </cell>
          <cell r="B1641">
            <v>0</v>
          </cell>
          <cell r="E1641">
            <v>0</v>
          </cell>
          <cell r="F1641">
            <v>0</v>
          </cell>
          <cell r="AO1641">
            <v>0</v>
          </cell>
          <cell r="AP1641">
            <v>0</v>
          </cell>
          <cell r="AQ1641">
            <v>0</v>
          </cell>
          <cell r="BA1641">
            <v>0</v>
          </cell>
          <cell r="BC1641">
            <v>0</v>
          </cell>
        </row>
        <row r="1642">
          <cell r="A1642">
            <v>0</v>
          </cell>
          <cell r="B1642">
            <v>0</v>
          </cell>
          <cell r="E1642">
            <v>0</v>
          </cell>
          <cell r="F1642">
            <v>0</v>
          </cell>
          <cell r="AO1642">
            <v>0</v>
          </cell>
          <cell r="AP1642">
            <v>0</v>
          </cell>
          <cell r="AQ1642">
            <v>0</v>
          </cell>
          <cell r="BA1642">
            <v>0</v>
          </cell>
          <cell r="BC1642">
            <v>0</v>
          </cell>
        </row>
        <row r="1643">
          <cell r="A1643">
            <v>0</v>
          </cell>
          <cell r="B1643">
            <v>0</v>
          </cell>
          <cell r="E1643">
            <v>0</v>
          </cell>
          <cell r="F1643">
            <v>0</v>
          </cell>
          <cell r="AO1643">
            <v>0</v>
          </cell>
          <cell r="AP1643">
            <v>0</v>
          </cell>
          <cell r="AQ1643">
            <v>0</v>
          </cell>
          <cell r="BA1643">
            <v>0</v>
          </cell>
          <cell r="BC1643">
            <v>0</v>
          </cell>
        </row>
        <row r="1644">
          <cell r="A1644">
            <v>0</v>
          </cell>
          <cell r="B1644">
            <v>0</v>
          </cell>
          <cell r="E1644">
            <v>0</v>
          </cell>
          <cell r="F1644">
            <v>0</v>
          </cell>
          <cell r="AO1644">
            <v>0</v>
          </cell>
          <cell r="AP1644">
            <v>0</v>
          </cell>
          <cell r="AQ1644">
            <v>0</v>
          </cell>
          <cell r="BA1644">
            <v>0</v>
          </cell>
          <cell r="BC1644">
            <v>0</v>
          </cell>
        </row>
        <row r="1645">
          <cell r="A1645">
            <v>0</v>
          </cell>
          <cell r="B1645">
            <v>0</v>
          </cell>
          <cell r="E1645">
            <v>0</v>
          </cell>
          <cell r="F1645">
            <v>0</v>
          </cell>
          <cell r="AO1645">
            <v>0</v>
          </cell>
          <cell r="AP1645">
            <v>0</v>
          </cell>
          <cell r="AQ1645">
            <v>0</v>
          </cell>
          <cell r="BA1645">
            <v>0</v>
          </cell>
          <cell r="BC1645">
            <v>0</v>
          </cell>
        </row>
        <row r="1646">
          <cell r="A1646">
            <v>0</v>
          </cell>
          <cell r="B1646">
            <v>0</v>
          </cell>
          <cell r="E1646">
            <v>0</v>
          </cell>
          <cell r="F1646">
            <v>0</v>
          </cell>
          <cell r="AO1646">
            <v>0</v>
          </cell>
          <cell r="AP1646">
            <v>0</v>
          </cell>
          <cell r="AQ1646">
            <v>0</v>
          </cell>
          <cell r="BA1646">
            <v>0</v>
          </cell>
          <cell r="BC1646">
            <v>0</v>
          </cell>
        </row>
        <row r="1647">
          <cell r="A1647">
            <v>0</v>
          </cell>
          <cell r="B1647">
            <v>0</v>
          </cell>
          <cell r="E1647">
            <v>0</v>
          </cell>
          <cell r="F1647">
            <v>0</v>
          </cell>
          <cell r="AO1647">
            <v>0</v>
          </cell>
          <cell r="AP1647">
            <v>0</v>
          </cell>
          <cell r="AQ1647">
            <v>0</v>
          </cell>
          <cell r="BA1647">
            <v>0</v>
          </cell>
          <cell r="BC1647">
            <v>0</v>
          </cell>
        </row>
        <row r="1648">
          <cell r="A1648">
            <v>0</v>
          </cell>
          <cell r="B1648">
            <v>0</v>
          </cell>
          <cell r="E1648">
            <v>0</v>
          </cell>
          <cell r="F1648">
            <v>0</v>
          </cell>
          <cell r="AO1648">
            <v>0</v>
          </cell>
          <cell r="AP1648">
            <v>0</v>
          </cell>
          <cell r="AQ1648">
            <v>0</v>
          </cell>
          <cell r="BA1648">
            <v>0</v>
          </cell>
          <cell r="BC1648">
            <v>0</v>
          </cell>
        </row>
        <row r="1649">
          <cell r="A1649">
            <v>0</v>
          </cell>
          <cell r="B1649">
            <v>0</v>
          </cell>
          <cell r="E1649">
            <v>0</v>
          </cell>
          <cell r="F1649">
            <v>0</v>
          </cell>
          <cell r="AO1649">
            <v>0</v>
          </cell>
          <cell r="AP1649">
            <v>0</v>
          </cell>
          <cell r="AQ1649">
            <v>0</v>
          </cell>
          <cell r="BA1649">
            <v>0</v>
          </cell>
          <cell r="BC1649">
            <v>0</v>
          </cell>
        </row>
        <row r="1650">
          <cell r="A1650">
            <v>0</v>
          </cell>
          <cell r="B1650">
            <v>0</v>
          </cell>
          <cell r="E1650">
            <v>0</v>
          </cell>
          <cell r="F1650">
            <v>0</v>
          </cell>
          <cell r="AO1650">
            <v>0</v>
          </cell>
          <cell r="AP1650">
            <v>0</v>
          </cell>
          <cell r="AQ1650">
            <v>0</v>
          </cell>
          <cell r="BA1650">
            <v>0</v>
          </cell>
          <cell r="BC1650">
            <v>0</v>
          </cell>
        </row>
        <row r="1651">
          <cell r="A1651">
            <v>0</v>
          </cell>
          <cell r="B1651">
            <v>0</v>
          </cell>
          <cell r="E1651">
            <v>0</v>
          </cell>
          <cell r="F1651">
            <v>0</v>
          </cell>
          <cell r="AO1651">
            <v>0</v>
          </cell>
          <cell r="AP1651">
            <v>0</v>
          </cell>
          <cell r="AQ1651">
            <v>0</v>
          </cell>
          <cell r="BA1651">
            <v>0</v>
          </cell>
          <cell r="BC1651">
            <v>0</v>
          </cell>
        </row>
        <row r="1652">
          <cell r="A1652">
            <v>0</v>
          </cell>
          <cell r="B1652">
            <v>0</v>
          </cell>
          <cell r="E1652">
            <v>0</v>
          </cell>
          <cell r="F1652">
            <v>0</v>
          </cell>
          <cell r="AO1652">
            <v>0</v>
          </cell>
          <cell r="AP1652">
            <v>0</v>
          </cell>
          <cell r="AQ1652">
            <v>0</v>
          </cell>
          <cell r="BA1652">
            <v>0</v>
          </cell>
          <cell r="BC1652">
            <v>0</v>
          </cell>
        </row>
        <row r="1653">
          <cell r="A1653">
            <v>0</v>
          </cell>
          <cell r="B1653">
            <v>0</v>
          </cell>
          <cell r="E1653">
            <v>0</v>
          </cell>
          <cell r="F1653">
            <v>0</v>
          </cell>
          <cell r="AO1653">
            <v>0</v>
          </cell>
          <cell r="AP1653">
            <v>0</v>
          </cell>
          <cell r="AQ1653">
            <v>0</v>
          </cell>
          <cell r="BA1653">
            <v>0</v>
          </cell>
          <cell r="BC1653">
            <v>0</v>
          </cell>
        </row>
        <row r="1654">
          <cell r="A1654">
            <v>0</v>
          </cell>
          <cell r="B1654">
            <v>0</v>
          </cell>
          <cell r="E1654">
            <v>0</v>
          </cell>
          <cell r="F1654">
            <v>0</v>
          </cell>
          <cell r="AO1654">
            <v>0</v>
          </cell>
          <cell r="AP1654">
            <v>0</v>
          </cell>
          <cell r="AQ1654">
            <v>0</v>
          </cell>
          <cell r="BA1654">
            <v>0</v>
          </cell>
          <cell r="BC1654">
            <v>0</v>
          </cell>
        </row>
        <row r="1655">
          <cell r="A1655">
            <v>0</v>
          </cell>
          <cell r="B1655">
            <v>0</v>
          </cell>
          <cell r="E1655">
            <v>0</v>
          </cell>
          <cell r="F1655">
            <v>0</v>
          </cell>
          <cell r="AO1655">
            <v>0</v>
          </cell>
          <cell r="AP1655">
            <v>0</v>
          </cell>
          <cell r="AQ1655">
            <v>0</v>
          </cell>
          <cell r="BA1655">
            <v>0</v>
          </cell>
          <cell r="BC1655">
            <v>0</v>
          </cell>
        </row>
        <row r="1656">
          <cell r="A1656">
            <v>0</v>
          </cell>
          <cell r="B1656">
            <v>0</v>
          </cell>
          <cell r="E1656">
            <v>0</v>
          </cell>
          <cell r="F1656">
            <v>0</v>
          </cell>
          <cell r="AO1656">
            <v>0</v>
          </cell>
          <cell r="AP1656">
            <v>0</v>
          </cell>
          <cell r="AQ1656">
            <v>0</v>
          </cell>
          <cell r="BA1656">
            <v>0</v>
          </cell>
          <cell r="BC1656">
            <v>0</v>
          </cell>
        </row>
        <row r="1657">
          <cell r="A1657">
            <v>0</v>
          </cell>
          <cell r="B1657">
            <v>0</v>
          </cell>
          <cell r="E1657">
            <v>0</v>
          </cell>
          <cell r="F1657">
            <v>0</v>
          </cell>
          <cell r="AO1657">
            <v>0</v>
          </cell>
          <cell r="AP1657">
            <v>0</v>
          </cell>
          <cell r="AQ1657">
            <v>0</v>
          </cell>
          <cell r="BA1657">
            <v>0</v>
          </cell>
          <cell r="BC1657">
            <v>0</v>
          </cell>
        </row>
        <row r="1658">
          <cell r="A1658">
            <v>0</v>
          </cell>
          <cell r="B1658">
            <v>0</v>
          </cell>
          <cell r="E1658">
            <v>0</v>
          </cell>
          <cell r="F1658">
            <v>0</v>
          </cell>
          <cell r="AO1658">
            <v>0</v>
          </cell>
          <cell r="AP1658">
            <v>0</v>
          </cell>
          <cell r="AQ1658">
            <v>0</v>
          </cell>
          <cell r="BA1658">
            <v>0</v>
          </cell>
          <cell r="BC1658">
            <v>0</v>
          </cell>
        </row>
        <row r="1659">
          <cell r="A1659">
            <v>0</v>
          </cell>
          <cell r="B1659">
            <v>0</v>
          </cell>
          <cell r="E1659">
            <v>0</v>
          </cell>
          <cell r="F1659">
            <v>0</v>
          </cell>
          <cell r="AO1659">
            <v>0</v>
          </cell>
          <cell r="AP1659">
            <v>0</v>
          </cell>
          <cell r="AQ1659">
            <v>0</v>
          </cell>
          <cell r="BA1659">
            <v>0</v>
          </cell>
          <cell r="BC1659">
            <v>0</v>
          </cell>
        </row>
        <row r="1660">
          <cell r="A1660">
            <v>0</v>
          </cell>
          <cell r="B1660">
            <v>0</v>
          </cell>
          <cell r="E1660">
            <v>0</v>
          </cell>
          <cell r="F1660">
            <v>0</v>
          </cell>
          <cell r="AO1660">
            <v>0</v>
          </cell>
          <cell r="AP1660">
            <v>0</v>
          </cell>
          <cell r="AQ1660">
            <v>0</v>
          </cell>
          <cell r="BA1660">
            <v>0</v>
          </cell>
          <cell r="BC1660">
            <v>0</v>
          </cell>
        </row>
        <row r="1661">
          <cell r="A1661">
            <v>0</v>
          </cell>
          <cell r="B1661">
            <v>0</v>
          </cell>
          <cell r="E1661">
            <v>0</v>
          </cell>
          <cell r="F1661">
            <v>0</v>
          </cell>
          <cell r="AO1661">
            <v>0</v>
          </cell>
          <cell r="AP1661">
            <v>0</v>
          </cell>
          <cell r="AQ1661">
            <v>0</v>
          </cell>
          <cell r="BA1661">
            <v>0</v>
          </cell>
          <cell r="BC1661">
            <v>0</v>
          </cell>
        </row>
        <row r="1662">
          <cell r="A1662">
            <v>0</v>
          </cell>
          <cell r="B1662">
            <v>0</v>
          </cell>
          <cell r="E1662">
            <v>0</v>
          </cell>
          <cell r="F1662">
            <v>0</v>
          </cell>
          <cell r="AO1662">
            <v>0</v>
          </cell>
          <cell r="AP1662">
            <v>0</v>
          </cell>
          <cell r="AQ1662">
            <v>0</v>
          </cell>
          <cell r="BA1662">
            <v>0</v>
          </cell>
          <cell r="BC1662">
            <v>0</v>
          </cell>
        </row>
        <row r="1663">
          <cell r="A1663">
            <v>0</v>
          </cell>
          <cell r="B1663">
            <v>0</v>
          </cell>
          <cell r="E1663">
            <v>0</v>
          </cell>
          <cell r="F1663">
            <v>0</v>
          </cell>
          <cell r="AO1663">
            <v>0</v>
          </cell>
          <cell r="AP1663">
            <v>0</v>
          </cell>
          <cell r="AQ1663">
            <v>0</v>
          </cell>
          <cell r="BA1663">
            <v>0</v>
          </cell>
          <cell r="BC1663">
            <v>0</v>
          </cell>
        </row>
        <row r="1664">
          <cell r="A1664">
            <v>0</v>
          </cell>
          <cell r="B1664">
            <v>0</v>
          </cell>
          <cell r="E1664">
            <v>0</v>
          </cell>
          <cell r="F1664">
            <v>0</v>
          </cell>
          <cell r="AO1664">
            <v>0</v>
          </cell>
          <cell r="AP1664">
            <v>0</v>
          </cell>
          <cell r="AQ1664">
            <v>0</v>
          </cell>
          <cell r="BA1664">
            <v>0</v>
          </cell>
          <cell r="BC1664">
            <v>0</v>
          </cell>
        </row>
        <row r="1665">
          <cell r="A1665">
            <v>0</v>
          </cell>
          <cell r="B1665">
            <v>0</v>
          </cell>
          <cell r="E1665">
            <v>0</v>
          </cell>
          <cell r="F1665">
            <v>0</v>
          </cell>
          <cell r="AO1665">
            <v>0</v>
          </cell>
          <cell r="AP1665">
            <v>0</v>
          </cell>
          <cell r="AQ1665">
            <v>0</v>
          </cell>
          <cell r="BA1665">
            <v>0</v>
          </cell>
          <cell r="BC1665">
            <v>0</v>
          </cell>
        </row>
        <row r="1666">
          <cell r="A1666">
            <v>0</v>
          </cell>
          <cell r="B1666">
            <v>0</v>
          </cell>
          <cell r="E1666">
            <v>0</v>
          </cell>
          <cell r="F1666">
            <v>0</v>
          </cell>
          <cell r="AO1666">
            <v>0</v>
          </cell>
          <cell r="AP1666">
            <v>0</v>
          </cell>
          <cell r="AQ1666">
            <v>0</v>
          </cell>
          <cell r="BA1666">
            <v>0</v>
          </cell>
          <cell r="BC1666">
            <v>0</v>
          </cell>
        </row>
        <row r="1667">
          <cell r="A1667">
            <v>0</v>
          </cell>
          <cell r="B1667">
            <v>0</v>
          </cell>
          <cell r="E1667">
            <v>0</v>
          </cell>
          <cell r="F1667">
            <v>0</v>
          </cell>
          <cell r="AO1667">
            <v>0</v>
          </cell>
          <cell r="AP1667">
            <v>0</v>
          </cell>
          <cell r="AQ1667">
            <v>0</v>
          </cell>
          <cell r="BA1667">
            <v>0</v>
          </cell>
          <cell r="BC1667">
            <v>0</v>
          </cell>
        </row>
        <row r="1668">
          <cell r="A1668">
            <v>0</v>
          </cell>
          <cell r="B1668">
            <v>0</v>
          </cell>
          <cell r="E1668">
            <v>0</v>
          </cell>
          <cell r="F1668">
            <v>0</v>
          </cell>
          <cell r="AO1668">
            <v>0</v>
          </cell>
          <cell r="AP1668">
            <v>0</v>
          </cell>
          <cell r="AQ1668">
            <v>0</v>
          </cell>
          <cell r="BA1668">
            <v>0</v>
          </cell>
          <cell r="BC1668">
            <v>0</v>
          </cell>
        </row>
        <row r="1669">
          <cell r="A1669">
            <v>0</v>
          </cell>
          <cell r="B1669">
            <v>0</v>
          </cell>
          <cell r="E1669">
            <v>0</v>
          </cell>
          <cell r="F1669">
            <v>0</v>
          </cell>
          <cell r="AO1669">
            <v>0</v>
          </cell>
          <cell r="AP1669">
            <v>0</v>
          </cell>
          <cell r="AQ1669">
            <v>0</v>
          </cell>
          <cell r="BA1669">
            <v>0</v>
          </cell>
          <cell r="BC1669">
            <v>0</v>
          </cell>
        </row>
        <row r="1670">
          <cell r="A1670">
            <v>0</v>
          </cell>
          <cell r="B1670">
            <v>0</v>
          </cell>
          <cell r="E1670">
            <v>0</v>
          </cell>
          <cell r="F1670">
            <v>0</v>
          </cell>
          <cell r="AO1670">
            <v>0</v>
          </cell>
          <cell r="AP1670">
            <v>0</v>
          </cell>
          <cell r="AQ1670">
            <v>0</v>
          </cell>
          <cell r="BA1670">
            <v>0</v>
          </cell>
          <cell r="BC1670">
            <v>0</v>
          </cell>
        </row>
        <row r="1671">
          <cell r="A1671">
            <v>0</v>
          </cell>
          <cell r="B1671">
            <v>0</v>
          </cell>
          <cell r="E1671">
            <v>0</v>
          </cell>
          <cell r="F1671">
            <v>0</v>
          </cell>
          <cell r="AO1671">
            <v>0</v>
          </cell>
          <cell r="AP1671">
            <v>0</v>
          </cell>
          <cell r="AQ1671">
            <v>0</v>
          </cell>
          <cell r="BA1671">
            <v>0</v>
          </cell>
          <cell r="BC1671">
            <v>0</v>
          </cell>
        </row>
        <row r="1672">
          <cell r="A1672">
            <v>0</v>
          </cell>
          <cell r="B1672">
            <v>0</v>
          </cell>
          <cell r="E1672">
            <v>0</v>
          </cell>
          <cell r="F1672">
            <v>0</v>
          </cell>
          <cell r="AO1672">
            <v>0</v>
          </cell>
          <cell r="AP1672">
            <v>0</v>
          </cell>
          <cell r="AQ1672">
            <v>0</v>
          </cell>
          <cell r="BA1672">
            <v>0</v>
          </cell>
          <cell r="BC1672">
            <v>0</v>
          </cell>
        </row>
        <row r="1673">
          <cell r="A1673">
            <v>0</v>
          </cell>
          <cell r="B1673">
            <v>0</v>
          </cell>
          <cell r="E1673">
            <v>0</v>
          </cell>
          <cell r="F1673">
            <v>0</v>
          </cell>
          <cell r="AO1673">
            <v>0</v>
          </cell>
          <cell r="AP1673">
            <v>0</v>
          </cell>
          <cell r="AQ1673">
            <v>0</v>
          </cell>
          <cell r="BA1673">
            <v>0</v>
          </cell>
          <cell r="BC1673">
            <v>0</v>
          </cell>
        </row>
        <row r="1674">
          <cell r="A1674">
            <v>0</v>
          </cell>
          <cell r="B1674">
            <v>0</v>
          </cell>
          <cell r="E1674">
            <v>0</v>
          </cell>
          <cell r="F1674">
            <v>0</v>
          </cell>
          <cell r="AO1674">
            <v>0</v>
          </cell>
          <cell r="AP1674">
            <v>0</v>
          </cell>
          <cell r="AQ1674">
            <v>0</v>
          </cell>
          <cell r="BA1674">
            <v>0</v>
          </cell>
          <cell r="BC1674">
            <v>0</v>
          </cell>
        </row>
        <row r="1675">
          <cell r="A1675">
            <v>0</v>
          </cell>
          <cell r="B1675">
            <v>0</v>
          </cell>
          <cell r="E1675">
            <v>0</v>
          </cell>
          <cell r="F1675">
            <v>0</v>
          </cell>
          <cell r="AO1675">
            <v>0</v>
          </cell>
          <cell r="AP1675">
            <v>0</v>
          </cell>
          <cell r="AQ1675">
            <v>0</v>
          </cell>
          <cell r="BA1675">
            <v>0</v>
          </cell>
          <cell r="BC1675">
            <v>0</v>
          </cell>
        </row>
        <row r="1676">
          <cell r="A1676">
            <v>0</v>
          </cell>
          <cell r="B1676">
            <v>0</v>
          </cell>
          <cell r="E1676">
            <v>0</v>
          </cell>
          <cell r="F1676">
            <v>0</v>
          </cell>
          <cell r="AO1676">
            <v>0</v>
          </cell>
          <cell r="AP1676">
            <v>0</v>
          </cell>
          <cell r="AQ1676">
            <v>0</v>
          </cell>
          <cell r="BA1676">
            <v>0</v>
          </cell>
          <cell r="BC1676">
            <v>0</v>
          </cell>
        </row>
        <row r="1677">
          <cell r="A1677">
            <v>0</v>
          </cell>
          <cell r="B1677">
            <v>0</v>
          </cell>
          <cell r="E1677">
            <v>0</v>
          </cell>
          <cell r="F1677">
            <v>0</v>
          </cell>
          <cell r="AO1677">
            <v>0</v>
          </cell>
          <cell r="AP1677">
            <v>0</v>
          </cell>
          <cell r="AQ1677">
            <v>0</v>
          </cell>
          <cell r="BA1677">
            <v>0</v>
          </cell>
          <cell r="BC1677">
            <v>0</v>
          </cell>
        </row>
        <row r="1678">
          <cell r="A1678">
            <v>0</v>
          </cell>
          <cell r="B1678">
            <v>0</v>
          </cell>
          <cell r="E1678">
            <v>0</v>
          </cell>
          <cell r="F1678">
            <v>0</v>
          </cell>
          <cell r="AO1678">
            <v>0</v>
          </cell>
          <cell r="AP1678">
            <v>0</v>
          </cell>
          <cell r="AQ1678">
            <v>0</v>
          </cell>
          <cell r="BA1678">
            <v>0</v>
          </cell>
          <cell r="BC1678">
            <v>0</v>
          </cell>
        </row>
        <row r="1679">
          <cell r="A1679">
            <v>0</v>
          </cell>
          <cell r="B1679">
            <v>0</v>
          </cell>
          <cell r="E1679">
            <v>0</v>
          </cell>
          <cell r="F1679">
            <v>0</v>
          </cell>
          <cell r="AO1679">
            <v>0</v>
          </cell>
          <cell r="AP1679">
            <v>0</v>
          </cell>
          <cell r="AQ1679">
            <v>0</v>
          </cell>
          <cell r="BA1679">
            <v>0</v>
          </cell>
          <cell r="BC1679">
            <v>0</v>
          </cell>
        </row>
        <row r="1680">
          <cell r="A1680">
            <v>0</v>
          </cell>
          <cell r="B1680">
            <v>0</v>
          </cell>
          <cell r="E1680">
            <v>0</v>
          </cell>
          <cell r="F1680">
            <v>0</v>
          </cell>
          <cell r="AO1680">
            <v>0</v>
          </cell>
          <cell r="AP1680">
            <v>0</v>
          </cell>
          <cell r="AQ1680">
            <v>0</v>
          </cell>
          <cell r="BA1680">
            <v>0</v>
          </cell>
          <cell r="BC1680">
            <v>0</v>
          </cell>
        </row>
        <row r="1681">
          <cell r="A1681">
            <v>0</v>
          </cell>
          <cell r="B1681">
            <v>0</v>
          </cell>
          <cell r="E1681">
            <v>0</v>
          </cell>
          <cell r="F1681">
            <v>0</v>
          </cell>
          <cell r="AO1681">
            <v>0</v>
          </cell>
          <cell r="AP1681">
            <v>0</v>
          </cell>
          <cell r="AQ1681">
            <v>0</v>
          </cell>
          <cell r="BA1681">
            <v>0</v>
          </cell>
          <cell r="BC1681">
            <v>0</v>
          </cell>
        </row>
        <row r="1682">
          <cell r="A1682">
            <v>0</v>
          </cell>
          <cell r="B1682">
            <v>0</v>
          </cell>
          <cell r="E1682">
            <v>0</v>
          </cell>
          <cell r="F1682">
            <v>0</v>
          </cell>
          <cell r="AO1682">
            <v>0</v>
          </cell>
          <cell r="AP1682">
            <v>0</v>
          </cell>
          <cell r="AQ1682">
            <v>0</v>
          </cell>
          <cell r="BA1682">
            <v>0</v>
          </cell>
          <cell r="BC1682">
            <v>0</v>
          </cell>
        </row>
        <row r="1683">
          <cell r="A1683">
            <v>0</v>
          </cell>
          <cell r="B1683">
            <v>0</v>
          </cell>
          <cell r="E1683">
            <v>0</v>
          </cell>
          <cell r="F1683">
            <v>0</v>
          </cell>
          <cell r="AO1683">
            <v>0</v>
          </cell>
          <cell r="AP1683">
            <v>0</v>
          </cell>
          <cell r="AQ1683">
            <v>0</v>
          </cell>
          <cell r="BA1683">
            <v>0</v>
          </cell>
          <cell r="BC1683">
            <v>0</v>
          </cell>
        </row>
        <row r="1684">
          <cell r="A1684">
            <v>0</v>
          </cell>
          <cell r="B1684">
            <v>0</v>
          </cell>
          <cell r="E1684">
            <v>0</v>
          </cell>
          <cell r="F1684">
            <v>0</v>
          </cell>
          <cell r="AO1684">
            <v>0</v>
          </cell>
          <cell r="AP1684">
            <v>0</v>
          </cell>
          <cell r="AQ1684">
            <v>0</v>
          </cell>
          <cell r="BA1684">
            <v>0</v>
          </cell>
          <cell r="BC1684">
            <v>0</v>
          </cell>
        </row>
        <row r="1685">
          <cell r="A1685">
            <v>0</v>
          </cell>
          <cell r="B1685">
            <v>0</v>
          </cell>
          <cell r="E1685">
            <v>0</v>
          </cell>
          <cell r="F1685">
            <v>0</v>
          </cell>
          <cell r="AO1685">
            <v>0</v>
          </cell>
          <cell r="AP1685">
            <v>0</v>
          </cell>
          <cell r="AQ1685">
            <v>0</v>
          </cell>
          <cell r="BA1685">
            <v>0</v>
          </cell>
          <cell r="BC1685">
            <v>0</v>
          </cell>
        </row>
        <row r="1686">
          <cell r="A1686">
            <v>0</v>
          </cell>
          <cell r="B1686">
            <v>0</v>
          </cell>
          <cell r="E1686">
            <v>0</v>
          </cell>
          <cell r="F1686">
            <v>0</v>
          </cell>
          <cell r="AO1686">
            <v>0</v>
          </cell>
          <cell r="AP1686">
            <v>0</v>
          </cell>
          <cell r="AQ1686">
            <v>0</v>
          </cell>
          <cell r="BA1686">
            <v>0</v>
          </cell>
          <cell r="BC1686">
            <v>0</v>
          </cell>
        </row>
        <row r="1687">
          <cell r="A1687">
            <v>0</v>
          </cell>
          <cell r="B1687">
            <v>0</v>
          </cell>
          <cell r="E1687">
            <v>0</v>
          </cell>
          <cell r="F1687">
            <v>0</v>
          </cell>
          <cell r="AO1687">
            <v>0</v>
          </cell>
          <cell r="AP1687">
            <v>0</v>
          </cell>
          <cell r="AQ1687">
            <v>0</v>
          </cell>
          <cell r="BA1687">
            <v>0</v>
          </cell>
          <cell r="BC1687">
            <v>0</v>
          </cell>
        </row>
        <row r="1688">
          <cell r="A1688">
            <v>0</v>
          </cell>
          <cell r="B1688">
            <v>0</v>
          </cell>
          <cell r="E1688">
            <v>0</v>
          </cell>
          <cell r="F1688">
            <v>0</v>
          </cell>
          <cell r="AO1688">
            <v>0</v>
          </cell>
          <cell r="AP1688">
            <v>0</v>
          </cell>
          <cell r="AQ1688">
            <v>0</v>
          </cell>
          <cell r="BA1688">
            <v>0</v>
          </cell>
          <cell r="BC1688">
            <v>0</v>
          </cell>
        </row>
        <row r="1689">
          <cell r="A1689">
            <v>0</v>
          </cell>
          <cell r="B1689">
            <v>0</v>
          </cell>
          <cell r="E1689">
            <v>0</v>
          </cell>
          <cell r="F1689">
            <v>0</v>
          </cell>
          <cell r="AO1689">
            <v>0</v>
          </cell>
          <cell r="AP1689">
            <v>0</v>
          </cell>
          <cell r="AQ1689">
            <v>0</v>
          </cell>
          <cell r="BA1689">
            <v>0</v>
          </cell>
          <cell r="BC1689">
            <v>0</v>
          </cell>
        </row>
        <row r="1690">
          <cell r="A1690">
            <v>0</v>
          </cell>
          <cell r="B1690">
            <v>0</v>
          </cell>
          <cell r="E1690">
            <v>0</v>
          </cell>
          <cell r="F1690">
            <v>0</v>
          </cell>
          <cell r="AO1690">
            <v>0</v>
          </cell>
          <cell r="AP1690">
            <v>0</v>
          </cell>
          <cell r="AQ1690">
            <v>0</v>
          </cell>
          <cell r="BA1690">
            <v>0</v>
          </cell>
          <cell r="BC1690">
            <v>0</v>
          </cell>
        </row>
        <row r="1691">
          <cell r="A1691">
            <v>0</v>
          </cell>
          <cell r="B1691">
            <v>0</v>
          </cell>
          <cell r="E1691">
            <v>0</v>
          </cell>
          <cell r="F1691">
            <v>0</v>
          </cell>
          <cell r="AO1691">
            <v>0</v>
          </cell>
          <cell r="AP1691">
            <v>0</v>
          </cell>
          <cell r="AQ1691">
            <v>0</v>
          </cell>
          <cell r="BA1691">
            <v>0</v>
          </cell>
          <cell r="BC1691">
            <v>0</v>
          </cell>
        </row>
        <row r="1692">
          <cell r="A1692">
            <v>0</v>
          </cell>
          <cell r="B1692">
            <v>0</v>
          </cell>
          <cell r="E1692">
            <v>0</v>
          </cell>
          <cell r="F1692">
            <v>0</v>
          </cell>
          <cell r="AO1692">
            <v>0</v>
          </cell>
          <cell r="AP1692">
            <v>0</v>
          </cell>
          <cell r="AQ1692">
            <v>0</v>
          </cell>
          <cell r="BA1692">
            <v>0</v>
          </cell>
          <cell r="BC1692">
            <v>0</v>
          </cell>
        </row>
        <row r="1693">
          <cell r="A1693">
            <v>0</v>
          </cell>
          <cell r="B1693">
            <v>0</v>
          </cell>
          <cell r="E1693">
            <v>0</v>
          </cell>
          <cell r="F1693">
            <v>0</v>
          </cell>
          <cell r="AO1693">
            <v>0</v>
          </cell>
          <cell r="AP1693">
            <v>0</v>
          </cell>
          <cell r="AQ1693">
            <v>0</v>
          </cell>
          <cell r="BA1693">
            <v>0</v>
          </cell>
          <cell r="BC1693">
            <v>0</v>
          </cell>
        </row>
        <row r="1694">
          <cell r="A1694">
            <v>0</v>
          </cell>
          <cell r="B1694">
            <v>0</v>
          </cell>
          <cell r="E1694">
            <v>0</v>
          </cell>
          <cell r="F1694">
            <v>0</v>
          </cell>
          <cell r="AO1694">
            <v>0</v>
          </cell>
          <cell r="AP1694">
            <v>0</v>
          </cell>
          <cell r="AQ1694">
            <v>0</v>
          </cell>
          <cell r="BA1694">
            <v>0</v>
          </cell>
          <cell r="BC1694">
            <v>0</v>
          </cell>
        </row>
        <row r="1695">
          <cell r="A1695">
            <v>0</v>
          </cell>
          <cell r="B1695">
            <v>0</v>
          </cell>
          <cell r="E1695">
            <v>0</v>
          </cell>
          <cell r="F1695">
            <v>0</v>
          </cell>
          <cell r="AO1695">
            <v>0</v>
          </cell>
          <cell r="AP1695">
            <v>0</v>
          </cell>
          <cell r="AQ1695">
            <v>0</v>
          </cell>
          <cell r="BA1695">
            <v>0</v>
          </cell>
          <cell r="BC1695">
            <v>0</v>
          </cell>
        </row>
        <row r="1696">
          <cell r="A1696">
            <v>0</v>
          </cell>
          <cell r="B1696">
            <v>0</v>
          </cell>
          <cell r="E1696">
            <v>0</v>
          </cell>
          <cell r="F1696">
            <v>0</v>
          </cell>
          <cell r="AO1696">
            <v>0</v>
          </cell>
          <cell r="AP1696">
            <v>0</v>
          </cell>
          <cell r="AQ1696">
            <v>0</v>
          </cell>
          <cell r="BA1696">
            <v>0</v>
          </cell>
          <cell r="BC1696">
            <v>0</v>
          </cell>
        </row>
        <row r="1697">
          <cell r="A1697">
            <v>0</v>
          </cell>
          <cell r="B1697">
            <v>0</v>
          </cell>
          <cell r="E1697">
            <v>0</v>
          </cell>
          <cell r="F1697">
            <v>0</v>
          </cell>
          <cell r="AO1697">
            <v>0</v>
          </cell>
          <cell r="AP1697">
            <v>0</v>
          </cell>
          <cell r="AQ1697">
            <v>0</v>
          </cell>
          <cell r="BA1697">
            <v>0</v>
          </cell>
          <cell r="BC1697">
            <v>0</v>
          </cell>
        </row>
        <row r="1698">
          <cell r="A1698">
            <v>0</v>
          </cell>
          <cell r="B1698">
            <v>0</v>
          </cell>
          <cell r="E1698">
            <v>0</v>
          </cell>
          <cell r="F1698">
            <v>0</v>
          </cell>
          <cell r="AO1698">
            <v>0</v>
          </cell>
          <cell r="AP1698">
            <v>0</v>
          </cell>
          <cell r="AQ1698">
            <v>0</v>
          </cell>
          <cell r="BA1698">
            <v>0</v>
          </cell>
          <cell r="BC1698">
            <v>0</v>
          </cell>
        </row>
        <row r="1699">
          <cell r="A1699">
            <v>0</v>
          </cell>
          <cell r="B1699">
            <v>0</v>
          </cell>
          <cell r="E1699">
            <v>0</v>
          </cell>
          <cell r="F1699">
            <v>0</v>
          </cell>
          <cell r="AO1699">
            <v>0</v>
          </cell>
          <cell r="AP1699">
            <v>0</v>
          </cell>
          <cell r="AQ1699">
            <v>0</v>
          </cell>
          <cell r="BA1699">
            <v>0</v>
          </cell>
          <cell r="BC1699">
            <v>0</v>
          </cell>
        </row>
        <row r="1700">
          <cell r="A1700">
            <v>0</v>
          </cell>
          <cell r="B1700">
            <v>0</v>
          </cell>
          <cell r="E1700">
            <v>0</v>
          </cell>
          <cell r="F1700">
            <v>0</v>
          </cell>
          <cell r="AO1700">
            <v>0</v>
          </cell>
          <cell r="AP1700">
            <v>0</v>
          </cell>
          <cell r="AQ1700">
            <v>0</v>
          </cell>
          <cell r="BA1700">
            <v>0</v>
          </cell>
          <cell r="BC1700">
            <v>0</v>
          </cell>
        </row>
        <row r="1701">
          <cell r="A1701">
            <v>0</v>
          </cell>
          <cell r="B1701">
            <v>0</v>
          </cell>
          <cell r="E1701">
            <v>0</v>
          </cell>
          <cell r="F1701">
            <v>0</v>
          </cell>
          <cell r="AO1701">
            <v>0</v>
          </cell>
          <cell r="AP1701">
            <v>0</v>
          </cell>
          <cell r="AQ1701">
            <v>0</v>
          </cell>
          <cell r="BA1701">
            <v>0</v>
          </cell>
          <cell r="BC1701">
            <v>0</v>
          </cell>
        </row>
        <row r="1702">
          <cell r="A1702">
            <v>0</v>
          </cell>
          <cell r="B1702">
            <v>0</v>
          </cell>
          <cell r="E1702">
            <v>0</v>
          </cell>
          <cell r="F1702">
            <v>0</v>
          </cell>
          <cell r="AO1702">
            <v>0</v>
          </cell>
          <cell r="AP1702">
            <v>0</v>
          </cell>
          <cell r="AQ1702">
            <v>0</v>
          </cell>
          <cell r="BA1702">
            <v>0</v>
          </cell>
          <cell r="BC1702">
            <v>0</v>
          </cell>
        </row>
        <row r="1703">
          <cell r="A1703">
            <v>0</v>
          </cell>
          <cell r="B1703">
            <v>0</v>
          </cell>
          <cell r="E1703">
            <v>0</v>
          </cell>
          <cell r="F1703">
            <v>0</v>
          </cell>
          <cell r="AO1703">
            <v>0</v>
          </cell>
          <cell r="AP1703">
            <v>0</v>
          </cell>
          <cell r="AQ1703">
            <v>0</v>
          </cell>
          <cell r="BA1703">
            <v>0</v>
          </cell>
          <cell r="BC1703">
            <v>0</v>
          </cell>
        </row>
        <row r="1704">
          <cell r="A1704">
            <v>0</v>
          </cell>
          <cell r="B1704">
            <v>0</v>
          </cell>
          <cell r="E1704">
            <v>0</v>
          </cell>
          <cell r="F1704">
            <v>0</v>
          </cell>
          <cell r="AO1704">
            <v>0</v>
          </cell>
          <cell r="AP1704">
            <v>0</v>
          </cell>
          <cell r="AQ1704">
            <v>0</v>
          </cell>
          <cell r="BA1704">
            <v>0</v>
          </cell>
          <cell r="BC1704">
            <v>0</v>
          </cell>
        </row>
        <row r="1705">
          <cell r="A1705">
            <v>0</v>
          </cell>
          <cell r="B1705">
            <v>0</v>
          </cell>
          <cell r="E1705">
            <v>0</v>
          </cell>
          <cell r="F1705">
            <v>0</v>
          </cell>
          <cell r="AO1705">
            <v>0</v>
          </cell>
          <cell r="AP1705">
            <v>0</v>
          </cell>
          <cell r="AQ1705">
            <v>0</v>
          </cell>
          <cell r="BA1705">
            <v>0</v>
          </cell>
          <cell r="BC1705">
            <v>0</v>
          </cell>
        </row>
        <row r="1706">
          <cell r="A1706">
            <v>0</v>
          </cell>
          <cell r="B1706">
            <v>0</v>
          </cell>
          <cell r="E1706">
            <v>0</v>
          </cell>
          <cell r="F1706">
            <v>0</v>
          </cell>
          <cell r="AO1706">
            <v>0</v>
          </cell>
          <cell r="AP1706">
            <v>0</v>
          </cell>
          <cell r="AQ1706">
            <v>0</v>
          </cell>
          <cell r="BA1706">
            <v>0</v>
          </cell>
          <cell r="BC1706">
            <v>0</v>
          </cell>
        </row>
        <row r="1707">
          <cell r="A1707">
            <v>0</v>
          </cell>
          <cell r="B1707">
            <v>0</v>
          </cell>
          <cell r="E1707">
            <v>0</v>
          </cell>
          <cell r="F1707">
            <v>0</v>
          </cell>
          <cell r="AO1707">
            <v>0</v>
          </cell>
          <cell r="AP1707">
            <v>0</v>
          </cell>
          <cell r="AQ1707">
            <v>0</v>
          </cell>
          <cell r="BA1707">
            <v>0</v>
          </cell>
          <cell r="BC1707">
            <v>0</v>
          </cell>
        </row>
        <row r="1708">
          <cell r="A1708">
            <v>0</v>
          </cell>
          <cell r="B1708">
            <v>0</v>
          </cell>
          <cell r="E1708">
            <v>0</v>
          </cell>
          <cell r="F1708">
            <v>0</v>
          </cell>
          <cell r="AO1708">
            <v>0</v>
          </cell>
          <cell r="AP1708">
            <v>0</v>
          </cell>
          <cell r="AQ1708">
            <v>0</v>
          </cell>
          <cell r="BA1708">
            <v>0</v>
          </cell>
          <cell r="BC1708">
            <v>0</v>
          </cell>
        </row>
        <row r="1709">
          <cell r="A1709">
            <v>0</v>
          </cell>
          <cell r="B1709">
            <v>0</v>
          </cell>
          <cell r="E1709">
            <v>0</v>
          </cell>
          <cell r="F1709">
            <v>0</v>
          </cell>
          <cell r="AO1709">
            <v>0</v>
          </cell>
          <cell r="AP1709">
            <v>0</v>
          </cell>
          <cell r="AQ1709">
            <v>0</v>
          </cell>
          <cell r="BA1709">
            <v>0</v>
          </cell>
          <cell r="BC1709">
            <v>0</v>
          </cell>
        </row>
        <row r="1710">
          <cell r="A1710">
            <v>0</v>
          </cell>
          <cell r="B1710">
            <v>0</v>
          </cell>
          <cell r="E1710">
            <v>0</v>
          </cell>
          <cell r="F1710">
            <v>0</v>
          </cell>
          <cell r="AO1710">
            <v>0</v>
          </cell>
          <cell r="AP1710">
            <v>0</v>
          </cell>
          <cell r="AQ1710">
            <v>0</v>
          </cell>
          <cell r="BA1710">
            <v>0</v>
          </cell>
          <cell r="BC1710">
            <v>0</v>
          </cell>
        </row>
        <row r="1711">
          <cell r="A1711">
            <v>0</v>
          </cell>
          <cell r="B1711">
            <v>0</v>
          </cell>
          <cell r="E1711">
            <v>0</v>
          </cell>
          <cell r="F1711">
            <v>0</v>
          </cell>
          <cell r="AO1711">
            <v>0</v>
          </cell>
          <cell r="AP1711">
            <v>0</v>
          </cell>
          <cell r="AQ1711">
            <v>0</v>
          </cell>
          <cell r="BA1711">
            <v>0</v>
          </cell>
          <cell r="BC1711">
            <v>0</v>
          </cell>
        </row>
        <row r="1712">
          <cell r="A1712">
            <v>0</v>
          </cell>
          <cell r="B1712">
            <v>0</v>
          </cell>
          <cell r="E1712">
            <v>0</v>
          </cell>
          <cell r="F1712">
            <v>0</v>
          </cell>
          <cell r="AO1712">
            <v>0</v>
          </cell>
          <cell r="AP1712">
            <v>0</v>
          </cell>
          <cell r="AQ1712">
            <v>0</v>
          </cell>
          <cell r="BA1712">
            <v>0</v>
          </cell>
          <cell r="BC1712">
            <v>0</v>
          </cell>
        </row>
        <row r="1713">
          <cell r="A1713">
            <v>0</v>
          </cell>
          <cell r="B1713">
            <v>0</v>
          </cell>
          <cell r="E1713">
            <v>0</v>
          </cell>
          <cell r="F1713">
            <v>0</v>
          </cell>
          <cell r="AO1713">
            <v>0</v>
          </cell>
          <cell r="AP1713">
            <v>0</v>
          </cell>
          <cell r="AQ1713">
            <v>0</v>
          </cell>
          <cell r="BA1713">
            <v>0</v>
          </cell>
          <cell r="BC1713">
            <v>0</v>
          </cell>
        </row>
        <row r="1714">
          <cell r="A1714">
            <v>0</v>
          </cell>
          <cell r="B1714">
            <v>0</v>
          </cell>
          <cell r="E1714">
            <v>0</v>
          </cell>
          <cell r="F1714">
            <v>0</v>
          </cell>
          <cell r="AO1714">
            <v>0</v>
          </cell>
          <cell r="AP1714">
            <v>0</v>
          </cell>
          <cell r="AQ1714">
            <v>0</v>
          </cell>
          <cell r="BA1714">
            <v>0</v>
          </cell>
          <cell r="BC1714">
            <v>0</v>
          </cell>
        </row>
        <row r="1715">
          <cell r="A1715">
            <v>0</v>
          </cell>
          <cell r="B1715">
            <v>0</v>
          </cell>
          <cell r="E1715">
            <v>0</v>
          </cell>
          <cell r="F1715">
            <v>0</v>
          </cell>
          <cell r="AO1715">
            <v>0</v>
          </cell>
          <cell r="AP1715">
            <v>0</v>
          </cell>
          <cell r="AQ1715">
            <v>0</v>
          </cell>
          <cell r="BA1715">
            <v>0</v>
          </cell>
          <cell r="BC1715">
            <v>0</v>
          </cell>
        </row>
        <row r="1716">
          <cell r="A1716">
            <v>0</v>
          </cell>
          <cell r="B1716">
            <v>0</v>
          </cell>
          <cell r="E1716">
            <v>0</v>
          </cell>
          <cell r="F1716">
            <v>0</v>
          </cell>
          <cell r="AO1716">
            <v>0</v>
          </cell>
          <cell r="AP1716">
            <v>0</v>
          </cell>
          <cell r="AQ1716">
            <v>0</v>
          </cell>
          <cell r="BA1716">
            <v>0</v>
          </cell>
          <cell r="BC1716">
            <v>0</v>
          </cell>
        </row>
        <row r="1717">
          <cell r="A1717">
            <v>0</v>
          </cell>
          <cell r="B1717">
            <v>0</v>
          </cell>
          <cell r="E1717">
            <v>0</v>
          </cell>
          <cell r="F1717">
            <v>0</v>
          </cell>
          <cell r="AO1717">
            <v>0</v>
          </cell>
          <cell r="AP1717">
            <v>0</v>
          </cell>
          <cell r="AQ1717">
            <v>0</v>
          </cell>
          <cell r="BA1717">
            <v>0</v>
          </cell>
          <cell r="BC1717">
            <v>0</v>
          </cell>
        </row>
        <row r="1718">
          <cell r="A1718">
            <v>0</v>
          </cell>
          <cell r="B1718">
            <v>0</v>
          </cell>
          <cell r="E1718">
            <v>0</v>
          </cell>
          <cell r="F1718">
            <v>0</v>
          </cell>
          <cell r="AO1718">
            <v>0</v>
          </cell>
          <cell r="AP1718">
            <v>0</v>
          </cell>
          <cell r="AQ1718">
            <v>0</v>
          </cell>
          <cell r="BA1718">
            <v>0</v>
          </cell>
          <cell r="BC1718">
            <v>0</v>
          </cell>
        </row>
        <row r="1719">
          <cell r="A1719">
            <v>0</v>
          </cell>
          <cell r="B1719">
            <v>0</v>
          </cell>
          <cell r="E1719">
            <v>0</v>
          </cell>
          <cell r="F1719">
            <v>0</v>
          </cell>
          <cell r="AO1719">
            <v>0</v>
          </cell>
          <cell r="AP1719">
            <v>0</v>
          </cell>
          <cell r="AQ1719">
            <v>0</v>
          </cell>
          <cell r="BA1719">
            <v>0</v>
          </cell>
          <cell r="BC1719">
            <v>0</v>
          </cell>
        </row>
        <row r="1720">
          <cell r="A1720">
            <v>0</v>
          </cell>
          <cell r="B1720">
            <v>0</v>
          </cell>
          <cell r="E1720">
            <v>0</v>
          </cell>
          <cell r="F1720">
            <v>0</v>
          </cell>
          <cell r="AO1720">
            <v>0</v>
          </cell>
          <cell r="AP1720">
            <v>0</v>
          </cell>
          <cell r="AQ1720">
            <v>0</v>
          </cell>
          <cell r="BA1720">
            <v>0</v>
          </cell>
          <cell r="BC1720">
            <v>0</v>
          </cell>
        </row>
        <row r="1721">
          <cell r="A1721">
            <v>0</v>
          </cell>
          <cell r="B1721">
            <v>0</v>
          </cell>
          <cell r="E1721">
            <v>0</v>
          </cell>
          <cell r="F1721">
            <v>0</v>
          </cell>
          <cell r="AO1721">
            <v>0</v>
          </cell>
          <cell r="AP1721">
            <v>0</v>
          </cell>
          <cell r="AQ1721">
            <v>0</v>
          </cell>
          <cell r="BA1721">
            <v>0</v>
          </cell>
          <cell r="BC1721">
            <v>0</v>
          </cell>
        </row>
        <row r="1722">
          <cell r="A1722">
            <v>0</v>
          </cell>
          <cell r="B1722">
            <v>0</v>
          </cell>
          <cell r="E1722">
            <v>0</v>
          </cell>
          <cell r="F1722">
            <v>0</v>
          </cell>
          <cell r="AO1722">
            <v>0</v>
          </cell>
          <cell r="AP1722">
            <v>0</v>
          </cell>
          <cell r="AQ1722">
            <v>0</v>
          </cell>
          <cell r="BA1722">
            <v>0</v>
          </cell>
          <cell r="BC1722">
            <v>0</v>
          </cell>
        </row>
        <row r="1723">
          <cell r="A1723">
            <v>0</v>
          </cell>
          <cell r="B1723">
            <v>0</v>
          </cell>
          <cell r="E1723">
            <v>0</v>
          </cell>
          <cell r="F1723">
            <v>0</v>
          </cell>
          <cell r="AO1723">
            <v>0</v>
          </cell>
          <cell r="AP1723">
            <v>0</v>
          </cell>
          <cell r="AQ1723">
            <v>0</v>
          </cell>
          <cell r="BA1723">
            <v>0</v>
          </cell>
          <cell r="BC1723">
            <v>0</v>
          </cell>
        </row>
        <row r="1724">
          <cell r="A1724">
            <v>0</v>
          </cell>
          <cell r="B1724">
            <v>0</v>
          </cell>
          <cell r="E1724">
            <v>0</v>
          </cell>
          <cell r="F1724">
            <v>0</v>
          </cell>
          <cell r="AO1724">
            <v>0</v>
          </cell>
          <cell r="AP1724">
            <v>0</v>
          </cell>
          <cell r="AQ1724">
            <v>0</v>
          </cell>
          <cell r="BA1724">
            <v>0</v>
          </cell>
          <cell r="BC1724">
            <v>0</v>
          </cell>
        </row>
        <row r="1725">
          <cell r="A1725">
            <v>0</v>
          </cell>
          <cell r="B1725">
            <v>0</v>
          </cell>
          <cell r="E1725">
            <v>0</v>
          </cell>
          <cell r="F1725">
            <v>0</v>
          </cell>
          <cell r="AO1725">
            <v>0</v>
          </cell>
          <cell r="AP1725">
            <v>0</v>
          </cell>
          <cell r="AQ1725">
            <v>0</v>
          </cell>
          <cell r="BA1725">
            <v>0</v>
          </cell>
          <cell r="BC1725">
            <v>0</v>
          </cell>
        </row>
        <row r="1726">
          <cell r="A1726">
            <v>0</v>
          </cell>
          <cell r="B1726">
            <v>0</v>
          </cell>
          <cell r="E1726">
            <v>0</v>
          </cell>
          <cell r="F1726">
            <v>0</v>
          </cell>
          <cell r="AO1726">
            <v>0</v>
          </cell>
          <cell r="AP1726">
            <v>0</v>
          </cell>
          <cell r="AQ1726">
            <v>0</v>
          </cell>
          <cell r="BA1726">
            <v>0</v>
          </cell>
          <cell r="BC1726">
            <v>0</v>
          </cell>
        </row>
        <row r="1727">
          <cell r="A1727">
            <v>0</v>
          </cell>
          <cell r="B1727">
            <v>0</v>
          </cell>
          <cell r="E1727">
            <v>0</v>
          </cell>
          <cell r="F1727">
            <v>0</v>
          </cell>
          <cell r="AO1727">
            <v>0</v>
          </cell>
          <cell r="AP1727">
            <v>0</v>
          </cell>
          <cell r="AQ1727">
            <v>0</v>
          </cell>
          <cell r="BA1727">
            <v>0</v>
          </cell>
          <cell r="BC1727">
            <v>0</v>
          </cell>
        </row>
        <row r="1728">
          <cell r="A1728">
            <v>0</v>
          </cell>
          <cell r="B1728">
            <v>0</v>
          </cell>
          <cell r="E1728">
            <v>0</v>
          </cell>
          <cell r="F1728">
            <v>0</v>
          </cell>
          <cell r="AO1728">
            <v>0</v>
          </cell>
          <cell r="AP1728">
            <v>0</v>
          </cell>
          <cell r="AQ1728">
            <v>0</v>
          </cell>
          <cell r="BA1728">
            <v>0</v>
          </cell>
          <cell r="BC1728">
            <v>0</v>
          </cell>
        </row>
        <row r="1729">
          <cell r="A1729">
            <v>0</v>
          </cell>
          <cell r="B1729">
            <v>0</v>
          </cell>
          <cell r="E1729">
            <v>0</v>
          </cell>
          <cell r="F1729">
            <v>0</v>
          </cell>
          <cell r="AO1729">
            <v>0</v>
          </cell>
          <cell r="AP1729">
            <v>0</v>
          </cell>
          <cell r="AQ1729">
            <v>0</v>
          </cell>
          <cell r="BA1729">
            <v>0</v>
          </cell>
          <cell r="BC1729">
            <v>0</v>
          </cell>
        </row>
        <row r="1730">
          <cell r="A1730">
            <v>0</v>
          </cell>
          <cell r="B1730">
            <v>0</v>
          </cell>
          <cell r="E1730">
            <v>0</v>
          </cell>
          <cell r="F1730">
            <v>0</v>
          </cell>
          <cell r="AO1730">
            <v>0</v>
          </cell>
          <cell r="AP1730">
            <v>0</v>
          </cell>
          <cell r="AQ1730">
            <v>0</v>
          </cell>
          <cell r="BA1730">
            <v>0</v>
          </cell>
          <cell r="BC1730">
            <v>0</v>
          </cell>
        </row>
        <row r="1731">
          <cell r="A1731">
            <v>0</v>
          </cell>
          <cell r="B1731">
            <v>0</v>
          </cell>
          <cell r="E1731">
            <v>0</v>
          </cell>
          <cell r="F1731">
            <v>0</v>
          </cell>
          <cell r="AO1731">
            <v>0</v>
          </cell>
          <cell r="AP1731">
            <v>0</v>
          </cell>
          <cell r="AQ1731">
            <v>0</v>
          </cell>
          <cell r="BA1731">
            <v>0</v>
          </cell>
          <cell r="BC1731">
            <v>0</v>
          </cell>
        </row>
        <row r="1732">
          <cell r="A1732">
            <v>0</v>
          </cell>
          <cell r="B1732">
            <v>0</v>
          </cell>
          <cell r="E1732">
            <v>0</v>
          </cell>
          <cell r="F1732">
            <v>0</v>
          </cell>
          <cell r="AO1732">
            <v>0</v>
          </cell>
          <cell r="AP1732">
            <v>0</v>
          </cell>
          <cell r="AQ1732">
            <v>0</v>
          </cell>
          <cell r="BA1732">
            <v>0</v>
          </cell>
          <cell r="BC1732">
            <v>0</v>
          </cell>
        </row>
        <row r="1733">
          <cell r="A1733">
            <v>0</v>
          </cell>
          <cell r="B1733">
            <v>0</v>
          </cell>
          <cell r="E1733">
            <v>0</v>
          </cell>
          <cell r="F1733">
            <v>0</v>
          </cell>
          <cell r="AO1733">
            <v>0</v>
          </cell>
          <cell r="AP1733">
            <v>0</v>
          </cell>
          <cell r="AQ1733">
            <v>0</v>
          </cell>
          <cell r="BA1733">
            <v>0</v>
          </cell>
          <cell r="BC1733">
            <v>0</v>
          </cell>
        </row>
        <row r="1734">
          <cell r="A1734">
            <v>0</v>
          </cell>
          <cell r="B1734">
            <v>0</v>
          </cell>
          <cell r="E1734">
            <v>0</v>
          </cell>
          <cell r="F1734">
            <v>0</v>
          </cell>
          <cell r="AO1734">
            <v>0</v>
          </cell>
          <cell r="AP1734">
            <v>0</v>
          </cell>
          <cell r="AQ1734">
            <v>0</v>
          </cell>
          <cell r="BA1734">
            <v>0</v>
          </cell>
          <cell r="BC1734">
            <v>0</v>
          </cell>
        </row>
        <row r="1735">
          <cell r="A1735">
            <v>0</v>
          </cell>
          <cell r="B1735">
            <v>0</v>
          </cell>
          <cell r="E1735">
            <v>0</v>
          </cell>
          <cell r="F1735">
            <v>0</v>
          </cell>
          <cell r="AO1735">
            <v>0</v>
          </cell>
          <cell r="AP1735">
            <v>0</v>
          </cell>
          <cell r="AQ1735">
            <v>0</v>
          </cell>
          <cell r="BA1735">
            <v>0</v>
          </cell>
          <cell r="BC1735">
            <v>0</v>
          </cell>
        </row>
        <row r="1736">
          <cell r="A1736">
            <v>0</v>
          </cell>
          <cell r="B1736">
            <v>0</v>
          </cell>
          <cell r="E1736">
            <v>0</v>
          </cell>
          <cell r="F1736">
            <v>0</v>
          </cell>
          <cell r="AO1736">
            <v>0</v>
          </cell>
          <cell r="AP1736">
            <v>0</v>
          </cell>
          <cell r="AQ1736">
            <v>0</v>
          </cell>
          <cell r="BA1736">
            <v>0</v>
          </cell>
          <cell r="BC1736">
            <v>0</v>
          </cell>
        </row>
        <row r="1737">
          <cell r="A1737">
            <v>0</v>
          </cell>
          <cell r="B1737">
            <v>0</v>
          </cell>
          <cell r="E1737">
            <v>0</v>
          </cell>
          <cell r="F1737">
            <v>0</v>
          </cell>
          <cell r="AO1737">
            <v>0</v>
          </cell>
          <cell r="AP1737">
            <v>0</v>
          </cell>
          <cell r="AQ1737">
            <v>0</v>
          </cell>
          <cell r="BA1737">
            <v>0</v>
          </cell>
          <cell r="BC1737">
            <v>0</v>
          </cell>
        </row>
        <row r="1738">
          <cell r="A1738">
            <v>0</v>
          </cell>
          <cell r="B1738">
            <v>0</v>
          </cell>
          <cell r="E1738">
            <v>0</v>
          </cell>
          <cell r="F1738">
            <v>0</v>
          </cell>
          <cell r="AO1738">
            <v>0</v>
          </cell>
          <cell r="AP1738">
            <v>0</v>
          </cell>
          <cell r="AQ1738">
            <v>0</v>
          </cell>
          <cell r="BA1738">
            <v>0</v>
          </cell>
          <cell r="BC1738">
            <v>0</v>
          </cell>
        </row>
        <row r="1739">
          <cell r="A1739">
            <v>0</v>
          </cell>
          <cell r="B1739">
            <v>0</v>
          </cell>
          <cell r="E1739">
            <v>0</v>
          </cell>
          <cell r="F1739">
            <v>0</v>
          </cell>
          <cell r="AO1739">
            <v>0</v>
          </cell>
          <cell r="AP1739">
            <v>0</v>
          </cell>
          <cell r="AQ1739">
            <v>0</v>
          </cell>
          <cell r="BA1739">
            <v>0</v>
          </cell>
          <cell r="BC1739">
            <v>0</v>
          </cell>
        </row>
        <row r="1740">
          <cell r="A1740">
            <v>0</v>
          </cell>
          <cell r="B1740">
            <v>0</v>
          </cell>
          <cell r="E1740">
            <v>0</v>
          </cell>
          <cell r="F1740">
            <v>0</v>
          </cell>
          <cell r="AO1740">
            <v>0</v>
          </cell>
          <cell r="AP1740">
            <v>0</v>
          </cell>
          <cell r="AQ1740">
            <v>0</v>
          </cell>
          <cell r="BA1740">
            <v>0</v>
          </cell>
          <cell r="BC1740">
            <v>0</v>
          </cell>
        </row>
        <row r="1741">
          <cell r="A1741">
            <v>0</v>
          </cell>
          <cell r="B1741">
            <v>0</v>
          </cell>
          <cell r="E1741">
            <v>0</v>
          </cell>
          <cell r="F1741">
            <v>0</v>
          </cell>
          <cell r="AO1741">
            <v>0</v>
          </cell>
          <cell r="AP1741">
            <v>0</v>
          </cell>
          <cell r="AQ1741">
            <v>0</v>
          </cell>
          <cell r="BA1741">
            <v>0</v>
          </cell>
          <cell r="BC1741">
            <v>0</v>
          </cell>
        </row>
        <row r="1742">
          <cell r="A1742">
            <v>0</v>
          </cell>
          <cell r="B1742">
            <v>0</v>
          </cell>
          <cell r="E1742">
            <v>0</v>
          </cell>
          <cell r="F1742">
            <v>0</v>
          </cell>
          <cell r="AO1742">
            <v>0</v>
          </cell>
          <cell r="AP1742">
            <v>0</v>
          </cell>
          <cell r="AQ1742">
            <v>0</v>
          </cell>
          <cell r="BA1742">
            <v>0</v>
          </cell>
          <cell r="BC1742">
            <v>0</v>
          </cell>
        </row>
        <row r="1743">
          <cell r="A1743">
            <v>0</v>
          </cell>
          <cell r="B1743">
            <v>0</v>
          </cell>
          <cell r="E1743">
            <v>0</v>
          </cell>
          <cell r="F1743">
            <v>0</v>
          </cell>
          <cell r="AO1743">
            <v>0</v>
          </cell>
          <cell r="AP1743">
            <v>0</v>
          </cell>
          <cell r="AQ1743">
            <v>0</v>
          </cell>
          <cell r="BA1743">
            <v>0</v>
          </cell>
          <cell r="BC1743">
            <v>0</v>
          </cell>
        </row>
        <row r="1744">
          <cell r="A1744">
            <v>0</v>
          </cell>
          <cell r="B1744">
            <v>0</v>
          </cell>
          <cell r="E1744">
            <v>0</v>
          </cell>
          <cell r="F1744">
            <v>0</v>
          </cell>
          <cell r="AO1744">
            <v>0</v>
          </cell>
          <cell r="AP1744">
            <v>0</v>
          </cell>
          <cell r="AQ1744">
            <v>0</v>
          </cell>
          <cell r="BA1744">
            <v>0</v>
          </cell>
          <cell r="BC1744">
            <v>0</v>
          </cell>
        </row>
        <row r="1745">
          <cell r="A1745">
            <v>0</v>
          </cell>
          <cell r="B1745">
            <v>0</v>
          </cell>
          <cell r="E1745">
            <v>0</v>
          </cell>
          <cell r="F1745">
            <v>0</v>
          </cell>
          <cell r="AO1745">
            <v>0</v>
          </cell>
          <cell r="AP1745">
            <v>0</v>
          </cell>
          <cell r="AQ1745">
            <v>0</v>
          </cell>
          <cell r="BA1745">
            <v>0</v>
          </cell>
          <cell r="BC1745">
            <v>0</v>
          </cell>
        </row>
        <row r="1746">
          <cell r="A1746">
            <v>0</v>
          </cell>
          <cell r="B1746">
            <v>0</v>
          </cell>
          <cell r="E1746">
            <v>0</v>
          </cell>
          <cell r="F1746">
            <v>0</v>
          </cell>
          <cell r="AO1746">
            <v>0</v>
          </cell>
          <cell r="AP1746">
            <v>0</v>
          </cell>
          <cell r="AQ1746">
            <v>0</v>
          </cell>
          <cell r="BA1746">
            <v>0</v>
          </cell>
          <cell r="BC1746">
            <v>0</v>
          </cell>
        </row>
        <row r="1747">
          <cell r="A1747">
            <v>0</v>
          </cell>
          <cell r="B1747">
            <v>0</v>
          </cell>
          <cell r="E1747">
            <v>0</v>
          </cell>
          <cell r="F1747">
            <v>0</v>
          </cell>
          <cell r="AO1747">
            <v>0</v>
          </cell>
          <cell r="AP1747">
            <v>0</v>
          </cell>
          <cell r="AQ1747">
            <v>0</v>
          </cell>
          <cell r="BA1747">
            <v>0</v>
          </cell>
          <cell r="BC1747">
            <v>0</v>
          </cell>
        </row>
        <row r="1748">
          <cell r="A1748">
            <v>0</v>
          </cell>
          <cell r="B1748">
            <v>0</v>
          </cell>
          <cell r="E1748">
            <v>0</v>
          </cell>
          <cell r="F1748">
            <v>0</v>
          </cell>
          <cell r="AO1748">
            <v>0</v>
          </cell>
          <cell r="AP1748">
            <v>0</v>
          </cell>
          <cell r="AQ1748">
            <v>0</v>
          </cell>
          <cell r="BA1748">
            <v>0</v>
          </cell>
          <cell r="BC1748">
            <v>0</v>
          </cell>
        </row>
        <row r="1749">
          <cell r="A1749">
            <v>0</v>
          </cell>
          <cell r="B1749">
            <v>0</v>
          </cell>
          <cell r="E1749">
            <v>0</v>
          </cell>
          <cell r="F1749">
            <v>0</v>
          </cell>
          <cell r="AO1749">
            <v>0</v>
          </cell>
          <cell r="AP1749">
            <v>0</v>
          </cell>
          <cell r="AQ1749">
            <v>0</v>
          </cell>
          <cell r="BA1749">
            <v>0</v>
          </cell>
          <cell r="BC1749">
            <v>0</v>
          </cell>
        </row>
        <row r="1750">
          <cell r="A1750">
            <v>0</v>
          </cell>
          <cell r="B1750">
            <v>0</v>
          </cell>
          <cell r="E1750">
            <v>0</v>
          </cell>
          <cell r="F1750">
            <v>0</v>
          </cell>
          <cell r="AO1750">
            <v>0</v>
          </cell>
          <cell r="AP1750">
            <v>0</v>
          </cell>
          <cell r="AQ1750">
            <v>0</v>
          </cell>
          <cell r="BA1750">
            <v>0</v>
          </cell>
          <cell r="BC1750">
            <v>0</v>
          </cell>
        </row>
        <row r="1751">
          <cell r="A1751">
            <v>0</v>
          </cell>
          <cell r="B1751">
            <v>0</v>
          </cell>
          <cell r="E1751">
            <v>0</v>
          </cell>
          <cell r="F1751">
            <v>0</v>
          </cell>
          <cell r="AO1751">
            <v>0</v>
          </cell>
          <cell r="AP1751">
            <v>0</v>
          </cell>
          <cell r="AQ1751">
            <v>0</v>
          </cell>
          <cell r="BA1751">
            <v>0</v>
          </cell>
          <cell r="BC1751">
            <v>0</v>
          </cell>
        </row>
        <row r="1752">
          <cell r="A1752">
            <v>0</v>
          </cell>
          <cell r="B1752">
            <v>0</v>
          </cell>
          <cell r="E1752">
            <v>0</v>
          </cell>
          <cell r="F1752">
            <v>0</v>
          </cell>
          <cell r="AO1752">
            <v>0</v>
          </cell>
          <cell r="AP1752">
            <v>0</v>
          </cell>
          <cell r="AQ1752">
            <v>0</v>
          </cell>
          <cell r="BA1752">
            <v>0</v>
          </cell>
          <cell r="BC1752">
            <v>0</v>
          </cell>
        </row>
        <row r="1753">
          <cell r="A1753">
            <v>0</v>
          </cell>
          <cell r="B1753">
            <v>0</v>
          </cell>
          <cell r="E1753">
            <v>0</v>
          </cell>
          <cell r="F1753">
            <v>0</v>
          </cell>
          <cell r="AO1753">
            <v>0</v>
          </cell>
          <cell r="AP1753">
            <v>0</v>
          </cell>
          <cell r="AQ1753">
            <v>0</v>
          </cell>
          <cell r="BA1753">
            <v>0</v>
          </cell>
          <cell r="BC1753">
            <v>0</v>
          </cell>
        </row>
        <row r="1754">
          <cell r="A1754">
            <v>0</v>
          </cell>
          <cell r="B1754">
            <v>0</v>
          </cell>
          <cell r="E1754">
            <v>0</v>
          </cell>
          <cell r="F1754">
            <v>0</v>
          </cell>
          <cell r="AO1754">
            <v>0</v>
          </cell>
          <cell r="AP1754">
            <v>0</v>
          </cell>
          <cell r="AQ1754">
            <v>0</v>
          </cell>
          <cell r="BA1754">
            <v>0</v>
          </cell>
          <cell r="BC1754">
            <v>0</v>
          </cell>
        </row>
        <row r="1755">
          <cell r="A1755">
            <v>0</v>
          </cell>
          <cell r="B1755">
            <v>0</v>
          </cell>
          <cell r="E1755">
            <v>0</v>
          </cell>
          <cell r="F1755">
            <v>0</v>
          </cell>
          <cell r="AO1755">
            <v>0</v>
          </cell>
          <cell r="AP1755">
            <v>0</v>
          </cell>
          <cell r="AQ1755">
            <v>0</v>
          </cell>
          <cell r="BA1755">
            <v>0</v>
          </cell>
          <cell r="BC1755">
            <v>0</v>
          </cell>
        </row>
        <row r="1756">
          <cell r="A1756">
            <v>0</v>
          </cell>
          <cell r="B1756">
            <v>0</v>
          </cell>
          <cell r="E1756">
            <v>0</v>
          </cell>
          <cell r="F1756">
            <v>0</v>
          </cell>
          <cell r="AO1756">
            <v>0</v>
          </cell>
          <cell r="AP1756">
            <v>0</v>
          </cell>
          <cell r="AQ1756">
            <v>0</v>
          </cell>
          <cell r="BA1756">
            <v>0</v>
          </cell>
          <cell r="BC1756">
            <v>0</v>
          </cell>
        </row>
        <row r="1757">
          <cell r="A1757">
            <v>0</v>
          </cell>
          <cell r="B1757">
            <v>0</v>
          </cell>
          <cell r="E1757">
            <v>0</v>
          </cell>
          <cell r="F1757">
            <v>0</v>
          </cell>
          <cell r="AO1757">
            <v>0</v>
          </cell>
          <cell r="AP1757">
            <v>0</v>
          </cell>
          <cell r="AQ1757">
            <v>0</v>
          </cell>
          <cell r="BA1757">
            <v>0</v>
          </cell>
          <cell r="BC1757">
            <v>0</v>
          </cell>
        </row>
        <row r="1758">
          <cell r="A1758">
            <v>0</v>
          </cell>
          <cell r="B1758">
            <v>0</v>
          </cell>
          <cell r="E1758">
            <v>0</v>
          </cell>
          <cell r="F1758">
            <v>0</v>
          </cell>
          <cell r="AO1758">
            <v>0</v>
          </cell>
          <cell r="AP1758">
            <v>0</v>
          </cell>
          <cell r="AQ1758">
            <v>0</v>
          </cell>
          <cell r="BA1758">
            <v>0</v>
          </cell>
          <cell r="BC1758">
            <v>0</v>
          </cell>
        </row>
        <row r="1759">
          <cell r="A1759">
            <v>0</v>
          </cell>
          <cell r="B1759">
            <v>0</v>
          </cell>
          <cell r="E1759">
            <v>0</v>
          </cell>
          <cell r="F1759">
            <v>0</v>
          </cell>
          <cell r="AO1759">
            <v>0</v>
          </cell>
          <cell r="AP1759">
            <v>0</v>
          </cell>
          <cell r="AQ1759">
            <v>0</v>
          </cell>
          <cell r="BA1759">
            <v>0</v>
          </cell>
          <cell r="BC1759">
            <v>0</v>
          </cell>
        </row>
        <row r="1760">
          <cell r="A1760">
            <v>0</v>
          </cell>
          <cell r="B1760">
            <v>0</v>
          </cell>
          <cell r="E1760">
            <v>0</v>
          </cell>
          <cell r="F1760">
            <v>0</v>
          </cell>
          <cell r="AO1760">
            <v>0</v>
          </cell>
          <cell r="AP1760">
            <v>0</v>
          </cell>
          <cell r="AQ1760">
            <v>0</v>
          </cell>
          <cell r="BA1760">
            <v>0</v>
          </cell>
          <cell r="BC1760">
            <v>0</v>
          </cell>
        </row>
        <row r="1761">
          <cell r="A1761">
            <v>0</v>
          </cell>
          <cell r="B1761">
            <v>0</v>
          </cell>
          <cell r="E1761">
            <v>0</v>
          </cell>
          <cell r="F1761">
            <v>0</v>
          </cell>
          <cell r="AO1761">
            <v>0</v>
          </cell>
          <cell r="AP1761">
            <v>0</v>
          </cell>
          <cell r="AQ1761">
            <v>0</v>
          </cell>
          <cell r="BA1761">
            <v>0</v>
          </cell>
          <cell r="BC1761">
            <v>0</v>
          </cell>
        </row>
        <row r="1762">
          <cell r="A1762">
            <v>0</v>
          </cell>
          <cell r="B1762">
            <v>0</v>
          </cell>
          <cell r="E1762">
            <v>0</v>
          </cell>
          <cell r="F1762">
            <v>0</v>
          </cell>
          <cell r="AO1762">
            <v>0</v>
          </cell>
          <cell r="AP1762">
            <v>0</v>
          </cell>
          <cell r="AQ1762">
            <v>0</v>
          </cell>
          <cell r="BA1762">
            <v>0</v>
          </cell>
          <cell r="BC1762">
            <v>0</v>
          </cell>
        </row>
        <row r="1763">
          <cell r="A1763">
            <v>0</v>
          </cell>
          <cell r="B1763">
            <v>0</v>
          </cell>
          <cell r="E1763">
            <v>0</v>
          </cell>
          <cell r="F1763">
            <v>0</v>
          </cell>
          <cell r="AO1763">
            <v>0</v>
          </cell>
          <cell r="AP1763">
            <v>0</v>
          </cell>
          <cell r="AQ1763">
            <v>0</v>
          </cell>
          <cell r="BA1763">
            <v>0</v>
          </cell>
          <cell r="BC1763">
            <v>0</v>
          </cell>
        </row>
        <row r="1764">
          <cell r="A1764">
            <v>0</v>
          </cell>
          <cell r="B1764">
            <v>0</v>
          </cell>
          <cell r="E1764">
            <v>0</v>
          </cell>
          <cell r="F1764">
            <v>0</v>
          </cell>
          <cell r="AO1764">
            <v>0</v>
          </cell>
          <cell r="AP1764">
            <v>0</v>
          </cell>
          <cell r="AQ1764">
            <v>0</v>
          </cell>
          <cell r="BA1764">
            <v>0</v>
          </cell>
          <cell r="BC1764">
            <v>0</v>
          </cell>
        </row>
        <row r="1765">
          <cell r="A1765">
            <v>0</v>
          </cell>
          <cell r="B1765">
            <v>0</v>
          </cell>
          <cell r="E1765">
            <v>0</v>
          </cell>
          <cell r="F1765">
            <v>0</v>
          </cell>
          <cell r="AO1765">
            <v>0</v>
          </cell>
          <cell r="AP1765">
            <v>0</v>
          </cell>
          <cell r="AQ1765">
            <v>0</v>
          </cell>
          <cell r="BA1765">
            <v>0</v>
          </cell>
          <cell r="BC1765">
            <v>0</v>
          </cell>
        </row>
        <row r="1766">
          <cell r="A1766">
            <v>0</v>
          </cell>
          <cell r="B1766">
            <v>0</v>
          </cell>
          <cell r="E1766">
            <v>0</v>
          </cell>
          <cell r="F1766">
            <v>0</v>
          </cell>
          <cell r="AO1766">
            <v>0</v>
          </cell>
          <cell r="AP1766">
            <v>0</v>
          </cell>
          <cell r="AQ1766">
            <v>0</v>
          </cell>
          <cell r="BA1766">
            <v>0</v>
          </cell>
          <cell r="BC1766">
            <v>0</v>
          </cell>
        </row>
        <row r="1767">
          <cell r="A1767">
            <v>0</v>
          </cell>
          <cell r="B1767">
            <v>0</v>
          </cell>
          <cell r="E1767">
            <v>0</v>
          </cell>
          <cell r="F1767">
            <v>0</v>
          </cell>
          <cell r="AO1767">
            <v>0</v>
          </cell>
          <cell r="AP1767">
            <v>0</v>
          </cell>
          <cell r="AQ1767">
            <v>0</v>
          </cell>
          <cell r="BA1767">
            <v>0</v>
          </cell>
          <cell r="BC1767">
            <v>0</v>
          </cell>
        </row>
        <row r="1768">
          <cell r="A1768">
            <v>0</v>
          </cell>
          <cell r="B1768">
            <v>0</v>
          </cell>
          <cell r="E1768">
            <v>0</v>
          </cell>
          <cell r="F1768">
            <v>0</v>
          </cell>
          <cell r="AO1768">
            <v>0</v>
          </cell>
          <cell r="AP1768">
            <v>0</v>
          </cell>
          <cell r="AQ1768">
            <v>0</v>
          </cell>
          <cell r="BA1768">
            <v>0</v>
          </cell>
          <cell r="BC1768">
            <v>0</v>
          </cell>
        </row>
        <row r="1769">
          <cell r="A1769">
            <v>0</v>
          </cell>
          <cell r="B1769">
            <v>0</v>
          </cell>
          <cell r="E1769">
            <v>0</v>
          </cell>
          <cell r="F1769">
            <v>0</v>
          </cell>
          <cell r="AO1769">
            <v>0</v>
          </cell>
          <cell r="AP1769">
            <v>0</v>
          </cell>
          <cell r="AQ1769">
            <v>0</v>
          </cell>
          <cell r="BA1769">
            <v>0</v>
          </cell>
          <cell r="BC1769">
            <v>0</v>
          </cell>
        </row>
        <row r="1770">
          <cell r="A1770">
            <v>0</v>
          </cell>
          <cell r="B1770">
            <v>0</v>
          </cell>
          <cell r="E1770">
            <v>0</v>
          </cell>
          <cell r="F1770">
            <v>0</v>
          </cell>
          <cell r="AO1770">
            <v>0</v>
          </cell>
          <cell r="AP1770">
            <v>0</v>
          </cell>
          <cell r="AQ1770">
            <v>0</v>
          </cell>
          <cell r="BA1770">
            <v>0</v>
          </cell>
          <cell r="BC1770">
            <v>0</v>
          </cell>
        </row>
        <row r="1771">
          <cell r="A1771">
            <v>0</v>
          </cell>
          <cell r="B1771">
            <v>0</v>
          </cell>
          <cell r="E1771">
            <v>0</v>
          </cell>
          <cell r="F1771">
            <v>0</v>
          </cell>
          <cell r="AO1771">
            <v>0</v>
          </cell>
          <cell r="AP1771">
            <v>0</v>
          </cell>
          <cell r="AQ1771">
            <v>0</v>
          </cell>
          <cell r="BA1771">
            <v>0</v>
          </cell>
          <cell r="BC1771">
            <v>0</v>
          </cell>
        </row>
        <row r="1772">
          <cell r="A1772">
            <v>0</v>
          </cell>
          <cell r="B1772">
            <v>0</v>
          </cell>
          <cell r="E1772">
            <v>0</v>
          </cell>
          <cell r="F1772">
            <v>0</v>
          </cell>
          <cell r="AO1772">
            <v>0</v>
          </cell>
          <cell r="AP1772">
            <v>0</v>
          </cell>
          <cell r="AQ1772">
            <v>0</v>
          </cell>
          <cell r="BA1772">
            <v>0</v>
          </cell>
          <cell r="BC1772">
            <v>0</v>
          </cell>
        </row>
        <row r="1773">
          <cell r="A1773">
            <v>0</v>
          </cell>
          <cell r="B1773">
            <v>0</v>
          </cell>
          <cell r="E1773">
            <v>0</v>
          </cell>
          <cell r="F1773">
            <v>0</v>
          </cell>
          <cell r="AO1773">
            <v>0</v>
          </cell>
          <cell r="AP1773">
            <v>0</v>
          </cell>
          <cell r="AQ1773">
            <v>0</v>
          </cell>
          <cell r="BA1773">
            <v>0</v>
          </cell>
          <cell r="BC1773">
            <v>0</v>
          </cell>
        </row>
        <row r="1774">
          <cell r="A1774">
            <v>0</v>
          </cell>
          <cell r="B1774">
            <v>0</v>
          </cell>
          <cell r="E1774">
            <v>0</v>
          </cell>
          <cell r="F1774">
            <v>0</v>
          </cell>
          <cell r="AO1774">
            <v>0</v>
          </cell>
          <cell r="AP1774">
            <v>0</v>
          </cell>
          <cell r="AQ1774">
            <v>0</v>
          </cell>
          <cell r="BA1774">
            <v>0</v>
          </cell>
          <cell r="BC1774">
            <v>0</v>
          </cell>
        </row>
        <row r="1775">
          <cell r="A1775">
            <v>0</v>
          </cell>
          <cell r="B1775">
            <v>0</v>
          </cell>
          <cell r="E1775">
            <v>0</v>
          </cell>
          <cell r="F1775">
            <v>0</v>
          </cell>
          <cell r="AO1775">
            <v>0</v>
          </cell>
          <cell r="AP1775">
            <v>0</v>
          </cell>
          <cell r="AQ1775">
            <v>0</v>
          </cell>
          <cell r="BA1775">
            <v>0</v>
          </cell>
          <cell r="BC1775">
            <v>0</v>
          </cell>
        </row>
        <row r="1776">
          <cell r="A1776">
            <v>0</v>
          </cell>
          <cell r="B1776">
            <v>0</v>
          </cell>
          <cell r="E1776">
            <v>0</v>
          </cell>
          <cell r="F1776">
            <v>0</v>
          </cell>
          <cell r="AO1776">
            <v>0</v>
          </cell>
          <cell r="AP1776">
            <v>0</v>
          </cell>
          <cell r="AQ1776">
            <v>0</v>
          </cell>
          <cell r="BA1776">
            <v>0</v>
          </cell>
          <cell r="BC1776">
            <v>0</v>
          </cell>
        </row>
        <row r="1777">
          <cell r="A1777">
            <v>0</v>
          </cell>
          <cell r="B1777">
            <v>0</v>
          </cell>
          <cell r="E1777">
            <v>0</v>
          </cell>
          <cell r="F1777">
            <v>0</v>
          </cell>
          <cell r="AO1777">
            <v>0</v>
          </cell>
          <cell r="AP1777">
            <v>0</v>
          </cell>
          <cell r="AQ1777">
            <v>0</v>
          </cell>
          <cell r="BA1777">
            <v>0</v>
          </cell>
          <cell r="BC1777">
            <v>0</v>
          </cell>
        </row>
        <row r="1778">
          <cell r="A1778">
            <v>0</v>
          </cell>
          <cell r="B1778">
            <v>0</v>
          </cell>
          <cell r="E1778">
            <v>0</v>
          </cell>
          <cell r="F1778">
            <v>0</v>
          </cell>
          <cell r="AO1778">
            <v>0</v>
          </cell>
          <cell r="AP1778">
            <v>0</v>
          </cell>
          <cell r="AQ1778">
            <v>0</v>
          </cell>
          <cell r="BA1778">
            <v>0</v>
          </cell>
          <cell r="BC1778">
            <v>0</v>
          </cell>
        </row>
        <row r="1779">
          <cell r="A1779">
            <v>0</v>
          </cell>
          <cell r="B1779">
            <v>0</v>
          </cell>
          <cell r="E1779">
            <v>0</v>
          </cell>
          <cell r="F1779">
            <v>0</v>
          </cell>
          <cell r="AO1779">
            <v>0</v>
          </cell>
          <cell r="AP1779">
            <v>0</v>
          </cell>
          <cell r="AQ1779">
            <v>0</v>
          </cell>
          <cell r="BA1779">
            <v>0</v>
          </cell>
          <cell r="BC1779">
            <v>0</v>
          </cell>
        </row>
        <row r="1780">
          <cell r="A1780">
            <v>0</v>
          </cell>
          <cell r="B1780">
            <v>0</v>
          </cell>
          <cell r="E1780">
            <v>0</v>
          </cell>
          <cell r="F1780">
            <v>0</v>
          </cell>
          <cell r="AO1780">
            <v>0</v>
          </cell>
          <cell r="AP1780">
            <v>0</v>
          </cell>
          <cell r="AQ1780">
            <v>0</v>
          </cell>
          <cell r="BA1780">
            <v>0</v>
          </cell>
          <cell r="BC1780">
            <v>0</v>
          </cell>
        </row>
        <row r="1781">
          <cell r="A1781">
            <v>0</v>
          </cell>
          <cell r="B1781">
            <v>0</v>
          </cell>
          <cell r="E1781">
            <v>0</v>
          </cell>
          <cell r="F1781">
            <v>0</v>
          </cell>
          <cell r="AO1781">
            <v>0</v>
          </cell>
          <cell r="AP1781">
            <v>0</v>
          </cell>
          <cell r="AQ1781">
            <v>0</v>
          </cell>
          <cell r="BA1781">
            <v>0</v>
          </cell>
          <cell r="BC1781">
            <v>0</v>
          </cell>
        </row>
        <row r="1782">
          <cell r="A1782">
            <v>0</v>
          </cell>
          <cell r="B1782">
            <v>0</v>
          </cell>
          <cell r="E1782">
            <v>0</v>
          </cell>
          <cell r="F1782">
            <v>0</v>
          </cell>
          <cell r="AO1782">
            <v>0</v>
          </cell>
          <cell r="AP1782">
            <v>0</v>
          </cell>
          <cell r="AQ1782">
            <v>0</v>
          </cell>
          <cell r="BA1782">
            <v>0</v>
          </cell>
          <cell r="BC1782">
            <v>0</v>
          </cell>
        </row>
        <row r="1783">
          <cell r="A1783">
            <v>0</v>
          </cell>
          <cell r="B1783">
            <v>0</v>
          </cell>
          <cell r="E1783">
            <v>0</v>
          </cell>
          <cell r="F1783">
            <v>0</v>
          </cell>
          <cell r="AO1783">
            <v>0</v>
          </cell>
          <cell r="AP1783">
            <v>0</v>
          </cell>
          <cell r="AQ1783">
            <v>0</v>
          </cell>
          <cell r="BA1783">
            <v>0</v>
          </cell>
          <cell r="BC1783">
            <v>0</v>
          </cell>
        </row>
        <row r="1784">
          <cell r="A1784">
            <v>0</v>
          </cell>
          <cell r="B1784">
            <v>0</v>
          </cell>
          <cell r="E1784">
            <v>0</v>
          </cell>
          <cell r="F1784">
            <v>0</v>
          </cell>
          <cell r="AO1784">
            <v>0</v>
          </cell>
          <cell r="AP1784">
            <v>0</v>
          </cell>
          <cell r="AQ1784">
            <v>0</v>
          </cell>
          <cell r="BA1784">
            <v>0</v>
          </cell>
          <cell r="BC1784">
            <v>0</v>
          </cell>
        </row>
        <row r="1785">
          <cell r="A1785">
            <v>0</v>
          </cell>
          <cell r="B1785">
            <v>0</v>
          </cell>
          <cell r="E1785">
            <v>0</v>
          </cell>
          <cell r="F1785">
            <v>0</v>
          </cell>
          <cell r="AO1785">
            <v>0</v>
          </cell>
          <cell r="AP1785">
            <v>0</v>
          </cell>
          <cell r="AQ1785">
            <v>0</v>
          </cell>
          <cell r="BA1785">
            <v>0</v>
          </cell>
          <cell r="BC1785">
            <v>0</v>
          </cell>
        </row>
        <row r="1786">
          <cell r="A1786">
            <v>0</v>
          </cell>
          <cell r="B1786">
            <v>0</v>
          </cell>
          <cell r="E1786">
            <v>0</v>
          </cell>
          <cell r="F1786">
            <v>0</v>
          </cell>
          <cell r="AO1786">
            <v>0</v>
          </cell>
          <cell r="AP1786">
            <v>0</v>
          </cell>
          <cell r="AQ1786">
            <v>0</v>
          </cell>
          <cell r="BA1786">
            <v>0</v>
          </cell>
          <cell r="BC1786">
            <v>0</v>
          </cell>
        </row>
        <row r="1787">
          <cell r="A1787">
            <v>0</v>
          </cell>
          <cell r="B1787">
            <v>0</v>
          </cell>
          <cell r="E1787">
            <v>0</v>
          </cell>
          <cell r="F1787">
            <v>0</v>
          </cell>
          <cell r="AO1787">
            <v>0</v>
          </cell>
          <cell r="AP1787">
            <v>0</v>
          </cell>
          <cell r="AQ1787">
            <v>0</v>
          </cell>
          <cell r="BA1787">
            <v>0</v>
          </cell>
          <cell r="BC1787">
            <v>0</v>
          </cell>
        </row>
        <row r="1788">
          <cell r="A1788">
            <v>0</v>
          </cell>
          <cell r="B1788">
            <v>0</v>
          </cell>
          <cell r="E1788">
            <v>0</v>
          </cell>
          <cell r="F1788">
            <v>0</v>
          </cell>
          <cell r="AO1788">
            <v>0</v>
          </cell>
          <cell r="AP1788">
            <v>0</v>
          </cell>
          <cell r="AQ1788">
            <v>0</v>
          </cell>
          <cell r="BA1788">
            <v>0</v>
          </cell>
          <cell r="BC1788">
            <v>0</v>
          </cell>
        </row>
        <row r="1789">
          <cell r="A1789">
            <v>0</v>
          </cell>
          <cell r="B1789">
            <v>0</v>
          </cell>
          <cell r="E1789">
            <v>0</v>
          </cell>
          <cell r="F1789">
            <v>0</v>
          </cell>
          <cell r="AO1789">
            <v>0</v>
          </cell>
          <cell r="AP1789">
            <v>0</v>
          </cell>
          <cell r="AQ1789">
            <v>0</v>
          </cell>
          <cell r="BA1789">
            <v>0</v>
          </cell>
          <cell r="BC1789">
            <v>0</v>
          </cell>
        </row>
        <row r="1790">
          <cell r="A1790">
            <v>0</v>
          </cell>
          <cell r="B1790">
            <v>0</v>
          </cell>
          <cell r="E1790">
            <v>0</v>
          </cell>
          <cell r="F1790">
            <v>0</v>
          </cell>
          <cell r="AO1790">
            <v>0</v>
          </cell>
          <cell r="AP1790">
            <v>0</v>
          </cell>
          <cell r="AQ1790">
            <v>0</v>
          </cell>
          <cell r="BA1790">
            <v>0</v>
          </cell>
          <cell r="BC1790">
            <v>0</v>
          </cell>
        </row>
        <row r="1791">
          <cell r="A1791">
            <v>0</v>
          </cell>
          <cell r="B1791">
            <v>0</v>
          </cell>
          <cell r="E1791">
            <v>0</v>
          </cell>
          <cell r="F1791">
            <v>0</v>
          </cell>
          <cell r="AO1791">
            <v>0</v>
          </cell>
          <cell r="AP1791">
            <v>0</v>
          </cell>
          <cell r="AQ1791">
            <v>0</v>
          </cell>
          <cell r="BA1791">
            <v>0</v>
          </cell>
          <cell r="BC1791">
            <v>0</v>
          </cell>
        </row>
        <row r="1792">
          <cell r="A1792">
            <v>0</v>
          </cell>
          <cell r="B1792">
            <v>0</v>
          </cell>
          <cell r="E1792">
            <v>0</v>
          </cell>
          <cell r="F1792">
            <v>0</v>
          </cell>
          <cell r="AO1792">
            <v>0</v>
          </cell>
          <cell r="AP1792">
            <v>0</v>
          </cell>
          <cell r="AQ1792">
            <v>0</v>
          </cell>
          <cell r="BA1792">
            <v>0</v>
          </cell>
          <cell r="BC1792">
            <v>0</v>
          </cell>
        </row>
        <row r="1793">
          <cell r="A1793">
            <v>0</v>
          </cell>
          <cell r="B1793">
            <v>0</v>
          </cell>
          <cell r="E1793">
            <v>0</v>
          </cell>
          <cell r="F1793">
            <v>0</v>
          </cell>
          <cell r="AO1793">
            <v>0</v>
          </cell>
          <cell r="AP1793">
            <v>0</v>
          </cell>
          <cell r="AQ1793">
            <v>0</v>
          </cell>
          <cell r="BA1793">
            <v>0</v>
          </cell>
          <cell r="BC1793">
            <v>0</v>
          </cell>
        </row>
        <row r="1794">
          <cell r="A1794">
            <v>0</v>
          </cell>
          <cell r="B1794">
            <v>0</v>
          </cell>
          <cell r="E1794">
            <v>0</v>
          </cell>
          <cell r="F1794">
            <v>0</v>
          </cell>
          <cell r="AO1794">
            <v>0</v>
          </cell>
          <cell r="AP1794">
            <v>0</v>
          </cell>
          <cell r="AQ1794">
            <v>0</v>
          </cell>
          <cell r="BA1794">
            <v>0</v>
          </cell>
          <cell r="BC1794">
            <v>0</v>
          </cell>
        </row>
        <row r="1795">
          <cell r="A1795">
            <v>0</v>
          </cell>
          <cell r="B1795">
            <v>0</v>
          </cell>
          <cell r="E1795">
            <v>0</v>
          </cell>
          <cell r="F1795">
            <v>0</v>
          </cell>
          <cell r="AO1795">
            <v>0</v>
          </cell>
          <cell r="AP1795">
            <v>0</v>
          </cell>
          <cell r="AQ1795">
            <v>0</v>
          </cell>
          <cell r="BA1795">
            <v>0</v>
          </cell>
          <cell r="BC1795">
            <v>0</v>
          </cell>
        </row>
        <row r="1796">
          <cell r="A1796">
            <v>0</v>
          </cell>
          <cell r="B1796">
            <v>0</v>
          </cell>
          <cell r="E1796">
            <v>0</v>
          </cell>
          <cell r="F1796">
            <v>0</v>
          </cell>
          <cell r="AO1796">
            <v>0</v>
          </cell>
          <cell r="AP1796">
            <v>0</v>
          </cell>
          <cell r="AQ1796">
            <v>0</v>
          </cell>
          <cell r="BA1796">
            <v>0</v>
          </cell>
          <cell r="BC1796">
            <v>0</v>
          </cell>
        </row>
        <row r="1797">
          <cell r="A1797">
            <v>0</v>
          </cell>
          <cell r="B1797">
            <v>0</v>
          </cell>
          <cell r="E1797">
            <v>0</v>
          </cell>
          <cell r="F1797">
            <v>0</v>
          </cell>
          <cell r="AO1797">
            <v>0</v>
          </cell>
          <cell r="AP1797">
            <v>0</v>
          </cell>
          <cell r="AQ1797">
            <v>0</v>
          </cell>
          <cell r="BA1797">
            <v>0</v>
          </cell>
          <cell r="BC1797">
            <v>0</v>
          </cell>
        </row>
        <row r="1798">
          <cell r="A1798">
            <v>0</v>
          </cell>
          <cell r="B1798">
            <v>0</v>
          </cell>
          <cell r="E1798">
            <v>0</v>
          </cell>
          <cell r="F1798">
            <v>0</v>
          </cell>
          <cell r="AO1798">
            <v>0</v>
          </cell>
          <cell r="AP1798">
            <v>0</v>
          </cell>
          <cell r="AQ1798">
            <v>0</v>
          </cell>
          <cell r="BA1798">
            <v>0</v>
          </cell>
          <cell r="BC1798">
            <v>0</v>
          </cell>
        </row>
        <row r="1799">
          <cell r="A1799">
            <v>0</v>
          </cell>
          <cell r="B1799">
            <v>0</v>
          </cell>
          <cell r="E1799">
            <v>0</v>
          </cell>
          <cell r="F1799">
            <v>0</v>
          </cell>
          <cell r="AO1799">
            <v>0</v>
          </cell>
          <cell r="AP1799">
            <v>0</v>
          </cell>
          <cell r="AQ1799">
            <v>0</v>
          </cell>
          <cell r="BA1799">
            <v>0</v>
          </cell>
          <cell r="BC1799">
            <v>0</v>
          </cell>
        </row>
        <row r="1800">
          <cell r="A1800">
            <v>0</v>
          </cell>
          <cell r="B1800">
            <v>0</v>
          </cell>
          <cell r="E1800">
            <v>0</v>
          </cell>
          <cell r="F1800">
            <v>0</v>
          </cell>
          <cell r="AO1800">
            <v>0</v>
          </cell>
          <cell r="AP1800">
            <v>0</v>
          </cell>
          <cell r="AQ1800">
            <v>0</v>
          </cell>
          <cell r="BA1800">
            <v>0</v>
          </cell>
          <cell r="BC1800">
            <v>0</v>
          </cell>
        </row>
        <row r="1801">
          <cell r="A1801">
            <v>0</v>
          </cell>
          <cell r="B1801">
            <v>0</v>
          </cell>
          <cell r="E1801">
            <v>0</v>
          </cell>
          <cell r="F1801">
            <v>0</v>
          </cell>
          <cell r="AO1801">
            <v>0</v>
          </cell>
          <cell r="AP1801">
            <v>0</v>
          </cell>
          <cell r="AQ1801">
            <v>0</v>
          </cell>
          <cell r="BA1801">
            <v>0</v>
          </cell>
          <cell r="BC1801">
            <v>0</v>
          </cell>
        </row>
        <row r="1802">
          <cell r="A1802">
            <v>0</v>
          </cell>
          <cell r="B1802">
            <v>0</v>
          </cell>
          <cell r="E1802">
            <v>0</v>
          </cell>
          <cell r="F1802">
            <v>0</v>
          </cell>
          <cell r="AO1802">
            <v>0</v>
          </cell>
          <cell r="AP1802">
            <v>0</v>
          </cell>
          <cell r="AQ1802">
            <v>0</v>
          </cell>
          <cell r="BA1802">
            <v>0</v>
          </cell>
          <cell r="BC1802">
            <v>0</v>
          </cell>
        </row>
        <row r="1803">
          <cell r="A1803">
            <v>0</v>
          </cell>
          <cell r="B1803">
            <v>0</v>
          </cell>
          <cell r="E1803">
            <v>0</v>
          </cell>
          <cell r="F1803">
            <v>0</v>
          </cell>
          <cell r="AO1803">
            <v>0</v>
          </cell>
          <cell r="AP1803">
            <v>0</v>
          </cell>
          <cell r="AQ1803">
            <v>0</v>
          </cell>
          <cell r="BA1803">
            <v>0</v>
          </cell>
          <cell r="BC1803">
            <v>0</v>
          </cell>
        </row>
        <row r="1804">
          <cell r="A1804">
            <v>0</v>
          </cell>
          <cell r="B1804">
            <v>0</v>
          </cell>
          <cell r="E1804">
            <v>0</v>
          </cell>
          <cell r="F1804">
            <v>0</v>
          </cell>
          <cell r="AO1804">
            <v>0</v>
          </cell>
          <cell r="AP1804">
            <v>0</v>
          </cell>
          <cell r="AQ1804">
            <v>0</v>
          </cell>
          <cell r="BA1804">
            <v>0</v>
          </cell>
          <cell r="BC1804">
            <v>0</v>
          </cell>
        </row>
        <row r="1805">
          <cell r="A1805">
            <v>0</v>
          </cell>
          <cell r="B1805">
            <v>0</v>
          </cell>
          <cell r="E1805">
            <v>0</v>
          </cell>
          <cell r="F1805">
            <v>0</v>
          </cell>
          <cell r="AO1805">
            <v>0</v>
          </cell>
          <cell r="AP1805">
            <v>0</v>
          </cell>
          <cell r="AQ1805">
            <v>0</v>
          </cell>
          <cell r="BA1805">
            <v>0</v>
          </cell>
          <cell r="BC1805">
            <v>0</v>
          </cell>
        </row>
        <row r="1806">
          <cell r="A1806">
            <v>0</v>
          </cell>
          <cell r="B1806">
            <v>0</v>
          </cell>
          <cell r="E1806">
            <v>0</v>
          </cell>
          <cell r="F1806">
            <v>0</v>
          </cell>
          <cell r="AO1806">
            <v>0</v>
          </cell>
          <cell r="AP1806">
            <v>0</v>
          </cell>
          <cell r="AQ1806">
            <v>0</v>
          </cell>
          <cell r="BA1806">
            <v>0</v>
          </cell>
          <cell r="BC1806">
            <v>0</v>
          </cell>
        </row>
        <row r="1807">
          <cell r="A1807">
            <v>0</v>
          </cell>
          <cell r="B1807">
            <v>0</v>
          </cell>
          <cell r="E1807">
            <v>0</v>
          </cell>
          <cell r="F1807">
            <v>0</v>
          </cell>
          <cell r="AO1807">
            <v>0</v>
          </cell>
          <cell r="AP1807">
            <v>0</v>
          </cell>
          <cell r="AQ1807">
            <v>0</v>
          </cell>
          <cell r="BA1807">
            <v>0</v>
          </cell>
          <cell r="BC1807">
            <v>0</v>
          </cell>
        </row>
        <row r="1808">
          <cell r="A1808">
            <v>0</v>
          </cell>
          <cell r="B1808">
            <v>0</v>
          </cell>
          <cell r="E1808">
            <v>0</v>
          </cell>
          <cell r="F1808">
            <v>0</v>
          </cell>
          <cell r="AO1808">
            <v>0</v>
          </cell>
          <cell r="AP1808">
            <v>0</v>
          </cell>
          <cell r="AQ1808">
            <v>0</v>
          </cell>
          <cell r="BA1808">
            <v>0</v>
          </cell>
          <cell r="BC1808">
            <v>0</v>
          </cell>
        </row>
        <row r="1809">
          <cell r="A1809">
            <v>0</v>
          </cell>
          <cell r="B1809">
            <v>0</v>
          </cell>
          <cell r="E1809">
            <v>0</v>
          </cell>
          <cell r="F1809">
            <v>0</v>
          </cell>
          <cell r="AO1809">
            <v>0</v>
          </cell>
          <cell r="AP1809">
            <v>0</v>
          </cell>
          <cell r="AQ1809">
            <v>0</v>
          </cell>
          <cell r="BA1809">
            <v>0</v>
          </cell>
          <cell r="BC1809">
            <v>0</v>
          </cell>
        </row>
        <row r="1810">
          <cell r="A1810">
            <v>0</v>
          </cell>
          <cell r="B1810">
            <v>0</v>
          </cell>
          <cell r="E1810">
            <v>0</v>
          </cell>
          <cell r="F1810">
            <v>0</v>
          </cell>
          <cell r="AO1810">
            <v>0</v>
          </cell>
          <cell r="AP1810">
            <v>0</v>
          </cell>
          <cell r="AQ1810">
            <v>0</v>
          </cell>
          <cell r="BA1810">
            <v>0</v>
          </cell>
          <cell r="BC1810">
            <v>0</v>
          </cell>
        </row>
        <row r="1811">
          <cell r="A1811">
            <v>0</v>
          </cell>
          <cell r="B1811">
            <v>0</v>
          </cell>
          <cell r="E1811">
            <v>0</v>
          </cell>
          <cell r="F1811">
            <v>0</v>
          </cell>
          <cell r="AO1811">
            <v>0</v>
          </cell>
          <cell r="AP1811">
            <v>0</v>
          </cell>
          <cell r="AQ1811">
            <v>0</v>
          </cell>
          <cell r="BA1811">
            <v>0</v>
          </cell>
          <cell r="BC1811">
            <v>0</v>
          </cell>
        </row>
        <row r="1812">
          <cell r="A1812">
            <v>0</v>
          </cell>
          <cell r="B1812">
            <v>0</v>
          </cell>
          <cell r="E1812">
            <v>0</v>
          </cell>
          <cell r="F1812">
            <v>0</v>
          </cell>
          <cell r="AO1812">
            <v>0</v>
          </cell>
          <cell r="AP1812">
            <v>0</v>
          </cell>
          <cell r="AQ1812">
            <v>0</v>
          </cell>
          <cell r="BA1812">
            <v>0</v>
          </cell>
          <cell r="BC1812">
            <v>0</v>
          </cell>
        </row>
        <row r="1813">
          <cell r="A1813">
            <v>0</v>
          </cell>
          <cell r="B1813">
            <v>0</v>
          </cell>
          <cell r="E1813">
            <v>0</v>
          </cell>
          <cell r="F1813">
            <v>0</v>
          </cell>
          <cell r="AO1813">
            <v>0</v>
          </cell>
          <cell r="AP1813">
            <v>0</v>
          </cell>
          <cell r="AQ1813">
            <v>0</v>
          </cell>
          <cell r="BA1813">
            <v>0</v>
          </cell>
          <cell r="BC1813">
            <v>0</v>
          </cell>
        </row>
        <row r="1814">
          <cell r="A1814">
            <v>0</v>
          </cell>
          <cell r="B1814">
            <v>0</v>
          </cell>
          <cell r="E1814">
            <v>0</v>
          </cell>
          <cell r="F1814">
            <v>0</v>
          </cell>
          <cell r="AO1814">
            <v>0</v>
          </cell>
          <cell r="AP1814">
            <v>0</v>
          </cell>
          <cell r="AQ1814">
            <v>0</v>
          </cell>
          <cell r="BA1814">
            <v>0</v>
          </cell>
          <cell r="BC1814">
            <v>0</v>
          </cell>
        </row>
        <row r="1815">
          <cell r="A1815">
            <v>0</v>
          </cell>
          <cell r="B1815">
            <v>0</v>
          </cell>
          <cell r="E1815">
            <v>0</v>
          </cell>
          <cell r="F1815">
            <v>0</v>
          </cell>
          <cell r="AO1815">
            <v>0</v>
          </cell>
          <cell r="AP1815">
            <v>0</v>
          </cell>
          <cell r="AQ1815">
            <v>0</v>
          </cell>
          <cell r="BA1815">
            <v>0</v>
          </cell>
          <cell r="BC1815">
            <v>0</v>
          </cell>
        </row>
        <row r="1816">
          <cell r="A1816">
            <v>0</v>
          </cell>
          <cell r="B1816">
            <v>0</v>
          </cell>
          <cell r="E1816">
            <v>0</v>
          </cell>
          <cell r="F1816">
            <v>0</v>
          </cell>
          <cell r="AO1816">
            <v>0</v>
          </cell>
          <cell r="AP1816">
            <v>0</v>
          </cell>
          <cell r="AQ1816">
            <v>0</v>
          </cell>
          <cell r="BA1816">
            <v>0</v>
          </cell>
          <cell r="BC1816">
            <v>0</v>
          </cell>
        </row>
        <row r="1817">
          <cell r="A1817">
            <v>0</v>
          </cell>
          <cell r="B1817">
            <v>0</v>
          </cell>
          <cell r="E1817">
            <v>0</v>
          </cell>
          <cell r="F1817">
            <v>0</v>
          </cell>
          <cell r="AO1817">
            <v>0</v>
          </cell>
          <cell r="AP1817">
            <v>0</v>
          </cell>
          <cell r="AQ1817">
            <v>0</v>
          </cell>
          <cell r="BA1817">
            <v>0</v>
          </cell>
          <cell r="BC1817">
            <v>0</v>
          </cell>
        </row>
        <row r="1818">
          <cell r="A1818">
            <v>0</v>
          </cell>
          <cell r="B1818">
            <v>0</v>
          </cell>
          <cell r="E1818">
            <v>0</v>
          </cell>
          <cell r="F1818">
            <v>0</v>
          </cell>
          <cell r="AO1818">
            <v>0</v>
          </cell>
          <cell r="AP1818">
            <v>0</v>
          </cell>
          <cell r="AQ1818">
            <v>0</v>
          </cell>
          <cell r="BA1818">
            <v>0</v>
          </cell>
          <cell r="BC1818">
            <v>0</v>
          </cell>
        </row>
        <row r="1819">
          <cell r="A1819">
            <v>0</v>
          </cell>
          <cell r="B1819">
            <v>0</v>
          </cell>
          <cell r="E1819">
            <v>0</v>
          </cell>
          <cell r="F1819">
            <v>0</v>
          </cell>
          <cell r="AO1819">
            <v>0</v>
          </cell>
          <cell r="AP1819">
            <v>0</v>
          </cell>
          <cell r="AQ1819">
            <v>0</v>
          </cell>
          <cell r="BA1819">
            <v>0</v>
          </cell>
          <cell r="BC1819">
            <v>0</v>
          </cell>
        </row>
        <row r="1820">
          <cell r="A1820">
            <v>0</v>
          </cell>
          <cell r="B1820">
            <v>0</v>
          </cell>
          <cell r="E1820">
            <v>0</v>
          </cell>
          <cell r="F1820">
            <v>0</v>
          </cell>
          <cell r="AO1820">
            <v>0</v>
          </cell>
          <cell r="AP1820">
            <v>0</v>
          </cell>
          <cell r="AQ1820">
            <v>0</v>
          </cell>
          <cell r="BA1820">
            <v>0</v>
          </cell>
          <cell r="BC1820">
            <v>0</v>
          </cell>
        </row>
        <row r="1821">
          <cell r="A1821">
            <v>0</v>
          </cell>
          <cell r="B1821">
            <v>0</v>
          </cell>
          <cell r="E1821">
            <v>0</v>
          </cell>
          <cell r="F1821">
            <v>0</v>
          </cell>
          <cell r="AO1821">
            <v>0</v>
          </cell>
          <cell r="AP1821">
            <v>0</v>
          </cell>
          <cell r="AQ1821">
            <v>0</v>
          </cell>
          <cell r="BA1821">
            <v>0</v>
          </cell>
          <cell r="BC1821">
            <v>0</v>
          </cell>
        </row>
        <row r="1822">
          <cell r="A1822">
            <v>0</v>
          </cell>
          <cell r="B1822">
            <v>0</v>
          </cell>
          <cell r="E1822">
            <v>0</v>
          </cell>
          <cell r="F1822">
            <v>0</v>
          </cell>
          <cell r="AO1822">
            <v>0</v>
          </cell>
          <cell r="AP1822">
            <v>0</v>
          </cell>
          <cell r="AQ1822">
            <v>0</v>
          </cell>
          <cell r="BA1822">
            <v>0</v>
          </cell>
          <cell r="BC1822">
            <v>0</v>
          </cell>
        </row>
        <row r="1823">
          <cell r="A1823">
            <v>0</v>
          </cell>
          <cell r="B1823">
            <v>0</v>
          </cell>
          <cell r="E1823">
            <v>0</v>
          </cell>
          <cell r="F1823">
            <v>0</v>
          </cell>
          <cell r="AO1823">
            <v>0</v>
          </cell>
          <cell r="AP1823">
            <v>0</v>
          </cell>
          <cell r="AQ1823">
            <v>0</v>
          </cell>
          <cell r="BA1823">
            <v>0</v>
          </cell>
          <cell r="BC1823">
            <v>0</v>
          </cell>
        </row>
        <row r="1824">
          <cell r="A1824">
            <v>0</v>
          </cell>
          <cell r="B1824">
            <v>0</v>
          </cell>
          <cell r="E1824">
            <v>0</v>
          </cell>
          <cell r="F1824">
            <v>0</v>
          </cell>
          <cell r="AO1824">
            <v>0</v>
          </cell>
          <cell r="AP1824">
            <v>0</v>
          </cell>
          <cell r="AQ1824">
            <v>0</v>
          </cell>
          <cell r="BA1824">
            <v>0</v>
          </cell>
          <cell r="BC1824">
            <v>0</v>
          </cell>
        </row>
        <row r="1825">
          <cell r="A1825">
            <v>0</v>
          </cell>
          <cell r="B1825">
            <v>0</v>
          </cell>
          <cell r="E1825">
            <v>0</v>
          </cell>
          <cell r="F1825">
            <v>0</v>
          </cell>
          <cell r="AO1825">
            <v>0</v>
          </cell>
          <cell r="AP1825">
            <v>0</v>
          </cell>
          <cell r="AQ1825">
            <v>0</v>
          </cell>
          <cell r="BA1825">
            <v>0</v>
          </cell>
          <cell r="BC1825">
            <v>0</v>
          </cell>
        </row>
        <row r="1826">
          <cell r="A1826">
            <v>0</v>
          </cell>
          <cell r="B1826">
            <v>0</v>
          </cell>
          <cell r="E1826">
            <v>0</v>
          </cell>
          <cell r="F1826">
            <v>0</v>
          </cell>
          <cell r="AO1826">
            <v>0</v>
          </cell>
          <cell r="AP1826">
            <v>0</v>
          </cell>
          <cell r="AQ1826">
            <v>0</v>
          </cell>
          <cell r="BA1826">
            <v>0</v>
          </cell>
          <cell r="BC1826">
            <v>0</v>
          </cell>
        </row>
        <row r="1827">
          <cell r="A1827">
            <v>0</v>
          </cell>
          <cell r="B1827">
            <v>0</v>
          </cell>
          <cell r="E1827">
            <v>0</v>
          </cell>
          <cell r="F1827">
            <v>0</v>
          </cell>
          <cell r="AO1827">
            <v>0</v>
          </cell>
          <cell r="AP1827">
            <v>0</v>
          </cell>
          <cell r="AQ1827">
            <v>0</v>
          </cell>
          <cell r="BA1827">
            <v>0</v>
          </cell>
          <cell r="BC1827">
            <v>0</v>
          </cell>
        </row>
        <row r="1828">
          <cell r="A1828">
            <v>0</v>
          </cell>
          <cell r="B1828">
            <v>0</v>
          </cell>
          <cell r="E1828">
            <v>0</v>
          </cell>
          <cell r="F1828">
            <v>0</v>
          </cell>
          <cell r="AO1828">
            <v>0</v>
          </cell>
          <cell r="AP1828">
            <v>0</v>
          </cell>
          <cell r="AQ1828">
            <v>0</v>
          </cell>
          <cell r="BA1828">
            <v>0</v>
          </cell>
          <cell r="BC1828">
            <v>0</v>
          </cell>
        </row>
        <row r="1829">
          <cell r="A1829">
            <v>0</v>
          </cell>
          <cell r="B1829">
            <v>0</v>
          </cell>
          <cell r="E1829">
            <v>0</v>
          </cell>
          <cell r="F1829">
            <v>0</v>
          </cell>
          <cell r="AO1829">
            <v>0</v>
          </cell>
          <cell r="AP1829">
            <v>0</v>
          </cell>
          <cell r="AQ1829">
            <v>0</v>
          </cell>
          <cell r="BA1829">
            <v>0</v>
          </cell>
          <cell r="BC1829">
            <v>0</v>
          </cell>
        </row>
        <row r="1830">
          <cell r="A1830">
            <v>0</v>
          </cell>
          <cell r="B1830">
            <v>0</v>
          </cell>
          <cell r="E1830">
            <v>0</v>
          </cell>
          <cell r="F1830">
            <v>0</v>
          </cell>
          <cell r="AO1830">
            <v>0</v>
          </cell>
          <cell r="AP1830">
            <v>0</v>
          </cell>
          <cell r="AQ1830">
            <v>0</v>
          </cell>
          <cell r="BA1830">
            <v>0</v>
          </cell>
          <cell r="BC1830">
            <v>0</v>
          </cell>
        </row>
        <row r="1831">
          <cell r="A1831">
            <v>0</v>
          </cell>
          <cell r="B1831">
            <v>0</v>
          </cell>
          <cell r="E1831">
            <v>0</v>
          </cell>
          <cell r="F1831">
            <v>0</v>
          </cell>
          <cell r="AO1831">
            <v>0</v>
          </cell>
          <cell r="AP1831">
            <v>0</v>
          </cell>
          <cell r="AQ1831">
            <v>0</v>
          </cell>
          <cell r="BA1831">
            <v>0</v>
          </cell>
          <cell r="BC1831">
            <v>0</v>
          </cell>
        </row>
        <row r="1832">
          <cell r="A1832">
            <v>0</v>
          </cell>
          <cell r="B1832">
            <v>0</v>
          </cell>
          <cell r="E1832">
            <v>0</v>
          </cell>
          <cell r="F1832">
            <v>0</v>
          </cell>
          <cell r="AO1832">
            <v>0</v>
          </cell>
          <cell r="AP1832">
            <v>0</v>
          </cell>
          <cell r="AQ1832">
            <v>0</v>
          </cell>
          <cell r="BA1832">
            <v>0</v>
          </cell>
          <cell r="BC1832">
            <v>0</v>
          </cell>
        </row>
        <row r="1833">
          <cell r="A1833">
            <v>0</v>
          </cell>
          <cell r="B1833">
            <v>0</v>
          </cell>
          <cell r="E1833">
            <v>0</v>
          </cell>
          <cell r="F1833">
            <v>0</v>
          </cell>
          <cell r="AO1833">
            <v>0</v>
          </cell>
          <cell r="AP1833">
            <v>0</v>
          </cell>
          <cell r="AQ1833">
            <v>0</v>
          </cell>
          <cell r="BA1833">
            <v>0</v>
          </cell>
          <cell r="BC1833">
            <v>0</v>
          </cell>
        </row>
        <row r="1834">
          <cell r="A1834">
            <v>0</v>
          </cell>
          <cell r="B1834">
            <v>0</v>
          </cell>
          <cell r="E1834">
            <v>0</v>
          </cell>
          <cell r="F1834">
            <v>0</v>
          </cell>
          <cell r="AO1834">
            <v>0</v>
          </cell>
          <cell r="AP1834">
            <v>0</v>
          </cell>
          <cell r="AQ1834">
            <v>0</v>
          </cell>
          <cell r="BA1834">
            <v>0</v>
          </cell>
          <cell r="BC1834">
            <v>0</v>
          </cell>
        </row>
        <row r="1835">
          <cell r="A1835">
            <v>0</v>
          </cell>
          <cell r="B1835">
            <v>0</v>
          </cell>
          <cell r="E1835">
            <v>0</v>
          </cell>
          <cell r="F1835">
            <v>0</v>
          </cell>
          <cell r="AO1835">
            <v>0</v>
          </cell>
          <cell r="AP1835">
            <v>0</v>
          </cell>
          <cell r="AQ1835">
            <v>0</v>
          </cell>
          <cell r="BA1835">
            <v>0</v>
          </cell>
          <cell r="BC1835">
            <v>0</v>
          </cell>
        </row>
        <row r="1836">
          <cell r="A1836">
            <v>0</v>
          </cell>
          <cell r="B1836">
            <v>0</v>
          </cell>
          <cell r="E1836">
            <v>0</v>
          </cell>
          <cell r="F1836">
            <v>0</v>
          </cell>
          <cell r="AO1836">
            <v>0</v>
          </cell>
          <cell r="AP1836">
            <v>0</v>
          </cell>
          <cell r="AQ1836">
            <v>0</v>
          </cell>
          <cell r="BA1836">
            <v>0</v>
          </cell>
          <cell r="BC1836">
            <v>0</v>
          </cell>
        </row>
        <row r="1837">
          <cell r="A1837">
            <v>0</v>
          </cell>
          <cell r="B1837">
            <v>0</v>
          </cell>
          <cell r="E1837">
            <v>0</v>
          </cell>
          <cell r="F1837">
            <v>0</v>
          </cell>
          <cell r="AO1837">
            <v>0</v>
          </cell>
          <cell r="AP1837">
            <v>0</v>
          </cell>
          <cell r="AQ1837">
            <v>0</v>
          </cell>
          <cell r="BA1837">
            <v>0</v>
          </cell>
          <cell r="BC1837">
            <v>0</v>
          </cell>
        </row>
        <row r="1838">
          <cell r="A1838">
            <v>0</v>
          </cell>
          <cell r="B1838">
            <v>0</v>
          </cell>
          <cell r="E1838">
            <v>0</v>
          </cell>
          <cell r="F1838">
            <v>0</v>
          </cell>
          <cell r="AO1838">
            <v>0</v>
          </cell>
          <cell r="AP1838">
            <v>0</v>
          </cell>
          <cell r="AQ1838">
            <v>0</v>
          </cell>
          <cell r="BA1838">
            <v>0</v>
          </cell>
          <cell r="BC1838">
            <v>0</v>
          </cell>
        </row>
        <row r="1839">
          <cell r="A1839">
            <v>0</v>
          </cell>
          <cell r="B1839">
            <v>0</v>
          </cell>
          <cell r="E1839">
            <v>0</v>
          </cell>
          <cell r="F1839">
            <v>0</v>
          </cell>
          <cell r="AO1839">
            <v>0</v>
          </cell>
          <cell r="AP1839">
            <v>0</v>
          </cell>
          <cell r="AQ1839">
            <v>0</v>
          </cell>
          <cell r="BA1839">
            <v>0</v>
          </cell>
          <cell r="BC1839">
            <v>0</v>
          </cell>
        </row>
        <row r="1840">
          <cell r="A1840">
            <v>0</v>
          </cell>
          <cell r="B1840">
            <v>0</v>
          </cell>
          <cell r="E1840">
            <v>0</v>
          </cell>
          <cell r="F1840">
            <v>0</v>
          </cell>
          <cell r="AO1840">
            <v>0</v>
          </cell>
          <cell r="AP1840">
            <v>0</v>
          </cell>
          <cell r="AQ1840">
            <v>0</v>
          </cell>
          <cell r="BA1840">
            <v>0</v>
          </cell>
          <cell r="BC1840">
            <v>0</v>
          </cell>
        </row>
        <row r="1841">
          <cell r="A1841">
            <v>0</v>
          </cell>
          <cell r="B1841">
            <v>0</v>
          </cell>
          <cell r="E1841">
            <v>0</v>
          </cell>
          <cell r="F1841">
            <v>0</v>
          </cell>
          <cell r="AO1841">
            <v>0</v>
          </cell>
          <cell r="AP1841">
            <v>0</v>
          </cell>
          <cell r="AQ1841">
            <v>0</v>
          </cell>
          <cell r="BA1841">
            <v>0</v>
          </cell>
          <cell r="BC1841">
            <v>0</v>
          </cell>
        </row>
        <row r="1842">
          <cell r="A1842">
            <v>0</v>
          </cell>
          <cell r="B1842">
            <v>0</v>
          </cell>
          <cell r="E1842">
            <v>0</v>
          </cell>
          <cell r="F1842">
            <v>0</v>
          </cell>
          <cell r="AO1842">
            <v>0</v>
          </cell>
          <cell r="AP1842">
            <v>0</v>
          </cell>
          <cell r="AQ1842">
            <v>0</v>
          </cell>
          <cell r="BA1842">
            <v>0</v>
          </cell>
          <cell r="BC1842">
            <v>0</v>
          </cell>
        </row>
        <row r="1843">
          <cell r="A1843">
            <v>0</v>
          </cell>
          <cell r="B1843">
            <v>0</v>
          </cell>
          <cell r="E1843">
            <v>0</v>
          </cell>
          <cell r="F1843">
            <v>0</v>
          </cell>
          <cell r="AO1843">
            <v>0</v>
          </cell>
          <cell r="AP1843">
            <v>0</v>
          </cell>
          <cell r="AQ1843">
            <v>0</v>
          </cell>
          <cell r="BA1843">
            <v>0</v>
          </cell>
          <cell r="BC1843">
            <v>0</v>
          </cell>
        </row>
        <row r="1844">
          <cell r="A1844">
            <v>0</v>
          </cell>
          <cell r="B1844">
            <v>0</v>
          </cell>
          <cell r="E1844">
            <v>0</v>
          </cell>
          <cell r="F1844">
            <v>0</v>
          </cell>
          <cell r="AO1844">
            <v>0</v>
          </cell>
          <cell r="AP1844">
            <v>0</v>
          </cell>
          <cell r="AQ1844">
            <v>0</v>
          </cell>
          <cell r="BA1844">
            <v>0</v>
          </cell>
          <cell r="BC1844">
            <v>0</v>
          </cell>
        </row>
        <row r="1845">
          <cell r="A1845">
            <v>0</v>
          </cell>
          <cell r="B1845">
            <v>0</v>
          </cell>
          <cell r="E1845">
            <v>0</v>
          </cell>
          <cell r="F1845">
            <v>0</v>
          </cell>
          <cell r="AO1845">
            <v>0</v>
          </cell>
          <cell r="AP1845">
            <v>0</v>
          </cell>
          <cell r="AQ1845">
            <v>0</v>
          </cell>
          <cell r="BA1845">
            <v>0</v>
          </cell>
          <cell r="BC1845">
            <v>0</v>
          </cell>
        </row>
        <row r="1846">
          <cell r="A1846">
            <v>0</v>
          </cell>
          <cell r="B1846">
            <v>0</v>
          </cell>
          <cell r="E1846">
            <v>0</v>
          </cell>
          <cell r="F1846">
            <v>0</v>
          </cell>
          <cell r="AO1846">
            <v>0</v>
          </cell>
          <cell r="AP1846">
            <v>0</v>
          </cell>
          <cell r="AQ1846">
            <v>0</v>
          </cell>
          <cell r="BA1846">
            <v>0</v>
          </cell>
          <cell r="BC1846">
            <v>0</v>
          </cell>
        </row>
        <row r="1847">
          <cell r="A1847">
            <v>0</v>
          </cell>
          <cell r="B1847">
            <v>0</v>
          </cell>
          <cell r="E1847">
            <v>0</v>
          </cell>
          <cell r="F1847">
            <v>0</v>
          </cell>
          <cell r="AO1847">
            <v>0</v>
          </cell>
          <cell r="AP1847">
            <v>0</v>
          </cell>
          <cell r="AQ1847">
            <v>0</v>
          </cell>
          <cell r="BA1847">
            <v>0</v>
          </cell>
          <cell r="BC1847">
            <v>0</v>
          </cell>
        </row>
        <row r="1848">
          <cell r="A1848">
            <v>0</v>
          </cell>
          <cell r="B1848">
            <v>0</v>
          </cell>
          <cell r="E1848">
            <v>0</v>
          </cell>
          <cell r="F1848">
            <v>0</v>
          </cell>
          <cell r="AO1848">
            <v>0</v>
          </cell>
          <cell r="AP1848">
            <v>0</v>
          </cell>
          <cell r="AQ1848">
            <v>0</v>
          </cell>
          <cell r="BA1848">
            <v>0</v>
          </cell>
          <cell r="BC1848">
            <v>0</v>
          </cell>
        </row>
        <row r="1849">
          <cell r="A1849">
            <v>0</v>
          </cell>
          <cell r="B1849">
            <v>0</v>
          </cell>
          <cell r="E1849">
            <v>0</v>
          </cell>
          <cell r="F1849">
            <v>0</v>
          </cell>
          <cell r="AO1849">
            <v>0</v>
          </cell>
          <cell r="AP1849">
            <v>0</v>
          </cell>
          <cell r="AQ1849">
            <v>0</v>
          </cell>
          <cell r="BA1849">
            <v>0</v>
          </cell>
          <cell r="BC1849">
            <v>0</v>
          </cell>
        </row>
        <row r="1850">
          <cell r="A1850">
            <v>0</v>
          </cell>
          <cell r="B1850">
            <v>0</v>
          </cell>
          <cell r="E1850">
            <v>0</v>
          </cell>
          <cell r="F1850">
            <v>0</v>
          </cell>
          <cell r="AO1850">
            <v>0</v>
          </cell>
          <cell r="AP1850">
            <v>0</v>
          </cell>
          <cell r="AQ1850">
            <v>0</v>
          </cell>
          <cell r="BA1850">
            <v>0</v>
          </cell>
          <cell r="BC1850">
            <v>0</v>
          </cell>
        </row>
        <row r="1851">
          <cell r="A1851">
            <v>0</v>
          </cell>
          <cell r="B1851">
            <v>0</v>
          </cell>
          <cell r="E1851">
            <v>0</v>
          </cell>
          <cell r="F1851">
            <v>0</v>
          </cell>
          <cell r="AO1851">
            <v>0</v>
          </cell>
          <cell r="AP1851">
            <v>0</v>
          </cell>
          <cell r="AQ1851">
            <v>0</v>
          </cell>
          <cell r="BA1851">
            <v>0</v>
          </cell>
          <cell r="BC1851">
            <v>0</v>
          </cell>
        </row>
        <row r="1852">
          <cell r="A1852">
            <v>0</v>
          </cell>
          <cell r="B1852">
            <v>0</v>
          </cell>
          <cell r="E1852">
            <v>0</v>
          </cell>
          <cell r="F1852">
            <v>0</v>
          </cell>
          <cell r="AO1852">
            <v>0</v>
          </cell>
          <cell r="AP1852">
            <v>0</v>
          </cell>
          <cell r="AQ1852">
            <v>0</v>
          </cell>
          <cell r="BA1852">
            <v>0</v>
          </cell>
          <cell r="BC1852">
            <v>0</v>
          </cell>
        </row>
        <row r="1853">
          <cell r="A1853">
            <v>0</v>
          </cell>
          <cell r="B1853">
            <v>0</v>
          </cell>
          <cell r="E1853">
            <v>0</v>
          </cell>
          <cell r="F1853">
            <v>0</v>
          </cell>
          <cell r="AO1853">
            <v>0</v>
          </cell>
          <cell r="AP1853">
            <v>0</v>
          </cell>
          <cell r="AQ1853">
            <v>0</v>
          </cell>
          <cell r="BA1853">
            <v>0</v>
          </cell>
          <cell r="BC1853">
            <v>0</v>
          </cell>
        </row>
        <row r="1854">
          <cell r="A1854">
            <v>0</v>
          </cell>
          <cell r="B1854">
            <v>0</v>
          </cell>
          <cell r="E1854">
            <v>0</v>
          </cell>
          <cell r="F1854">
            <v>0</v>
          </cell>
          <cell r="AO1854">
            <v>0</v>
          </cell>
          <cell r="AP1854">
            <v>0</v>
          </cell>
          <cell r="AQ1854">
            <v>0</v>
          </cell>
          <cell r="BA1854">
            <v>0</v>
          </cell>
          <cell r="BC1854">
            <v>0</v>
          </cell>
        </row>
        <row r="1855">
          <cell r="A1855">
            <v>0</v>
          </cell>
          <cell r="B1855">
            <v>0</v>
          </cell>
          <cell r="E1855">
            <v>0</v>
          </cell>
          <cell r="F1855">
            <v>0</v>
          </cell>
          <cell r="AO1855">
            <v>0</v>
          </cell>
          <cell r="AP1855">
            <v>0</v>
          </cell>
          <cell r="AQ1855">
            <v>0</v>
          </cell>
          <cell r="BA1855">
            <v>0</v>
          </cell>
          <cell r="BC1855">
            <v>0</v>
          </cell>
        </row>
        <row r="1856">
          <cell r="A1856">
            <v>0</v>
          </cell>
          <cell r="B1856">
            <v>0</v>
          </cell>
          <cell r="E1856">
            <v>0</v>
          </cell>
          <cell r="F1856">
            <v>0</v>
          </cell>
          <cell r="AO1856">
            <v>0</v>
          </cell>
          <cell r="AP1856">
            <v>0</v>
          </cell>
          <cell r="AQ1856">
            <v>0</v>
          </cell>
          <cell r="BA1856">
            <v>0</v>
          </cell>
          <cell r="BC1856">
            <v>0</v>
          </cell>
        </row>
        <row r="1857">
          <cell r="A1857">
            <v>0</v>
          </cell>
          <cell r="B1857">
            <v>0</v>
          </cell>
          <cell r="E1857">
            <v>0</v>
          </cell>
          <cell r="F1857">
            <v>0</v>
          </cell>
          <cell r="AO1857">
            <v>0</v>
          </cell>
          <cell r="AP1857">
            <v>0</v>
          </cell>
          <cell r="AQ1857">
            <v>0</v>
          </cell>
          <cell r="BA1857">
            <v>0</v>
          </cell>
          <cell r="BC1857">
            <v>0</v>
          </cell>
        </row>
        <row r="1858">
          <cell r="A1858">
            <v>0</v>
          </cell>
          <cell r="B1858">
            <v>0</v>
          </cell>
          <cell r="E1858">
            <v>0</v>
          </cell>
          <cell r="F1858">
            <v>0</v>
          </cell>
          <cell r="AO1858">
            <v>0</v>
          </cell>
          <cell r="AP1858">
            <v>0</v>
          </cell>
          <cell r="AQ1858">
            <v>0</v>
          </cell>
          <cell r="BA1858">
            <v>0</v>
          </cell>
          <cell r="BC1858">
            <v>0</v>
          </cell>
        </row>
        <row r="1859">
          <cell r="A1859">
            <v>0</v>
          </cell>
          <cell r="B1859">
            <v>0</v>
          </cell>
          <cell r="E1859">
            <v>0</v>
          </cell>
          <cell r="F1859">
            <v>0</v>
          </cell>
          <cell r="AO1859">
            <v>0</v>
          </cell>
          <cell r="AP1859">
            <v>0</v>
          </cell>
          <cell r="AQ1859">
            <v>0</v>
          </cell>
          <cell r="BA1859">
            <v>0</v>
          </cell>
          <cell r="BC1859">
            <v>0</v>
          </cell>
        </row>
        <row r="1860">
          <cell r="A1860">
            <v>0</v>
          </cell>
          <cell r="B1860">
            <v>0</v>
          </cell>
          <cell r="E1860">
            <v>0</v>
          </cell>
          <cell r="F1860">
            <v>0</v>
          </cell>
          <cell r="AO1860">
            <v>0</v>
          </cell>
          <cell r="AP1860">
            <v>0</v>
          </cell>
          <cell r="AQ1860">
            <v>0</v>
          </cell>
          <cell r="BA1860">
            <v>0</v>
          </cell>
          <cell r="BC1860">
            <v>0</v>
          </cell>
        </row>
        <row r="1861">
          <cell r="A1861">
            <v>0</v>
          </cell>
          <cell r="B1861">
            <v>0</v>
          </cell>
          <cell r="E1861">
            <v>0</v>
          </cell>
          <cell r="F1861">
            <v>0</v>
          </cell>
          <cell r="AO1861">
            <v>0</v>
          </cell>
          <cell r="AP1861">
            <v>0</v>
          </cell>
          <cell r="AQ1861">
            <v>0</v>
          </cell>
          <cell r="BA1861">
            <v>0</v>
          </cell>
          <cell r="BC1861">
            <v>0</v>
          </cell>
        </row>
        <row r="1862">
          <cell r="A1862">
            <v>0</v>
          </cell>
          <cell r="B1862">
            <v>0</v>
          </cell>
          <cell r="E1862">
            <v>0</v>
          </cell>
          <cell r="F1862">
            <v>0</v>
          </cell>
          <cell r="AO1862">
            <v>0</v>
          </cell>
          <cell r="AP1862">
            <v>0</v>
          </cell>
          <cell r="AQ1862">
            <v>0</v>
          </cell>
          <cell r="BA1862">
            <v>0</v>
          </cell>
          <cell r="BC1862">
            <v>0</v>
          </cell>
        </row>
        <row r="1863">
          <cell r="A1863">
            <v>0</v>
          </cell>
          <cell r="B1863">
            <v>0</v>
          </cell>
          <cell r="E1863">
            <v>0</v>
          </cell>
          <cell r="F1863">
            <v>0</v>
          </cell>
          <cell r="AO1863">
            <v>0</v>
          </cell>
          <cell r="AP1863">
            <v>0</v>
          </cell>
          <cell r="AQ1863">
            <v>0</v>
          </cell>
          <cell r="BA1863">
            <v>0</v>
          </cell>
          <cell r="BC1863">
            <v>0</v>
          </cell>
        </row>
        <row r="1864">
          <cell r="A1864">
            <v>0</v>
          </cell>
          <cell r="B1864">
            <v>0</v>
          </cell>
          <cell r="E1864">
            <v>0</v>
          </cell>
          <cell r="F1864">
            <v>0</v>
          </cell>
          <cell r="AO1864">
            <v>0</v>
          </cell>
          <cell r="AP1864">
            <v>0</v>
          </cell>
          <cell r="AQ1864">
            <v>0</v>
          </cell>
          <cell r="BA1864">
            <v>0</v>
          </cell>
          <cell r="BC1864">
            <v>0</v>
          </cell>
        </row>
        <row r="1865">
          <cell r="A1865">
            <v>0</v>
          </cell>
          <cell r="B1865">
            <v>0</v>
          </cell>
          <cell r="E1865">
            <v>0</v>
          </cell>
          <cell r="F1865">
            <v>0</v>
          </cell>
          <cell r="AO1865">
            <v>0</v>
          </cell>
          <cell r="AP1865">
            <v>0</v>
          </cell>
          <cell r="AQ1865">
            <v>0</v>
          </cell>
          <cell r="BA1865">
            <v>0</v>
          </cell>
          <cell r="BC1865">
            <v>0</v>
          </cell>
        </row>
        <row r="1866">
          <cell r="A1866">
            <v>0</v>
          </cell>
          <cell r="B1866">
            <v>0</v>
          </cell>
          <cell r="E1866">
            <v>0</v>
          </cell>
          <cell r="F1866">
            <v>0</v>
          </cell>
          <cell r="AO1866">
            <v>0</v>
          </cell>
          <cell r="AP1866">
            <v>0</v>
          </cell>
          <cell r="AQ1866">
            <v>0</v>
          </cell>
          <cell r="BA1866">
            <v>0</v>
          </cell>
          <cell r="BC1866">
            <v>0</v>
          </cell>
        </row>
        <row r="1867">
          <cell r="A1867">
            <v>0</v>
          </cell>
          <cell r="B1867">
            <v>0</v>
          </cell>
          <cell r="E1867">
            <v>0</v>
          </cell>
          <cell r="F1867">
            <v>0</v>
          </cell>
          <cell r="AO1867">
            <v>0</v>
          </cell>
          <cell r="AP1867">
            <v>0</v>
          </cell>
          <cell r="AQ1867">
            <v>0</v>
          </cell>
          <cell r="BA1867">
            <v>0</v>
          </cell>
          <cell r="BC1867">
            <v>0</v>
          </cell>
        </row>
        <row r="1868">
          <cell r="A1868">
            <v>0</v>
          </cell>
          <cell r="B1868">
            <v>0</v>
          </cell>
          <cell r="E1868">
            <v>0</v>
          </cell>
          <cell r="F1868">
            <v>0</v>
          </cell>
          <cell r="AO1868">
            <v>0</v>
          </cell>
          <cell r="AP1868">
            <v>0</v>
          </cell>
          <cell r="AQ1868">
            <v>0</v>
          </cell>
          <cell r="BA1868">
            <v>0</v>
          </cell>
          <cell r="BC1868">
            <v>0</v>
          </cell>
        </row>
        <row r="1869">
          <cell r="A1869">
            <v>0</v>
          </cell>
          <cell r="B1869">
            <v>0</v>
          </cell>
          <cell r="E1869">
            <v>0</v>
          </cell>
          <cell r="F1869">
            <v>0</v>
          </cell>
          <cell r="AO1869">
            <v>0</v>
          </cell>
          <cell r="AP1869">
            <v>0</v>
          </cell>
          <cell r="AQ1869">
            <v>0</v>
          </cell>
          <cell r="BA1869">
            <v>0</v>
          </cell>
          <cell r="BC1869">
            <v>0</v>
          </cell>
        </row>
        <row r="1870">
          <cell r="A1870">
            <v>0</v>
          </cell>
          <cell r="B1870">
            <v>0</v>
          </cell>
          <cell r="E1870">
            <v>0</v>
          </cell>
          <cell r="F1870">
            <v>0</v>
          </cell>
          <cell r="AO1870">
            <v>0</v>
          </cell>
          <cell r="AP1870">
            <v>0</v>
          </cell>
          <cell r="AQ1870">
            <v>0</v>
          </cell>
          <cell r="BA1870">
            <v>0</v>
          </cell>
          <cell r="BC1870">
            <v>0</v>
          </cell>
        </row>
        <row r="1871">
          <cell r="A1871">
            <v>0</v>
          </cell>
          <cell r="B1871">
            <v>0</v>
          </cell>
          <cell r="E1871">
            <v>0</v>
          </cell>
          <cell r="F1871">
            <v>0</v>
          </cell>
          <cell r="AO1871">
            <v>0</v>
          </cell>
          <cell r="AP1871">
            <v>0</v>
          </cell>
          <cell r="AQ1871">
            <v>0</v>
          </cell>
          <cell r="BA1871">
            <v>0</v>
          </cell>
          <cell r="BC1871">
            <v>0</v>
          </cell>
        </row>
        <row r="1872">
          <cell r="A1872">
            <v>0</v>
          </cell>
          <cell r="B1872">
            <v>0</v>
          </cell>
          <cell r="E1872">
            <v>0</v>
          </cell>
          <cell r="F1872">
            <v>0</v>
          </cell>
          <cell r="AO1872">
            <v>0</v>
          </cell>
          <cell r="AP1872">
            <v>0</v>
          </cell>
          <cell r="AQ1872">
            <v>0</v>
          </cell>
          <cell r="BA1872">
            <v>0</v>
          </cell>
          <cell r="BC1872">
            <v>0</v>
          </cell>
        </row>
        <row r="1873">
          <cell r="A1873">
            <v>0</v>
          </cell>
          <cell r="B1873">
            <v>0</v>
          </cell>
          <cell r="E1873">
            <v>0</v>
          </cell>
          <cell r="F1873">
            <v>0</v>
          </cell>
          <cell r="AO1873">
            <v>0</v>
          </cell>
          <cell r="AP1873">
            <v>0</v>
          </cell>
          <cell r="AQ1873">
            <v>0</v>
          </cell>
          <cell r="BA1873">
            <v>0</v>
          </cell>
          <cell r="BC1873">
            <v>0</v>
          </cell>
        </row>
        <row r="1874">
          <cell r="A1874">
            <v>0</v>
          </cell>
          <cell r="B1874">
            <v>0</v>
          </cell>
          <cell r="E1874">
            <v>0</v>
          </cell>
          <cell r="F1874">
            <v>0</v>
          </cell>
          <cell r="AO1874">
            <v>0</v>
          </cell>
          <cell r="AP1874">
            <v>0</v>
          </cell>
          <cell r="AQ1874">
            <v>0</v>
          </cell>
          <cell r="BA1874">
            <v>0</v>
          </cell>
          <cell r="BC1874">
            <v>0</v>
          </cell>
        </row>
        <row r="1875">
          <cell r="A1875">
            <v>0</v>
          </cell>
          <cell r="B1875">
            <v>0</v>
          </cell>
          <cell r="E1875">
            <v>0</v>
          </cell>
          <cell r="F1875">
            <v>0</v>
          </cell>
          <cell r="AO1875">
            <v>0</v>
          </cell>
          <cell r="AP1875">
            <v>0</v>
          </cell>
          <cell r="AQ1875">
            <v>0</v>
          </cell>
          <cell r="BA1875">
            <v>0</v>
          </cell>
          <cell r="BC1875">
            <v>0</v>
          </cell>
        </row>
        <row r="1876">
          <cell r="A1876">
            <v>0</v>
          </cell>
          <cell r="B1876">
            <v>0</v>
          </cell>
          <cell r="E1876">
            <v>0</v>
          </cell>
          <cell r="F1876">
            <v>0</v>
          </cell>
          <cell r="AO1876">
            <v>0</v>
          </cell>
          <cell r="AP1876">
            <v>0</v>
          </cell>
          <cell r="AQ1876">
            <v>0</v>
          </cell>
          <cell r="BA1876">
            <v>0</v>
          </cell>
          <cell r="BC1876">
            <v>0</v>
          </cell>
        </row>
        <row r="1877">
          <cell r="A1877">
            <v>0</v>
          </cell>
          <cell r="B1877">
            <v>0</v>
          </cell>
          <cell r="E1877">
            <v>0</v>
          </cell>
          <cell r="F1877">
            <v>0</v>
          </cell>
          <cell r="AO1877">
            <v>0</v>
          </cell>
          <cell r="AP1877">
            <v>0</v>
          </cell>
          <cell r="AQ1877">
            <v>0</v>
          </cell>
          <cell r="BA1877">
            <v>0</v>
          </cell>
          <cell r="BC1877">
            <v>0</v>
          </cell>
        </row>
        <row r="1878">
          <cell r="A1878">
            <v>0</v>
          </cell>
          <cell r="B1878">
            <v>0</v>
          </cell>
          <cell r="E1878">
            <v>0</v>
          </cell>
          <cell r="F1878">
            <v>0</v>
          </cell>
          <cell r="AO1878">
            <v>0</v>
          </cell>
          <cell r="AP1878">
            <v>0</v>
          </cell>
          <cell r="AQ1878">
            <v>0</v>
          </cell>
          <cell r="BA1878">
            <v>0</v>
          </cell>
          <cell r="BC1878">
            <v>0</v>
          </cell>
        </row>
        <row r="1879">
          <cell r="A1879">
            <v>0</v>
          </cell>
          <cell r="B1879">
            <v>0</v>
          </cell>
          <cell r="E1879">
            <v>0</v>
          </cell>
          <cell r="F1879">
            <v>0</v>
          </cell>
          <cell r="AO1879">
            <v>0</v>
          </cell>
          <cell r="AP1879">
            <v>0</v>
          </cell>
          <cell r="AQ1879">
            <v>0</v>
          </cell>
          <cell r="BA1879">
            <v>0</v>
          </cell>
          <cell r="BC1879">
            <v>0</v>
          </cell>
        </row>
        <row r="1880">
          <cell r="A1880">
            <v>0</v>
          </cell>
          <cell r="B1880">
            <v>0</v>
          </cell>
          <cell r="E1880">
            <v>0</v>
          </cell>
          <cell r="F1880">
            <v>0</v>
          </cell>
          <cell r="AO1880">
            <v>0</v>
          </cell>
          <cell r="AP1880">
            <v>0</v>
          </cell>
          <cell r="AQ1880">
            <v>0</v>
          </cell>
          <cell r="BA1880">
            <v>0</v>
          </cell>
          <cell r="BC1880">
            <v>0</v>
          </cell>
        </row>
        <row r="1881">
          <cell r="A1881">
            <v>0</v>
          </cell>
          <cell r="B1881">
            <v>0</v>
          </cell>
          <cell r="E1881">
            <v>0</v>
          </cell>
          <cell r="F1881">
            <v>0</v>
          </cell>
          <cell r="AO1881">
            <v>0</v>
          </cell>
          <cell r="AP1881">
            <v>0</v>
          </cell>
          <cell r="AQ1881">
            <v>0</v>
          </cell>
          <cell r="BA1881">
            <v>0</v>
          </cell>
          <cell r="BC1881">
            <v>0</v>
          </cell>
        </row>
        <row r="1882">
          <cell r="A1882">
            <v>0</v>
          </cell>
          <cell r="B1882">
            <v>0</v>
          </cell>
          <cell r="E1882">
            <v>0</v>
          </cell>
          <cell r="F1882">
            <v>0</v>
          </cell>
          <cell r="AO1882">
            <v>0</v>
          </cell>
          <cell r="AP1882">
            <v>0</v>
          </cell>
          <cell r="AQ1882">
            <v>0</v>
          </cell>
          <cell r="BA1882">
            <v>0</v>
          </cell>
          <cell r="BC1882">
            <v>0</v>
          </cell>
        </row>
        <row r="1883">
          <cell r="A1883">
            <v>0</v>
          </cell>
          <cell r="B1883">
            <v>0</v>
          </cell>
          <cell r="E1883">
            <v>0</v>
          </cell>
          <cell r="F1883">
            <v>0</v>
          </cell>
          <cell r="AO1883">
            <v>0</v>
          </cell>
          <cell r="AP1883">
            <v>0</v>
          </cell>
          <cell r="AQ1883">
            <v>0</v>
          </cell>
          <cell r="BA1883">
            <v>0</v>
          </cell>
          <cell r="BC1883">
            <v>0</v>
          </cell>
        </row>
        <row r="1884">
          <cell r="A1884">
            <v>0</v>
          </cell>
          <cell r="B1884">
            <v>0</v>
          </cell>
          <cell r="E1884">
            <v>0</v>
          </cell>
          <cell r="F1884">
            <v>0</v>
          </cell>
          <cell r="AO1884">
            <v>0</v>
          </cell>
          <cell r="AP1884">
            <v>0</v>
          </cell>
          <cell r="AQ1884">
            <v>0</v>
          </cell>
          <cell r="BA1884">
            <v>0</v>
          </cell>
          <cell r="BC1884">
            <v>0</v>
          </cell>
        </row>
        <row r="1885">
          <cell r="A1885">
            <v>0</v>
          </cell>
          <cell r="B1885">
            <v>0</v>
          </cell>
          <cell r="E1885">
            <v>0</v>
          </cell>
          <cell r="F1885">
            <v>0</v>
          </cell>
          <cell r="AO1885">
            <v>0</v>
          </cell>
          <cell r="AP1885">
            <v>0</v>
          </cell>
          <cell r="AQ1885">
            <v>0</v>
          </cell>
          <cell r="BA1885">
            <v>0</v>
          </cell>
          <cell r="BC1885">
            <v>0</v>
          </cell>
        </row>
        <row r="1886">
          <cell r="A1886">
            <v>0</v>
          </cell>
          <cell r="B1886">
            <v>0</v>
          </cell>
          <cell r="E1886">
            <v>0</v>
          </cell>
          <cell r="F1886">
            <v>0</v>
          </cell>
          <cell r="AO1886">
            <v>0</v>
          </cell>
          <cell r="AP1886">
            <v>0</v>
          </cell>
          <cell r="AQ1886">
            <v>0</v>
          </cell>
          <cell r="BA1886">
            <v>0</v>
          </cell>
          <cell r="BC1886">
            <v>0</v>
          </cell>
        </row>
        <row r="1887">
          <cell r="A1887">
            <v>0</v>
          </cell>
          <cell r="B1887">
            <v>0</v>
          </cell>
          <cell r="E1887">
            <v>0</v>
          </cell>
          <cell r="F1887">
            <v>0</v>
          </cell>
          <cell r="AO1887">
            <v>0</v>
          </cell>
          <cell r="AP1887">
            <v>0</v>
          </cell>
          <cell r="AQ1887">
            <v>0</v>
          </cell>
          <cell r="BA1887">
            <v>0</v>
          </cell>
          <cell r="BC1887">
            <v>0</v>
          </cell>
        </row>
        <row r="1888">
          <cell r="A1888">
            <v>0</v>
          </cell>
          <cell r="B1888">
            <v>0</v>
          </cell>
          <cell r="E1888">
            <v>0</v>
          </cell>
          <cell r="F1888">
            <v>0</v>
          </cell>
          <cell r="AO1888">
            <v>0</v>
          </cell>
          <cell r="AP1888">
            <v>0</v>
          </cell>
          <cell r="AQ1888">
            <v>0</v>
          </cell>
          <cell r="BA1888">
            <v>0</v>
          </cell>
          <cell r="BC1888">
            <v>0</v>
          </cell>
        </row>
        <row r="1889">
          <cell r="A1889">
            <v>0</v>
          </cell>
          <cell r="B1889">
            <v>0</v>
          </cell>
          <cell r="E1889">
            <v>0</v>
          </cell>
          <cell r="F1889">
            <v>0</v>
          </cell>
          <cell r="AO1889">
            <v>0</v>
          </cell>
          <cell r="AP1889">
            <v>0</v>
          </cell>
          <cell r="AQ1889">
            <v>0</v>
          </cell>
          <cell r="BA1889">
            <v>0</v>
          </cell>
          <cell r="BC1889">
            <v>0</v>
          </cell>
        </row>
        <row r="1890">
          <cell r="A1890">
            <v>0</v>
          </cell>
          <cell r="B1890">
            <v>0</v>
          </cell>
          <cell r="E1890">
            <v>0</v>
          </cell>
          <cell r="F1890">
            <v>0</v>
          </cell>
          <cell r="AO1890">
            <v>0</v>
          </cell>
          <cell r="AP1890">
            <v>0</v>
          </cell>
          <cell r="AQ1890">
            <v>0</v>
          </cell>
          <cell r="BA1890">
            <v>0</v>
          </cell>
          <cell r="BC1890">
            <v>0</v>
          </cell>
        </row>
        <row r="1891">
          <cell r="A1891">
            <v>0</v>
          </cell>
          <cell r="B1891">
            <v>0</v>
          </cell>
          <cell r="E1891">
            <v>0</v>
          </cell>
          <cell r="F1891">
            <v>0</v>
          </cell>
          <cell r="AO1891">
            <v>0</v>
          </cell>
          <cell r="AP1891">
            <v>0</v>
          </cell>
          <cell r="AQ1891">
            <v>0</v>
          </cell>
          <cell r="BA1891">
            <v>0</v>
          </cell>
          <cell r="BC1891">
            <v>0</v>
          </cell>
        </row>
        <row r="1892">
          <cell r="A1892">
            <v>0</v>
          </cell>
          <cell r="B1892">
            <v>0</v>
          </cell>
          <cell r="E1892">
            <v>0</v>
          </cell>
          <cell r="F1892">
            <v>0</v>
          </cell>
          <cell r="AO1892">
            <v>0</v>
          </cell>
          <cell r="AP1892">
            <v>0</v>
          </cell>
          <cell r="AQ1892">
            <v>0</v>
          </cell>
          <cell r="BA1892">
            <v>0</v>
          </cell>
          <cell r="BC1892">
            <v>0</v>
          </cell>
        </row>
        <row r="1893">
          <cell r="A1893">
            <v>0</v>
          </cell>
          <cell r="B1893">
            <v>0</v>
          </cell>
          <cell r="E1893">
            <v>0</v>
          </cell>
          <cell r="F1893">
            <v>0</v>
          </cell>
          <cell r="AO1893">
            <v>0</v>
          </cell>
          <cell r="AP1893">
            <v>0</v>
          </cell>
          <cell r="AQ1893">
            <v>0</v>
          </cell>
          <cell r="BA1893">
            <v>0</v>
          </cell>
          <cell r="BC1893">
            <v>0</v>
          </cell>
        </row>
        <row r="1894">
          <cell r="A1894">
            <v>0</v>
          </cell>
          <cell r="B1894">
            <v>0</v>
          </cell>
          <cell r="E1894">
            <v>0</v>
          </cell>
          <cell r="F1894">
            <v>0</v>
          </cell>
          <cell r="AO1894">
            <v>0</v>
          </cell>
          <cell r="AP1894">
            <v>0</v>
          </cell>
          <cell r="AQ1894">
            <v>0</v>
          </cell>
          <cell r="BA1894">
            <v>0</v>
          </cell>
          <cell r="BC1894">
            <v>0</v>
          </cell>
        </row>
        <row r="1895">
          <cell r="A1895">
            <v>0</v>
          </cell>
          <cell r="B1895">
            <v>0</v>
          </cell>
          <cell r="E1895">
            <v>0</v>
          </cell>
          <cell r="F1895">
            <v>0</v>
          </cell>
          <cell r="AO1895">
            <v>0</v>
          </cell>
          <cell r="AP1895">
            <v>0</v>
          </cell>
          <cell r="AQ1895">
            <v>0</v>
          </cell>
          <cell r="BA1895">
            <v>0</v>
          </cell>
          <cell r="BC1895">
            <v>0</v>
          </cell>
        </row>
        <row r="1896">
          <cell r="A1896">
            <v>0</v>
          </cell>
          <cell r="B1896">
            <v>0</v>
          </cell>
          <cell r="E1896">
            <v>0</v>
          </cell>
          <cell r="F1896">
            <v>0</v>
          </cell>
          <cell r="AO1896">
            <v>0</v>
          </cell>
          <cell r="AP1896">
            <v>0</v>
          </cell>
          <cell r="AQ1896">
            <v>0</v>
          </cell>
          <cell r="BA1896">
            <v>0</v>
          </cell>
          <cell r="BC1896">
            <v>0</v>
          </cell>
        </row>
        <row r="1897">
          <cell r="A1897">
            <v>0</v>
          </cell>
          <cell r="B1897">
            <v>0</v>
          </cell>
          <cell r="E1897">
            <v>0</v>
          </cell>
          <cell r="F1897">
            <v>0</v>
          </cell>
          <cell r="AO1897">
            <v>0</v>
          </cell>
          <cell r="AP1897">
            <v>0</v>
          </cell>
          <cell r="AQ1897">
            <v>0</v>
          </cell>
          <cell r="BA1897">
            <v>0</v>
          </cell>
          <cell r="BC1897">
            <v>0</v>
          </cell>
        </row>
        <row r="1898">
          <cell r="A1898">
            <v>0</v>
          </cell>
          <cell r="B1898">
            <v>0</v>
          </cell>
          <cell r="E1898">
            <v>0</v>
          </cell>
          <cell r="F1898">
            <v>0</v>
          </cell>
          <cell r="AO1898">
            <v>0</v>
          </cell>
          <cell r="AP1898">
            <v>0</v>
          </cell>
          <cell r="AQ1898">
            <v>0</v>
          </cell>
          <cell r="BA1898">
            <v>0</v>
          </cell>
          <cell r="BC1898">
            <v>0</v>
          </cell>
        </row>
        <row r="1899">
          <cell r="A1899">
            <v>0</v>
          </cell>
          <cell r="B1899">
            <v>0</v>
          </cell>
          <cell r="E1899">
            <v>0</v>
          </cell>
          <cell r="F1899">
            <v>0</v>
          </cell>
          <cell r="AO1899">
            <v>0</v>
          </cell>
          <cell r="AP1899">
            <v>0</v>
          </cell>
          <cell r="AQ1899">
            <v>0</v>
          </cell>
          <cell r="BA1899">
            <v>0</v>
          </cell>
          <cell r="BC1899">
            <v>0</v>
          </cell>
        </row>
        <row r="1900">
          <cell r="A1900">
            <v>0</v>
          </cell>
          <cell r="B1900">
            <v>0</v>
          </cell>
          <cell r="E1900">
            <v>0</v>
          </cell>
          <cell r="F1900">
            <v>0</v>
          </cell>
          <cell r="AO1900">
            <v>0</v>
          </cell>
          <cell r="AP1900">
            <v>0</v>
          </cell>
          <cell r="AQ1900">
            <v>0</v>
          </cell>
          <cell r="BA1900">
            <v>0</v>
          </cell>
          <cell r="BC1900">
            <v>0</v>
          </cell>
        </row>
        <row r="1901">
          <cell r="A1901">
            <v>0</v>
          </cell>
          <cell r="B1901">
            <v>0</v>
          </cell>
          <cell r="E1901">
            <v>0</v>
          </cell>
          <cell r="F1901">
            <v>0</v>
          </cell>
          <cell r="AO1901">
            <v>0</v>
          </cell>
          <cell r="AP1901">
            <v>0</v>
          </cell>
          <cell r="AQ1901">
            <v>0</v>
          </cell>
          <cell r="BA1901">
            <v>0</v>
          </cell>
          <cell r="BC1901">
            <v>0</v>
          </cell>
        </row>
        <row r="1902">
          <cell r="A1902">
            <v>0</v>
          </cell>
          <cell r="B1902">
            <v>0</v>
          </cell>
          <cell r="E1902">
            <v>0</v>
          </cell>
          <cell r="F1902">
            <v>0</v>
          </cell>
          <cell r="AO1902">
            <v>0</v>
          </cell>
          <cell r="AP1902">
            <v>0</v>
          </cell>
          <cell r="AQ1902">
            <v>0</v>
          </cell>
          <cell r="BA1902">
            <v>0</v>
          </cell>
          <cell r="BC1902">
            <v>0</v>
          </cell>
        </row>
        <row r="1903">
          <cell r="A1903">
            <v>0</v>
          </cell>
          <cell r="B1903">
            <v>0</v>
          </cell>
          <cell r="E1903">
            <v>0</v>
          </cell>
          <cell r="F1903">
            <v>0</v>
          </cell>
          <cell r="AO1903">
            <v>0</v>
          </cell>
          <cell r="AP1903">
            <v>0</v>
          </cell>
          <cell r="AQ1903">
            <v>0</v>
          </cell>
          <cell r="BA1903">
            <v>0</v>
          </cell>
          <cell r="BC1903">
            <v>0</v>
          </cell>
        </row>
        <row r="1904">
          <cell r="A1904">
            <v>0</v>
          </cell>
          <cell r="B1904">
            <v>0</v>
          </cell>
          <cell r="E1904">
            <v>0</v>
          </cell>
          <cell r="F1904">
            <v>0</v>
          </cell>
          <cell r="AO1904">
            <v>0</v>
          </cell>
          <cell r="AP1904">
            <v>0</v>
          </cell>
          <cell r="AQ1904">
            <v>0</v>
          </cell>
          <cell r="BA1904">
            <v>0</v>
          </cell>
          <cell r="BC1904">
            <v>0</v>
          </cell>
        </row>
        <row r="1905">
          <cell r="A1905">
            <v>0</v>
          </cell>
          <cell r="B1905">
            <v>0</v>
          </cell>
          <cell r="E1905">
            <v>0</v>
          </cell>
          <cell r="F1905">
            <v>0</v>
          </cell>
          <cell r="AO1905">
            <v>0</v>
          </cell>
          <cell r="AP1905">
            <v>0</v>
          </cell>
          <cell r="AQ1905">
            <v>0</v>
          </cell>
          <cell r="BA1905">
            <v>0</v>
          </cell>
          <cell r="BC1905">
            <v>0</v>
          </cell>
        </row>
        <row r="1906">
          <cell r="A1906">
            <v>0</v>
          </cell>
          <cell r="B1906">
            <v>0</v>
          </cell>
          <cell r="E1906">
            <v>0</v>
          </cell>
          <cell r="F1906">
            <v>0</v>
          </cell>
          <cell r="AO1906">
            <v>0</v>
          </cell>
          <cell r="AP1906">
            <v>0</v>
          </cell>
          <cell r="AQ1906">
            <v>0</v>
          </cell>
          <cell r="BA1906">
            <v>0</v>
          </cell>
          <cell r="BC1906">
            <v>0</v>
          </cell>
        </row>
        <row r="1907">
          <cell r="A1907">
            <v>0</v>
          </cell>
          <cell r="B1907">
            <v>0</v>
          </cell>
          <cell r="E1907">
            <v>0</v>
          </cell>
          <cell r="F1907">
            <v>0</v>
          </cell>
          <cell r="AO1907">
            <v>0</v>
          </cell>
          <cell r="AP1907">
            <v>0</v>
          </cell>
          <cell r="AQ1907">
            <v>0</v>
          </cell>
          <cell r="BA1907">
            <v>0</v>
          </cell>
          <cell r="BC1907">
            <v>0</v>
          </cell>
        </row>
        <row r="1908">
          <cell r="A1908">
            <v>0</v>
          </cell>
          <cell r="B1908">
            <v>0</v>
          </cell>
          <cell r="E1908">
            <v>0</v>
          </cell>
          <cell r="F1908">
            <v>0</v>
          </cell>
          <cell r="AO1908">
            <v>0</v>
          </cell>
          <cell r="AP1908">
            <v>0</v>
          </cell>
          <cell r="AQ1908">
            <v>0</v>
          </cell>
          <cell r="BA1908">
            <v>0</v>
          </cell>
          <cell r="BC1908">
            <v>0</v>
          </cell>
        </row>
        <row r="1909">
          <cell r="A1909">
            <v>0</v>
          </cell>
          <cell r="B1909">
            <v>0</v>
          </cell>
          <cell r="E1909">
            <v>0</v>
          </cell>
          <cell r="F1909">
            <v>0</v>
          </cell>
          <cell r="AO1909">
            <v>0</v>
          </cell>
          <cell r="AP1909">
            <v>0</v>
          </cell>
          <cell r="AQ1909">
            <v>0</v>
          </cell>
          <cell r="BA1909">
            <v>0</v>
          </cell>
          <cell r="BC1909">
            <v>0</v>
          </cell>
        </row>
        <row r="1910">
          <cell r="A1910">
            <v>0</v>
          </cell>
          <cell r="B1910">
            <v>0</v>
          </cell>
          <cell r="E1910">
            <v>0</v>
          </cell>
          <cell r="F1910">
            <v>0</v>
          </cell>
          <cell r="AO1910">
            <v>0</v>
          </cell>
          <cell r="AP1910">
            <v>0</v>
          </cell>
          <cell r="AQ1910">
            <v>0</v>
          </cell>
          <cell r="BA1910">
            <v>0</v>
          </cell>
          <cell r="BC1910">
            <v>0</v>
          </cell>
        </row>
        <row r="1911">
          <cell r="A1911">
            <v>0</v>
          </cell>
          <cell r="B1911">
            <v>0</v>
          </cell>
          <cell r="E1911">
            <v>0</v>
          </cell>
          <cell r="F1911">
            <v>0</v>
          </cell>
          <cell r="AO1911">
            <v>0</v>
          </cell>
          <cell r="AP1911">
            <v>0</v>
          </cell>
          <cell r="AQ1911">
            <v>0</v>
          </cell>
          <cell r="BA1911">
            <v>0</v>
          </cell>
          <cell r="BC1911">
            <v>0</v>
          </cell>
        </row>
        <row r="1912">
          <cell r="A1912">
            <v>0</v>
          </cell>
          <cell r="B1912">
            <v>0</v>
          </cell>
          <cell r="E1912">
            <v>0</v>
          </cell>
          <cell r="F1912">
            <v>0</v>
          </cell>
          <cell r="AO1912">
            <v>0</v>
          </cell>
          <cell r="AP1912">
            <v>0</v>
          </cell>
          <cell r="AQ1912">
            <v>0</v>
          </cell>
          <cell r="BA1912">
            <v>0</v>
          </cell>
          <cell r="BC1912">
            <v>0</v>
          </cell>
        </row>
        <row r="1913">
          <cell r="A1913">
            <v>0</v>
          </cell>
          <cell r="B1913">
            <v>0</v>
          </cell>
          <cell r="E1913">
            <v>0</v>
          </cell>
          <cell r="F1913">
            <v>0</v>
          </cell>
          <cell r="AO1913">
            <v>0</v>
          </cell>
          <cell r="AP1913">
            <v>0</v>
          </cell>
          <cell r="AQ1913">
            <v>0</v>
          </cell>
          <cell r="BA1913">
            <v>0</v>
          </cell>
          <cell r="BC1913">
            <v>0</v>
          </cell>
        </row>
        <row r="1914">
          <cell r="A1914">
            <v>0</v>
          </cell>
          <cell r="B1914">
            <v>0</v>
          </cell>
          <cell r="E1914">
            <v>0</v>
          </cell>
          <cell r="F1914">
            <v>0</v>
          </cell>
          <cell r="AO1914">
            <v>0</v>
          </cell>
          <cell r="AP1914">
            <v>0</v>
          </cell>
          <cell r="AQ1914">
            <v>0</v>
          </cell>
          <cell r="BA1914">
            <v>0</v>
          </cell>
          <cell r="BC1914">
            <v>0</v>
          </cell>
        </row>
        <row r="1915">
          <cell r="A1915">
            <v>0</v>
          </cell>
          <cell r="B1915">
            <v>0</v>
          </cell>
          <cell r="E1915">
            <v>0</v>
          </cell>
          <cell r="F1915">
            <v>0</v>
          </cell>
          <cell r="AO1915">
            <v>0</v>
          </cell>
          <cell r="AP1915">
            <v>0</v>
          </cell>
          <cell r="AQ1915">
            <v>0</v>
          </cell>
          <cell r="BA1915">
            <v>0</v>
          </cell>
          <cell r="BC1915">
            <v>0</v>
          </cell>
        </row>
        <row r="1916">
          <cell r="A1916">
            <v>0</v>
          </cell>
          <cell r="B1916">
            <v>0</v>
          </cell>
          <cell r="E1916">
            <v>0</v>
          </cell>
          <cell r="F1916">
            <v>0</v>
          </cell>
          <cell r="AO1916">
            <v>0</v>
          </cell>
          <cell r="AP1916">
            <v>0</v>
          </cell>
          <cell r="AQ1916">
            <v>0</v>
          </cell>
          <cell r="BA1916">
            <v>0</v>
          </cell>
          <cell r="BC1916">
            <v>0</v>
          </cell>
        </row>
        <row r="1917">
          <cell r="A1917">
            <v>0</v>
          </cell>
          <cell r="B1917">
            <v>0</v>
          </cell>
          <cell r="E1917">
            <v>0</v>
          </cell>
          <cell r="F1917">
            <v>0</v>
          </cell>
          <cell r="AO1917">
            <v>0</v>
          </cell>
          <cell r="AP1917">
            <v>0</v>
          </cell>
          <cell r="AQ1917">
            <v>0</v>
          </cell>
          <cell r="BA1917">
            <v>0</v>
          </cell>
          <cell r="BC1917">
            <v>0</v>
          </cell>
        </row>
        <row r="1918">
          <cell r="A1918">
            <v>0</v>
          </cell>
          <cell r="B1918">
            <v>0</v>
          </cell>
          <cell r="E1918">
            <v>0</v>
          </cell>
          <cell r="F1918">
            <v>0</v>
          </cell>
          <cell r="AO1918">
            <v>0</v>
          </cell>
          <cell r="AP1918">
            <v>0</v>
          </cell>
          <cell r="AQ1918">
            <v>0</v>
          </cell>
          <cell r="BA1918">
            <v>0</v>
          </cell>
          <cell r="BC1918">
            <v>0</v>
          </cell>
        </row>
        <row r="1919">
          <cell r="A1919">
            <v>0</v>
          </cell>
          <cell r="B1919">
            <v>0</v>
          </cell>
          <cell r="E1919">
            <v>0</v>
          </cell>
          <cell r="F1919">
            <v>0</v>
          </cell>
          <cell r="AO1919">
            <v>0</v>
          </cell>
          <cell r="AP1919">
            <v>0</v>
          </cell>
          <cell r="AQ1919">
            <v>0</v>
          </cell>
          <cell r="BA1919">
            <v>0</v>
          </cell>
          <cell r="BC1919">
            <v>0</v>
          </cell>
        </row>
        <row r="1920">
          <cell r="A1920">
            <v>0</v>
          </cell>
          <cell r="B1920">
            <v>0</v>
          </cell>
          <cell r="E1920">
            <v>0</v>
          </cell>
          <cell r="F1920">
            <v>0</v>
          </cell>
          <cell r="AO1920">
            <v>0</v>
          </cell>
          <cell r="AP1920">
            <v>0</v>
          </cell>
          <cell r="AQ1920">
            <v>0</v>
          </cell>
          <cell r="BA1920">
            <v>0</v>
          </cell>
          <cell r="BC1920">
            <v>0</v>
          </cell>
        </row>
        <row r="1921">
          <cell r="A1921">
            <v>0</v>
          </cell>
          <cell r="B1921">
            <v>0</v>
          </cell>
          <cell r="E1921">
            <v>0</v>
          </cell>
          <cell r="F1921">
            <v>0</v>
          </cell>
          <cell r="AO1921">
            <v>0</v>
          </cell>
          <cell r="AP1921">
            <v>0</v>
          </cell>
          <cell r="AQ1921">
            <v>0</v>
          </cell>
          <cell r="BA1921">
            <v>0</v>
          </cell>
          <cell r="BC1921">
            <v>0</v>
          </cell>
        </row>
        <row r="1922">
          <cell r="A1922">
            <v>0</v>
          </cell>
          <cell r="B1922">
            <v>0</v>
          </cell>
          <cell r="E1922">
            <v>0</v>
          </cell>
          <cell r="F1922">
            <v>0</v>
          </cell>
          <cell r="AO1922">
            <v>0</v>
          </cell>
          <cell r="AP1922">
            <v>0</v>
          </cell>
          <cell r="AQ1922">
            <v>0</v>
          </cell>
          <cell r="BA1922">
            <v>0</v>
          </cell>
          <cell r="BC1922">
            <v>0</v>
          </cell>
        </row>
        <row r="1923">
          <cell r="A1923">
            <v>0</v>
          </cell>
          <cell r="B1923">
            <v>0</v>
          </cell>
          <cell r="E1923">
            <v>0</v>
          </cell>
          <cell r="F1923">
            <v>0</v>
          </cell>
          <cell r="AO1923">
            <v>0</v>
          </cell>
          <cell r="AP1923">
            <v>0</v>
          </cell>
          <cell r="AQ1923">
            <v>0</v>
          </cell>
          <cell r="BA1923">
            <v>0</v>
          </cell>
          <cell r="BC1923">
            <v>0</v>
          </cell>
        </row>
        <row r="1924">
          <cell r="A1924">
            <v>0</v>
          </cell>
          <cell r="B1924">
            <v>0</v>
          </cell>
          <cell r="E1924">
            <v>0</v>
          </cell>
          <cell r="F1924">
            <v>0</v>
          </cell>
          <cell r="AO1924">
            <v>0</v>
          </cell>
          <cell r="AP1924">
            <v>0</v>
          </cell>
          <cell r="AQ1924">
            <v>0</v>
          </cell>
          <cell r="BA1924">
            <v>0</v>
          </cell>
          <cell r="BC1924">
            <v>0</v>
          </cell>
        </row>
        <row r="1925">
          <cell r="A1925">
            <v>0</v>
          </cell>
          <cell r="B1925">
            <v>0</v>
          </cell>
          <cell r="E1925">
            <v>0</v>
          </cell>
          <cell r="F1925">
            <v>0</v>
          </cell>
          <cell r="AO1925">
            <v>0</v>
          </cell>
          <cell r="AP1925">
            <v>0</v>
          </cell>
          <cell r="AQ1925">
            <v>0</v>
          </cell>
          <cell r="BA1925">
            <v>0</v>
          </cell>
          <cell r="BC1925">
            <v>0</v>
          </cell>
        </row>
        <row r="1926">
          <cell r="A1926">
            <v>0</v>
          </cell>
          <cell r="B1926">
            <v>0</v>
          </cell>
          <cell r="E1926">
            <v>0</v>
          </cell>
          <cell r="F1926">
            <v>0</v>
          </cell>
          <cell r="AO1926">
            <v>0</v>
          </cell>
          <cell r="AP1926">
            <v>0</v>
          </cell>
          <cell r="AQ1926">
            <v>0</v>
          </cell>
          <cell r="BA1926">
            <v>0</v>
          </cell>
          <cell r="BC1926">
            <v>0</v>
          </cell>
        </row>
        <row r="1927">
          <cell r="A1927">
            <v>0</v>
          </cell>
          <cell r="B1927">
            <v>0</v>
          </cell>
          <cell r="E1927">
            <v>0</v>
          </cell>
          <cell r="F1927">
            <v>0</v>
          </cell>
          <cell r="AO1927">
            <v>0</v>
          </cell>
          <cell r="AP1927">
            <v>0</v>
          </cell>
          <cell r="AQ1927">
            <v>0</v>
          </cell>
          <cell r="BA1927">
            <v>0</v>
          </cell>
          <cell r="BC1927">
            <v>0</v>
          </cell>
        </row>
        <row r="1928">
          <cell r="A1928">
            <v>0</v>
          </cell>
          <cell r="B1928">
            <v>0</v>
          </cell>
          <cell r="E1928">
            <v>0</v>
          </cell>
          <cell r="F1928">
            <v>0</v>
          </cell>
          <cell r="AO1928">
            <v>0</v>
          </cell>
          <cell r="AP1928">
            <v>0</v>
          </cell>
          <cell r="AQ1928">
            <v>0</v>
          </cell>
          <cell r="BA1928">
            <v>0</v>
          </cell>
          <cell r="BC1928">
            <v>0</v>
          </cell>
        </row>
        <row r="1929">
          <cell r="A1929">
            <v>0</v>
          </cell>
          <cell r="B1929">
            <v>0</v>
          </cell>
          <cell r="E1929">
            <v>0</v>
          </cell>
          <cell r="F1929">
            <v>0</v>
          </cell>
          <cell r="AO1929">
            <v>0</v>
          </cell>
          <cell r="AP1929">
            <v>0</v>
          </cell>
          <cell r="AQ1929">
            <v>0</v>
          </cell>
          <cell r="BA1929">
            <v>0</v>
          </cell>
          <cell r="BC1929">
            <v>0</v>
          </cell>
        </row>
        <row r="1930">
          <cell r="A1930">
            <v>0</v>
          </cell>
          <cell r="B1930">
            <v>0</v>
          </cell>
          <cell r="E1930">
            <v>0</v>
          </cell>
          <cell r="F1930">
            <v>0</v>
          </cell>
          <cell r="AO1930">
            <v>0</v>
          </cell>
          <cell r="AP1930">
            <v>0</v>
          </cell>
          <cell r="AQ1930">
            <v>0</v>
          </cell>
          <cell r="BA1930">
            <v>0</v>
          </cell>
          <cell r="BC1930">
            <v>0</v>
          </cell>
        </row>
        <row r="1931">
          <cell r="A1931">
            <v>0</v>
          </cell>
          <cell r="B1931">
            <v>0</v>
          </cell>
          <cell r="E1931">
            <v>0</v>
          </cell>
          <cell r="F1931">
            <v>0</v>
          </cell>
          <cell r="AO1931">
            <v>0</v>
          </cell>
          <cell r="AP1931">
            <v>0</v>
          </cell>
          <cell r="AQ1931">
            <v>0</v>
          </cell>
          <cell r="BA1931">
            <v>0</v>
          </cell>
          <cell r="BC1931">
            <v>0</v>
          </cell>
        </row>
        <row r="1932">
          <cell r="A1932">
            <v>0</v>
          </cell>
          <cell r="B1932">
            <v>0</v>
          </cell>
          <cell r="E1932">
            <v>0</v>
          </cell>
          <cell r="F1932">
            <v>0</v>
          </cell>
          <cell r="AO1932">
            <v>0</v>
          </cell>
          <cell r="AP1932">
            <v>0</v>
          </cell>
          <cell r="AQ1932">
            <v>0</v>
          </cell>
          <cell r="BA1932">
            <v>0</v>
          </cell>
          <cell r="BC1932">
            <v>0</v>
          </cell>
        </row>
        <row r="1933">
          <cell r="A1933">
            <v>0</v>
          </cell>
          <cell r="B1933">
            <v>0</v>
          </cell>
          <cell r="E1933">
            <v>0</v>
          </cell>
          <cell r="F1933">
            <v>0</v>
          </cell>
          <cell r="AO1933">
            <v>0</v>
          </cell>
          <cell r="AP1933">
            <v>0</v>
          </cell>
          <cell r="AQ1933">
            <v>0</v>
          </cell>
          <cell r="BA1933">
            <v>0</v>
          </cell>
          <cell r="BC1933">
            <v>0</v>
          </cell>
        </row>
        <row r="1934">
          <cell r="A1934">
            <v>0</v>
          </cell>
          <cell r="B1934">
            <v>0</v>
          </cell>
          <cell r="E1934">
            <v>0</v>
          </cell>
          <cell r="F1934">
            <v>0</v>
          </cell>
          <cell r="AO1934">
            <v>0</v>
          </cell>
          <cell r="AP1934">
            <v>0</v>
          </cell>
          <cell r="AQ1934">
            <v>0</v>
          </cell>
          <cell r="BA1934">
            <v>0</v>
          </cell>
          <cell r="BC1934">
            <v>0</v>
          </cell>
        </row>
        <row r="1935">
          <cell r="A1935">
            <v>0</v>
          </cell>
          <cell r="B1935">
            <v>0</v>
          </cell>
          <cell r="E1935">
            <v>0</v>
          </cell>
          <cell r="F1935">
            <v>0</v>
          </cell>
          <cell r="AO1935">
            <v>0</v>
          </cell>
          <cell r="AP1935">
            <v>0</v>
          </cell>
          <cell r="AQ1935">
            <v>0</v>
          </cell>
          <cell r="BA1935">
            <v>0</v>
          </cell>
          <cell r="BC1935">
            <v>0</v>
          </cell>
        </row>
        <row r="1936">
          <cell r="A1936">
            <v>0</v>
          </cell>
          <cell r="B1936">
            <v>0</v>
          </cell>
          <cell r="E1936">
            <v>0</v>
          </cell>
          <cell r="F1936">
            <v>0</v>
          </cell>
          <cell r="AO1936">
            <v>0</v>
          </cell>
          <cell r="AP1936">
            <v>0</v>
          </cell>
          <cell r="AQ1936">
            <v>0</v>
          </cell>
          <cell r="BA1936">
            <v>0</v>
          </cell>
          <cell r="BC1936">
            <v>0</v>
          </cell>
        </row>
        <row r="1937">
          <cell r="A1937">
            <v>0</v>
          </cell>
          <cell r="B1937">
            <v>0</v>
          </cell>
          <cell r="E1937">
            <v>0</v>
          </cell>
          <cell r="F1937">
            <v>0</v>
          </cell>
          <cell r="AO1937">
            <v>0</v>
          </cell>
          <cell r="AP1937">
            <v>0</v>
          </cell>
          <cell r="AQ1937">
            <v>0</v>
          </cell>
          <cell r="BA1937">
            <v>0</v>
          </cell>
          <cell r="BC1937">
            <v>0</v>
          </cell>
        </row>
        <row r="1938">
          <cell r="A1938">
            <v>0</v>
          </cell>
          <cell r="B1938">
            <v>0</v>
          </cell>
          <cell r="E1938">
            <v>0</v>
          </cell>
          <cell r="F1938">
            <v>0</v>
          </cell>
          <cell r="AO1938">
            <v>0</v>
          </cell>
          <cell r="AP1938">
            <v>0</v>
          </cell>
          <cell r="AQ1938">
            <v>0</v>
          </cell>
          <cell r="BA1938">
            <v>0</v>
          </cell>
          <cell r="BC1938">
            <v>0</v>
          </cell>
        </row>
        <row r="1939">
          <cell r="A1939">
            <v>0</v>
          </cell>
          <cell r="B1939">
            <v>0</v>
          </cell>
          <cell r="E1939">
            <v>0</v>
          </cell>
          <cell r="F1939">
            <v>0</v>
          </cell>
          <cell r="AO1939">
            <v>0</v>
          </cell>
          <cell r="AP1939">
            <v>0</v>
          </cell>
          <cell r="AQ1939">
            <v>0</v>
          </cell>
          <cell r="BA1939">
            <v>0</v>
          </cell>
          <cell r="BC1939">
            <v>0</v>
          </cell>
        </row>
        <row r="1940">
          <cell r="A1940">
            <v>0</v>
          </cell>
          <cell r="B1940">
            <v>0</v>
          </cell>
          <cell r="E1940">
            <v>0</v>
          </cell>
          <cell r="F1940">
            <v>0</v>
          </cell>
          <cell r="AO1940">
            <v>0</v>
          </cell>
          <cell r="AP1940">
            <v>0</v>
          </cell>
          <cell r="AQ1940">
            <v>0</v>
          </cell>
          <cell r="BA1940">
            <v>0</v>
          </cell>
          <cell r="BC1940">
            <v>0</v>
          </cell>
        </row>
        <row r="1941">
          <cell r="A1941">
            <v>0</v>
          </cell>
          <cell r="B1941">
            <v>0</v>
          </cell>
          <cell r="E1941">
            <v>0</v>
          </cell>
          <cell r="F1941">
            <v>0</v>
          </cell>
          <cell r="AO1941">
            <v>0</v>
          </cell>
          <cell r="AP1941">
            <v>0</v>
          </cell>
          <cell r="AQ1941">
            <v>0</v>
          </cell>
          <cell r="BA1941">
            <v>0</v>
          </cell>
          <cell r="BC1941">
            <v>0</v>
          </cell>
        </row>
        <row r="1942">
          <cell r="A1942">
            <v>0</v>
          </cell>
          <cell r="B1942">
            <v>0</v>
          </cell>
          <cell r="E1942">
            <v>0</v>
          </cell>
          <cell r="F1942">
            <v>0</v>
          </cell>
          <cell r="AO1942">
            <v>0</v>
          </cell>
          <cell r="AP1942">
            <v>0</v>
          </cell>
          <cell r="AQ1942">
            <v>0</v>
          </cell>
          <cell r="BA1942">
            <v>0</v>
          </cell>
          <cell r="BC1942">
            <v>0</v>
          </cell>
        </row>
        <row r="1943">
          <cell r="A1943">
            <v>0</v>
          </cell>
          <cell r="B1943">
            <v>0</v>
          </cell>
          <cell r="E1943">
            <v>0</v>
          </cell>
          <cell r="F1943">
            <v>0</v>
          </cell>
          <cell r="AO1943">
            <v>0</v>
          </cell>
          <cell r="AP1943">
            <v>0</v>
          </cell>
          <cell r="AQ1943">
            <v>0</v>
          </cell>
          <cell r="BA1943">
            <v>0</v>
          </cell>
          <cell r="BC1943">
            <v>0</v>
          </cell>
        </row>
        <row r="1944">
          <cell r="A1944">
            <v>0</v>
          </cell>
          <cell r="B1944">
            <v>0</v>
          </cell>
          <cell r="E1944">
            <v>0</v>
          </cell>
          <cell r="F1944">
            <v>0</v>
          </cell>
          <cell r="AO1944">
            <v>0</v>
          </cell>
          <cell r="AP1944">
            <v>0</v>
          </cell>
          <cell r="AQ1944">
            <v>0</v>
          </cell>
          <cell r="BA1944">
            <v>0</v>
          </cell>
          <cell r="BC1944">
            <v>0</v>
          </cell>
        </row>
        <row r="1945">
          <cell r="A1945">
            <v>0</v>
          </cell>
          <cell r="B1945">
            <v>0</v>
          </cell>
          <cell r="E1945">
            <v>0</v>
          </cell>
          <cell r="F1945">
            <v>0</v>
          </cell>
          <cell r="AO1945">
            <v>0</v>
          </cell>
          <cell r="AP1945">
            <v>0</v>
          </cell>
          <cell r="AQ1945">
            <v>0</v>
          </cell>
          <cell r="BA1945">
            <v>0</v>
          </cell>
          <cell r="BC1945">
            <v>0</v>
          </cell>
        </row>
        <row r="1946">
          <cell r="A1946">
            <v>0</v>
          </cell>
          <cell r="B1946">
            <v>0</v>
          </cell>
          <cell r="E1946">
            <v>0</v>
          </cell>
          <cell r="F1946">
            <v>0</v>
          </cell>
          <cell r="AO1946">
            <v>0</v>
          </cell>
          <cell r="AP1946">
            <v>0</v>
          </cell>
          <cell r="AQ1946">
            <v>0</v>
          </cell>
          <cell r="BA1946">
            <v>0</v>
          </cell>
          <cell r="BC1946">
            <v>0</v>
          </cell>
        </row>
        <row r="1947">
          <cell r="A1947">
            <v>0</v>
          </cell>
          <cell r="B1947">
            <v>0</v>
          </cell>
          <cell r="E1947">
            <v>0</v>
          </cell>
          <cell r="F1947">
            <v>0</v>
          </cell>
          <cell r="AO1947">
            <v>0</v>
          </cell>
          <cell r="AP1947">
            <v>0</v>
          </cell>
          <cell r="AQ1947">
            <v>0</v>
          </cell>
          <cell r="BA1947">
            <v>0</v>
          </cell>
          <cell r="BC1947">
            <v>0</v>
          </cell>
        </row>
        <row r="1948">
          <cell r="A1948">
            <v>0</v>
          </cell>
          <cell r="B1948">
            <v>0</v>
          </cell>
          <cell r="E1948">
            <v>0</v>
          </cell>
          <cell r="F1948">
            <v>0</v>
          </cell>
          <cell r="AO1948">
            <v>0</v>
          </cell>
          <cell r="AP1948">
            <v>0</v>
          </cell>
          <cell r="AQ1948">
            <v>0</v>
          </cell>
          <cell r="BA1948">
            <v>0</v>
          </cell>
          <cell r="BC1948">
            <v>0</v>
          </cell>
        </row>
        <row r="1949">
          <cell r="A1949">
            <v>0</v>
          </cell>
          <cell r="B1949">
            <v>0</v>
          </cell>
          <cell r="E1949">
            <v>0</v>
          </cell>
          <cell r="F1949">
            <v>0</v>
          </cell>
          <cell r="AO1949">
            <v>0</v>
          </cell>
          <cell r="AP1949">
            <v>0</v>
          </cell>
          <cell r="AQ1949">
            <v>0</v>
          </cell>
          <cell r="BA1949">
            <v>0</v>
          </cell>
          <cell r="BC1949">
            <v>0</v>
          </cell>
        </row>
        <row r="1950">
          <cell r="A1950">
            <v>0</v>
          </cell>
          <cell r="B1950">
            <v>0</v>
          </cell>
          <cell r="E1950">
            <v>0</v>
          </cell>
          <cell r="F1950">
            <v>0</v>
          </cell>
          <cell r="AO1950">
            <v>0</v>
          </cell>
          <cell r="AP1950">
            <v>0</v>
          </cell>
          <cell r="AQ1950">
            <v>0</v>
          </cell>
          <cell r="BA1950">
            <v>0</v>
          </cell>
          <cell r="BC1950">
            <v>0</v>
          </cell>
        </row>
        <row r="1951">
          <cell r="A1951">
            <v>0</v>
          </cell>
          <cell r="B1951">
            <v>0</v>
          </cell>
          <cell r="E1951">
            <v>0</v>
          </cell>
          <cell r="F1951">
            <v>0</v>
          </cell>
          <cell r="AO1951">
            <v>0</v>
          </cell>
          <cell r="AP1951">
            <v>0</v>
          </cell>
          <cell r="AQ1951">
            <v>0</v>
          </cell>
          <cell r="BA1951">
            <v>0</v>
          </cell>
          <cell r="BC1951">
            <v>0</v>
          </cell>
        </row>
        <row r="1952">
          <cell r="A1952">
            <v>0</v>
          </cell>
          <cell r="B1952">
            <v>0</v>
          </cell>
          <cell r="E1952">
            <v>0</v>
          </cell>
          <cell r="F1952">
            <v>0</v>
          </cell>
          <cell r="AO1952">
            <v>0</v>
          </cell>
          <cell r="AP1952">
            <v>0</v>
          </cell>
          <cell r="AQ1952">
            <v>0</v>
          </cell>
          <cell r="BA1952">
            <v>0</v>
          </cell>
          <cell r="BC1952">
            <v>0</v>
          </cell>
        </row>
        <row r="1953">
          <cell r="A1953">
            <v>0</v>
          </cell>
          <cell r="B1953">
            <v>0</v>
          </cell>
          <cell r="E1953">
            <v>0</v>
          </cell>
          <cell r="F1953">
            <v>0</v>
          </cell>
          <cell r="AO1953">
            <v>0</v>
          </cell>
          <cell r="AP1953">
            <v>0</v>
          </cell>
          <cell r="AQ1953">
            <v>0</v>
          </cell>
          <cell r="BA1953">
            <v>0</v>
          </cell>
          <cell r="BC1953">
            <v>0</v>
          </cell>
        </row>
        <row r="1954">
          <cell r="A1954">
            <v>0</v>
          </cell>
          <cell r="B1954">
            <v>0</v>
          </cell>
          <cell r="E1954">
            <v>0</v>
          </cell>
          <cell r="F1954">
            <v>0</v>
          </cell>
          <cell r="AO1954">
            <v>0</v>
          </cell>
          <cell r="AP1954">
            <v>0</v>
          </cell>
          <cell r="AQ1954">
            <v>0</v>
          </cell>
          <cell r="BA1954">
            <v>0</v>
          </cell>
          <cell r="BC1954">
            <v>0</v>
          </cell>
        </row>
        <row r="1955">
          <cell r="A1955">
            <v>0</v>
          </cell>
          <cell r="B1955">
            <v>0</v>
          </cell>
          <cell r="E1955">
            <v>0</v>
          </cell>
          <cell r="F1955">
            <v>0</v>
          </cell>
          <cell r="AO1955">
            <v>0</v>
          </cell>
          <cell r="AP1955">
            <v>0</v>
          </cell>
          <cell r="AQ1955">
            <v>0</v>
          </cell>
          <cell r="BA1955">
            <v>0</v>
          </cell>
          <cell r="BC1955">
            <v>0</v>
          </cell>
        </row>
        <row r="1956">
          <cell r="A1956">
            <v>0</v>
          </cell>
          <cell r="B1956">
            <v>0</v>
          </cell>
          <cell r="E1956">
            <v>0</v>
          </cell>
          <cell r="F1956">
            <v>0</v>
          </cell>
          <cell r="AO1956">
            <v>0</v>
          </cell>
          <cell r="AP1956">
            <v>0</v>
          </cell>
          <cell r="AQ1956">
            <v>0</v>
          </cell>
          <cell r="BA1956">
            <v>0</v>
          </cell>
          <cell r="BC1956">
            <v>0</v>
          </cell>
        </row>
        <row r="1957">
          <cell r="A1957">
            <v>0</v>
          </cell>
          <cell r="B1957">
            <v>0</v>
          </cell>
          <cell r="E1957">
            <v>0</v>
          </cell>
          <cell r="F1957">
            <v>0</v>
          </cell>
          <cell r="AO1957">
            <v>0</v>
          </cell>
          <cell r="AP1957">
            <v>0</v>
          </cell>
          <cell r="AQ1957">
            <v>0</v>
          </cell>
          <cell r="BA1957">
            <v>0</v>
          </cell>
          <cell r="BC1957">
            <v>0</v>
          </cell>
        </row>
        <row r="1958">
          <cell r="A1958">
            <v>0</v>
          </cell>
          <cell r="B1958">
            <v>0</v>
          </cell>
          <cell r="E1958">
            <v>0</v>
          </cell>
          <cell r="F1958">
            <v>0</v>
          </cell>
          <cell r="AO1958">
            <v>0</v>
          </cell>
          <cell r="AP1958">
            <v>0</v>
          </cell>
          <cell r="AQ1958">
            <v>0</v>
          </cell>
          <cell r="BA1958">
            <v>0</v>
          </cell>
          <cell r="BC1958">
            <v>0</v>
          </cell>
        </row>
        <row r="1959">
          <cell r="A1959">
            <v>0</v>
          </cell>
          <cell r="B1959">
            <v>0</v>
          </cell>
          <cell r="E1959">
            <v>0</v>
          </cell>
          <cell r="F1959">
            <v>0</v>
          </cell>
          <cell r="AO1959">
            <v>0</v>
          </cell>
          <cell r="AP1959">
            <v>0</v>
          </cell>
          <cell r="AQ1959">
            <v>0</v>
          </cell>
          <cell r="BA1959">
            <v>0</v>
          </cell>
          <cell r="BC1959">
            <v>0</v>
          </cell>
        </row>
        <row r="1960">
          <cell r="A1960">
            <v>0</v>
          </cell>
          <cell r="B1960">
            <v>0</v>
          </cell>
          <cell r="E1960">
            <v>0</v>
          </cell>
          <cell r="F1960">
            <v>0</v>
          </cell>
          <cell r="AO1960">
            <v>0</v>
          </cell>
          <cell r="AP1960">
            <v>0</v>
          </cell>
          <cell r="AQ1960">
            <v>0</v>
          </cell>
          <cell r="BA1960">
            <v>0</v>
          </cell>
          <cell r="BC1960">
            <v>0</v>
          </cell>
        </row>
        <row r="1961">
          <cell r="A1961">
            <v>0</v>
          </cell>
          <cell r="B1961">
            <v>0</v>
          </cell>
          <cell r="E1961">
            <v>0</v>
          </cell>
          <cell r="F1961">
            <v>0</v>
          </cell>
          <cell r="AO1961">
            <v>0</v>
          </cell>
          <cell r="AP1961">
            <v>0</v>
          </cell>
          <cell r="AQ1961">
            <v>0</v>
          </cell>
          <cell r="BA1961">
            <v>0</v>
          </cell>
          <cell r="BC1961">
            <v>0</v>
          </cell>
        </row>
        <row r="1962">
          <cell r="A1962">
            <v>0</v>
          </cell>
          <cell r="B1962">
            <v>0</v>
          </cell>
          <cell r="E1962">
            <v>0</v>
          </cell>
          <cell r="F1962">
            <v>0</v>
          </cell>
          <cell r="AO1962">
            <v>0</v>
          </cell>
          <cell r="AP1962">
            <v>0</v>
          </cell>
          <cell r="AQ1962">
            <v>0</v>
          </cell>
          <cell r="BA1962">
            <v>0</v>
          </cell>
          <cell r="BC1962">
            <v>0</v>
          </cell>
        </row>
        <row r="1963">
          <cell r="A1963">
            <v>0</v>
          </cell>
          <cell r="B1963">
            <v>0</v>
          </cell>
          <cell r="E1963">
            <v>0</v>
          </cell>
          <cell r="F1963">
            <v>0</v>
          </cell>
          <cell r="AO1963">
            <v>0</v>
          </cell>
          <cell r="AP1963">
            <v>0</v>
          </cell>
          <cell r="AQ1963">
            <v>0</v>
          </cell>
          <cell r="BA1963">
            <v>0</v>
          </cell>
          <cell r="BC1963">
            <v>0</v>
          </cell>
        </row>
        <row r="1964">
          <cell r="A1964">
            <v>0</v>
          </cell>
          <cell r="B1964">
            <v>0</v>
          </cell>
          <cell r="E1964">
            <v>0</v>
          </cell>
          <cell r="F1964">
            <v>0</v>
          </cell>
          <cell r="AO1964">
            <v>0</v>
          </cell>
          <cell r="AP1964">
            <v>0</v>
          </cell>
          <cell r="AQ1964">
            <v>0</v>
          </cell>
          <cell r="BA1964">
            <v>0</v>
          </cell>
          <cell r="BC1964">
            <v>0</v>
          </cell>
        </row>
        <row r="1965">
          <cell r="A1965">
            <v>0</v>
          </cell>
          <cell r="B1965">
            <v>0</v>
          </cell>
          <cell r="E1965">
            <v>0</v>
          </cell>
          <cell r="F1965">
            <v>0</v>
          </cell>
          <cell r="AO1965">
            <v>0</v>
          </cell>
          <cell r="AP1965">
            <v>0</v>
          </cell>
          <cell r="AQ1965">
            <v>0</v>
          </cell>
          <cell r="BA1965">
            <v>0</v>
          </cell>
          <cell r="BC1965">
            <v>0</v>
          </cell>
        </row>
        <row r="1966">
          <cell r="A1966">
            <v>0</v>
          </cell>
          <cell r="B1966">
            <v>0</v>
          </cell>
          <cell r="E1966">
            <v>0</v>
          </cell>
          <cell r="F1966">
            <v>0</v>
          </cell>
          <cell r="AO1966">
            <v>0</v>
          </cell>
          <cell r="AP1966">
            <v>0</v>
          </cell>
          <cell r="AQ1966">
            <v>0</v>
          </cell>
          <cell r="BA1966">
            <v>0</v>
          </cell>
          <cell r="BC1966">
            <v>0</v>
          </cell>
        </row>
        <row r="1967">
          <cell r="A1967">
            <v>0</v>
          </cell>
          <cell r="B1967">
            <v>0</v>
          </cell>
          <cell r="E1967">
            <v>0</v>
          </cell>
          <cell r="F1967">
            <v>0</v>
          </cell>
          <cell r="AO1967">
            <v>0</v>
          </cell>
          <cell r="AP1967">
            <v>0</v>
          </cell>
          <cell r="AQ1967">
            <v>0</v>
          </cell>
          <cell r="BA1967">
            <v>0</v>
          </cell>
          <cell r="BC1967">
            <v>0</v>
          </cell>
        </row>
        <row r="1968">
          <cell r="A1968">
            <v>0</v>
          </cell>
          <cell r="B1968">
            <v>0</v>
          </cell>
          <cell r="E1968">
            <v>0</v>
          </cell>
          <cell r="F1968">
            <v>0</v>
          </cell>
          <cell r="AO1968">
            <v>0</v>
          </cell>
          <cell r="AP1968">
            <v>0</v>
          </cell>
          <cell r="AQ1968">
            <v>0</v>
          </cell>
          <cell r="BA1968">
            <v>0</v>
          </cell>
          <cell r="BC1968">
            <v>0</v>
          </cell>
        </row>
        <row r="1969">
          <cell r="A1969">
            <v>0</v>
          </cell>
          <cell r="B1969">
            <v>0</v>
          </cell>
          <cell r="E1969">
            <v>0</v>
          </cell>
          <cell r="F1969">
            <v>0</v>
          </cell>
          <cell r="AO1969">
            <v>0</v>
          </cell>
          <cell r="AP1969">
            <v>0</v>
          </cell>
          <cell r="AQ1969">
            <v>0</v>
          </cell>
          <cell r="BA1969">
            <v>0</v>
          </cell>
          <cell r="BC1969">
            <v>0</v>
          </cell>
        </row>
        <row r="1970">
          <cell r="A1970">
            <v>0</v>
          </cell>
          <cell r="B1970">
            <v>0</v>
          </cell>
          <cell r="E1970">
            <v>0</v>
          </cell>
          <cell r="F1970">
            <v>0</v>
          </cell>
          <cell r="AO1970">
            <v>0</v>
          </cell>
          <cell r="AP1970">
            <v>0</v>
          </cell>
          <cell r="AQ1970">
            <v>0</v>
          </cell>
          <cell r="BA1970">
            <v>0</v>
          </cell>
          <cell r="BC1970">
            <v>0</v>
          </cell>
        </row>
        <row r="1971">
          <cell r="A1971">
            <v>0</v>
          </cell>
          <cell r="B1971">
            <v>0</v>
          </cell>
          <cell r="E1971">
            <v>0</v>
          </cell>
          <cell r="F1971">
            <v>0</v>
          </cell>
          <cell r="AO1971">
            <v>0</v>
          </cell>
          <cell r="AP1971">
            <v>0</v>
          </cell>
          <cell r="AQ1971">
            <v>0</v>
          </cell>
          <cell r="BA1971">
            <v>0</v>
          </cell>
          <cell r="BC1971">
            <v>0</v>
          </cell>
        </row>
        <row r="1972">
          <cell r="A1972">
            <v>0</v>
          </cell>
          <cell r="B1972">
            <v>0</v>
          </cell>
          <cell r="E1972">
            <v>0</v>
          </cell>
          <cell r="F1972">
            <v>0</v>
          </cell>
          <cell r="AO1972">
            <v>0</v>
          </cell>
          <cell r="AP1972">
            <v>0</v>
          </cell>
          <cell r="AQ1972">
            <v>0</v>
          </cell>
          <cell r="BA1972">
            <v>0</v>
          </cell>
          <cell r="BC1972">
            <v>0</v>
          </cell>
        </row>
        <row r="1973">
          <cell r="A1973">
            <v>0</v>
          </cell>
          <cell r="B1973">
            <v>0</v>
          </cell>
          <cell r="E1973">
            <v>0</v>
          </cell>
          <cell r="F1973">
            <v>0</v>
          </cell>
          <cell r="AO1973">
            <v>0</v>
          </cell>
          <cell r="AP1973">
            <v>0</v>
          </cell>
          <cell r="AQ1973">
            <v>0</v>
          </cell>
          <cell r="BA1973">
            <v>0</v>
          </cell>
          <cell r="BC1973">
            <v>0</v>
          </cell>
        </row>
        <row r="1974">
          <cell r="A1974">
            <v>0</v>
          </cell>
          <cell r="B1974">
            <v>0</v>
          </cell>
          <cell r="E1974">
            <v>0</v>
          </cell>
          <cell r="F1974">
            <v>0</v>
          </cell>
          <cell r="AO1974">
            <v>0</v>
          </cell>
          <cell r="AP1974">
            <v>0</v>
          </cell>
          <cell r="AQ1974">
            <v>0</v>
          </cell>
          <cell r="BA1974">
            <v>0</v>
          </cell>
          <cell r="BC1974">
            <v>0</v>
          </cell>
        </row>
        <row r="1975">
          <cell r="A1975">
            <v>0</v>
          </cell>
          <cell r="B1975">
            <v>0</v>
          </cell>
          <cell r="E1975">
            <v>0</v>
          </cell>
          <cell r="F1975">
            <v>0</v>
          </cell>
          <cell r="AO1975">
            <v>0</v>
          </cell>
          <cell r="AP1975">
            <v>0</v>
          </cell>
          <cell r="AQ1975">
            <v>0</v>
          </cell>
          <cell r="BA1975">
            <v>0</v>
          </cell>
          <cell r="BC1975">
            <v>0</v>
          </cell>
        </row>
        <row r="1976">
          <cell r="A1976">
            <v>0</v>
          </cell>
          <cell r="B1976">
            <v>0</v>
          </cell>
          <cell r="E1976">
            <v>0</v>
          </cell>
          <cell r="F1976">
            <v>0</v>
          </cell>
          <cell r="AO1976">
            <v>0</v>
          </cell>
          <cell r="AP1976">
            <v>0</v>
          </cell>
          <cell r="AQ1976">
            <v>0</v>
          </cell>
          <cell r="BA1976">
            <v>0</v>
          </cell>
          <cell r="BC1976">
            <v>0</v>
          </cell>
        </row>
        <row r="1977">
          <cell r="A1977">
            <v>0</v>
          </cell>
          <cell r="B1977">
            <v>0</v>
          </cell>
          <cell r="E1977">
            <v>0</v>
          </cell>
          <cell r="F1977">
            <v>0</v>
          </cell>
          <cell r="AO1977">
            <v>0</v>
          </cell>
          <cell r="AP1977">
            <v>0</v>
          </cell>
          <cell r="AQ1977">
            <v>0</v>
          </cell>
          <cell r="BA1977">
            <v>0</v>
          </cell>
          <cell r="BC1977">
            <v>0</v>
          </cell>
        </row>
        <row r="1978">
          <cell r="A1978">
            <v>0</v>
          </cell>
          <cell r="B1978">
            <v>0</v>
          </cell>
          <cell r="E1978">
            <v>0</v>
          </cell>
          <cell r="F1978">
            <v>0</v>
          </cell>
          <cell r="AO1978">
            <v>0</v>
          </cell>
          <cell r="AP1978">
            <v>0</v>
          </cell>
          <cell r="AQ1978">
            <v>0</v>
          </cell>
          <cell r="BA1978">
            <v>0</v>
          </cell>
          <cell r="BC1978">
            <v>0</v>
          </cell>
        </row>
        <row r="1979">
          <cell r="A1979">
            <v>0</v>
          </cell>
          <cell r="B1979">
            <v>0</v>
          </cell>
          <cell r="E1979">
            <v>0</v>
          </cell>
          <cell r="F1979">
            <v>0</v>
          </cell>
          <cell r="AO1979">
            <v>0</v>
          </cell>
          <cell r="AP1979">
            <v>0</v>
          </cell>
          <cell r="AQ1979">
            <v>0</v>
          </cell>
          <cell r="BA1979">
            <v>0</v>
          </cell>
          <cell r="BC1979">
            <v>0</v>
          </cell>
        </row>
        <row r="1980">
          <cell r="A1980">
            <v>0</v>
          </cell>
          <cell r="B1980">
            <v>0</v>
          </cell>
          <cell r="E1980">
            <v>0</v>
          </cell>
          <cell r="F1980">
            <v>0</v>
          </cell>
          <cell r="AO1980">
            <v>0</v>
          </cell>
          <cell r="AP1980">
            <v>0</v>
          </cell>
          <cell r="AQ1980">
            <v>0</v>
          </cell>
          <cell r="BA1980">
            <v>0</v>
          </cell>
          <cell r="BC1980">
            <v>0</v>
          </cell>
        </row>
        <row r="1981">
          <cell r="A1981">
            <v>0</v>
          </cell>
          <cell r="B1981">
            <v>0</v>
          </cell>
          <cell r="E1981">
            <v>0</v>
          </cell>
          <cell r="F1981">
            <v>0</v>
          </cell>
          <cell r="AO1981">
            <v>0</v>
          </cell>
          <cell r="AP1981">
            <v>0</v>
          </cell>
          <cell r="AQ1981">
            <v>0</v>
          </cell>
          <cell r="BA1981">
            <v>0</v>
          </cell>
          <cell r="BC1981">
            <v>0</v>
          </cell>
        </row>
        <row r="1982">
          <cell r="A1982">
            <v>0</v>
          </cell>
          <cell r="B1982">
            <v>0</v>
          </cell>
          <cell r="E1982">
            <v>0</v>
          </cell>
          <cell r="F1982">
            <v>0</v>
          </cell>
          <cell r="AO1982">
            <v>0</v>
          </cell>
          <cell r="AP1982">
            <v>0</v>
          </cell>
          <cell r="AQ1982">
            <v>0</v>
          </cell>
          <cell r="BA1982">
            <v>0</v>
          </cell>
          <cell r="BC1982">
            <v>0</v>
          </cell>
        </row>
        <row r="1983">
          <cell r="A1983">
            <v>0</v>
          </cell>
          <cell r="B1983">
            <v>0</v>
          </cell>
          <cell r="E1983">
            <v>0</v>
          </cell>
          <cell r="F1983">
            <v>0</v>
          </cell>
          <cell r="AO1983">
            <v>0</v>
          </cell>
          <cell r="AP1983">
            <v>0</v>
          </cell>
          <cell r="AQ1983">
            <v>0</v>
          </cell>
          <cell r="BA1983">
            <v>0</v>
          </cell>
          <cell r="BC1983">
            <v>0</v>
          </cell>
        </row>
        <row r="1984">
          <cell r="A1984">
            <v>0</v>
          </cell>
          <cell r="B1984">
            <v>0</v>
          </cell>
          <cell r="E1984">
            <v>0</v>
          </cell>
          <cell r="F1984">
            <v>0</v>
          </cell>
          <cell r="AO1984">
            <v>0</v>
          </cell>
          <cell r="AP1984">
            <v>0</v>
          </cell>
          <cell r="AQ1984">
            <v>0</v>
          </cell>
          <cell r="BA1984">
            <v>0</v>
          </cell>
          <cell r="BC1984">
            <v>0</v>
          </cell>
        </row>
        <row r="1985">
          <cell r="A1985">
            <v>0</v>
          </cell>
          <cell r="B1985">
            <v>0</v>
          </cell>
          <cell r="E1985">
            <v>0</v>
          </cell>
          <cell r="F1985">
            <v>0</v>
          </cell>
          <cell r="AO1985">
            <v>0</v>
          </cell>
          <cell r="AP1985">
            <v>0</v>
          </cell>
          <cell r="AQ1985">
            <v>0</v>
          </cell>
          <cell r="BA1985">
            <v>0</v>
          </cell>
          <cell r="BC1985">
            <v>0</v>
          </cell>
        </row>
        <row r="1986">
          <cell r="A1986">
            <v>0</v>
          </cell>
          <cell r="B1986">
            <v>0</v>
          </cell>
          <cell r="E1986">
            <v>0</v>
          </cell>
          <cell r="F1986">
            <v>0</v>
          </cell>
          <cell r="AO1986">
            <v>0</v>
          </cell>
          <cell r="AP1986">
            <v>0</v>
          </cell>
          <cell r="AQ1986">
            <v>0</v>
          </cell>
          <cell r="BA1986">
            <v>0</v>
          </cell>
          <cell r="BC1986">
            <v>0</v>
          </cell>
        </row>
        <row r="1987">
          <cell r="A1987">
            <v>0</v>
          </cell>
          <cell r="B1987">
            <v>0</v>
          </cell>
          <cell r="E1987">
            <v>0</v>
          </cell>
          <cell r="F1987">
            <v>0</v>
          </cell>
          <cell r="AO1987">
            <v>0</v>
          </cell>
          <cell r="AP1987">
            <v>0</v>
          </cell>
          <cell r="AQ1987">
            <v>0</v>
          </cell>
          <cell r="BA1987">
            <v>0</v>
          </cell>
          <cell r="BC1987">
            <v>0</v>
          </cell>
        </row>
        <row r="1988">
          <cell r="A1988">
            <v>0</v>
          </cell>
          <cell r="B1988">
            <v>0</v>
          </cell>
          <cell r="E1988">
            <v>0</v>
          </cell>
          <cell r="F1988">
            <v>0</v>
          </cell>
          <cell r="AO1988">
            <v>0</v>
          </cell>
          <cell r="AP1988">
            <v>0</v>
          </cell>
          <cell r="AQ1988">
            <v>0</v>
          </cell>
          <cell r="BA1988">
            <v>0</v>
          </cell>
          <cell r="BC1988">
            <v>0</v>
          </cell>
        </row>
        <row r="1989">
          <cell r="A1989">
            <v>0</v>
          </cell>
          <cell r="B1989">
            <v>0</v>
          </cell>
          <cell r="E1989">
            <v>0</v>
          </cell>
          <cell r="F1989">
            <v>0</v>
          </cell>
          <cell r="AO1989">
            <v>0</v>
          </cell>
          <cell r="AP1989">
            <v>0</v>
          </cell>
          <cell r="AQ1989">
            <v>0</v>
          </cell>
          <cell r="BA1989">
            <v>0</v>
          </cell>
          <cell r="BC1989">
            <v>0</v>
          </cell>
        </row>
        <row r="1990">
          <cell r="A1990">
            <v>0</v>
          </cell>
          <cell r="B1990">
            <v>0</v>
          </cell>
          <cell r="E1990">
            <v>0</v>
          </cell>
          <cell r="F1990">
            <v>0</v>
          </cell>
          <cell r="AO1990">
            <v>0</v>
          </cell>
          <cell r="AP1990">
            <v>0</v>
          </cell>
          <cell r="AQ1990">
            <v>0</v>
          </cell>
          <cell r="BA1990">
            <v>0</v>
          </cell>
          <cell r="BC1990">
            <v>0</v>
          </cell>
        </row>
        <row r="1991">
          <cell r="A1991">
            <v>0</v>
          </cell>
          <cell r="B1991">
            <v>0</v>
          </cell>
          <cell r="E1991">
            <v>0</v>
          </cell>
          <cell r="F1991">
            <v>0</v>
          </cell>
          <cell r="AO1991">
            <v>0</v>
          </cell>
          <cell r="AP1991">
            <v>0</v>
          </cell>
          <cell r="AQ1991">
            <v>0</v>
          </cell>
          <cell r="BA1991">
            <v>0</v>
          </cell>
          <cell r="BC1991">
            <v>0</v>
          </cell>
        </row>
        <row r="1992">
          <cell r="A1992">
            <v>0</v>
          </cell>
          <cell r="B1992">
            <v>0</v>
          </cell>
          <cell r="E1992">
            <v>0</v>
          </cell>
          <cell r="F1992">
            <v>0</v>
          </cell>
          <cell r="AO1992">
            <v>0</v>
          </cell>
          <cell r="AP1992">
            <v>0</v>
          </cell>
          <cell r="AQ1992">
            <v>0</v>
          </cell>
          <cell r="BA1992">
            <v>0</v>
          </cell>
          <cell r="BC1992">
            <v>0</v>
          </cell>
        </row>
        <row r="1993">
          <cell r="A1993">
            <v>0</v>
          </cell>
          <cell r="B1993">
            <v>0</v>
          </cell>
          <cell r="E1993">
            <v>0</v>
          </cell>
          <cell r="F1993">
            <v>0</v>
          </cell>
          <cell r="AO1993">
            <v>0</v>
          </cell>
          <cell r="AP1993">
            <v>0</v>
          </cell>
          <cell r="AQ1993">
            <v>0</v>
          </cell>
          <cell r="BA1993">
            <v>0</v>
          </cell>
          <cell r="BC1993">
            <v>0</v>
          </cell>
        </row>
        <row r="1994">
          <cell r="A1994">
            <v>0</v>
          </cell>
          <cell r="B1994">
            <v>0</v>
          </cell>
          <cell r="E1994">
            <v>0</v>
          </cell>
          <cell r="F1994">
            <v>0</v>
          </cell>
          <cell r="AO1994">
            <v>0</v>
          </cell>
          <cell r="AP1994">
            <v>0</v>
          </cell>
          <cell r="AQ1994">
            <v>0</v>
          </cell>
          <cell r="BA1994">
            <v>0</v>
          </cell>
          <cell r="BC1994">
            <v>0</v>
          </cell>
        </row>
        <row r="1995">
          <cell r="A1995">
            <v>0</v>
          </cell>
          <cell r="B1995">
            <v>0</v>
          </cell>
          <cell r="E1995">
            <v>0</v>
          </cell>
          <cell r="F1995">
            <v>0</v>
          </cell>
          <cell r="AO1995">
            <v>0</v>
          </cell>
          <cell r="AP1995">
            <v>0</v>
          </cell>
          <cell r="AQ1995">
            <v>0</v>
          </cell>
          <cell r="BA1995">
            <v>0</v>
          </cell>
          <cell r="BC1995">
            <v>0</v>
          </cell>
        </row>
        <row r="1996">
          <cell r="A1996">
            <v>0</v>
          </cell>
          <cell r="B1996">
            <v>0</v>
          </cell>
          <cell r="E1996">
            <v>0</v>
          </cell>
          <cell r="F1996">
            <v>0</v>
          </cell>
          <cell r="AO1996">
            <v>0</v>
          </cell>
          <cell r="AP1996">
            <v>0</v>
          </cell>
          <cell r="AQ1996">
            <v>0</v>
          </cell>
          <cell r="BA1996">
            <v>0</v>
          </cell>
          <cell r="BC1996">
            <v>0</v>
          </cell>
        </row>
        <row r="1997">
          <cell r="A1997">
            <v>0</v>
          </cell>
          <cell r="B1997">
            <v>0</v>
          </cell>
          <cell r="E1997">
            <v>0</v>
          </cell>
          <cell r="F1997">
            <v>0</v>
          </cell>
          <cell r="AO1997">
            <v>0</v>
          </cell>
          <cell r="AP1997">
            <v>0</v>
          </cell>
          <cell r="AQ1997">
            <v>0</v>
          </cell>
          <cell r="BA1997">
            <v>0</v>
          </cell>
          <cell r="BC1997">
            <v>0</v>
          </cell>
        </row>
        <row r="1998">
          <cell r="A1998">
            <v>0</v>
          </cell>
          <cell r="B1998">
            <v>0</v>
          </cell>
          <cell r="E1998">
            <v>0</v>
          </cell>
          <cell r="F1998">
            <v>0</v>
          </cell>
          <cell r="AO1998">
            <v>0</v>
          </cell>
          <cell r="AP1998">
            <v>0</v>
          </cell>
          <cell r="AQ1998">
            <v>0</v>
          </cell>
          <cell r="BA1998">
            <v>0</v>
          </cell>
          <cell r="BC1998">
            <v>0</v>
          </cell>
        </row>
        <row r="1999">
          <cell r="A1999">
            <v>0</v>
          </cell>
          <cell r="B1999">
            <v>0</v>
          </cell>
          <cell r="E1999">
            <v>0</v>
          </cell>
          <cell r="F1999">
            <v>0</v>
          </cell>
          <cell r="AO1999">
            <v>0</v>
          </cell>
          <cell r="AP1999">
            <v>0</v>
          </cell>
          <cell r="AQ1999">
            <v>0</v>
          </cell>
          <cell r="BA1999">
            <v>0</v>
          </cell>
          <cell r="BC1999">
            <v>0</v>
          </cell>
        </row>
        <row r="2000">
          <cell r="A2000">
            <v>0</v>
          </cell>
          <cell r="B2000">
            <v>0</v>
          </cell>
          <cell r="E2000">
            <v>0</v>
          </cell>
          <cell r="F2000">
            <v>0</v>
          </cell>
          <cell r="AO2000">
            <v>0</v>
          </cell>
          <cell r="AP2000">
            <v>0</v>
          </cell>
          <cell r="AQ2000">
            <v>0</v>
          </cell>
          <cell r="BA2000">
            <v>0</v>
          </cell>
          <cell r="BC2000">
            <v>0</v>
          </cell>
        </row>
        <row r="2001">
          <cell r="A2001">
            <v>0</v>
          </cell>
          <cell r="B2001">
            <v>0</v>
          </cell>
          <cell r="E2001">
            <v>0</v>
          </cell>
          <cell r="F2001">
            <v>0</v>
          </cell>
          <cell r="AO2001">
            <v>0</v>
          </cell>
          <cell r="AP2001">
            <v>0</v>
          </cell>
          <cell r="AQ2001">
            <v>0</v>
          </cell>
          <cell r="BA2001">
            <v>0</v>
          </cell>
          <cell r="BC2001">
            <v>0</v>
          </cell>
        </row>
        <row r="2002">
          <cell r="A2002">
            <v>0</v>
          </cell>
          <cell r="B2002">
            <v>0</v>
          </cell>
          <cell r="E2002">
            <v>0</v>
          </cell>
          <cell r="F2002">
            <v>0</v>
          </cell>
          <cell r="AO2002">
            <v>0</v>
          </cell>
          <cell r="AP2002">
            <v>0</v>
          </cell>
          <cell r="AQ2002">
            <v>0</v>
          </cell>
          <cell r="BA2002">
            <v>0</v>
          </cell>
          <cell r="BC2002">
            <v>0</v>
          </cell>
        </row>
        <row r="2003">
          <cell r="A2003">
            <v>0</v>
          </cell>
          <cell r="B2003">
            <v>0</v>
          </cell>
          <cell r="E2003">
            <v>0</v>
          </cell>
          <cell r="F2003">
            <v>0</v>
          </cell>
          <cell r="AO2003">
            <v>0</v>
          </cell>
          <cell r="AP2003">
            <v>0</v>
          </cell>
          <cell r="AQ2003">
            <v>0</v>
          </cell>
          <cell r="BA2003">
            <v>0</v>
          </cell>
          <cell r="BC2003">
            <v>0</v>
          </cell>
        </row>
        <row r="2004">
          <cell r="A2004">
            <v>0</v>
          </cell>
          <cell r="B2004">
            <v>0</v>
          </cell>
          <cell r="E2004">
            <v>0</v>
          </cell>
          <cell r="F2004">
            <v>0</v>
          </cell>
          <cell r="AO2004">
            <v>0</v>
          </cell>
          <cell r="AP2004">
            <v>0</v>
          </cell>
          <cell r="AQ2004">
            <v>0</v>
          </cell>
          <cell r="BA2004">
            <v>0</v>
          </cell>
          <cell r="BC2004">
            <v>0</v>
          </cell>
        </row>
        <row r="2005">
          <cell r="A2005">
            <v>0</v>
          </cell>
          <cell r="B2005">
            <v>0</v>
          </cell>
          <cell r="E2005">
            <v>0</v>
          </cell>
          <cell r="F2005">
            <v>0</v>
          </cell>
          <cell r="AO2005">
            <v>0</v>
          </cell>
          <cell r="AP2005">
            <v>0</v>
          </cell>
          <cell r="AQ2005">
            <v>0</v>
          </cell>
          <cell r="BA2005">
            <v>0</v>
          </cell>
          <cell r="BC2005">
            <v>0</v>
          </cell>
        </row>
        <row r="2006">
          <cell r="A2006">
            <v>0</v>
          </cell>
          <cell r="B2006">
            <v>0</v>
          </cell>
          <cell r="E2006">
            <v>0</v>
          </cell>
          <cell r="F2006">
            <v>0</v>
          </cell>
          <cell r="AO2006">
            <v>0</v>
          </cell>
          <cell r="AP2006">
            <v>0</v>
          </cell>
          <cell r="AQ2006">
            <v>0</v>
          </cell>
          <cell r="BA2006">
            <v>0</v>
          </cell>
          <cell r="BC2006">
            <v>0</v>
          </cell>
        </row>
        <row r="2007">
          <cell r="A2007">
            <v>0</v>
          </cell>
          <cell r="B2007">
            <v>0</v>
          </cell>
          <cell r="E2007">
            <v>0</v>
          </cell>
          <cell r="F2007">
            <v>0</v>
          </cell>
          <cell r="AO2007">
            <v>0</v>
          </cell>
          <cell r="AP2007">
            <v>0</v>
          </cell>
          <cell r="AQ2007">
            <v>0</v>
          </cell>
          <cell r="BA2007">
            <v>0</v>
          </cell>
          <cell r="BC2007">
            <v>0</v>
          </cell>
        </row>
        <row r="2008">
          <cell r="A2008">
            <v>0</v>
          </cell>
          <cell r="B2008">
            <v>0</v>
          </cell>
          <cell r="E2008">
            <v>0</v>
          </cell>
          <cell r="F2008">
            <v>0</v>
          </cell>
          <cell r="AO2008">
            <v>0</v>
          </cell>
          <cell r="AP2008">
            <v>0</v>
          </cell>
          <cell r="AQ2008">
            <v>0</v>
          </cell>
          <cell r="BA2008">
            <v>0</v>
          </cell>
          <cell r="BC2008">
            <v>0</v>
          </cell>
        </row>
        <row r="2009">
          <cell r="A2009">
            <v>0</v>
          </cell>
          <cell r="B2009">
            <v>0</v>
          </cell>
          <cell r="E2009">
            <v>0</v>
          </cell>
          <cell r="F2009">
            <v>0</v>
          </cell>
          <cell r="AO2009">
            <v>0</v>
          </cell>
          <cell r="AP2009">
            <v>0</v>
          </cell>
          <cell r="AQ2009">
            <v>0</v>
          </cell>
          <cell r="BA2009">
            <v>0</v>
          </cell>
          <cell r="BC2009">
            <v>0</v>
          </cell>
        </row>
        <row r="2010">
          <cell r="A2010">
            <v>0</v>
          </cell>
          <cell r="B2010">
            <v>0</v>
          </cell>
          <cell r="E2010">
            <v>0</v>
          </cell>
          <cell r="F2010">
            <v>0</v>
          </cell>
          <cell r="AO2010">
            <v>0</v>
          </cell>
          <cell r="AP2010">
            <v>0</v>
          </cell>
          <cell r="AQ2010">
            <v>0</v>
          </cell>
          <cell r="BA2010">
            <v>0</v>
          </cell>
          <cell r="BC2010">
            <v>0</v>
          </cell>
        </row>
        <row r="2011">
          <cell r="A2011">
            <v>0</v>
          </cell>
          <cell r="B2011">
            <v>0</v>
          </cell>
          <cell r="E2011">
            <v>0</v>
          </cell>
          <cell r="F2011">
            <v>0</v>
          </cell>
          <cell r="AO2011">
            <v>0</v>
          </cell>
          <cell r="AP2011">
            <v>0</v>
          </cell>
          <cell r="AQ2011">
            <v>0</v>
          </cell>
          <cell r="BA2011">
            <v>0</v>
          </cell>
          <cell r="BC2011">
            <v>0</v>
          </cell>
        </row>
        <row r="2012">
          <cell r="A2012">
            <v>0</v>
          </cell>
          <cell r="B2012">
            <v>0</v>
          </cell>
          <cell r="E2012">
            <v>0</v>
          </cell>
          <cell r="F2012">
            <v>0</v>
          </cell>
          <cell r="AO2012">
            <v>0</v>
          </cell>
          <cell r="AP2012">
            <v>0</v>
          </cell>
          <cell r="AQ2012">
            <v>0</v>
          </cell>
          <cell r="BA2012">
            <v>0</v>
          </cell>
          <cell r="BC2012">
            <v>0</v>
          </cell>
        </row>
        <row r="2013">
          <cell r="A2013">
            <v>0</v>
          </cell>
          <cell r="B2013">
            <v>0</v>
          </cell>
          <cell r="E2013">
            <v>0</v>
          </cell>
          <cell r="F2013">
            <v>0</v>
          </cell>
          <cell r="AO2013">
            <v>0</v>
          </cell>
          <cell r="AP2013">
            <v>0</v>
          </cell>
          <cell r="AQ2013">
            <v>0</v>
          </cell>
          <cell r="BA2013">
            <v>0</v>
          </cell>
          <cell r="BC2013">
            <v>0</v>
          </cell>
        </row>
        <row r="2014">
          <cell r="A2014">
            <v>0</v>
          </cell>
          <cell r="B2014">
            <v>0</v>
          </cell>
          <cell r="E2014">
            <v>0</v>
          </cell>
          <cell r="F2014">
            <v>0</v>
          </cell>
          <cell r="AO2014">
            <v>0</v>
          </cell>
          <cell r="AP2014">
            <v>0</v>
          </cell>
          <cell r="AQ2014">
            <v>0</v>
          </cell>
          <cell r="BA2014">
            <v>0</v>
          </cell>
          <cell r="BC2014">
            <v>0</v>
          </cell>
        </row>
        <row r="2015">
          <cell r="A2015">
            <v>0</v>
          </cell>
          <cell r="B2015">
            <v>0</v>
          </cell>
          <cell r="E2015">
            <v>0</v>
          </cell>
          <cell r="F2015">
            <v>0</v>
          </cell>
          <cell r="AO2015">
            <v>0</v>
          </cell>
          <cell r="AP2015">
            <v>0</v>
          </cell>
          <cell r="AQ2015">
            <v>0</v>
          </cell>
          <cell r="BA2015">
            <v>0</v>
          </cell>
          <cell r="BC2015">
            <v>0</v>
          </cell>
        </row>
        <row r="2016">
          <cell r="A2016">
            <v>0</v>
          </cell>
          <cell r="B2016">
            <v>0</v>
          </cell>
          <cell r="E2016">
            <v>0</v>
          </cell>
          <cell r="F2016">
            <v>0</v>
          </cell>
          <cell r="AO2016">
            <v>0</v>
          </cell>
          <cell r="AP2016">
            <v>0</v>
          </cell>
          <cell r="AQ2016">
            <v>0</v>
          </cell>
          <cell r="BA2016">
            <v>0</v>
          </cell>
          <cell r="BC2016">
            <v>0</v>
          </cell>
        </row>
        <row r="2017">
          <cell r="A2017">
            <v>0</v>
          </cell>
          <cell r="B2017">
            <v>0</v>
          </cell>
          <cell r="E2017">
            <v>0</v>
          </cell>
          <cell r="F2017">
            <v>0</v>
          </cell>
          <cell r="AO2017">
            <v>0</v>
          </cell>
          <cell r="AP2017">
            <v>0</v>
          </cell>
          <cell r="AQ2017">
            <v>0</v>
          </cell>
          <cell r="BA2017">
            <v>0</v>
          </cell>
          <cell r="BC2017">
            <v>0</v>
          </cell>
        </row>
        <row r="2018">
          <cell r="A2018">
            <v>0</v>
          </cell>
          <cell r="B2018">
            <v>0</v>
          </cell>
          <cell r="E2018">
            <v>0</v>
          </cell>
          <cell r="F2018">
            <v>0</v>
          </cell>
          <cell r="AO2018">
            <v>0</v>
          </cell>
          <cell r="AP2018">
            <v>0</v>
          </cell>
          <cell r="AQ2018">
            <v>0</v>
          </cell>
          <cell r="BA2018">
            <v>0</v>
          </cell>
          <cell r="BC2018">
            <v>0</v>
          </cell>
        </row>
        <row r="2019">
          <cell r="A2019">
            <v>0</v>
          </cell>
          <cell r="B2019">
            <v>0</v>
          </cell>
          <cell r="E2019">
            <v>0</v>
          </cell>
          <cell r="F2019">
            <v>0</v>
          </cell>
          <cell r="AO2019">
            <v>0</v>
          </cell>
          <cell r="AP2019">
            <v>0</v>
          </cell>
          <cell r="AQ2019">
            <v>0</v>
          </cell>
          <cell r="BA2019">
            <v>0</v>
          </cell>
          <cell r="BC2019">
            <v>0</v>
          </cell>
        </row>
        <row r="2020">
          <cell r="A2020">
            <v>0</v>
          </cell>
          <cell r="B2020">
            <v>0</v>
          </cell>
          <cell r="E2020">
            <v>0</v>
          </cell>
          <cell r="F2020">
            <v>0</v>
          </cell>
          <cell r="AO2020">
            <v>0</v>
          </cell>
          <cell r="AP2020">
            <v>0</v>
          </cell>
          <cell r="AQ2020">
            <v>0</v>
          </cell>
          <cell r="BA2020">
            <v>0</v>
          </cell>
          <cell r="BC2020">
            <v>0</v>
          </cell>
        </row>
        <row r="2021">
          <cell r="A2021">
            <v>0</v>
          </cell>
          <cell r="B2021">
            <v>0</v>
          </cell>
          <cell r="E2021">
            <v>0</v>
          </cell>
          <cell r="F2021">
            <v>0</v>
          </cell>
          <cell r="AO2021">
            <v>0</v>
          </cell>
          <cell r="AP2021">
            <v>0</v>
          </cell>
          <cell r="AQ2021">
            <v>0</v>
          </cell>
          <cell r="BA2021">
            <v>0</v>
          </cell>
          <cell r="BC2021">
            <v>0</v>
          </cell>
        </row>
        <row r="2022">
          <cell r="A2022">
            <v>0</v>
          </cell>
          <cell r="B2022">
            <v>0</v>
          </cell>
          <cell r="E2022">
            <v>0</v>
          </cell>
          <cell r="F2022">
            <v>0</v>
          </cell>
          <cell r="AO2022">
            <v>0</v>
          </cell>
          <cell r="AP2022">
            <v>0</v>
          </cell>
          <cell r="AQ2022">
            <v>0</v>
          </cell>
          <cell r="BA2022">
            <v>0</v>
          </cell>
          <cell r="BC2022">
            <v>0</v>
          </cell>
        </row>
        <row r="2023">
          <cell r="A2023">
            <v>0</v>
          </cell>
          <cell r="B2023">
            <v>0</v>
          </cell>
          <cell r="E2023">
            <v>0</v>
          </cell>
          <cell r="F2023">
            <v>0</v>
          </cell>
          <cell r="AO2023">
            <v>0</v>
          </cell>
          <cell r="AP2023">
            <v>0</v>
          </cell>
          <cell r="AQ2023">
            <v>0</v>
          </cell>
          <cell r="BA2023">
            <v>0</v>
          </cell>
          <cell r="BC2023">
            <v>0</v>
          </cell>
        </row>
        <row r="2024">
          <cell r="A2024">
            <v>0</v>
          </cell>
          <cell r="B2024">
            <v>0</v>
          </cell>
          <cell r="E2024">
            <v>0</v>
          </cell>
          <cell r="F2024">
            <v>0</v>
          </cell>
          <cell r="AO2024">
            <v>0</v>
          </cell>
          <cell r="AP2024">
            <v>0</v>
          </cell>
          <cell r="AQ2024">
            <v>0</v>
          </cell>
          <cell r="BA2024">
            <v>0</v>
          </cell>
          <cell r="BC2024">
            <v>0</v>
          </cell>
        </row>
        <row r="2025">
          <cell r="A2025">
            <v>0</v>
          </cell>
          <cell r="B2025">
            <v>0</v>
          </cell>
          <cell r="E2025">
            <v>0</v>
          </cell>
          <cell r="F2025">
            <v>0</v>
          </cell>
          <cell r="AO2025">
            <v>0</v>
          </cell>
          <cell r="AP2025">
            <v>0</v>
          </cell>
          <cell r="AQ2025">
            <v>0</v>
          </cell>
          <cell r="BA2025">
            <v>0</v>
          </cell>
          <cell r="BC2025">
            <v>0</v>
          </cell>
        </row>
        <row r="2026">
          <cell r="A2026">
            <v>0</v>
          </cell>
          <cell r="B2026">
            <v>0</v>
          </cell>
          <cell r="E2026">
            <v>0</v>
          </cell>
          <cell r="F2026">
            <v>0</v>
          </cell>
          <cell r="AO2026">
            <v>0</v>
          </cell>
          <cell r="AP2026">
            <v>0</v>
          </cell>
          <cell r="AQ2026">
            <v>0</v>
          </cell>
          <cell r="BA2026">
            <v>0</v>
          </cell>
          <cell r="BC2026">
            <v>0</v>
          </cell>
        </row>
        <row r="2027">
          <cell r="A2027">
            <v>0</v>
          </cell>
          <cell r="B2027">
            <v>0</v>
          </cell>
          <cell r="E2027">
            <v>0</v>
          </cell>
          <cell r="F2027">
            <v>0</v>
          </cell>
          <cell r="AO2027">
            <v>0</v>
          </cell>
          <cell r="AP2027">
            <v>0</v>
          </cell>
          <cell r="AQ2027">
            <v>0</v>
          </cell>
          <cell r="BA2027">
            <v>0</v>
          </cell>
          <cell r="BC2027">
            <v>0</v>
          </cell>
        </row>
        <row r="2028">
          <cell r="A2028">
            <v>0</v>
          </cell>
          <cell r="B2028">
            <v>0</v>
          </cell>
          <cell r="E2028">
            <v>0</v>
          </cell>
          <cell r="F2028">
            <v>0</v>
          </cell>
          <cell r="AO2028">
            <v>0</v>
          </cell>
          <cell r="AP2028">
            <v>0</v>
          </cell>
          <cell r="AQ2028">
            <v>0</v>
          </cell>
          <cell r="BA2028">
            <v>0</v>
          </cell>
          <cell r="BC2028">
            <v>0</v>
          </cell>
        </row>
        <row r="2029">
          <cell r="A2029">
            <v>0</v>
          </cell>
          <cell r="B2029">
            <v>0</v>
          </cell>
          <cell r="E2029">
            <v>0</v>
          </cell>
          <cell r="F2029">
            <v>0</v>
          </cell>
          <cell r="AO2029">
            <v>0</v>
          </cell>
          <cell r="AP2029">
            <v>0</v>
          </cell>
          <cell r="AQ2029">
            <v>0</v>
          </cell>
          <cell r="BA2029">
            <v>0</v>
          </cell>
          <cell r="BC2029">
            <v>0</v>
          </cell>
        </row>
        <row r="2030">
          <cell r="A2030">
            <v>0</v>
          </cell>
          <cell r="B2030">
            <v>0</v>
          </cell>
          <cell r="E2030">
            <v>0</v>
          </cell>
          <cell r="F2030">
            <v>0</v>
          </cell>
          <cell r="AO2030">
            <v>0</v>
          </cell>
          <cell r="AP2030">
            <v>0</v>
          </cell>
          <cell r="AQ2030">
            <v>0</v>
          </cell>
          <cell r="BA2030">
            <v>0</v>
          </cell>
          <cell r="BC2030">
            <v>0</v>
          </cell>
        </row>
        <row r="2031">
          <cell r="A2031">
            <v>0</v>
          </cell>
          <cell r="B2031">
            <v>0</v>
          </cell>
          <cell r="E2031">
            <v>0</v>
          </cell>
          <cell r="F2031">
            <v>0</v>
          </cell>
          <cell r="AO2031">
            <v>0</v>
          </cell>
          <cell r="AP2031">
            <v>0</v>
          </cell>
          <cell r="AQ2031">
            <v>0</v>
          </cell>
          <cell r="BA2031">
            <v>0</v>
          </cell>
          <cell r="BC2031">
            <v>0</v>
          </cell>
        </row>
        <row r="2032">
          <cell r="A2032">
            <v>0</v>
          </cell>
          <cell r="B2032">
            <v>0</v>
          </cell>
          <cell r="E2032">
            <v>0</v>
          </cell>
          <cell r="F2032">
            <v>0</v>
          </cell>
          <cell r="AO2032">
            <v>0</v>
          </cell>
          <cell r="AP2032">
            <v>0</v>
          </cell>
          <cell r="AQ2032">
            <v>0</v>
          </cell>
          <cell r="BA2032">
            <v>0</v>
          </cell>
          <cell r="BC2032">
            <v>0</v>
          </cell>
        </row>
        <row r="2033">
          <cell r="A2033">
            <v>0</v>
          </cell>
          <cell r="B2033">
            <v>0</v>
          </cell>
          <cell r="E2033">
            <v>0</v>
          </cell>
          <cell r="F2033">
            <v>0</v>
          </cell>
          <cell r="AO2033">
            <v>0</v>
          </cell>
          <cell r="AP2033">
            <v>0</v>
          </cell>
          <cell r="AQ2033">
            <v>0</v>
          </cell>
          <cell r="BA2033">
            <v>0</v>
          </cell>
          <cell r="BC2033">
            <v>0</v>
          </cell>
        </row>
        <row r="2034">
          <cell r="A2034">
            <v>0</v>
          </cell>
          <cell r="B2034">
            <v>0</v>
          </cell>
          <cell r="E2034">
            <v>0</v>
          </cell>
          <cell r="F2034">
            <v>0</v>
          </cell>
          <cell r="AO2034">
            <v>0</v>
          </cell>
          <cell r="AP2034">
            <v>0</v>
          </cell>
          <cell r="AQ2034">
            <v>0</v>
          </cell>
          <cell r="BA2034">
            <v>0</v>
          </cell>
          <cell r="BC2034">
            <v>0</v>
          </cell>
        </row>
        <row r="2035">
          <cell r="A2035">
            <v>0</v>
          </cell>
          <cell r="B2035">
            <v>0</v>
          </cell>
          <cell r="E2035">
            <v>0</v>
          </cell>
          <cell r="F2035">
            <v>0</v>
          </cell>
          <cell r="AO2035">
            <v>0</v>
          </cell>
          <cell r="AP2035">
            <v>0</v>
          </cell>
          <cell r="AQ2035">
            <v>0</v>
          </cell>
          <cell r="BA2035">
            <v>0</v>
          </cell>
          <cell r="BC2035">
            <v>0</v>
          </cell>
        </row>
        <row r="2036">
          <cell r="A2036">
            <v>0</v>
          </cell>
          <cell r="B2036">
            <v>0</v>
          </cell>
          <cell r="E2036">
            <v>0</v>
          </cell>
          <cell r="F2036">
            <v>0</v>
          </cell>
          <cell r="AO2036">
            <v>0</v>
          </cell>
          <cell r="AP2036">
            <v>0</v>
          </cell>
          <cell r="AQ2036">
            <v>0</v>
          </cell>
          <cell r="BA2036">
            <v>0</v>
          </cell>
          <cell r="BC2036">
            <v>0</v>
          </cell>
        </row>
        <row r="2037">
          <cell r="A2037">
            <v>0</v>
          </cell>
          <cell r="B2037">
            <v>0</v>
          </cell>
          <cell r="E2037">
            <v>0</v>
          </cell>
          <cell r="F2037">
            <v>0</v>
          </cell>
          <cell r="AO2037">
            <v>0</v>
          </cell>
          <cell r="AP2037">
            <v>0</v>
          </cell>
          <cell r="AQ2037">
            <v>0</v>
          </cell>
          <cell r="BA2037">
            <v>0</v>
          </cell>
          <cell r="BC2037">
            <v>0</v>
          </cell>
        </row>
        <row r="2038">
          <cell r="A2038">
            <v>0</v>
          </cell>
          <cell r="B2038">
            <v>0</v>
          </cell>
          <cell r="E2038">
            <v>0</v>
          </cell>
          <cell r="F2038">
            <v>0</v>
          </cell>
          <cell r="AO2038">
            <v>0</v>
          </cell>
          <cell r="AP2038">
            <v>0</v>
          </cell>
          <cell r="AQ2038">
            <v>0</v>
          </cell>
          <cell r="BA2038">
            <v>0</v>
          </cell>
          <cell r="BC2038">
            <v>0</v>
          </cell>
        </row>
        <row r="2039">
          <cell r="A2039">
            <v>0</v>
          </cell>
          <cell r="B2039">
            <v>0</v>
          </cell>
          <cell r="E2039">
            <v>0</v>
          </cell>
          <cell r="F2039">
            <v>0</v>
          </cell>
          <cell r="AO2039">
            <v>0</v>
          </cell>
          <cell r="AP2039">
            <v>0</v>
          </cell>
          <cell r="AQ2039">
            <v>0</v>
          </cell>
          <cell r="BA2039">
            <v>0</v>
          </cell>
          <cell r="BC2039">
            <v>0</v>
          </cell>
        </row>
        <row r="2040">
          <cell r="A2040">
            <v>0</v>
          </cell>
          <cell r="B2040">
            <v>0</v>
          </cell>
          <cell r="E2040">
            <v>0</v>
          </cell>
          <cell r="F2040">
            <v>0</v>
          </cell>
          <cell r="AO2040">
            <v>0</v>
          </cell>
          <cell r="AP2040">
            <v>0</v>
          </cell>
          <cell r="AQ2040">
            <v>0</v>
          </cell>
          <cell r="BA2040">
            <v>0</v>
          </cell>
          <cell r="BC2040">
            <v>0</v>
          </cell>
        </row>
        <row r="2041">
          <cell r="A2041">
            <v>0</v>
          </cell>
          <cell r="B2041">
            <v>0</v>
          </cell>
          <cell r="E2041">
            <v>0</v>
          </cell>
          <cell r="F2041">
            <v>0</v>
          </cell>
          <cell r="AO2041">
            <v>0</v>
          </cell>
          <cell r="AP2041">
            <v>0</v>
          </cell>
          <cell r="AQ2041">
            <v>0</v>
          </cell>
          <cell r="BA2041">
            <v>0</v>
          </cell>
          <cell r="BC2041">
            <v>0</v>
          </cell>
        </row>
        <row r="2042">
          <cell r="A2042">
            <v>0</v>
          </cell>
          <cell r="B2042">
            <v>0</v>
          </cell>
          <cell r="E2042">
            <v>0</v>
          </cell>
          <cell r="F2042">
            <v>0</v>
          </cell>
          <cell r="AO2042">
            <v>0</v>
          </cell>
          <cell r="AP2042">
            <v>0</v>
          </cell>
          <cell r="AQ2042">
            <v>0</v>
          </cell>
          <cell r="BA2042">
            <v>0</v>
          </cell>
          <cell r="BC2042">
            <v>0</v>
          </cell>
        </row>
        <row r="2043">
          <cell r="A2043">
            <v>0</v>
          </cell>
          <cell r="B2043">
            <v>0</v>
          </cell>
          <cell r="E2043">
            <v>0</v>
          </cell>
          <cell r="F2043">
            <v>0</v>
          </cell>
          <cell r="AO2043">
            <v>0</v>
          </cell>
          <cell r="AP2043">
            <v>0</v>
          </cell>
          <cell r="AQ2043">
            <v>0</v>
          </cell>
          <cell r="BA2043">
            <v>0</v>
          </cell>
          <cell r="BC2043">
            <v>0</v>
          </cell>
        </row>
        <row r="2044">
          <cell r="A2044">
            <v>0</v>
          </cell>
          <cell r="B2044">
            <v>0</v>
          </cell>
          <cell r="E2044">
            <v>0</v>
          </cell>
          <cell r="F2044">
            <v>0</v>
          </cell>
          <cell r="AO2044">
            <v>0</v>
          </cell>
          <cell r="AP2044">
            <v>0</v>
          </cell>
          <cell r="AQ2044">
            <v>0</v>
          </cell>
          <cell r="BA2044">
            <v>0</v>
          </cell>
          <cell r="BC2044">
            <v>0</v>
          </cell>
        </row>
        <row r="2045">
          <cell r="A2045">
            <v>0</v>
          </cell>
          <cell r="B2045">
            <v>0</v>
          </cell>
          <cell r="E2045">
            <v>0</v>
          </cell>
          <cell r="F2045">
            <v>0</v>
          </cell>
          <cell r="AO2045">
            <v>0</v>
          </cell>
          <cell r="AP2045">
            <v>0</v>
          </cell>
          <cell r="AQ2045">
            <v>0</v>
          </cell>
          <cell r="BA2045">
            <v>0</v>
          </cell>
          <cell r="BC2045">
            <v>0</v>
          </cell>
        </row>
        <row r="2046">
          <cell r="A2046">
            <v>0</v>
          </cell>
          <cell r="B2046">
            <v>0</v>
          </cell>
          <cell r="E2046">
            <v>0</v>
          </cell>
          <cell r="F2046">
            <v>0</v>
          </cell>
          <cell r="AO2046">
            <v>0</v>
          </cell>
          <cell r="AP2046">
            <v>0</v>
          </cell>
          <cell r="AQ2046">
            <v>0</v>
          </cell>
          <cell r="BA2046">
            <v>0</v>
          </cell>
          <cell r="BC2046">
            <v>0</v>
          </cell>
        </row>
        <row r="2047">
          <cell r="A2047">
            <v>0</v>
          </cell>
          <cell r="B2047">
            <v>0</v>
          </cell>
          <cell r="E2047">
            <v>0</v>
          </cell>
          <cell r="F2047">
            <v>0</v>
          </cell>
          <cell r="AO2047">
            <v>0</v>
          </cell>
          <cell r="AP2047">
            <v>0</v>
          </cell>
          <cell r="AQ2047">
            <v>0</v>
          </cell>
          <cell r="BA2047">
            <v>0</v>
          </cell>
          <cell r="BC2047">
            <v>0</v>
          </cell>
        </row>
        <row r="2048">
          <cell r="A2048">
            <v>0</v>
          </cell>
          <cell r="B2048">
            <v>0</v>
          </cell>
          <cell r="E2048">
            <v>0</v>
          </cell>
          <cell r="F2048">
            <v>0</v>
          </cell>
          <cell r="AO2048">
            <v>0</v>
          </cell>
          <cell r="AP2048">
            <v>0</v>
          </cell>
          <cell r="AQ2048">
            <v>0</v>
          </cell>
          <cell r="BA2048">
            <v>0</v>
          </cell>
          <cell r="BC2048">
            <v>0</v>
          </cell>
        </row>
        <row r="2049">
          <cell r="A2049">
            <v>0</v>
          </cell>
          <cell r="B2049">
            <v>0</v>
          </cell>
          <cell r="E2049">
            <v>0</v>
          </cell>
          <cell r="F2049">
            <v>0</v>
          </cell>
          <cell r="AO2049">
            <v>0</v>
          </cell>
          <cell r="AP2049">
            <v>0</v>
          </cell>
          <cell r="AQ2049">
            <v>0</v>
          </cell>
          <cell r="BA2049">
            <v>0</v>
          </cell>
          <cell r="BC2049">
            <v>0</v>
          </cell>
        </row>
        <row r="2050">
          <cell r="A2050">
            <v>0</v>
          </cell>
          <cell r="B2050">
            <v>0</v>
          </cell>
          <cell r="E2050">
            <v>0</v>
          </cell>
          <cell r="F2050">
            <v>0</v>
          </cell>
          <cell r="AO2050">
            <v>0</v>
          </cell>
          <cell r="AP2050">
            <v>0</v>
          </cell>
          <cell r="AQ2050">
            <v>0</v>
          </cell>
          <cell r="BA2050">
            <v>0</v>
          </cell>
          <cell r="BC2050">
            <v>0</v>
          </cell>
        </row>
        <row r="2051">
          <cell r="A2051">
            <v>0</v>
          </cell>
          <cell r="B2051">
            <v>0</v>
          </cell>
          <cell r="E2051">
            <v>0</v>
          </cell>
          <cell r="F2051">
            <v>0</v>
          </cell>
          <cell r="AO2051">
            <v>0</v>
          </cell>
          <cell r="AP2051">
            <v>0</v>
          </cell>
          <cell r="AQ2051">
            <v>0</v>
          </cell>
          <cell r="BA2051">
            <v>0</v>
          </cell>
          <cell r="BC2051">
            <v>0</v>
          </cell>
        </row>
        <row r="2052">
          <cell r="A2052">
            <v>0</v>
          </cell>
          <cell r="B2052">
            <v>0</v>
          </cell>
          <cell r="E2052">
            <v>0</v>
          </cell>
          <cell r="F2052">
            <v>0</v>
          </cell>
          <cell r="AO2052">
            <v>0</v>
          </cell>
          <cell r="AP2052">
            <v>0</v>
          </cell>
          <cell r="AQ2052">
            <v>0</v>
          </cell>
          <cell r="BA2052">
            <v>0</v>
          </cell>
          <cell r="BC2052">
            <v>0</v>
          </cell>
        </row>
        <row r="2053">
          <cell r="A2053">
            <v>0</v>
          </cell>
          <cell r="B2053">
            <v>0</v>
          </cell>
          <cell r="E2053">
            <v>0</v>
          </cell>
          <cell r="F2053">
            <v>0</v>
          </cell>
          <cell r="AO2053">
            <v>0</v>
          </cell>
          <cell r="AP2053">
            <v>0</v>
          </cell>
          <cell r="AQ2053">
            <v>0</v>
          </cell>
          <cell r="BA2053">
            <v>0</v>
          </cell>
          <cell r="BC2053">
            <v>0</v>
          </cell>
        </row>
        <row r="2054">
          <cell r="A2054">
            <v>0</v>
          </cell>
          <cell r="B2054">
            <v>0</v>
          </cell>
          <cell r="E2054">
            <v>0</v>
          </cell>
          <cell r="F2054">
            <v>0</v>
          </cell>
          <cell r="AO2054">
            <v>0</v>
          </cell>
          <cell r="AP2054">
            <v>0</v>
          </cell>
          <cell r="AQ2054">
            <v>0</v>
          </cell>
          <cell r="BA2054">
            <v>0</v>
          </cell>
          <cell r="BC2054">
            <v>0</v>
          </cell>
        </row>
        <row r="2055">
          <cell r="A2055">
            <v>0</v>
          </cell>
          <cell r="B2055">
            <v>0</v>
          </cell>
          <cell r="E2055">
            <v>0</v>
          </cell>
          <cell r="F2055">
            <v>0</v>
          </cell>
          <cell r="AO2055">
            <v>0</v>
          </cell>
          <cell r="AP2055">
            <v>0</v>
          </cell>
          <cell r="AQ2055">
            <v>0</v>
          </cell>
          <cell r="BA2055">
            <v>0</v>
          </cell>
          <cell r="BC2055">
            <v>0</v>
          </cell>
        </row>
        <row r="2056">
          <cell r="A2056">
            <v>0</v>
          </cell>
          <cell r="B2056">
            <v>0</v>
          </cell>
          <cell r="E2056">
            <v>0</v>
          </cell>
          <cell r="F2056">
            <v>0</v>
          </cell>
          <cell r="AO2056">
            <v>0</v>
          </cell>
          <cell r="AP2056">
            <v>0</v>
          </cell>
          <cell r="AQ2056">
            <v>0</v>
          </cell>
          <cell r="BA2056">
            <v>0</v>
          </cell>
          <cell r="BC2056">
            <v>0</v>
          </cell>
        </row>
        <row r="2057">
          <cell r="A2057">
            <v>0</v>
          </cell>
          <cell r="B2057">
            <v>0</v>
          </cell>
          <cell r="E2057">
            <v>0</v>
          </cell>
          <cell r="F2057">
            <v>0</v>
          </cell>
          <cell r="AO2057">
            <v>0</v>
          </cell>
          <cell r="AP2057">
            <v>0</v>
          </cell>
          <cell r="AQ2057">
            <v>0</v>
          </cell>
          <cell r="BA2057">
            <v>0</v>
          </cell>
          <cell r="BC2057">
            <v>0</v>
          </cell>
        </row>
        <row r="2058">
          <cell r="A2058">
            <v>0</v>
          </cell>
          <cell r="B2058">
            <v>0</v>
          </cell>
          <cell r="E2058">
            <v>0</v>
          </cell>
          <cell r="F2058">
            <v>0</v>
          </cell>
          <cell r="AO2058">
            <v>0</v>
          </cell>
          <cell r="AP2058">
            <v>0</v>
          </cell>
          <cell r="AQ2058">
            <v>0</v>
          </cell>
          <cell r="BA2058">
            <v>0</v>
          </cell>
          <cell r="BC2058">
            <v>0</v>
          </cell>
        </row>
        <row r="2059">
          <cell r="A2059">
            <v>0</v>
          </cell>
          <cell r="B2059">
            <v>0</v>
          </cell>
          <cell r="E2059">
            <v>0</v>
          </cell>
          <cell r="F2059">
            <v>0</v>
          </cell>
          <cell r="AO2059">
            <v>0</v>
          </cell>
          <cell r="AP2059">
            <v>0</v>
          </cell>
          <cell r="AQ2059">
            <v>0</v>
          </cell>
          <cell r="BA2059">
            <v>0</v>
          </cell>
          <cell r="BC2059">
            <v>0</v>
          </cell>
        </row>
        <row r="2060">
          <cell r="A2060">
            <v>0</v>
          </cell>
          <cell r="B2060">
            <v>0</v>
          </cell>
          <cell r="E2060">
            <v>0</v>
          </cell>
          <cell r="F2060">
            <v>0</v>
          </cell>
          <cell r="AO2060">
            <v>0</v>
          </cell>
          <cell r="AP2060">
            <v>0</v>
          </cell>
          <cell r="AQ2060">
            <v>0</v>
          </cell>
          <cell r="BA2060">
            <v>0</v>
          </cell>
          <cell r="BC2060">
            <v>0</v>
          </cell>
        </row>
        <row r="2061">
          <cell r="A2061">
            <v>0</v>
          </cell>
          <cell r="B2061">
            <v>0</v>
          </cell>
          <cell r="E2061">
            <v>0</v>
          </cell>
          <cell r="F2061">
            <v>0</v>
          </cell>
          <cell r="AO2061">
            <v>0</v>
          </cell>
          <cell r="AP2061">
            <v>0</v>
          </cell>
          <cell r="AQ2061">
            <v>0</v>
          </cell>
          <cell r="BA2061">
            <v>0</v>
          </cell>
          <cell r="BC2061">
            <v>0</v>
          </cell>
        </row>
        <row r="2062">
          <cell r="A2062">
            <v>0</v>
          </cell>
          <cell r="B2062">
            <v>0</v>
          </cell>
          <cell r="E2062">
            <v>0</v>
          </cell>
          <cell r="F2062">
            <v>0</v>
          </cell>
          <cell r="AO2062">
            <v>0</v>
          </cell>
          <cell r="AP2062">
            <v>0</v>
          </cell>
          <cell r="AQ2062">
            <v>0</v>
          </cell>
          <cell r="BA2062">
            <v>0</v>
          </cell>
          <cell r="BC2062">
            <v>0</v>
          </cell>
        </row>
        <row r="2063">
          <cell r="A2063">
            <v>0</v>
          </cell>
          <cell r="B2063">
            <v>0</v>
          </cell>
          <cell r="E2063">
            <v>0</v>
          </cell>
          <cell r="F2063">
            <v>0</v>
          </cell>
          <cell r="AO2063">
            <v>0</v>
          </cell>
          <cell r="AP2063">
            <v>0</v>
          </cell>
          <cell r="AQ2063">
            <v>0</v>
          </cell>
          <cell r="BA2063">
            <v>0</v>
          </cell>
          <cell r="BC2063">
            <v>0</v>
          </cell>
        </row>
        <row r="2064">
          <cell r="A2064">
            <v>0</v>
          </cell>
          <cell r="B2064">
            <v>0</v>
          </cell>
          <cell r="E2064">
            <v>0</v>
          </cell>
          <cell r="F2064">
            <v>0</v>
          </cell>
          <cell r="AO2064">
            <v>0</v>
          </cell>
          <cell r="AP2064">
            <v>0</v>
          </cell>
          <cell r="AQ2064">
            <v>0</v>
          </cell>
          <cell r="BA2064">
            <v>0</v>
          </cell>
          <cell r="BC2064">
            <v>0</v>
          </cell>
        </row>
        <row r="2065">
          <cell r="A2065">
            <v>0</v>
          </cell>
          <cell r="B2065">
            <v>0</v>
          </cell>
          <cell r="E2065">
            <v>0</v>
          </cell>
          <cell r="F2065">
            <v>0</v>
          </cell>
          <cell r="AO2065">
            <v>0</v>
          </cell>
          <cell r="AP2065">
            <v>0</v>
          </cell>
          <cell r="AQ2065">
            <v>0</v>
          </cell>
          <cell r="BA2065">
            <v>0</v>
          </cell>
          <cell r="BC2065">
            <v>0</v>
          </cell>
        </row>
        <row r="2066">
          <cell r="A2066">
            <v>0</v>
          </cell>
          <cell r="B2066">
            <v>0</v>
          </cell>
          <cell r="E2066">
            <v>0</v>
          </cell>
          <cell r="F2066">
            <v>0</v>
          </cell>
          <cell r="AO2066">
            <v>0</v>
          </cell>
          <cell r="AP2066">
            <v>0</v>
          </cell>
          <cell r="AQ2066">
            <v>0</v>
          </cell>
          <cell r="BA2066">
            <v>0</v>
          </cell>
          <cell r="BC2066">
            <v>0</v>
          </cell>
        </row>
        <row r="2067">
          <cell r="A2067">
            <v>0</v>
          </cell>
          <cell r="B2067">
            <v>0</v>
          </cell>
          <cell r="E2067">
            <v>0</v>
          </cell>
          <cell r="F2067">
            <v>0</v>
          </cell>
          <cell r="AO2067">
            <v>0</v>
          </cell>
          <cell r="AP2067">
            <v>0</v>
          </cell>
          <cell r="AQ2067">
            <v>0</v>
          </cell>
          <cell r="BA2067">
            <v>0</v>
          </cell>
          <cell r="BC2067">
            <v>0</v>
          </cell>
        </row>
        <row r="2068">
          <cell r="A2068">
            <v>0</v>
          </cell>
          <cell r="B2068">
            <v>0</v>
          </cell>
          <cell r="E2068">
            <v>0</v>
          </cell>
          <cell r="F2068">
            <v>0</v>
          </cell>
          <cell r="AO2068">
            <v>0</v>
          </cell>
          <cell r="AP2068">
            <v>0</v>
          </cell>
          <cell r="AQ2068">
            <v>0</v>
          </cell>
          <cell r="BA2068">
            <v>0</v>
          </cell>
          <cell r="BC2068">
            <v>0</v>
          </cell>
        </row>
        <row r="2069">
          <cell r="A2069">
            <v>0</v>
          </cell>
          <cell r="B2069">
            <v>0</v>
          </cell>
          <cell r="E2069">
            <v>0</v>
          </cell>
          <cell r="F2069">
            <v>0</v>
          </cell>
          <cell r="AO2069">
            <v>0</v>
          </cell>
          <cell r="AP2069">
            <v>0</v>
          </cell>
          <cell r="AQ2069">
            <v>0</v>
          </cell>
          <cell r="BA2069">
            <v>0</v>
          </cell>
          <cell r="BC2069">
            <v>0</v>
          </cell>
        </row>
        <row r="2070">
          <cell r="A2070">
            <v>0</v>
          </cell>
          <cell r="B2070">
            <v>0</v>
          </cell>
          <cell r="E2070">
            <v>0</v>
          </cell>
          <cell r="F2070">
            <v>0</v>
          </cell>
          <cell r="AO2070">
            <v>0</v>
          </cell>
          <cell r="AP2070">
            <v>0</v>
          </cell>
          <cell r="AQ2070">
            <v>0</v>
          </cell>
          <cell r="BA2070">
            <v>0</v>
          </cell>
          <cell r="BC2070">
            <v>0</v>
          </cell>
        </row>
        <row r="2071">
          <cell r="A2071">
            <v>0</v>
          </cell>
          <cell r="B2071">
            <v>0</v>
          </cell>
          <cell r="E2071">
            <v>0</v>
          </cell>
          <cell r="F2071">
            <v>0</v>
          </cell>
          <cell r="AO2071">
            <v>0</v>
          </cell>
          <cell r="AP2071">
            <v>0</v>
          </cell>
          <cell r="AQ2071">
            <v>0</v>
          </cell>
          <cell r="BA2071">
            <v>0</v>
          </cell>
          <cell r="BC2071">
            <v>0</v>
          </cell>
        </row>
        <row r="2072">
          <cell r="A2072">
            <v>0</v>
          </cell>
          <cell r="B2072">
            <v>0</v>
          </cell>
          <cell r="E2072">
            <v>0</v>
          </cell>
          <cell r="F2072">
            <v>0</v>
          </cell>
          <cell r="AO2072">
            <v>0</v>
          </cell>
          <cell r="AP2072">
            <v>0</v>
          </cell>
          <cell r="AQ2072">
            <v>0</v>
          </cell>
          <cell r="BA2072">
            <v>0</v>
          </cell>
          <cell r="BC2072">
            <v>0</v>
          </cell>
        </row>
        <row r="2073">
          <cell r="A2073">
            <v>0</v>
          </cell>
          <cell r="B2073">
            <v>0</v>
          </cell>
          <cell r="E2073">
            <v>0</v>
          </cell>
          <cell r="F2073">
            <v>0</v>
          </cell>
          <cell r="AO2073">
            <v>0</v>
          </cell>
          <cell r="AP2073">
            <v>0</v>
          </cell>
          <cell r="AQ2073">
            <v>0</v>
          </cell>
          <cell r="BA2073">
            <v>0</v>
          </cell>
          <cell r="BC2073">
            <v>0</v>
          </cell>
        </row>
        <row r="2074">
          <cell r="A2074">
            <v>0</v>
          </cell>
          <cell r="B2074">
            <v>0</v>
          </cell>
          <cell r="E2074">
            <v>0</v>
          </cell>
          <cell r="F2074">
            <v>0</v>
          </cell>
          <cell r="AO2074">
            <v>0</v>
          </cell>
          <cell r="AP2074">
            <v>0</v>
          </cell>
          <cell r="AQ2074">
            <v>0</v>
          </cell>
          <cell r="BA2074">
            <v>0</v>
          </cell>
          <cell r="BC2074">
            <v>0</v>
          </cell>
        </row>
        <row r="2075">
          <cell r="A2075">
            <v>0</v>
          </cell>
          <cell r="B2075">
            <v>0</v>
          </cell>
          <cell r="E2075">
            <v>0</v>
          </cell>
          <cell r="F2075">
            <v>0</v>
          </cell>
          <cell r="AO2075">
            <v>0</v>
          </cell>
          <cell r="AP2075">
            <v>0</v>
          </cell>
          <cell r="AQ2075">
            <v>0</v>
          </cell>
          <cell r="BA2075">
            <v>0</v>
          </cell>
          <cell r="BC2075">
            <v>0</v>
          </cell>
        </row>
        <row r="2076">
          <cell r="A2076">
            <v>0</v>
          </cell>
          <cell r="B2076">
            <v>0</v>
          </cell>
          <cell r="E2076">
            <v>0</v>
          </cell>
          <cell r="F2076">
            <v>0</v>
          </cell>
          <cell r="AO2076">
            <v>0</v>
          </cell>
          <cell r="AP2076">
            <v>0</v>
          </cell>
          <cell r="AQ2076">
            <v>0</v>
          </cell>
          <cell r="BA2076">
            <v>0</v>
          </cell>
          <cell r="BC2076">
            <v>0</v>
          </cell>
        </row>
        <row r="2077">
          <cell r="A2077">
            <v>0</v>
          </cell>
          <cell r="B2077">
            <v>0</v>
          </cell>
          <cell r="E2077">
            <v>0</v>
          </cell>
          <cell r="F2077">
            <v>0</v>
          </cell>
          <cell r="AO2077">
            <v>0</v>
          </cell>
          <cell r="AP2077">
            <v>0</v>
          </cell>
          <cell r="AQ2077">
            <v>0</v>
          </cell>
          <cell r="BA2077">
            <v>0</v>
          </cell>
          <cell r="BC2077">
            <v>0</v>
          </cell>
        </row>
        <row r="2078">
          <cell r="A2078">
            <v>0</v>
          </cell>
          <cell r="B2078">
            <v>0</v>
          </cell>
          <cell r="E2078">
            <v>0</v>
          </cell>
          <cell r="F2078">
            <v>0</v>
          </cell>
          <cell r="AO2078">
            <v>0</v>
          </cell>
          <cell r="AP2078">
            <v>0</v>
          </cell>
          <cell r="AQ2078">
            <v>0</v>
          </cell>
          <cell r="BA2078">
            <v>0</v>
          </cell>
          <cell r="BC2078">
            <v>0</v>
          </cell>
        </row>
        <row r="2079">
          <cell r="A2079">
            <v>0</v>
          </cell>
          <cell r="B2079">
            <v>0</v>
          </cell>
          <cell r="E2079">
            <v>0</v>
          </cell>
          <cell r="F2079">
            <v>0</v>
          </cell>
          <cell r="AO2079">
            <v>0</v>
          </cell>
          <cell r="AP2079">
            <v>0</v>
          </cell>
          <cell r="AQ2079">
            <v>0</v>
          </cell>
          <cell r="BA2079">
            <v>0</v>
          </cell>
          <cell r="BC2079">
            <v>0</v>
          </cell>
        </row>
        <row r="2080">
          <cell r="A2080">
            <v>0</v>
          </cell>
          <cell r="B2080">
            <v>0</v>
          </cell>
          <cell r="E2080">
            <v>0</v>
          </cell>
          <cell r="F2080">
            <v>0</v>
          </cell>
          <cell r="AO2080">
            <v>0</v>
          </cell>
          <cell r="AP2080">
            <v>0</v>
          </cell>
          <cell r="AQ2080">
            <v>0</v>
          </cell>
          <cell r="BA2080">
            <v>0</v>
          </cell>
          <cell r="BC2080">
            <v>0</v>
          </cell>
        </row>
        <row r="2081">
          <cell r="A2081">
            <v>0</v>
          </cell>
          <cell r="B2081">
            <v>0</v>
          </cell>
          <cell r="E2081">
            <v>0</v>
          </cell>
          <cell r="F2081">
            <v>0</v>
          </cell>
          <cell r="AO2081">
            <v>0</v>
          </cell>
          <cell r="AP2081">
            <v>0</v>
          </cell>
          <cell r="AQ2081">
            <v>0</v>
          </cell>
          <cell r="BA2081">
            <v>0</v>
          </cell>
          <cell r="BC2081">
            <v>0</v>
          </cell>
        </row>
        <row r="2082">
          <cell r="A2082">
            <v>0</v>
          </cell>
          <cell r="B2082">
            <v>0</v>
          </cell>
          <cell r="E2082">
            <v>0</v>
          </cell>
          <cell r="F2082">
            <v>0</v>
          </cell>
          <cell r="AO2082">
            <v>0</v>
          </cell>
          <cell r="AP2082">
            <v>0</v>
          </cell>
          <cell r="AQ2082">
            <v>0</v>
          </cell>
          <cell r="BA2082">
            <v>0</v>
          </cell>
          <cell r="BC2082">
            <v>0</v>
          </cell>
        </row>
        <row r="2083">
          <cell r="A2083">
            <v>0</v>
          </cell>
          <cell r="B2083">
            <v>0</v>
          </cell>
          <cell r="E2083">
            <v>0</v>
          </cell>
          <cell r="F2083">
            <v>0</v>
          </cell>
          <cell r="AO2083">
            <v>0</v>
          </cell>
          <cell r="AP2083">
            <v>0</v>
          </cell>
          <cell r="AQ2083">
            <v>0</v>
          </cell>
          <cell r="BA2083">
            <v>0</v>
          </cell>
          <cell r="BC2083">
            <v>0</v>
          </cell>
        </row>
        <row r="2084">
          <cell r="A2084">
            <v>0</v>
          </cell>
          <cell r="B2084">
            <v>0</v>
          </cell>
          <cell r="E2084">
            <v>0</v>
          </cell>
          <cell r="F2084">
            <v>0</v>
          </cell>
          <cell r="AO2084">
            <v>0</v>
          </cell>
          <cell r="AP2084">
            <v>0</v>
          </cell>
          <cell r="AQ2084">
            <v>0</v>
          </cell>
          <cell r="BA2084">
            <v>0</v>
          </cell>
          <cell r="BC2084">
            <v>0</v>
          </cell>
        </row>
        <row r="2085">
          <cell r="A2085">
            <v>0</v>
          </cell>
          <cell r="B2085">
            <v>0</v>
          </cell>
          <cell r="E2085">
            <v>0</v>
          </cell>
          <cell r="F2085">
            <v>0</v>
          </cell>
          <cell r="AO2085">
            <v>0</v>
          </cell>
          <cell r="AP2085">
            <v>0</v>
          </cell>
          <cell r="AQ2085">
            <v>0</v>
          </cell>
          <cell r="BA2085">
            <v>0</v>
          </cell>
          <cell r="BC2085">
            <v>0</v>
          </cell>
        </row>
        <row r="2086">
          <cell r="A2086">
            <v>0</v>
          </cell>
          <cell r="B2086">
            <v>0</v>
          </cell>
          <cell r="E2086">
            <v>0</v>
          </cell>
          <cell r="F2086">
            <v>0</v>
          </cell>
          <cell r="AO2086">
            <v>0</v>
          </cell>
          <cell r="AP2086">
            <v>0</v>
          </cell>
          <cell r="AQ2086">
            <v>0</v>
          </cell>
          <cell r="BA2086">
            <v>0</v>
          </cell>
          <cell r="BC2086">
            <v>0</v>
          </cell>
        </row>
        <row r="2087">
          <cell r="A2087">
            <v>0</v>
          </cell>
          <cell r="B2087">
            <v>0</v>
          </cell>
          <cell r="E2087">
            <v>0</v>
          </cell>
          <cell r="F2087">
            <v>0</v>
          </cell>
          <cell r="AO2087">
            <v>0</v>
          </cell>
          <cell r="AP2087">
            <v>0</v>
          </cell>
          <cell r="AQ2087">
            <v>0</v>
          </cell>
          <cell r="BA2087">
            <v>0</v>
          </cell>
          <cell r="BC2087">
            <v>0</v>
          </cell>
        </row>
        <row r="2088">
          <cell r="A2088">
            <v>0</v>
          </cell>
          <cell r="B2088">
            <v>0</v>
          </cell>
          <cell r="E2088">
            <v>0</v>
          </cell>
          <cell r="F2088">
            <v>0</v>
          </cell>
          <cell r="AO2088">
            <v>0</v>
          </cell>
          <cell r="AP2088">
            <v>0</v>
          </cell>
          <cell r="AQ2088">
            <v>0</v>
          </cell>
          <cell r="BA2088">
            <v>0</v>
          </cell>
          <cell r="BC2088">
            <v>0</v>
          </cell>
        </row>
        <row r="2089">
          <cell r="A2089">
            <v>0</v>
          </cell>
          <cell r="B2089">
            <v>0</v>
          </cell>
          <cell r="E2089">
            <v>0</v>
          </cell>
          <cell r="F2089">
            <v>0</v>
          </cell>
          <cell r="AO2089">
            <v>0</v>
          </cell>
          <cell r="AP2089">
            <v>0</v>
          </cell>
          <cell r="AQ2089">
            <v>0</v>
          </cell>
          <cell r="BA2089">
            <v>0</v>
          </cell>
          <cell r="BC2089">
            <v>0</v>
          </cell>
        </row>
        <row r="2090">
          <cell r="A2090">
            <v>0</v>
          </cell>
          <cell r="B2090">
            <v>0</v>
          </cell>
          <cell r="E2090">
            <v>0</v>
          </cell>
          <cell r="F2090">
            <v>0</v>
          </cell>
          <cell r="AO2090">
            <v>0</v>
          </cell>
          <cell r="AP2090">
            <v>0</v>
          </cell>
          <cell r="AQ2090">
            <v>0</v>
          </cell>
          <cell r="BA2090">
            <v>0</v>
          </cell>
          <cell r="BC2090">
            <v>0</v>
          </cell>
        </row>
        <row r="2091">
          <cell r="A2091">
            <v>0</v>
          </cell>
          <cell r="B2091">
            <v>0</v>
          </cell>
          <cell r="E2091">
            <v>0</v>
          </cell>
          <cell r="F2091">
            <v>0</v>
          </cell>
          <cell r="AO2091">
            <v>0</v>
          </cell>
          <cell r="AP2091">
            <v>0</v>
          </cell>
          <cell r="AQ2091">
            <v>0</v>
          </cell>
          <cell r="BA2091">
            <v>0</v>
          </cell>
          <cell r="BC2091">
            <v>0</v>
          </cell>
        </row>
        <row r="2092">
          <cell r="A2092">
            <v>0</v>
          </cell>
          <cell r="B2092">
            <v>0</v>
          </cell>
          <cell r="E2092">
            <v>0</v>
          </cell>
          <cell r="F2092">
            <v>0</v>
          </cell>
          <cell r="AO2092">
            <v>0</v>
          </cell>
          <cell r="AP2092">
            <v>0</v>
          </cell>
          <cell r="AQ2092">
            <v>0</v>
          </cell>
          <cell r="BA2092">
            <v>0</v>
          </cell>
          <cell r="BC2092">
            <v>0</v>
          </cell>
        </row>
        <row r="2093">
          <cell r="A2093">
            <v>0</v>
          </cell>
          <cell r="B2093">
            <v>0</v>
          </cell>
          <cell r="E2093">
            <v>0</v>
          </cell>
          <cell r="F2093">
            <v>0</v>
          </cell>
          <cell r="AO2093">
            <v>0</v>
          </cell>
          <cell r="AP2093">
            <v>0</v>
          </cell>
          <cell r="AQ2093">
            <v>0</v>
          </cell>
          <cell r="BA2093">
            <v>0</v>
          </cell>
          <cell r="BC2093">
            <v>0</v>
          </cell>
        </row>
        <row r="2094">
          <cell r="A2094">
            <v>0</v>
          </cell>
          <cell r="B2094">
            <v>0</v>
          </cell>
          <cell r="E2094">
            <v>0</v>
          </cell>
          <cell r="F2094">
            <v>0</v>
          </cell>
          <cell r="AO2094">
            <v>0</v>
          </cell>
          <cell r="AP2094">
            <v>0</v>
          </cell>
          <cell r="AQ2094">
            <v>0</v>
          </cell>
          <cell r="BA2094">
            <v>0</v>
          </cell>
          <cell r="BC2094">
            <v>0</v>
          </cell>
        </row>
        <row r="2095">
          <cell r="A2095">
            <v>0</v>
          </cell>
          <cell r="B2095">
            <v>0</v>
          </cell>
          <cell r="E2095">
            <v>0</v>
          </cell>
          <cell r="F2095">
            <v>0</v>
          </cell>
          <cell r="AO2095">
            <v>0</v>
          </cell>
          <cell r="AP2095">
            <v>0</v>
          </cell>
          <cell r="AQ2095">
            <v>0</v>
          </cell>
          <cell r="BA2095">
            <v>0</v>
          </cell>
          <cell r="BC2095">
            <v>0</v>
          </cell>
        </row>
        <row r="2096">
          <cell r="A2096">
            <v>0</v>
          </cell>
          <cell r="B2096">
            <v>0</v>
          </cell>
          <cell r="E2096">
            <v>0</v>
          </cell>
          <cell r="F2096">
            <v>0</v>
          </cell>
          <cell r="AO2096">
            <v>0</v>
          </cell>
          <cell r="AP2096">
            <v>0</v>
          </cell>
          <cell r="AQ2096">
            <v>0</v>
          </cell>
          <cell r="BA2096">
            <v>0</v>
          </cell>
          <cell r="BC2096">
            <v>0</v>
          </cell>
        </row>
        <row r="2097">
          <cell r="A2097">
            <v>0</v>
          </cell>
          <cell r="B2097">
            <v>0</v>
          </cell>
          <cell r="E2097">
            <v>0</v>
          </cell>
          <cell r="F2097">
            <v>0</v>
          </cell>
          <cell r="AO2097">
            <v>0</v>
          </cell>
          <cell r="AP2097">
            <v>0</v>
          </cell>
          <cell r="AQ2097">
            <v>0</v>
          </cell>
          <cell r="BA2097">
            <v>0</v>
          </cell>
          <cell r="BC2097">
            <v>0</v>
          </cell>
        </row>
        <row r="2098">
          <cell r="A2098">
            <v>0</v>
          </cell>
          <cell r="B2098">
            <v>0</v>
          </cell>
          <cell r="E2098">
            <v>0</v>
          </cell>
          <cell r="F2098">
            <v>0</v>
          </cell>
          <cell r="AO2098">
            <v>0</v>
          </cell>
          <cell r="AP2098">
            <v>0</v>
          </cell>
          <cell r="AQ2098">
            <v>0</v>
          </cell>
          <cell r="BA2098">
            <v>0</v>
          </cell>
          <cell r="BC2098">
            <v>0</v>
          </cell>
        </row>
        <row r="2099">
          <cell r="A2099">
            <v>0</v>
          </cell>
          <cell r="B2099">
            <v>0</v>
          </cell>
          <cell r="E2099">
            <v>0</v>
          </cell>
          <cell r="F2099">
            <v>0</v>
          </cell>
          <cell r="AO2099">
            <v>0</v>
          </cell>
          <cell r="AP2099">
            <v>0</v>
          </cell>
          <cell r="AQ2099">
            <v>0</v>
          </cell>
          <cell r="BA2099">
            <v>0</v>
          </cell>
          <cell r="BC2099">
            <v>0</v>
          </cell>
        </row>
        <row r="2100">
          <cell r="A2100">
            <v>0</v>
          </cell>
          <cell r="B2100">
            <v>0</v>
          </cell>
          <cell r="E2100">
            <v>0</v>
          </cell>
          <cell r="F2100">
            <v>0</v>
          </cell>
          <cell r="AO2100">
            <v>0</v>
          </cell>
          <cell r="AP2100">
            <v>0</v>
          </cell>
          <cell r="AQ2100">
            <v>0</v>
          </cell>
          <cell r="BA2100">
            <v>0</v>
          </cell>
          <cell r="BC2100">
            <v>0</v>
          </cell>
        </row>
        <row r="2101">
          <cell r="A2101">
            <v>0</v>
          </cell>
          <cell r="B2101">
            <v>0</v>
          </cell>
          <cell r="E2101">
            <v>0</v>
          </cell>
          <cell r="F2101">
            <v>0</v>
          </cell>
          <cell r="AO2101">
            <v>0</v>
          </cell>
          <cell r="AP2101">
            <v>0</v>
          </cell>
          <cell r="AQ2101">
            <v>0</v>
          </cell>
          <cell r="BA2101">
            <v>0</v>
          </cell>
          <cell r="BC2101">
            <v>0</v>
          </cell>
        </row>
        <row r="2102">
          <cell r="A2102">
            <v>0</v>
          </cell>
          <cell r="B2102">
            <v>0</v>
          </cell>
          <cell r="E2102">
            <v>0</v>
          </cell>
          <cell r="F2102">
            <v>0</v>
          </cell>
          <cell r="AO2102">
            <v>0</v>
          </cell>
          <cell r="AP2102">
            <v>0</v>
          </cell>
          <cell r="AQ2102">
            <v>0</v>
          </cell>
          <cell r="BA2102">
            <v>0</v>
          </cell>
          <cell r="BC2102">
            <v>0</v>
          </cell>
        </row>
        <row r="2103">
          <cell r="A2103">
            <v>0</v>
          </cell>
          <cell r="B2103">
            <v>0</v>
          </cell>
          <cell r="E2103">
            <v>0</v>
          </cell>
          <cell r="F2103">
            <v>0</v>
          </cell>
          <cell r="AO2103">
            <v>0</v>
          </cell>
          <cell r="AP2103">
            <v>0</v>
          </cell>
          <cell r="AQ2103">
            <v>0</v>
          </cell>
          <cell r="BA2103">
            <v>0</v>
          </cell>
          <cell r="BC2103">
            <v>0</v>
          </cell>
        </row>
        <row r="2104">
          <cell r="A2104">
            <v>0</v>
          </cell>
          <cell r="B2104">
            <v>0</v>
          </cell>
          <cell r="E2104">
            <v>0</v>
          </cell>
          <cell r="F2104">
            <v>0</v>
          </cell>
          <cell r="AO2104">
            <v>0</v>
          </cell>
          <cell r="AP2104">
            <v>0</v>
          </cell>
          <cell r="AQ2104">
            <v>0</v>
          </cell>
          <cell r="BA2104">
            <v>0</v>
          </cell>
          <cell r="BC2104">
            <v>0</v>
          </cell>
        </row>
        <row r="2105">
          <cell r="A2105">
            <v>0</v>
          </cell>
          <cell r="B2105">
            <v>0</v>
          </cell>
          <cell r="E2105">
            <v>0</v>
          </cell>
          <cell r="F2105">
            <v>0</v>
          </cell>
          <cell r="AO2105">
            <v>0</v>
          </cell>
          <cell r="AP2105">
            <v>0</v>
          </cell>
          <cell r="AQ2105">
            <v>0</v>
          </cell>
          <cell r="BA2105">
            <v>0</v>
          </cell>
          <cell r="BC2105">
            <v>0</v>
          </cell>
        </row>
        <row r="2106">
          <cell r="A2106">
            <v>0</v>
          </cell>
          <cell r="B2106">
            <v>0</v>
          </cell>
          <cell r="E2106">
            <v>0</v>
          </cell>
          <cell r="F2106">
            <v>0</v>
          </cell>
          <cell r="AO2106">
            <v>0</v>
          </cell>
          <cell r="AP2106">
            <v>0</v>
          </cell>
          <cell r="AQ2106">
            <v>0</v>
          </cell>
          <cell r="BA2106">
            <v>0</v>
          </cell>
          <cell r="BC2106">
            <v>0</v>
          </cell>
        </row>
        <row r="2107">
          <cell r="A2107">
            <v>0</v>
          </cell>
          <cell r="B2107">
            <v>0</v>
          </cell>
          <cell r="E2107">
            <v>0</v>
          </cell>
          <cell r="F2107">
            <v>0</v>
          </cell>
          <cell r="AO2107">
            <v>0</v>
          </cell>
          <cell r="AP2107">
            <v>0</v>
          </cell>
          <cell r="AQ2107">
            <v>0</v>
          </cell>
          <cell r="BA2107">
            <v>0</v>
          </cell>
          <cell r="BC2107">
            <v>0</v>
          </cell>
        </row>
        <row r="2108">
          <cell r="A2108">
            <v>0</v>
          </cell>
          <cell r="B2108">
            <v>0</v>
          </cell>
          <cell r="E2108">
            <v>0</v>
          </cell>
          <cell r="F2108">
            <v>0</v>
          </cell>
          <cell r="AO2108">
            <v>0</v>
          </cell>
          <cell r="AP2108">
            <v>0</v>
          </cell>
          <cell r="AQ2108">
            <v>0</v>
          </cell>
          <cell r="BA2108">
            <v>0</v>
          </cell>
          <cell r="BC2108">
            <v>0</v>
          </cell>
        </row>
        <row r="2109">
          <cell r="A2109">
            <v>0</v>
          </cell>
          <cell r="B2109">
            <v>0</v>
          </cell>
          <cell r="E2109">
            <v>0</v>
          </cell>
          <cell r="F2109">
            <v>0</v>
          </cell>
          <cell r="AO2109">
            <v>0</v>
          </cell>
          <cell r="AP2109">
            <v>0</v>
          </cell>
          <cell r="AQ2109">
            <v>0</v>
          </cell>
          <cell r="BA2109">
            <v>0</v>
          </cell>
          <cell r="BC2109">
            <v>0</v>
          </cell>
        </row>
        <row r="2110">
          <cell r="A2110">
            <v>0</v>
          </cell>
          <cell r="B2110">
            <v>0</v>
          </cell>
          <cell r="E2110">
            <v>0</v>
          </cell>
          <cell r="F2110">
            <v>0</v>
          </cell>
          <cell r="AO2110">
            <v>0</v>
          </cell>
          <cell r="AP2110">
            <v>0</v>
          </cell>
          <cell r="AQ2110">
            <v>0</v>
          </cell>
          <cell r="BA2110">
            <v>0</v>
          </cell>
          <cell r="BC2110">
            <v>0</v>
          </cell>
        </row>
        <row r="2111">
          <cell r="A2111">
            <v>0</v>
          </cell>
          <cell r="B2111">
            <v>0</v>
          </cell>
          <cell r="E2111">
            <v>0</v>
          </cell>
          <cell r="F2111">
            <v>0</v>
          </cell>
          <cell r="AO2111">
            <v>0</v>
          </cell>
          <cell r="AP2111">
            <v>0</v>
          </cell>
          <cell r="AQ2111">
            <v>0</v>
          </cell>
          <cell r="BA2111">
            <v>0</v>
          </cell>
          <cell r="BC2111">
            <v>0</v>
          </cell>
        </row>
        <row r="2112">
          <cell r="A2112">
            <v>0</v>
          </cell>
          <cell r="B2112">
            <v>0</v>
          </cell>
          <cell r="E2112">
            <v>0</v>
          </cell>
          <cell r="F2112">
            <v>0</v>
          </cell>
          <cell r="AO2112">
            <v>0</v>
          </cell>
          <cell r="AP2112">
            <v>0</v>
          </cell>
          <cell r="AQ2112">
            <v>0</v>
          </cell>
          <cell r="BA2112">
            <v>0</v>
          </cell>
          <cell r="BC2112">
            <v>0</v>
          </cell>
        </row>
        <row r="2113">
          <cell r="A2113">
            <v>0</v>
          </cell>
          <cell r="B2113">
            <v>0</v>
          </cell>
          <cell r="E2113">
            <v>0</v>
          </cell>
          <cell r="F2113">
            <v>0</v>
          </cell>
          <cell r="AO2113">
            <v>0</v>
          </cell>
          <cell r="AP2113">
            <v>0</v>
          </cell>
          <cell r="AQ2113">
            <v>0</v>
          </cell>
          <cell r="BA2113">
            <v>0</v>
          </cell>
          <cell r="BC2113">
            <v>0</v>
          </cell>
        </row>
        <row r="2114">
          <cell r="A2114">
            <v>0</v>
          </cell>
          <cell r="B2114">
            <v>0</v>
          </cell>
          <cell r="E2114">
            <v>0</v>
          </cell>
          <cell r="F2114">
            <v>0</v>
          </cell>
          <cell r="AO2114">
            <v>0</v>
          </cell>
          <cell r="AP2114">
            <v>0</v>
          </cell>
          <cell r="AQ2114">
            <v>0</v>
          </cell>
          <cell r="BA2114">
            <v>0</v>
          </cell>
          <cell r="BC2114">
            <v>0</v>
          </cell>
        </row>
        <row r="2115">
          <cell r="A2115">
            <v>0</v>
          </cell>
          <cell r="B2115">
            <v>0</v>
          </cell>
          <cell r="E2115">
            <v>0</v>
          </cell>
          <cell r="F2115">
            <v>0</v>
          </cell>
          <cell r="AO2115">
            <v>0</v>
          </cell>
          <cell r="AP2115">
            <v>0</v>
          </cell>
          <cell r="AQ2115">
            <v>0</v>
          </cell>
          <cell r="BA2115">
            <v>0</v>
          </cell>
          <cell r="BC2115">
            <v>0</v>
          </cell>
        </row>
        <row r="2116">
          <cell r="A2116">
            <v>0</v>
          </cell>
          <cell r="B2116">
            <v>0</v>
          </cell>
          <cell r="E2116">
            <v>0</v>
          </cell>
          <cell r="F2116">
            <v>0</v>
          </cell>
          <cell r="AO2116">
            <v>0</v>
          </cell>
          <cell r="AP2116">
            <v>0</v>
          </cell>
          <cell r="AQ2116">
            <v>0</v>
          </cell>
          <cell r="BA2116">
            <v>0</v>
          </cell>
          <cell r="BC2116">
            <v>0</v>
          </cell>
        </row>
        <row r="2117">
          <cell r="A2117">
            <v>0</v>
          </cell>
          <cell r="B2117">
            <v>0</v>
          </cell>
          <cell r="E2117">
            <v>0</v>
          </cell>
          <cell r="F2117">
            <v>0</v>
          </cell>
          <cell r="AO2117">
            <v>0</v>
          </cell>
          <cell r="AP2117">
            <v>0</v>
          </cell>
          <cell r="AQ2117">
            <v>0</v>
          </cell>
          <cell r="BA2117">
            <v>0</v>
          </cell>
          <cell r="BC2117">
            <v>0</v>
          </cell>
        </row>
        <row r="2118">
          <cell r="A2118">
            <v>0</v>
          </cell>
          <cell r="B2118">
            <v>0</v>
          </cell>
          <cell r="E2118">
            <v>0</v>
          </cell>
          <cell r="F2118">
            <v>0</v>
          </cell>
          <cell r="AO2118">
            <v>0</v>
          </cell>
          <cell r="AP2118">
            <v>0</v>
          </cell>
          <cell r="AQ2118">
            <v>0</v>
          </cell>
          <cell r="BA2118">
            <v>0</v>
          </cell>
          <cell r="BC2118">
            <v>0</v>
          </cell>
        </row>
        <row r="2119">
          <cell r="A2119">
            <v>0</v>
          </cell>
          <cell r="B2119">
            <v>0</v>
          </cell>
          <cell r="E2119">
            <v>0</v>
          </cell>
          <cell r="F2119">
            <v>0</v>
          </cell>
          <cell r="AO2119">
            <v>0</v>
          </cell>
          <cell r="AP2119">
            <v>0</v>
          </cell>
          <cell r="AQ2119">
            <v>0</v>
          </cell>
          <cell r="BA2119">
            <v>0</v>
          </cell>
          <cell r="BC2119">
            <v>0</v>
          </cell>
        </row>
        <row r="2120">
          <cell r="A2120">
            <v>0</v>
          </cell>
          <cell r="B2120">
            <v>0</v>
          </cell>
          <cell r="E2120">
            <v>0</v>
          </cell>
          <cell r="F2120">
            <v>0</v>
          </cell>
          <cell r="AO2120">
            <v>0</v>
          </cell>
          <cell r="AP2120">
            <v>0</v>
          </cell>
          <cell r="AQ2120">
            <v>0</v>
          </cell>
          <cell r="BA2120">
            <v>0</v>
          </cell>
          <cell r="BC2120">
            <v>0</v>
          </cell>
        </row>
        <row r="2121">
          <cell r="A2121">
            <v>0</v>
          </cell>
          <cell r="B2121">
            <v>0</v>
          </cell>
          <cell r="E2121">
            <v>0</v>
          </cell>
          <cell r="F2121">
            <v>0</v>
          </cell>
          <cell r="AO2121">
            <v>0</v>
          </cell>
          <cell r="AP2121">
            <v>0</v>
          </cell>
          <cell r="AQ2121">
            <v>0</v>
          </cell>
          <cell r="BA2121">
            <v>0</v>
          </cell>
          <cell r="BC2121">
            <v>0</v>
          </cell>
        </row>
        <row r="2122">
          <cell r="A2122">
            <v>0</v>
          </cell>
          <cell r="B2122">
            <v>0</v>
          </cell>
          <cell r="E2122">
            <v>0</v>
          </cell>
          <cell r="F2122">
            <v>0</v>
          </cell>
          <cell r="AO2122">
            <v>0</v>
          </cell>
          <cell r="AP2122">
            <v>0</v>
          </cell>
          <cell r="AQ2122">
            <v>0</v>
          </cell>
          <cell r="BA2122">
            <v>0</v>
          </cell>
          <cell r="BC2122">
            <v>0</v>
          </cell>
        </row>
        <row r="2123">
          <cell r="A2123">
            <v>0</v>
          </cell>
          <cell r="B2123">
            <v>0</v>
          </cell>
          <cell r="E2123">
            <v>0</v>
          </cell>
          <cell r="F2123">
            <v>0</v>
          </cell>
          <cell r="AO2123">
            <v>0</v>
          </cell>
          <cell r="AP2123">
            <v>0</v>
          </cell>
          <cell r="AQ2123">
            <v>0</v>
          </cell>
          <cell r="BA2123">
            <v>0</v>
          </cell>
          <cell r="BC2123">
            <v>0</v>
          </cell>
        </row>
        <row r="2124">
          <cell r="A2124">
            <v>0</v>
          </cell>
          <cell r="B2124">
            <v>0</v>
          </cell>
          <cell r="E2124">
            <v>0</v>
          </cell>
          <cell r="F2124">
            <v>0</v>
          </cell>
          <cell r="AO2124">
            <v>0</v>
          </cell>
          <cell r="AP2124">
            <v>0</v>
          </cell>
          <cell r="AQ2124">
            <v>0</v>
          </cell>
          <cell r="BA2124">
            <v>0</v>
          </cell>
          <cell r="BC2124">
            <v>0</v>
          </cell>
        </row>
        <row r="2125">
          <cell r="A2125">
            <v>0</v>
          </cell>
          <cell r="B2125">
            <v>0</v>
          </cell>
          <cell r="E2125">
            <v>0</v>
          </cell>
          <cell r="F2125">
            <v>0</v>
          </cell>
          <cell r="AO2125">
            <v>0</v>
          </cell>
          <cell r="AP2125">
            <v>0</v>
          </cell>
          <cell r="AQ2125">
            <v>0</v>
          </cell>
          <cell r="BA2125">
            <v>0</v>
          </cell>
          <cell r="BC2125">
            <v>0</v>
          </cell>
        </row>
        <row r="2126">
          <cell r="A2126">
            <v>0</v>
          </cell>
          <cell r="B2126">
            <v>0</v>
          </cell>
          <cell r="E2126">
            <v>0</v>
          </cell>
          <cell r="F2126">
            <v>0</v>
          </cell>
          <cell r="AO2126">
            <v>0</v>
          </cell>
          <cell r="AP2126">
            <v>0</v>
          </cell>
          <cell r="AQ2126">
            <v>0</v>
          </cell>
          <cell r="BA2126">
            <v>0</v>
          </cell>
          <cell r="BC2126">
            <v>0</v>
          </cell>
        </row>
        <row r="2127">
          <cell r="A2127">
            <v>0</v>
          </cell>
          <cell r="B2127">
            <v>0</v>
          </cell>
          <cell r="E2127">
            <v>0</v>
          </cell>
          <cell r="F2127">
            <v>0</v>
          </cell>
          <cell r="AO2127">
            <v>0</v>
          </cell>
          <cell r="AP2127">
            <v>0</v>
          </cell>
          <cell r="AQ2127">
            <v>0</v>
          </cell>
          <cell r="BA2127">
            <v>0</v>
          </cell>
          <cell r="BC2127">
            <v>0</v>
          </cell>
        </row>
        <row r="2128">
          <cell r="A2128">
            <v>0</v>
          </cell>
          <cell r="B2128">
            <v>0</v>
          </cell>
          <cell r="E2128">
            <v>0</v>
          </cell>
          <cell r="F2128">
            <v>0</v>
          </cell>
          <cell r="AO2128">
            <v>0</v>
          </cell>
          <cell r="AP2128">
            <v>0</v>
          </cell>
          <cell r="AQ2128">
            <v>0</v>
          </cell>
          <cell r="BA2128">
            <v>0</v>
          </cell>
          <cell r="BC2128">
            <v>0</v>
          </cell>
        </row>
        <row r="2129">
          <cell r="A2129">
            <v>0</v>
          </cell>
          <cell r="B2129">
            <v>0</v>
          </cell>
          <cell r="E2129">
            <v>0</v>
          </cell>
          <cell r="F2129">
            <v>0</v>
          </cell>
          <cell r="AO2129">
            <v>0</v>
          </cell>
          <cell r="AP2129">
            <v>0</v>
          </cell>
          <cell r="AQ2129">
            <v>0</v>
          </cell>
          <cell r="BA2129">
            <v>0</v>
          </cell>
          <cell r="BC2129">
            <v>0</v>
          </cell>
        </row>
        <row r="2130">
          <cell r="A2130">
            <v>0</v>
          </cell>
          <cell r="B2130">
            <v>0</v>
          </cell>
          <cell r="E2130">
            <v>0</v>
          </cell>
          <cell r="F2130">
            <v>0</v>
          </cell>
          <cell r="AO2130">
            <v>0</v>
          </cell>
          <cell r="AP2130">
            <v>0</v>
          </cell>
          <cell r="AQ2130">
            <v>0</v>
          </cell>
          <cell r="BA2130">
            <v>0</v>
          </cell>
          <cell r="BC2130">
            <v>0</v>
          </cell>
        </row>
        <row r="2131">
          <cell r="A2131">
            <v>0</v>
          </cell>
          <cell r="B2131">
            <v>0</v>
          </cell>
          <cell r="E2131">
            <v>0</v>
          </cell>
          <cell r="F2131">
            <v>0</v>
          </cell>
          <cell r="AO2131">
            <v>0</v>
          </cell>
          <cell r="AP2131">
            <v>0</v>
          </cell>
          <cell r="AQ2131">
            <v>0</v>
          </cell>
          <cell r="BA2131">
            <v>0</v>
          </cell>
          <cell r="BC2131">
            <v>0</v>
          </cell>
        </row>
        <row r="2132">
          <cell r="A2132">
            <v>0</v>
          </cell>
          <cell r="B2132">
            <v>0</v>
          </cell>
          <cell r="E2132">
            <v>0</v>
          </cell>
          <cell r="F2132">
            <v>0</v>
          </cell>
          <cell r="AO2132">
            <v>0</v>
          </cell>
          <cell r="AP2132">
            <v>0</v>
          </cell>
          <cell r="AQ2132">
            <v>0</v>
          </cell>
          <cell r="BA2132">
            <v>0</v>
          </cell>
          <cell r="BC2132">
            <v>0</v>
          </cell>
        </row>
        <row r="2133">
          <cell r="A2133">
            <v>0</v>
          </cell>
          <cell r="B2133">
            <v>0</v>
          </cell>
          <cell r="E2133">
            <v>0</v>
          </cell>
          <cell r="F2133">
            <v>0</v>
          </cell>
          <cell r="AO2133">
            <v>0</v>
          </cell>
          <cell r="AP2133">
            <v>0</v>
          </cell>
          <cell r="AQ2133">
            <v>0</v>
          </cell>
          <cell r="BA2133">
            <v>0</v>
          </cell>
          <cell r="BC2133">
            <v>0</v>
          </cell>
        </row>
        <row r="2134">
          <cell r="A2134">
            <v>0</v>
          </cell>
          <cell r="B2134">
            <v>0</v>
          </cell>
          <cell r="E2134">
            <v>0</v>
          </cell>
          <cell r="F2134">
            <v>0</v>
          </cell>
          <cell r="AO2134">
            <v>0</v>
          </cell>
          <cell r="AP2134">
            <v>0</v>
          </cell>
          <cell r="AQ2134">
            <v>0</v>
          </cell>
          <cell r="BA2134">
            <v>0</v>
          </cell>
          <cell r="BC2134">
            <v>0</v>
          </cell>
        </row>
        <row r="2135">
          <cell r="A2135">
            <v>0</v>
          </cell>
          <cell r="B2135">
            <v>0</v>
          </cell>
          <cell r="E2135">
            <v>0</v>
          </cell>
          <cell r="F2135">
            <v>0</v>
          </cell>
          <cell r="AO2135">
            <v>0</v>
          </cell>
          <cell r="AP2135">
            <v>0</v>
          </cell>
          <cell r="AQ2135">
            <v>0</v>
          </cell>
          <cell r="BA2135">
            <v>0</v>
          </cell>
          <cell r="BC2135">
            <v>0</v>
          </cell>
        </row>
        <row r="2136">
          <cell r="A2136">
            <v>0</v>
          </cell>
          <cell r="B2136">
            <v>0</v>
          </cell>
          <cell r="E2136">
            <v>0</v>
          </cell>
          <cell r="F2136">
            <v>0</v>
          </cell>
          <cell r="AO2136">
            <v>0</v>
          </cell>
          <cell r="AP2136">
            <v>0</v>
          </cell>
          <cell r="AQ2136">
            <v>0</v>
          </cell>
          <cell r="BA2136">
            <v>0</v>
          </cell>
          <cell r="BC2136">
            <v>0</v>
          </cell>
        </row>
        <row r="2137">
          <cell r="A2137">
            <v>0</v>
          </cell>
          <cell r="B2137">
            <v>0</v>
          </cell>
          <cell r="E2137">
            <v>0</v>
          </cell>
          <cell r="F2137">
            <v>0</v>
          </cell>
          <cell r="AO2137">
            <v>0</v>
          </cell>
          <cell r="AP2137">
            <v>0</v>
          </cell>
          <cell r="AQ2137">
            <v>0</v>
          </cell>
          <cell r="BA2137">
            <v>0</v>
          </cell>
          <cell r="BC2137">
            <v>0</v>
          </cell>
        </row>
        <row r="2138">
          <cell r="A2138">
            <v>0</v>
          </cell>
          <cell r="B2138">
            <v>0</v>
          </cell>
          <cell r="E2138">
            <v>0</v>
          </cell>
          <cell r="F2138">
            <v>0</v>
          </cell>
          <cell r="AO2138">
            <v>0</v>
          </cell>
          <cell r="AP2138">
            <v>0</v>
          </cell>
          <cell r="AQ2138">
            <v>0</v>
          </cell>
          <cell r="BA2138">
            <v>0</v>
          </cell>
          <cell r="BC2138">
            <v>0</v>
          </cell>
        </row>
        <row r="2139">
          <cell r="A2139">
            <v>0</v>
          </cell>
          <cell r="B2139">
            <v>0</v>
          </cell>
          <cell r="E2139">
            <v>0</v>
          </cell>
          <cell r="F2139">
            <v>0</v>
          </cell>
          <cell r="AO2139">
            <v>0</v>
          </cell>
          <cell r="AP2139">
            <v>0</v>
          </cell>
          <cell r="AQ2139">
            <v>0</v>
          </cell>
          <cell r="BA2139">
            <v>0</v>
          </cell>
          <cell r="BC2139">
            <v>0</v>
          </cell>
        </row>
        <row r="2140">
          <cell r="A2140">
            <v>0</v>
          </cell>
          <cell r="B2140">
            <v>0</v>
          </cell>
          <cell r="E2140">
            <v>0</v>
          </cell>
          <cell r="F2140">
            <v>0</v>
          </cell>
          <cell r="AO2140">
            <v>0</v>
          </cell>
          <cell r="AP2140">
            <v>0</v>
          </cell>
          <cell r="AQ2140">
            <v>0</v>
          </cell>
          <cell r="BA2140">
            <v>0</v>
          </cell>
          <cell r="BC2140">
            <v>0</v>
          </cell>
        </row>
        <row r="2141">
          <cell r="A2141">
            <v>0</v>
          </cell>
          <cell r="B2141">
            <v>0</v>
          </cell>
          <cell r="E2141">
            <v>0</v>
          </cell>
          <cell r="F2141">
            <v>0</v>
          </cell>
          <cell r="AO2141">
            <v>0</v>
          </cell>
          <cell r="AP2141">
            <v>0</v>
          </cell>
          <cell r="AQ2141">
            <v>0</v>
          </cell>
          <cell r="BA2141">
            <v>0</v>
          </cell>
          <cell r="BC2141">
            <v>0</v>
          </cell>
        </row>
        <row r="2142">
          <cell r="A2142">
            <v>0</v>
          </cell>
          <cell r="B2142">
            <v>0</v>
          </cell>
          <cell r="E2142">
            <v>0</v>
          </cell>
          <cell r="F2142">
            <v>0</v>
          </cell>
          <cell r="AO2142">
            <v>0</v>
          </cell>
          <cell r="AP2142">
            <v>0</v>
          </cell>
          <cell r="AQ2142">
            <v>0</v>
          </cell>
          <cell r="BA2142">
            <v>0</v>
          </cell>
          <cell r="BC2142">
            <v>0</v>
          </cell>
        </row>
        <row r="2143">
          <cell r="A2143">
            <v>0</v>
          </cell>
          <cell r="B2143">
            <v>0</v>
          </cell>
          <cell r="E2143">
            <v>0</v>
          </cell>
          <cell r="F2143">
            <v>0</v>
          </cell>
          <cell r="AO2143">
            <v>0</v>
          </cell>
          <cell r="AP2143">
            <v>0</v>
          </cell>
          <cell r="AQ2143">
            <v>0</v>
          </cell>
          <cell r="BA2143">
            <v>0</v>
          </cell>
          <cell r="BC2143">
            <v>0</v>
          </cell>
        </row>
        <row r="2144">
          <cell r="A2144">
            <v>0</v>
          </cell>
          <cell r="B2144">
            <v>0</v>
          </cell>
          <cell r="E2144">
            <v>0</v>
          </cell>
          <cell r="F2144">
            <v>0</v>
          </cell>
          <cell r="AO2144">
            <v>0</v>
          </cell>
          <cell r="AP2144">
            <v>0</v>
          </cell>
          <cell r="AQ2144">
            <v>0</v>
          </cell>
          <cell r="BA2144">
            <v>0</v>
          </cell>
          <cell r="BC2144">
            <v>0</v>
          </cell>
        </row>
        <row r="2145">
          <cell r="A2145">
            <v>0</v>
          </cell>
          <cell r="B2145">
            <v>0</v>
          </cell>
          <cell r="E2145">
            <v>0</v>
          </cell>
          <cell r="F2145">
            <v>0</v>
          </cell>
          <cell r="AO2145">
            <v>0</v>
          </cell>
          <cell r="AP2145">
            <v>0</v>
          </cell>
          <cell r="AQ2145">
            <v>0</v>
          </cell>
          <cell r="BA2145">
            <v>0</v>
          </cell>
          <cell r="BC2145">
            <v>0</v>
          </cell>
        </row>
        <row r="2146">
          <cell r="A2146">
            <v>0</v>
          </cell>
          <cell r="B2146">
            <v>0</v>
          </cell>
          <cell r="E2146">
            <v>0</v>
          </cell>
          <cell r="F2146">
            <v>0</v>
          </cell>
          <cell r="AO2146">
            <v>0</v>
          </cell>
          <cell r="AP2146">
            <v>0</v>
          </cell>
          <cell r="AQ2146">
            <v>0</v>
          </cell>
          <cell r="BA2146">
            <v>0</v>
          </cell>
          <cell r="BC2146">
            <v>0</v>
          </cell>
        </row>
        <row r="2147">
          <cell r="A2147">
            <v>0</v>
          </cell>
          <cell r="B2147">
            <v>0</v>
          </cell>
          <cell r="E2147">
            <v>0</v>
          </cell>
          <cell r="F2147">
            <v>0</v>
          </cell>
          <cell r="AO2147">
            <v>0</v>
          </cell>
          <cell r="AP2147">
            <v>0</v>
          </cell>
          <cell r="AQ2147">
            <v>0</v>
          </cell>
          <cell r="BA2147">
            <v>0</v>
          </cell>
          <cell r="BC2147">
            <v>0</v>
          </cell>
        </row>
        <row r="2148">
          <cell r="A2148">
            <v>0</v>
          </cell>
          <cell r="B2148">
            <v>0</v>
          </cell>
          <cell r="E2148">
            <v>0</v>
          </cell>
          <cell r="F2148">
            <v>0</v>
          </cell>
          <cell r="AO2148">
            <v>0</v>
          </cell>
          <cell r="AP2148">
            <v>0</v>
          </cell>
          <cell r="AQ2148">
            <v>0</v>
          </cell>
          <cell r="BA2148">
            <v>0</v>
          </cell>
          <cell r="BC2148">
            <v>0</v>
          </cell>
        </row>
        <row r="2149">
          <cell r="A2149">
            <v>0</v>
          </cell>
          <cell r="B2149">
            <v>0</v>
          </cell>
          <cell r="E2149">
            <v>0</v>
          </cell>
          <cell r="F2149">
            <v>0</v>
          </cell>
          <cell r="AO2149">
            <v>0</v>
          </cell>
          <cell r="AP2149">
            <v>0</v>
          </cell>
          <cell r="AQ2149">
            <v>0</v>
          </cell>
          <cell r="BA2149">
            <v>0</v>
          </cell>
          <cell r="BC2149">
            <v>0</v>
          </cell>
        </row>
        <row r="2150">
          <cell r="A2150">
            <v>0</v>
          </cell>
          <cell r="B2150">
            <v>0</v>
          </cell>
          <cell r="E2150">
            <v>0</v>
          </cell>
          <cell r="F2150">
            <v>0</v>
          </cell>
          <cell r="AO2150">
            <v>0</v>
          </cell>
          <cell r="AP2150">
            <v>0</v>
          </cell>
          <cell r="AQ2150">
            <v>0</v>
          </cell>
          <cell r="BA2150">
            <v>0</v>
          </cell>
          <cell r="BC2150">
            <v>0</v>
          </cell>
        </row>
        <row r="2151">
          <cell r="A2151">
            <v>0</v>
          </cell>
          <cell r="B2151">
            <v>0</v>
          </cell>
          <cell r="E2151">
            <v>0</v>
          </cell>
          <cell r="F2151">
            <v>0</v>
          </cell>
          <cell r="AO2151">
            <v>0</v>
          </cell>
          <cell r="AP2151">
            <v>0</v>
          </cell>
          <cell r="AQ2151">
            <v>0</v>
          </cell>
          <cell r="BA2151">
            <v>0</v>
          </cell>
          <cell r="BC2151">
            <v>0</v>
          </cell>
        </row>
        <row r="2152">
          <cell r="A2152">
            <v>0</v>
          </cell>
          <cell r="B2152">
            <v>0</v>
          </cell>
          <cell r="E2152">
            <v>0</v>
          </cell>
          <cell r="F2152">
            <v>0</v>
          </cell>
          <cell r="AO2152">
            <v>0</v>
          </cell>
          <cell r="AP2152">
            <v>0</v>
          </cell>
          <cell r="AQ2152">
            <v>0</v>
          </cell>
          <cell r="BA2152">
            <v>0</v>
          </cell>
          <cell r="BC2152">
            <v>0</v>
          </cell>
        </row>
        <row r="2153">
          <cell r="A2153">
            <v>0</v>
          </cell>
          <cell r="B2153">
            <v>0</v>
          </cell>
          <cell r="E2153">
            <v>0</v>
          </cell>
          <cell r="F2153">
            <v>0</v>
          </cell>
          <cell r="AO2153">
            <v>0</v>
          </cell>
          <cell r="AP2153">
            <v>0</v>
          </cell>
          <cell r="AQ2153">
            <v>0</v>
          </cell>
          <cell r="BA2153">
            <v>0</v>
          </cell>
          <cell r="BC2153">
            <v>0</v>
          </cell>
        </row>
        <row r="2154">
          <cell r="A2154">
            <v>0</v>
          </cell>
          <cell r="B2154">
            <v>0</v>
          </cell>
          <cell r="E2154">
            <v>0</v>
          </cell>
          <cell r="F2154">
            <v>0</v>
          </cell>
          <cell r="AO2154">
            <v>0</v>
          </cell>
          <cell r="AP2154">
            <v>0</v>
          </cell>
          <cell r="AQ2154">
            <v>0</v>
          </cell>
          <cell r="BA2154">
            <v>0</v>
          </cell>
          <cell r="BC2154">
            <v>0</v>
          </cell>
        </row>
        <row r="2155">
          <cell r="A2155">
            <v>0</v>
          </cell>
          <cell r="B2155">
            <v>0</v>
          </cell>
          <cell r="E2155">
            <v>0</v>
          </cell>
          <cell r="F2155">
            <v>0</v>
          </cell>
          <cell r="AO2155">
            <v>0</v>
          </cell>
          <cell r="AP2155">
            <v>0</v>
          </cell>
          <cell r="AQ2155">
            <v>0</v>
          </cell>
          <cell r="BA2155">
            <v>0</v>
          </cell>
          <cell r="BC2155">
            <v>0</v>
          </cell>
        </row>
        <row r="2156">
          <cell r="A2156">
            <v>0</v>
          </cell>
          <cell r="B2156">
            <v>0</v>
          </cell>
          <cell r="E2156">
            <v>0</v>
          </cell>
          <cell r="F2156">
            <v>0</v>
          </cell>
          <cell r="AO2156">
            <v>0</v>
          </cell>
          <cell r="AP2156">
            <v>0</v>
          </cell>
          <cell r="AQ2156">
            <v>0</v>
          </cell>
          <cell r="BA2156">
            <v>0</v>
          </cell>
          <cell r="BC2156">
            <v>0</v>
          </cell>
        </row>
        <row r="2157">
          <cell r="A2157">
            <v>0</v>
          </cell>
          <cell r="B2157">
            <v>0</v>
          </cell>
          <cell r="E2157">
            <v>0</v>
          </cell>
          <cell r="F2157">
            <v>0</v>
          </cell>
          <cell r="AO2157">
            <v>0</v>
          </cell>
          <cell r="AP2157">
            <v>0</v>
          </cell>
          <cell r="AQ2157">
            <v>0</v>
          </cell>
          <cell r="BA2157">
            <v>0</v>
          </cell>
          <cell r="BC2157">
            <v>0</v>
          </cell>
        </row>
        <row r="2158">
          <cell r="A2158">
            <v>0</v>
          </cell>
          <cell r="B2158">
            <v>0</v>
          </cell>
          <cell r="E2158">
            <v>0</v>
          </cell>
          <cell r="F2158">
            <v>0</v>
          </cell>
          <cell r="AO2158">
            <v>0</v>
          </cell>
          <cell r="AP2158">
            <v>0</v>
          </cell>
          <cell r="AQ2158">
            <v>0</v>
          </cell>
          <cell r="BA2158">
            <v>0</v>
          </cell>
          <cell r="BC2158">
            <v>0</v>
          </cell>
        </row>
        <row r="2159">
          <cell r="A2159">
            <v>0</v>
          </cell>
          <cell r="B2159">
            <v>0</v>
          </cell>
          <cell r="E2159">
            <v>0</v>
          </cell>
          <cell r="F2159">
            <v>0</v>
          </cell>
          <cell r="AO2159">
            <v>0</v>
          </cell>
          <cell r="AP2159">
            <v>0</v>
          </cell>
          <cell r="AQ2159">
            <v>0</v>
          </cell>
          <cell r="BA2159">
            <v>0</v>
          </cell>
          <cell r="BC2159">
            <v>0</v>
          </cell>
        </row>
        <row r="2160">
          <cell r="A2160">
            <v>0</v>
          </cell>
          <cell r="B2160">
            <v>0</v>
          </cell>
          <cell r="E2160">
            <v>0</v>
          </cell>
          <cell r="F2160">
            <v>0</v>
          </cell>
          <cell r="AO2160">
            <v>0</v>
          </cell>
          <cell r="AP2160">
            <v>0</v>
          </cell>
          <cell r="AQ2160">
            <v>0</v>
          </cell>
          <cell r="BA2160">
            <v>0</v>
          </cell>
          <cell r="BC2160">
            <v>0</v>
          </cell>
        </row>
        <row r="2161">
          <cell r="A2161">
            <v>0</v>
          </cell>
          <cell r="B2161">
            <v>0</v>
          </cell>
          <cell r="E2161">
            <v>0</v>
          </cell>
          <cell r="F2161">
            <v>0</v>
          </cell>
          <cell r="AO2161">
            <v>0</v>
          </cell>
          <cell r="AP2161">
            <v>0</v>
          </cell>
          <cell r="AQ2161">
            <v>0</v>
          </cell>
          <cell r="BA2161">
            <v>0</v>
          </cell>
          <cell r="BC2161">
            <v>0</v>
          </cell>
        </row>
        <row r="2162">
          <cell r="A2162">
            <v>0</v>
          </cell>
          <cell r="B2162">
            <v>0</v>
          </cell>
          <cell r="E2162">
            <v>0</v>
          </cell>
          <cell r="F2162">
            <v>0</v>
          </cell>
          <cell r="AO2162">
            <v>0</v>
          </cell>
          <cell r="AP2162">
            <v>0</v>
          </cell>
          <cell r="AQ2162">
            <v>0</v>
          </cell>
          <cell r="BA2162">
            <v>0</v>
          </cell>
          <cell r="BC2162">
            <v>0</v>
          </cell>
        </row>
        <row r="2163">
          <cell r="A2163">
            <v>0</v>
          </cell>
          <cell r="B2163">
            <v>0</v>
          </cell>
          <cell r="E2163">
            <v>0</v>
          </cell>
          <cell r="F2163">
            <v>0</v>
          </cell>
          <cell r="AO2163">
            <v>0</v>
          </cell>
          <cell r="AP2163">
            <v>0</v>
          </cell>
          <cell r="AQ2163">
            <v>0</v>
          </cell>
          <cell r="BA2163">
            <v>0</v>
          </cell>
          <cell r="BC2163">
            <v>0</v>
          </cell>
        </row>
        <row r="2164">
          <cell r="A2164">
            <v>0</v>
          </cell>
          <cell r="B2164">
            <v>0</v>
          </cell>
          <cell r="E2164">
            <v>0</v>
          </cell>
          <cell r="F2164">
            <v>0</v>
          </cell>
          <cell r="AO2164">
            <v>0</v>
          </cell>
          <cell r="AP2164">
            <v>0</v>
          </cell>
          <cell r="AQ2164">
            <v>0</v>
          </cell>
          <cell r="BA2164">
            <v>0</v>
          </cell>
          <cell r="BC2164">
            <v>0</v>
          </cell>
        </row>
        <row r="2165">
          <cell r="A2165">
            <v>0</v>
          </cell>
          <cell r="B2165">
            <v>0</v>
          </cell>
          <cell r="E2165">
            <v>0</v>
          </cell>
          <cell r="F2165">
            <v>0</v>
          </cell>
          <cell r="AO2165">
            <v>0</v>
          </cell>
          <cell r="AP2165">
            <v>0</v>
          </cell>
          <cell r="AQ2165">
            <v>0</v>
          </cell>
          <cell r="BA2165">
            <v>0</v>
          </cell>
          <cell r="BC2165">
            <v>0</v>
          </cell>
        </row>
        <row r="2166">
          <cell r="A2166">
            <v>0</v>
          </cell>
          <cell r="B2166">
            <v>0</v>
          </cell>
          <cell r="E2166">
            <v>0</v>
          </cell>
          <cell r="F2166">
            <v>0</v>
          </cell>
          <cell r="AO2166">
            <v>0</v>
          </cell>
          <cell r="AP2166">
            <v>0</v>
          </cell>
          <cell r="AQ2166">
            <v>0</v>
          </cell>
          <cell r="BA2166">
            <v>0</v>
          </cell>
          <cell r="BC2166">
            <v>0</v>
          </cell>
        </row>
        <row r="2167">
          <cell r="A2167">
            <v>0</v>
          </cell>
          <cell r="B2167">
            <v>0</v>
          </cell>
          <cell r="E2167">
            <v>0</v>
          </cell>
          <cell r="F2167">
            <v>0</v>
          </cell>
          <cell r="AO2167">
            <v>0</v>
          </cell>
          <cell r="AP2167">
            <v>0</v>
          </cell>
          <cell r="AQ2167">
            <v>0</v>
          </cell>
          <cell r="BA2167">
            <v>0</v>
          </cell>
          <cell r="BC2167">
            <v>0</v>
          </cell>
        </row>
        <row r="2168">
          <cell r="A2168">
            <v>0</v>
          </cell>
          <cell r="B2168">
            <v>0</v>
          </cell>
          <cell r="E2168">
            <v>0</v>
          </cell>
          <cell r="F2168">
            <v>0</v>
          </cell>
          <cell r="AO2168">
            <v>0</v>
          </cell>
          <cell r="AP2168">
            <v>0</v>
          </cell>
          <cell r="AQ2168">
            <v>0</v>
          </cell>
          <cell r="BA2168">
            <v>0</v>
          </cell>
          <cell r="BC2168">
            <v>0</v>
          </cell>
        </row>
        <row r="2169">
          <cell r="A2169">
            <v>0</v>
          </cell>
          <cell r="B2169">
            <v>0</v>
          </cell>
          <cell r="E2169">
            <v>0</v>
          </cell>
          <cell r="F2169">
            <v>0</v>
          </cell>
          <cell r="AO2169">
            <v>0</v>
          </cell>
          <cell r="AP2169">
            <v>0</v>
          </cell>
          <cell r="AQ2169">
            <v>0</v>
          </cell>
          <cell r="BA2169">
            <v>0</v>
          </cell>
          <cell r="BC2169">
            <v>0</v>
          </cell>
        </row>
        <row r="2170">
          <cell r="A2170">
            <v>0</v>
          </cell>
          <cell r="B2170">
            <v>0</v>
          </cell>
          <cell r="E2170">
            <v>0</v>
          </cell>
          <cell r="F2170">
            <v>0</v>
          </cell>
          <cell r="AO2170">
            <v>0</v>
          </cell>
          <cell r="AP2170">
            <v>0</v>
          </cell>
          <cell r="AQ2170">
            <v>0</v>
          </cell>
          <cell r="BA2170">
            <v>0</v>
          </cell>
          <cell r="BC2170">
            <v>0</v>
          </cell>
        </row>
        <row r="2171">
          <cell r="A2171">
            <v>0</v>
          </cell>
          <cell r="B2171">
            <v>0</v>
          </cell>
          <cell r="E2171">
            <v>0</v>
          </cell>
          <cell r="F2171">
            <v>0</v>
          </cell>
          <cell r="AO2171">
            <v>0</v>
          </cell>
          <cell r="AP2171">
            <v>0</v>
          </cell>
          <cell r="AQ2171">
            <v>0</v>
          </cell>
          <cell r="BA2171">
            <v>0</v>
          </cell>
          <cell r="BC2171">
            <v>0</v>
          </cell>
        </row>
        <row r="2172">
          <cell r="A2172">
            <v>0</v>
          </cell>
          <cell r="B2172">
            <v>0</v>
          </cell>
          <cell r="E2172">
            <v>0</v>
          </cell>
          <cell r="F2172">
            <v>0</v>
          </cell>
          <cell r="AO2172">
            <v>0</v>
          </cell>
          <cell r="AP2172">
            <v>0</v>
          </cell>
          <cell r="AQ2172">
            <v>0</v>
          </cell>
          <cell r="BA2172">
            <v>0</v>
          </cell>
          <cell r="BC2172">
            <v>0</v>
          </cell>
        </row>
        <row r="2173">
          <cell r="A2173">
            <v>0</v>
          </cell>
          <cell r="B2173">
            <v>0</v>
          </cell>
          <cell r="E2173">
            <v>0</v>
          </cell>
          <cell r="F2173">
            <v>0</v>
          </cell>
          <cell r="AO2173">
            <v>0</v>
          </cell>
          <cell r="AP2173">
            <v>0</v>
          </cell>
          <cell r="AQ2173">
            <v>0</v>
          </cell>
          <cell r="BA2173">
            <v>0</v>
          </cell>
          <cell r="BC2173">
            <v>0</v>
          </cell>
        </row>
        <row r="2174">
          <cell r="A2174">
            <v>0</v>
          </cell>
          <cell r="B2174">
            <v>0</v>
          </cell>
          <cell r="E2174">
            <v>0</v>
          </cell>
          <cell r="F2174">
            <v>0</v>
          </cell>
          <cell r="AO2174">
            <v>0</v>
          </cell>
          <cell r="AP2174">
            <v>0</v>
          </cell>
          <cell r="AQ2174">
            <v>0</v>
          </cell>
          <cell r="BA2174">
            <v>0</v>
          </cell>
          <cell r="BC2174">
            <v>0</v>
          </cell>
        </row>
        <row r="2175">
          <cell r="A2175">
            <v>0</v>
          </cell>
          <cell r="B2175">
            <v>0</v>
          </cell>
          <cell r="E2175">
            <v>0</v>
          </cell>
          <cell r="F2175">
            <v>0</v>
          </cell>
          <cell r="AO2175">
            <v>0</v>
          </cell>
          <cell r="AP2175">
            <v>0</v>
          </cell>
          <cell r="AQ2175">
            <v>0</v>
          </cell>
          <cell r="BA2175">
            <v>0</v>
          </cell>
          <cell r="BC2175">
            <v>0</v>
          </cell>
        </row>
        <row r="2176">
          <cell r="A2176">
            <v>0</v>
          </cell>
          <cell r="B2176">
            <v>0</v>
          </cell>
          <cell r="E2176">
            <v>0</v>
          </cell>
          <cell r="F2176">
            <v>0</v>
          </cell>
          <cell r="AO2176">
            <v>0</v>
          </cell>
          <cell r="AP2176">
            <v>0</v>
          </cell>
          <cell r="AQ2176">
            <v>0</v>
          </cell>
          <cell r="BA2176">
            <v>0</v>
          </cell>
          <cell r="BC2176">
            <v>0</v>
          </cell>
        </row>
        <row r="2177">
          <cell r="A2177">
            <v>0</v>
          </cell>
          <cell r="B2177">
            <v>0</v>
          </cell>
          <cell r="E2177">
            <v>0</v>
          </cell>
          <cell r="F2177">
            <v>0</v>
          </cell>
          <cell r="AO2177">
            <v>0</v>
          </cell>
          <cell r="AP2177">
            <v>0</v>
          </cell>
          <cell r="AQ2177">
            <v>0</v>
          </cell>
          <cell r="BA2177">
            <v>0</v>
          </cell>
          <cell r="BC2177">
            <v>0</v>
          </cell>
        </row>
        <row r="2178">
          <cell r="A2178">
            <v>0</v>
          </cell>
          <cell r="B2178">
            <v>0</v>
          </cell>
          <cell r="E2178">
            <v>0</v>
          </cell>
          <cell r="F2178">
            <v>0</v>
          </cell>
          <cell r="AO2178">
            <v>0</v>
          </cell>
          <cell r="AP2178">
            <v>0</v>
          </cell>
          <cell r="AQ2178">
            <v>0</v>
          </cell>
          <cell r="BA2178">
            <v>0</v>
          </cell>
          <cell r="BC2178">
            <v>0</v>
          </cell>
        </row>
        <row r="2179">
          <cell r="A2179">
            <v>0</v>
          </cell>
          <cell r="B2179">
            <v>0</v>
          </cell>
          <cell r="E2179">
            <v>0</v>
          </cell>
          <cell r="F2179">
            <v>0</v>
          </cell>
          <cell r="AO2179">
            <v>0</v>
          </cell>
          <cell r="AP2179">
            <v>0</v>
          </cell>
          <cell r="AQ2179">
            <v>0</v>
          </cell>
          <cell r="BA2179">
            <v>0</v>
          </cell>
          <cell r="BC2179">
            <v>0</v>
          </cell>
        </row>
        <row r="2180">
          <cell r="A2180">
            <v>0</v>
          </cell>
          <cell r="B2180">
            <v>0</v>
          </cell>
          <cell r="E2180">
            <v>0</v>
          </cell>
          <cell r="F2180">
            <v>0</v>
          </cell>
          <cell r="AO2180">
            <v>0</v>
          </cell>
          <cell r="AP2180">
            <v>0</v>
          </cell>
          <cell r="AQ2180">
            <v>0</v>
          </cell>
          <cell r="BA2180">
            <v>0</v>
          </cell>
          <cell r="BC2180">
            <v>0</v>
          </cell>
        </row>
        <row r="2181">
          <cell r="A2181">
            <v>0</v>
          </cell>
          <cell r="B2181">
            <v>0</v>
          </cell>
          <cell r="E2181">
            <v>0</v>
          </cell>
          <cell r="F2181">
            <v>0</v>
          </cell>
          <cell r="AO2181">
            <v>0</v>
          </cell>
          <cell r="AP2181">
            <v>0</v>
          </cell>
          <cell r="AQ2181">
            <v>0</v>
          </cell>
          <cell r="BA2181">
            <v>0</v>
          </cell>
          <cell r="BC2181">
            <v>0</v>
          </cell>
        </row>
        <row r="2182">
          <cell r="A2182">
            <v>0</v>
          </cell>
          <cell r="B2182">
            <v>0</v>
          </cell>
          <cell r="E2182">
            <v>0</v>
          </cell>
          <cell r="F2182">
            <v>0</v>
          </cell>
          <cell r="AO2182">
            <v>0</v>
          </cell>
          <cell r="AP2182">
            <v>0</v>
          </cell>
          <cell r="AQ2182">
            <v>0</v>
          </cell>
          <cell r="BA2182">
            <v>0</v>
          </cell>
          <cell r="BC2182">
            <v>0</v>
          </cell>
        </row>
        <row r="2183">
          <cell r="A2183">
            <v>0</v>
          </cell>
          <cell r="B2183">
            <v>0</v>
          </cell>
          <cell r="E2183">
            <v>0</v>
          </cell>
          <cell r="F2183">
            <v>0</v>
          </cell>
          <cell r="AO2183">
            <v>0</v>
          </cell>
          <cell r="AP2183">
            <v>0</v>
          </cell>
          <cell r="AQ2183">
            <v>0</v>
          </cell>
          <cell r="BA2183">
            <v>0</v>
          </cell>
          <cell r="BC2183">
            <v>0</v>
          </cell>
        </row>
        <row r="2184">
          <cell r="A2184">
            <v>0</v>
          </cell>
          <cell r="B2184">
            <v>0</v>
          </cell>
          <cell r="E2184">
            <v>0</v>
          </cell>
          <cell r="F2184">
            <v>0</v>
          </cell>
          <cell r="AO2184">
            <v>0</v>
          </cell>
          <cell r="AP2184">
            <v>0</v>
          </cell>
          <cell r="AQ2184">
            <v>0</v>
          </cell>
          <cell r="BA2184">
            <v>0</v>
          </cell>
          <cell r="BC2184">
            <v>0</v>
          </cell>
        </row>
        <row r="2185">
          <cell r="A2185">
            <v>0</v>
          </cell>
          <cell r="B2185">
            <v>0</v>
          </cell>
          <cell r="E2185">
            <v>0</v>
          </cell>
          <cell r="F2185">
            <v>0</v>
          </cell>
          <cell r="AO2185">
            <v>0</v>
          </cell>
          <cell r="AP2185">
            <v>0</v>
          </cell>
          <cell r="AQ2185">
            <v>0</v>
          </cell>
          <cell r="BA2185">
            <v>0</v>
          </cell>
          <cell r="BC2185">
            <v>0</v>
          </cell>
        </row>
        <row r="2186">
          <cell r="A2186">
            <v>0</v>
          </cell>
          <cell r="B2186">
            <v>0</v>
          </cell>
          <cell r="E2186">
            <v>0</v>
          </cell>
          <cell r="F2186">
            <v>0</v>
          </cell>
          <cell r="AO2186">
            <v>0</v>
          </cell>
          <cell r="AP2186">
            <v>0</v>
          </cell>
          <cell r="AQ2186">
            <v>0</v>
          </cell>
          <cell r="BA2186">
            <v>0</v>
          </cell>
          <cell r="BC2186">
            <v>0</v>
          </cell>
        </row>
        <row r="2187">
          <cell r="A2187">
            <v>0</v>
          </cell>
          <cell r="B2187">
            <v>0</v>
          </cell>
          <cell r="E2187">
            <v>0</v>
          </cell>
          <cell r="F2187">
            <v>0</v>
          </cell>
          <cell r="AO2187">
            <v>0</v>
          </cell>
          <cell r="AP2187">
            <v>0</v>
          </cell>
          <cell r="AQ2187">
            <v>0</v>
          </cell>
          <cell r="BA2187">
            <v>0</v>
          </cell>
          <cell r="BC2187">
            <v>0</v>
          </cell>
        </row>
        <row r="2188">
          <cell r="A2188">
            <v>0</v>
          </cell>
          <cell r="B2188">
            <v>0</v>
          </cell>
          <cell r="E2188">
            <v>0</v>
          </cell>
          <cell r="F2188">
            <v>0</v>
          </cell>
          <cell r="AO2188">
            <v>0</v>
          </cell>
          <cell r="AP2188">
            <v>0</v>
          </cell>
          <cell r="AQ2188">
            <v>0</v>
          </cell>
          <cell r="BA2188">
            <v>0</v>
          </cell>
          <cell r="BC2188">
            <v>0</v>
          </cell>
        </row>
        <row r="2189">
          <cell r="A2189">
            <v>0</v>
          </cell>
          <cell r="B2189">
            <v>0</v>
          </cell>
          <cell r="E2189">
            <v>0</v>
          </cell>
          <cell r="F2189">
            <v>0</v>
          </cell>
          <cell r="AO2189">
            <v>0</v>
          </cell>
          <cell r="AP2189">
            <v>0</v>
          </cell>
          <cell r="AQ2189">
            <v>0</v>
          </cell>
          <cell r="BA2189">
            <v>0</v>
          </cell>
          <cell r="BC2189">
            <v>0</v>
          </cell>
        </row>
        <row r="2190">
          <cell r="A2190">
            <v>0</v>
          </cell>
          <cell r="B2190">
            <v>0</v>
          </cell>
          <cell r="E2190">
            <v>0</v>
          </cell>
          <cell r="F2190">
            <v>0</v>
          </cell>
          <cell r="AO2190">
            <v>0</v>
          </cell>
          <cell r="AP2190">
            <v>0</v>
          </cell>
          <cell r="AQ2190">
            <v>0</v>
          </cell>
          <cell r="BA2190">
            <v>0</v>
          </cell>
          <cell r="BC2190">
            <v>0</v>
          </cell>
        </row>
        <row r="2191">
          <cell r="A2191">
            <v>0</v>
          </cell>
          <cell r="B2191">
            <v>0</v>
          </cell>
          <cell r="E2191">
            <v>0</v>
          </cell>
          <cell r="F2191">
            <v>0</v>
          </cell>
          <cell r="AO2191">
            <v>0</v>
          </cell>
          <cell r="AP2191">
            <v>0</v>
          </cell>
          <cell r="AQ2191">
            <v>0</v>
          </cell>
          <cell r="BA2191">
            <v>0</v>
          </cell>
          <cell r="BC2191">
            <v>0</v>
          </cell>
        </row>
        <row r="2192">
          <cell r="A2192">
            <v>0</v>
          </cell>
          <cell r="B2192">
            <v>0</v>
          </cell>
          <cell r="E2192">
            <v>0</v>
          </cell>
          <cell r="F2192">
            <v>0</v>
          </cell>
          <cell r="AO2192">
            <v>0</v>
          </cell>
          <cell r="AP2192">
            <v>0</v>
          </cell>
          <cell r="AQ2192">
            <v>0</v>
          </cell>
          <cell r="BA2192">
            <v>0</v>
          </cell>
          <cell r="BC2192">
            <v>0</v>
          </cell>
        </row>
        <row r="2193">
          <cell r="A2193">
            <v>0</v>
          </cell>
          <cell r="B2193">
            <v>0</v>
          </cell>
          <cell r="E2193">
            <v>0</v>
          </cell>
          <cell r="F2193">
            <v>0</v>
          </cell>
          <cell r="AO2193">
            <v>0</v>
          </cell>
          <cell r="AP2193">
            <v>0</v>
          </cell>
          <cell r="AQ2193">
            <v>0</v>
          </cell>
          <cell r="BA2193">
            <v>0</v>
          </cell>
          <cell r="BC2193">
            <v>0</v>
          </cell>
        </row>
        <row r="2194">
          <cell r="A2194">
            <v>0</v>
          </cell>
          <cell r="B2194">
            <v>0</v>
          </cell>
          <cell r="E2194">
            <v>0</v>
          </cell>
          <cell r="F2194">
            <v>0</v>
          </cell>
          <cell r="AO2194">
            <v>0</v>
          </cell>
          <cell r="AP2194">
            <v>0</v>
          </cell>
          <cell r="AQ2194">
            <v>0</v>
          </cell>
          <cell r="BA2194">
            <v>0</v>
          </cell>
          <cell r="BC2194">
            <v>0</v>
          </cell>
        </row>
        <row r="2195">
          <cell r="A2195">
            <v>0</v>
          </cell>
          <cell r="B2195">
            <v>0</v>
          </cell>
          <cell r="E2195">
            <v>0</v>
          </cell>
          <cell r="F2195">
            <v>0</v>
          </cell>
          <cell r="AO2195">
            <v>0</v>
          </cell>
          <cell r="AP2195">
            <v>0</v>
          </cell>
          <cell r="AQ2195">
            <v>0</v>
          </cell>
          <cell r="BA2195">
            <v>0</v>
          </cell>
          <cell r="BC2195">
            <v>0</v>
          </cell>
        </row>
        <row r="2196">
          <cell r="A2196">
            <v>0</v>
          </cell>
          <cell r="B2196">
            <v>0</v>
          </cell>
          <cell r="E2196">
            <v>0</v>
          </cell>
          <cell r="F2196">
            <v>0</v>
          </cell>
          <cell r="AO2196">
            <v>0</v>
          </cell>
          <cell r="AP2196">
            <v>0</v>
          </cell>
          <cell r="AQ2196">
            <v>0</v>
          </cell>
          <cell r="BA2196">
            <v>0</v>
          </cell>
          <cell r="BC2196">
            <v>0</v>
          </cell>
        </row>
        <row r="2197">
          <cell r="A2197">
            <v>0</v>
          </cell>
          <cell r="B2197">
            <v>0</v>
          </cell>
          <cell r="E2197">
            <v>0</v>
          </cell>
          <cell r="F2197">
            <v>0</v>
          </cell>
          <cell r="AO2197">
            <v>0</v>
          </cell>
          <cell r="AP2197">
            <v>0</v>
          </cell>
          <cell r="AQ2197">
            <v>0</v>
          </cell>
          <cell r="BA2197">
            <v>0</v>
          </cell>
          <cell r="BC2197">
            <v>0</v>
          </cell>
        </row>
        <row r="2198">
          <cell r="A2198">
            <v>0</v>
          </cell>
          <cell r="B2198">
            <v>0</v>
          </cell>
          <cell r="E2198">
            <v>0</v>
          </cell>
          <cell r="F2198">
            <v>0</v>
          </cell>
          <cell r="AO2198">
            <v>0</v>
          </cell>
          <cell r="AP2198">
            <v>0</v>
          </cell>
          <cell r="AQ2198">
            <v>0</v>
          </cell>
          <cell r="BA2198">
            <v>0</v>
          </cell>
          <cell r="BC2198">
            <v>0</v>
          </cell>
        </row>
        <row r="2199">
          <cell r="A2199">
            <v>0</v>
          </cell>
          <cell r="B2199">
            <v>0</v>
          </cell>
          <cell r="E2199">
            <v>0</v>
          </cell>
          <cell r="F2199">
            <v>0</v>
          </cell>
          <cell r="AO2199">
            <v>0</v>
          </cell>
          <cell r="AP2199">
            <v>0</v>
          </cell>
          <cell r="AQ2199">
            <v>0</v>
          </cell>
          <cell r="BA2199">
            <v>0</v>
          </cell>
          <cell r="BC2199">
            <v>0</v>
          </cell>
        </row>
        <row r="2200">
          <cell r="A2200">
            <v>0</v>
          </cell>
          <cell r="B2200">
            <v>0</v>
          </cell>
          <cell r="E2200">
            <v>0</v>
          </cell>
          <cell r="F2200">
            <v>0</v>
          </cell>
          <cell r="AO2200">
            <v>0</v>
          </cell>
          <cell r="AP2200">
            <v>0</v>
          </cell>
          <cell r="AQ2200">
            <v>0</v>
          </cell>
          <cell r="BA2200">
            <v>0</v>
          </cell>
          <cell r="BC2200">
            <v>0</v>
          </cell>
        </row>
        <row r="2201">
          <cell r="A2201">
            <v>0</v>
          </cell>
          <cell r="B2201">
            <v>0</v>
          </cell>
          <cell r="E2201">
            <v>0</v>
          </cell>
          <cell r="F2201">
            <v>0</v>
          </cell>
          <cell r="AO2201">
            <v>0</v>
          </cell>
          <cell r="AP2201">
            <v>0</v>
          </cell>
          <cell r="AQ2201">
            <v>0</v>
          </cell>
          <cell r="BA2201">
            <v>0</v>
          </cell>
          <cell r="BC2201">
            <v>0</v>
          </cell>
        </row>
        <row r="2202">
          <cell r="A2202">
            <v>0</v>
          </cell>
          <cell r="B2202">
            <v>0</v>
          </cell>
          <cell r="E2202">
            <v>0</v>
          </cell>
          <cell r="F2202">
            <v>0</v>
          </cell>
          <cell r="AO2202">
            <v>0</v>
          </cell>
          <cell r="AP2202">
            <v>0</v>
          </cell>
          <cell r="AQ2202">
            <v>0</v>
          </cell>
          <cell r="BA2202">
            <v>0</v>
          </cell>
          <cell r="BC2202">
            <v>0</v>
          </cell>
        </row>
        <row r="2203">
          <cell r="A2203">
            <v>0</v>
          </cell>
          <cell r="B2203">
            <v>0</v>
          </cell>
          <cell r="E2203">
            <v>0</v>
          </cell>
          <cell r="F2203">
            <v>0</v>
          </cell>
          <cell r="AO2203">
            <v>0</v>
          </cell>
          <cell r="AP2203">
            <v>0</v>
          </cell>
          <cell r="AQ2203">
            <v>0</v>
          </cell>
          <cell r="BA2203">
            <v>0</v>
          </cell>
          <cell r="BC2203">
            <v>0</v>
          </cell>
        </row>
        <row r="2204">
          <cell r="A2204">
            <v>0</v>
          </cell>
          <cell r="B2204">
            <v>0</v>
          </cell>
          <cell r="E2204">
            <v>0</v>
          </cell>
          <cell r="F2204">
            <v>0</v>
          </cell>
          <cell r="AO2204">
            <v>0</v>
          </cell>
          <cell r="AP2204">
            <v>0</v>
          </cell>
          <cell r="AQ2204">
            <v>0</v>
          </cell>
          <cell r="BA2204">
            <v>0</v>
          </cell>
          <cell r="BC2204">
            <v>0</v>
          </cell>
        </row>
        <row r="2205">
          <cell r="A2205">
            <v>0</v>
          </cell>
          <cell r="B2205">
            <v>0</v>
          </cell>
          <cell r="E2205">
            <v>0</v>
          </cell>
          <cell r="F2205">
            <v>0</v>
          </cell>
          <cell r="AO2205">
            <v>0</v>
          </cell>
          <cell r="AP2205">
            <v>0</v>
          </cell>
          <cell r="AQ2205">
            <v>0</v>
          </cell>
          <cell r="BA2205">
            <v>0</v>
          </cell>
          <cell r="BC2205">
            <v>0</v>
          </cell>
        </row>
        <row r="2206">
          <cell r="A2206">
            <v>0</v>
          </cell>
          <cell r="B2206">
            <v>0</v>
          </cell>
          <cell r="E2206">
            <v>0</v>
          </cell>
          <cell r="F2206">
            <v>0</v>
          </cell>
          <cell r="AO2206">
            <v>0</v>
          </cell>
          <cell r="AP2206">
            <v>0</v>
          </cell>
          <cell r="AQ2206">
            <v>0</v>
          </cell>
          <cell r="BA2206">
            <v>0</v>
          </cell>
          <cell r="BC2206">
            <v>0</v>
          </cell>
        </row>
        <row r="2207">
          <cell r="A2207">
            <v>0</v>
          </cell>
          <cell r="B2207">
            <v>0</v>
          </cell>
          <cell r="E2207">
            <v>0</v>
          </cell>
          <cell r="F2207">
            <v>0</v>
          </cell>
          <cell r="AO2207">
            <v>0</v>
          </cell>
          <cell r="AP2207">
            <v>0</v>
          </cell>
          <cell r="AQ2207">
            <v>0</v>
          </cell>
          <cell r="BA2207">
            <v>0</v>
          </cell>
          <cell r="BC2207">
            <v>0</v>
          </cell>
        </row>
        <row r="2208">
          <cell r="A2208">
            <v>0</v>
          </cell>
          <cell r="B2208">
            <v>0</v>
          </cell>
          <cell r="E2208">
            <v>0</v>
          </cell>
          <cell r="F2208">
            <v>0</v>
          </cell>
          <cell r="AO2208">
            <v>0</v>
          </cell>
          <cell r="AP2208">
            <v>0</v>
          </cell>
          <cell r="AQ2208">
            <v>0</v>
          </cell>
          <cell r="BA2208">
            <v>0</v>
          </cell>
          <cell r="BC2208">
            <v>0</v>
          </cell>
        </row>
        <row r="2209">
          <cell r="A2209">
            <v>0</v>
          </cell>
          <cell r="B2209">
            <v>0</v>
          </cell>
          <cell r="E2209">
            <v>0</v>
          </cell>
          <cell r="F2209">
            <v>0</v>
          </cell>
          <cell r="AO2209">
            <v>0</v>
          </cell>
          <cell r="AP2209">
            <v>0</v>
          </cell>
          <cell r="AQ2209">
            <v>0</v>
          </cell>
          <cell r="BA2209">
            <v>0</v>
          </cell>
          <cell r="BC2209">
            <v>0</v>
          </cell>
        </row>
        <row r="2210">
          <cell r="A2210">
            <v>0</v>
          </cell>
          <cell r="B2210">
            <v>0</v>
          </cell>
          <cell r="E2210">
            <v>0</v>
          </cell>
          <cell r="F2210">
            <v>0</v>
          </cell>
          <cell r="AO2210">
            <v>0</v>
          </cell>
          <cell r="AP2210">
            <v>0</v>
          </cell>
          <cell r="AQ2210">
            <v>0</v>
          </cell>
          <cell r="BA2210">
            <v>0</v>
          </cell>
          <cell r="BC2210">
            <v>0</v>
          </cell>
        </row>
        <row r="2211">
          <cell r="A2211">
            <v>0</v>
          </cell>
          <cell r="B2211">
            <v>0</v>
          </cell>
          <cell r="E2211">
            <v>0</v>
          </cell>
          <cell r="F2211">
            <v>0</v>
          </cell>
          <cell r="AO2211">
            <v>0</v>
          </cell>
          <cell r="AP2211">
            <v>0</v>
          </cell>
          <cell r="AQ2211">
            <v>0</v>
          </cell>
          <cell r="BA2211">
            <v>0</v>
          </cell>
          <cell r="BC2211">
            <v>0</v>
          </cell>
        </row>
        <row r="2212">
          <cell r="A2212">
            <v>0</v>
          </cell>
          <cell r="B2212">
            <v>0</v>
          </cell>
          <cell r="E2212">
            <v>0</v>
          </cell>
          <cell r="F2212">
            <v>0</v>
          </cell>
          <cell r="AO2212">
            <v>0</v>
          </cell>
          <cell r="AP2212">
            <v>0</v>
          </cell>
          <cell r="AQ2212">
            <v>0</v>
          </cell>
          <cell r="BA2212">
            <v>0</v>
          </cell>
          <cell r="BC2212">
            <v>0</v>
          </cell>
        </row>
        <row r="2213">
          <cell r="A2213">
            <v>0</v>
          </cell>
          <cell r="B2213">
            <v>0</v>
          </cell>
          <cell r="E2213">
            <v>0</v>
          </cell>
          <cell r="F2213">
            <v>0</v>
          </cell>
          <cell r="AO2213">
            <v>0</v>
          </cell>
          <cell r="AP2213">
            <v>0</v>
          </cell>
          <cell r="AQ2213">
            <v>0</v>
          </cell>
          <cell r="BA2213">
            <v>0</v>
          </cell>
          <cell r="BC2213">
            <v>0</v>
          </cell>
        </row>
        <row r="2214">
          <cell r="A2214">
            <v>0</v>
          </cell>
          <cell r="B2214">
            <v>0</v>
          </cell>
          <cell r="E2214">
            <v>0</v>
          </cell>
          <cell r="F2214">
            <v>0</v>
          </cell>
          <cell r="AO2214">
            <v>0</v>
          </cell>
          <cell r="AP2214">
            <v>0</v>
          </cell>
          <cell r="AQ2214">
            <v>0</v>
          </cell>
          <cell r="BA2214">
            <v>0</v>
          </cell>
          <cell r="BC2214">
            <v>0</v>
          </cell>
        </row>
        <row r="2215">
          <cell r="A2215">
            <v>0</v>
          </cell>
          <cell r="B2215">
            <v>0</v>
          </cell>
          <cell r="E2215">
            <v>0</v>
          </cell>
          <cell r="F2215">
            <v>0</v>
          </cell>
          <cell r="AO2215">
            <v>0</v>
          </cell>
          <cell r="AP2215">
            <v>0</v>
          </cell>
          <cell r="AQ2215">
            <v>0</v>
          </cell>
          <cell r="BA2215">
            <v>0</v>
          </cell>
          <cell r="BC2215">
            <v>0</v>
          </cell>
        </row>
        <row r="2216">
          <cell r="A2216">
            <v>0</v>
          </cell>
          <cell r="B2216">
            <v>0</v>
          </cell>
          <cell r="E2216">
            <v>0</v>
          </cell>
          <cell r="F2216">
            <v>0</v>
          </cell>
          <cell r="AO2216">
            <v>0</v>
          </cell>
          <cell r="AP2216">
            <v>0</v>
          </cell>
          <cell r="AQ2216">
            <v>0</v>
          </cell>
          <cell r="BA2216">
            <v>0</v>
          </cell>
          <cell r="BC2216">
            <v>0</v>
          </cell>
        </row>
        <row r="2217">
          <cell r="A2217">
            <v>0</v>
          </cell>
          <cell r="B2217">
            <v>0</v>
          </cell>
          <cell r="E2217">
            <v>0</v>
          </cell>
          <cell r="F2217">
            <v>0</v>
          </cell>
          <cell r="AO2217">
            <v>0</v>
          </cell>
          <cell r="AP2217">
            <v>0</v>
          </cell>
          <cell r="AQ2217">
            <v>0</v>
          </cell>
          <cell r="BA2217">
            <v>0</v>
          </cell>
          <cell r="BC2217">
            <v>0</v>
          </cell>
        </row>
        <row r="2218">
          <cell r="A2218">
            <v>0</v>
          </cell>
          <cell r="B2218">
            <v>0</v>
          </cell>
          <cell r="E2218">
            <v>0</v>
          </cell>
          <cell r="F2218">
            <v>0</v>
          </cell>
          <cell r="AO2218">
            <v>0</v>
          </cell>
          <cell r="AP2218">
            <v>0</v>
          </cell>
          <cell r="AQ2218">
            <v>0</v>
          </cell>
          <cell r="BA2218">
            <v>0</v>
          </cell>
          <cell r="BC2218">
            <v>0</v>
          </cell>
        </row>
        <row r="2219">
          <cell r="A2219">
            <v>0</v>
          </cell>
          <cell r="B2219">
            <v>0</v>
          </cell>
          <cell r="E2219">
            <v>0</v>
          </cell>
          <cell r="F2219">
            <v>0</v>
          </cell>
          <cell r="AO2219">
            <v>0</v>
          </cell>
          <cell r="AP2219">
            <v>0</v>
          </cell>
          <cell r="AQ2219">
            <v>0</v>
          </cell>
          <cell r="BA2219">
            <v>0</v>
          </cell>
          <cell r="BC2219">
            <v>0</v>
          </cell>
        </row>
        <row r="2220">
          <cell r="A2220">
            <v>0</v>
          </cell>
          <cell r="B2220">
            <v>0</v>
          </cell>
          <cell r="E2220">
            <v>0</v>
          </cell>
          <cell r="F2220">
            <v>0</v>
          </cell>
          <cell r="AO2220">
            <v>0</v>
          </cell>
          <cell r="AP2220">
            <v>0</v>
          </cell>
          <cell r="AQ2220">
            <v>0</v>
          </cell>
          <cell r="BA2220">
            <v>0</v>
          </cell>
          <cell r="BC2220">
            <v>0</v>
          </cell>
        </row>
        <row r="2221">
          <cell r="A2221">
            <v>0</v>
          </cell>
          <cell r="B2221">
            <v>0</v>
          </cell>
          <cell r="E2221">
            <v>0</v>
          </cell>
          <cell r="F2221">
            <v>0</v>
          </cell>
          <cell r="AO2221">
            <v>0</v>
          </cell>
          <cell r="AP2221">
            <v>0</v>
          </cell>
          <cell r="AQ2221">
            <v>0</v>
          </cell>
          <cell r="BA2221">
            <v>0</v>
          </cell>
          <cell r="BC2221">
            <v>0</v>
          </cell>
        </row>
        <row r="2222">
          <cell r="A2222">
            <v>0</v>
          </cell>
          <cell r="B2222">
            <v>0</v>
          </cell>
          <cell r="E2222">
            <v>0</v>
          </cell>
          <cell r="F2222">
            <v>0</v>
          </cell>
          <cell r="AO2222">
            <v>0</v>
          </cell>
          <cell r="AP2222">
            <v>0</v>
          </cell>
          <cell r="AQ2222">
            <v>0</v>
          </cell>
          <cell r="BA2222">
            <v>0</v>
          </cell>
          <cell r="BC2222">
            <v>0</v>
          </cell>
        </row>
        <row r="2223">
          <cell r="A2223">
            <v>0</v>
          </cell>
          <cell r="B2223">
            <v>0</v>
          </cell>
          <cell r="E2223">
            <v>0</v>
          </cell>
          <cell r="F2223">
            <v>0</v>
          </cell>
          <cell r="AO2223">
            <v>0</v>
          </cell>
          <cell r="AP2223">
            <v>0</v>
          </cell>
          <cell r="AQ2223">
            <v>0</v>
          </cell>
          <cell r="BA2223">
            <v>0</v>
          </cell>
          <cell r="BC2223">
            <v>0</v>
          </cell>
        </row>
        <row r="2224">
          <cell r="A2224">
            <v>0</v>
          </cell>
          <cell r="B2224">
            <v>0</v>
          </cell>
          <cell r="E2224">
            <v>0</v>
          </cell>
          <cell r="F2224">
            <v>0</v>
          </cell>
          <cell r="AO2224">
            <v>0</v>
          </cell>
          <cell r="AP2224">
            <v>0</v>
          </cell>
          <cell r="AQ2224">
            <v>0</v>
          </cell>
          <cell r="BA2224">
            <v>0</v>
          </cell>
          <cell r="BC2224">
            <v>0</v>
          </cell>
        </row>
        <row r="2225">
          <cell r="A2225">
            <v>0</v>
          </cell>
          <cell r="B2225">
            <v>0</v>
          </cell>
          <cell r="E2225">
            <v>0</v>
          </cell>
          <cell r="F2225">
            <v>0</v>
          </cell>
          <cell r="AO2225">
            <v>0</v>
          </cell>
          <cell r="AP2225">
            <v>0</v>
          </cell>
          <cell r="AQ2225">
            <v>0</v>
          </cell>
          <cell r="BA2225">
            <v>0</v>
          </cell>
          <cell r="BC2225">
            <v>0</v>
          </cell>
        </row>
        <row r="2226">
          <cell r="A2226">
            <v>0</v>
          </cell>
          <cell r="B2226">
            <v>0</v>
          </cell>
          <cell r="E2226">
            <v>0</v>
          </cell>
          <cell r="F2226">
            <v>0</v>
          </cell>
          <cell r="AO2226">
            <v>0</v>
          </cell>
          <cell r="AP2226">
            <v>0</v>
          </cell>
          <cell r="AQ2226">
            <v>0</v>
          </cell>
          <cell r="BA2226">
            <v>0</v>
          </cell>
          <cell r="BC2226">
            <v>0</v>
          </cell>
        </row>
        <row r="2227">
          <cell r="A2227">
            <v>0</v>
          </cell>
          <cell r="B2227">
            <v>0</v>
          </cell>
          <cell r="E2227">
            <v>0</v>
          </cell>
          <cell r="F2227">
            <v>0</v>
          </cell>
          <cell r="AO2227">
            <v>0</v>
          </cell>
          <cell r="AP2227">
            <v>0</v>
          </cell>
          <cell r="AQ2227">
            <v>0</v>
          </cell>
          <cell r="BA2227">
            <v>0</v>
          </cell>
          <cell r="BC2227">
            <v>0</v>
          </cell>
        </row>
        <row r="2228">
          <cell r="A2228">
            <v>0</v>
          </cell>
          <cell r="B2228">
            <v>0</v>
          </cell>
          <cell r="E2228">
            <v>0</v>
          </cell>
          <cell r="F2228">
            <v>0</v>
          </cell>
          <cell r="AO2228">
            <v>0</v>
          </cell>
          <cell r="AP2228">
            <v>0</v>
          </cell>
          <cell r="AQ2228">
            <v>0</v>
          </cell>
          <cell r="BA2228">
            <v>0</v>
          </cell>
          <cell r="BC2228">
            <v>0</v>
          </cell>
        </row>
        <row r="2229">
          <cell r="A2229">
            <v>0</v>
          </cell>
          <cell r="B2229">
            <v>0</v>
          </cell>
          <cell r="E2229">
            <v>0</v>
          </cell>
          <cell r="F2229">
            <v>0</v>
          </cell>
          <cell r="AO2229">
            <v>0</v>
          </cell>
          <cell r="AP2229">
            <v>0</v>
          </cell>
          <cell r="AQ2229">
            <v>0</v>
          </cell>
          <cell r="BA2229">
            <v>0</v>
          </cell>
          <cell r="BC2229">
            <v>0</v>
          </cell>
        </row>
        <row r="2230">
          <cell r="A2230">
            <v>0</v>
          </cell>
          <cell r="B2230">
            <v>0</v>
          </cell>
          <cell r="E2230">
            <v>0</v>
          </cell>
          <cell r="F2230">
            <v>0</v>
          </cell>
          <cell r="AO2230">
            <v>0</v>
          </cell>
          <cell r="AP2230">
            <v>0</v>
          </cell>
          <cell r="AQ2230">
            <v>0</v>
          </cell>
          <cell r="BA2230">
            <v>0</v>
          </cell>
          <cell r="BC2230">
            <v>0</v>
          </cell>
        </row>
        <row r="2231">
          <cell r="A2231">
            <v>0</v>
          </cell>
          <cell r="B2231">
            <v>0</v>
          </cell>
          <cell r="E2231">
            <v>0</v>
          </cell>
          <cell r="F2231">
            <v>0</v>
          </cell>
          <cell r="AO2231">
            <v>0</v>
          </cell>
          <cell r="AP2231">
            <v>0</v>
          </cell>
          <cell r="AQ2231">
            <v>0</v>
          </cell>
          <cell r="BA2231">
            <v>0</v>
          </cell>
          <cell r="BC2231">
            <v>0</v>
          </cell>
        </row>
        <row r="2232">
          <cell r="A2232">
            <v>0</v>
          </cell>
          <cell r="B2232">
            <v>0</v>
          </cell>
          <cell r="E2232">
            <v>0</v>
          </cell>
          <cell r="F2232">
            <v>0</v>
          </cell>
          <cell r="AO2232">
            <v>0</v>
          </cell>
          <cell r="AP2232">
            <v>0</v>
          </cell>
          <cell r="AQ2232">
            <v>0</v>
          </cell>
          <cell r="BA2232">
            <v>0</v>
          </cell>
          <cell r="BC2232">
            <v>0</v>
          </cell>
        </row>
        <row r="2233">
          <cell r="A2233">
            <v>0</v>
          </cell>
          <cell r="B2233">
            <v>0</v>
          </cell>
          <cell r="E2233">
            <v>0</v>
          </cell>
          <cell r="F2233">
            <v>0</v>
          </cell>
          <cell r="AO2233">
            <v>0</v>
          </cell>
          <cell r="AP2233">
            <v>0</v>
          </cell>
          <cell r="AQ2233">
            <v>0</v>
          </cell>
          <cell r="BA2233">
            <v>0</v>
          </cell>
          <cell r="BC2233">
            <v>0</v>
          </cell>
        </row>
        <row r="2234">
          <cell r="A2234">
            <v>0</v>
          </cell>
          <cell r="B2234">
            <v>0</v>
          </cell>
          <cell r="E2234">
            <v>0</v>
          </cell>
          <cell r="F2234">
            <v>0</v>
          </cell>
          <cell r="AO2234">
            <v>0</v>
          </cell>
          <cell r="AP2234">
            <v>0</v>
          </cell>
          <cell r="AQ2234">
            <v>0</v>
          </cell>
          <cell r="BA2234">
            <v>0</v>
          </cell>
          <cell r="BC2234">
            <v>0</v>
          </cell>
        </row>
        <row r="2235">
          <cell r="A2235">
            <v>0</v>
          </cell>
          <cell r="B2235">
            <v>0</v>
          </cell>
          <cell r="E2235">
            <v>0</v>
          </cell>
          <cell r="F2235">
            <v>0</v>
          </cell>
          <cell r="AO2235">
            <v>0</v>
          </cell>
          <cell r="AP2235">
            <v>0</v>
          </cell>
          <cell r="AQ2235">
            <v>0</v>
          </cell>
          <cell r="BA2235">
            <v>0</v>
          </cell>
          <cell r="BC2235">
            <v>0</v>
          </cell>
        </row>
        <row r="2236">
          <cell r="A2236">
            <v>0</v>
          </cell>
          <cell r="B2236">
            <v>0</v>
          </cell>
          <cell r="E2236">
            <v>0</v>
          </cell>
          <cell r="F2236">
            <v>0</v>
          </cell>
          <cell r="AO2236">
            <v>0</v>
          </cell>
          <cell r="AP2236">
            <v>0</v>
          </cell>
          <cell r="AQ2236">
            <v>0</v>
          </cell>
          <cell r="BA2236">
            <v>0</v>
          </cell>
          <cell r="BC2236">
            <v>0</v>
          </cell>
        </row>
        <row r="2237">
          <cell r="A2237">
            <v>0</v>
          </cell>
          <cell r="B2237">
            <v>0</v>
          </cell>
          <cell r="E2237">
            <v>0</v>
          </cell>
          <cell r="F2237">
            <v>0</v>
          </cell>
          <cell r="AO2237">
            <v>0</v>
          </cell>
          <cell r="AP2237">
            <v>0</v>
          </cell>
          <cell r="AQ2237">
            <v>0</v>
          </cell>
          <cell r="BA2237">
            <v>0</v>
          </cell>
          <cell r="BC2237">
            <v>0</v>
          </cell>
        </row>
        <row r="2238">
          <cell r="A2238">
            <v>0</v>
          </cell>
          <cell r="B2238">
            <v>0</v>
          </cell>
          <cell r="E2238">
            <v>0</v>
          </cell>
          <cell r="F2238">
            <v>0</v>
          </cell>
          <cell r="AO2238">
            <v>0</v>
          </cell>
          <cell r="AP2238">
            <v>0</v>
          </cell>
          <cell r="AQ2238">
            <v>0</v>
          </cell>
          <cell r="BA2238">
            <v>0</v>
          </cell>
          <cell r="BC2238">
            <v>0</v>
          </cell>
        </row>
        <row r="2239">
          <cell r="A2239">
            <v>0</v>
          </cell>
          <cell r="B2239">
            <v>0</v>
          </cell>
          <cell r="E2239">
            <v>0</v>
          </cell>
          <cell r="F2239">
            <v>0</v>
          </cell>
          <cell r="AO2239">
            <v>0</v>
          </cell>
          <cell r="AP2239">
            <v>0</v>
          </cell>
          <cell r="AQ2239">
            <v>0</v>
          </cell>
          <cell r="BA2239">
            <v>0</v>
          </cell>
          <cell r="BC2239">
            <v>0</v>
          </cell>
        </row>
        <row r="2240">
          <cell r="A2240">
            <v>0</v>
          </cell>
          <cell r="B2240">
            <v>0</v>
          </cell>
          <cell r="E2240">
            <v>0</v>
          </cell>
          <cell r="F2240">
            <v>0</v>
          </cell>
          <cell r="AO2240">
            <v>0</v>
          </cell>
          <cell r="AP2240">
            <v>0</v>
          </cell>
          <cell r="AQ2240">
            <v>0</v>
          </cell>
          <cell r="BA2240">
            <v>0</v>
          </cell>
          <cell r="BC2240">
            <v>0</v>
          </cell>
        </row>
        <row r="2241">
          <cell r="A2241">
            <v>0</v>
          </cell>
          <cell r="B2241">
            <v>0</v>
          </cell>
          <cell r="E2241">
            <v>0</v>
          </cell>
          <cell r="F2241">
            <v>0</v>
          </cell>
          <cell r="AO2241">
            <v>0</v>
          </cell>
          <cell r="AP2241">
            <v>0</v>
          </cell>
          <cell r="AQ2241">
            <v>0</v>
          </cell>
          <cell r="BA2241">
            <v>0</v>
          </cell>
          <cell r="BC2241">
            <v>0</v>
          </cell>
        </row>
        <row r="2242">
          <cell r="A2242">
            <v>0</v>
          </cell>
          <cell r="B2242">
            <v>0</v>
          </cell>
          <cell r="E2242">
            <v>0</v>
          </cell>
          <cell r="F2242">
            <v>0</v>
          </cell>
          <cell r="AO2242">
            <v>0</v>
          </cell>
          <cell r="AP2242">
            <v>0</v>
          </cell>
          <cell r="AQ2242">
            <v>0</v>
          </cell>
          <cell r="BA2242">
            <v>0</v>
          </cell>
          <cell r="BC2242">
            <v>0</v>
          </cell>
        </row>
        <row r="2243">
          <cell r="A2243">
            <v>0</v>
          </cell>
          <cell r="B2243">
            <v>0</v>
          </cell>
          <cell r="E2243">
            <v>0</v>
          </cell>
          <cell r="F2243">
            <v>0</v>
          </cell>
          <cell r="AO2243">
            <v>0</v>
          </cell>
          <cell r="AP2243">
            <v>0</v>
          </cell>
          <cell r="AQ2243">
            <v>0</v>
          </cell>
          <cell r="BA2243">
            <v>0</v>
          </cell>
          <cell r="BC2243">
            <v>0</v>
          </cell>
        </row>
        <row r="2244">
          <cell r="A2244">
            <v>0</v>
          </cell>
          <cell r="B2244">
            <v>0</v>
          </cell>
          <cell r="E2244">
            <v>0</v>
          </cell>
          <cell r="F2244">
            <v>0</v>
          </cell>
          <cell r="AO2244">
            <v>0</v>
          </cell>
          <cell r="AP2244">
            <v>0</v>
          </cell>
          <cell r="AQ2244">
            <v>0</v>
          </cell>
          <cell r="BA2244">
            <v>0</v>
          </cell>
          <cell r="BC2244">
            <v>0</v>
          </cell>
        </row>
        <row r="2245">
          <cell r="A2245">
            <v>0</v>
          </cell>
          <cell r="B2245">
            <v>0</v>
          </cell>
          <cell r="E2245">
            <v>0</v>
          </cell>
          <cell r="F2245">
            <v>0</v>
          </cell>
          <cell r="AO2245">
            <v>0</v>
          </cell>
          <cell r="AP2245">
            <v>0</v>
          </cell>
          <cell r="AQ2245">
            <v>0</v>
          </cell>
          <cell r="BA2245">
            <v>0</v>
          </cell>
          <cell r="BC2245">
            <v>0</v>
          </cell>
        </row>
        <row r="2246">
          <cell r="A2246">
            <v>0</v>
          </cell>
          <cell r="B2246">
            <v>0</v>
          </cell>
          <cell r="E2246">
            <v>0</v>
          </cell>
          <cell r="F2246">
            <v>0</v>
          </cell>
          <cell r="AO2246">
            <v>0</v>
          </cell>
          <cell r="AP2246">
            <v>0</v>
          </cell>
          <cell r="AQ2246">
            <v>0</v>
          </cell>
          <cell r="BA2246">
            <v>0</v>
          </cell>
          <cell r="BC2246">
            <v>0</v>
          </cell>
        </row>
        <row r="2247">
          <cell r="A2247">
            <v>0</v>
          </cell>
          <cell r="B2247">
            <v>0</v>
          </cell>
          <cell r="E2247">
            <v>0</v>
          </cell>
          <cell r="F2247">
            <v>0</v>
          </cell>
          <cell r="AO2247">
            <v>0</v>
          </cell>
          <cell r="AP2247">
            <v>0</v>
          </cell>
          <cell r="AQ2247">
            <v>0</v>
          </cell>
          <cell r="BA2247">
            <v>0</v>
          </cell>
          <cell r="BC2247">
            <v>0</v>
          </cell>
        </row>
        <row r="2248">
          <cell r="A2248">
            <v>0</v>
          </cell>
          <cell r="B2248">
            <v>0</v>
          </cell>
          <cell r="E2248">
            <v>0</v>
          </cell>
          <cell r="F2248">
            <v>0</v>
          </cell>
          <cell r="AO2248">
            <v>0</v>
          </cell>
          <cell r="AP2248">
            <v>0</v>
          </cell>
          <cell r="AQ2248">
            <v>0</v>
          </cell>
          <cell r="BA2248">
            <v>0</v>
          </cell>
          <cell r="BC2248">
            <v>0</v>
          </cell>
        </row>
        <row r="2249">
          <cell r="A2249">
            <v>0</v>
          </cell>
          <cell r="B2249">
            <v>0</v>
          </cell>
          <cell r="E2249">
            <v>0</v>
          </cell>
          <cell r="F2249">
            <v>0</v>
          </cell>
          <cell r="AO2249">
            <v>0</v>
          </cell>
          <cell r="AP2249">
            <v>0</v>
          </cell>
          <cell r="AQ2249">
            <v>0</v>
          </cell>
          <cell r="BA2249">
            <v>0</v>
          </cell>
          <cell r="BC2249">
            <v>0</v>
          </cell>
        </row>
        <row r="2250">
          <cell r="A2250">
            <v>0</v>
          </cell>
          <cell r="B2250">
            <v>0</v>
          </cell>
          <cell r="E2250">
            <v>0</v>
          </cell>
          <cell r="F2250">
            <v>0</v>
          </cell>
          <cell r="AO2250">
            <v>0</v>
          </cell>
          <cell r="AP2250">
            <v>0</v>
          </cell>
          <cell r="AQ2250">
            <v>0</v>
          </cell>
          <cell r="BA2250">
            <v>0</v>
          </cell>
          <cell r="BC2250">
            <v>0</v>
          </cell>
        </row>
        <row r="2251">
          <cell r="A2251">
            <v>0</v>
          </cell>
          <cell r="B2251">
            <v>0</v>
          </cell>
          <cell r="E2251">
            <v>0</v>
          </cell>
          <cell r="F2251">
            <v>0</v>
          </cell>
          <cell r="AO2251">
            <v>0</v>
          </cell>
          <cell r="AP2251">
            <v>0</v>
          </cell>
          <cell r="AQ2251">
            <v>0</v>
          </cell>
          <cell r="BA2251">
            <v>0</v>
          </cell>
          <cell r="BC2251">
            <v>0</v>
          </cell>
        </row>
        <row r="2252">
          <cell r="A2252">
            <v>0</v>
          </cell>
          <cell r="B2252">
            <v>0</v>
          </cell>
          <cell r="E2252">
            <v>0</v>
          </cell>
          <cell r="F2252">
            <v>0</v>
          </cell>
          <cell r="AO2252">
            <v>0</v>
          </cell>
          <cell r="AP2252">
            <v>0</v>
          </cell>
          <cell r="AQ2252">
            <v>0</v>
          </cell>
          <cell r="BA2252">
            <v>0</v>
          </cell>
          <cell r="BC2252">
            <v>0</v>
          </cell>
        </row>
        <row r="2253">
          <cell r="A2253">
            <v>0</v>
          </cell>
          <cell r="B2253">
            <v>0</v>
          </cell>
          <cell r="E2253">
            <v>0</v>
          </cell>
          <cell r="F2253">
            <v>0</v>
          </cell>
          <cell r="AO2253">
            <v>0</v>
          </cell>
          <cell r="AP2253">
            <v>0</v>
          </cell>
          <cell r="AQ2253">
            <v>0</v>
          </cell>
          <cell r="BA2253">
            <v>0</v>
          </cell>
          <cell r="BC2253">
            <v>0</v>
          </cell>
        </row>
        <row r="2254">
          <cell r="A2254">
            <v>0</v>
          </cell>
          <cell r="B2254">
            <v>0</v>
          </cell>
          <cell r="E2254">
            <v>0</v>
          </cell>
          <cell r="F2254">
            <v>0</v>
          </cell>
          <cell r="AO2254">
            <v>0</v>
          </cell>
          <cell r="AP2254">
            <v>0</v>
          </cell>
          <cell r="AQ2254">
            <v>0</v>
          </cell>
          <cell r="BA2254">
            <v>0</v>
          </cell>
          <cell r="BC2254">
            <v>0</v>
          </cell>
        </row>
        <row r="2255">
          <cell r="A2255">
            <v>0</v>
          </cell>
          <cell r="B2255">
            <v>0</v>
          </cell>
          <cell r="E2255">
            <v>0</v>
          </cell>
          <cell r="F2255">
            <v>0</v>
          </cell>
          <cell r="AO2255">
            <v>0</v>
          </cell>
          <cell r="AP2255">
            <v>0</v>
          </cell>
          <cell r="AQ2255">
            <v>0</v>
          </cell>
          <cell r="BA2255">
            <v>0</v>
          </cell>
          <cell r="BC2255">
            <v>0</v>
          </cell>
        </row>
        <row r="2256">
          <cell r="A2256">
            <v>0</v>
          </cell>
          <cell r="B2256">
            <v>0</v>
          </cell>
          <cell r="E2256">
            <v>0</v>
          </cell>
          <cell r="F2256">
            <v>0</v>
          </cell>
          <cell r="AO2256">
            <v>0</v>
          </cell>
          <cell r="AP2256">
            <v>0</v>
          </cell>
          <cell r="AQ2256">
            <v>0</v>
          </cell>
          <cell r="BA2256">
            <v>0</v>
          </cell>
          <cell r="BC2256">
            <v>0</v>
          </cell>
        </row>
        <row r="2257">
          <cell r="A2257">
            <v>0</v>
          </cell>
          <cell r="B2257">
            <v>0</v>
          </cell>
          <cell r="E2257">
            <v>0</v>
          </cell>
          <cell r="F2257">
            <v>0</v>
          </cell>
          <cell r="AO2257">
            <v>0</v>
          </cell>
          <cell r="AP2257">
            <v>0</v>
          </cell>
          <cell r="AQ2257">
            <v>0</v>
          </cell>
          <cell r="BA2257">
            <v>0</v>
          </cell>
          <cell r="BC2257">
            <v>0</v>
          </cell>
        </row>
        <row r="2258">
          <cell r="A2258">
            <v>0</v>
          </cell>
          <cell r="B2258">
            <v>0</v>
          </cell>
          <cell r="E2258">
            <v>0</v>
          </cell>
          <cell r="F2258">
            <v>0</v>
          </cell>
          <cell r="AO2258">
            <v>0</v>
          </cell>
          <cell r="AP2258">
            <v>0</v>
          </cell>
          <cell r="AQ2258">
            <v>0</v>
          </cell>
          <cell r="BA2258">
            <v>0</v>
          </cell>
          <cell r="BC2258">
            <v>0</v>
          </cell>
        </row>
        <row r="2259">
          <cell r="A2259">
            <v>0</v>
          </cell>
          <cell r="B2259">
            <v>0</v>
          </cell>
          <cell r="E2259">
            <v>0</v>
          </cell>
          <cell r="F2259">
            <v>0</v>
          </cell>
          <cell r="AO2259">
            <v>0</v>
          </cell>
          <cell r="AP2259">
            <v>0</v>
          </cell>
          <cell r="AQ2259">
            <v>0</v>
          </cell>
          <cell r="BA2259">
            <v>0</v>
          </cell>
          <cell r="BC2259">
            <v>0</v>
          </cell>
        </row>
        <row r="2260">
          <cell r="A2260">
            <v>0</v>
          </cell>
          <cell r="B2260">
            <v>0</v>
          </cell>
          <cell r="E2260">
            <v>0</v>
          </cell>
          <cell r="F2260">
            <v>0</v>
          </cell>
          <cell r="AO2260">
            <v>0</v>
          </cell>
          <cell r="AP2260">
            <v>0</v>
          </cell>
          <cell r="AQ2260">
            <v>0</v>
          </cell>
          <cell r="BA2260">
            <v>0</v>
          </cell>
          <cell r="BC2260">
            <v>0</v>
          </cell>
        </row>
        <row r="2261">
          <cell r="A2261">
            <v>0</v>
          </cell>
          <cell r="B2261">
            <v>0</v>
          </cell>
          <cell r="E2261">
            <v>0</v>
          </cell>
          <cell r="F2261">
            <v>0</v>
          </cell>
          <cell r="AO2261">
            <v>0</v>
          </cell>
          <cell r="AP2261">
            <v>0</v>
          </cell>
          <cell r="AQ2261">
            <v>0</v>
          </cell>
          <cell r="BA2261">
            <v>0</v>
          </cell>
          <cell r="BC2261">
            <v>0</v>
          </cell>
        </row>
        <row r="2262">
          <cell r="A2262">
            <v>0</v>
          </cell>
          <cell r="B2262">
            <v>0</v>
          </cell>
          <cell r="E2262">
            <v>0</v>
          </cell>
          <cell r="F2262">
            <v>0</v>
          </cell>
          <cell r="AO2262">
            <v>0</v>
          </cell>
          <cell r="AP2262">
            <v>0</v>
          </cell>
          <cell r="AQ2262">
            <v>0</v>
          </cell>
          <cell r="BA2262">
            <v>0</v>
          </cell>
          <cell r="BC2262">
            <v>0</v>
          </cell>
        </row>
        <row r="2263">
          <cell r="A2263">
            <v>0</v>
          </cell>
          <cell r="B2263">
            <v>0</v>
          </cell>
          <cell r="E2263">
            <v>0</v>
          </cell>
          <cell r="F2263">
            <v>0</v>
          </cell>
          <cell r="AO2263">
            <v>0</v>
          </cell>
          <cell r="AP2263">
            <v>0</v>
          </cell>
          <cell r="AQ2263">
            <v>0</v>
          </cell>
          <cell r="BA2263">
            <v>0</v>
          </cell>
          <cell r="BC2263">
            <v>0</v>
          </cell>
        </row>
        <row r="2264">
          <cell r="A2264">
            <v>0</v>
          </cell>
          <cell r="B2264">
            <v>0</v>
          </cell>
          <cell r="E2264">
            <v>0</v>
          </cell>
          <cell r="F2264">
            <v>0</v>
          </cell>
          <cell r="AO2264">
            <v>0</v>
          </cell>
          <cell r="AP2264">
            <v>0</v>
          </cell>
          <cell r="AQ2264">
            <v>0</v>
          </cell>
          <cell r="BA2264">
            <v>0</v>
          </cell>
          <cell r="BC2264">
            <v>0</v>
          </cell>
        </row>
        <row r="2265">
          <cell r="A2265">
            <v>0</v>
          </cell>
          <cell r="B2265">
            <v>0</v>
          </cell>
          <cell r="E2265">
            <v>0</v>
          </cell>
          <cell r="F2265">
            <v>0</v>
          </cell>
          <cell r="AO2265">
            <v>0</v>
          </cell>
          <cell r="AP2265">
            <v>0</v>
          </cell>
          <cell r="AQ2265">
            <v>0</v>
          </cell>
          <cell r="BA2265">
            <v>0</v>
          </cell>
          <cell r="BC2265">
            <v>0</v>
          </cell>
        </row>
        <row r="2266">
          <cell r="A2266">
            <v>0</v>
          </cell>
          <cell r="B2266">
            <v>0</v>
          </cell>
          <cell r="E2266">
            <v>0</v>
          </cell>
          <cell r="F2266">
            <v>0</v>
          </cell>
          <cell r="AO2266">
            <v>0</v>
          </cell>
          <cell r="AP2266">
            <v>0</v>
          </cell>
          <cell r="AQ2266">
            <v>0</v>
          </cell>
          <cell r="BA2266">
            <v>0</v>
          </cell>
          <cell r="BC2266">
            <v>0</v>
          </cell>
        </row>
        <row r="2267">
          <cell r="A2267">
            <v>0</v>
          </cell>
          <cell r="B2267">
            <v>0</v>
          </cell>
          <cell r="E2267">
            <v>0</v>
          </cell>
          <cell r="F2267">
            <v>0</v>
          </cell>
          <cell r="AO2267">
            <v>0</v>
          </cell>
          <cell r="AP2267">
            <v>0</v>
          </cell>
          <cell r="AQ2267">
            <v>0</v>
          </cell>
          <cell r="BA2267">
            <v>0</v>
          </cell>
          <cell r="BC2267">
            <v>0</v>
          </cell>
        </row>
        <row r="2268">
          <cell r="A2268">
            <v>0</v>
          </cell>
          <cell r="B2268">
            <v>0</v>
          </cell>
          <cell r="E2268">
            <v>0</v>
          </cell>
          <cell r="F2268">
            <v>0</v>
          </cell>
          <cell r="AO2268">
            <v>0</v>
          </cell>
          <cell r="AP2268">
            <v>0</v>
          </cell>
          <cell r="AQ2268">
            <v>0</v>
          </cell>
          <cell r="BA2268">
            <v>0</v>
          </cell>
          <cell r="BC2268">
            <v>0</v>
          </cell>
        </row>
        <row r="2269">
          <cell r="A2269">
            <v>0</v>
          </cell>
          <cell r="B2269">
            <v>0</v>
          </cell>
          <cell r="E2269">
            <v>0</v>
          </cell>
          <cell r="F2269">
            <v>0</v>
          </cell>
          <cell r="AO2269">
            <v>0</v>
          </cell>
          <cell r="AP2269">
            <v>0</v>
          </cell>
          <cell r="AQ2269">
            <v>0</v>
          </cell>
          <cell r="BA2269">
            <v>0</v>
          </cell>
          <cell r="BC2269">
            <v>0</v>
          </cell>
        </row>
        <row r="2270">
          <cell r="A2270">
            <v>0</v>
          </cell>
          <cell r="B2270">
            <v>0</v>
          </cell>
          <cell r="E2270">
            <v>0</v>
          </cell>
          <cell r="F2270">
            <v>0</v>
          </cell>
          <cell r="AO2270">
            <v>0</v>
          </cell>
          <cell r="AP2270">
            <v>0</v>
          </cell>
          <cell r="AQ2270">
            <v>0</v>
          </cell>
          <cell r="BA2270">
            <v>0</v>
          </cell>
          <cell r="BC2270">
            <v>0</v>
          </cell>
        </row>
        <row r="2271">
          <cell r="A2271">
            <v>0</v>
          </cell>
          <cell r="B2271">
            <v>0</v>
          </cell>
          <cell r="E2271">
            <v>0</v>
          </cell>
          <cell r="F2271">
            <v>0</v>
          </cell>
          <cell r="AO2271">
            <v>0</v>
          </cell>
          <cell r="AP2271">
            <v>0</v>
          </cell>
          <cell r="AQ2271">
            <v>0</v>
          </cell>
          <cell r="BA2271">
            <v>0</v>
          </cell>
          <cell r="BC2271">
            <v>0</v>
          </cell>
        </row>
        <row r="2272">
          <cell r="A2272">
            <v>0</v>
          </cell>
          <cell r="B2272">
            <v>0</v>
          </cell>
          <cell r="E2272">
            <v>0</v>
          </cell>
          <cell r="F2272">
            <v>0</v>
          </cell>
          <cell r="AO2272">
            <v>0</v>
          </cell>
          <cell r="AP2272">
            <v>0</v>
          </cell>
          <cell r="AQ2272">
            <v>0</v>
          </cell>
          <cell r="BA2272">
            <v>0</v>
          </cell>
          <cell r="BC2272">
            <v>0</v>
          </cell>
        </row>
        <row r="2273">
          <cell r="A2273">
            <v>0</v>
          </cell>
          <cell r="B2273">
            <v>0</v>
          </cell>
          <cell r="E2273">
            <v>0</v>
          </cell>
          <cell r="F2273">
            <v>0</v>
          </cell>
          <cell r="AO2273">
            <v>0</v>
          </cell>
          <cell r="AP2273">
            <v>0</v>
          </cell>
          <cell r="AQ2273">
            <v>0</v>
          </cell>
          <cell r="BA2273">
            <v>0</v>
          </cell>
          <cell r="BC2273">
            <v>0</v>
          </cell>
        </row>
        <row r="2274">
          <cell r="A2274">
            <v>0</v>
          </cell>
          <cell r="B2274">
            <v>0</v>
          </cell>
          <cell r="E2274">
            <v>0</v>
          </cell>
          <cell r="F2274">
            <v>0</v>
          </cell>
          <cell r="AO2274">
            <v>0</v>
          </cell>
          <cell r="AP2274">
            <v>0</v>
          </cell>
          <cell r="AQ2274">
            <v>0</v>
          </cell>
          <cell r="BA2274">
            <v>0</v>
          </cell>
          <cell r="BC2274">
            <v>0</v>
          </cell>
        </row>
        <row r="2275">
          <cell r="A2275">
            <v>0</v>
          </cell>
          <cell r="B2275">
            <v>0</v>
          </cell>
          <cell r="E2275">
            <v>0</v>
          </cell>
          <cell r="F2275">
            <v>0</v>
          </cell>
          <cell r="AO2275">
            <v>0</v>
          </cell>
          <cell r="AP2275">
            <v>0</v>
          </cell>
          <cell r="AQ2275">
            <v>0</v>
          </cell>
          <cell r="BA2275">
            <v>0</v>
          </cell>
          <cell r="BC2275">
            <v>0</v>
          </cell>
        </row>
        <row r="2276">
          <cell r="A2276">
            <v>0</v>
          </cell>
          <cell r="B2276">
            <v>0</v>
          </cell>
          <cell r="E2276">
            <v>0</v>
          </cell>
          <cell r="F2276">
            <v>0</v>
          </cell>
          <cell r="AO2276">
            <v>0</v>
          </cell>
          <cell r="AP2276">
            <v>0</v>
          </cell>
          <cell r="AQ2276">
            <v>0</v>
          </cell>
          <cell r="BA2276">
            <v>0</v>
          </cell>
          <cell r="BC2276">
            <v>0</v>
          </cell>
        </row>
        <row r="2277">
          <cell r="A2277">
            <v>0</v>
          </cell>
          <cell r="B2277">
            <v>0</v>
          </cell>
          <cell r="E2277">
            <v>0</v>
          </cell>
          <cell r="F2277">
            <v>0</v>
          </cell>
          <cell r="AO2277">
            <v>0</v>
          </cell>
          <cell r="AP2277">
            <v>0</v>
          </cell>
          <cell r="AQ2277">
            <v>0</v>
          </cell>
          <cell r="BA2277">
            <v>0</v>
          </cell>
          <cell r="BC2277">
            <v>0</v>
          </cell>
        </row>
        <row r="2278">
          <cell r="A2278">
            <v>0</v>
          </cell>
          <cell r="B2278">
            <v>0</v>
          </cell>
          <cell r="E2278">
            <v>0</v>
          </cell>
          <cell r="F2278">
            <v>0</v>
          </cell>
          <cell r="AO2278">
            <v>0</v>
          </cell>
          <cell r="AP2278">
            <v>0</v>
          </cell>
          <cell r="AQ2278">
            <v>0</v>
          </cell>
          <cell r="BA2278">
            <v>0</v>
          </cell>
          <cell r="BC2278">
            <v>0</v>
          </cell>
        </row>
        <row r="2279">
          <cell r="A2279">
            <v>0</v>
          </cell>
          <cell r="B2279">
            <v>0</v>
          </cell>
          <cell r="E2279">
            <v>0</v>
          </cell>
          <cell r="F2279">
            <v>0</v>
          </cell>
          <cell r="AO2279">
            <v>0</v>
          </cell>
          <cell r="AP2279">
            <v>0</v>
          </cell>
          <cell r="AQ2279">
            <v>0</v>
          </cell>
          <cell r="BA2279">
            <v>0</v>
          </cell>
          <cell r="BC2279">
            <v>0</v>
          </cell>
        </row>
        <row r="2280">
          <cell r="A2280">
            <v>0</v>
          </cell>
          <cell r="B2280">
            <v>0</v>
          </cell>
          <cell r="E2280">
            <v>0</v>
          </cell>
          <cell r="F2280">
            <v>0</v>
          </cell>
          <cell r="AO2280">
            <v>0</v>
          </cell>
          <cell r="AP2280">
            <v>0</v>
          </cell>
          <cell r="AQ2280">
            <v>0</v>
          </cell>
          <cell r="BA2280">
            <v>0</v>
          </cell>
          <cell r="BC2280">
            <v>0</v>
          </cell>
        </row>
        <row r="2281">
          <cell r="A2281">
            <v>0</v>
          </cell>
          <cell r="B2281">
            <v>0</v>
          </cell>
          <cell r="E2281">
            <v>0</v>
          </cell>
          <cell r="F2281">
            <v>0</v>
          </cell>
          <cell r="AO2281">
            <v>0</v>
          </cell>
          <cell r="AP2281">
            <v>0</v>
          </cell>
          <cell r="AQ2281">
            <v>0</v>
          </cell>
          <cell r="BA2281">
            <v>0</v>
          </cell>
          <cell r="BC2281">
            <v>0</v>
          </cell>
        </row>
        <row r="2282">
          <cell r="A2282">
            <v>0</v>
          </cell>
          <cell r="B2282">
            <v>0</v>
          </cell>
          <cell r="E2282">
            <v>0</v>
          </cell>
          <cell r="F2282">
            <v>0</v>
          </cell>
          <cell r="AO2282">
            <v>0</v>
          </cell>
          <cell r="AP2282">
            <v>0</v>
          </cell>
          <cell r="AQ2282">
            <v>0</v>
          </cell>
          <cell r="BA2282">
            <v>0</v>
          </cell>
          <cell r="BC2282">
            <v>0</v>
          </cell>
        </row>
        <row r="2283">
          <cell r="A2283">
            <v>0</v>
          </cell>
          <cell r="B2283">
            <v>0</v>
          </cell>
          <cell r="E2283">
            <v>0</v>
          </cell>
          <cell r="F2283">
            <v>0</v>
          </cell>
          <cell r="AO2283">
            <v>0</v>
          </cell>
          <cell r="AP2283">
            <v>0</v>
          </cell>
          <cell r="AQ2283">
            <v>0</v>
          </cell>
          <cell r="BA2283">
            <v>0</v>
          </cell>
          <cell r="BC2283">
            <v>0</v>
          </cell>
        </row>
        <row r="2284">
          <cell r="A2284">
            <v>0</v>
          </cell>
          <cell r="B2284">
            <v>0</v>
          </cell>
          <cell r="E2284">
            <v>0</v>
          </cell>
          <cell r="F2284">
            <v>0</v>
          </cell>
          <cell r="AO2284">
            <v>0</v>
          </cell>
          <cell r="AP2284">
            <v>0</v>
          </cell>
          <cell r="AQ2284">
            <v>0</v>
          </cell>
          <cell r="BA2284">
            <v>0</v>
          </cell>
          <cell r="BC2284">
            <v>0</v>
          </cell>
        </row>
        <row r="2285">
          <cell r="A2285">
            <v>0</v>
          </cell>
          <cell r="B2285">
            <v>0</v>
          </cell>
          <cell r="E2285">
            <v>0</v>
          </cell>
          <cell r="F2285">
            <v>0</v>
          </cell>
          <cell r="AO2285">
            <v>0</v>
          </cell>
          <cell r="AP2285">
            <v>0</v>
          </cell>
          <cell r="AQ2285">
            <v>0</v>
          </cell>
          <cell r="BA2285">
            <v>0</v>
          </cell>
          <cell r="BC2285">
            <v>0</v>
          </cell>
        </row>
        <row r="2286">
          <cell r="A2286">
            <v>0</v>
          </cell>
          <cell r="B2286">
            <v>0</v>
          </cell>
          <cell r="E2286">
            <v>0</v>
          </cell>
          <cell r="F2286">
            <v>0</v>
          </cell>
          <cell r="AO2286">
            <v>0</v>
          </cell>
          <cell r="AP2286">
            <v>0</v>
          </cell>
          <cell r="AQ2286">
            <v>0</v>
          </cell>
          <cell r="BA2286">
            <v>0</v>
          </cell>
          <cell r="BC2286">
            <v>0</v>
          </cell>
        </row>
        <row r="2287">
          <cell r="A2287">
            <v>0</v>
          </cell>
          <cell r="B2287">
            <v>0</v>
          </cell>
          <cell r="E2287">
            <v>0</v>
          </cell>
          <cell r="F2287">
            <v>0</v>
          </cell>
          <cell r="AO2287">
            <v>0</v>
          </cell>
          <cell r="AP2287">
            <v>0</v>
          </cell>
          <cell r="AQ2287">
            <v>0</v>
          </cell>
          <cell r="BA2287">
            <v>0</v>
          </cell>
          <cell r="BC2287">
            <v>0</v>
          </cell>
        </row>
        <row r="2288">
          <cell r="A2288">
            <v>0</v>
          </cell>
          <cell r="B2288">
            <v>0</v>
          </cell>
          <cell r="E2288">
            <v>0</v>
          </cell>
          <cell r="F2288">
            <v>0</v>
          </cell>
          <cell r="AO2288">
            <v>0</v>
          </cell>
          <cell r="AP2288">
            <v>0</v>
          </cell>
          <cell r="AQ2288">
            <v>0</v>
          </cell>
          <cell r="BA2288">
            <v>0</v>
          </cell>
          <cell r="BC2288">
            <v>0</v>
          </cell>
        </row>
        <row r="2289">
          <cell r="A2289">
            <v>0</v>
          </cell>
          <cell r="B2289">
            <v>0</v>
          </cell>
          <cell r="E2289">
            <v>0</v>
          </cell>
          <cell r="F2289">
            <v>0</v>
          </cell>
          <cell r="AO2289">
            <v>0</v>
          </cell>
          <cell r="AP2289">
            <v>0</v>
          </cell>
          <cell r="AQ2289">
            <v>0</v>
          </cell>
          <cell r="BA2289">
            <v>0</v>
          </cell>
          <cell r="BC2289">
            <v>0</v>
          </cell>
        </row>
        <row r="2290">
          <cell r="A2290">
            <v>0</v>
          </cell>
          <cell r="B2290">
            <v>0</v>
          </cell>
          <cell r="E2290">
            <v>0</v>
          </cell>
          <cell r="F2290">
            <v>0</v>
          </cell>
          <cell r="AO2290">
            <v>0</v>
          </cell>
          <cell r="AP2290">
            <v>0</v>
          </cell>
          <cell r="AQ2290">
            <v>0</v>
          </cell>
          <cell r="BA2290">
            <v>0</v>
          </cell>
          <cell r="BC2290">
            <v>0</v>
          </cell>
        </row>
        <row r="2291">
          <cell r="A2291">
            <v>0</v>
          </cell>
          <cell r="B2291">
            <v>0</v>
          </cell>
          <cell r="E2291">
            <v>0</v>
          </cell>
          <cell r="F2291">
            <v>0</v>
          </cell>
          <cell r="AO2291">
            <v>0</v>
          </cell>
          <cell r="AP2291">
            <v>0</v>
          </cell>
          <cell r="AQ2291">
            <v>0</v>
          </cell>
          <cell r="BA2291">
            <v>0</v>
          </cell>
          <cell r="BC2291">
            <v>0</v>
          </cell>
        </row>
        <row r="2292">
          <cell r="A2292">
            <v>0</v>
          </cell>
          <cell r="B2292">
            <v>0</v>
          </cell>
          <cell r="E2292">
            <v>0</v>
          </cell>
          <cell r="F2292">
            <v>0</v>
          </cell>
          <cell r="AO2292">
            <v>0</v>
          </cell>
          <cell r="AP2292">
            <v>0</v>
          </cell>
          <cell r="AQ2292">
            <v>0</v>
          </cell>
          <cell r="BA2292">
            <v>0</v>
          </cell>
          <cell r="BC2292">
            <v>0</v>
          </cell>
        </row>
        <row r="2293">
          <cell r="A2293">
            <v>0</v>
          </cell>
          <cell r="B2293">
            <v>0</v>
          </cell>
          <cell r="E2293">
            <v>0</v>
          </cell>
          <cell r="F2293">
            <v>0</v>
          </cell>
          <cell r="AO2293">
            <v>0</v>
          </cell>
          <cell r="AP2293">
            <v>0</v>
          </cell>
          <cell r="AQ2293">
            <v>0</v>
          </cell>
          <cell r="BA2293">
            <v>0</v>
          </cell>
          <cell r="BC2293">
            <v>0</v>
          </cell>
        </row>
        <row r="2294">
          <cell r="A2294">
            <v>0</v>
          </cell>
          <cell r="B2294">
            <v>0</v>
          </cell>
          <cell r="E2294">
            <v>0</v>
          </cell>
          <cell r="F2294">
            <v>0</v>
          </cell>
          <cell r="AO2294">
            <v>0</v>
          </cell>
          <cell r="AP2294">
            <v>0</v>
          </cell>
          <cell r="AQ2294">
            <v>0</v>
          </cell>
          <cell r="BA2294">
            <v>0</v>
          </cell>
          <cell r="BC2294">
            <v>0</v>
          </cell>
        </row>
        <row r="2295">
          <cell r="A2295">
            <v>0</v>
          </cell>
          <cell r="B2295">
            <v>0</v>
          </cell>
          <cell r="E2295">
            <v>0</v>
          </cell>
          <cell r="F2295">
            <v>0</v>
          </cell>
          <cell r="AO2295">
            <v>0</v>
          </cell>
          <cell r="AP2295">
            <v>0</v>
          </cell>
          <cell r="AQ2295">
            <v>0</v>
          </cell>
          <cell r="BA2295">
            <v>0</v>
          </cell>
          <cell r="BC2295">
            <v>0</v>
          </cell>
        </row>
        <row r="2296">
          <cell r="A2296">
            <v>0</v>
          </cell>
          <cell r="B2296">
            <v>0</v>
          </cell>
          <cell r="E2296">
            <v>0</v>
          </cell>
          <cell r="F2296">
            <v>0</v>
          </cell>
          <cell r="AO2296">
            <v>0</v>
          </cell>
          <cell r="AP2296">
            <v>0</v>
          </cell>
          <cell r="AQ2296">
            <v>0</v>
          </cell>
          <cell r="BA2296">
            <v>0</v>
          </cell>
          <cell r="BC2296">
            <v>0</v>
          </cell>
        </row>
        <row r="2297">
          <cell r="A2297">
            <v>0</v>
          </cell>
          <cell r="B2297">
            <v>0</v>
          </cell>
          <cell r="E2297">
            <v>0</v>
          </cell>
          <cell r="F2297">
            <v>0</v>
          </cell>
          <cell r="AO2297">
            <v>0</v>
          </cell>
          <cell r="AP2297">
            <v>0</v>
          </cell>
          <cell r="AQ2297">
            <v>0</v>
          </cell>
          <cell r="BA2297">
            <v>0</v>
          </cell>
          <cell r="BC2297">
            <v>0</v>
          </cell>
        </row>
        <row r="2298">
          <cell r="A2298">
            <v>0</v>
          </cell>
          <cell r="B2298">
            <v>0</v>
          </cell>
          <cell r="E2298">
            <v>0</v>
          </cell>
          <cell r="F2298">
            <v>0</v>
          </cell>
          <cell r="AO2298">
            <v>0</v>
          </cell>
          <cell r="AP2298">
            <v>0</v>
          </cell>
          <cell r="AQ2298">
            <v>0</v>
          </cell>
          <cell r="BA2298">
            <v>0</v>
          </cell>
          <cell r="BC2298">
            <v>0</v>
          </cell>
        </row>
        <row r="2299">
          <cell r="A2299">
            <v>0</v>
          </cell>
          <cell r="B2299">
            <v>0</v>
          </cell>
          <cell r="E2299">
            <v>0</v>
          </cell>
          <cell r="F2299">
            <v>0</v>
          </cell>
          <cell r="AO2299">
            <v>0</v>
          </cell>
          <cell r="AP2299">
            <v>0</v>
          </cell>
          <cell r="AQ2299">
            <v>0</v>
          </cell>
          <cell r="BA2299">
            <v>0</v>
          </cell>
          <cell r="BC2299">
            <v>0</v>
          </cell>
        </row>
        <row r="2300">
          <cell r="A2300">
            <v>0</v>
          </cell>
          <cell r="B2300">
            <v>0</v>
          </cell>
          <cell r="E2300">
            <v>0</v>
          </cell>
          <cell r="F2300">
            <v>0</v>
          </cell>
          <cell r="AO2300">
            <v>0</v>
          </cell>
          <cell r="AP2300">
            <v>0</v>
          </cell>
          <cell r="AQ2300">
            <v>0</v>
          </cell>
          <cell r="BA2300">
            <v>0</v>
          </cell>
          <cell r="BC2300">
            <v>0</v>
          </cell>
        </row>
        <row r="2301">
          <cell r="A2301">
            <v>0</v>
          </cell>
          <cell r="B2301">
            <v>0</v>
          </cell>
          <cell r="E2301">
            <v>0</v>
          </cell>
          <cell r="F2301">
            <v>0</v>
          </cell>
          <cell r="AO2301">
            <v>0</v>
          </cell>
          <cell r="AP2301">
            <v>0</v>
          </cell>
          <cell r="AQ2301">
            <v>0</v>
          </cell>
          <cell r="BA2301">
            <v>0</v>
          </cell>
          <cell r="BC2301">
            <v>0</v>
          </cell>
        </row>
        <row r="2302">
          <cell r="A2302">
            <v>0</v>
          </cell>
          <cell r="B2302">
            <v>0</v>
          </cell>
          <cell r="E2302">
            <v>0</v>
          </cell>
          <cell r="F2302">
            <v>0</v>
          </cell>
          <cell r="AO2302">
            <v>0</v>
          </cell>
          <cell r="AP2302">
            <v>0</v>
          </cell>
          <cell r="AQ2302">
            <v>0</v>
          </cell>
          <cell r="BA2302">
            <v>0</v>
          </cell>
          <cell r="BC2302">
            <v>0</v>
          </cell>
        </row>
        <row r="2303">
          <cell r="A2303">
            <v>0</v>
          </cell>
          <cell r="B2303">
            <v>0</v>
          </cell>
          <cell r="E2303">
            <v>0</v>
          </cell>
          <cell r="F2303">
            <v>0</v>
          </cell>
          <cell r="AO2303">
            <v>0</v>
          </cell>
          <cell r="AP2303">
            <v>0</v>
          </cell>
          <cell r="AQ2303">
            <v>0</v>
          </cell>
          <cell r="BA2303">
            <v>0</v>
          </cell>
          <cell r="BC2303">
            <v>0</v>
          </cell>
        </row>
        <row r="2304">
          <cell r="A2304">
            <v>0</v>
          </cell>
          <cell r="B2304">
            <v>0</v>
          </cell>
          <cell r="E2304">
            <v>0</v>
          </cell>
          <cell r="F2304">
            <v>0</v>
          </cell>
          <cell r="AO2304">
            <v>0</v>
          </cell>
          <cell r="AP2304">
            <v>0</v>
          </cell>
          <cell r="AQ2304">
            <v>0</v>
          </cell>
          <cell r="BA2304">
            <v>0</v>
          </cell>
          <cell r="BC2304">
            <v>0</v>
          </cell>
        </row>
        <row r="2305">
          <cell r="A2305">
            <v>0</v>
          </cell>
          <cell r="B2305">
            <v>0</v>
          </cell>
          <cell r="E2305">
            <v>0</v>
          </cell>
          <cell r="F2305">
            <v>0</v>
          </cell>
          <cell r="AO2305">
            <v>0</v>
          </cell>
          <cell r="AP2305">
            <v>0</v>
          </cell>
          <cell r="AQ2305">
            <v>0</v>
          </cell>
          <cell r="BA2305">
            <v>0</v>
          </cell>
          <cell r="BC2305">
            <v>0</v>
          </cell>
        </row>
        <row r="2306">
          <cell r="A2306">
            <v>0</v>
          </cell>
          <cell r="B2306">
            <v>0</v>
          </cell>
          <cell r="E2306">
            <v>0</v>
          </cell>
          <cell r="F2306">
            <v>0</v>
          </cell>
          <cell r="AO2306">
            <v>0</v>
          </cell>
          <cell r="AP2306">
            <v>0</v>
          </cell>
          <cell r="AQ2306">
            <v>0</v>
          </cell>
          <cell r="BA2306">
            <v>0</v>
          </cell>
          <cell r="BC2306">
            <v>0</v>
          </cell>
        </row>
        <row r="2307">
          <cell r="A2307">
            <v>0</v>
          </cell>
          <cell r="B2307">
            <v>0</v>
          </cell>
          <cell r="E2307">
            <v>0</v>
          </cell>
          <cell r="F2307">
            <v>0</v>
          </cell>
          <cell r="AO2307">
            <v>0</v>
          </cell>
          <cell r="AP2307">
            <v>0</v>
          </cell>
          <cell r="AQ2307">
            <v>0</v>
          </cell>
          <cell r="BA2307">
            <v>0</v>
          </cell>
          <cell r="BC2307">
            <v>0</v>
          </cell>
        </row>
        <row r="2308">
          <cell r="A2308">
            <v>0</v>
          </cell>
          <cell r="B2308">
            <v>0</v>
          </cell>
          <cell r="E2308">
            <v>0</v>
          </cell>
          <cell r="F2308">
            <v>0</v>
          </cell>
          <cell r="AO2308">
            <v>0</v>
          </cell>
          <cell r="AP2308">
            <v>0</v>
          </cell>
          <cell r="AQ2308">
            <v>0</v>
          </cell>
          <cell r="BA2308">
            <v>0</v>
          </cell>
          <cell r="BC2308">
            <v>0</v>
          </cell>
        </row>
        <row r="2309">
          <cell r="A2309">
            <v>0</v>
          </cell>
          <cell r="B2309">
            <v>0</v>
          </cell>
          <cell r="E2309">
            <v>0</v>
          </cell>
          <cell r="F2309">
            <v>0</v>
          </cell>
          <cell r="AO2309">
            <v>0</v>
          </cell>
          <cell r="AP2309">
            <v>0</v>
          </cell>
          <cell r="AQ2309">
            <v>0</v>
          </cell>
          <cell r="BA2309">
            <v>0</v>
          </cell>
          <cell r="BC2309">
            <v>0</v>
          </cell>
        </row>
        <row r="2310">
          <cell r="A2310">
            <v>0</v>
          </cell>
          <cell r="B2310">
            <v>0</v>
          </cell>
          <cell r="E2310">
            <v>0</v>
          </cell>
          <cell r="F2310">
            <v>0</v>
          </cell>
          <cell r="AO2310">
            <v>0</v>
          </cell>
          <cell r="AP2310">
            <v>0</v>
          </cell>
          <cell r="AQ2310">
            <v>0</v>
          </cell>
          <cell r="BA2310">
            <v>0</v>
          </cell>
          <cell r="BC2310">
            <v>0</v>
          </cell>
        </row>
        <row r="2311">
          <cell r="A2311">
            <v>0</v>
          </cell>
          <cell r="B2311">
            <v>0</v>
          </cell>
          <cell r="E2311">
            <v>0</v>
          </cell>
          <cell r="F2311">
            <v>0</v>
          </cell>
          <cell r="AO2311">
            <v>0</v>
          </cell>
          <cell r="AP2311">
            <v>0</v>
          </cell>
          <cell r="AQ2311">
            <v>0</v>
          </cell>
          <cell r="BA2311">
            <v>0</v>
          </cell>
          <cell r="BC2311">
            <v>0</v>
          </cell>
        </row>
        <row r="2312">
          <cell r="A2312">
            <v>0</v>
          </cell>
          <cell r="B2312">
            <v>0</v>
          </cell>
          <cell r="E2312">
            <v>0</v>
          </cell>
          <cell r="F2312">
            <v>0</v>
          </cell>
          <cell r="AO2312">
            <v>0</v>
          </cell>
          <cell r="AP2312">
            <v>0</v>
          </cell>
          <cell r="AQ2312">
            <v>0</v>
          </cell>
          <cell r="BA2312">
            <v>0</v>
          </cell>
          <cell r="BC2312">
            <v>0</v>
          </cell>
        </row>
        <row r="2313">
          <cell r="A2313">
            <v>0</v>
          </cell>
          <cell r="B2313">
            <v>0</v>
          </cell>
          <cell r="E2313">
            <v>0</v>
          </cell>
          <cell r="F2313">
            <v>0</v>
          </cell>
          <cell r="AO2313">
            <v>0</v>
          </cell>
          <cell r="AP2313">
            <v>0</v>
          </cell>
          <cell r="AQ2313">
            <v>0</v>
          </cell>
          <cell r="BA2313">
            <v>0</v>
          </cell>
          <cell r="BC2313">
            <v>0</v>
          </cell>
        </row>
        <row r="2314">
          <cell r="A2314">
            <v>0</v>
          </cell>
          <cell r="B2314">
            <v>0</v>
          </cell>
          <cell r="E2314">
            <v>0</v>
          </cell>
          <cell r="F2314">
            <v>0</v>
          </cell>
          <cell r="AO2314">
            <v>0</v>
          </cell>
          <cell r="AP2314">
            <v>0</v>
          </cell>
          <cell r="AQ2314">
            <v>0</v>
          </cell>
          <cell r="BA2314">
            <v>0</v>
          </cell>
          <cell r="BC2314">
            <v>0</v>
          </cell>
        </row>
        <row r="2315">
          <cell r="A2315">
            <v>0</v>
          </cell>
          <cell r="B2315">
            <v>0</v>
          </cell>
          <cell r="E2315">
            <v>0</v>
          </cell>
          <cell r="F2315">
            <v>0</v>
          </cell>
          <cell r="AO2315">
            <v>0</v>
          </cell>
          <cell r="AP2315">
            <v>0</v>
          </cell>
          <cell r="AQ2315">
            <v>0</v>
          </cell>
          <cell r="BA2315">
            <v>0</v>
          </cell>
          <cell r="BC2315">
            <v>0</v>
          </cell>
        </row>
        <row r="2316">
          <cell r="A2316">
            <v>0</v>
          </cell>
          <cell r="B2316">
            <v>0</v>
          </cell>
          <cell r="E2316">
            <v>0</v>
          </cell>
          <cell r="F2316">
            <v>0</v>
          </cell>
          <cell r="AO2316">
            <v>0</v>
          </cell>
          <cell r="AP2316">
            <v>0</v>
          </cell>
          <cell r="AQ2316">
            <v>0</v>
          </cell>
          <cell r="BA2316">
            <v>0</v>
          </cell>
          <cell r="BC2316">
            <v>0</v>
          </cell>
        </row>
        <row r="2317">
          <cell r="A2317">
            <v>0</v>
          </cell>
          <cell r="B2317">
            <v>0</v>
          </cell>
          <cell r="E2317">
            <v>0</v>
          </cell>
          <cell r="F2317">
            <v>0</v>
          </cell>
          <cell r="AO2317">
            <v>0</v>
          </cell>
          <cell r="AP2317">
            <v>0</v>
          </cell>
          <cell r="AQ2317">
            <v>0</v>
          </cell>
          <cell r="BA2317">
            <v>0</v>
          </cell>
          <cell r="BC2317">
            <v>0</v>
          </cell>
        </row>
        <row r="2318">
          <cell r="A2318">
            <v>0</v>
          </cell>
          <cell r="B2318">
            <v>0</v>
          </cell>
          <cell r="E2318">
            <v>0</v>
          </cell>
          <cell r="F2318">
            <v>0</v>
          </cell>
          <cell r="AO2318">
            <v>0</v>
          </cell>
          <cell r="AP2318">
            <v>0</v>
          </cell>
          <cell r="AQ2318">
            <v>0</v>
          </cell>
          <cell r="BA2318">
            <v>0</v>
          </cell>
          <cell r="BC2318">
            <v>0</v>
          </cell>
        </row>
        <row r="2319">
          <cell r="A2319">
            <v>0</v>
          </cell>
          <cell r="B2319">
            <v>0</v>
          </cell>
          <cell r="E2319">
            <v>0</v>
          </cell>
          <cell r="F2319">
            <v>0</v>
          </cell>
          <cell r="AO2319">
            <v>0</v>
          </cell>
          <cell r="AP2319">
            <v>0</v>
          </cell>
          <cell r="AQ2319">
            <v>0</v>
          </cell>
          <cell r="BA2319">
            <v>0</v>
          </cell>
          <cell r="BC2319">
            <v>0</v>
          </cell>
        </row>
        <row r="2320">
          <cell r="A2320">
            <v>0</v>
          </cell>
          <cell r="B2320">
            <v>0</v>
          </cell>
          <cell r="E2320">
            <v>0</v>
          </cell>
          <cell r="F2320">
            <v>0</v>
          </cell>
          <cell r="AO2320">
            <v>0</v>
          </cell>
          <cell r="AP2320">
            <v>0</v>
          </cell>
          <cell r="AQ2320">
            <v>0</v>
          </cell>
          <cell r="BA2320">
            <v>0</v>
          </cell>
          <cell r="BC2320">
            <v>0</v>
          </cell>
        </row>
        <row r="2321">
          <cell r="A2321">
            <v>0</v>
          </cell>
          <cell r="B2321">
            <v>0</v>
          </cell>
          <cell r="E2321">
            <v>0</v>
          </cell>
          <cell r="F2321">
            <v>0</v>
          </cell>
          <cell r="AO2321">
            <v>0</v>
          </cell>
          <cell r="AP2321">
            <v>0</v>
          </cell>
          <cell r="AQ2321">
            <v>0</v>
          </cell>
          <cell r="BA2321">
            <v>0</v>
          </cell>
          <cell r="BC2321">
            <v>0</v>
          </cell>
        </row>
        <row r="2322">
          <cell r="A2322">
            <v>0</v>
          </cell>
          <cell r="B2322">
            <v>0</v>
          </cell>
          <cell r="E2322">
            <v>0</v>
          </cell>
          <cell r="F2322">
            <v>0</v>
          </cell>
          <cell r="AO2322">
            <v>0</v>
          </cell>
          <cell r="AP2322">
            <v>0</v>
          </cell>
          <cell r="AQ2322">
            <v>0</v>
          </cell>
          <cell r="BA2322">
            <v>0</v>
          </cell>
          <cell r="BC2322">
            <v>0</v>
          </cell>
        </row>
        <row r="2323">
          <cell r="A2323">
            <v>0</v>
          </cell>
          <cell r="B2323">
            <v>0</v>
          </cell>
          <cell r="E2323">
            <v>0</v>
          </cell>
          <cell r="F2323">
            <v>0</v>
          </cell>
          <cell r="AO2323">
            <v>0</v>
          </cell>
          <cell r="AP2323">
            <v>0</v>
          </cell>
          <cell r="AQ2323">
            <v>0</v>
          </cell>
          <cell r="BA2323">
            <v>0</v>
          </cell>
          <cell r="BC2323">
            <v>0</v>
          </cell>
        </row>
        <row r="2324">
          <cell r="A2324">
            <v>0</v>
          </cell>
          <cell r="B2324">
            <v>0</v>
          </cell>
          <cell r="E2324">
            <v>0</v>
          </cell>
          <cell r="F2324">
            <v>0</v>
          </cell>
          <cell r="AO2324">
            <v>0</v>
          </cell>
          <cell r="AP2324">
            <v>0</v>
          </cell>
          <cell r="AQ2324">
            <v>0</v>
          </cell>
          <cell r="BA2324">
            <v>0</v>
          </cell>
          <cell r="BC2324">
            <v>0</v>
          </cell>
        </row>
        <row r="2325">
          <cell r="A2325">
            <v>0</v>
          </cell>
          <cell r="B2325">
            <v>0</v>
          </cell>
          <cell r="E2325">
            <v>0</v>
          </cell>
          <cell r="F2325">
            <v>0</v>
          </cell>
          <cell r="AO2325">
            <v>0</v>
          </cell>
          <cell r="AP2325">
            <v>0</v>
          </cell>
          <cell r="AQ2325">
            <v>0</v>
          </cell>
          <cell r="BA2325">
            <v>0</v>
          </cell>
          <cell r="BC2325">
            <v>0</v>
          </cell>
        </row>
        <row r="2326">
          <cell r="A2326">
            <v>0</v>
          </cell>
          <cell r="B2326">
            <v>0</v>
          </cell>
          <cell r="E2326">
            <v>0</v>
          </cell>
          <cell r="F2326">
            <v>0</v>
          </cell>
          <cell r="AO2326">
            <v>0</v>
          </cell>
          <cell r="AP2326">
            <v>0</v>
          </cell>
          <cell r="AQ2326">
            <v>0</v>
          </cell>
          <cell r="BA2326">
            <v>0</v>
          </cell>
          <cell r="BC2326">
            <v>0</v>
          </cell>
        </row>
        <row r="2327">
          <cell r="A2327">
            <v>0</v>
          </cell>
          <cell r="B2327">
            <v>0</v>
          </cell>
          <cell r="E2327">
            <v>0</v>
          </cell>
          <cell r="F2327">
            <v>0</v>
          </cell>
          <cell r="AO2327">
            <v>0</v>
          </cell>
          <cell r="AP2327">
            <v>0</v>
          </cell>
          <cell r="AQ2327">
            <v>0</v>
          </cell>
          <cell r="BA2327">
            <v>0</v>
          </cell>
          <cell r="BC2327">
            <v>0</v>
          </cell>
        </row>
        <row r="2328">
          <cell r="A2328">
            <v>0</v>
          </cell>
          <cell r="B2328">
            <v>0</v>
          </cell>
          <cell r="E2328">
            <v>0</v>
          </cell>
          <cell r="F2328">
            <v>0</v>
          </cell>
          <cell r="AO2328">
            <v>0</v>
          </cell>
          <cell r="AP2328">
            <v>0</v>
          </cell>
          <cell r="AQ2328">
            <v>0</v>
          </cell>
          <cell r="BA2328">
            <v>0</v>
          </cell>
          <cell r="BC2328">
            <v>0</v>
          </cell>
        </row>
        <row r="2329">
          <cell r="A2329">
            <v>0</v>
          </cell>
          <cell r="B2329">
            <v>0</v>
          </cell>
          <cell r="E2329">
            <v>0</v>
          </cell>
          <cell r="F2329">
            <v>0</v>
          </cell>
          <cell r="AO2329">
            <v>0</v>
          </cell>
          <cell r="AP2329">
            <v>0</v>
          </cell>
          <cell r="AQ2329">
            <v>0</v>
          </cell>
          <cell r="BA2329">
            <v>0</v>
          </cell>
          <cell r="BC2329">
            <v>0</v>
          </cell>
        </row>
        <row r="2330">
          <cell r="A2330">
            <v>0</v>
          </cell>
          <cell r="B2330">
            <v>0</v>
          </cell>
          <cell r="E2330">
            <v>0</v>
          </cell>
          <cell r="F2330">
            <v>0</v>
          </cell>
          <cell r="AO2330">
            <v>0</v>
          </cell>
          <cell r="AP2330">
            <v>0</v>
          </cell>
          <cell r="AQ2330">
            <v>0</v>
          </cell>
          <cell r="BA2330">
            <v>0</v>
          </cell>
          <cell r="BC2330">
            <v>0</v>
          </cell>
        </row>
        <row r="2331">
          <cell r="A2331">
            <v>0</v>
          </cell>
          <cell r="B2331">
            <v>0</v>
          </cell>
          <cell r="E2331">
            <v>0</v>
          </cell>
          <cell r="F2331">
            <v>0</v>
          </cell>
          <cell r="AO2331">
            <v>0</v>
          </cell>
          <cell r="AP2331">
            <v>0</v>
          </cell>
          <cell r="AQ2331">
            <v>0</v>
          </cell>
          <cell r="BA2331">
            <v>0</v>
          </cell>
          <cell r="BC2331">
            <v>0</v>
          </cell>
        </row>
        <row r="2332">
          <cell r="A2332">
            <v>0</v>
          </cell>
          <cell r="B2332">
            <v>0</v>
          </cell>
          <cell r="E2332">
            <v>0</v>
          </cell>
          <cell r="F2332">
            <v>0</v>
          </cell>
          <cell r="AO2332">
            <v>0</v>
          </cell>
          <cell r="AP2332">
            <v>0</v>
          </cell>
          <cell r="AQ2332">
            <v>0</v>
          </cell>
          <cell r="BA2332">
            <v>0</v>
          </cell>
          <cell r="BC2332">
            <v>0</v>
          </cell>
        </row>
        <row r="2333">
          <cell r="A2333">
            <v>0</v>
          </cell>
          <cell r="B2333">
            <v>0</v>
          </cell>
          <cell r="E2333">
            <v>0</v>
          </cell>
          <cell r="F2333">
            <v>0</v>
          </cell>
          <cell r="AO2333">
            <v>0</v>
          </cell>
          <cell r="AP2333">
            <v>0</v>
          </cell>
          <cell r="AQ2333">
            <v>0</v>
          </cell>
          <cell r="BA2333">
            <v>0</v>
          </cell>
          <cell r="BC2333">
            <v>0</v>
          </cell>
        </row>
        <row r="2334">
          <cell r="A2334">
            <v>0</v>
          </cell>
          <cell r="B2334">
            <v>0</v>
          </cell>
          <cell r="E2334">
            <v>0</v>
          </cell>
          <cell r="F2334">
            <v>0</v>
          </cell>
          <cell r="AO2334">
            <v>0</v>
          </cell>
          <cell r="AP2334">
            <v>0</v>
          </cell>
          <cell r="AQ2334">
            <v>0</v>
          </cell>
          <cell r="BA2334">
            <v>0</v>
          </cell>
          <cell r="BC2334">
            <v>0</v>
          </cell>
        </row>
        <row r="2335">
          <cell r="A2335">
            <v>0</v>
          </cell>
          <cell r="B2335">
            <v>0</v>
          </cell>
          <cell r="E2335">
            <v>0</v>
          </cell>
          <cell r="F2335">
            <v>0</v>
          </cell>
          <cell r="AO2335">
            <v>0</v>
          </cell>
          <cell r="AP2335">
            <v>0</v>
          </cell>
          <cell r="AQ2335">
            <v>0</v>
          </cell>
          <cell r="BA2335">
            <v>0</v>
          </cell>
          <cell r="BC2335">
            <v>0</v>
          </cell>
        </row>
        <row r="2336">
          <cell r="A2336">
            <v>0</v>
          </cell>
          <cell r="B2336">
            <v>0</v>
          </cell>
          <cell r="E2336">
            <v>0</v>
          </cell>
          <cell r="F2336">
            <v>0</v>
          </cell>
          <cell r="AO2336">
            <v>0</v>
          </cell>
          <cell r="AP2336">
            <v>0</v>
          </cell>
          <cell r="AQ2336">
            <v>0</v>
          </cell>
          <cell r="BA2336">
            <v>0</v>
          </cell>
          <cell r="BC2336">
            <v>0</v>
          </cell>
        </row>
        <row r="2337">
          <cell r="A2337">
            <v>0</v>
          </cell>
          <cell r="B2337">
            <v>0</v>
          </cell>
          <cell r="E2337">
            <v>0</v>
          </cell>
          <cell r="F2337">
            <v>0</v>
          </cell>
          <cell r="AO2337">
            <v>0</v>
          </cell>
          <cell r="AP2337">
            <v>0</v>
          </cell>
          <cell r="AQ2337">
            <v>0</v>
          </cell>
          <cell r="BA2337">
            <v>0</v>
          </cell>
          <cell r="BC2337">
            <v>0</v>
          </cell>
        </row>
        <row r="2338">
          <cell r="A2338">
            <v>0</v>
          </cell>
          <cell r="B2338">
            <v>0</v>
          </cell>
          <cell r="E2338">
            <v>0</v>
          </cell>
          <cell r="F2338">
            <v>0</v>
          </cell>
          <cell r="AO2338">
            <v>0</v>
          </cell>
          <cell r="AP2338">
            <v>0</v>
          </cell>
          <cell r="AQ2338">
            <v>0</v>
          </cell>
          <cell r="BA2338">
            <v>0</v>
          </cell>
          <cell r="BC2338">
            <v>0</v>
          </cell>
        </row>
        <row r="2339">
          <cell r="A2339">
            <v>0</v>
          </cell>
          <cell r="B2339">
            <v>0</v>
          </cell>
          <cell r="E2339">
            <v>0</v>
          </cell>
          <cell r="F2339">
            <v>0</v>
          </cell>
          <cell r="AO2339">
            <v>0</v>
          </cell>
          <cell r="AP2339">
            <v>0</v>
          </cell>
          <cell r="AQ2339">
            <v>0</v>
          </cell>
          <cell r="BA2339">
            <v>0</v>
          </cell>
          <cell r="BC2339">
            <v>0</v>
          </cell>
        </row>
        <row r="2340">
          <cell r="A2340">
            <v>0</v>
          </cell>
          <cell r="B2340">
            <v>0</v>
          </cell>
          <cell r="E2340">
            <v>0</v>
          </cell>
          <cell r="F2340">
            <v>0</v>
          </cell>
          <cell r="AO2340">
            <v>0</v>
          </cell>
          <cell r="AP2340">
            <v>0</v>
          </cell>
          <cell r="AQ2340">
            <v>0</v>
          </cell>
          <cell r="BA2340">
            <v>0</v>
          </cell>
          <cell r="BC2340">
            <v>0</v>
          </cell>
        </row>
        <row r="2341">
          <cell r="A2341">
            <v>0</v>
          </cell>
          <cell r="B2341">
            <v>0</v>
          </cell>
          <cell r="E2341">
            <v>0</v>
          </cell>
          <cell r="F2341">
            <v>0</v>
          </cell>
          <cell r="AO2341">
            <v>0</v>
          </cell>
          <cell r="AP2341">
            <v>0</v>
          </cell>
          <cell r="AQ2341">
            <v>0</v>
          </cell>
          <cell r="BA2341">
            <v>0</v>
          </cell>
          <cell r="BC2341">
            <v>0</v>
          </cell>
        </row>
        <row r="2342">
          <cell r="A2342">
            <v>0</v>
          </cell>
          <cell r="B2342">
            <v>0</v>
          </cell>
          <cell r="E2342">
            <v>0</v>
          </cell>
          <cell r="F2342">
            <v>0</v>
          </cell>
          <cell r="AO2342">
            <v>0</v>
          </cell>
          <cell r="AP2342">
            <v>0</v>
          </cell>
          <cell r="AQ2342">
            <v>0</v>
          </cell>
          <cell r="BA2342">
            <v>0</v>
          </cell>
          <cell r="BC2342">
            <v>0</v>
          </cell>
        </row>
        <row r="2343">
          <cell r="A2343">
            <v>0</v>
          </cell>
          <cell r="B2343">
            <v>0</v>
          </cell>
          <cell r="E2343">
            <v>0</v>
          </cell>
          <cell r="F2343">
            <v>0</v>
          </cell>
          <cell r="AO2343">
            <v>0</v>
          </cell>
          <cell r="AP2343">
            <v>0</v>
          </cell>
          <cell r="AQ2343">
            <v>0</v>
          </cell>
          <cell r="BA2343">
            <v>0</v>
          </cell>
          <cell r="BC2343">
            <v>0</v>
          </cell>
        </row>
        <row r="2344">
          <cell r="A2344">
            <v>0</v>
          </cell>
          <cell r="B2344">
            <v>0</v>
          </cell>
          <cell r="E2344">
            <v>0</v>
          </cell>
          <cell r="F2344">
            <v>0</v>
          </cell>
          <cell r="AO2344">
            <v>0</v>
          </cell>
          <cell r="AP2344">
            <v>0</v>
          </cell>
          <cell r="AQ2344">
            <v>0</v>
          </cell>
          <cell r="BA2344">
            <v>0</v>
          </cell>
          <cell r="BC2344">
            <v>0</v>
          </cell>
        </row>
        <row r="2345">
          <cell r="A2345">
            <v>0</v>
          </cell>
          <cell r="B2345">
            <v>0</v>
          </cell>
          <cell r="E2345">
            <v>0</v>
          </cell>
          <cell r="F2345">
            <v>0</v>
          </cell>
          <cell r="AO2345">
            <v>0</v>
          </cell>
          <cell r="AP2345">
            <v>0</v>
          </cell>
          <cell r="AQ2345">
            <v>0</v>
          </cell>
          <cell r="BA2345">
            <v>0</v>
          </cell>
          <cell r="BC2345">
            <v>0</v>
          </cell>
        </row>
        <row r="2346">
          <cell r="A2346">
            <v>0</v>
          </cell>
          <cell r="B2346">
            <v>0</v>
          </cell>
          <cell r="E2346">
            <v>0</v>
          </cell>
          <cell r="F2346">
            <v>0</v>
          </cell>
          <cell r="AO2346">
            <v>0</v>
          </cell>
          <cell r="AP2346">
            <v>0</v>
          </cell>
          <cell r="AQ2346">
            <v>0</v>
          </cell>
          <cell r="BA2346">
            <v>0</v>
          </cell>
          <cell r="BC2346">
            <v>0</v>
          </cell>
        </row>
        <row r="2347">
          <cell r="A2347">
            <v>0</v>
          </cell>
          <cell r="B2347">
            <v>0</v>
          </cell>
          <cell r="E2347">
            <v>0</v>
          </cell>
          <cell r="F2347">
            <v>0</v>
          </cell>
          <cell r="AO2347">
            <v>0</v>
          </cell>
          <cell r="AP2347">
            <v>0</v>
          </cell>
          <cell r="AQ2347">
            <v>0</v>
          </cell>
          <cell r="BA2347">
            <v>0</v>
          </cell>
          <cell r="BC2347">
            <v>0</v>
          </cell>
        </row>
        <row r="2348">
          <cell r="A2348">
            <v>0</v>
          </cell>
          <cell r="B2348">
            <v>0</v>
          </cell>
          <cell r="E2348">
            <v>0</v>
          </cell>
          <cell r="F2348">
            <v>0</v>
          </cell>
          <cell r="AO2348">
            <v>0</v>
          </cell>
          <cell r="AP2348">
            <v>0</v>
          </cell>
          <cell r="AQ2348">
            <v>0</v>
          </cell>
          <cell r="BA2348">
            <v>0</v>
          </cell>
          <cell r="BC2348">
            <v>0</v>
          </cell>
        </row>
        <row r="2349">
          <cell r="A2349">
            <v>0</v>
          </cell>
          <cell r="B2349">
            <v>0</v>
          </cell>
          <cell r="E2349">
            <v>0</v>
          </cell>
          <cell r="F2349">
            <v>0</v>
          </cell>
          <cell r="AO2349">
            <v>0</v>
          </cell>
          <cell r="AP2349">
            <v>0</v>
          </cell>
          <cell r="AQ2349">
            <v>0</v>
          </cell>
          <cell r="BA2349">
            <v>0</v>
          </cell>
          <cell r="BC2349">
            <v>0</v>
          </cell>
        </row>
        <row r="2350">
          <cell r="A2350">
            <v>0</v>
          </cell>
          <cell r="B2350">
            <v>0</v>
          </cell>
          <cell r="E2350">
            <v>0</v>
          </cell>
          <cell r="F2350">
            <v>0</v>
          </cell>
          <cell r="AO2350">
            <v>0</v>
          </cell>
          <cell r="AP2350">
            <v>0</v>
          </cell>
          <cell r="AQ2350">
            <v>0</v>
          </cell>
          <cell r="BA2350">
            <v>0</v>
          </cell>
          <cell r="BC2350">
            <v>0</v>
          </cell>
        </row>
        <row r="2351">
          <cell r="A2351">
            <v>0</v>
          </cell>
          <cell r="B2351">
            <v>0</v>
          </cell>
          <cell r="E2351">
            <v>0</v>
          </cell>
          <cell r="F2351">
            <v>0</v>
          </cell>
          <cell r="AO2351">
            <v>0</v>
          </cell>
          <cell r="AP2351">
            <v>0</v>
          </cell>
          <cell r="AQ2351">
            <v>0</v>
          </cell>
          <cell r="BA2351">
            <v>0</v>
          </cell>
          <cell r="BC2351">
            <v>0</v>
          </cell>
        </row>
        <row r="2352">
          <cell r="A2352">
            <v>0</v>
          </cell>
          <cell r="B2352">
            <v>0</v>
          </cell>
          <cell r="E2352">
            <v>0</v>
          </cell>
          <cell r="F2352">
            <v>0</v>
          </cell>
          <cell r="AO2352">
            <v>0</v>
          </cell>
          <cell r="AP2352">
            <v>0</v>
          </cell>
          <cell r="AQ2352">
            <v>0</v>
          </cell>
          <cell r="BA2352">
            <v>0</v>
          </cell>
          <cell r="BC2352">
            <v>0</v>
          </cell>
        </row>
        <row r="2353">
          <cell r="A2353">
            <v>0</v>
          </cell>
          <cell r="B2353">
            <v>0</v>
          </cell>
          <cell r="E2353">
            <v>0</v>
          </cell>
          <cell r="F2353">
            <v>0</v>
          </cell>
          <cell r="AO2353">
            <v>0</v>
          </cell>
          <cell r="AP2353">
            <v>0</v>
          </cell>
          <cell r="AQ2353">
            <v>0</v>
          </cell>
          <cell r="BA2353">
            <v>0</v>
          </cell>
          <cell r="BC2353">
            <v>0</v>
          </cell>
        </row>
        <row r="2354">
          <cell r="A2354">
            <v>0</v>
          </cell>
          <cell r="B2354">
            <v>0</v>
          </cell>
          <cell r="E2354">
            <v>0</v>
          </cell>
          <cell r="F2354">
            <v>0</v>
          </cell>
          <cell r="AO2354">
            <v>0</v>
          </cell>
          <cell r="AP2354">
            <v>0</v>
          </cell>
          <cell r="AQ2354">
            <v>0</v>
          </cell>
          <cell r="BA2354">
            <v>0</v>
          </cell>
          <cell r="BC2354">
            <v>0</v>
          </cell>
        </row>
        <row r="2355">
          <cell r="A2355">
            <v>0</v>
          </cell>
          <cell r="B2355">
            <v>0</v>
          </cell>
          <cell r="E2355">
            <v>0</v>
          </cell>
          <cell r="F2355">
            <v>0</v>
          </cell>
          <cell r="AO2355">
            <v>0</v>
          </cell>
          <cell r="AP2355">
            <v>0</v>
          </cell>
          <cell r="AQ2355">
            <v>0</v>
          </cell>
          <cell r="BA2355">
            <v>0</v>
          </cell>
          <cell r="BC2355">
            <v>0</v>
          </cell>
        </row>
        <row r="2356">
          <cell r="A2356">
            <v>0</v>
          </cell>
          <cell r="B2356">
            <v>0</v>
          </cell>
          <cell r="E2356">
            <v>0</v>
          </cell>
          <cell r="F2356">
            <v>0</v>
          </cell>
          <cell r="AO2356">
            <v>0</v>
          </cell>
          <cell r="AP2356">
            <v>0</v>
          </cell>
          <cell r="AQ2356">
            <v>0</v>
          </cell>
          <cell r="BA2356">
            <v>0</v>
          </cell>
          <cell r="BC2356">
            <v>0</v>
          </cell>
        </row>
        <row r="2357">
          <cell r="A2357">
            <v>0</v>
          </cell>
          <cell r="B2357">
            <v>0</v>
          </cell>
          <cell r="E2357">
            <v>0</v>
          </cell>
          <cell r="F2357">
            <v>0</v>
          </cell>
          <cell r="AO2357">
            <v>0</v>
          </cell>
          <cell r="AP2357">
            <v>0</v>
          </cell>
          <cell r="AQ2357">
            <v>0</v>
          </cell>
          <cell r="BA2357">
            <v>0</v>
          </cell>
          <cell r="BC2357">
            <v>0</v>
          </cell>
        </row>
        <row r="2358">
          <cell r="A2358">
            <v>0</v>
          </cell>
          <cell r="B2358">
            <v>0</v>
          </cell>
          <cell r="E2358">
            <v>0</v>
          </cell>
          <cell r="F2358">
            <v>0</v>
          </cell>
          <cell r="AO2358">
            <v>0</v>
          </cell>
          <cell r="AP2358">
            <v>0</v>
          </cell>
          <cell r="AQ2358">
            <v>0</v>
          </cell>
          <cell r="BA2358">
            <v>0</v>
          </cell>
          <cell r="BC2358">
            <v>0</v>
          </cell>
        </row>
        <row r="2359">
          <cell r="A2359">
            <v>0</v>
          </cell>
          <cell r="B2359">
            <v>0</v>
          </cell>
          <cell r="E2359">
            <v>0</v>
          </cell>
          <cell r="F2359">
            <v>0</v>
          </cell>
          <cell r="AO2359">
            <v>0</v>
          </cell>
          <cell r="AP2359">
            <v>0</v>
          </cell>
          <cell r="AQ2359">
            <v>0</v>
          </cell>
          <cell r="BA2359">
            <v>0</v>
          </cell>
          <cell r="BC2359">
            <v>0</v>
          </cell>
        </row>
        <row r="2360">
          <cell r="A2360">
            <v>0</v>
          </cell>
          <cell r="B2360">
            <v>0</v>
          </cell>
          <cell r="E2360">
            <v>0</v>
          </cell>
          <cell r="F2360">
            <v>0</v>
          </cell>
          <cell r="AO2360">
            <v>0</v>
          </cell>
          <cell r="AP2360">
            <v>0</v>
          </cell>
          <cell r="AQ2360">
            <v>0</v>
          </cell>
          <cell r="BA2360">
            <v>0</v>
          </cell>
          <cell r="BC2360">
            <v>0</v>
          </cell>
        </row>
        <row r="2361">
          <cell r="A2361">
            <v>0</v>
          </cell>
          <cell r="B2361">
            <v>0</v>
          </cell>
          <cell r="E2361">
            <v>0</v>
          </cell>
          <cell r="F2361">
            <v>0</v>
          </cell>
          <cell r="AO2361">
            <v>0</v>
          </cell>
          <cell r="AP2361">
            <v>0</v>
          </cell>
          <cell r="AQ2361">
            <v>0</v>
          </cell>
          <cell r="BA2361">
            <v>0</v>
          </cell>
          <cell r="BC2361">
            <v>0</v>
          </cell>
        </row>
        <row r="2362">
          <cell r="A2362">
            <v>0</v>
          </cell>
          <cell r="B2362">
            <v>0</v>
          </cell>
          <cell r="E2362">
            <v>0</v>
          </cell>
          <cell r="F2362">
            <v>0</v>
          </cell>
          <cell r="AO2362">
            <v>0</v>
          </cell>
          <cell r="AP2362">
            <v>0</v>
          </cell>
          <cell r="AQ2362">
            <v>0</v>
          </cell>
          <cell r="BA2362">
            <v>0</v>
          </cell>
          <cell r="BC2362">
            <v>0</v>
          </cell>
        </row>
        <row r="2363">
          <cell r="A2363">
            <v>0</v>
          </cell>
          <cell r="B2363">
            <v>0</v>
          </cell>
          <cell r="E2363">
            <v>0</v>
          </cell>
          <cell r="F2363">
            <v>0</v>
          </cell>
          <cell r="AO2363">
            <v>0</v>
          </cell>
          <cell r="AP2363">
            <v>0</v>
          </cell>
          <cell r="AQ2363">
            <v>0</v>
          </cell>
          <cell r="BA2363">
            <v>0</v>
          </cell>
          <cell r="BC2363">
            <v>0</v>
          </cell>
        </row>
        <row r="2364">
          <cell r="A2364">
            <v>0</v>
          </cell>
          <cell r="B2364">
            <v>0</v>
          </cell>
          <cell r="E2364">
            <v>0</v>
          </cell>
          <cell r="F2364">
            <v>0</v>
          </cell>
          <cell r="AO2364">
            <v>0</v>
          </cell>
          <cell r="AP2364">
            <v>0</v>
          </cell>
          <cell r="AQ2364">
            <v>0</v>
          </cell>
          <cell r="BA2364">
            <v>0</v>
          </cell>
          <cell r="BC2364">
            <v>0</v>
          </cell>
        </row>
        <row r="2365">
          <cell r="A2365">
            <v>0</v>
          </cell>
          <cell r="B2365">
            <v>0</v>
          </cell>
          <cell r="E2365">
            <v>0</v>
          </cell>
          <cell r="F2365">
            <v>0</v>
          </cell>
          <cell r="AO2365">
            <v>0</v>
          </cell>
          <cell r="AP2365">
            <v>0</v>
          </cell>
          <cell r="AQ2365">
            <v>0</v>
          </cell>
          <cell r="BA2365">
            <v>0</v>
          </cell>
          <cell r="BC2365">
            <v>0</v>
          </cell>
        </row>
        <row r="2366">
          <cell r="A2366">
            <v>0</v>
          </cell>
          <cell r="B2366">
            <v>0</v>
          </cell>
          <cell r="E2366">
            <v>0</v>
          </cell>
          <cell r="F2366">
            <v>0</v>
          </cell>
          <cell r="AO2366">
            <v>0</v>
          </cell>
          <cell r="AP2366">
            <v>0</v>
          </cell>
          <cell r="AQ2366">
            <v>0</v>
          </cell>
          <cell r="BA2366">
            <v>0</v>
          </cell>
          <cell r="BC2366">
            <v>0</v>
          </cell>
        </row>
        <row r="2367">
          <cell r="A2367">
            <v>0</v>
          </cell>
          <cell r="B2367">
            <v>0</v>
          </cell>
          <cell r="E2367">
            <v>0</v>
          </cell>
          <cell r="F2367">
            <v>0</v>
          </cell>
          <cell r="AO2367">
            <v>0</v>
          </cell>
          <cell r="AP2367">
            <v>0</v>
          </cell>
          <cell r="AQ2367">
            <v>0</v>
          </cell>
          <cell r="BA2367">
            <v>0</v>
          </cell>
          <cell r="BC2367">
            <v>0</v>
          </cell>
        </row>
        <row r="2368">
          <cell r="A2368">
            <v>0</v>
          </cell>
          <cell r="B2368">
            <v>0</v>
          </cell>
          <cell r="E2368">
            <v>0</v>
          </cell>
          <cell r="F2368">
            <v>0</v>
          </cell>
          <cell r="AO2368">
            <v>0</v>
          </cell>
          <cell r="AP2368">
            <v>0</v>
          </cell>
          <cell r="AQ2368">
            <v>0</v>
          </cell>
          <cell r="BA2368">
            <v>0</v>
          </cell>
          <cell r="BC2368">
            <v>0</v>
          </cell>
        </row>
        <row r="2369">
          <cell r="A2369">
            <v>0</v>
          </cell>
          <cell r="B2369">
            <v>0</v>
          </cell>
          <cell r="E2369">
            <v>0</v>
          </cell>
          <cell r="F2369">
            <v>0</v>
          </cell>
          <cell r="AO2369">
            <v>0</v>
          </cell>
          <cell r="AP2369">
            <v>0</v>
          </cell>
          <cell r="AQ2369">
            <v>0</v>
          </cell>
          <cell r="BA2369">
            <v>0</v>
          </cell>
          <cell r="BC2369">
            <v>0</v>
          </cell>
        </row>
        <row r="2370">
          <cell r="A2370">
            <v>0</v>
          </cell>
          <cell r="B2370">
            <v>0</v>
          </cell>
          <cell r="E2370">
            <v>0</v>
          </cell>
          <cell r="F2370">
            <v>0</v>
          </cell>
          <cell r="AO2370">
            <v>0</v>
          </cell>
          <cell r="AP2370">
            <v>0</v>
          </cell>
          <cell r="AQ2370">
            <v>0</v>
          </cell>
          <cell r="BA2370">
            <v>0</v>
          </cell>
          <cell r="BC2370">
            <v>0</v>
          </cell>
        </row>
        <row r="2371">
          <cell r="A2371">
            <v>0</v>
          </cell>
          <cell r="B2371">
            <v>0</v>
          </cell>
          <cell r="E2371">
            <v>0</v>
          </cell>
          <cell r="F2371">
            <v>0</v>
          </cell>
          <cell r="AO2371">
            <v>0</v>
          </cell>
          <cell r="AP2371">
            <v>0</v>
          </cell>
          <cell r="AQ2371">
            <v>0</v>
          </cell>
          <cell r="BA2371">
            <v>0</v>
          </cell>
          <cell r="BC2371">
            <v>0</v>
          </cell>
        </row>
        <row r="2372">
          <cell r="A2372">
            <v>0</v>
          </cell>
          <cell r="B2372">
            <v>0</v>
          </cell>
          <cell r="E2372">
            <v>0</v>
          </cell>
          <cell r="F2372">
            <v>0</v>
          </cell>
          <cell r="AO2372">
            <v>0</v>
          </cell>
          <cell r="AP2372">
            <v>0</v>
          </cell>
          <cell r="AQ2372">
            <v>0</v>
          </cell>
          <cell r="BA2372">
            <v>0</v>
          </cell>
          <cell r="BC2372">
            <v>0</v>
          </cell>
        </row>
        <row r="2373">
          <cell r="A2373">
            <v>0</v>
          </cell>
          <cell r="B2373">
            <v>0</v>
          </cell>
          <cell r="E2373">
            <v>0</v>
          </cell>
          <cell r="F2373">
            <v>0</v>
          </cell>
          <cell r="AO2373">
            <v>0</v>
          </cell>
          <cell r="AP2373">
            <v>0</v>
          </cell>
          <cell r="AQ2373">
            <v>0</v>
          </cell>
          <cell r="BA2373">
            <v>0</v>
          </cell>
          <cell r="BC2373">
            <v>0</v>
          </cell>
        </row>
        <row r="2374">
          <cell r="A2374">
            <v>0</v>
          </cell>
          <cell r="B2374">
            <v>0</v>
          </cell>
          <cell r="E2374">
            <v>0</v>
          </cell>
          <cell r="F2374">
            <v>0</v>
          </cell>
          <cell r="AO2374">
            <v>0</v>
          </cell>
          <cell r="AP2374">
            <v>0</v>
          </cell>
          <cell r="AQ2374">
            <v>0</v>
          </cell>
          <cell r="BA2374">
            <v>0</v>
          </cell>
          <cell r="BC2374">
            <v>0</v>
          </cell>
        </row>
        <row r="2375">
          <cell r="A2375">
            <v>0</v>
          </cell>
          <cell r="B2375">
            <v>0</v>
          </cell>
          <cell r="E2375">
            <v>0</v>
          </cell>
          <cell r="F2375">
            <v>0</v>
          </cell>
          <cell r="AO2375">
            <v>0</v>
          </cell>
          <cell r="AP2375">
            <v>0</v>
          </cell>
          <cell r="AQ2375">
            <v>0</v>
          </cell>
          <cell r="BA2375">
            <v>0</v>
          </cell>
          <cell r="BC2375">
            <v>0</v>
          </cell>
        </row>
        <row r="2376">
          <cell r="A2376">
            <v>0</v>
          </cell>
          <cell r="B2376">
            <v>0</v>
          </cell>
          <cell r="E2376">
            <v>0</v>
          </cell>
          <cell r="F2376">
            <v>0</v>
          </cell>
          <cell r="AO2376">
            <v>0</v>
          </cell>
          <cell r="AP2376">
            <v>0</v>
          </cell>
          <cell r="AQ2376">
            <v>0</v>
          </cell>
          <cell r="BA2376">
            <v>0</v>
          </cell>
          <cell r="BC2376">
            <v>0</v>
          </cell>
        </row>
        <row r="2377">
          <cell r="A2377">
            <v>0</v>
          </cell>
          <cell r="B2377">
            <v>0</v>
          </cell>
          <cell r="E2377">
            <v>0</v>
          </cell>
          <cell r="F2377">
            <v>0</v>
          </cell>
          <cell r="AO2377">
            <v>0</v>
          </cell>
          <cell r="AP2377">
            <v>0</v>
          </cell>
          <cell r="AQ2377">
            <v>0</v>
          </cell>
          <cell r="BA2377">
            <v>0</v>
          </cell>
          <cell r="BC2377">
            <v>0</v>
          </cell>
        </row>
        <row r="2378">
          <cell r="A2378">
            <v>0</v>
          </cell>
          <cell r="B2378">
            <v>0</v>
          </cell>
          <cell r="E2378">
            <v>0</v>
          </cell>
          <cell r="F2378">
            <v>0</v>
          </cell>
          <cell r="AO2378">
            <v>0</v>
          </cell>
          <cell r="AP2378">
            <v>0</v>
          </cell>
          <cell r="AQ2378">
            <v>0</v>
          </cell>
          <cell r="BA2378">
            <v>0</v>
          </cell>
          <cell r="BC2378">
            <v>0</v>
          </cell>
        </row>
        <row r="2379">
          <cell r="A2379">
            <v>0</v>
          </cell>
          <cell r="B2379">
            <v>0</v>
          </cell>
          <cell r="E2379">
            <v>0</v>
          </cell>
          <cell r="F2379">
            <v>0</v>
          </cell>
          <cell r="AO2379">
            <v>0</v>
          </cell>
          <cell r="AP2379">
            <v>0</v>
          </cell>
          <cell r="AQ2379">
            <v>0</v>
          </cell>
          <cell r="BA2379">
            <v>0</v>
          </cell>
          <cell r="BC2379">
            <v>0</v>
          </cell>
        </row>
        <row r="2380">
          <cell r="A2380">
            <v>0</v>
          </cell>
          <cell r="B2380">
            <v>0</v>
          </cell>
          <cell r="E2380">
            <v>0</v>
          </cell>
          <cell r="F2380">
            <v>0</v>
          </cell>
          <cell r="AO2380">
            <v>0</v>
          </cell>
          <cell r="AP2380">
            <v>0</v>
          </cell>
          <cell r="AQ2380">
            <v>0</v>
          </cell>
          <cell r="BA2380">
            <v>0</v>
          </cell>
          <cell r="BC2380">
            <v>0</v>
          </cell>
        </row>
        <row r="2381">
          <cell r="A2381">
            <v>0</v>
          </cell>
          <cell r="B2381">
            <v>0</v>
          </cell>
          <cell r="E2381">
            <v>0</v>
          </cell>
          <cell r="F2381">
            <v>0</v>
          </cell>
          <cell r="AO2381">
            <v>0</v>
          </cell>
          <cell r="AP2381">
            <v>0</v>
          </cell>
          <cell r="AQ2381">
            <v>0</v>
          </cell>
          <cell r="BA2381">
            <v>0</v>
          </cell>
          <cell r="BC2381">
            <v>0</v>
          </cell>
        </row>
        <row r="2382">
          <cell r="A2382">
            <v>0</v>
          </cell>
          <cell r="B2382">
            <v>0</v>
          </cell>
          <cell r="E2382">
            <v>0</v>
          </cell>
          <cell r="F2382">
            <v>0</v>
          </cell>
          <cell r="AO2382">
            <v>0</v>
          </cell>
          <cell r="AP2382">
            <v>0</v>
          </cell>
          <cell r="AQ2382">
            <v>0</v>
          </cell>
          <cell r="BA2382">
            <v>0</v>
          </cell>
          <cell r="BC2382">
            <v>0</v>
          </cell>
        </row>
        <row r="2383">
          <cell r="A2383">
            <v>0</v>
          </cell>
          <cell r="B2383">
            <v>0</v>
          </cell>
          <cell r="E2383">
            <v>0</v>
          </cell>
          <cell r="F2383">
            <v>0</v>
          </cell>
          <cell r="AO2383">
            <v>0</v>
          </cell>
          <cell r="AP2383">
            <v>0</v>
          </cell>
          <cell r="AQ2383">
            <v>0</v>
          </cell>
          <cell r="BA2383">
            <v>0</v>
          </cell>
          <cell r="BC2383">
            <v>0</v>
          </cell>
        </row>
        <row r="2384">
          <cell r="A2384">
            <v>0</v>
          </cell>
          <cell r="B2384">
            <v>0</v>
          </cell>
          <cell r="E2384">
            <v>0</v>
          </cell>
          <cell r="F2384">
            <v>0</v>
          </cell>
          <cell r="AO2384">
            <v>0</v>
          </cell>
          <cell r="AP2384">
            <v>0</v>
          </cell>
          <cell r="AQ2384">
            <v>0</v>
          </cell>
          <cell r="BA2384">
            <v>0</v>
          </cell>
          <cell r="BC2384">
            <v>0</v>
          </cell>
        </row>
        <row r="2385">
          <cell r="A2385">
            <v>0</v>
          </cell>
          <cell r="B2385">
            <v>0</v>
          </cell>
          <cell r="E2385">
            <v>0</v>
          </cell>
          <cell r="F2385">
            <v>0</v>
          </cell>
          <cell r="AO2385">
            <v>0</v>
          </cell>
          <cell r="AP2385">
            <v>0</v>
          </cell>
          <cell r="AQ2385">
            <v>0</v>
          </cell>
          <cell r="BA2385">
            <v>0</v>
          </cell>
          <cell r="BC2385">
            <v>0</v>
          </cell>
        </row>
        <row r="2386">
          <cell r="A2386">
            <v>0</v>
          </cell>
          <cell r="B2386">
            <v>0</v>
          </cell>
          <cell r="E2386">
            <v>0</v>
          </cell>
          <cell r="F2386">
            <v>0</v>
          </cell>
          <cell r="AO2386">
            <v>0</v>
          </cell>
          <cell r="AP2386">
            <v>0</v>
          </cell>
          <cell r="AQ2386">
            <v>0</v>
          </cell>
          <cell r="BA2386">
            <v>0</v>
          </cell>
          <cell r="BC2386">
            <v>0</v>
          </cell>
        </row>
        <row r="2387">
          <cell r="A2387">
            <v>0</v>
          </cell>
          <cell r="B2387">
            <v>0</v>
          </cell>
          <cell r="E2387">
            <v>0</v>
          </cell>
          <cell r="F2387">
            <v>0</v>
          </cell>
          <cell r="AO2387">
            <v>0</v>
          </cell>
          <cell r="AP2387">
            <v>0</v>
          </cell>
          <cell r="AQ2387">
            <v>0</v>
          </cell>
          <cell r="BA2387">
            <v>0</v>
          </cell>
          <cell r="BC2387">
            <v>0</v>
          </cell>
        </row>
        <row r="2388">
          <cell r="A2388">
            <v>0</v>
          </cell>
          <cell r="B2388">
            <v>0</v>
          </cell>
          <cell r="E2388">
            <v>0</v>
          </cell>
          <cell r="F2388">
            <v>0</v>
          </cell>
          <cell r="AO2388">
            <v>0</v>
          </cell>
          <cell r="AP2388">
            <v>0</v>
          </cell>
          <cell r="AQ2388">
            <v>0</v>
          </cell>
          <cell r="BA2388">
            <v>0</v>
          </cell>
          <cell r="BC2388">
            <v>0</v>
          </cell>
        </row>
        <row r="2389">
          <cell r="A2389">
            <v>0</v>
          </cell>
          <cell r="B2389">
            <v>0</v>
          </cell>
          <cell r="E2389">
            <v>0</v>
          </cell>
          <cell r="F2389">
            <v>0</v>
          </cell>
          <cell r="AO2389">
            <v>0</v>
          </cell>
          <cell r="AP2389">
            <v>0</v>
          </cell>
          <cell r="AQ2389">
            <v>0</v>
          </cell>
          <cell r="BA2389">
            <v>0</v>
          </cell>
          <cell r="BC2389">
            <v>0</v>
          </cell>
        </row>
        <row r="2390">
          <cell r="A2390">
            <v>0</v>
          </cell>
          <cell r="B2390">
            <v>0</v>
          </cell>
          <cell r="E2390">
            <v>0</v>
          </cell>
          <cell r="F2390">
            <v>0</v>
          </cell>
          <cell r="AO2390">
            <v>0</v>
          </cell>
          <cell r="AP2390">
            <v>0</v>
          </cell>
          <cell r="AQ2390">
            <v>0</v>
          </cell>
          <cell r="BA2390">
            <v>0</v>
          </cell>
          <cell r="BC2390">
            <v>0</v>
          </cell>
        </row>
        <row r="2391">
          <cell r="A2391">
            <v>0</v>
          </cell>
          <cell r="B2391">
            <v>0</v>
          </cell>
          <cell r="E2391">
            <v>0</v>
          </cell>
          <cell r="F2391">
            <v>0</v>
          </cell>
          <cell r="AO2391">
            <v>0</v>
          </cell>
          <cell r="AP2391">
            <v>0</v>
          </cell>
          <cell r="AQ2391">
            <v>0</v>
          </cell>
          <cell r="BA2391">
            <v>0</v>
          </cell>
          <cell r="BC2391">
            <v>0</v>
          </cell>
        </row>
        <row r="2392">
          <cell r="A2392">
            <v>0</v>
          </cell>
          <cell r="B2392">
            <v>0</v>
          </cell>
          <cell r="E2392">
            <v>0</v>
          </cell>
          <cell r="F2392">
            <v>0</v>
          </cell>
          <cell r="AO2392">
            <v>0</v>
          </cell>
          <cell r="AP2392">
            <v>0</v>
          </cell>
          <cell r="AQ2392">
            <v>0</v>
          </cell>
          <cell r="BA2392">
            <v>0</v>
          </cell>
          <cell r="BC2392">
            <v>0</v>
          </cell>
        </row>
        <row r="2393">
          <cell r="A2393">
            <v>0</v>
          </cell>
          <cell r="B2393">
            <v>0</v>
          </cell>
          <cell r="E2393">
            <v>0</v>
          </cell>
          <cell r="F2393">
            <v>0</v>
          </cell>
          <cell r="AO2393">
            <v>0</v>
          </cell>
          <cell r="AP2393">
            <v>0</v>
          </cell>
          <cell r="AQ2393">
            <v>0</v>
          </cell>
          <cell r="BA2393">
            <v>0</v>
          </cell>
          <cell r="BC2393">
            <v>0</v>
          </cell>
        </row>
        <row r="2394">
          <cell r="A2394">
            <v>0</v>
          </cell>
          <cell r="B2394">
            <v>0</v>
          </cell>
          <cell r="E2394">
            <v>0</v>
          </cell>
          <cell r="F2394">
            <v>0</v>
          </cell>
          <cell r="AO2394">
            <v>0</v>
          </cell>
          <cell r="AP2394">
            <v>0</v>
          </cell>
          <cell r="AQ2394">
            <v>0</v>
          </cell>
          <cell r="BA2394">
            <v>0</v>
          </cell>
          <cell r="BC2394">
            <v>0</v>
          </cell>
        </row>
        <row r="2395">
          <cell r="A2395">
            <v>0</v>
          </cell>
          <cell r="B2395">
            <v>0</v>
          </cell>
          <cell r="E2395">
            <v>0</v>
          </cell>
          <cell r="F2395">
            <v>0</v>
          </cell>
          <cell r="AO2395">
            <v>0</v>
          </cell>
          <cell r="AP2395">
            <v>0</v>
          </cell>
          <cell r="AQ2395">
            <v>0</v>
          </cell>
          <cell r="BA2395">
            <v>0</v>
          </cell>
          <cell r="BC2395">
            <v>0</v>
          </cell>
        </row>
        <row r="2396">
          <cell r="A2396">
            <v>0</v>
          </cell>
          <cell r="B2396">
            <v>0</v>
          </cell>
          <cell r="E2396">
            <v>0</v>
          </cell>
          <cell r="F2396">
            <v>0</v>
          </cell>
          <cell r="AO2396">
            <v>0</v>
          </cell>
          <cell r="AP2396">
            <v>0</v>
          </cell>
          <cell r="AQ2396">
            <v>0</v>
          </cell>
          <cell r="BA2396">
            <v>0</v>
          </cell>
          <cell r="BC2396">
            <v>0</v>
          </cell>
        </row>
        <row r="2397">
          <cell r="A2397">
            <v>0</v>
          </cell>
          <cell r="B2397">
            <v>0</v>
          </cell>
          <cell r="E2397">
            <v>0</v>
          </cell>
          <cell r="F2397">
            <v>0</v>
          </cell>
          <cell r="AO2397">
            <v>0</v>
          </cell>
          <cell r="AP2397">
            <v>0</v>
          </cell>
          <cell r="AQ2397">
            <v>0</v>
          </cell>
          <cell r="BA2397">
            <v>0</v>
          </cell>
          <cell r="BC2397">
            <v>0</v>
          </cell>
        </row>
        <row r="2398">
          <cell r="A2398">
            <v>0</v>
          </cell>
          <cell r="B2398">
            <v>0</v>
          </cell>
          <cell r="E2398">
            <v>0</v>
          </cell>
          <cell r="F2398">
            <v>0</v>
          </cell>
          <cell r="AO2398">
            <v>0</v>
          </cell>
          <cell r="AP2398">
            <v>0</v>
          </cell>
          <cell r="AQ2398">
            <v>0</v>
          </cell>
          <cell r="BA2398">
            <v>0</v>
          </cell>
          <cell r="BC2398">
            <v>0</v>
          </cell>
        </row>
        <row r="2399">
          <cell r="A2399">
            <v>0</v>
          </cell>
          <cell r="B2399">
            <v>0</v>
          </cell>
          <cell r="E2399">
            <v>0</v>
          </cell>
          <cell r="F2399">
            <v>0</v>
          </cell>
          <cell r="AO2399">
            <v>0</v>
          </cell>
          <cell r="AP2399">
            <v>0</v>
          </cell>
          <cell r="AQ2399">
            <v>0</v>
          </cell>
          <cell r="BA2399">
            <v>0</v>
          </cell>
          <cell r="BC2399">
            <v>0</v>
          </cell>
        </row>
        <row r="2400">
          <cell r="A2400">
            <v>0</v>
          </cell>
          <cell r="B2400">
            <v>0</v>
          </cell>
          <cell r="E2400">
            <v>0</v>
          </cell>
          <cell r="F2400">
            <v>0</v>
          </cell>
          <cell r="AO2400">
            <v>0</v>
          </cell>
          <cell r="AP2400">
            <v>0</v>
          </cell>
          <cell r="AQ2400">
            <v>0</v>
          </cell>
          <cell r="BA2400">
            <v>0</v>
          </cell>
          <cell r="BC2400">
            <v>0</v>
          </cell>
        </row>
        <row r="2401">
          <cell r="A2401">
            <v>0</v>
          </cell>
          <cell r="B2401">
            <v>0</v>
          </cell>
          <cell r="E2401">
            <v>0</v>
          </cell>
          <cell r="F2401">
            <v>0</v>
          </cell>
          <cell r="AO2401">
            <v>0</v>
          </cell>
          <cell r="AP2401">
            <v>0</v>
          </cell>
          <cell r="AQ2401">
            <v>0</v>
          </cell>
          <cell r="BA2401">
            <v>0</v>
          </cell>
          <cell r="BC2401">
            <v>0</v>
          </cell>
        </row>
        <row r="2402">
          <cell r="A2402">
            <v>0</v>
          </cell>
          <cell r="B2402">
            <v>0</v>
          </cell>
          <cell r="E2402">
            <v>0</v>
          </cell>
          <cell r="F2402">
            <v>0</v>
          </cell>
          <cell r="AO2402">
            <v>0</v>
          </cell>
          <cell r="AP2402">
            <v>0</v>
          </cell>
          <cell r="AQ2402">
            <v>0</v>
          </cell>
          <cell r="BA2402">
            <v>0</v>
          </cell>
          <cell r="BC2402">
            <v>0</v>
          </cell>
        </row>
        <row r="2403">
          <cell r="A2403">
            <v>0</v>
          </cell>
          <cell r="B2403">
            <v>0</v>
          </cell>
          <cell r="E2403">
            <v>0</v>
          </cell>
          <cell r="F2403">
            <v>0</v>
          </cell>
          <cell r="AO2403">
            <v>0</v>
          </cell>
          <cell r="AP2403">
            <v>0</v>
          </cell>
          <cell r="AQ2403">
            <v>0</v>
          </cell>
          <cell r="BA2403">
            <v>0</v>
          </cell>
          <cell r="BC2403">
            <v>0</v>
          </cell>
        </row>
        <row r="2404">
          <cell r="A2404">
            <v>0</v>
          </cell>
          <cell r="B2404">
            <v>0</v>
          </cell>
          <cell r="E2404">
            <v>0</v>
          </cell>
          <cell r="F2404">
            <v>0</v>
          </cell>
          <cell r="AO2404">
            <v>0</v>
          </cell>
          <cell r="AP2404">
            <v>0</v>
          </cell>
          <cell r="AQ2404">
            <v>0</v>
          </cell>
          <cell r="BA2404">
            <v>0</v>
          </cell>
          <cell r="BC2404">
            <v>0</v>
          </cell>
        </row>
        <row r="2405">
          <cell r="A2405">
            <v>0</v>
          </cell>
          <cell r="B2405">
            <v>0</v>
          </cell>
          <cell r="E2405">
            <v>0</v>
          </cell>
          <cell r="F2405">
            <v>0</v>
          </cell>
          <cell r="AO2405">
            <v>0</v>
          </cell>
          <cell r="AP2405">
            <v>0</v>
          </cell>
          <cell r="AQ2405">
            <v>0</v>
          </cell>
          <cell r="BA2405">
            <v>0</v>
          </cell>
          <cell r="BC2405">
            <v>0</v>
          </cell>
        </row>
        <row r="2406">
          <cell r="A2406">
            <v>0</v>
          </cell>
          <cell r="B2406">
            <v>0</v>
          </cell>
          <cell r="E2406">
            <v>0</v>
          </cell>
          <cell r="F2406">
            <v>0</v>
          </cell>
          <cell r="AO2406">
            <v>0</v>
          </cell>
          <cell r="AP2406">
            <v>0</v>
          </cell>
          <cell r="AQ2406">
            <v>0</v>
          </cell>
          <cell r="BA2406">
            <v>0</v>
          </cell>
          <cell r="BC2406">
            <v>0</v>
          </cell>
        </row>
        <row r="2407">
          <cell r="A2407">
            <v>0</v>
          </cell>
          <cell r="B2407">
            <v>0</v>
          </cell>
          <cell r="E2407">
            <v>0</v>
          </cell>
          <cell r="F2407">
            <v>0</v>
          </cell>
          <cell r="AO2407">
            <v>0</v>
          </cell>
          <cell r="AP2407">
            <v>0</v>
          </cell>
          <cell r="AQ2407">
            <v>0</v>
          </cell>
          <cell r="BA2407">
            <v>0</v>
          </cell>
          <cell r="BC2407">
            <v>0</v>
          </cell>
        </row>
        <row r="2408">
          <cell r="A2408">
            <v>0</v>
          </cell>
          <cell r="B2408">
            <v>0</v>
          </cell>
          <cell r="E2408">
            <v>0</v>
          </cell>
          <cell r="F2408">
            <v>0</v>
          </cell>
          <cell r="AO2408">
            <v>0</v>
          </cell>
          <cell r="AP2408">
            <v>0</v>
          </cell>
          <cell r="AQ2408">
            <v>0</v>
          </cell>
          <cell r="BA2408">
            <v>0</v>
          </cell>
          <cell r="BC2408">
            <v>0</v>
          </cell>
        </row>
        <row r="2409">
          <cell r="A2409">
            <v>0</v>
          </cell>
          <cell r="B2409">
            <v>0</v>
          </cell>
          <cell r="E2409">
            <v>0</v>
          </cell>
          <cell r="F2409">
            <v>0</v>
          </cell>
          <cell r="AO2409">
            <v>0</v>
          </cell>
          <cell r="AP2409">
            <v>0</v>
          </cell>
          <cell r="AQ2409">
            <v>0</v>
          </cell>
          <cell r="BA2409">
            <v>0</v>
          </cell>
          <cell r="BC2409">
            <v>0</v>
          </cell>
        </row>
        <row r="2410">
          <cell r="A2410">
            <v>0</v>
          </cell>
          <cell r="B2410">
            <v>0</v>
          </cell>
          <cell r="E2410">
            <v>0</v>
          </cell>
          <cell r="F2410">
            <v>0</v>
          </cell>
          <cell r="AO2410">
            <v>0</v>
          </cell>
          <cell r="AP2410">
            <v>0</v>
          </cell>
          <cell r="AQ2410">
            <v>0</v>
          </cell>
          <cell r="BA2410">
            <v>0</v>
          </cell>
          <cell r="BC2410">
            <v>0</v>
          </cell>
        </row>
        <row r="2411">
          <cell r="A2411">
            <v>0</v>
          </cell>
          <cell r="B2411">
            <v>0</v>
          </cell>
          <cell r="E2411">
            <v>0</v>
          </cell>
          <cell r="F2411">
            <v>0</v>
          </cell>
          <cell r="AO2411">
            <v>0</v>
          </cell>
          <cell r="AP2411">
            <v>0</v>
          </cell>
          <cell r="AQ2411">
            <v>0</v>
          </cell>
          <cell r="BA2411">
            <v>0</v>
          </cell>
          <cell r="BC2411">
            <v>0</v>
          </cell>
        </row>
        <row r="2412">
          <cell r="A2412">
            <v>0</v>
          </cell>
          <cell r="B2412">
            <v>0</v>
          </cell>
          <cell r="E2412">
            <v>0</v>
          </cell>
          <cell r="F2412">
            <v>0</v>
          </cell>
          <cell r="AO2412">
            <v>0</v>
          </cell>
          <cell r="AP2412">
            <v>0</v>
          </cell>
          <cell r="AQ2412">
            <v>0</v>
          </cell>
          <cell r="BA2412">
            <v>0</v>
          </cell>
          <cell r="BC2412">
            <v>0</v>
          </cell>
        </row>
        <row r="2413">
          <cell r="A2413">
            <v>0</v>
          </cell>
          <cell r="B2413">
            <v>0</v>
          </cell>
          <cell r="E2413">
            <v>0</v>
          </cell>
          <cell r="F2413">
            <v>0</v>
          </cell>
          <cell r="AO2413">
            <v>0</v>
          </cell>
          <cell r="AP2413">
            <v>0</v>
          </cell>
          <cell r="AQ2413">
            <v>0</v>
          </cell>
          <cell r="BA2413">
            <v>0</v>
          </cell>
          <cell r="BC2413">
            <v>0</v>
          </cell>
        </row>
        <row r="2414">
          <cell r="A2414">
            <v>0</v>
          </cell>
          <cell r="B2414">
            <v>0</v>
          </cell>
          <cell r="E2414">
            <v>0</v>
          </cell>
          <cell r="F2414">
            <v>0</v>
          </cell>
          <cell r="AO2414">
            <v>0</v>
          </cell>
          <cell r="AP2414">
            <v>0</v>
          </cell>
          <cell r="AQ2414">
            <v>0</v>
          </cell>
          <cell r="BA2414">
            <v>0</v>
          </cell>
          <cell r="BC2414">
            <v>0</v>
          </cell>
        </row>
        <row r="2415">
          <cell r="A2415">
            <v>0</v>
          </cell>
          <cell r="B2415">
            <v>0</v>
          </cell>
          <cell r="E2415">
            <v>0</v>
          </cell>
          <cell r="F2415">
            <v>0</v>
          </cell>
          <cell r="AO2415">
            <v>0</v>
          </cell>
          <cell r="AP2415">
            <v>0</v>
          </cell>
          <cell r="AQ2415">
            <v>0</v>
          </cell>
          <cell r="BA2415">
            <v>0</v>
          </cell>
          <cell r="BC2415">
            <v>0</v>
          </cell>
        </row>
        <row r="2416">
          <cell r="A2416">
            <v>0</v>
          </cell>
          <cell r="B2416">
            <v>0</v>
          </cell>
          <cell r="E2416">
            <v>0</v>
          </cell>
          <cell r="F2416">
            <v>0</v>
          </cell>
          <cell r="AO2416">
            <v>0</v>
          </cell>
          <cell r="AP2416">
            <v>0</v>
          </cell>
          <cell r="AQ2416">
            <v>0</v>
          </cell>
          <cell r="BA2416">
            <v>0</v>
          </cell>
          <cell r="BC2416">
            <v>0</v>
          </cell>
        </row>
        <row r="2417">
          <cell r="A2417">
            <v>0</v>
          </cell>
          <cell r="B2417">
            <v>0</v>
          </cell>
          <cell r="E2417">
            <v>0</v>
          </cell>
          <cell r="F2417">
            <v>0</v>
          </cell>
          <cell r="AO2417">
            <v>0</v>
          </cell>
          <cell r="AP2417">
            <v>0</v>
          </cell>
          <cell r="AQ2417">
            <v>0</v>
          </cell>
          <cell r="BA2417">
            <v>0</v>
          </cell>
          <cell r="BC2417">
            <v>0</v>
          </cell>
        </row>
        <row r="2418">
          <cell r="A2418">
            <v>0</v>
          </cell>
          <cell r="B2418">
            <v>0</v>
          </cell>
          <cell r="E2418">
            <v>0</v>
          </cell>
          <cell r="F2418">
            <v>0</v>
          </cell>
          <cell r="AO2418">
            <v>0</v>
          </cell>
          <cell r="AP2418">
            <v>0</v>
          </cell>
          <cell r="AQ2418">
            <v>0</v>
          </cell>
          <cell r="BA2418">
            <v>0</v>
          </cell>
          <cell r="BC2418">
            <v>0</v>
          </cell>
        </row>
        <row r="2419">
          <cell r="A2419">
            <v>0</v>
          </cell>
          <cell r="B2419">
            <v>0</v>
          </cell>
          <cell r="E2419">
            <v>0</v>
          </cell>
          <cell r="F2419">
            <v>0</v>
          </cell>
          <cell r="AO2419">
            <v>0</v>
          </cell>
          <cell r="AP2419">
            <v>0</v>
          </cell>
          <cell r="AQ2419">
            <v>0</v>
          </cell>
          <cell r="BA2419">
            <v>0</v>
          </cell>
          <cell r="BC2419">
            <v>0</v>
          </cell>
        </row>
        <row r="2420">
          <cell r="A2420">
            <v>0</v>
          </cell>
          <cell r="B2420">
            <v>0</v>
          </cell>
          <cell r="E2420">
            <v>0</v>
          </cell>
          <cell r="F2420">
            <v>0</v>
          </cell>
          <cell r="AO2420">
            <v>0</v>
          </cell>
          <cell r="AP2420">
            <v>0</v>
          </cell>
          <cell r="AQ2420">
            <v>0</v>
          </cell>
          <cell r="BA2420">
            <v>0</v>
          </cell>
          <cell r="BC2420">
            <v>0</v>
          </cell>
        </row>
        <row r="2421">
          <cell r="A2421">
            <v>0</v>
          </cell>
          <cell r="B2421">
            <v>0</v>
          </cell>
          <cell r="E2421">
            <v>0</v>
          </cell>
          <cell r="F2421">
            <v>0</v>
          </cell>
          <cell r="AO2421">
            <v>0</v>
          </cell>
          <cell r="AP2421">
            <v>0</v>
          </cell>
          <cell r="AQ2421">
            <v>0</v>
          </cell>
          <cell r="BA2421">
            <v>0</v>
          </cell>
          <cell r="BC2421">
            <v>0</v>
          </cell>
        </row>
        <row r="2422">
          <cell r="A2422">
            <v>0</v>
          </cell>
          <cell r="B2422">
            <v>0</v>
          </cell>
          <cell r="E2422">
            <v>0</v>
          </cell>
          <cell r="F2422">
            <v>0</v>
          </cell>
          <cell r="AO2422">
            <v>0</v>
          </cell>
          <cell r="AP2422">
            <v>0</v>
          </cell>
          <cell r="AQ2422">
            <v>0</v>
          </cell>
          <cell r="BA2422">
            <v>0</v>
          </cell>
          <cell r="BC2422">
            <v>0</v>
          </cell>
        </row>
        <row r="2423">
          <cell r="A2423">
            <v>0</v>
          </cell>
          <cell r="B2423">
            <v>0</v>
          </cell>
          <cell r="E2423">
            <v>0</v>
          </cell>
          <cell r="F2423">
            <v>0</v>
          </cell>
          <cell r="AO2423">
            <v>0</v>
          </cell>
          <cell r="AP2423">
            <v>0</v>
          </cell>
          <cell r="AQ2423">
            <v>0</v>
          </cell>
          <cell r="BA2423">
            <v>0</v>
          </cell>
          <cell r="BC2423">
            <v>0</v>
          </cell>
        </row>
        <row r="2424">
          <cell r="A2424">
            <v>0</v>
          </cell>
          <cell r="B2424">
            <v>0</v>
          </cell>
          <cell r="E2424">
            <v>0</v>
          </cell>
          <cell r="F2424">
            <v>0</v>
          </cell>
          <cell r="AO2424">
            <v>0</v>
          </cell>
          <cell r="AP2424">
            <v>0</v>
          </cell>
          <cell r="AQ2424">
            <v>0</v>
          </cell>
          <cell r="BA2424">
            <v>0</v>
          </cell>
          <cell r="BC2424">
            <v>0</v>
          </cell>
        </row>
        <row r="2425">
          <cell r="A2425">
            <v>0</v>
          </cell>
          <cell r="B2425">
            <v>0</v>
          </cell>
          <cell r="E2425">
            <v>0</v>
          </cell>
          <cell r="F2425">
            <v>0</v>
          </cell>
          <cell r="AO2425">
            <v>0</v>
          </cell>
          <cell r="AP2425">
            <v>0</v>
          </cell>
          <cell r="AQ2425">
            <v>0</v>
          </cell>
          <cell r="BA2425">
            <v>0</v>
          </cell>
          <cell r="BC2425">
            <v>0</v>
          </cell>
        </row>
        <row r="2426">
          <cell r="A2426">
            <v>0</v>
          </cell>
          <cell r="B2426">
            <v>0</v>
          </cell>
          <cell r="E2426">
            <v>0</v>
          </cell>
          <cell r="F2426">
            <v>0</v>
          </cell>
          <cell r="AO2426">
            <v>0</v>
          </cell>
          <cell r="AP2426">
            <v>0</v>
          </cell>
          <cell r="AQ2426">
            <v>0</v>
          </cell>
          <cell r="BA2426">
            <v>0</v>
          </cell>
          <cell r="BC2426">
            <v>0</v>
          </cell>
        </row>
        <row r="2427">
          <cell r="A2427">
            <v>0</v>
          </cell>
          <cell r="B2427">
            <v>0</v>
          </cell>
          <cell r="E2427">
            <v>0</v>
          </cell>
          <cell r="F2427">
            <v>0</v>
          </cell>
          <cell r="AO2427">
            <v>0</v>
          </cell>
          <cell r="AP2427">
            <v>0</v>
          </cell>
          <cell r="AQ2427">
            <v>0</v>
          </cell>
          <cell r="BA2427">
            <v>0</v>
          </cell>
          <cell r="BC2427">
            <v>0</v>
          </cell>
        </row>
        <row r="2428">
          <cell r="A2428">
            <v>0</v>
          </cell>
          <cell r="B2428">
            <v>0</v>
          </cell>
          <cell r="E2428">
            <v>0</v>
          </cell>
          <cell r="F2428">
            <v>0</v>
          </cell>
          <cell r="AO2428">
            <v>0</v>
          </cell>
          <cell r="AP2428">
            <v>0</v>
          </cell>
          <cell r="AQ2428">
            <v>0</v>
          </cell>
          <cell r="BA2428">
            <v>0</v>
          </cell>
          <cell r="BC2428">
            <v>0</v>
          </cell>
        </row>
        <row r="2429">
          <cell r="A2429">
            <v>0</v>
          </cell>
          <cell r="B2429">
            <v>0</v>
          </cell>
          <cell r="E2429">
            <v>0</v>
          </cell>
          <cell r="F2429">
            <v>0</v>
          </cell>
          <cell r="AO2429">
            <v>0</v>
          </cell>
          <cell r="AP2429">
            <v>0</v>
          </cell>
          <cell r="AQ2429">
            <v>0</v>
          </cell>
          <cell r="BA2429">
            <v>0</v>
          </cell>
          <cell r="BC2429">
            <v>0</v>
          </cell>
        </row>
        <row r="2430">
          <cell r="A2430">
            <v>0</v>
          </cell>
          <cell r="B2430">
            <v>0</v>
          </cell>
          <cell r="E2430">
            <v>0</v>
          </cell>
          <cell r="F2430">
            <v>0</v>
          </cell>
          <cell r="AO2430">
            <v>0</v>
          </cell>
          <cell r="AP2430">
            <v>0</v>
          </cell>
          <cell r="AQ2430">
            <v>0</v>
          </cell>
          <cell r="BA2430">
            <v>0</v>
          </cell>
          <cell r="BC2430">
            <v>0</v>
          </cell>
        </row>
        <row r="2431">
          <cell r="A2431">
            <v>0</v>
          </cell>
          <cell r="B2431">
            <v>0</v>
          </cell>
          <cell r="E2431">
            <v>0</v>
          </cell>
          <cell r="F2431">
            <v>0</v>
          </cell>
          <cell r="AO2431">
            <v>0</v>
          </cell>
          <cell r="AP2431">
            <v>0</v>
          </cell>
          <cell r="AQ2431">
            <v>0</v>
          </cell>
          <cell r="BA2431">
            <v>0</v>
          </cell>
          <cell r="BC2431">
            <v>0</v>
          </cell>
        </row>
        <row r="2432">
          <cell r="A2432">
            <v>0</v>
          </cell>
          <cell r="B2432">
            <v>0</v>
          </cell>
          <cell r="E2432">
            <v>0</v>
          </cell>
          <cell r="F2432">
            <v>0</v>
          </cell>
          <cell r="AO2432">
            <v>0</v>
          </cell>
          <cell r="AP2432">
            <v>0</v>
          </cell>
          <cell r="AQ2432">
            <v>0</v>
          </cell>
          <cell r="BA2432">
            <v>0</v>
          </cell>
          <cell r="BC2432">
            <v>0</v>
          </cell>
        </row>
        <row r="2433">
          <cell r="A2433">
            <v>0</v>
          </cell>
          <cell r="B2433">
            <v>0</v>
          </cell>
          <cell r="E2433">
            <v>0</v>
          </cell>
          <cell r="F2433">
            <v>0</v>
          </cell>
          <cell r="AO2433">
            <v>0</v>
          </cell>
          <cell r="AP2433">
            <v>0</v>
          </cell>
          <cell r="AQ2433">
            <v>0</v>
          </cell>
          <cell r="BA2433">
            <v>0</v>
          </cell>
          <cell r="BC2433">
            <v>0</v>
          </cell>
        </row>
        <row r="2434">
          <cell r="A2434">
            <v>0</v>
          </cell>
          <cell r="B2434">
            <v>0</v>
          </cell>
          <cell r="E2434">
            <v>0</v>
          </cell>
          <cell r="F2434">
            <v>0</v>
          </cell>
          <cell r="AO2434">
            <v>0</v>
          </cell>
          <cell r="AP2434">
            <v>0</v>
          </cell>
          <cell r="AQ2434">
            <v>0</v>
          </cell>
          <cell r="BA2434">
            <v>0</v>
          </cell>
          <cell r="BC2434">
            <v>0</v>
          </cell>
        </row>
        <row r="2435">
          <cell r="A2435">
            <v>0</v>
          </cell>
          <cell r="B2435">
            <v>0</v>
          </cell>
          <cell r="E2435">
            <v>0</v>
          </cell>
          <cell r="F2435">
            <v>0</v>
          </cell>
          <cell r="AO2435">
            <v>0</v>
          </cell>
          <cell r="AP2435">
            <v>0</v>
          </cell>
          <cell r="AQ2435">
            <v>0</v>
          </cell>
          <cell r="BA2435">
            <v>0</v>
          </cell>
          <cell r="BC2435">
            <v>0</v>
          </cell>
        </row>
        <row r="2436">
          <cell r="A2436">
            <v>0</v>
          </cell>
          <cell r="B2436">
            <v>0</v>
          </cell>
          <cell r="E2436">
            <v>0</v>
          </cell>
          <cell r="F2436">
            <v>0</v>
          </cell>
          <cell r="AO2436">
            <v>0</v>
          </cell>
          <cell r="AP2436">
            <v>0</v>
          </cell>
          <cell r="AQ2436">
            <v>0</v>
          </cell>
          <cell r="BA2436">
            <v>0</v>
          </cell>
          <cell r="BC2436">
            <v>0</v>
          </cell>
        </row>
        <row r="2437">
          <cell r="A2437">
            <v>0</v>
          </cell>
          <cell r="B2437">
            <v>0</v>
          </cell>
          <cell r="E2437">
            <v>0</v>
          </cell>
          <cell r="F2437">
            <v>0</v>
          </cell>
          <cell r="AO2437">
            <v>0</v>
          </cell>
          <cell r="AP2437">
            <v>0</v>
          </cell>
          <cell r="AQ2437">
            <v>0</v>
          </cell>
          <cell r="BA2437">
            <v>0</v>
          </cell>
          <cell r="BC2437">
            <v>0</v>
          </cell>
        </row>
        <row r="2438">
          <cell r="A2438">
            <v>0</v>
          </cell>
          <cell r="B2438">
            <v>0</v>
          </cell>
          <cell r="E2438">
            <v>0</v>
          </cell>
          <cell r="F2438">
            <v>0</v>
          </cell>
          <cell r="AO2438">
            <v>0</v>
          </cell>
          <cell r="AP2438">
            <v>0</v>
          </cell>
          <cell r="AQ2438">
            <v>0</v>
          </cell>
          <cell r="BA2438">
            <v>0</v>
          </cell>
          <cell r="BC2438">
            <v>0</v>
          </cell>
        </row>
        <row r="2439">
          <cell r="A2439">
            <v>0</v>
          </cell>
          <cell r="B2439">
            <v>0</v>
          </cell>
          <cell r="E2439">
            <v>0</v>
          </cell>
          <cell r="F2439">
            <v>0</v>
          </cell>
          <cell r="AO2439">
            <v>0</v>
          </cell>
          <cell r="AP2439">
            <v>0</v>
          </cell>
          <cell r="AQ2439">
            <v>0</v>
          </cell>
          <cell r="BA2439">
            <v>0</v>
          </cell>
          <cell r="BC2439">
            <v>0</v>
          </cell>
        </row>
        <row r="2440">
          <cell r="A2440">
            <v>0</v>
          </cell>
          <cell r="B2440">
            <v>0</v>
          </cell>
          <cell r="E2440">
            <v>0</v>
          </cell>
          <cell r="F2440">
            <v>0</v>
          </cell>
          <cell r="AO2440">
            <v>0</v>
          </cell>
          <cell r="AP2440">
            <v>0</v>
          </cell>
          <cell r="AQ2440">
            <v>0</v>
          </cell>
          <cell r="BA2440">
            <v>0</v>
          </cell>
          <cell r="BC2440">
            <v>0</v>
          </cell>
        </row>
        <row r="2441">
          <cell r="A2441">
            <v>0</v>
          </cell>
          <cell r="B2441">
            <v>0</v>
          </cell>
          <cell r="E2441">
            <v>0</v>
          </cell>
          <cell r="F2441">
            <v>0</v>
          </cell>
          <cell r="AO2441">
            <v>0</v>
          </cell>
          <cell r="AP2441">
            <v>0</v>
          </cell>
          <cell r="AQ2441">
            <v>0</v>
          </cell>
          <cell r="BA2441">
            <v>0</v>
          </cell>
          <cell r="BC2441">
            <v>0</v>
          </cell>
        </row>
        <row r="2442">
          <cell r="A2442">
            <v>0</v>
          </cell>
          <cell r="B2442">
            <v>0</v>
          </cell>
          <cell r="E2442">
            <v>0</v>
          </cell>
          <cell r="F2442">
            <v>0</v>
          </cell>
          <cell r="AO2442">
            <v>0</v>
          </cell>
          <cell r="AP2442">
            <v>0</v>
          </cell>
          <cell r="AQ2442">
            <v>0</v>
          </cell>
          <cell r="BA2442">
            <v>0</v>
          </cell>
          <cell r="BC2442">
            <v>0</v>
          </cell>
        </row>
        <row r="2443">
          <cell r="A2443">
            <v>0</v>
          </cell>
          <cell r="B2443">
            <v>0</v>
          </cell>
          <cell r="E2443">
            <v>0</v>
          </cell>
          <cell r="F2443">
            <v>0</v>
          </cell>
          <cell r="AO2443">
            <v>0</v>
          </cell>
          <cell r="AP2443">
            <v>0</v>
          </cell>
          <cell r="AQ2443">
            <v>0</v>
          </cell>
          <cell r="BA2443">
            <v>0</v>
          </cell>
          <cell r="BC2443">
            <v>0</v>
          </cell>
        </row>
        <row r="2444">
          <cell r="A2444">
            <v>0</v>
          </cell>
          <cell r="B2444">
            <v>0</v>
          </cell>
          <cell r="E2444">
            <v>0</v>
          </cell>
          <cell r="F2444">
            <v>0</v>
          </cell>
          <cell r="AO2444">
            <v>0</v>
          </cell>
          <cell r="AP2444">
            <v>0</v>
          </cell>
          <cell r="AQ2444">
            <v>0</v>
          </cell>
          <cell r="BA2444">
            <v>0</v>
          </cell>
          <cell r="BC2444">
            <v>0</v>
          </cell>
        </row>
        <row r="2445">
          <cell r="A2445">
            <v>0</v>
          </cell>
          <cell r="B2445">
            <v>0</v>
          </cell>
          <cell r="E2445">
            <v>0</v>
          </cell>
          <cell r="F2445">
            <v>0</v>
          </cell>
          <cell r="AO2445">
            <v>0</v>
          </cell>
          <cell r="AP2445">
            <v>0</v>
          </cell>
          <cell r="AQ2445">
            <v>0</v>
          </cell>
          <cell r="BA2445">
            <v>0</v>
          </cell>
          <cell r="BC2445">
            <v>0</v>
          </cell>
        </row>
        <row r="2446">
          <cell r="A2446">
            <v>0</v>
          </cell>
          <cell r="B2446">
            <v>0</v>
          </cell>
          <cell r="E2446">
            <v>0</v>
          </cell>
          <cell r="F2446">
            <v>0</v>
          </cell>
          <cell r="AO2446">
            <v>0</v>
          </cell>
          <cell r="AP2446">
            <v>0</v>
          </cell>
          <cell r="AQ2446">
            <v>0</v>
          </cell>
          <cell r="BA2446">
            <v>0</v>
          </cell>
          <cell r="BC2446">
            <v>0</v>
          </cell>
        </row>
        <row r="2447">
          <cell r="A2447">
            <v>0</v>
          </cell>
          <cell r="B2447">
            <v>0</v>
          </cell>
          <cell r="E2447">
            <v>0</v>
          </cell>
          <cell r="F2447">
            <v>0</v>
          </cell>
          <cell r="AO2447">
            <v>0</v>
          </cell>
          <cell r="AP2447">
            <v>0</v>
          </cell>
          <cell r="AQ2447">
            <v>0</v>
          </cell>
          <cell r="BA2447">
            <v>0</v>
          </cell>
          <cell r="BC2447">
            <v>0</v>
          </cell>
        </row>
        <row r="2448">
          <cell r="A2448">
            <v>0</v>
          </cell>
          <cell r="B2448">
            <v>0</v>
          </cell>
          <cell r="E2448">
            <v>0</v>
          </cell>
          <cell r="F2448">
            <v>0</v>
          </cell>
          <cell r="AO2448">
            <v>0</v>
          </cell>
          <cell r="AP2448">
            <v>0</v>
          </cell>
          <cell r="AQ2448">
            <v>0</v>
          </cell>
          <cell r="BA2448">
            <v>0</v>
          </cell>
          <cell r="BC2448">
            <v>0</v>
          </cell>
        </row>
        <row r="2449">
          <cell r="A2449">
            <v>0</v>
          </cell>
          <cell r="B2449">
            <v>0</v>
          </cell>
          <cell r="E2449">
            <v>0</v>
          </cell>
          <cell r="F2449">
            <v>0</v>
          </cell>
          <cell r="AO2449">
            <v>0</v>
          </cell>
          <cell r="AP2449">
            <v>0</v>
          </cell>
          <cell r="AQ2449">
            <v>0</v>
          </cell>
          <cell r="BA2449">
            <v>0</v>
          </cell>
          <cell r="BC2449">
            <v>0</v>
          </cell>
        </row>
        <row r="2450">
          <cell r="A2450">
            <v>0</v>
          </cell>
          <cell r="B2450">
            <v>0</v>
          </cell>
          <cell r="E2450">
            <v>0</v>
          </cell>
          <cell r="F2450">
            <v>0</v>
          </cell>
          <cell r="AO2450">
            <v>0</v>
          </cell>
          <cell r="AP2450">
            <v>0</v>
          </cell>
          <cell r="AQ2450">
            <v>0</v>
          </cell>
          <cell r="BA2450">
            <v>0</v>
          </cell>
          <cell r="BC2450">
            <v>0</v>
          </cell>
        </row>
        <row r="2451">
          <cell r="A2451">
            <v>0</v>
          </cell>
          <cell r="B2451">
            <v>0</v>
          </cell>
          <cell r="E2451">
            <v>0</v>
          </cell>
          <cell r="F2451">
            <v>0</v>
          </cell>
          <cell r="AO2451">
            <v>0</v>
          </cell>
          <cell r="AP2451">
            <v>0</v>
          </cell>
          <cell r="AQ2451">
            <v>0</v>
          </cell>
          <cell r="BA2451">
            <v>0</v>
          </cell>
          <cell r="BC2451">
            <v>0</v>
          </cell>
        </row>
        <row r="2452">
          <cell r="A2452">
            <v>0</v>
          </cell>
          <cell r="B2452">
            <v>0</v>
          </cell>
          <cell r="E2452">
            <v>0</v>
          </cell>
          <cell r="F2452">
            <v>0</v>
          </cell>
          <cell r="AO2452">
            <v>0</v>
          </cell>
          <cell r="AP2452">
            <v>0</v>
          </cell>
          <cell r="AQ2452">
            <v>0</v>
          </cell>
          <cell r="BA2452">
            <v>0</v>
          </cell>
          <cell r="BC2452">
            <v>0</v>
          </cell>
        </row>
        <row r="2453">
          <cell r="A2453">
            <v>0</v>
          </cell>
          <cell r="B2453">
            <v>0</v>
          </cell>
          <cell r="E2453">
            <v>0</v>
          </cell>
          <cell r="F2453">
            <v>0</v>
          </cell>
          <cell r="AO2453">
            <v>0</v>
          </cell>
          <cell r="AP2453">
            <v>0</v>
          </cell>
          <cell r="AQ2453">
            <v>0</v>
          </cell>
          <cell r="BA2453">
            <v>0</v>
          </cell>
          <cell r="BC2453">
            <v>0</v>
          </cell>
        </row>
        <row r="2454">
          <cell r="A2454">
            <v>0</v>
          </cell>
          <cell r="B2454">
            <v>0</v>
          </cell>
          <cell r="E2454">
            <v>0</v>
          </cell>
          <cell r="F2454">
            <v>0</v>
          </cell>
          <cell r="AO2454">
            <v>0</v>
          </cell>
          <cell r="AP2454">
            <v>0</v>
          </cell>
          <cell r="AQ2454">
            <v>0</v>
          </cell>
          <cell r="BA2454">
            <v>0</v>
          </cell>
          <cell r="BC2454">
            <v>0</v>
          </cell>
        </row>
        <row r="2455">
          <cell r="A2455">
            <v>0</v>
          </cell>
          <cell r="B2455">
            <v>0</v>
          </cell>
          <cell r="E2455">
            <v>0</v>
          </cell>
          <cell r="F2455">
            <v>0</v>
          </cell>
          <cell r="AO2455">
            <v>0</v>
          </cell>
          <cell r="AP2455">
            <v>0</v>
          </cell>
          <cell r="AQ2455">
            <v>0</v>
          </cell>
          <cell r="BA2455">
            <v>0</v>
          </cell>
          <cell r="BC2455">
            <v>0</v>
          </cell>
        </row>
        <row r="2456">
          <cell r="A2456">
            <v>0</v>
          </cell>
          <cell r="B2456">
            <v>0</v>
          </cell>
          <cell r="E2456">
            <v>0</v>
          </cell>
          <cell r="F2456">
            <v>0</v>
          </cell>
          <cell r="AO2456">
            <v>0</v>
          </cell>
          <cell r="AP2456">
            <v>0</v>
          </cell>
          <cell r="AQ2456">
            <v>0</v>
          </cell>
          <cell r="BA2456">
            <v>0</v>
          </cell>
          <cell r="BC2456">
            <v>0</v>
          </cell>
        </row>
        <row r="2457">
          <cell r="A2457">
            <v>0</v>
          </cell>
          <cell r="B2457">
            <v>0</v>
          </cell>
          <cell r="E2457">
            <v>0</v>
          </cell>
          <cell r="F2457">
            <v>0</v>
          </cell>
          <cell r="AO2457">
            <v>0</v>
          </cell>
          <cell r="AP2457">
            <v>0</v>
          </cell>
          <cell r="AQ2457">
            <v>0</v>
          </cell>
          <cell r="BA2457">
            <v>0</v>
          </cell>
          <cell r="BC2457">
            <v>0</v>
          </cell>
        </row>
        <row r="2458">
          <cell r="A2458">
            <v>0</v>
          </cell>
          <cell r="B2458">
            <v>0</v>
          </cell>
          <cell r="E2458">
            <v>0</v>
          </cell>
          <cell r="F2458">
            <v>0</v>
          </cell>
          <cell r="AO2458">
            <v>0</v>
          </cell>
          <cell r="AP2458">
            <v>0</v>
          </cell>
          <cell r="AQ2458">
            <v>0</v>
          </cell>
          <cell r="BA2458">
            <v>0</v>
          </cell>
          <cell r="BC2458">
            <v>0</v>
          </cell>
        </row>
        <row r="2459">
          <cell r="A2459">
            <v>0</v>
          </cell>
          <cell r="B2459">
            <v>0</v>
          </cell>
          <cell r="E2459">
            <v>0</v>
          </cell>
          <cell r="F2459">
            <v>0</v>
          </cell>
          <cell r="AO2459">
            <v>0</v>
          </cell>
          <cell r="AP2459">
            <v>0</v>
          </cell>
          <cell r="AQ2459">
            <v>0</v>
          </cell>
          <cell r="BA2459">
            <v>0</v>
          </cell>
          <cell r="BC2459">
            <v>0</v>
          </cell>
        </row>
        <row r="2460">
          <cell r="A2460">
            <v>0</v>
          </cell>
          <cell r="B2460">
            <v>0</v>
          </cell>
          <cell r="E2460">
            <v>0</v>
          </cell>
          <cell r="F2460">
            <v>0</v>
          </cell>
          <cell r="AO2460">
            <v>0</v>
          </cell>
          <cell r="AP2460">
            <v>0</v>
          </cell>
          <cell r="AQ2460">
            <v>0</v>
          </cell>
          <cell r="BA2460">
            <v>0</v>
          </cell>
          <cell r="BC2460">
            <v>0</v>
          </cell>
        </row>
        <row r="2461">
          <cell r="A2461">
            <v>0</v>
          </cell>
          <cell r="B2461">
            <v>0</v>
          </cell>
          <cell r="E2461">
            <v>0</v>
          </cell>
          <cell r="F2461">
            <v>0</v>
          </cell>
          <cell r="AO2461">
            <v>0</v>
          </cell>
          <cell r="AP2461">
            <v>0</v>
          </cell>
          <cell r="AQ2461">
            <v>0</v>
          </cell>
          <cell r="BA2461">
            <v>0</v>
          </cell>
          <cell r="BC2461">
            <v>0</v>
          </cell>
        </row>
        <row r="2462">
          <cell r="A2462">
            <v>0</v>
          </cell>
          <cell r="B2462">
            <v>0</v>
          </cell>
          <cell r="E2462">
            <v>0</v>
          </cell>
          <cell r="F2462">
            <v>0</v>
          </cell>
          <cell r="AO2462">
            <v>0</v>
          </cell>
          <cell r="AP2462">
            <v>0</v>
          </cell>
          <cell r="AQ2462">
            <v>0</v>
          </cell>
          <cell r="BA2462">
            <v>0</v>
          </cell>
          <cell r="BC2462">
            <v>0</v>
          </cell>
        </row>
        <row r="2463">
          <cell r="A2463">
            <v>0</v>
          </cell>
          <cell r="B2463">
            <v>0</v>
          </cell>
          <cell r="E2463">
            <v>0</v>
          </cell>
          <cell r="F2463">
            <v>0</v>
          </cell>
          <cell r="AO2463">
            <v>0</v>
          </cell>
          <cell r="AP2463">
            <v>0</v>
          </cell>
          <cell r="AQ2463">
            <v>0</v>
          </cell>
          <cell r="BA2463">
            <v>0</v>
          </cell>
          <cell r="BC2463">
            <v>0</v>
          </cell>
        </row>
        <row r="2464">
          <cell r="A2464">
            <v>0</v>
          </cell>
          <cell r="B2464">
            <v>0</v>
          </cell>
          <cell r="E2464">
            <v>0</v>
          </cell>
          <cell r="F2464">
            <v>0</v>
          </cell>
          <cell r="AO2464">
            <v>0</v>
          </cell>
          <cell r="AP2464">
            <v>0</v>
          </cell>
          <cell r="AQ2464">
            <v>0</v>
          </cell>
          <cell r="BA2464">
            <v>0</v>
          </cell>
          <cell r="BC2464">
            <v>0</v>
          </cell>
        </row>
        <row r="2465">
          <cell r="A2465">
            <v>0</v>
          </cell>
          <cell r="B2465">
            <v>0</v>
          </cell>
          <cell r="E2465">
            <v>0</v>
          </cell>
          <cell r="F2465">
            <v>0</v>
          </cell>
          <cell r="AO2465">
            <v>0</v>
          </cell>
          <cell r="AP2465">
            <v>0</v>
          </cell>
          <cell r="AQ2465">
            <v>0</v>
          </cell>
          <cell r="BA2465">
            <v>0</v>
          </cell>
          <cell r="BC2465">
            <v>0</v>
          </cell>
        </row>
        <row r="2466">
          <cell r="A2466">
            <v>0</v>
          </cell>
          <cell r="B2466">
            <v>0</v>
          </cell>
          <cell r="E2466">
            <v>0</v>
          </cell>
          <cell r="F2466">
            <v>0</v>
          </cell>
          <cell r="AO2466">
            <v>0</v>
          </cell>
          <cell r="AP2466">
            <v>0</v>
          </cell>
          <cell r="AQ2466">
            <v>0</v>
          </cell>
          <cell r="BA2466">
            <v>0</v>
          </cell>
          <cell r="BC2466">
            <v>0</v>
          </cell>
        </row>
        <row r="2467">
          <cell r="A2467">
            <v>0</v>
          </cell>
          <cell r="B2467">
            <v>0</v>
          </cell>
          <cell r="E2467">
            <v>0</v>
          </cell>
          <cell r="F2467">
            <v>0</v>
          </cell>
          <cell r="AO2467">
            <v>0</v>
          </cell>
          <cell r="AP2467">
            <v>0</v>
          </cell>
          <cell r="AQ2467">
            <v>0</v>
          </cell>
          <cell r="BA2467">
            <v>0</v>
          </cell>
          <cell r="BC2467">
            <v>0</v>
          </cell>
        </row>
        <row r="2468">
          <cell r="A2468">
            <v>0</v>
          </cell>
          <cell r="B2468">
            <v>0</v>
          </cell>
          <cell r="E2468">
            <v>0</v>
          </cell>
          <cell r="F2468">
            <v>0</v>
          </cell>
          <cell r="AO2468">
            <v>0</v>
          </cell>
          <cell r="AP2468">
            <v>0</v>
          </cell>
          <cell r="AQ2468">
            <v>0</v>
          </cell>
          <cell r="BA2468">
            <v>0</v>
          </cell>
          <cell r="BC2468">
            <v>0</v>
          </cell>
        </row>
        <row r="2469">
          <cell r="A2469">
            <v>0</v>
          </cell>
          <cell r="B2469">
            <v>0</v>
          </cell>
          <cell r="E2469">
            <v>0</v>
          </cell>
          <cell r="F2469">
            <v>0</v>
          </cell>
          <cell r="AO2469">
            <v>0</v>
          </cell>
          <cell r="AP2469">
            <v>0</v>
          </cell>
          <cell r="AQ2469">
            <v>0</v>
          </cell>
          <cell r="BA2469">
            <v>0</v>
          </cell>
          <cell r="BC2469">
            <v>0</v>
          </cell>
        </row>
        <row r="2470">
          <cell r="A2470">
            <v>0</v>
          </cell>
          <cell r="B2470">
            <v>0</v>
          </cell>
          <cell r="E2470">
            <v>0</v>
          </cell>
          <cell r="F2470">
            <v>0</v>
          </cell>
          <cell r="AO2470">
            <v>0</v>
          </cell>
          <cell r="AP2470">
            <v>0</v>
          </cell>
          <cell r="AQ2470">
            <v>0</v>
          </cell>
          <cell r="BA2470">
            <v>0</v>
          </cell>
          <cell r="BC2470">
            <v>0</v>
          </cell>
        </row>
        <row r="2471">
          <cell r="A2471">
            <v>0</v>
          </cell>
          <cell r="B2471">
            <v>0</v>
          </cell>
          <cell r="E2471">
            <v>0</v>
          </cell>
          <cell r="F2471">
            <v>0</v>
          </cell>
          <cell r="AO2471">
            <v>0</v>
          </cell>
          <cell r="AP2471">
            <v>0</v>
          </cell>
          <cell r="AQ2471">
            <v>0</v>
          </cell>
          <cell r="BA2471">
            <v>0</v>
          </cell>
          <cell r="BC2471">
            <v>0</v>
          </cell>
        </row>
        <row r="2472">
          <cell r="A2472">
            <v>0</v>
          </cell>
          <cell r="B2472">
            <v>0</v>
          </cell>
          <cell r="E2472">
            <v>0</v>
          </cell>
          <cell r="F2472">
            <v>0</v>
          </cell>
          <cell r="AO2472">
            <v>0</v>
          </cell>
          <cell r="AP2472">
            <v>0</v>
          </cell>
          <cell r="AQ2472">
            <v>0</v>
          </cell>
          <cell r="BA2472">
            <v>0</v>
          </cell>
          <cell r="BC2472">
            <v>0</v>
          </cell>
        </row>
        <row r="2473">
          <cell r="A2473">
            <v>0</v>
          </cell>
          <cell r="B2473">
            <v>0</v>
          </cell>
          <cell r="E2473">
            <v>0</v>
          </cell>
          <cell r="F2473">
            <v>0</v>
          </cell>
          <cell r="AO2473">
            <v>0</v>
          </cell>
          <cell r="AP2473">
            <v>0</v>
          </cell>
          <cell r="AQ2473">
            <v>0</v>
          </cell>
          <cell r="BA2473">
            <v>0</v>
          </cell>
          <cell r="BC2473">
            <v>0</v>
          </cell>
        </row>
        <row r="2474">
          <cell r="A2474">
            <v>0</v>
          </cell>
          <cell r="B2474">
            <v>0</v>
          </cell>
          <cell r="E2474">
            <v>0</v>
          </cell>
          <cell r="F2474">
            <v>0</v>
          </cell>
          <cell r="AO2474">
            <v>0</v>
          </cell>
          <cell r="AP2474">
            <v>0</v>
          </cell>
          <cell r="AQ2474">
            <v>0</v>
          </cell>
          <cell r="BA2474">
            <v>0</v>
          </cell>
          <cell r="BC2474">
            <v>0</v>
          </cell>
        </row>
        <row r="2475">
          <cell r="A2475">
            <v>0</v>
          </cell>
          <cell r="B2475">
            <v>0</v>
          </cell>
          <cell r="E2475">
            <v>0</v>
          </cell>
          <cell r="F2475">
            <v>0</v>
          </cell>
          <cell r="AO2475">
            <v>0</v>
          </cell>
          <cell r="AP2475">
            <v>0</v>
          </cell>
          <cell r="AQ2475">
            <v>0</v>
          </cell>
          <cell r="BA2475">
            <v>0</v>
          </cell>
          <cell r="BC2475">
            <v>0</v>
          </cell>
        </row>
        <row r="2476">
          <cell r="A2476">
            <v>0</v>
          </cell>
          <cell r="B2476">
            <v>0</v>
          </cell>
          <cell r="E2476">
            <v>0</v>
          </cell>
          <cell r="F2476">
            <v>0</v>
          </cell>
          <cell r="AO2476">
            <v>0</v>
          </cell>
          <cell r="AP2476">
            <v>0</v>
          </cell>
          <cell r="AQ2476">
            <v>0</v>
          </cell>
          <cell r="BA2476">
            <v>0</v>
          </cell>
          <cell r="BC2476">
            <v>0</v>
          </cell>
        </row>
        <row r="2477">
          <cell r="A2477">
            <v>0</v>
          </cell>
          <cell r="B2477">
            <v>0</v>
          </cell>
          <cell r="E2477">
            <v>0</v>
          </cell>
          <cell r="F2477">
            <v>0</v>
          </cell>
          <cell r="AO2477">
            <v>0</v>
          </cell>
          <cell r="AP2477">
            <v>0</v>
          </cell>
          <cell r="AQ2477">
            <v>0</v>
          </cell>
          <cell r="BA2477">
            <v>0</v>
          </cell>
          <cell r="BC2477">
            <v>0</v>
          </cell>
        </row>
        <row r="2478">
          <cell r="A2478">
            <v>0</v>
          </cell>
          <cell r="B2478">
            <v>0</v>
          </cell>
          <cell r="E2478">
            <v>0</v>
          </cell>
          <cell r="F2478">
            <v>0</v>
          </cell>
          <cell r="AO2478">
            <v>0</v>
          </cell>
          <cell r="AP2478">
            <v>0</v>
          </cell>
          <cell r="AQ2478">
            <v>0</v>
          </cell>
          <cell r="BA2478">
            <v>0</v>
          </cell>
          <cell r="BC2478">
            <v>0</v>
          </cell>
        </row>
        <row r="2479">
          <cell r="A2479">
            <v>0</v>
          </cell>
          <cell r="B2479">
            <v>0</v>
          </cell>
          <cell r="E2479">
            <v>0</v>
          </cell>
          <cell r="F2479">
            <v>0</v>
          </cell>
          <cell r="AO2479">
            <v>0</v>
          </cell>
          <cell r="AP2479">
            <v>0</v>
          </cell>
          <cell r="AQ2479">
            <v>0</v>
          </cell>
          <cell r="BA2479">
            <v>0</v>
          </cell>
          <cell r="BC2479">
            <v>0</v>
          </cell>
        </row>
        <row r="2480">
          <cell r="A2480">
            <v>0</v>
          </cell>
          <cell r="B2480">
            <v>0</v>
          </cell>
          <cell r="E2480">
            <v>0</v>
          </cell>
          <cell r="F2480">
            <v>0</v>
          </cell>
          <cell r="AO2480">
            <v>0</v>
          </cell>
          <cell r="AP2480">
            <v>0</v>
          </cell>
          <cell r="AQ2480">
            <v>0</v>
          </cell>
          <cell r="BA2480">
            <v>0</v>
          </cell>
          <cell r="BC2480">
            <v>0</v>
          </cell>
        </row>
        <row r="2481">
          <cell r="A2481">
            <v>0</v>
          </cell>
          <cell r="B2481">
            <v>0</v>
          </cell>
          <cell r="E2481">
            <v>0</v>
          </cell>
          <cell r="F2481">
            <v>0</v>
          </cell>
          <cell r="AO2481">
            <v>0</v>
          </cell>
          <cell r="AP2481">
            <v>0</v>
          </cell>
          <cell r="AQ2481">
            <v>0</v>
          </cell>
          <cell r="BA2481">
            <v>0</v>
          </cell>
          <cell r="BC2481">
            <v>0</v>
          </cell>
        </row>
        <row r="2482">
          <cell r="A2482">
            <v>0</v>
          </cell>
          <cell r="B2482">
            <v>0</v>
          </cell>
          <cell r="E2482">
            <v>0</v>
          </cell>
          <cell r="F2482">
            <v>0</v>
          </cell>
          <cell r="AO2482">
            <v>0</v>
          </cell>
          <cell r="AP2482">
            <v>0</v>
          </cell>
          <cell r="AQ2482">
            <v>0</v>
          </cell>
          <cell r="BA2482">
            <v>0</v>
          </cell>
          <cell r="BC2482">
            <v>0</v>
          </cell>
        </row>
        <row r="2483">
          <cell r="A2483">
            <v>0</v>
          </cell>
          <cell r="B2483">
            <v>0</v>
          </cell>
          <cell r="E2483">
            <v>0</v>
          </cell>
          <cell r="F2483">
            <v>0</v>
          </cell>
          <cell r="AO2483">
            <v>0</v>
          </cell>
          <cell r="AP2483">
            <v>0</v>
          </cell>
          <cell r="AQ2483">
            <v>0</v>
          </cell>
          <cell r="BA2483">
            <v>0</v>
          </cell>
          <cell r="BC2483">
            <v>0</v>
          </cell>
        </row>
        <row r="2484">
          <cell r="A2484">
            <v>0</v>
          </cell>
          <cell r="B2484">
            <v>0</v>
          </cell>
          <cell r="E2484">
            <v>0</v>
          </cell>
          <cell r="F2484">
            <v>0</v>
          </cell>
          <cell r="AO2484">
            <v>0</v>
          </cell>
          <cell r="AP2484">
            <v>0</v>
          </cell>
          <cell r="AQ2484">
            <v>0</v>
          </cell>
          <cell r="BA2484">
            <v>0</v>
          </cell>
          <cell r="BC2484">
            <v>0</v>
          </cell>
        </row>
        <row r="2485">
          <cell r="A2485">
            <v>0</v>
          </cell>
          <cell r="B2485">
            <v>0</v>
          </cell>
          <cell r="E2485">
            <v>0</v>
          </cell>
          <cell r="F2485">
            <v>0</v>
          </cell>
          <cell r="AO2485">
            <v>0</v>
          </cell>
          <cell r="AP2485">
            <v>0</v>
          </cell>
          <cell r="AQ2485">
            <v>0</v>
          </cell>
          <cell r="BA2485">
            <v>0</v>
          </cell>
          <cell r="BC2485">
            <v>0</v>
          </cell>
        </row>
        <row r="2486">
          <cell r="A2486">
            <v>0</v>
          </cell>
          <cell r="B2486">
            <v>0</v>
          </cell>
          <cell r="E2486">
            <v>0</v>
          </cell>
          <cell r="F2486">
            <v>0</v>
          </cell>
          <cell r="AO2486">
            <v>0</v>
          </cell>
          <cell r="AP2486">
            <v>0</v>
          </cell>
          <cell r="AQ2486">
            <v>0</v>
          </cell>
          <cell r="BA2486">
            <v>0</v>
          </cell>
          <cell r="BC2486">
            <v>0</v>
          </cell>
        </row>
        <row r="2487">
          <cell r="A2487">
            <v>0</v>
          </cell>
          <cell r="B2487">
            <v>0</v>
          </cell>
          <cell r="E2487">
            <v>0</v>
          </cell>
          <cell r="F2487">
            <v>0</v>
          </cell>
          <cell r="AO2487">
            <v>0</v>
          </cell>
          <cell r="AP2487">
            <v>0</v>
          </cell>
          <cell r="AQ2487">
            <v>0</v>
          </cell>
          <cell r="BA2487">
            <v>0</v>
          </cell>
          <cell r="BC2487">
            <v>0</v>
          </cell>
        </row>
        <row r="2488">
          <cell r="A2488">
            <v>0</v>
          </cell>
          <cell r="B2488">
            <v>0</v>
          </cell>
          <cell r="E2488">
            <v>0</v>
          </cell>
          <cell r="F2488">
            <v>0</v>
          </cell>
          <cell r="AO2488">
            <v>0</v>
          </cell>
          <cell r="AP2488">
            <v>0</v>
          </cell>
          <cell r="AQ2488">
            <v>0</v>
          </cell>
          <cell r="BA2488">
            <v>0</v>
          </cell>
          <cell r="BC2488">
            <v>0</v>
          </cell>
        </row>
        <row r="2489">
          <cell r="A2489">
            <v>0</v>
          </cell>
          <cell r="B2489">
            <v>0</v>
          </cell>
          <cell r="E2489">
            <v>0</v>
          </cell>
          <cell r="F2489">
            <v>0</v>
          </cell>
          <cell r="AO2489">
            <v>0</v>
          </cell>
          <cell r="AP2489">
            <v>0</v>
          </cell>
          <cell r="AQ2489">
            <v>0</v>
          </cell>
          <cell r="BA2489">
            <v>0</v>
          </cell>
          <cell r="BC2489">
            <v>0</v>
          </cell>
        </row>
        <row r="2490">
          <cell r="A2490">
            <v>0</v>
          </cell>
          <cell r="B2490">
            <v>0</v>
          </cell>
          <cell r="E2490">
            <v>0</v>
          </cell>
          <cell r="F2490">
            <v>0</v>
          </cell>
          <cell r="AO2490">
            <v>0</v>
          </cell>
          <cell r="AP2490">
            <v>0</v>
          </cell>
          <cell r="AQ2490">
            <v>0</v>
          </cell>
          <cell r="BA2490">
            <v>0</v>
          </cell>
          <cell r="BC2490">
            <v>0</v>
          </cell>
        </row>
        <row r="2491">
          <cell r="A2491">
            <v>0</v>
          </cell>
          <cell r="B2491">
            <v>0</v>
          </cell>
          <cell r="E2491">
            <v>0</v>
          </cell>
          <cell r="F2491">
            <v>0</v>
          </cell>
          <cell r="AO2491">
            <v>0</v>
          </cell>
          <cell r="AP2491">
            <v>0</v>
          </cell>
          <cell r="AQ2491">
            <v>0</v>
          </cell>
          <cell r="BA2491">
            <v>0</v>
          </cell>
          <cell r="BC2491">
            <v>0</v>
          </cell>
        </row>
        <row r="2492">
          <cell r="A2492">
            <v>0</v>
          </cell>
          <cell r="B2492">
            <v>0</v>
          </cell>
          <cell r="E2492">
            <v>0</v>
          </cell>
          <cell r="F2492">
            <v>0</v>
          </cell>
          <cell r="AO2492">
            <v>0</v>
          </cell>
          <cell r="AP2492">
            <v>0</v>
          </cell>
          <cell r="AQ2492">
            <v>0</v>
          </cell>
          <cell r="BA2492">
            <v>0</v>
          </cell>
          <cell r="BC2492">
            <v>0</v>
          </cell>
        </row>
        <row r="2493">
          <cell r="A2493">
            <v>0</v>
          </cell>
          <cell r="B2493">
            <v>0</v>
          </cell>
          <cell r="E2493">
            <v>0</v>
          </cell>
          <cell r="F2493">
            <v>0</v>
          </cell>
          <cell r="AO2493">
            <v>0</v>
          </cell>
          <cell r="AP2493">
            <v>0</v>
          </cell>
          <cell r="AQ2493">
            <v>0</v>
          </cell>
          <cell r="BA2493">
            <v>0</v>
          </cell>
          <cell r="BC2493">
            <v>0</v>
          </cell>
        </row>
        <row r="2494">
          <cell r="A2494">
            <v>0</v>
          </cell>
          <cell r="B2494">
            <v>0</v>
          </cell>
          <cell r="E2494">
            <v>0</v>
          </cell>
          <cell r="F2494">
            <v>0</v>
          </cell>
          <cell r="AO2494">
            <v>0</v>
          </cell>
          <cell r="AP2494">
            <v>0</v>
          </cell>
          <cell r="AQ2494">
            <v>0</v>
          </cell>
          <cell r="BA2494">
            <v>0</v>
          </cell>
          <cell r="BC2494">
            <v>0</v>
          </cell>
        </row>
        <row r="2495">
          <cell r="A2495">
            <v>0</v>
          </cell>
          <cell r="B2495">
            <v>0</v>
          </cell>
          <cell r="E2495">
            <v>0</v>
          </cell>
          <cell r="F2495">
            <v>0</v>
          </cell>
          <cell r="AO2495">
            <v>0</v>
          </cell>
          <cell r="AP2495">
            <v>0</v>
          </cell>
          <cell r="AQ2495">
            <v>0</v>
          </cell>
          <cell r="BA2495">
            <v>0</v>
          </cell>
          <cell r="BC2495">
            <v>0</v>
          </cell>
        </row>
        <row r="2496">
          <cell r="A2496">
            <v>0</v>
          </cell>
          <cell r="B2496">
            <v>0</v>
          </cell>
          <cell r="E2496">
            <v>0</v>
          </cell>
          <cell r="F2496">
            <v>0</v>
          </cell>
          <cell r="AO2496">
            <v>0</v>
          </cell>
          <cell r="AP2496">
            <v>0</v>
          </cell>
          <cell r="AQ2496">
            <v>0</v>
          </cell>
          <cell r="BA2496">
            <v>0</v>
          </cell>
          <cell r="BC2496">
            <v>0</v>
          </cell>
        </row>
        <row r="2497">
          <cell r="A2497">
            <v>0</v>
          </cell>
          <cell r="B2497">
            <v>0</v>
          </cell>
          <cell r="E2497">
            <v>0</v>
          </cell>
          <cell r="F2497">
            <v>0</v>
          </cell>
          <cell r="AO2497">
            <v>0</v>
          </cell>
          <cell r="AP2497">
            <v>0</v>
          </cell>
          <cell r="AQ2497">
            <v>0</v>
          </cell>
          <cell r="BA2497">
            <v>0</v>
          </cell>
          <cell r="BC2497">
            <v>0</v>
          </cell>
        </row>
        <row r="2498">
          <cell r="A2498">
            <v>0</v>
          </cell>
          <cell r="B2498">
            <v>0</v>
          </cell>
          <cell r="E2498">
            <v>0</v>
          </cell>
          <cell r="F2498">
            <v>0</v>
          </cell>
          <cell r="AO2498">
            <v>0</v>
          </cell>
          <cell r="AP2498">
            <v>0</v>
          </cell>
          <cell r="AQ2498">
            <v>0</v>
          </cell>
          <cell r="BA2498">
            <v>0</v>
          </cell>
          <cell r="BC2498">
            <v>0</v>
          </cell>
        </row>
        <row r="2499">
          <cell r="A2499">
            <v>0</v>
          </cell>
          <cell r="B2499">
            <v>0</v>
          </cell>
          <cell r="E2499">
            <v>0</v>
          </cell>
          <cell r="F2499">
            <v>0</v>
          </cell>
          <cell r="AO2499">
            <v>0</v>
          </cell>
          <cell r="AP2499">
            <v>0</v>
          </cell>
          <cell r="AQ2499">
            <v>0</v>
          </cell>
          <cell r="BA2499">
            <v>0</v>
          </cell>
          <cell r="BC2499">
            <v>0</v>
          </cell>
        </row>
        <row r="2500">
          <cell r="A2500">
            <v>0</v>
          </cell>
          <cell r="B2500">
            <v>0</v>
          </cell>
          <cell r="E2500">
            <v>0</v>
          </cell>
          <cell r="F2500">
            <v>0</v>
          </cell>
          <cell r="AO2500">
            <v>0</v>
          </cell>
          <cell r="AP2500">
            <v>0</v>
          </cell>
          <cell r="AQ2500">
            <v>0</v>
          </cell>
          <cell r="BA2500">
            <v>0</v>
          </cell>
          <cell r="BC2500">
            <v>0</v>
          </cell>
        </row>
        <row r="2501">
          <cell r="A2501">
            <v>0</v>
          </cell>
          <cell r="B2501">
            <v>0</v>
          </cell>
          <cell r="E2501">
            <v>0</v>
          </cell>
          <cell r="F2501">
            <v>0</v>
          </cell>
          <cell r="AO2501">
            <v>0</v>
          </cell>
          <cell r="AP2501">
            <v>0</v>
          </cell>
          <cell r="AQ2501">
            <v>0</v>
          </cell>
          <cell r="BA2501">
            <v>0</v>
          </cell>
          <cell r="BC2501">
            <v>0</v>
          </cell>
        </row>
        <row r="2502">
          <cell r="A2502">
            <v>0</v>
          </cell>
          <cell r="B2502">
            <v>0</v>
          </cell>
          <cell r="E2502">
            <v>0</v>
          </cell>
          <cell r="F2502">
            <v>0</v>
          </cell>
          <cell r="AO2502">
            <v>0</v>
          </cell>
          <cell r="AP2502">
            <v>0</v>
          </cell>
          <cell r="AQ2502">
            <v>0</v>
          </cell>
          <cell r="BA2502">
            <v>0</v>
          </cell>
          <cell r="BC2502">
            <v>0</v>
          </cell>
        </row>
        <row r="2503">
          <cell r="A2503">
            <v>0</v>
          </cell>
          <cell r="B2503">
            <v>0</v>
          </cell>
          <cell r="E2503">
            <v>0</v>
          </cell>
          <cell r="F2503">
            <v>0</v>
          </cell>
          <cell r="AO2503">
            <v>0</v>
          </cell>
          <cell r="AP2503">
            <v>0</v>
          </cell>
          <cell r="AQ2503">
            <v>0</v>
          </cell>
          <cell r="BA2503">
            <v>0</v>
          </cell>
          <cell r="BC2503">
            <v>0</v>
          </cell>
        </row>
        <row r="2504">
          <cell r="A2504">
            <v>0</v>
          </cell>
          <cell r="B2504">
            <v>0</v>
          </cell>
          <cell r="E2504">
            <v>0</v>
          </cell>
          <cell r="F2504">
            <v>0</v>
          </cell>
          <cell r="AO2504">
            <v>0</v>
          </cell>
          <cell r="AP2504">
            <v>0</v>
          </cell>
          <cell r="AQ2504">
            <v>0</v>
          </cell>
          <cell r="BA2504">
            <v>0</v>
          </cell>
          <cell r="BC2504">
            <v>0</v>
          </cell>
        </row>
        <row r="2505">
          <cell r="A2505">
            <v>0</v>
          </cell>
          <cell r="B2505">
            <v>0</v>
          </cell>
          <cell r="E2505">
            <v>0</v>
          </cell>
          <cell r="F2505">
            <v>0</v>
          </cell>
          <cell r="AO2505">
            <v>0</v>
          </cell>
          <cell r="AP2505">
            <v>0</v>
          </cell>
          <cell r="AQ2505">
            <v>0</v>
          </cell>
          <cell r="BA2505">
            <v>0</v>
          </cell>
          <cell r="BC2505">
            <v>0</v>
          </cell>
        </row>
        <row r="2506">
          <cell r="A2506">
            <v>0</v>
          </cell>
          <cell r="B2506">
            <v>0</v>
          </cell>
          <cell r="E2506">
            <v>0</v>
          </cell>
          <cell r="F2506">
            <v>0</v>
          </cell>
          <cell r="AO2506">
            <v>0</v>
          </cell>
          <cell r="AP2506">
            <v>0</v>
          </cell>
          <cell r="AQ2506">
            <v>0</v>
          </cell>
          <cell r="BA2506">
            <v>0</v>
          </cell>
          <cell r="BC2506">
            <v>0</v>
          </cell>
        </row>
        <row r="2507">
          <cell r="A2507">
            <v>0</v>
          </cell>
          <cell r="B2507">
            <v>0</v>
          </cell>
          <cell r="E2507">
            <v>0</v>
          </cell>
          <cell r="F2507">
            <v>0</v>
          </cell>
          <cell r="AO2507">
            <v>0</v>
          </cell>
          <cell r="AP2507">
            <v>0</v>
          </cell>
          <cell r="AQ2507">
            <v>0</v>
          </cell>
          <cell r="BA2507">
            <v>0</v>
          </cell>
          <cell r="BC2507">
            <v>0</v>
          </cell>
        </row>
        <row r="2508">
          <cell r="A2508">
            <v>0</v>
          </cell>
          <cell r="B2508">
            <v>0</v>
          </cell>
          <cell r="E2508">
            <v>0</v>
          </cell>
          <cell r="F2508">
            <v>0</v>
          </cell>
          <cell r="AO2508">
            <v>0</v>
          </cell>
          <cell r="AP2508">
            <v>0</v>
          </cell>
          <cell r="AQ2508">
            <v>0</v>
          </cell>
          <cell r="BA2508">
            <v>0</v>
          </cell>
          <cell r="BC2508">
            <v>0</v>
          </cell>
        </row>
        <row r="2509">
          <cell r="A2509">
            <v>0</v>
          </cell>
          <cell r="B2509">
            <v>0</v>
          </cell>
          <cell r="E2509">
            <v>0</v>
          </cell>
          <cell r="F2509">
            <v>0</v>
          </cell>
          <cell r="AO2509">
            <v>0</v>
          </cell>
          <cell r="AP2509">
            <v>0</v>
          </cell>
          <cell r="AQ2509">
            <v>0</v>
          </cell>
          <cell r="BA2509">
            <v>0</v>
          </cell>
          <cell r="BC2509">
            <v>0</v>
          </cell>
        </row>
        <row r="2510">
          <cell r="A2510">
            <v>0</v>
          </cell>
          <cell r="B2510">
            <v>0</v>
          </cell>
          <cell r="E2510">
            <v>0</v>
          </cell>
          <cell r="F2510">
            <v>0</v>
          </cell>
          <cell r="AO2510">
            <v>0</v>
          </cell>
          <cell r="AP2510">
            <v>0</v>
          </cell>
          <cell r="AQ2510">
            <v>0</v>
          </cell>
          <cell r="BA2510">
            <v>0</v>
          </cell>
          <cell r="BC2510">
            <v>0</v>
          </cell>
        </row>
        <row r="2511">
          <cell r="A2511">
            <v>0</v>
          </cell>
          <cell r="B2511">
            <v>0</v>
          </cell>
          <cell r="E2511">
            <v>0</v>
          </cell>
          <cell r="F2511">
            <v>0</v>
          </cell>
          <cell r="AO2511">
            <v>0</v>
          </cell>
          <cell r="AP2511">
            <v>0</v>
          </cell>
          <cell r="AQ2511">
            <v>0</v>
          </cell>
          <cell r="BA2511">
            <v>0</v>
          </cell>
          <cell r="BC2511">
            <v>0</v>
          </cell>
        </row>
        <row r="2512">
          <cell r="A2512">
            <v>0</v>
          </cell>
          <cell r="B2512">
            <v>0</v>
          </cell>
          <cell r="E2512">
            <v>0</v>
          </cell>
          <cell r="F2512">
            <v>0</v>
          </cell>
          <cell r="AO2512">
            <v>0</v>
          </cell>
          <cell r="AP2512">
            <v>0</v>
          </cell>
          <cell r="AQ2512">
            <v>0</v>
          </cell>
          <cell r="BA2512">
            <v>0</v>
          </cell>
          <cell r="BC2512">
            <v>0</v>
          </cell>
        </row>
        <row r="2513">
          <cell r="A2513">
            <v>0</v>
          </cell>
          <cell r="B2513">
            <v>0</v>
          </cell>
          <cell r="E2513">
            <v>0</v>
          </cell>
          <cell r="F2513">
            <v>0</v>
          </cell>
          <cell r="AO2513">
            <v>0</v>
          </cell>
          <cell r="AP2513">
            <v>0</v>
          </cell>
          <cell r="AQ2513">
            <v>0</v>
          </cell>
          <cell r="BA2513">
            <v>0</v>
          </cell>
          <cell r="BC2513">
            <v>0</v>
          </cell>
        </row>
        <row r="2514">
          <cell r="A2514">
            <v>0</v>
          </cell>
          <cell r="B2514">
            <v>0</v>
          </cell>
          <cell r="E2514">
            <v>0</v>
          </cell>
          <cell r="F2514">
            <v>0</v>
          </cell>
          <cell r="AO2514">
            <v>0</v>
          </cell>
          <cell r="AP2514">
            <v>0</v>
          </cell>
          <cell r="AQ2514">
            <v>0</v>
          </cell>
          <cell r="BA2514">
            <v>0</v>
          </cell>
          <cell r="BC2514">
            <v>0</v>
          </cell>
        </row>
        <row r="2515">
          <cell r="A2515">
            <v>0</v>
          </cell>
          <cell r="B2515">
            <v>0</v>
          </cell>
          <cell r="E2515">
            <v>0</v>
          </cell>
          <cell r="F2515">
            <v>0</v>
          </cell>
          <cell r="AO2515">
            <v>0</v>
          </cell>
          <cell r="AP2515">
            <v>0</v>
          </cell>
          <cell r="AQ2515">
            <v>0</v>
          </cell>
          <cell r="BA2515">
            <v>0</v>
          </cell>
          <cell r="BC2515">
            <v>0</v>
          </cell>
        </row>
        <row r="2516">
          <cell r="A2516">
            <v>0</v>
          </cell>
          <cell r="B2516">
            <v>0</v>
          </cell>
          <cell r="E2516">
            <v>0</v>
          </cell>
          <cell r="F2516">
            <v>0</v>
          </cell>
          <cell r="AO2516">
            <v>0</v>
          </cell>
          <cell r="AP2516">
            <v>0</v>
          </cell>
          <cell r="AQ2516">
            <v>0</v>
          </cell>
          <cell r="BA2516">
            <v>0</v>
          </cell>
          <cell r="BC2516">
            <v>0</v>
          </cell>
        </row>
        <row r="2517">
          <cell r="A2517">
            <v>0</v>
          </cell>
          <cell r="B2517">
            <v>0</v>
          </cell>
          <cell r="E2517">
            <v>0</v>
          </cell>
          <cell r="F2517">
            <v>0</v>
          </cell>
          <cell r="AO2517">
            <v>0</v>
          </cell>
          <cell r="AP2517">
            <v>0</v>
          </cell>
          <cell r="AQ2517">
            <v>0</v>
          </cell>
          <cell r="BA2517">
            <v>0</v>
          </cell>
          <cell r="BC2517">
            <v>0</v>
          </cell>
        </row>
        <row r="2518">
          <cell r="A2518">
            <v>0</v>
          </cell>
          <cell r="B2518">
            <v>0</v>
          </cell>
          <cell r="E2518">
            <v>0</v>
          </cell>
          <cell r="F2518">
            <v>0</v>
          </cell>
          <cell r="AO2518">
            <v>0</v>
          </cell>
          <cell r="AP2518">
            <v>0</v>
          </cell>
          <cell r="AQ2518">
            <v>0</v>
          </cell>
          <cell r="BA2518">
            <v>0</v>
          </cell>
          <cell r="BC2518">
            <v>0</v>
          </cell>
        </row>
        <row r="2519">
          <cell r="A2519">
            <v>0</v>
          </cell>
          <cell r="B2519">
            <v>0</v>
          </cell>
          <cell r="E2519">
            <v>0</v>
          </cell>
          <cell r="F2519">
            <v>0</v>
          </cell>
          <cell r="AO2519">
            <v>0</v>
          </cell>
          <cell r="AP2519">
            <v>0</v>
          </cell>
          <cell r="AQ2519">
            <v>0</v>
          </cell>
          <cell r="BA2519">
            <v>0</v>
          </cell>
          <cell r="BC2519">
            <v>0</v>
          </cell>
        </row>
        <row r="2520">
          <cell r="A2520">
            <v>0</v>
          </cell>
          <cell r="B2520">
            <v>0</v>
          </cell>
          <cell r="E2520">
            <v>0</v>
          </cell>
          <cell r="F2520">
            <v>0</v>
          </cell>
          <cell r="AO2520">
            <v>0</v>
          </cell>
          <cell r="AP2520">
            <v>0</v>
          </cell>
          <cell r="AQ2520">
            <v>0</v>
          </cell>
          <cell r="BA2520">
            <v>0</v>
          </cell>
          <cell r="BC2520">
            <v>0</v>
          </cell>
        </row>
        <row r="2521">
          <cell r="A2521">
            <v>0</v>
          </cell>
          <cell r="B2521">
            <v>0</v>
          </cell>
          <cell r="E2521">
            <v>0</v>
          </cell>
          <cell r="F2521">
            <v>0</v>
          </cell>
          <cell r="AO2521">
            <v>0</v>
          </cell>
          <cell r="AP2521">
            <v>0</v>
          </cell>
          <cell r="AQ2521">
            <v>0</v>
          </cell>
          <cell r="BA2521">
            <v>0</v>
          </cell>
          <cell r="BC2521">
            <v>0</v>
          </cell>
        </row>
        <row r="2522">
          <cell r="A2522">
            <v>0</v>
          </cell>
          <cell r="B2522">
            <v>0</v>
          </cell>
          <cell r="E2522">
            <v>0</v>
          </cell>
          <cell r="F2522">
            <v>0</v>
          </cell>
          <cell r="AO2522">
            <v>0</v>
          </cell>
          <cell r="AP2522">
            <v>0</v>
          </cell>
          <cell r="AQ2522">
            <v>0</v>
          </cell>
          <cell r="BA2522">
            <v>0</v>
          </cell>
          <cell r="BC2522">
            <v>0</v>
          </cell>
        </row>
        <row r="2523">
          <cell r="A2523">
            <v>0</v>
          </cell>
          <cell r="B2523">
            <v>0</v>
          </cell>
          <cell r="E2523">
            <v>0</v>
          </cell>
          <cell r="F2523">
            <v>0</v>
          </cell>
          <cell r="AO2523">
            <v>0</v>
          </cell>
          <cell r="AP2523">
            <v>0</v>
          </cell>
          <cell r="AQ2523">
            <v>0</v>
          </cell>
          <cell r="BA2523">
            <v>0</v>
          </cell>
          <cell r="BC2523">
            <v>0</v>
          </cell>
        </row>
        <row r="2524">
          <cell r="A2524">
            <v>0</v>
          </cell>
          <cell r="B2524">
            <v>0</v>
          </cell>
          <cell r="E2524">
            <v>0</v>
          </cell>
          <cell r="F2524">
            <v>0</v>
          </cell>
          <cell r="AO2524">
            <v>0</v>
          </cell>
          <cell r="AP2524">
            <v>0</v>
          </cell>
          <cell r="AQ2524">
            <v>0</v>
          </cell>
          <cell r="BA2524">
            <v>0</v>
          </cell>
          <cell r="BC2524">
            <v>0</v>
          </cell>
        </row>
        <row r="2525">
          <cell r="A2525">
            <v>0</v>
          </cell>
          <cell r="B2525">
            <v>0</v>
          </cell>
          <cell r="E2525">
            <v>0</v>
          </cell>
          <cell r="F2525">
            <v>0</v>
          </cell>
          <cell r="AO2525">
            <v>0</v>
          </cell>
          <cell r="AP2525">
            <v>0</v>
          </cell>
          <cell r="AQ2525">
            <v>0</v>
          </cell>
          <cell r="BA2525">
            <v>0</v>
          </cell>
          <cell r="BC2525">
            <v>0</v>
          </cell>
        </row>
        <row r="2526">
          <cell r="A2526">
            <v>0</v>
          </cell>
          <cell r="B2526">
            <v>0</v>
          </cell>
          <cell r="E2526">
            <v>0</v>
          </cell>
          <cell r="F2526">
            <v>0</v>
          </cell>
          <cell r="AO2526">
            <v>0</v>
          </cell>
          <cell r="AP2526">
            <v>0</v>
          </cell>
          <cell r="AQ2526">
            <v>0</v>
          </cell>
          <cell r="BA2526">
            <v>0</v>
          </cell>
          <cell r="BC2526">
            <v>0</v>
          </cell>
        </row>
        <row r="2527">
          <cell r="A2527">
            <v>0</v>
          </cell>
          <cell r="B2527">
            <v>0</v>
          </cell>
          <cell r="E2527">
            <v>0</v>
          </cell>
          <cell r="F2527">
            <v>0</v>
          </cell>
          <cell r="AO2527">
            <v>0</v>
          </cell>
          <cell r="AP2527">
            <v>0</v>
          </cell>
          <cell r="AQ2527">
            <v>0</v>
          </cell>
          <cell r="BA2527">
            <v>0</v>
          </cell>
          <cell r="BC2527">
            <v>0</v>
          </cell>
        </row>
        <row r="2528">
          <cell r="A2528">
            <v>0</v>
          </cell>
          <cell r="B2528">
            <v>0</v>
          </cell>
          <cell r="E2528">
            <v>0</v>
          </cell>
          <cell r="F2528">
            <v>0</v>
          </cell>
          <cell r="AO2528">
            <v>0</v>
          </cell>
          <cell r="AP2528">
            <v>0</v>
          </cell>
          <cell r="AQ2528">
            <v>0</v>
          </cell>
          <cell r="BA2528">
            <v>0</v>
          </cell>
          <cell r="BC2528">
            <v>0</v>
          </cell>
        </row>
        <row r="2529">
          <cell r="A2529">
            <v>0</v>
          </cell>
          <cell r="B2529">
            <v>0</v>
          </cell>
          <cell r="E2529">
            <v>0</v>
          </cell>
          <cell r="F2529">
            <v>0</v>
          </cell>
          <cell r="AO2529">
            <v>0</v>
          </cell>
          <cell r="AP2529">
            <v>0</v>
          </cell>
          <cell r="AQ2529">
            <v>0</v>
          </cell>
          <cell r="BA2529">
            <v>0</v>
          </cell>
          <cell r="BC2529">
            <v>0</v>
          </cell>
        </row>
        <row r="2530">
          <cell r="A2530">
            <v>0</v>
          </cell>
          <cell r="B2530">
            <v>0</v>
          </cell>
          <cell r="E2530">
            <v>0</v>
          </cell>
          <cell r="F2530">
            <v>0</v>
          </cell>
          <cell r="AO2530">
            <v>0</v>
          </cell>
          <cell r="AP2530">
            <v>0</v>
          </cell>
          <cell r="AQ2530">
            <v>0</v>
          </cell>
          <cell r="BA2530">
            <v>0</v>
          </cell>
          <cell r="BC2530">
            <v>0</v>
          </cell>
        </row>
        <row r="2531">
          <cell r="A2531">
            <v>0</v>
          </cell>
          <cell r="B2531">
            <v>0</v>
          </cell>
          <cell r="E2531">
            <v>0</v>
          </cell>
          <cell r="F2531">
            <v>0</v>
          </cell>
          <cell r="AO2531">
            <v>0</v>
          </cell>
          <cell r="AP2531">
            <v>0</v>
          </cell>
          <cell r="AQ2531">
            <v>0</v>
          </cell>
          <cell r="BA2531">
            <v>0</v>
          </cell>
          <cell r="BC2531">
            <v>0</v>
          </cell>
        </row>
        <row r="2532">
          <cell r="A2532">
            <v>0</v>
          </cell>
          <cell r="B2532">
            <v>0</v>
          </cell>
          <cell r="E2532">
            <v>0</v>
          </cell>
          <cell r="F2532">
            <v>0</v>
          </cell>
          <cell r="AO2532">
            <v>0</v>
          </cell>
          <cell r="AP2532">
            <v>0</v>
          </cell>
          <cell r="AQ2532">
            <v>0</v>
          </cell>
          <cell r="BA2532">
            <v>0</v>
          </cell>
          <cell r="BC2532">
            <v>0</v>
          </cell>
        </row>
        <row r="2533">
          <cell r="A2533">
            <v>0</v>
          </cell>
          <cell r="B2533">
            <v>0</v>
          </cell>
          <cell r="E2533">
            <v>0</v>
          </cell>
          <cell r="F2533">
            <v>0</v>
          </cell>
          <cell r="AO2533">
            <v>0</v>
          </cell>
          <cell r="AP2533">
            <v>0</v>
          </cell>
          <cell r="AQ2533">
            <v>0</v>
          </cell>
          <cell r="BA2533">
            <v>0</v>
          </cell>
          <cell r="BC2533">
            <v>0</v>
          </cell>
        </row>
        <row r="2534">
          <cell r="A2534">
            <v>0</v>
          </cell>
          <cell r="B2534">
            <v>0</v>
          </cell>
          <cell r="E2534">
            <v>0</v>
          </cell>
          <cell r="F2534">
            <v>0</v>
          </cell>
          <cell r="AO2534">
            <v>0</v>
          </cell>
          <cell r="AP2534">
            <v>0</v>
          </cell>
          <cell r="AQ2534">
            <v>0</v>
          </cell>
          <cell r="BA2534">
            <v>0</v>
          </cell>
          <cell r="BC2534">
            <v>0</v>
          </cell>
        </row>
        <row r="2535">
          <cell r="A2535">
            <v>0</v>
          </cell>
          <cell r="B2535">
            <v>0</v>
          </cell>
          <cell r="E2535">
            <v>0</v>
          </cell>
          <cell r="F2535">
            <v>0</v>
          </cell>
          <cell r="AO2535">
            <v>0</v>
          </cell>
          <cell r="AP2535">
            <v>0</v>
          </cell>
          <cell r="AQ2535">
            <v>0</v>
          </cell>
          <cell r="BA2535">
            <v>0</v>
          </cell>
          <cell r="BC2535">
            <v>0</v>
          </cell>
        </row>
        <row r="2536">
          <cell r="A2536">
            <v>0</v>
          </cell>
          <cell r="B2536">
            <v>0</v>
          </cell>
          <cell r="E2536">
            <v>0</v>
          </cell>
          <cell r="F2536">
            <v>0</v>
          </cell>
          <cell r="AO2536">
            <v>0</v>
          </cell>
          <cell r="AP2536">
            <v>0</v>
          </cell>
          <cell r="AQ2536">
            <v>0</v>
          </cell>
          <cell r="BA2536">
            <v>0</v>
          </cell>
          <cell r="BC2536">
            <v>0</v>
          </cell>
        </row>
        <row r="2537">
          <cell r="A2537">
            <v>0</v>
          </cell>
          <cell r="B2537">
            <v>0</v>
          </cell>
          <cell r="E2537">
            <v>0</v>
          </cell>
          <cell r="F2537">
            <v>0</v>
          </cell>
          <cell r="AO2537">
            <v>0</v>
          </cell>
          <cell r="AP2537">
            <v>0</v>
          </cell>
          <cell r="AQ2537">
            <v>0</v>
          </cell>
          <cell r="BA2537">
            <v>0</v>
          </cell>
          <cell r="BC2537">
            <v>0</v>
          </cell>
        </row>
        <row r="2538">
          <cell r="A2538">
            <v>0</v>
          </cell>
          <cell r="B2538">
            <v>0</v>
          </cell>
          <cell r="E2538">
            <v>0</v>
          </cell>
          <cell r="F2538">
            <v>0</v>
          </cell>
          <cell r="AO2538">
            <v>0</v>
          </cell>
          <cell r="AP2538">
            <v>0</v>
          </cell>
          <cell r="AQ2538">
            <v>0</v>
          </cell>
          <cell r="BA2538">
            <v>0</v>
          </cell>
          <cell r="BC2538">
            <v>0</v>
          </cell>
        </row>
        <row r="2539">
          <cell r="A2539">
            <v>0</v>
          </cell>
          <cell r="B2539">
            <v>0</v>
          </cell>
          <cell r="E2539">
            <v>0</v>
          </cell>
          <cell r="F2539">
            <v>0</v>
          </cell>
          <cell r="AO2539">
            <v>0</v>
          </cell>
          <cell r="AP2539">
            <v>0</v>
          </cell>
          <cell r="AQ2539">
            <v>0</v>
          </cell>
          <cell r="BA2539">
            <v>0</v>
          </cell>
          <cell r="BC2539">
            <v>0</v>
          </cell>
        </row>
        <row r="2540">
          <cell r="A2540">
            <v>0</v>
          </cell>
          <cell r="B2540">
            <v>0</v>
          </cell>
          <cell r="E2540">
            <v>0</v>
          </cell>
          <cell r="F2540">
            <v>0</v>
          </cell>
          <cell r="AO2540">
            <v>0</v>
          </cell>
          <cell r="AP2540">
            <v>0</v>
          </cell>
          <cell r="AQ2540">
            <v>0</v>
          </cell>
          <cell r="BA2540">
            <v>0</v>
          </cell>
          <cell r="BC2540">
            <v>0</v>
          </cell>
        </row>
        <row r="2541">
          <cell r="A2541">
            <v>0</v>
          </cell>
          <cell r="B2541">
            <v>0</v>
          </cell>
          <cell r="E2541">
            <v>0</v>
          </cell>
          <cell r="F2541">
            <v>0</v>
          </cell>
          <cell r="AO2541">
            <v>0</v>
          </cell>
          <cell r="AP2541">
            <v>0</v>
          </cell>
          <cell r="AQ2541">
            <v>0</v>
          </cell>
          <cell r="BA2541">
            <v>0</v>
          </cell>
          <cell r="BC2541">
            <v>0</v>
          </cell>
        </row>
        <row r="2542">
          <cell r="A2542">
            <v>0</v>
          </cell>
          <cell r="B2542">
            <v>0</v>
          </cell>
          <cell r="E2542">
            <v>0</v>
          </cell>
          <cell r="F2542">
            <v>0</v>
          </cell>
          <cell r="AO2542">
            <v>0</v>
          </cell>
          <cell r="AP2542">
            <v>0</v>
          </cell>
          <cell r="AQ2542">
            <v>0</v>
          </cell>
          <cell r="BA2542">
            <v>0</v>
          </cell>
          <cell r="BC2542">
            <v>0</v>
          </cell>
        </row>
        <row r="2543">
          <cell r="A2543">
            <v>0</v>
          </cell>
          <cell r="B2543">
            <v>0</v>
          </cell>
          <cell r="E2543">
            <v>0</v>
          </cell>
          <cell r="F2543">
            <v>0</v>
          </cell>
          <cell r="AO2543">
            <v>0</v>
          </cell>
          <cell r="AP2543">
            <v>0</v>
          </cell>
          <cell r="AQ2543">
            <v>0</v>
          </cell>
          <cell r="BA2543">
            <v>0</v>
          </cell>
          <cell r="BC2543">
            <v>0</v>
          </cell>
        </row>
        <row r="2544">
          <cell r="A2544">
            <v>0</v>
          </cell>
          <cell r="B2544">
            <v>0</v>
          </cell>
          <cell r="E2544">
            <v>0</v>
          </cell>
          <cell r="F2544">
            <v>0</v>
          </cell>
          <cell r="AO2544">
            <v>0</v>
          </cell>
          <cell r="AP2544">
            <v>0</v>
          </cell>
          <cell r="AQ2544">
            <v>0</v>
          </cell>
          <cell r="BA2544">
            <v>0</v>
          </cell>
          <cell r="BC2544">
            <v>0</v>
          </cell>
        </row>
        <row r="2545">
          <cell r="A2545">
            <v>0</v>
          </cell>
          <cell r="B2545">
            <v>0</v>
          </cell>
          <cell r="E2545">
            <v>0</v>
          </cell>
          <cell r="F2545">
            <v>0</v>
          </cell>
          <cell r="AO2545">
            <v>0</v>
          </cell>
          <cell r="AP2545">
            <v>0</v>
          </cell>
          <cell r="AQ2545">
            <v>0</v>
          </cell>
          <cell r="BA2545">
            <v>0</v>
          </cell>
          <cell r="BC2545">
            <v>0</v>
          </cell>
        </row>
        <row r="2546">
          <cell r="A2546">
            <v>0</v>
          </cell>
          <cell r="B2546">
            <v>0</v>
          </cell>
          <cell r="E2546">
            <v>0</v>
          </cell>
          <cell r="F2546">
            <v>0</v>
          </cell>
          <cell r="AO2546">
            <v>0</v>
          </cell>
          <cell r="AP2546">
            <v>0</v>
          </cell>
          <cell r="AQ2546">
            <v>0</v>
          </cell>
          <cell r="BA2546">
            <v>0</v>
          </cell>
          <cell r="BC2546">
            <v>0</v>
          </cell>
        </row>
        <row r="2547">
          <cell r="A2547">
            <v>0</v>
          </cell>
          <cell r="B2547">
            <v>0</v>
          </cell>
          <cell r="E2547">
            <v>0</v>
          </cell>
          <cell r="F2547">
            <v>0</v>
          </cell>
          <cell r="AO2547">
            <v>0</v>
          </cell>
          <cell r="AP2547">
            <v>0</v>
          </cell>
          <cell r="AQ2547">
            <v>0</v>
          </cell>
          <cell r="BA2547">
            <v>0</v>
          </cell>
          <cell r="BC2547">
            <v>0</v>
          </cell>
        </row>
        <row r="2548">
          <cell r="A2548">
            <v>0</v>
          </cell>
          <cell r="B2548">
            <v>0</v>
          </cell>
          <cell r="E2548">
            <v>0</v>
          </cell>
          <cell r="F2548">
            <v>0</v>
          </cell>
          <cell r="AO2548">
            <v>0</v>
          </cell>
          <cell r="AP2548">
            <v>0</v>
          </cell>
          <cell r="AQ2548">
            <v>0</v>
          </cell>
          <cell r="BA2548">
            <v>0</v>
          </cell>
          <cell r="BC2548">
            <v>0</v>
          </cell>
        </row>
        <row r="2549">
          <cell r="A2549">
            <v>0</v>
          </cell>
          <cell r="B2549">
            <v>0</v>
          </cell>
          <cell r="E2549">
            <v>0</v>
          </cell>
          <cell r="F2549">
            <v>0</v>
          </cell>
          <cell r="AO2549">
            <v>0</v>
          </cell>
          <cell r="AP2549">
            <v>0</v>
          </cell>
          <cell r="AQ2549">
            <v>0</v>
          </cell>
          <cell r="BA2549">
            <v>0</v>
          </cell>
          <cell r="BC2549">
            <v>0</v>
          </cell>
        </row>
        <row r="2550">
          <cell r="A2550">
            <v>0</v>
          </cell>
          <cell r="B2550">
            <v>0</v>
          </cell>
          <cell r="E2550">
            <v>0</v>
          </cell>
          <cell r="F2550">
            <v>0</v>
          </cell>
          <cell r="AO2550">
            <v>0</v>
          </cell>
          <cell r="AP2550">
            <v>0</v>
          </cell>
          <cell r="AQ2550">
            <v>0</v>
          </cell>
          <cell r="BA2550">
            <v>0</v>
          </cell>
          <cell r="BC2550">
            <v>0</v>
          </cell>
        </row>
        <row r="2551">
          <cell r="A2551">
            <v>0</v>
          </cell>
          <cell r="B2551">
            <v>0</v>
          </cell>
          <cell r="E2551">
            <v>0</v>
          </cell>
          <cell r="F2551">
            <v>0</v>
          </cell>
          <cell r="AO2551">
            <v>0</v>
          </cell>
          <cell r="AP2551">
            <v>0</v>
          </cell>
          <cell r="AQ2551">
            <v>0</v>
          </cell>
          <cell r="BA2551">
            <v>0</v>
          </cell>
          <cell r="BC2551">
            <v>0</v>
          </cell>
        </row>
        <row r="2552">
          <cell r="A2552">
            <v>0</v>
          </cell>
          <cell r="B2552">
            <v>0</v>
          </cell>
          <cell r="E2552">
            <v>0</v>
          </cell>
          <cell r="F2552">
            <v>0</v>
          </cell>
          <cell r="AO2552">
            <v>0</v>
          </cell>
          <cell r="AP2552">
            <v>0</v>
          </cell>
          <cell r="AQ2552">
            <v>0</v>
          </cell>
          <cell r="BA2552">
            <v>0</v>
          </cell>
          <cell r="BC2552">
            <v>0</v>
          </cell>
        </row>
        <row r="2553">
          <cell r="A2553">
            <v>0</v>
          </cell>
          <cell r="B2553">
            <v>0</v>
          </cell>
          <cell r="E2553">
            <v>0</v>
          </cell>
          <cell r="F2553">
            <v>0</v>
          </cell>
          <cell r="AO2553">
            <v>0</v>
          </cell>
          <cell r="AP2553">
            <v>0</v>
          </cell>
          <cell r="AQ2553">
            <v>0</v>
          </cell>
          <cell r="BA2553">
            <v>0</v>
          </cell>
          <cell r="BC2553">
            <v>0</v>
          </cell>
        </row>
        <row r="2554">
          <cell r="A2554">
            <v>0</v>
          </cell>
          <cell r="B2554">
            <v>0</v>
          </cell>
          <cell r="E2554">
            <v>0</v>
          </cell>
          <cell r="F2554">
            <v>0</v>
          </cell>
          <cell r="AO2554">
            <v>0</v>
          </cell>
          <cell r="AP2554">
            <v>0</v>
          </cell>
          <cell r="AQ2554">
            <v>0</v>
          </cell>
          <cell r="BA2554">
            <v>0</v>
          </cell>
          <cell r="BC2554">
            <v>0</v>
          </cell>
        </row>
        <row r="2555">
          <cell r="A2555">
            <v>0</v>
          </cell>
          <cell r="B2555">
            <v>0</v>
          </cell>
          <cell r="E2555">
            <v>0</v>
          </cell>
          <cell r="F2555">
            <v>0</v>
          </cell>
          <cell r="AO2555">
            <v>0</v>
          </cell>
          <cell r="AP2555">
            <v>0</v>
          </cell>
          <cell r="AQ2555">
            <v>0</v>
          </cell>
          <cell r="BA2555">
            <v>0</v>
          </cell>
          <cell r="BC2555">
            <v>0</v>
          </cell>
        </row>
        <row r="2556">
          <cell r="A2556">
            <v>0</v>
          </cell>
          <cell r="B2556">
            <v>0</v>
          </cell>
          <cell r="E2556">
            <v>0</v>
          </cell>
          <cell r="F2556">
            <v>0</v>
          </cell>
          <cell r="AO2556">
            <v>0</v>
          </cell>
          <cell r="AP2556">
            <v>0</v>
          </cell>
          <cell r="AQ2556">
            <v>0</v>
          </cell>
          <cell r="BA2556">
            <v>0</v>
          </cell>
          <cell r="BC2556">
            <v>0</v>
          </cell>
        </row>
        <row r="2557">
          <cell r="A2557">
            <v>0</v>
          </cell>
          <cell r="B2557">
            <v>0</v>
          </cell>
          <cell r="E2557">
            <v>0</v>
          </cell>
          <cell r="F2557">
            <v>0</v>
          </cell>
          <cell r="AO2557">
            <v>0</v>
          </cell>
          <cell r="AP2557">
            <v>0</v>
          </cell>
          <cell r="AQ2557">
            <v>0</v>
          </cell>
          <cell r="BA2557">
            <v>0</v>
          </cell>
          <cell r="BC2557">
            <v>0</v>
          </cell>
        </row>
        <row r="2558">
          <cell r="A2558">
            <v>0</v>
          </cell>
          <cell r="B2558">
            <v>0</v>
          </cell>
          <cell r="E2558">
            <v>0</v>
          </cell>
          <cell r="F2558">
            <v>0</v>
          </cell>
          <cell r="AO2558">
            <v>0</v>
          </cell>
          <cell r="AP2558">
            <v>0</v>
          </cell>
          <cell r="AQ2558">
            <v>0</v>
          </cell>
          <cell r="BA2558">
            <v>0</v>
          </cell>
          <cell r="BC2558">
            <v>0</v>
          </cell>
        </row>
        <row r="2559">
          <cell r="A2559">
            <v>0</v>
          </cell>
          <cell r="B2559">
            <v>0</v>
          </cell>
          <cell r="E2559">
            <v>0</v>
          </cell>
          <cell r="F2559">
            <v>0</v>
          </cell>
          <cell r="AO2559">
            <v>0</v>
          </cell>
          <cell r="AP2559">
            <v>0</v>
          </cell>
          <cell r="AQ2559">
            <v>0</v>
          </cell>
          <cell r="BA2559">
            <v>0</v>
          </cell>
          <cell r="BC2559">
            <v>0</v>
          </cell>
        </row>
        <row r="2560">
          <cell r="A2560">
            <v>0</v>
          </cell>
          <cell r="B2560">
            <v>0</v>
          </cell>
          <cell r="E2560">
            <v>0</v>
          </cell>
          <cell r="F2560">
            <v>0</v>
          </cell>
          <cell r="AO2560">
            <v>0</v>
          </cell>
          <cell r="AP2560">
            <v>0</v>
          </cell>
          <cell r="AQ2560">
            <v>0</v>
          </cell>
          <cell r="BA2560">
            <v>0</v>
          </cell>
          <cell r="BC2560">
            <v>0</v>
          </cell>
        </row>
        <row r="2561">
          <cell r="A2561">
            <v>0</v>
          </cell>
          <cell r="B2561">
            <v>0</v>
          </cell>
          <cell r="E2561">
            <v>0</v>
          </cell>
          <cell r="F2561">
            <v>0</v>
          </cell>
          <cell r="AO2561">
            <v>0</v>
          </cell>
          <cell r="AP2561">
            <v>0</v>
          </cell>
          <cell r="AQ2561">
            <v>0</v>
          </cell>
          <cell r="BA2561">
            <v>0</v>
          </cell>
          <cell r="BC2561">
            <v>0</v>
          </cell>
        </row>
        <row r="2562">
          <cell r="A2562">
            <v>0</v>
          </cell>
          <cell r="B2562">
            <v>0</v>
          </cell>
          <cell r="E2562">
            <v>0</v>
          </cell>
          <cell r="F2562">
            <v>0</v>
          </cell>
          <cell r="AO2562">
            <v>0</v>
          </cell>
          <cell r="AP2562">
            <v>0</v>
          </cell>
          <cell r="AQ2562">
            <v>0</v>
          </cell>
          <cell r="BA2562">
            <v>0</v>
          </cell>
          <cell r="BC2562">
            <v>0</v>
          </cell>
        </row>
        <row r="2563">
          <cell r="A2563">
            <v>0</v>
          </cell>
          <cell r="B2563">
            <v>0</v>
          </cell>
          <cell r="E2563">
            <v>0</v>
          </cell>
          <cell r="F2563">
            <v>0</v>
          </cell>
          <cell r="AO2563">
            <v>0</v>
          </cell>
          <cell r="AP2563">
            <v>0</v>
          </cell>
          <cell r="AQ2563">
            <v>0</v>
          </cell>
          <cell r="BA2563">
            <v>0</v>
          </cell>
          <cell r="BC2563">
            <v>0</v>
          </cell>
        </row>
        <row r="2564">
          <cell r="A2564">
            <v>0</v>
          </cell>
          <cell r="B2564">
            <v>0</v>
          </cell>
          <cell r="E2564">
            <v>0</v>
          </cell>
          <cell r="F2564">
            <v>0</v>
          </cell>
          <cell r="AO2564">
            <v>0</v>
          </cell>
          <cell r="AP2564">
            <v>0</v>
          </cell>
          <cell r="AQ2564">
            <v>0</v>
          </cell>
          <cell r="BA2564">
            <v>0</v>
          </cell>
          <cell r="BC2564">
            <v>0</v>
          </cell>
        </row>
        <row r="2565">
          <cell r="A2565">
            <v>0</v>
          </cell>
          <cell r="B2565">
            <v>0</v>
          </cell>
          <cell r="E2565">
            <v>0</v>
          </cell>
          <cell r="F2565">
            <v>0</v>
          </cell>
          <cell r="AO2565">
            <v>0</v>
          </cell>
          <cell r="AP2565">
            <v>0</v>
          </cell>
          <cell r="AQ2565">
            <v>0</v>
          </cell>
          <cell r="BA2565">
            <v>0</v>
          </cell>
          <cell r="BC2565">
            <v>0</v>
          </cell>
        </row>
        <row r="2566">
          <cell r="A2566">
            <v>0</v>
          </cell>
          <cell r="B2566">
            <v>0</v>
          </cell>
          <cell r="E2566">
            <v>0</v>
          </cell>
          <cell r="F2566">
            <v>0</v>
          </cell>
          <cell r="AO2566">
            <v>0</v>
          </cell>
          <cell r="AP2566">
            <v>0</v>
          </cell>
          <cell r="AQ2566">
            <v>0</v>
          </cell>
          <cell r="BA2566">
            <v>0</v>
          </cell>
          <cell r="BC2566">
            <v>0</v>
          </cell>
        </row>
        <row r="2567">
          <cell r="A2567">
            <v>0</v>
          </cell>
          <cell r="B2567">
            <v>0</v>
          </cell>
          <cell r="E2567">
            <v>0</v>
          </cell>
          <cell r="F2567">
            <v>0</v>
          </cell>
          <cell r="AO2567">
            <v>0</v>
          </cell>
          <cell r="AP2567">
            <v>0</v>
          </cell>
          <cell r="AQ2567">
            <v>0</v>
          </cell>
          <cell r="BA2567">
            <v>0</v>
          </cell>
          <cell r="BC2567">
            <v>0</v>
          </cell>
        </row>
        <row r="2568">
          <cell r="A2568">
            <v>0</v>
          </cell>
          <cell r="B2568">
            <v>0</v>
          </cell>
          <cell r="E2568">
            <v>0</v>
          </cell>
          <cell r="F2568">
            <v>0</v>
          </cell>
          <cell r="AO2568">
            <v>0</v>
          </cell>
          <cell r="AP2568">
            <v>0</v>
          </cell>
          <cell r="AQ2568">
            <v>0</v>
          </cell>
          <cell r="BA2568">
            <v>0</v>
          </cell>
          <cell r="BC2568">
            <v>0</v>
          </cell>
        </row>
        <row r="2569">
          <cell r="A2569">
            <v>0</v>
          </cell>
          <cell r="B2569">
            <v>0</v>
          </cell>
          <cell r="E2569">
            <v>0</v>
          </cell>
          <cell r="F2569">
            <v>0</v>
          </cell>
          <cell r="AO2569">
            <v>0</v>
          </cell>
          <cell r="AP2569">
            <v>0</v>
          </cell>
          <cell r="AQ2569">
            <v>0</v>
          </cell>
          <cell r="BA2569">
            <v>0</v>
          </cell>
          <cell r="BC2569">
            <v>0</v>
          </cell>
        </row>
        <row r="2570">
          <cell r="A2570">
            <v>0</v>
          </cell>
          <cell r="B2570">
            <v>0</v>
          </cell>
          <cell r="E2570">
            <v>0</v>
          </cell>
          <cell r="F2570">
            <v>0</v>
          </cell>
          <cell r="AO2570">
            <v>0</v>
          </cell>
          <cell r="AP2570">
            <v>0</v>
          </cell>
          <cell r="AQ2570">
            <v>0</v>
          </cell>
          <cell r="BA2570">
            <v>0</v>
          </cell>
          <cell r="BC2570">
            <v>0</v>
          </cell>
        </row>
        <row r="2571">
          <cell r="A2571">
            <v>0</v>
          </cell>
          <cell r="B2571">
            <v>0</v>
          </cell>
          <cell r="E2571">
            <v>0</v>
          </cell>
          <cell r="F2571">
            <v>0</v>
          </cell>
          <cell r="AO2571">
            <v>0</v>
          </cell>
          <cell r="AP2571">
            <v>0</v>
          </cell>
          <cell r="AQ2571">
            <v>0</v>
          </cell>
          <cell r="BA2571">
            <v>0</v>
          </cell>
          <cell r="BC2571">
            <v>0</v>
          </cell>
        </row>
        <row r="2572">
          <cell r="A2572">
            <v>0</v>
          </cell>
          <cell r="B2572">
            <v>0</v>
          </cell>
          <cell r="E2572">
            <v>0</v>
          </cell>
          <cell r="F2572">
            <v>0</v>
          </cell>
          <cell r="AO2572">
            <v>0</v>
          </cell>
          <cell r="AP2572">
            <v>0</v>
          </cell>
          <cell r="AQ2572">
            <v>0</v>
          </cell>
          <cell r="BA2572">
            <v>0</v>
          </cell>
          <cell r="BC2572">
            <v>0</v>
          </cell>
        </row>
        <row r="2573">
          <cell r="A2573">
            <v>0</v>
          </cell>
          <cell r="B2573">
            <v>0</v>
          </cell>
          <cell r="E2573">
            <v>0</v>
          </cell>
          <cell r="F2573">
            <v>0</v>
          </cell>
          <cell r="AO2573">
            <v>0</v>
          </cell>
          <cell r="AP2573">
            <v>0</v>
          </cell>
          <cell r="AQ2573">
            <v>0</v>
          </cell>
          <cell r="BA2573">
            <v>0</v>
          </cell>
          <cell r="BC2573">
            <v>0</v>
          </cell>
        </row>
        <row r="2574">
          <cell r="A2574">
            <v>0</v>
          </cell>
          <cell r="B2574">
            <v>0</v>
          </cell>
          <cell r="E2574">
            <v>0</v>
          </cell>
          <cell r="F2574">
            <v>0</v>
          </cell>
          <cell r="AO2574">
            <v>0</v>
          </cell>
          <cell r="AP2574">
            <v>0</v>
          </cell>
          <cell r="AQ2574">
            <v>0</v>
          </cell>
          <cell r="BA2574">
            <v>0</v>
          </cell>
          <cell r="BC2574">
            <v>0</v>
          </cell>
        </row>
        <row r="2575">
          <cell r="A2575">
            <v>0</v>
          </cell>
          <cell r="B2575">
            <v>0</v>
          </cell>
          <cell r="E2575">
            <v>0</v>
          </cell>
          <cell r="F2575">
            <v>0</v>
          </cell>
          <cell r="AO2575">
            <v>0</v>
          </cell>
          <cell r="AP2575">
            <v>0</v>
          </cell>
          <cell r="AQ2575">
            <v>0</v>
          </cell>
          <cell r="BA2575">
            <v>0</v>
          </cell>
          <cell r="BC2575">
            <v>0</v>
          </cell>
        </row>
        <row r="2576">
          <cell r="A2576">
            <v>0</v>
          </cell>
          <cell r="B2576">
            <v>0</v>
          </cell>
          <cell r="E2576">
            <v>0</v>
          </cell>
          <cell r="F2576">
            <v>0</v>
          </cell>
          <cell r="AO2576">
            <v>0</v>
          </cell>
          <cell r="AP2576">
            <v>0</v>
          </cell>
          <cell r="AQ2576">
            <v>0</v>
          </cell>
          <cell r="BA2576">
            <v>0</v>
          </cell>
          <cell r="BC2576">
            <v>0</v>
          </cell>
        </row>
        <row r="2577">
          <cell r="A2577">
            <v>0</v>
          </cell>
          <cell r="B2577">
            <v>0</v>
          </cell>
          <cell r="E2577">
            <v>0</v>
          </cell>
          <cell r="F2577">
            <v>0</v>
          </cell>
          <cell r="AO2577">
            <v>0</v>
          </cell>
          <cell r="AP2577">
            <v>0</v>
          </cell>
          <cell r="AQ2577">
            <v>0</v>
          </cell>
          <cell r="BA2577">
            <v>0</v>
          </cell>
          <cell r="BC2577">
            <v>0</v>
          </cell>
        </row>
        <row r="2578">
          <cell r="A2578">
            <v>0</v>
          </cell>
          <cell r="B2578">
            <v>0</v>
          </cell>
          <cell r="E2578">
            <v>0</v>
          </cell>
          <cell r="F2578">
            <v>0</v>
          </cell>
          <cell r="AO2578">
            <v>0</v>
          </cell>
          <cell r="AP2578">
            <v>0</v>
          </cell>
          <cell r="AQ2578">
            <v>0</v>
          </cell>
          <cell r="BA2578">
            <v>0</v>
          </cell>
          <cell r="BC2578">
            <v>0</v>
          </cell>
        </row>
        <row r="2579">
          <cell r="A2579">
            <v>0</v>
          </cell>
          <cell r="B2579">
            <v>0</v>
          </cell>
          <cell r="E2579">
            <v>0</v>
          </cell>
          <cell r="F2579">
            <v>0</v>
          </cell>
          <cell r="AO2579">
            <v>0</v>
          </cell>
          <cell r="AP2579">
            <v>0</v>
          </cell>
          <cell r="AQ2579">
            <v>0</v>
          </cell>
          <cell r="BA2579">
            <v>0</v>
          </cell>
          <cell r="BC2579">
            <v>0</v>
          </cell>
        </row>
        <row r="2580">
          <cell r="A2580">
            <v>0</v>
          </cell>
          <cell r="B2580">
            <v>0</v>
          </cell>
          <cell r="E2580">
            <v>0</v>
          </cell>
          <cell r="F2580">
            <v>0</v>
          </cell>
          <cell r="AO2580">
            <v>0</v>
          </cell>
          <cell r="AP2580">
            <v>0</v>
          </cell>
          <cell r="AQ2580">
            <v>0</v>
          </cell>
          <cell r="BA2580">
            <v>0</v>
          </cell>
          <cell r="BC2580">
            <v>0</v>
          </cell>
        </row>
        <row r="2581">
          <cell r="A2581">
            <v>0</v>
          </cell>
          <cell r="B2581">
            <v>0</v>
          </cell>
          <cell r="E2581">
            <v>0</v>
          </cell>
          <cell r="F2581">
            <v>0</v>
          </cell>
          <cell r="AO2581">
            <v>0</v>
          </cell>
          <cell r="AP2581">
            <v>0</v>
          </cell>
          <cell r="AQ2581">
            <v>0</v>
          </cell>
          <cell r="BA2581">
            <v>0</v>
          </cell>
          <cell r="BC2581">
            <v>0</v>
          </cell>
        </row>
        <row r="2582">
          <cell r="A2582">
            <v>0</v>
          </cell>
          <cell r="B2582">
            <v>0</v>
          </cell>
          <cell r="E2582">
            <v>0</v>
          </cell>
          <cell r="F2582">
            <v>0</v>
          </cell>
          <cell r="AO2582">
            <v>0</v>
          </cell>
          <cell r="AP2582">
            <v>0</v>
          </cell>
          <cell r="AQ2582">
            <v>0</v>
          </cell>
          <cell r="BA2582">
            <v>0</v>
          </cell>
          <cell r="BC2582">
            <v>0</v>
          </cell>
        </row>
        <row r="2583">
          <cell r="A2583">
            <v>0</v>
          </cell>
          <cell r="B2583">
            <v>0</v>
          </cell>
          <cell r="E2583">
            <v>0</v>
          </cell>
          <cell r="F2583">
            <v>0</v>
          </cell>
          <cell r="AO2583">
            <v>0</v>
          </cell>
          <cell r="AP2583">
            <v>0</v>
          </cell>
          <cell r="AQ2583">
            <v>0</v>
          </cell>
          <cell r="BA2583">
            <v>0</v>
          </cell>
          <cell r="BC2583">
            <v>0</v>
          </cell>
        </row>
        <row r="2584">
          <cell r="A2584">
            <v>0</v>
          </cell>
          <cell r="B2584">
            <v>0</v>
          </cell>
          <cell r="E2584">
            <v>0</v>
          </cell>
          <cell r="F2584">
            <v>0</v>
          </cell>
          <cell r="AO2584">
            <v>0</v>
          </cell>
          <cell r="AP2584">
            <v>0</v>
          </cell>
          <cell r="AQ2584">
            <v>0</v>
          </cell>
          <cell r="BA2584">
            <v>0</v>
          </cell>
          <cell r="BC2584">
            <v>0</v>
          </cell>
        </row>
        <row r="2585">
          <cell r="A2585">
            <v>0</v>
          </cell>
          <cell r="B2585">
            <v>0</v>
          </cell>
          <cell r="E2585">
            <v>0</v>
          </cell>
          <cell r="F2585">
            <v>0</v>
          </cell>
          <cell r="AO2585">
            <v>0</v>
          </cell>
          <cell r="AP2585">
            <v>0</v>
          </cell>
          <cell r="AQ2585">
            <v>0</v>
          </cell>
          <cell r="BA2585">
            <v>0</v>
          </cell>
          <cell r="BC2585">
            <v>0</v>
          </cell>
        </row>
        <row r="2586">
          <cell r="A2586">
            <v>0</v>
          </cell>
          <cell r="B2586">
            <v>0</v>
          </cell>
          <cell r="E2586">
            <v>0</v>
          </cell>
          <cell r="F2586">
            <v>0</v>
          </cell>
          <cell r="AO2586">
            <v>0</v>
          </cell>
          <cell r="AP2586">
            <v>0</v>
          </cell>
          <cell r="AQ2586">
            <v>0</v>
          </cell>
          <cell r="BA2586">
            <v>0</v>
          </cell>
          <cell r="BC2586">
            <v>0</v>
          </cell>
        </row>
        <row r="2587">
          <cell r="A2587">
            <v>0</v>
          </cell>
          <cell r="B2587">
            <v>0</v>
          </cell>
          <cell r="E2587">
            <v>0</v>
          </cell>
          <cell r="F2587">
            <v>0</v>
          </cell>
          <cell r="AO2587">
            <v>0</v>
          </cell>
          <cell r="AP2587">
            <v>0</v>
          </cell>
          <cell r="AQ2587">
            <v>0</v>
          </cell>
          <cell r="BA2587">
            <v>0</v>
          </cell>
          <cell r="BC2587">
            <v>0</v>
          </cell>
        </row>
        <row r="2588">
          <cell r="A2588">
            <v>0</v>
          </cell>
          <cell r="B2588">
            <v>0</v>
          </cell>
          <cell r="E2588">
            <v>0</v>
          </cell>
          <cell r="F2588">
            <v>0</v>
          </cell>
          <cell r="AO2588">
            <v>0</v>
          </cell>
          <cell r="AP2588">
            <v>0</v>
          </cell>
          <cell r="AQ2588">
            <v>0</v>
          </cell>
          <cell r="BA2588">
            <v>0</v>
          </cell>
          <cell r="BC2588">
            <v>0</v>
          </cell>
        </row>
        <row r="2589">
          <cell r="A2589">
            <v>0</v>
          </cell>
          <cell r="B2589">
            <v>0</v>
          </cell>
          <cell r="E2589">
            <v>0</v>
          </cell>
          <cell r="F2589">
            <v>0</v>
          </cell>
          <cell r="AO2589">
            <v>0</v>
          </cell>
          <cell r="AP2589">
            <v>0</v>
          </cell>
          <cell r="AQ2589">
            <v>0</v>
          </cell>
          <cell r="BA2589">
            <v>0</v>
          </cell>
          <cell r="BC2589">
            <v>0</v>
          </cell>
        </row>
        <row r="2590">
          <cell r="A2590">
            <v>0</v>
          </cell>
          <cell r="B2590">
            <v>0</v>
          </cell>
          <cell r="E2590">
            <v>0</v>
          </cell>
          <cell r="F2590">
            <v>0</v>
          </cell>
          <cell r="AO2590">
            <v>0</v>
          </cell>
          <cell r="AP2590">
            <v>0</v>
          </cell>
          <cell r="AQ2590">
            <v>0</v>
          </cell>
          <cell r="BA2590">
            <v>0</v>
          </cell>
          <cell r="BC2590">
            <v>0</v>
          </cell>
        </row>
        <row r="2591">
          <cell r="A2591">
            <v>0</v>
          </cell>
          <cell r="B2591">
            <v>0</v>
          </cell>
          <cell r="E2591">
            <v>0</v>
          </cell>
          <cell r="F2591">
            <v>0</v>
          </cell>
          <cell r="AO2591">
            <v>0</v>
          </cell>
          <cell r="AP2591">
            <v>0</v>
          </cell>
          <cell r="AQ2591">
            <v>0</v>
          </cell>
          <cell r="BA2591">
            <v>0</v>
          </cell>
          <cell r="BC2591">
            <v>0</v>
          </cell>
        </row>
        <row r="2592">
          <cell r="A2592">
            <v>0</v>
          </cell>
          <cell r="B2592">
            <v>0</v>
          </cell>
          <cell r="E2592">
            <v>0</v>
          </cell>
          <cell r="F2592">
            <v>0</v>
          </cell>
          <cell r="AO2592">
            <v>0</v>
          </cell>
          <cell r="AP2592">
            <v>0</v>
          </cell>
          <cell r="AQ2592">
            <v>0</v>
          </cell>
          <cell r="BA2592">
            <v>0</v>
          </cell>
          <cell r="BC2592">
            <v>0</v>
          </cell>
        </row>
        <row r="2593">
          <cell r="A2593">
            <v>0</v>
          </cell>
          <cell r="B2593">
            <v>0</v>
          </cell>
          <cell r="E2593">
            <v>0</v>
          </cell>
          <cell r="F2593">
            <v>0</v>
          </cell>
          <cell r="AO2593">
            <v>0</v>
          </cell>
          <cell r="AP2593">
            <v>0</v>
          </cell>
          <cell r="AQ2593">
            <v>0</v>
          </cell>
          <cell r="BA2593">
            <v>0</v>
          </cell>
          <cell r="BC2593">
            <v>0</v>
          </cell>
        </row>
        <row r="2594">
          <cell r="A2594">
            <v>0</v>
          </cell>
          <cell r="B2594">
            <v>0</v>
          </cell>
          <cell r="E2594">
            <v>0</v>
          </cell>
          <cell r="F2594">
            <v>0</v>
          </cell>
          <cell r="AO2594">
            <v>0</v>
          </cell>
          <cell r="AP2594">
            <v>0</v>
          </cell>
          <cell r="AQ2594">
            <v>0</v>
          </cell>
          <cell r="BA2594">
            <v>0</v>
          </cell>
          <cell r="BC2594">
            <v>0</v>
          </cell>
        </row>
        <row r="2595">
          <cell r="A2595">
            <v>0</v>
          </cell>
          <cell r="B2595">
            <v>0</v>
          </cell>
          <cell r="E2595">
            <v>0</v>
          </cell>
          <cell r="F2595">
            <v>0</v>
          </cell>
          <cell r="AO2595">
            <v>0</v>
          </cell>
          <cell r="AP2595">
            <v>0</v>
          </cell>
          <cell r="AQ2595">
            <v>0</v>
          </cell>
          <cell r="BA2595">
            <v>0</v>
          </cell>
          <cell r="BC2595">
            <v>0</v>
          </cell>
        </row>
        <row r="2596">
          <cell r="A2596">
            <v>0</v>
          </cell>
          <cell r="B2596">
            <v>0</v>
          </cell>
          <cell r="E2596">
            <v>0</v>
          </cell>
          <cell r="F2596">
            <v>0</v>
          </cell>
          <cell r="AO2596">
            <v>0</v>
          </cell>
          <cell r="AP2596">
            <v>0</v>
          </cell>
          <cell r="AQ2596">
            <v>0</v>
          </cell>
          <cell r="BA2596">
            <v>0</v>
          </cell>
          <cell r="BC2596">
            <v>0</v>
          </cell>
        </row>
        <row r="2597">
          <cell r="A2597">
            <v>0</v>
          </cell>
          <cell r="B2597">
            <v>0</v>
          </cell>
          <cell r="E2597">
            <v>0</v>
          </cell>
          <cell r="F2597">
            <v>0</v>
          </cell>
          <cell r="AO2597">
            <v>0</v>
          </cell>
          <cell r="AP2597">
            <v>0</v>
          </cell>
          <cell r="AQ2597">
            <v>0</v>
          </cell>
          <cell r="BA2597">
            <v>0</v>
          </cell>
          <cell r="BC2597">
            <v>0</v>
          </cell>
        </row>
        <row r="2598">
          <cell r="A2598">
            <v>0</v>
          </cell>
          <cell r="B2598">
            <v>0</v>
          </cell>
          <cell r="E2598">
            <v>0</v>
          </cell>
          <cell r="F2598">
            <v>0</v>
          </cell>
          <cell r="AO2598">
            <v>0</v>
          </cell>
          <cell r="AP2598">
            <v>0</v>
          </cell>
          <cell r="AQ2598">
            <v>0</v>
          </cell>
          <cell r="BA2598">
            <v>0</v>
          </cell>
          <cell r="BC2598">
            <v>0</v>
          </cell>
        </row>
        <row r="2599">
          <cell r="A2599">
            <v>0</v>
          </cell>
          <cell r="B2599">
            <v>0</v>
          </cell>
          <cell r="E2599">
            <v>0</v>
          </cell>
          <cell r="F2599">
            <v>0</v>
          </cell>
          <cell r="AO2599">
            <v>0</v>
          </cell>
          <cell r="AP2599">
            <v>0</v>
          </cell>
          <cell r="AQ2599">
            <v>0</v>
          </cell>
          <cell r="BA2599">
            <v>0</v>
          </cell>
          <cell r="BC2599">
            <v>0</v>
          </cell>
        </row>
        <row r="2600">
          <cell r="A2600">
            <v>0</v>
          </cell>
          <cell r="B2600">
            <v>0</v>
          </cell>
          <cell r="E2600">
            <v>0</v>
          </cell>
          <cell r="F2600">
            <v>0</v>
          </cell>
          <cell r="AO2600">
            <v>0</v>
          </cell>
          <cell r="AP2600">
            <v>0</v>
          </cell>
          <cell r="AQ2600">
            <v>0</v>
          </cell>
          <cell r="BA2600">
            <v>0</v>
          </cell>
          <cell r="BC2600">
            <v>0</v>
          </cell>
        </row>
        <row r="2601">
          <cell r="A2601">
            <v>0</v>
          </cell>
          <cell r="B2601">
            <v>0</v>
          </cell>
          <cell r="E2601">
            <v>0</v>
          </cell>
          <cell r="F2601">
            <v>0</v>
          </cell>
          <cell r="AO2601">
            <v>0</v>
          </cell>
          <cell r="AP2601">
            <v>0</v>
          </cell>
          <cell r="AQ2601">
            <v>0</v>
          </cell>
          <cell r="BA2601">
            <v>0</v>
          </cell>
          <cell r="BC2601">
            <v>0</v>
          </cell>
        </row>
        <row r="2602">
          <cell r="A2602">
            <v>0</v>
          </cell>
          <cell r="B2602">
            <v>0</v>
          </cell>
          <cell r="E2602">
            <v>0</v>
          </cell>
          <cell r="F2602">
            <v>0</v>
          </cell>
          <cell r="AO2602">
            <v>0</v>
          </cell>
          <cell r="AP2602">
            <v>0</v>
          </cell>
          <cell r="AQ2602">
            <v>0</v>
          </cell>
          <cell r="BA2602">
            <v>0</v>
          </cell>
          <cell r="BC2602">
            <v>0</v>
          </cell>
        </row>
        <row r="2603">
          <cell r="A2603">
            <v>0</v>
          </cell>
          <cell r="B2603">
            <v>0</v>
          </cell>
          <cell r="E2603">
            <v>0</v>
          </cell>
          <cell r="F2603">
            <v>0</v>
          </cell>
          <cell r="AO2603">
            <v>0</v>
          </cell>
          <cell r="AP2603">
            <v>0</v>
          </cell>
          <cell r="AQ2603">
            <v>0</v>
          </cell>
          <cell r="BA2603">
            <v>0</v>
          </cell>
          <cell r="BC2603">
            <v>0</v>
          </cell>
        </row>
        <row r="2604">
          <cell r="A2604">
            <v>0</v>
          </cell>
          <cell r="B2604">
            <v>0</v>
          </cell>
          <cell r="E2604">
            <v>0</v>
          </cell>
          <cell r="F2604">
            <v>0</v>
          </cell>
          <cell r="AO2604">
            <v>0</v>
          </cell>
          <cell r="AP2604">
            <v>0</v>
          </cell>
          <cell r="AQ2604">
            <v>0</v>
          </cell>
          <cell r="BA2604">
            <v>0</v>
          </cell>
          <cell r="BC2604">
            <v>0</v>
          </cell>
        </row>
        <row r="2605">
          <cell r="A2605">
            <v>0</v>
          </cell>
          <cell r="B2605">
            <v>0</v>
          </cell>
          <cell r="E2605">
            <v>0</v>
          </cell>
          <cell r="F2605">
            <v>0</v>
          </cell>
          <cell r="AO2605">
            <v>0</v>
          </cell>
          <cell r="AP2605">
            <v>0</v>
          </cell>
          <cell r="AQ2605">
            <v>0</v>
          </cell>
          <cell r="BA2605">
            <v>0</v>
          </cell>
          <cell r="BC2605">
            <v>0</v>
          </cell>
        </row>
        <row r="2606">
          <cell r="A2606">
            <v>0</v>
          </cell>
          <cell r="B2606">
            <v>0</v>
          </cell>
          <cell r="E2606">
            <v>0</v>
          </cell>
          <cell r="F2606">
            <v>0</v>
          </cell>
          <cell r="AO2606">
            <v>0</v>
          </cell>
          <cell r="AP2606">
            <v>0</v>
          </cell>
          <cell r="AQ2606">
            <v>0</v>
          </cell>
          <cell r="BA2606">
            <v>0</v>
          </cell>
          <cell r="BC2606">
            <v>0</v>
          </cell>
        </row>
        <row r="2607">
          <cell r="A2607">
            <v>0</v>
          </cell>
          <cell r="B2607">
            <v>0</v>
          </cell>
          <cell r="E2607">
            <v>0</v>
          </cell>
          <cell r="F2607">
            <v>0</v>
          </cell>
          <cell r="AO2607">
            <v>0</v>
          </cell>
          <cell r="AP2607">
            <v>0</v>
          </cell>
          <cell r="AQ2607">
            <v>0</v>
          </cell>
          <cell r="BA2607">
            <v>0</v>
          </cell>
          <cell r="BC2607">
            <v>0</v>
          </cell>
        </row>
        <row r="2608">
          <cell r="A2608">
            <v>0</v>
          </cell>
          <cell r="B2608">
            <v>0</v>
          </cell>
          <cell r="E2608">
            <v>0</v>
          </cell>
          <cell r="F2608">
            <v>0</v>
          </cell>
          <cell r="AO2608">
            <v>0</v>
          </cell>
          <cell r="AP2608">
            <v>0</v>
          </cell>
          <cell r="AQ2608">
            <v>0</v>
          </cell>
          <cell r="BA2608">
            <v>0</v>
          </cell>
          <cell r="BC2608">
            <v>0</v>
          </cell>
        </row>
        <row r="2609">
          <cell r="A2609">
            <v>0</v>
          </cell>
          <cell r="B2609">
            <v>0</v>
          </cell>
          <cell r="E2609">
            <v>0</v>
          </cell>
          <cell r="F2609">
            <v>0</v>
          </cell>
          <cell r="AO2609">
            <v>0</v>
          </cell>
          <cell r="AP2609">
            <v>0</v>
          </cell>
          <cell r="AQ2609">
            <v>0</v>
          </cell>
          <cell r="BA2609">
            <v>0</v>
          </cell>
          <cell r="BC2609">
            <v>0</v>
          </cell>
        </row>
        <row r="2610">
          <cell r="A2610">
            <v>0</v>
          </cell>
          <cell r="B2610">
            <v>0</v>
          </cell>
          <cell r="E2610">
            <v>0</v>
          </cell>
          <cell r="F2610">
            <v>0</v>
          </cell>
          <cell r="AO2610">
            <v>0</v>
          </cell>
          <cell r="AP2610">
            <v>0</v>
          </cell>
          <cell r="AQ2610">
            <v>0</v>
          </cell>
          <cell r="BA2610">
            <v>0</v>
          </cell>
          <cell r="BC2610">
            <v>0</v>
          </cell>
        </row>
        <row r="2611">
          <cell r="A2611">
            <v>0</v>
          </cell>
          <cell r="B2611">
            <v>0</v>
          </cell>
          <cell r="E2611">
            <v>0</v>
          </cell>
          <cell r="F2611">
            <v>0</v>
          </cell>
          <cell r="AO2611">
            <v>0</v>
          </cell>
          <cell r="AP2611">
            <v>0</v>
          </cell>
          <cell r="AQ2611">
            <v>0</v>
          </cell>
          <cell r="BA2611">
            <v>0</v>
          </cell>
          <cell r="BC2611">
            <v>0</v>
          </cell>
        </row>
        <row r="2612">
          <cell r="A2612">
            <v>0</v>
          </cell>
          <cell r="B2612">
            <v>0</v>
          </cell>
          <cell r="E2612">
            <v>0</v>
          </cell>
          <cell r="F2612">
            <v>0</v>
          </cell>
          <cell r="AO2612">
            <v>0</v>
          </cell>
          <cell r="AP2612">
            <v>0</v>
          </cell>
          <cell r="AQ2612">
            <v>0</v>
          </cell>
          <cell r="BA2612">
            <v>0</v>
          </cell>
          <cell r="BC2612">
            <v>0</v>
          </cell>
        </row>
        <row r="2613">
          <cell r="A2613">
            <v>0</v>
          </cell>
          <cell r="B2613">
            <v>0</v>
          </cell>
          <cell r="E2613">
            <v>0</v>
          </cell>
          <cell r="F2613">
            <v>0</v>
          </cell>
          <cell r="AO2613">
            <v>0</v>
          </cell>
          <cell r="AP2613">
            <v>0</v>
          </cell>
          <cell r="AQ2613">
            <v>0</v>
          </cell>
          <cell r="BA2613">
            <v>0</v>
          </cell>
          <cell r="BC2613">
            <v>0</v>
          </cell>
        </row>
        <row r="2614">
          <cell r="A2614">
            <v>0</v>
          </cell>
          <cell r="B2614">
            <v>0</v>
          </cell>
          <cell r="E2614">
            <v>0</v>
          </cell>
          <cell r="F2614">
            <v>0</v>
          </cell>
          <cell r="AO2614">
            <v>0</v>
          </cell>
          <cell r="AP2614">
            <v>0</v>
          </cell>
          <cell r="AQ2614">
            <v>0</v>
          </cell>
          <cell r="BA2614">
            <v>0</v>
          </cell>
          <cell r="BC2614">
            <v>0</v>
          </cell>
        </row>
        <row r="2615">
          <cell r="A2615">
            <v>0</v>
          </cell>
          <cell r="B2615">
            <v>0</v>
          </cell>
          <cell r="E2615">
            <v>0</v>
          </cell>
          <cell r="F2615">
            <v>0</v>
          </cell>
          <cell r="AO2615">
            <v>0</v>
          </cell>
          <cell r="AP2615">
            <v>0</v>
          </cell>
          <cell r="AQ2615">
            <v>0</v>
          </cell>
          <cell r="BA2615">
            <v>0</v>
          </cell>
          <cell r="BC2615">
            <v>0</v>
          </cell>
        </row>
        <row r="2616">
          <cell r="A2616">
            <v>0</v>
          </cell>
          <cell r="B2616">
            <v>0</v>
          </cell>
          <cell r="E2616">
            <v>0</v>
          </cell>
          <cell r="F2616">
            <v>0</v>
          </cell>
          <cell r="AO2616">
            <v>0</v>
          </cell>
          <cell r="AP2616">
            <v>0</v>
          </cell>
          <cell r="AQ2616">
            <v>0</v>
          </cell>
          <cell r="BA2616">
            <v>0</v>
          </cell>
          <cell r="BC2616">
            <v>0</v>
          </cell>
        </row>
        <row r="2617">
          <cell r="A2617">
            <v>0</v>
          </cell>
          <cell r="B2617">
            <v>0</v>
          </cell>
          <cell r="E2617">
            <v>0</v>
          </cell>
          <cell r="F2617">
            <v>0</v>
          </cell>
          <cell r="AO2617">
            <v>0</v>
          </cell>
          <cell r="AP2617">
            <v>0</v>
          </cell>
          <cell r="AQ2617">
            <v>0</v>
          </cell>
          <cell r="BA2617">
            <v>0</v>
          </cell>
          <cell r="BC2617">
            <v>0</v>
          </cell>
        </row>
        <row r="2618">
          <cell r="A2618">
            <v>0</v>
          </cell>
          <cell r="B2618">
            <v>0</v>
          </cell>
          <cell r="E2618">
            <v>0</v>
          </cell>
          <cell r="F2618">
            <v>0</v>
          </cell>
          <cell r="AO2618">
            <v>0</v>
          </cell>
          <cell r="AP2618">
            <v>0</v>
          </cell>
          <cell r="AQ2618">
            <v>0</v>
          </cell>
          <cell r="BA2618">
            <v>0</v>
          </cell>
          <cell r="BC2618">
            <v>0</v>
          </cell>
        </row>
        <row r="2619">
          <cell r="A2619">
            <v>0</v>
          </cell>
          <cell r="B2619">
            <v>0</v>
          </cell>
          <cell r="E2619">
            <v>0</v>
          </cell>
          <cell r="F2619">
            <v>0</v>
          </cell>
          <cell r="AO2619">
            <v>0</v>
          </cell>
          <cell r="AP2619">
            <v>0</v>
          </cell>
          <cell r="AQ2619">
            <v>0</v>
          </cell>
          <cell r="BA2619">
            <v>0</v>
          </cell>
          <cell r="BC2619">
            <v>0</v>
          </cell>
        </row>
        <row r="2620">
          <cell r="A2620">
            <v>0</v>
          </cell>
          <cell r="B2620">
            <v>0</v>
          </cell>
          <cell r="E2620">
            <v>0</v>
          </cell>
          <cell r="F2620">
            <v>0</v>
          </cell>
          <cell r="AO2620">
            <v>0</v>
          </cell>
          <cell r="AP2620">
            <v>0</v>
          </cell>
          <cell r="AQ2620">
            <v>0</v>
          </cell>
          <cell r="BA2620">
            <v>0</v>
          </cell>
          <cell r="BC2620">
            <v>0</v>
          </cell>
        </row>
        <row r="2621">
          <cell r="A2621">
            <v>0</v>
          </cell>
          <cell r="B2621">
            <v>0</v>
          </cell>
          <cell r="E2621">
            <v>0</v>
          </cell>
          <cell r="F2621">
            <v>0</v>
          </cell>
          <cell r="AO2621">
            <v>0</v>
          </cell>
          <cell r="AP2621">
            <v>0</v>
          </cell>
          <cell r="AQ2621">
            <v>0</v>
          </cell>
          <cell r="BA2621">
            <v>0</v>
          </cell>
          <cell r="BC2621">
            <v>0</v>
          </cell>
        </row>
        <row r="2622">
          <cell r="A2622">
            <v>0</v>
          </cell>
          <cell r="B2622">
            <v>0</v>
          </cell>
          <cell r="E2622">
            <v>0</v>
          </cell>
          <cell r="F2622">
            <v>0</v>
          </cell>
          <cell r="AO2622">
            <v>0</v>
          </cell>
          <cell r="AP2622">
            <v>0</v>
          </cell>
          <cell r="AQ2622">
            <v>0</v>
          </cell>
          <cell r="BA2622">
            <v>0</v>
          </cell>
          <cell r="BC2622">
            <v>0</v>
          </cell>
        </row>
        <row r="2623">
          <cell r="A2623">
            <v>0</v>
          </cell>
          <cell r="B2623">
            <v>0</v>
          </cell>
          <cell r="E2623">
            <v>0</v>
          </cell>
          <cell r="F2623">
            <v>0</v>
          </cell>
          <cell r="AO2623">
            <v>0</v>
          </cell>
          <cell r="AP2623">
            <v>0</v>
          </cell>
          <cell r="AQ2623">
            <v>0</v>
          </cell>
          <cell r="BA2623">
            <v>0</v>
          </cell>
          <cell r="BC2623">
            <v>0</v>
          </cell>
        </row>
        <row r="2624">
          <cell r="A2624">
            <v>0</v>
          </cell>
          <cell r="B2624">
            <v>0</v>
          </cell>
          <cell r="E2624">
            <v>0</v>
          </cell>
          <cell r="F2624">
            <v>0</v>
          </cell>
          <cell r="AO2624">
            <v>0</v>
          </cell>
          <cell r="AP2624">
            <v>0</v>
          </cell>
          <cell r="AQ2624">
            <v>0</v>
          </cell>
          <cell r="BA2624">
            <v>0</v>
          </cell>
          <cell r="BC2624">
            <v>0</v>
          </cell>
        </row>
        <row r="2625">
          <cell r="A2625">
            <v>0</v>
          </cell>
          <cell r="B2625">
            <v>0</v>
          </cell>
          <cell r="E2625">
            <v>0</v>
          </cell>
          <cell r="F2625">
            <v>0</v>
          </cell>
          <cell r="AO2625">
            <v>0</v>
          </cell>
          <cell r="AP2625">
            <v>0</v>
          </cell>
          <cell r="AQ2625">
            <v>0</v>
          </cell>
          <cell r="BA2625">
            <v>0</v>
          </cell>
          <cell r="BC2625">
            <v>0</v>
          </cell>
        </row>
        <row r="2626">
          <cell r="A2626">
            <v>0</v>
          </cell>
          <cell r="B2626">
            <v>0</v>
          </cell>
          <cell r="E2626">
            <v>0</v>
          </cell>
          <cell r="F2626">
            <v>0</v>
          </cell>
          <cell r="AO2626">
            <v>0</v>
          </cell>
          <cell r="AP2626">
            <v>0</v>
          </cell>
          <cell r="AQ2626">
            <v>0</v>
          </cell>
          <cell r="BA2626">
            <v>0</v>
          </cell>
          <cell r="BC2626">
            <v>0</v>
          </cell>
        </row>
        <row r="2627">
          <cell r="A2627">
            <v>0</v>
          </cell>
          <cell r="B2627">
            <v>0</v>
          </cell>
          <cell r="E2627">
            <v>0</v>
          </cell>
          <cell r="F2627">
            <v>0</v>
          </cell>
          <cell r="AO2627">
            <v>0</v>
          </cell>
          <cell r="AP2627">
            <v>0</v>
          </cell>
          <cell r="AQ2627">
            <v>0</v>
          </cell>
          <cell r="BA2627">
            <v>0</v>
          </cell>
          <cell r="BC2627">
            <v>0</v>
          </cell>
        </row>
        <row r="2628">
          <cell r="A2628">
            <v>0</v>
          </cell>
          <cell r="B2628">
            <v>0</v>
          </cell>
          <cell r="E2628">
            <v>0</v>
          </cell>
          <cell r="F2628">
            <v>0</v>
          </cell>
          <cell r="AO2628">
            <v>0</v>
          </cell>
          <cell r="AP2628">
            <v>0</v>
          </cell>
          <cell r="AQ2628">
            <v>0</v>
          </cell>
          <cell r="BA2628">
            <v>0</v>
          </cell>
          <cell r="BC2628">
            <v>0</v>
          </cell>
        </row>
        <row r="2629">
          <cell r="A2629">
            <v>0</v>
          </cell>
          <cell r="B2629">
            <v>0</v>
          </cell>
          <cell r="E2629">
            <v>0</v>
          </cell>
          <cell r="F2629">
            <v>0</v>
          </cell>
          <cell r="AO2629">
            <v>0</v>
          </cell>
          <cell r="AP2629">
            <v>0</v>
          </cell>
          <cell r="AQ2629">
            <v>0</v>
          </cell>
          <cell r="BA2629">
            <v>0</v>
          </cell>
          <cell r="BC2629">
            <v>0</v>
          </cell>
        </row>
        <row r="2630">
          <cell r="A2630">
            <v>0</v>
          </cell>
          <cell r="B2630">
            <v>0</v>
          </cell>
          <cell r="E2630">
            <v>0</v>
          </cell>
          <cell r="F2630">
            <v>0</v>
          </cell>
          <cell r="AO2630">
            <v>0</v>
          </cell>
          <cell r="AP2630">
            <v>0</v>
          </cell>
          <cell r="AQ2630">
            <v>0</v>
          </cell>
          <cell r="BA2630">
            <v>0</v>
          </cell>
          <cell r="BC2630">
            <v>0</v>
          </cell>
        </row>
        <row r="2631">
          <cell r="A2631">
            <v>0</v>
          </cell>
          <cell r="B2631">
            <v>0</v>
          </cell>
          <cell r="E2631">
            <v>0</v>
          </cell>
          <cell r="F2631">
            <v>0</v>
          </cell>
          <cell r="AO2631">
            <v>0</v>
          </cell>
          <cell r="AP2631">
            <v>0</v>
          </cell>
          <cell r="AQ2631">
            <v>0</v>
          </cell>
          <cell r="BA2631">
            <v>0</v>
          </cell>
          <cell r="BC2631">
            <v>0</v>
          </cell>
        </row>
        <row r="2632">
          <cell r="A2632">
            <v>0</v>
          </cell>
          <cell r="B2632">
            <v>0</v>
          </cell>
          <cell r="E2632">
            <v>0</v>
          </cell>
          <cell r="F2632">
            <v>0</v>
          </cell>
          <cell r="AO2632">
            <v>0</v>
          </cell>
          <cell r="AP2632">
            <v>0</v>
          </cell>
          <cell r="AQ2632">
            <v>0</v>
          </cell>
          <cell r="BA2632">
            <v>0</v>
          </cell>
          <cell r="BC2632">
            <v>0</v>
          </cell>
        </row>
        <row r="2633">
          <cell r="A2633">
            <v>0</v>
          </cell>
          <cell r="B2633">
            <v>0</v>
          </cell>
          <cell r="E2633">
            <v>0</v>
          </cell>
          <cell r="F2633">
            <v>0</v>
          </cell>
          <cell r="AO2633">
            <v>0</v>
          </cell>
          <cell r="AP2633">
            <v>0</v>
          </cell>
          <cell r="AQ2633">
            <v>0</v>
          </cell>
          <cell r="BA2633">
            <v>0</v>
          </cell>
          <cell r="BC2633">
            <v>0</v>
          </cell>
        </row>
        <row r="2634">
          <cell r="A2634">
            <v>0</v>
          </cell>
          <cell r="B2634">
            <v>0</v>
          </cell>
          <cell r="E2634">
            <v>0</v>
          </cell>
          <cell r="F2634">
            <v>0</v>
          </cell>
          <cell r="AO2634">
            <v>0</v>
          </cell>
          <cell r="AP2634">
            <v>0</v>
          </cell>
          <cell r="AQ2634">
            <v>0</v>
          </cell>
          <cell r="BA2634">
            <v>0</v>
          </cell>
          <cell r="BC2634">
            <v>0</v>
          </cell>
        </row>
        <row r="2635">
          <cell r="A2635">
            <v>0</v>
          </cell>
          <cell r="B2635">
            <v>0</v>
          </cell>
          <cell r="E2635">
            <v>0</v>
          </cell>
          <cell r="F2635">
            <v>0</v>
          </cell>
          <cell r="AO2635">
            <v>0</v>
          </cell>
          <cell r="AP2635">
            <v>0</v>
          </cell>
          <cell r="AQ2635">
            <v>0</v>
          </cell>
          <cell r="BA2635">
            <v>0</v>
          </cell>
          <cell r="BC2635">
            <v>0</v>
          </cell>
        </row>
        <row r="2636">
          <cell r="A2636">
            <v>0</v>
          </cell>
          <cell r="B2636">
            <v>0</v>
          </cell>
          <cell r="E2636">
            <v>0</v>
          </cell>
          <cell r="F2636">
            <v>0</v>
          </cell>
          <cell r="AO2636">
            <v>0</v>
          </cell>
          <cell r="AP2636">
            <v>0</v>
          </cell>
          <cell r="AQ2636">
            <v>0</v>
          </cell>
          <cell r="BA2636">
            <v>0</v>
          </cell>
          <cell r="BC2636">
            <v>0</v>
          </cell>
        </row>
        <row r="2637">
          <cell r="A2637">
            <v>0</v>
          </cell>
          <cell r="B2637">
            <v>0</v>
          </cell>
          <cell r="E2637">
            <v>0</v>
          </cell>
          <cell r="F2637">
            <v>0</v>
          </cell>
          <cell r="AO2637">
            <v>0</v>
          </cell>
          <cell r="AP2637">
            <v>0</v>
          </cell>
          <cell r="AQ2637">
            <v>0</v>
          </cell>
          <cell r="BA2637">
            <v>0</v>
          </cell>
          <cell r="BC2637">
            <v>0</v>
          </cell>
        </row>
        <row r="2638">
          <cell r="A2638">
            <v>0</v>
          </cell>
          <cell r="B2638">
            <v>0</v>
          </cell>
          <cell r="E2638">
            <v>0</v>
          </cell>
          <cell r="F2638">
            <v>0</v>
          </cell>
          <cell r="AO2638">
            <v>0</v>
          </cell>
          <cell r="AP2638">
            <v>0</v>
          </cell>
          <cell r="AQ2638">
            <v>0</v>
          </cell>
          <cell r="BA2638">
            <v>0</v>
          </cell>
          <cell r="BC2638">
            <v>0</v>
          </cell>
        </row>
        <row r="2639">
          <cell r="A2639">
            <v>0</v>
          </cell>
          <cell r="B2639">
            <v>0</v>
          </cell>
          <cell r="E2639">
            <v>0</v>
          </cell>
          <cell r="F2639">
            <v>0</v>
          </cell>
          <cell r="AO2639">
            <v>0</v>
          </cell>
          <cell r="AP2639">
            <v>0</v>
          </cell>
          <cell r="AQ2639">
            <v>0</v>
          </cell>
          <cell r="BA2639">
            <v>0</v>
          </cell>
          <cell r="BC2639">
            <v>0</v>
          </cell>
        </row>
        <row r="2640">
          <cell r="A2640">
            <v>0</v>
          </cell>
          <cell r="B2640">
            <v>0</v>
          </cell>
          <cell r="E2640">
            <v>0</v>
          </cell>
          <cell r="F2640">
            <v>0</v>
          </cell>
          <cell r="AO2640">
            <v>0</v>
          </cell>
          <cell r="AP2640">
            <v>0</v>
          </cell>
          <cell r="AQ2640">
            <v>0</v>
          </cell>
          <cell r="BA2640">
            <v>0</v>
          </cell>
          <cell r="BC2640">
            <v>0</v>
          </cell>
        </row>
        <row r="2641">
          <cell r="A2641">
            <v>0</v>
          </cell>
          <cell r="B2641">
            <v>0</v>
          </cell>
          <cell r="E2641">
            <v>0</v>
          </cell>
          <cell r="F2641">
            <v>0</v>
          </cell>
          <cell r="AO2641">
            <v>0</v>
          </cell>
          <cell r="AP2641">
            <v>0</v>
          </cell>
          <cell r="AQ2641">
            <v>0</v>
          </cell>
          <cell r="BA2641">
            <v>0</v>
          </cell>
          <cell r="BC2641">
            <v>0</v>
          </cell>
        </row>
        <row r="2642">
          <cell r="A2642">
            <v>0</v>
          </cell>
          <cell r="B2642">
            <v>0</v>
          </cell>
          <cell r="E2642">
            <v>0</v>
          </cell>
          <cell r="F2642">
            <v>0</v>
          </cell>
          <cell r="AO2642">
            <v>0</v>
          </cell>
          <cell r="AP2642">
            <v>0</v>
          </cell>
          <cell r="AQ2642">
            <v>0</v>
          </cell>
          <cell r="BA2642">
            <v>0</v>
          </cell>
          <cell r="BC2642">
            <v>0</v>
          </cell>
        </row>
        <row r="2643">
          <cell r="A2643">
            <v>0</v>
          </cell>
          <cell r="B2643">
            <v>0</v>
          </cell>
          <cell r="E2643">
            <v>0</v>
          </cell>
          <cell r="F2643">
            <v>0</v>
          </cell>
          <cell r="AO2643">
            <v>0</v>
          </cell>
          <cell r="AP2643">
            <v>0</v>
          </cell>
          <cell r="AQ2643">
            <v>0</v>
          </cell>
          <cell r="BA2643">
            <v>0</v>
          </cell>
          <cell r="BC2643">
            <v>0</v>
          </cell>
        </row>
        <row r="2644">
          <cell r="A2644">
            <v>0</v>
          </cell>
          <cell r="B2644">
            <v>0</v>
          </cell>
          <cell r="E2644">
            <v>0</v>
          </cell>
          <cell r="F2644">
            <v>0</v>
          </cell>
          <cell r="AO2644">
            <v>0</v>
          </cell>
          <cell r="AP2644">
            <v>0</v>
          </cell>
          <cell r="AQ2644">
            <v>0</v>
          </cell>
          <cell r="BA2644">
            <v>0</v>
          </cell>
          <cell r="BC2644">
            <v>0</v>
          </cell>
        </row>
        <row r="2645">
          <cell r="A2645">
            <v>0</v>
          </cell>
          <cell r="B2645">
            <v>0</v>
          </cell>
          <cell r="E2645">
            <v>0</v>
          </cell>
          <cell r="F2645">
            <v>0</v>
          </cell>
          <cell r="AO2645">
            <v>0</v>
          </cell>
          <cell r="AP2645">
            <v>0</v>
          </cell>
          <cell r="AQ2645">
            <v>0</v>
          </cell>
          <cell r="BA2645">
            <v>0</v>
          </cell>
          <cell r="BC2645">
            <v>0</v>
          </cell>
        </row>
        <row r="2646">
          <cell r="A2646">
            <v>0</v>
          </cell>
          <cell r="B2646">
            <v>0</v>
          </cell>
          <cell r="E2646">
            <v>0</v>
          </cell>
          <cell r="F2646">
            <v>0</v>
          </cell>
          <cell r="AO2646">
            <v>0</v>
          </cell>
          <cell r="AP2646">
            <v>0</v>
          </cell>
          <cell r="AQ2646">
            <v>0</v>
          </cell>
          <cell r="BA2646">
            <v>0</v>
          </cell>
          <cell r="BC2646">
            <v>0</v>
          </cell>
        </row>
        <row r="2647">
          <cell r="A2647">
            <v>0</v>
          </cell>
          <cell r="B2647">
            <v>0</v>
          </cell>
          <cell r="E2647">
            <v>0</v>
          </cell>
          <cell r="F2647">
            <v>0</v>
          </cell>
          <cell r="AO2647">
            <v>0</v>
          </cell>
          <cell r="AP2647">
            <v>0</v>
          </cell>
          <cell r="AQ2647">
            <v>0</v>
          </cell>
          <cell r="BA2647">
            <v>0</v>
          </cell>
          <cell r="BC2647">
            <v>0</v>
          </cell>
        </row>
        <row r="2648">
          <cell r="A2648">
            <v>0</v>
          </cell>
          <cell r="B2648">
            <v>0</v>
          </cell>
          <cell r="E2648">
            <v>0</v>
          </cell>
          <cell r="F2648">
            <v>0</v>
          </cell>
          <cell r="AO2648">
            <v>0</v>
          </cell>
          <cell r="AP2648">
            <v>0</v>
          </cell>
          <cell r="AQ2648">
            <v>0</v>
          </cell>
          <cell r="BA2648">
            <v>0</v>
          </cell>
          <cell r="BC2648">
            <v>0</v>
          </cell>
        </row>
        <row r="2649">
          <cell r="A2649">
            <v>0</v>
          </cell>
          <cell r="B2649">
            <v>0</v>
          </cell>
          <cell r="E2649">
            <v>0</v>
          </cell>
          <cell r="F2649">
            <v>0</v>
          </cell>
          <cell r="AO2649">
            <v>0</v>
          </cell>
          <cell r="AP2649">
            <v>0</v>
          </cell>
          <cell r="AQ2649">
            <v>0</v>
          </cell>
          <cell r="BA2649">
            <v>0</v>
          </cell>
          <cell r="BC2649">
            <v>0</v>
          </cell>
        </row>
        <row r="2650">
          <cell r="A2650">
            <v>0</v>
          </cell>
          <cell r="B2650">
            <v>0</v>
          </cell>
          <cell r="E2650">
            <v>0</v>
          </cell>
          <cell r="F2650">
            <v>0</v>
          </cell>
          <cell r="AO2650">
            <v>0</v>
          </cell>
          <cell r="AP2650">
            <v>0</v>
          </cell>
          <cell r="AQ2650">
            <v>0</v>
          </cell>
          <cell r="BA2650">
            <v>0</v>
          </cell>
          <cell r="BC2650">
            <v>0</v>
          </cell>
        </row>
        <row r="2651">
          <cell r="A2651">
            <v>0</v>
          </cell>
          <cell r="B2651">
            <v>0</v>
          </cell>
          <cell r="E2651">
            <v>0</v>
          </cell>
          <cell r="F2651">
            <v>0</v>
          </cell>
          <cell r="AO2651">
            <v>0</v>
          </cell>
          <cell r="AP2651">
            <v>0</v>
          </cell>
          <cell r="AQ2651">
            <v>0</v>
          </cell>
          <cell r="BA2651">
            <v>0</v>
          </cell>
          <cell r="BC2651">
            <v>0</v>
          </cell>
        </row>
        <row r="2652">
          <cell r="A2652">
            <v>0</v>
          </cell>
          <cell r="B2652">
            <v>0</v>
          </cell>
          <cell r="E2652">
            <v>0</v>
          </cell>
          <cell r="F2652">
            <v>0</v>
          </cell>
          <cell r="AO2652">
            <v>0</v>
          </cell>
          <cell r="AP2652">
            <v>0</v>
          </cell>
          <cell r="AQ2652">
            <v>0</v>
          </cell>
          <cell r="BA2652">
            <v>0</v>
          </cell>
          <cell r="BC2652">
            <v>0</v>
          </cell>
        </row>
        <row r="2653">
          <cell r="A2653">
            <v>0</v>
          </cell>
          <cell r="B2653">
            <v>0</v>
          </cell>
          <cell r="E2653">
            <v>0</v>
          </cell>
          <cell r="F2653">
            <v>0</v>
          </cell>
          <cell r="AO2653">
            <v>0</v>
          </cell>
          <cell r="AP2653">
            <v>0</v>
          </cell>
          <cell r="AQ2653">
            <v>0</v>
          </cell>
          <cell r="BA2653">
            <v>0</v>
          </cell>
          <cell r="BC2653">
            <v>0</v>
          </cell>
        </row>
        <row r="2654">
          <cell r="A2654">
            <v>0</v>
          </cell>
          <cell r="B2654">
            <v>0</v>
          </cell>
          <cell r="E2654">
            <v>0</v>
          </cell>
          <cell r="F2654">
            <v>0</v>
          </cell>
          <cell r="AO2654">
            <v>0</v>
          </cell>
          <cell r="AP2654">
            <v>0</v>
          </cell>
          <cell r="AQ2654">
            <v>0</v>
          </cell>
          <cell r="BA2654">
            <v>0</v>
          </cell>
          <cell r="BC2654">
            <v>0</v>
          </cell>
        </row>
        <row r="2655">
          <cell r="A2655">
            <v>0</v>
          </cell>
          <cell r="B2655">
            <v>0</v>
          </cell>
          <cell r="E2655">
            <v>0</v>
          </cell>
          <cell r="F2655">
            <v>0</v>
          </cell>
          <cell r="AO2655">
            <v>0</v>
          </cell>
          <cell r="AP2655">
            <v>0</v>
          </cell>
          <cell r="AQ2655">
            <v>0</v>
          </cell>
          <cell r="BA2655">
            <v>0</v>
          </cell>
          <cell r="BC2655">
            <v>0</v>
          </cell>
        </row>
        <row r="2656">
          <cell r="A2656">
            <v>0</v>
          </cell>
          <cell r="B2656">
            <v>0</v>
          </cell>
          <cell r="E2656">
            <v>0</v>
          </cell>
          <cell r="F2656">
            <v>0</v>
          </cell>
          <cell r="AO2656">
            <v>0</v>
          </cell>
          <cell r="AP2656">
            <v>0</v>
          </cell>
          <cell r="AQ2656">
            <v>0</v>
          </cell>
          <cell r="BA2656">
            <v>0</v>
          </cell>
          <cell r="BC2656">
            <v>0</v>
          </cell>
        </row>
        <row r="2657">
          <cell r="A2657">
            <v>0</v>
          </cell>
          <cell r="B2657">
            <v>0</v>
          </cell>
          <cell r="E2657">
            <v>0</v>
          </cell>
          <cell r="F2657">
            <v>0</v>
          </cell>
          <cell r="AO2657">
            <v>0</v>
          </cell>
          <cell r="AP2657">
            <v>0</v>
          </cell>
          <cell r="AQ2657">
            <v>0</v>
          </cell>
          <cell r="BA2657">
            <v>0</v>
          </cell>
          <cell r="BC2657">
            <v>0</v>
          </cell>
        </row>
        <row r="2658">
          <cell r="A2658">
            <v>0</v>
          </cell>
          <cell r="B2658">
            <v>0</v>
          </cell>
          <cell r="E2658">
            <v>0</v>
          </cell>
          <cell r="F2658">
            <v>0</v>
          </cell>
          <cell r="AO2658">
            <v>0</v>
          </cell>
          <cell r="AP2658">
            <v>0</v>
          </cell>
          <cell r="AQ2658">
            <v>0</v>
          </cell>
          <cell r="BA2658">
            <v>0</v>
          </cell>
          <cell r="BC2658">
            <v>0</v>
          </cell>
        </row>
        <row r="2659">
          <cell r="A2659">
            <v>0</v>
          </cell>
          <cell r="B2659">
            <v>0</v>
          </cell>
          <cell r="E2659">
            <v>0</v>
          </cell>
          <cell r="F2659">
            <v>0</v>
          </cell>
          <cell r="AO2659">
            <v>0</v>
          </cell>
          <cell r="AP2659">
            <v>0</v>
          </cell>
          <cell r="AQ2659">
            <v>0</v>
          </cell>
          <cell r="BA2659">
            <v>0</v>
          </cell>
          <cell r="BC2659">
            <v>0</v>
          </cell>
        </row>
        <row r="2660">
          <cell r="A2660">
            <v>0</v>
          </cell>
          <cell r="B2660">
            <v>0</v>
          </cell>
          <cell r="E2660">
            <v>0</v>
          </cell>
          <cell r="F2660">
            <v>0</v>
          </cell>
          <cell r="AO2660">
            <v>0</v>
          </cell>
          <cell r="AP2660">
            <v>0</v>
          </cell>
          <cell r="AQ2660">
            <v>0</v>
          </cell>
          <cell r="BA2660">
            <v>0</v>
          </cell>
          <cell r="BC2660">
            <v>0</v>
          </cell>
        </row>
        <row r="2661">
          <cell r="A2661">
            <v>0</v>
          </cell>
          <cell r="B2661">
            <v>0</v>
          </cell>
          <cell r="E2661">
            <v>0</v>
          </cell>
          <cell r="F2661">
            <v>0</v>
          </cell>
          <cell r="AO2661">
            <v>0</v>
          </cell>
          <cell r="AP2661">
            <v>0</v>
          </cell>
          <cell r="AQ2661">
            <v>0</v>
          </cell>
          <cell r="BA2661">
            <v>0</v>
          </cell>
          <cell r="BC2661">
            <v>0</v>
          </cell>
        </row>
        <row r="2662">
          <cell r="A2662">
            <v>0</v>
          </cell>
          <cell r="B2662">
            <v>0</v>
          </cell>
          <cell r="E2662">
            <v>0</v>
          </cell>
          <cell r="F2662">
            <v>0</v>
          </cell>
          <cell r="AO2662">
            <v>0</v>
          </cell>
          <cell r="AP2662">
            <v>0</v>
          </cell>
          <cell r="AQ2662">
            <v>0</v>
          </cell>
          <cell r="BA2662">
            <v>0</v>
          </cell>
          <cell r="BC2662">
            <v>0</v>
          </cell>
        </row>
        <row r="2663">
          <cell r="A2663">
            <v>0</v>
          </cell>
          <cell r="B2663">
            <v>0</v>
          </cell>
          <cell r="E2663">
            <v>0</v>
          </cell>
          <cell r="F2663">
            <v>0</v>
          </cell>
          <cell r="AO2663">
            <v>0</v>
          </cell>
          <cell r="AP2663">
            <v>0</v>
          </cell>
          <cell r="AQ2663">
            <v>0</v>
          </cell>
          <cell r="BA2663">
            <v>0</v>
          </cell>
          <cell r="BC2663">
            <v>0</v>
          </cell>
        </row>
        <row r="2664">
          <cell r="A2664">
            <v>0</v>
          </cell>
          <cell r="B2664">
            <v>0</v>
          </cell>
          <cell r="E2664">
            <v>0</v>
          </cell>
          <cell r="F2664">
            <v>0</v>
          </cell>
          <cell r="AO2664">
            <v>0</v>
          </cell>
          <cell r="AP2664">
            <v>0</v>
          </cell>
          <cell r="AQ2664">
            <v>0</v>
          </cell>
          <cell r="BA2664">
            <v>0</v>
          </cell>
          <cell r="BC2664">
            <v>0</v>
          </cell>
        </row>
        <row r="2665">
          <cell r="A2665">
            <v>0</v>
          </cell>
          <cell r="B2665">
            <v>0</v>
          </cell>
          <cell r="E2665">
            <v>0</v>
          </cell>
          <cell r="F2665">
            <v>0</v>
          </cell>
          <cell r="AO2665">
            <v>0</v>
          </cell>
          <cell r="AP2665">
            <v>0</v>
          </cell>
          <cell r="AQ2665">
            <v>0</v>
          </cell>
          <cell r="BA2665">
            <v>0</v>
          </cell>
          <cell r="BC2665">
            <v>0</v>
          </cell>
        </row>
        <row r="2666">
          <cell r="A2666">
            <v>0</v>
          </cell>
          <cell r="B2666">
            <v>0</v>
          </cell>
          <cell r="E2666">
            <v>0</v>
          </cell>
          <cell r="F2666">
            <v>0</v>
          </cell>
          <cell r="AO2666">
            <v>0</v>
          </cell>
          <cell r="AP2666">
            <v>0</v>
          </cell>
          <cell r="AQ2666">
            <v>0</v>
          </cell>
          <cell r="BA2666">
            <v>0</v>
          </cell>
          <cell r="BC2666">
            <v>0</v>
          </cell>
        </row>
        <row r="2667">
          <cell r="A2667">
            <v>0</v>
          </cell>
          <cell r="B2667">
            <v>0</v>
          </cell>
          <cell r="E2667">
            <v>0</v>
          </cell>
          <cell r="F2667">
            <v>0</v>
          </cell>
          <cell r="AO2667">
            <v>0</v>
          </cell>
          <cell r="AP2667">
            <v>0</v>
          </cell>
          <cell r="AQ2667">
            <v>0</v>
          </cell>
          <cell r="BA2667">
            <v>0</v>
          </cell>
          <cell r="BC2667">
            <v>0</v>
          </cell>
        </row>
        <row r="2668">
          <cell r="A2668">
            <v>0</v>
          </cell>
          <cell r="B2668">
            <v>0</v>
          </cell>
          <cell r="E2668">
            <v>0</v>
          </cell>
          <cell r="F2668">
            <v>0</v>
          </cell>
          <cell r="AO2668">
            <v>0</v>
          </cell>
          <cell r="AP2668">
            <v>0</v>
          </cell>
          <cell r="AQ2668">
            <v>0</v>
          </cell>
          <cell r="BA2668">
            <v>0</v>
          </cell>
          <cell r="BC2668">
            <v>0</v>
          </cell>
        </row>
        <row r="2669">
          <cell r="A2669">
            <v>0</v>
          </cell>
          <cell r="B2669">
            <v>0</v>
          </cell>
          <cell r="E2669">
            <v>0</v>
          </cell>
          <cell r="F2669">
            <v>0</v>
          </cell>
          <cell r="AO2669">
            <v>0</v>
          </cell>
          <cell r="AP2669">
            <v>0</v>
          </cell>
          <cell r="AQ2669">
            <v>0</v>
          </cell>
          <cell r="BA2669">
            <v>0</v>
          </cell>
          <cell r="BC2669">
            <v>0</v>
          </cell>
        </row>
        <row r="2670">
          <cell r="A2670">
            <v>0</v>
          </cell>
          <cell r="B2670">
            <v>0</v>
          </cell>
          <cell r="E2670">
            <v>0</v>
          </cell>
          <cell r="F2670">
            <v>0</v>
          </cell>
          <cell r="AO2670">
            <v>0</v>
          </cell>
          <cell r="AP2670">
            <v>0</v>
          </cell>
          <cell r="AQ2670">
            <v>0</v>
          </cell>
          <cell r="BA2670">
            <v>0</v>
          </cell>
          <cell r="BC2670">
            <v>0</v>
          </cell>
        </row>
        <row r="2671">
          <cell r="A2671">
            <v>0</v>
          </cell>
          <cell r="B2671">
            <v>0</v>
          </cell>
          <cell r="E2671">
            <v>0</v>
          </cell>
          <cell r="F2671">
            <v>0</v>
          </cell>
          <cell r="AO2671">
            <v>0</v>
          </cell>
          <cell r="AP2671">
            <v>0</v>
          </cell>
          <cell r="AQ2671">
            <v>0</v>
          </cell>
          <cell r="BA2671">
            <v>0</v>
          </cell>
          <cell r="BC2671">
            <v>0</v>
          </cell>
        </row>
        <row r="2672">
          <cell r="A2672">
            <v>0</v>
          </cell>
          <cell r="B2672">
            <v>0</v>
          </cell>
          <cell r="E2672">
            <v>0</v>
          </cell>
          <cell r="F2672">
            <v>0</v>
          </cell>
          <cell r="AO2672">
            <v>0</v>
          </cell>
          <cell r="AP2672">
            <v>0</v>
          </cell>
          <cell r="AQ2672">
            <v>0</v>
          </cell>
          <cell r="BA2672">
            <v>0</v>
          </cell>
          <cell r="BC2672">
            <v>0</v>
          </cell>
        </row>
        <row r="2673">
          <cell r="A2673">
            <v>0</v>
          </cell>
          <cell r="B2673">
            <v>0</v>
          </cell>
          <cell r="E2673">
            <v>0</v>
          </cell>
          <cell r="F2673">
            <v>0</v>
          </cell>
          <cell r="AO2673">
            <v>0</v>
          </cell>
          <cell r="AP2673">
            <v>0</v>
          </cell>
          <cell r="AQ2673">
            <v>0</v>
          </cell>
          <cell r="BA2673">
            <v>0</v>
          </cell>
          <cell r="BC2673">
            <v>0</v>
          </cell>
        </row>
        <row r="2674">
          <cell r="A2674">
            <v>0</v>
          </cell>
          <cell r="B2674">
            <v>0</v>
          </cell>
          <cell r="E2674">
            <v>0</v>
          </cell>
          <cell r="F2674">
            <v>0</v>
          </cell>
          <cell r="AO2674">
            <v>0</v>
          </cell>
          <cell r="AP2674">
            <v>0</v>
          </cell>
          <cell r="AQ2674">
            <v>0</v>
          </cell>
          <cell r="BA2674">
            <v>0</v>
          </cell>
          <cell r="BC2674">
            <v>0</v>
          </cell>
        </row>
        <row r="2675">
          <cell r="A2675">
            <v>0</v>
          </cell>
          <cell r="B2675">
            <v>0</v>
          </cell>
          <cell r="E2675">
            <v>0</v>
          </cell>
          <cell r="F2675">
            <v>0</v>
          </cell>
          <cell r="AO2675">
            <v>0</v>
          </cell>
          <cell r="AP2675">
            <v>0</v>
          </cell>
          <cell r="AQ2675">
            <v>0</v>
          </cell>
          <cell r="BA2675">
            <v>0</v>
          </cell>
          <cell r="BC2675">
            <v>0</v>
          </cell>
        </row>
        <row r="2676">
          <cell r="A2676">
            <v>0</v>
          </cell>
          <cell r="B2676">
            <v>0</v>
          </cell>
          <cell r="E2676">
            <v>0</v>
          </cell>
          <cell r="F2676">
            <v>0</v>
          </cell>
          <cell r="AO2676">
            <v>0</v>
          </cell>
          <cell r="AP2676">
            <v>0</v>
          </cell>
          <cell r="AQ2676">
            <v>0</v>
          </cell>
          <cell r="BA2676">
            <v>0</v>
          </cell>
          <cell r="BC2676">
            <v>0</v>
          </cell>
        </row>
        <row r="2677">
          <cell r="A2677">
            <v>0</v>
          </cell>
          <cell r="B2677">
            <v>0</v>
          </cell>
          <cell r="E2677">
            <v>0</v>
          </cell>
          <cell r="F2677">
            <v>0</v>
          </cell>
          <cell r="AO2677">
            <v>0</v>
          </cell>
          <cell r="AP2677">
            <v>0</v>
          </cell>
          <cell r="AQ2677">
            <v>0</v>
          </cell>
          <cell r="BA2677">
            <v>0</v>
          </cell>
          <cell r="BC2677">
            <v>0</v>
          </cell>
        </row>
        <row r="2678">
          <cell r="A2678">
            <v>0</v>
          </cell>
          <cell r="B2678">
            <v>0</v>
          </cell>
          <cell r="E2678">
            <v>0</v>
          </cell>
          <cell r="F2678">
            <v>0</v>
          </cell>
          <cell r="AO2678">
            <v>0</v>
          </cell>
          <cell r="AP2678">
            <v>0</v>
          </cell>
          <cell r="AQ2678">
            <v>0</v>
          </cell>
          <cell r="BA2678">
            <v>0</v>
          </cell>
          <cell r="BC2678">
            <v>0</v>
          </cell>
        </row>
        <row r="2679">
          <cell r="A2679">
            <v>0</v>
          </cell>
          <cell r="B2679">
            <v>0</v>
          </cell>
          <cell r="E2679">
            <v>0</v>
          </cell>
          <cell r="F2679">
            <v>0</v>
          </cell>
          <cell r="AO2679">
            <v>0</v>
          </cell>
          <cell r="AP2679">
            <v>0</v>
          </cell>
          <cell r="AQ2679">
            <v>0</v>
          </cell>
          <cell r="BA2679">
            <v>0</v>
          </cell>
          <cell r="BC2679">
            <v>0</v>
          </cell>
        </row>
        <row r="2680">
          <cell r="A2680">
            <v>0</v>
          </cell>
          <cell r="B2680">
            <v>0</v>
          </cell>
          <cell r="E2680">
            <v>0</v>
          </cell>
          <cell r="F2680">
            <v>0</v>
          </cell>
          <cell r="AO2680">
            <v>0</v>
          </cell>
          <cell r="AP2680">
            <v>0</v>
          </cell>
          <cell r="AQ2680">
            <v>0</v>
          </cell>
          <cell r="BA2680">
            <v>0</v>
          </cell>
          <cell r="BC2680">
            <v>0</v>
          </cell>
        </row>
        <row r="2681">
          <cell r="A2681">
            <v>0</v>
          </cell>
          <cell r="B2681">
            <v>0</v>
          </cell>
          <cell r="E2681">
            <v>0</v>
          </cell>
          <cell r="F2681">
            <v>0</v>
          </cell>
          <cell r="AO2681">
            <v>0</v>
          </cell>
          <cell r="AP2681">
            <v>0</v>
          </cell>
          <cell r="AQ2681">
            <v>0</v>
          </cell>
          <cell r="BA2681">
            <v>0</v>
          </cell>
          <cell r="BC2681">
            <v>0</v>
          </cell>
        </row>
        <row r="2682">
          <cell r="A2682">
            <v>0</v>
          </cell>
          <cell r="B2682">
            <v>0</v>
          </cell>
          <cell r="E2682">
            <v>0</v>
          </cell>
          <cell r="F2682">
            <v>0</v>
          </cell>
          <cell r="AO2682">
            <v>0</v>
          </cell>
          <cell r="AP2682">
            <v>0</v>
          </cell>
          <cell r="AQ2682">
            <v>0</v>
          </cell>
          <cell r="BA2682">
            <v>0</v>
          </cell>
          <cell r="BC2682">
            <v>0</v>
          </cell>
        </row>
        <row r="2683">
          <cell r="A2683">
            <v>0</v>
          </cell>
          <cell r="B2683">
            <v>0</v>
          </cell>
          <cell r="E2683">
            <v>0</v>
          </cell>
          <cell r="F2683">
            <v>0</v>
          </cell>
          <cell r="AO2683">
            <v>0</v>
          </cell>
          <cell r="AP2683">
            <v>0</v>
          </cell>
          <cell r="AQ2683">
            <v>0</v>
          </cell>
          <cell r="BA2683">
            <v>0</v>
          </cell>
          <cell r="BC2683">
            <v>0</v>
          </cell>
        </row>
        <row r="2684">
          <cell r="A2684">
            <v>0</v>
          </cell>
          <cell r="B2684">
            <v>0</v>
          </cell>
          <cell r="E2684">
            <v>0</v>
          </cell>
          <cell r="F2684">
            <v>0</v>
          </cell>
          <cell r="AO2684">
            <v>0</v>
          </cell>
          <cell r="AP2684">
            <v>0</v>
          </cell>
          <cell r="AQ2684">
            <v>0</v>
          </cell>
          <cell r="BA2684">
            <v>0</v>
          </cell>
          <cell r="BC2684">
            <v>0</v>
          </cell>
        </row>
        <row r="2685">
          <cell r="A2685">
            <v>0</v>
          </cell>
          <cell r="B2685">
            <v>0</v>
          </cell>
          <cell r="E2685">
            <v>0</v>
          </cell>
          <cell r="F2685">
            <v>0</v>
          </cell>
          <cell r="AO2685">
            <v>0</v>
          </cell>
          <cell r="AP2685">
            <v>0</v>
          </cell>
          <cell r="AQ2685">
            <v>0</v>
          </cell>
          <cell r="BA2685">
            <v>0</v>
          </cell>
          <cell r="BC2685">
            <v>0</v>
          </cell>
        </row>
        <row r="2686">
          <cell r="A2686">
            <v>0</v>
          </cell>
          <cell r="B2686">
            <v>0</v>
          </cell>
          <cell r="E2686">
            <v>0</v>
          </cell>
          <cell r="F2686">
            <v>0</v>
          </cell>
          <cell r="AO2686">
            <v>0</v>
          </cell>
          <cell r="AP2686">
            <v>0</v>
          </cell>
          <cell r="AQ2686">
            <v>0</v>
          </cell>
          <cell r="BA2686">
            <v>0</v>
          </cell>
          <cell r="BC2686">
            <v>0</v>
          </cell>
        </row>
        <row r="2687">
          <cell r="A2687">
            <v>0</v>
          </cell>
          <cell r="B2687">
            <v>0</v>
          </cell>
          <cell r="E2687">
            <v>0</v>
          </cell>
          <cell r="F2687">
            <v>0</v>
          </cell>
          <cell r="AO2687">
            <v>0</v>
          </cell>
          <cell r="AP2687">
            <v>0</v>
          </cell>
          <cell r="AQ2687">
            <v>0</v>
          </cell>
          <cell r="BA2687">
            <v>0</v>
          </cell>
          <cell r="BC2687">
            <v>0</v>
          </cell>
        </row>
        <row r="2688">
          <cell r="A2688">
            <v>0</v>
          </cell>
          <cell r="B2688">
            <v>0</v>
          </cell>
          <cell r="E2688">
            <v>0</v>
          </cell>
          <cell r="F2688">
            <v>0</v>
          </cell>
          <cell r="AO2688">
            <v>0</v>
          </cell>
          <cell r="AP2688">
            <v>0</v>
          </cell>
          <cell r="AQ2688">
            <v>0</v>
          </cell>
          <cell r="BA2688">
            <v>0</v>
          </cell>
          <cell r="BC2688">
            <v>0</v>
          </cell>
        </row>
        <row r="2689">
          <cell r="A2689">
            <v>0</v>
          </cell>
          <cell r="B2689">
            <v>0</v>
          </cell>
          <cell r="E2689">
            <v>0</v>
          </cell>
          <cell r="F2689">
            <v>0</v>
          </cell>
          <cell r="AO2689">
            <v>0</v>
          </cell>
          <cell r="AP2689">
            <v>0</v>
          </cell>
          <cell r="AQ2689">
            <v>0</v>
          </cell>
          <cell r="BA2689">
            <v>0</v>
          </cell>
          <cell r="BC2689">
            <v>0</v>
          </cell>
        </row>
        <row r="2690">
          <cell r="A2690">
            <v>0</v>
          </cell>
          <cell r="B2690">
            <v>0</v>
          </cell>
          <cell r="E2690">
            <v>0</v>
          </cell>
          <cell r="F2690">
            <v>0</v>
          </cell>
          <cell r="AO2690">
            <v>0</v>
          </cell>
          <cell r="AP2690">
            <v>0</v>
          </cell>
          <cell r="AQ2690">
            <v>0</v>
          </cell>
          <cell r="BA2690">
            <v>0</v>
          </cell>
          <cell r="BC2690">
            <v>0</v>
          </cell>
        </row>
        <row r="2691">
          <cell r="A2691">
            <v>0</v>
          </cell>
          <cell r="B2691">
            <v>0</v>
          </cell>
          <cell r="E2691">
            <v>0</v>
          </cell>
          <cell r="F2691">
            <v>0</v>
          </cell>
          <cell r="AO2691">
            <v>0</v>
          </cell>
          <cell r="AP2691">
            <v>0</v>
          </cell>
          <cell r="AQ2691">
            <v>0</v>
          </cell>
          <cell r="BA2691">
            <v>0</v>
          </cell>
          <cell r="BC2691">
            <v>0</v>
          </cell>
        </row>
        <row r="2692">
          <cell r="A2692">
            <v>0</v>
          </cell>
          <cell r="B2692">
            <v>0</v>
          </cell>
          <cell r="E2692">
            <v>0</v>
          </cell>
          <cell r="F2692">
            <v>0</v>
          </cell>
          <cell r="AO2692">
            <v>0</v>
          </cell>
          <cell r="AP2692">
            <v>0</v>
          </cell>
          <cell r="AQ2692">
            <v>0</v>
          </cell>
          <cell r="BA2692">
            <v>0</v>
          </cell>
          <cell r="BC2692">
            <v>0</v>
          </cell>
        </row>
        <row r="2693">
          <cell r="A2693">
            <v>0</v>
          </cell>
          <cell r="B2693">
            <v>0</v>
          </cell>
          <cell r="E2693">
            <v>0</v>
          </cell>
          <cell r="F2693">
            <v>0</v>
          </cell>
          <cell r="AO2693">
            <v>0</v>
          </cell>
          <cell r="AP2693">
            <v>0</v>
          </cell>
          <cell r="AQ2693">
            <v>0</v>
          </cell>
          <cell r="BA2693">
            <v>0</v>
          </cell>
          <cell r="BC2693">
            <v>0</v>
          </cell>
        </row>
        <row r="2694">
          <cell r="A2694">
            <v>0</v>
          </cell>
          <cell r="B2694">
            <v>0</v>
          </cell>
          <cell r="E2694">
            <v>0</v>
          </cell>
          <cell r="F2694">
            <v>0</v>
          </cell>
          <cell r="AO2694">
            <v>0</v>
          </cell>
          <cell r="AP2694">
            <v>0</v>
          </cell>
          <cell r="AQ2694">
            <v>0</v>
          </cell>
          <cell r="BA2694">
            <v>0</v>
          </cell>
          <cell r="BC2694">
            <v>0</v>
          </cell>
        </row>
        <row r="2695">
          <cell r="A2695">
            <v>0</v>
          </cell>
          <cell r="B2695">
            <v>0</v>
          </cell>
          <cell r="E2695">
            <v>0</v>
          </cell>
          <cell r="F2695">
            <v>0</v>
          </cell>
          <cell r="AO2695">
            <v>0</v>
          </cell>
          <cell r="AP2695">
            <v>0</v>
          </cell>
          <cell r="AQ2695">
            <v>0</v>
          </cell>
          <cell r="BA2695">
            <v>0</v>
          </cell>
          <cell r="BC2695">
            <v>0</v>
          </cell>
        </row>
        <row r="2696">
          <cell r="A2696">
            <v>0</v>
          </cell>
          <cell r="B2696">
            <v>0</v>
          </cell>
          <cell r="E2696">
            <v>0</v>
          </cell>
          <cell r="F2696">
            <v>0</v>
          </cell>
          <cell r="AO2696">
            <v>0</v>
          </cell>
          <cell r="AP2696">
            <v>0</v>
          </cell>
          <cell r="AQ2696">
            <v>0</v>
          </cell>
          <cell r="BA2696">
            <v>0</v>
          </cell>
          <cell r="BC2696">
            <v>0</v>
          </cell>
        </row>
        <row r="2697">
          <cell r="A2697">
            <v>0</v>
          </cell>
          <cell r="B2697">
            <v>0</v>
          </cell>
          <cell r="E2697">
            <v>0</v>
          </cell>
          <cell r="F2697">
            <v>0</v>
          </cell>
          <cell r="AO2697">
            <v>0</v>
          </cell>
          <cell r="AP2697">
            <v>0</v>
          </cell>
          <cell r="AQ2697">
            <v>0</v>
          </cell>
          <cell r="BA2697">
            <v>0</v>
          </cell>
          <cell r="BC2697">
            <v>0</v>
          </cell>
        </row>
        <row r="2698">
          <cell r="A2698">
            <v>0</v>
          </cell>
          <cell r="B2698">
            <v>0</v>
          </cell>
          <cell r="E2698">
            <v>0</v>
          </cell>
          <cell r="F2698">
            <v>0</v>
          </cell>
          <cell r="AO2698">
            <v>0</v>
          </cell>
          <cell r="AP2698">
            <v>0</v>
          </cell>
          <cell r="AQ2698">
            <v>0</v>
          </cell>
          <cell r="BA2698">
            <v>0</v>
          </cell>
          <cell r="BC2698">
            <v>0</v>
          </cell>
        </row>
        <row r="2699">
          <cell r="A2699">
            <v>0</v>
          </cell>
          <cell r="B2699">
            <v>0</v>
          </cell>
          <cell r="E2699">
            <v>0</v>
          </cell>
          <cell r="F2699">
            <v>0</v>
          </cell>
          <cell r="AO2699">
            <v>0</v>
          </cell>
          <cell r="AP2699">
            <v>0</v>
          </cell>
          <cell r="AQ2699">
            <v>0</v>
          </cell>
          <cell r="BA2699">
            <v>0</v>
          </cell>
          <cell r="BC2699">
            <v>0</v>
          </cell>
        </row>
        <row r="2700">
          <cell r="A2700">
            <v>0</v>
          </cell>
          <cell r="B2700">
            <v>0</v>
          </cell>
          <cell r="E2700">
            <v>0</v>
          </cell>
          <cell r="F2700">
            <v>0</v>
          </cell>
          <cell r="AO2700">
            <v>0</v>
          </cell>
          <cell r="AP2700">
            <v>0</v>
          </cell>
          <cell r="AQ2700">
            <v>0</v>
          </cell>
          <cell r="BA2700">
            <v>0</v>
          </cell>
          <cell r="BC2700">
            <v>0</v>
          </cell>
        </row>
        <row r="2701">
          <cell r="A2701">
            <v>0</v>
          </cell>
          <cell r="B2701">
            <v>0</v>
          </cell>
          <cell r="E2701">
            <v>0</v>
          </cell>
          <cell r="F2701">
            <v>0</v>
          </cell>
          <cell r="AO2701">
            <v>0</v>
          </cell>
          <cell r="AP2701">
            <v>0</v>
          </cell>
          <cell r="AQ2701">
            <v>0</v>
          </cell>
          <cell r="BA2701">
            <v>0</v>
          </cell>
          <cell r="BC2701">
            <v>0</v>
          </cell>
        </row>
        <row r="2702">
          <cell r="A2702">
            <v>0</v>
          </cell>
          <cell r="B2702">
            <v>0</v>
          </cell>
          <cell r="E2702">
            <v>0</v>
          </cell>
          <cell r="F2702">
            <v>0</v>
          </cell>
          <cell r="AO2702">
            <v>0</v>
          </cell>
          <cell r="AP2702">
            <v>0</v>
          </cell>
          <cell r="AQ2702">
            <v>0</v>
          </cell>
          <cell r="BA2702">
            <v>0</v>
          </cell>
          <cell r="BC2702">
            <v>0</v>
          </cell>
        </row>
        <row r="2703">
          <cell r="A2703">
            <v>0</v>
          </cell>
          <cell r="B2703">
            <v>0</v>
          </cell>
          <cell r="E2703">
            <v>0</v>
          </cell>
          <cell r="F2703">
            <v>0</v>
          </cell>
          <cell r="AO2703">
            <v>0</v>
          </cell>
          <cell r="AP2703">
            <v>0</v>
          </cell>
          <cell r="AQ2703">
            <v>0</v>
          </cell>
          <cell r="BA2703">
            <v>0</v>
          </cell>
          <cell r="BC2703">
            <v>0</v>
          </cell>
        </row>
        <row r="2704">
          <cell r="A2704">
            <v>0</v>
          </cell>
          <cell r="B2704">
            <v>0</v>
          </cell>
          <cell r="E2704">
            <v>0</v>
          </cell>
          <cell r="F2704">
            <v>0</v>
          </cell>
          <cell r="AO2704">
            <v>0</v>
          </cell>
          <cell r="AP2704">
            <v>0</v>
          </cell>
          <cell r="AQ2704">
            <v>0</v>
          </cell>
          <cell r="BA2704">
            <v>0</v>
          </cell>
          <cell r="BC2704">
            <v>0</v>
          </cell>
        </row>
        <row r="2705">
          <cell r="A2705">
            <v>0</v>
          </cell>
          <cell r="B2705">
            <v>0</v>
          </cell>
          <cell r="E2705">
            <v>0</v>
          </cell>
          <cell r="F2705">
            <v>0</v>
          </cell>
          <cell r="AO2705">
            <v>0</v>
          </cell>
          <cell r="AP2705">
            <v>0</v>
          </cell>
          <cell r="AQ2705">
            <v>0</v>
          </cell>
          <cell r="BA2705">
            <v>0</v>
          </cell>
          <cell r="BC2705">
            <v>0</v>
          </cell>
        </row>
        <row r="2706">
          <cell r="A2706">
            <v>0</v>
          </cell>
          <cell r="B2706">
            <v>0</v>
          </cell>
          <cell r="E2706">
            <v>0</v>
          </cell>
          <cell r="F2706">
            <v>0</v>
          </cell>
          <cell r="AO2706">
            <v>0</v>
          </cell>
          <cell r="AP2706">
            <v>0</v>
          </cell>
          <cell r="AQ2706">
            <v>0</v>
          </cell>
          <cell r="BA2706">
            <v>0</v>
          </cell>
          <cell r="BC2706">
            <v>0</v>
          </cell>
        </row>
        <row r="2707">
          <cell r="A2707">
            <v>0</v>
          </cell>
          <cell r="B2707">
            <v>0</v>
          </cell>
          <cell r="E2707">
            <v>0</v>
          </cell>
          <cell r="F2707">
            <v>0</v>
          </cell>
          <cell r="AO2707">
            <v>0</v>
          </cell>
          <cell r="AP2707">
            <v>0</v>
          </cell>
          <cell r="AQ2707">
            <v>0</v>
          </cell>
          <cell r="BA2707">
            <v>0</v>
          </cell>
          <cell r="BC2707">
            <v>0</v>
          </cell>
        </row>
        <row r="2708">
          <cell r="A2708">
            <v>0</v>
          </cell>
          <cell r="B2708">
            <v>0</v>
          </cell>
          <cell r="E2708">
            <v>0</v>
          </cell>
          <cell r="F2708">
            <v>0</v>
          </cell>
          <cell r="AO2708">
            <v>0</v>
          </cell>
          <cell r="AP2708">
            <v>0</v>
          </cell>
          <cell r="AQ2708">
            <v>0</v>
          </cell>
          <cell r="BA2708">
            <v>0</v>
          </cell>
          <cell r="BC2708">
            <v>0</v>
          </cell>
        </row>
        <row r="2709">
          <cell r="A2709">
            <v>0</v>
          </cell>
          <cell r="B2709">
            <v>0</v>
          </cell>
          <cell r="E2709">
            <v>0</v>
          </cell>
          <cell r="F2709">
            <v>0</v>
          </cell>
          <cell r="AO2709">
            <v>0</v>
          </cell>
          <cell r="AP2709">
            <v>0</v>
          </cell>
          <cell r="AQ2709">
            <v>0</v>
          </cell>
          <cell r="BA2709">
            <v>0</v>
          </cell>
          <cell r="BC2709">
            <v>0</v>
          </cell>
        </row>
        <row r="2710">
          <cell r="A2710">
            <v>0</v>
          </cell>
          <cell r="B2710">
            <v>0</v>
          </cell>
          <cell r="E2710">
            <v>0</v>
          </cell>
          <cell r="F2710">
            <v>0</v>
          </cell>
          <cell r="AO2710">
            <v>0</v>
          </cell>
          <cell r="AP2710">
            <v>0</v>
          </cell>
          <cell r="AQ2710">
            <v>0</v>
          </cell>
          <cell r="BA2710">
            <v>0</v>
          </cell>
          <cell r="BC2710">
            <v>0</v>
          </cell>
        </row>
        <row r="2711">
          <cell r="A2711">
            <v>0</v>
          </cell>
          <cell r="B2711">
            <v>0</v>
          </cell>
          <cell r="E2711">
            <v>0</v>
          </cell>
          <cell r="F2711">
            <v>0</v>
          </cell>
          <cell r="AO2711">
            <v>0</v>
          </cell>
          <cell r="AP2711">
            <v>0</v>
          </cell>
          <cell r="AQ2711">
            <v>0</v>
          </cell>
          <cell r="BA2711">
            <v>0</v>
          </cell>
          <cell r="BC2711">
            <v>0</v>
          </cell>
        </row>
        <row r="2712">
          <cell r="A2712">
            <v>0</v>
          </cell>
          <cell r="B2712">
            <v>0</v>
          </cell>
          <cell r="E2712">
            <v>0</v>
          </cell>
          <cell r="F2712">
            <v>0</v>
          </cell>
          <cell r="AO2712">
            <v>0</v>
          </cell>
          <cell r="AP2712">
            <v>0</v>
          </cell>
          <cell r="AQ2712">
            <v>0</v>
          </cell>
          <cell r="BA2712">
            <v>0</v>
          </cell>
          <cell r="BC2712">
            <v>0</v>
          </cell>
        </row>
        <row r="2713">
          <cell r="A2713">
            <v>0</v>
          </cell>
          <cell r="B2713">
            <v>0</v>
          </cell>
          <cell r="E2713">
            <v>0</v>
          </cell>
          <cell r="F2713">
            <v>0</v>
          </cell>
          <cell r="AO2713">
            <v>0</v>
          </cell>
          <cell r="AP2713">
            <v>0</v>
          </cell>
          <cell r="AQ2713">
            <v>0</v>
          </cell>
          <cell r="BA2713">
            <v>0</v>
          </cell>
          <cell r="BC2713">
            <v>0</v>
          </cell>
        </row>
        <row r="2714">
          <cell r="A2714">
            <v>0</v>
          </cell>
          <cell r="B2714">
            <v>0</v>
          </cell>
          <cell r="E2714">
            <v>0</v>
          </cell>
          <cell r="F2714">
            <v>0</v>
          </cell>
          <cell r="AO2714">
            <v>0</v>
          </cell>
          <cell r="AP2714">
            <v>0</v>
          </cell>
          <cell r="AQ2714">
            <v>0</v>
          </cell>
          <cell r="BA2714">
            <v>0</v>
          </cell>
          <cell r="BC2714">
            <v>0</v>
          </cell>
        </row>
        <row r="2715">
          <cell r="A2715">
            <v>0</v>
          </cell>
          <cell r="B2715">
            <v>0</v>
          </cell>
          <cell r="E2715">
            <v>0</v>
          </cell>
          <cell r="F2715">
            <v>0</v>
          </cell>
          <cell r="AO2715">
            <v>0</v>
          </cell>
          <cell r="AP2715">
            <v>0</v>
          </cell>
          <cell r="AQ2715">
            <v>0</v>
          </cell>
          <cell r="BA2715">
            <v>0</v>
          </cell>
          <cell r="BC2715">
            <v>0</v>
          </cell>
        </row>
        <row r="2716">
          <cell r="A2716">
            <v>0</v>
          </cell>
          <cell r="B2716">
            <v>0</v>
          </cell>
          <cell r="E2716">
            <v>0</v>
          </cell>
          <cell r="F2716">
            <v>0</v>
          </cell>
          <cell r="AO2716">
            <v>0</v>
          </cell>
          <cell r="AP2716">
            <v>0</v>
          </cell>
          <cell r="AQ2716">
            <v>0</v>
          </cell>
          <cell r="BA2716">
            <v>0</v>
          </cell>
          <cell r="BC2716">
            <v>0</v>
          </cell>
        </row>
        <row r="2717">
          <cell r="A2717">
            <v>0</v>
          </cell>
          <cell r="B2717">
            <v>0</v>
          </cell>
          <cell r="E2717">
            <v>0</v>
          </cell>
          <cell r="F2717">
            <v>0</v>
          </cell>
          <cell r="AO2717">
            <v>0</v>
          </cell>
          <cell r="AP2717">
            <v>0</v>
          </cell>
          <cell r="AQ2717">
            <v>0</v>
          </cell>
          <cell r="BA2717">
            <v>0</v>
          </cell>
          <cell r="BC2717">
            <v>0</v>
          </cell>
        </row>
        <row r="2718">
          <cell r="A2718">
            <v>0</v>
          </cell>
          <cell r="B2718">
            <v>0</v>
          </cell>
          <cell r="E2718">
            <v>0</v>
          </cell>
          <cell r="F2718">
            <v>0</v>
          </cell>
          <cell r="AO2718">
            <v>0</v>
          </cell>
          <cell r="AP2718">
            <v>0</v>
          </cell>
          <cell r="AQ2718">
            <v>0</v>
          </cell>
          <cell r="BA2718">
            <v>0</v>
          </cell>
          <cell r="BC2718">
            <v>0</v>
          </cell>
        </row>
        <row r="2719">
          <cell r="A2719">
            <v>0</v>
          </cell>
          <cell r="B2719">
            <v>0</v>
          </cell>
          <cell r="E2719">
            <v>0</v>
          </cell>
          <cell r="F2719">
            <v>0</v>
          </cell>
          <cell r="AO2719">
            <v>0</v>
          </cell>
          <cell r="AP2719">
            <v>0</v>
          </cell>
          <cell r="AQ2719">
            <v>0</v>
          </cell>
          <cell r="BA2719">
            <v>0</v>
          </cell>
          <cell r="BC2719">
            <v>0</v>
          </cell>
        </row>
        <row r="2720">
          <cell r="A2720">
            <v>0</v>
          </cell>
          <cell r="B2720">
            <v>0</v>
          </cell>
          <cell r="E2720">
            <v>0</v>
          </cell>
          <cell r="F2720">
            <v>0</v>
          </cell>
          <cell r="AO2720">
            <v>0</v>
          </cell>
          <cell r="AP2720">
            <v>0</v>
          </cell>
          <cell r="AQ2720">
            <v>0</v>
          </cell>
          <cell r="BA2720">
            <v>0</v>
          </cell>
          <cell r="BC2720">
            <v>0</v>
          </cell>
        </row>
        <row r="2721">
          <cell r="A2721">
            <v>0</v>
          </cell>
          <cell r="B2721">
            <v>0</v>
          </cell>
          <cell r="E2721">
            <v>0</v>
          </cell>
          <cell r="F2721">
            <v>0</v>
          </cell>
          <cell r="AO2721">
            <v>0</v>
          </cell>
          <cell r="AP2721">
            <v>0</v>
          </cell>
          <cell r="AQ2721">
            <v>0</v>
          </cell>
          <cell r="BA2721">
            <v>0</v>
          </cell>
          <cell r="BC2721">
            <v>0</v>
          </cell>
        </row>
        <row r="2722">
          <cell r="A2722">
            <v>0</v>
          </cell>
          <cell r="B2722">
            <v>0</v>
          </cell>
          <cell r="E2722">
            <v>0</v>
          </cell>
          <cell r="F2722">
            <v>0</v>
          </cell>
          <cell r="AO2722">
            <v>0</v>
          </cell>
          <cell r="AP2722">
            <v>0</v>
          </cell>
          <cell r="AQ2722">
            <v>0</v>
          </cell>
          <cell r="BA2722">
            <v>0</v>
          </cell>
          <cell r="BC2722">
            <v>0</v>
          </cell>
        </row>
        <row r="2723">
          <cell r="A2723">
            <v>0</v>
          </cell>
          <cell r="B2723">
            <v>0</v>
          </cell>
          <cell r="E2723">
            <v>0</v>
          </cell>
          <cell r="F2723">
            <v>0</v>
          </cell>
          <cell r="AO2723">
            <v>0</v>
          </cell>
          <cell r="AP2723">
            <v>0</v>
          </cell>
          <cell r="AQ2723">
            <v>0</v>
          </cell>
          <cell r="BA2723">
            <v>0</v>
          </cell>
          <cell r="BC2723">
            <v>0</v>
          </cell>
        </row>
        <row r="2724">
          <cell r="A2724">
            <v>0</v>
          </cell>
          <cell r="B2724">
            <v>0</v>
          </cell>
          <cell r="E2724">
            <v>0</v>
          </cell>
          <cell r="F2724">
            <v>0</v>
          </cell>
          <cell r="AO2724">
            <v>0</v>
          </cell>
          <cell r="AP2724">
            <v>0</v>
          </cell>
          <cell r="AQ2724">
            <v>0</v>
          </cell>
          <cell r="BA2724">
            <v>0</v>
          </cell>
          <cell r="BC2724">
            <v>0</v>
          </cell>
        </row>
        <row r="2725">
          <cell r="A2725">
            <v>0</v>
          </cell>
          <cell r="B2725">
            <v>0</v>
          </cell>
          <cell r="E2725">
            <v>0</v>
          </cell>
          <cell r="F2725">
            <v>0</v>
          </cell>
          <cell r="AO2725">
            <v>0</v>
          </cell>
          <cell r="AP2725">
            <v>0</v>
          </cell>
          <cell r="AQ2725">
            <v>0</v>
          </cell>
          <cell r="BA2725">
            <v>0</v>
          </cell>
          <cell r="BC2725">
            <v>0</v>
          </cell>
        </row>
        <row r="2726">
          <cell r="A2726">
            <v>0</v>
          </cell>
          <cell r="B2726">
            <v>0</v>
          </cell>
          <cell r="E2726">
            <v>0</v>
          </cell>
          <cell r="F2726">
            <v>0</v>
          </cell>
          <cell r="AO2726">
            <v>0</v>
          </cell>
          <cell r="AP2726">
            <v>0</v>
          </cell>
          <cell r="AQ2726">
            <v>0</v>
          </cell>
          <cell r="BA2726">
            <v>0</v>
          </cell>
          <cell r="BC2726">
            <v>0</v>
          </cell>
        </row>
        <row r="2727">
          <cell r="A2727">
            <v>0</v>
          </cell>
          <cell r="B2727">
            <v>0</v>
          </cell>
          <cell r="E2727">
            <v>0</v>
          </cell>
          <cell r="F2727">
            <v>0</v>
          </cell>
          <cell r="AO2727">
            <v>0</v>
          </cell>
          <cell r="AP2727">
            <v>0</v>
          </cell>
          <cell r="AQ2727">
            <v>0</v>
          </cell>
          <cell r="BA2727">
            <v>0</v>
          </cell>
          <cell r="BC2727">
            <v>0</v>
          </cell>
        </row>
        <row r="2728">
          <cell r="A2728">
            <v>0</v>
          </cell>
          <cell r="B2728">
            <v>0</v>
          </cell>
          <cell r="E2728">
            <v>0</v>
          </cell>
          <cell r="F2728">
            <v>0</v>
          </cell>
          <cell r="AO2728">
            <v>0</v>
          </cell>
          <cell r="AP2728">
            <v>0</v>
          </cell>
          <cell r="AQ2728">
            <v>0</v>
          </cell>
          <cell r="BA2728">
            <v>0</v>
          </cell>
          <cell r="BC2728">
            <v>0</v>
          </cell>
        </row>
        <row r="2729">
          <cell r="A2729">
            <v>0</v>
          </cell>
          <cell r="B2729">
            <v>0</v>
          </cell>
          <cell r="E2729">
            <v>0</v>
          </cell>
          <cell r="F2729">
            <v>0</v>
          </cell>
          <cell r="AO2729">
            <v>0</v>
          </cell>
          <cell r="AP2729">
            <v>0</v>
          </cell>
          <cell r="AQ2729">
            <v>0</v>
          </cell>
          <cell r="BA2729">
            <v>0</v>
          </cell>
          <cell r="BC2729">
            <v>0</v>
          </cell>
        </row>
        <row r="2730">
          <cell r="A2730">
            <v>0</v>
          </cell>
          <cell r="B2730">
            <v>0</v>
          </cell>
          <cell r="E2730">
            <v>0</v>
          </cell>
          <cell r="F2730">
            <v>0</v>
          </cell>
          <cell r="AO2730">
            <v>0</v>
          </cell>
          <cell r="AP2730">
            <v>0</v>
          </cell>
          <cell r="AQ2730">
            <v>0</v>
          </cell>
          <cell r="BA2730">
            <v>0</v>
          </cell>
          <cell r="BC2730">
            <v>0</v>
          </cell>
        </row>
        <row r="2731">
          <cell r="A2731">
            <v>0</v>
          </cell>
          <cell r="B2731">
            <v>0</v>
          </cell>
          <cell r="E2731">
            <v>0</v>
          </cell>
          <cell r="F2731">
            <v>0</v>
          </cell>
          <cell r="AO2731">
            <v>0</v>
          </cell>
          <cell r="AP2731">
            <v>0</v>
          </cell>
          <cell r="AQ2731">
            <v>0</v>
          </cell>
          <cell r="BA2731">
            <v>0</v>
          </cell>
          <cell r="BC2731">
            <v>0</v>
          </cell>
        </row>
        <row r="2732">
          <cell r="A2732">
            <v>0</v>
          </cell>
          <cell r="B2732">
            <v>0</v>
          </cell>
          <cell r="E2732">
            <v>0</v>
          </cell>
          <cell r="F2732">
            <v>0</v>
          </cell>
          <cell r="AO2732">
            <v>0</v>
          </cell>
          <cell r="AP2732">
            <v>0</v>
          </cell>
          <cell r="AQ2732">
            <v>0</v>
          </cell>
          <cell r="BA2732">
            <v>0</v>
          </cell>
          <cell r="BC2732">
            <v>0</v>
          </cell>
        </row>
        <row r="2733">
          <cell r="A2733">
            <v>0</v>
          </cell>
          <cell r="B2733">
            <v>0</v>
          </cell>
          <cell r="E2733">
            <v>0</v>
          </cell>
          <cell r="F2733">
            <v>0</v>
          </cell>
          <cell r="AO2733">
            <v>0</v>
          </cell>
          <cell r="AP2733">
            <v>0</v>
          </cell>
          <cell r="AQ2733">
            <v>0</v>
          </cell>
          <cell r="BA2733">
            <v>0</v>
          </cell>
          <cell r="BC2733">
            <v>0</v>
          </cell>
        </row>
        <row r="2734">
          <cell r="A2734">
            <v>0</v>
          </cell>
          <cell r="B2734">
            <v>0</v>
          </cell>
          <cell r="E2734">
            <v>0</v>
          </cell>
          <cell r="F2734">
            <v>0</v>
          </cell>
          <cell r="AO2734">
            <v>0</v>
          </cell>
          <cell r="AP2734">
            <v>0</v>
          </cell>
          <cell r="AQ2734">
            <v>0</v>
          </cell>
          <cell r="BA2734">
            <v>0</v>
          </cell>
          <cell r="BC2734">
            <v>0</v>
          </cell>
        </row>
        <row r="2735">
          <cell r="A2735">
            <v>0</v>
          </cell>
          <cell r="B2735">
            <v>0</v>
          </cell>
          <cell r="E2735">
            <v>0</v>
          </cell>
          <cell r="F2735">
            <v>0</v>
          </cell>
          <cell r="AO2735">
            <v>0</v>
          </cell>
          <cell r="AP2735">
            <v>0</v>
          </cell>
          <cell r="AQ2735">
            <v>0</v>
          </cell>
          <cell r="BA2735">
            <v>0</v>
          </cell>
          <cell r="BC2735">
            <v>0</v>
          </cell>
        </row>
        <row r="2736">
          <cell r="A2736">
            <v>0</v>
          </cell>
          <cell r="B2736">
            <v>0</v>
          </cell>
          <cell r="E2736">
            <v>0</v>
          </cell>
          <cell r="F2736">
            <v>0</v>
          </cell>
          <cell r="AO2736">
            <v>0</v>
          </cell>
          <cell r="AP2736">
            <v>0</v>
          </cell>
          <cell r="AQ2736">
            <v>0</v>
          </cell>
          <cell r="BA2736">
            <v>0</v>
          </cell>
          <cell r="BC2736">
            <v>0</v>
          </cell>
        </row>
        <row r="2737">
          <cell r="A2737">
            <v>0</v>
          </cell>
          <cell r="B2737">
            <v>0</v>
          </cell>
          <cell r="E2737">
            <v>0</v>
          </cell>
          <cell r="F2737">
            <v>0</v>
          </cell>
          <cell r="AO2737">
            <v>0</v>
          </cell>
          <cell r="AP2737">
            <v>0</v>
          </cell>
          <cell r="AQ2737">
            <v>0</v>
          </cell>
          <cell r="BA2737">
            <v>0</v>
          </cell>
          <cell r="BC2737">
            <v>0</v>
          </cell>
        </row>
        <row r="2738">
          <cell r="A2738">
            <v>0</v>
          </cell>
          <cell r="B2738">
            <v>0</v>
          </cell>
          <cell r="E2738">
            <v>0</v>
          </cell>
          <cell r="F2738">
            <v>0</v>
          </cell>
          <cell r="AO2738">
            <v>0</v>
          </cell>
          <cell r="AP2738">
            <v>0</v>
          </cell>
          <cell r="AQ2738">
            <v>0</v>
          </cell>
          <cell r="BA2738">
            <v>0</v>
          </cell>
          <cell r="BC2738">
            <v>0</v>
          </cell>
        </row>
        <row r="2739">
          <cell r="A2739">
            <v>0</v>
          </cell>
          <cell r="B2739">
            <v>0</v>
          </cell>
          <cell r="E2739">
            <v>0</v>
          </cell>
          <cell r="F2739">
            <v>0</v>
          </cell>
          <cell r="AO2739">
            <v>0</v>
          </cell>
          <cell r="AP2739">
            <v>0</v>
          </cell>
          <cell r="AQ2739">
            <v>0</v>
          </cell>
          <cell r="BA2739">
            <v>0</v>
          </cell>
          <cell r="BC2739">
            <v>0</v>
          </cell>
        </row>
        <row r="2740">
          <cell r="A2740">
            <v>0</v>
          </cell>
          <cell r="B2740">
            <v>0</v>
          </cell>
          <cell r="E2740">
            <v>0</v>
          </cell>
          <cell r="F2740">
            <v>0</v>
          </cell>
          <cell r="AO2740">
            <v>0</v>
          </cell>
          <cell r="AP2740">
            <v>0</v>
          </cell>
          <cell r="AQ2740">
            <v>0</v>
          </cell>
          <cell r="BA2740">
            <v>0</v>
          </cell>
          <cell r="BC2740">
            <v>0</v>
          </cell>
        </row>
        <row r="2741">
          <cell r="A2741">
            <v>0</v>
          </cell>
          <cell r="B2741">
            <v>0</v>
          </cell>
          <cell r="E2741">
            <v>0</v>
          </cell>
          <cell r="F2741">
            <v>0</v>
          </cell>
          <cell r="AO2741">
            <v>0</v>
          </cell>
          <cell r="AP2741">
            <v>0</v>
          </cell>
          <cell r="AQ2741">
            <v>0</v>
          </cell>
          <cell r="BA2741">
            <v>0</v>
          </cell>
          <cell r="BC2741">
            <v>0</v>
          </cell>
        </row>
        <row r="2742">
          <cell r="A2742">
            <v>0</v>
          </cell>
          <cell r="B2742">
            <v>0</v>
          </cell>
          <cell r="E2742">
            <v>0</v>
          </cell>
          <cell r="F2742">
            <v>0</v>
          </cell>
          <cell r="AO2742">
            <v>0</v>
          </cell>
          <cell r="AP2742">
            <v>0</v>
          </cell>
          <cell r="AQ2742">
            <v>0</v>
          </cell>
          <cell r="BA2742">
            <v>0</v>
          </cell>
          <cell r="BC2742">
            <v>0</v>
          </cell>
        </row>
        <row r="2743">
          <cell r="A2743">
            <v>0</v>
          </cell>
          <cell r="B2743">
            <v>0</v>
          </cell>
          <cell r="E2743">
            <v>0</v>
          </cell>
          <cell r="F2743">
            <v>0</v>
          </cell>
          <cell r="AO2743">
            <v>0</v>
          </cell>
          <cell r="AP2743">
            <v>0</v>
          </cell>
          <cell r="AQ2743">
            <v>0</v>
          </cell>
          <cell r="BA2743">
            <v>0</v>
          </cell>
          <cell r="BC2743">
            <v>0</v>
          </cell>
        </row>
        <row r="2744">
          <cell r="A2744">
            <v>0</v>
          </cell>
          <cell r="B2744">
            <v>0</v>
          </cell>
          <cell r="E2744">
            <v>0</v>
          </cell>
          <cell r="F2744">
            <v>0</v>
          </cell>
          <cell r="AO2744">
            <v>0</v>
          </cell>
          <cell r="AP2744">
            <v>0</v>
          </cell>
          <cell r="AQ2744">
            <v>0</v>
          </cell>
          <cell r="BA2744">
            <v>0</v>
          </cell>
          <cell r="BC2744">
            <v>0</v>
          </cell>
        </row>
        <row r="2745">
          <cell r="A2745">
            <v>0</v>
          </cell>
          <cell r="B2745">
            <v>0</v>
          </cell>
          <cell r="E2745">
            <v>0</v>
          </cell>
          <cell r="F2745">
            <v>0</v>
          </cell>
          <cell r="AO2745">
            <v>0</v>
          </cell>
          <cell r="AP2745">
            <v>0</v>
          </cell>
          <cell r="AQ2745">
            <v>0</v>
          </cell>
          <cell r="BA2745">
            <v>0</v>
          </cell>
          <cell r="BC2745">
            <v>0</v>
          </cell>
        </row>
        <row r="2746">
          <cell r="A2746">
            <v>0</v>
          </cell>
          <cell r="B2746">
            <v>0</v>
          </cell>
          <cell r="E2746">
            <v>0</v>
          </cell>
          <cell r="F2746">
            <v>0</v>
          </cell>
          <cell r="AO2746">
            <v>0</v>
          </cell>
          <cell r="AP2746">
            <v>0</v>
          </cell>
          <cell r="AQ2746">
            <v>0</v>
          </cell>
          <cell r="BA2746">
            <v>0</v>
          </cell>
          <cell r="BC2746">
            <v>0</v>
          </cell>
        </row>
        <row r="2747">
          <cell r="A2747">
            <v>0</v>
          </cell>
          <cell r="B2747">
            <v>0</v>
          </cell>
          <cell r="E2747">
            <v>0</v>
          </cell>
          <cell r="F2747">
            <v>0</v>
          </cell>
          <cell r="AO2747">
            <v>0</v>
          </cell>
          <cell r="AP2747">
            <v>0</v>
          </cell>
          <cell r="AQ2747">
            <v>0</v>
          </cell>
          <cell r="BA2747">
            <v>0</v>
          </cell>
          <cell r="BC2747">
            <v>0</v>
          </cell>
        </row>
        <row r="2748">
          <cell r="A2748">
            <v>0</v>
          </cell>
          <cell r="B2748">
            <v>0</v>
          </cell>
          <cell r="E2748">
            <v>0</v>
          </cell>
          <cell r="F2748">
            <v>0</v>
          </cell>
          <cell r="AO2748">
            <v>0</v>
          </cell>
          <cell r="AP2748">
            <v>0</v>
          </cell>
          <cell r="AQ2748">
            <v>0</v>
          </cell>
          <cell r="BA2748">
            <v>0</v>
          </cell>
          <cell r="BC2748">
            <v>0</v>
          </cell>
        </row>
        <row r="2749">
          <cell r="A2749">
            <v>0</v>
          </cell>
          <cell r="B2749">
            <v>0</v>
          </cell>
          <cell r="E2749">
            <v>0</v>
          </cell>
          <cell r="F2749">
            <v>0</v>
          </cell>
          <cell r="AO2749">
            <v>0</v>
          </cell>
          <cell r="AP2749">
            <v>0</v>
          </cell>
          <cell r="AQ2749">
            <v>0</v>
          </cell>
          <cell r="BA2749">
            <v>0</v>
          </cell>
          <cell r="BC2749">
            <v>0</v>
          </cell>
        </row>
        <row r="2750">
          <cell r="A2750">
            <v>0</v>
          </cell>
          <cell r="B2750">
            <v>0</v>
          </cell>
          <cell r="E2750">
            <v>0</v>
          </cell>
          <cell r="F2750">
            <v>0</v>
          </cell>
          <cell r="AO2750">
            <v>0</v>
          </cell>
          <cell r="AP2750">
            <v>0</v>
          </cell>
          <cell r="AQ2750">
            <v>0</v>
          </cell>
          <cell r="BA2750">
            <v>0</v>
          </cell>
          <cell r="BC2750">
            <v>0</v>
          </cell>
        </row>
        <row r="2751">
          <cell r="A2751">
            <v>0</v>
          </cell>
          <cell r="B2751">
            <v>0</v>
          </cell>
          <cell r="E2751">
            <v>0</v>
          </cell>
          <cell r="F2751">
            <v>0</v>
          </cell>
          <cell r="AO2751">
            <v>0</v>
          </cell>
          <cell r="AP2751">
            <v>0</v>
          </cell>
          <cell r="AQ2751">
            <v>0</v>
          </cell>
          <cell r="BA2751">
            <v>0</v>
          </cell>
          <cell r="BC2751">
            <v>0</v>
          </cell>
        </row>
        <row r="2752">
          <cell r="A2752">
            <v>0</v>
          </cell>
          <cell r="B2752">
            <v>0</v>
          </cell>
          <cell r="E2752">
            <v>0</v>
          </cell>
          <cell r="F2752">
            <v>0</v>
          </cell>
          <cell r="AO2752">
            <v>0</v>
          </cell>
          <cell r="AP2752">
            <v>0</v>
          </cell>
          <cell r="AQ2752">
            <v>0</v>
          </cell>
          <cell r="BA2752">
            <v>0</v>
          </cell>
          <cell r="BC2752">
            <v>0</v>
          </cell>
        </row>
        <row r="2753">
          <cell r="A2753">
            <v>0</v>
          </cell>
          <cell r="B2753">
            <v>0</v>
          </cell>
          <cell r="E2753">
            <v>0</v>
          </cell>
          <cell r="F2753">
            <v>0</v>
          </cell>
          <cell r="AO2753">
            <v>0</v>
          </cell>
          <cell r="AP2753">
            <v>0</v>
          </cell>
          <cell r="AQ2753">
            <v>0</v>
          </cell>
          <cell r="BA2753">
            <v>0</v>
          </cell>
          <cell r="BC2753">
            <v>0</v>
          </cell>
        </row>
        <row r="2754">
          <cell r="A2754">
            <v>0</v>
          </cell>
          <cell r="B2754">
            <v>0</v>
          </cell>
          <cell r="E2754">
            <v>0</v>
          </cell>
          <cell r="F2754">
            <v>0</v>
          </cell>
          <cell r="AO2754">
            <v>0</v>
          </cell>
          <cell r="AP2754">
            <v>0</v>
          </cell>
          <cell r="AQ2754">
            <v>0</v>
          </cell>
          <cell r="BA2754">
            <v>0</v>
          </cell>
          <cell r="BC2754">
            <v>0</v>
          </cell>
        </row>
        <row r="2755">
          <cell r="A2755">
            <v>0</v>
          </cell>
          <cell r="B2755">
            <v>0</v>
          </cell>
          <cell r="E2755">
            <v>0</v>
          </cell>
          <cell r="F2755">
            <v>0</v>
          </cell>
          <cell r="AO2755">
            <v>0</v>
          </cell>
          <cell r="AP2755">
            <v>0</v>
          </cell>
          <cell r="AQ2755">
            <v>0</v>
          </cell>
          <cell r="BA2755">
            <v>0</v>
          </cell>
          <cell r="BC2755">
            <v>0</v>
          </cell>
        </row>
        <row r="2756">
          <cell r="A2756">
            <v>0</v>
          </cell>
          <cell r="B2756">
            <v>0</v>
          </cell>
          <cell r="E2756">
            <v>0</v>
          </cell>
          <cell r="F2756">
            <v>0</v>
          </cell>
          <cell r="AO2756">
            <v>0</v>
          </cell>
          <cell r="AP2756">
            <v>0</v>
          </cell>
          <cell r="AQ2756">
            <v>0</v>
          </cell>
          <cell r="BA2756">
            <v>0</v>
          </cell>
          <cell r="BC2756">
            <v>0</v>
          </cell>
        </row>
        <row r="2757">
          <cell r="A2757">
            <v>0</v>
          </cell>
          <cell r="B2757">
            <v>0</v>
          </cell>
          <cell r="E2757">
            <v>0</v>
          </cell>
          <cell r="F2757">
            <v>0</v>
          </cell>
          <cell r="AO2757">
            <v>0</v>
          </cell>
          <cell r="AP2757">
            <v>0</v>
          </cell>
          <cell r="AQ2757">
            <v>0</v>
          </cell>
          <cell r="BA2757">
            <v>0</v>
          </cell>
          <cell r="BC2757">
            <v>0</v>
          </cell>
        </row>
        <row r="2758">
          <cell r="A2758">
            <v>0</v>
          </cell>
          <cell r="B2758">
            <v>0</v>
          </cell>
          <cell r="E2758">
            <v>0</v>
          </cell>
          <cell r="F2758">
            <v>0</v>
          </cell>
          <cell r="AO2758">
            <v>0</v>
          </cell>
          <cell r="AP2758">
            <v>0</v>
          </cell>
          <cell r="AQ2758">
            <v>0</v>
          </cell>
          <cell r="BA2758">
            <v>0</v>
          </cell>
          <cell r="BC2758">
            <v>0</v>
          </cell>
        </row>
        <row r="2759">
          <cell r="A2759">
            <v>0</v>
          </cell>
          <cell r="B2759">
            <v>0</v>
          </cell>
          <cell r="E2759">
            <v>0</v>
          </cell>
          <cell r="F2759">
            <v>0</v>
          </cell>
          <cell r="AO2759">
            <v>0</v>
          </cell>
          <cell r="AP2759">
            <v>0</v>
          </cell>
          <cell r="AQ2759">
            <v>0</v>
          </cell>
          <cell r="BA2759">
            <v>0</v>
          </cell>
          <cell r="BC2759">
            <v>0</v>
          </cell>
        </row>
        <row r="2760">
          <cell r="A2760">
            <v>0</v>
          </cell>
          <cell r="B2760">
            <v>0</v>
          </cell>
          <cell r="E2760">
            <v>0</v>
          </cell>
          <cell r="F2760">
            <v>0</v>
          </cell>
          <cell r="AO2760">
            <v>0</v>
          </cell>
          <cell r="AP2760">
            <v>0</v>
          </cell>
          <cell r="AQ2760">
            <v>0</v>
          </cell>
          <cell r="BA2760">
            <v>0</v>
          </cell>
          <cell r="BC2760">
            <v>0</v>
          </cell>
        </row>
        <row r="2761">
          <cell r="A2761">
            <v>0</v>
          </cell>
          <cell r="B2761">
            <v>0</v>
          </cell>
          <cell r="E2761">
            <v>0</v>
          </cell>
          <cell r="F2761">
            <v>0</v>
          </cell>
          <cell r="AO2761">
            <v>0</v>
          </cell>
          <cell r="AP2761">
            <v>0</v>
          </cell>
          <cell r="AQ2761">
            <v>0</v>
          </cell>
          <cell r="BA2761">
            <v>0</v>
          </cell>
          <cell r="BC2761">
            <v>0</v>
          </cell>
        </row>
        <row r="2762">
          <cell r="A2762">
            <v>0</v>
          </cell>
          <cell r="B2762">
            <v>0</v>
          </cell>
          <cell r="E2762">
            <v>0</v>
          </cell>
          <cell r="F2762">
            <v>0</v>
          </cell>
          <cell r="AO2762">
            <v>0</v>
          </cell>
          <cell r="AP2762">
            <v>0</v>
          </cell>
          <cell r="AQ2762">
            <v>0</v>
          </cell>
          <cell r="BA2762">
            <v>0</v>
          </cell>
          <cell r="BC2762">
            <v>0</v>
          </cell>
        </row>
        <row r="2763">
          <cell r="A2763">
            <v>0</v>
          </cell>
          <cell r="B2763">
            <v>0</v>
          </cell>
          <cell r="E2763">
            <v>0</v>
          </cell>
          <cell r="F2763">
            <v>0</v>
          </cell>
          <cell r="AO2763">
            <v>0</v>
          </cell>
          <cell r="AP2763">
            <v>0</v>
          </cell>
          <cell r="AQ2763">
            <v>0</v>
          </cell>
          <cell r="BA2763">
            <v>0</v>
          </cell>
          <cell r="BC2763">
            <v>0</v>
          </cell>
        </row>
        <row r="2764">
          <cell r="A2764">
            <v>0</v>
          </cell>
          <cell r="B2764">
            <v>0</v>
          </cell>
          <cell r="E2764">
            <v>0</v>
          </cell>
          <cell r="F2764">
            <v>0</v>
          </cell>
          <cell r="AO2764">
            <v>0</v>
          </cell>
          <cell r="AP2764">
            <v>0</v>
          </cell>
          <cell r="AQ2764">
            <v>0</v>
          </cell>
          <cell r="BA2764">
            <v>0</v>
          </cell>
          <cell r="BC2764">
            <v>0</v>
          </cell>
        </row>
        <row r="2765">
          <cell r="A2765">
            <v>0</v>
          </cell>
          <cell r="B2765">
            <v>0</v>
          </cell>
          <cell r="E2765">
            <v>0</v>
          </cell>
          <cell r="F2765">
            <v>0</v>
          </cell>
          <cell r="AO2765">
            <v>0</v>
          </cell>
          <cell r="AP2765">
            <v>0</v>
          </cell>
          <cell r="AQ2765">
            <v>0</v>
          </cell>
          <cell r="BA2765">
            <v>0</v>
          </cell>
          <cell r="BC2765">
            <v>0</v>
          </cell>
        </row>
        <row r="2766">
          <cell r="A2766">
            <v>0</v>
          </cell>
          <cell r="B2766">
            <v>0</v>
          </cell>
          <cell r="E2766">
            <v>0</v>
          </cell>
          <cell r="F2766">
            <v>0</v>
          </cell>
          <cell r="AO2766">
            <v>0</v>
          </cell>
          <cell r="AP2766">
            <v>0</v>
          </cell>
          <cell r="AQ2766">
            <v>0</v>
          </cell>
          <cell r="BA2766">
            <v>0</v>
          </cell>
          <cell r="BC2766">
            <v>0</v>
          </cell>
        </row>
        <row r="2767">
          <cell r="A2767">
            <v>0</v>
          </cell>
          <cell r="B2767">
            <v>0</v>
          </cell>
          <cell r="E2767">
            <v>0</v>
          </cell>
          <cell r="F2767">
            <v>0</v>
          </cell>
          <cell r="AO2767">
            <v>0</v>
          </cell>
          <cell r="AP2767">
            <v>0</v>
          </cell>
          <cell r="AQ2767">
            <v>0</v>
          </cell>
          <cell r="BA2767">
            <v>0</v>
          </cell>
          <cell r="BC2767">
            <v>0</v>
          </cell>
        </row>
        <row r="2768">
          <cell r="A2768">
            <v>0</v>
          </cell>
          <cell r="B2768">
            <v>0</v>
          </cell>
          <cell r="E2768">
            <v>0</v>
          </cell>
          <cell r="F2768">
            <v>0</v>
          </cell>
          <cell r="AO2768">
            <v>0</v>
          </cell>
          <cell r="AP2768">
            <v>0</v>
          </cell>
          <cell r="AQ2768">
            <v>0</v>
          </cell>
          <cell r="BA2768">
            <v>0</v>
          </cell>
          <cell r="BC2768">
            <v>0</v>
          </cell>
        </row>
        <row r="2769">
          <cell r="A2769">
            <v>0</v>
          </cell>
          <cell r="B2769">
            <v>0</v>
          </cell>
          <cell r="E2769">
            <v>0</v>
          </cell>
          <cell r="F2769">
            <v>0</v>
          </cell>
          <cell r="AO2769">
            <v>0</v>
          </cell>
          <cell r="AP2769">
            <v>0</v>
          </cell>
          <cell r="AQ2769">
            <v>0</v>
          </cell>
          <cell r="BA2769">
            <v>0</v>
          </cell>
          <cell r="BC2769">
            <v>0</v>
          </cell>
        </row>
        <row r="2770">
          <cell r="A2770">
            <v>0</v>
          </cell>
          <cell r="B2770">
            <v>0</v>
          </cell>
          <cell r="E2770">
            <v>0</v>
          </cell>
          <cell r="F2770">
            <v>0</v>
          </cell>
          <cell r="AO2770">
            <v>0</v>
          </cell>
          <cell r="AP2770">
            <v>0</v>
          </cell>
          <cell r="AQ2770">
            <v>0</v>
          </cell>
          <cell r="BA2770">
            <v>0</v>
          </cell>
          <cell r="BC2770">
            <v>0</v>
          </cell>
        </row>
        <row r="2771">
          <cell r="A2771">
            <v>0</v>
          </cell>
          <cell r="B2771">
            <v>0</v>
          </cell>
          <cell r="E2771">
            <v>0</v>
          </cell>
          <cell r="F2771">
            <v>0</v>
          </cell>
          <cell r="AO2771">
            <v>0</v>
          </cell>
          <cell r="AP2771">
            <v>0</v>
          </cell>
          <cell r="AQ2771">
            <v>0</v>
          </cell>
          <cell r="BA2771">
            <v>0</v>
          </cell>
          <cell r="BC2771">
            <v>0</v>
          </cell>
        </row>
        <row r="2772">
          <cell r="A2772">
            <v>0</v>
          </cell>
          <cell r="B2772">
            <v>0</v>
          </cell>
          <cell r="E2772">
            <v>0</v>
          </cell>
          <cell r="F2772">
            <v>0</v>
          </cell>
          <cell r="AO2772">
            <v>0</v>
          </cell>
          <cell r="AP2772">
            <v>0</v>
          </cell>
          <cell r="AQ2772">
            <v>0</v>
          </cell>
          <cell r="BA2772">
            <v>0</v>
          </cell>
          <cell r="BC2772">
            <v>0</v>
          </cell>
        </row>
        <row r="2773">
          <cell r="A2773">
            <v>0</v>
          </cell>
          <cell r="B2773">
            <v>0</v>
          </cell>
          <cell r="E2773">
            <v>0</v>
          </cell>
          <cell r="F2773">
            <v>0</v>
          </cell>
          <cell r="AO2773">
            <v>0</v>
          </cell>
          <cell r="AP2773">
            <v>0</v>
          </cell>
          <cell r="AQ2773">
            <v>0</v>
          </cell>
          <cell r="BA2773">
            <v>0</v>
          </cell>
          <cell r="BC2773">
            <v>0</v>
          </cell>
        </row>
        <row r="2774">
          <cell r="A2774">
            <v>0</v>
          </cell>
          <cell r="B2774">
            <v>0</v>
          </cell>
          <cell r="E2774">
            <v>0</v>
          </cell>
          <cell r="F2774">
            <v>0</v>
          </cell>
          <cell r="AO2774">
            <v>0</v>
          </cell>
          <cell r="AP2774">
            <v>0</v>
          </cell>
          <cell r="AQ2774">
            <v>0</v>
          </cell>
          <cell r="BA2774">
            <v>0</v>
          </cell>
          <cell r="BC2774">
            <v>0</v>
          </cell>
        </row>
        <row r="2775">
          <cell r="A2775">
            <v>0</v>
          </cell>
          <cell r="B2775">
            <v>0</v>
          </cell>
          <cell r="E2775">
            <v>0</v>
          </cell>
          <cell r="F2775">
            <v>0</v>
          </cell>
          <cell r="AO2775">
            <v>0</v>
          </cell>
          <cell r="AP2775">
            <v>0</v>
          </cell>
          <cell r="AQ2775">
            <v>0</v>
          </cell>
          <cell r="BA2775">
            <v>0</v>
          </cell>
          <cell r="BC2775">
            <v>0</v>
          </cell>
        </row>
        <row r="2776">
          <cell r="A2776">
            <v>0</v>
          </cell>
          <cell r="B2776">
            <v>0</v>
          </cell>
          <cell r="E2776">
            <v>0</v>
          </cell>
          <cell r="F2776">
            <v>0</v>
          </cell>
          <cell r="AO2776">
            <v>0</v>
          </cell>
          <cell r="AP2776">
            <v>0</v>
          </cell>
          <cell r="AQ2776">
            <v>0</v>
          </cell>
          <cell r="BA2776">
            <v>0</v>
          </cell>
          <cell r="BC2776">
            <v>0</v>
          </cell>
        </row>
        <row r="2777">
          <cell r="A2777">
            <v>0</v>
          </cell>
          <cell r="B2777">
            <v>0</v>
          </cell>
          <cell r="E2777">
            <v>0</v>
          </cell>
          <cell r="F2777">
            <v>0</v>
          </cell>
          <cell r="AO2777">
            <v>0</v>
          </cell>
          <cell r="AP2777">
            <v>0</v>
          </cell>
          <cell r="AQ2777">
            <v>0</v>
          </cell>
          <cell r="BA2777">
            <v>0</v>
          </cell>
          <cell r="BC2777">
            <v>0</v>
          </cell>
        </row>
        <row r="2778">
          <cell r="A2778">
            <v>0</v>
          </cell>
          <cell r="B2778">
            <v>0</v>
          </cell>
          <cell r="E2778">
            <v>0</v>
          </cell>
          <cell r="F2778">
            <v>0</v>
          </cell>
          <cell r="AO2778">
            <v>0</v>
          </cell>
          <cell r="AP2778">
            <v>0</v>
          </cell>
          <cell r="AQ2778">
            <v>0</v>
          </cell>
          <cell r="BA2778">
            <v>0</v>
          </cell>
          <cell r="BC2778">
            <v>0</v>
          </cell>
        </row>
        <row r="2779">
          <cell r="A2779">
            <v>0</v>
          </cell>
          <cell r="B2779">
            <v>0</v>
          </cell>
          <cell r="E2779">
            <v>0</v>
          </cell>
          <cell r="F2779">
            <v>0</v>
          </cell>
          <cell r="AO2779">
            <v>0</v>
          </cell>
          <cell r="AP2779">
            <v>0</v>
          </cell>
          <cell r="AQ2779">
            <v>0</v>
          </cell>
          <cell r="BA2779">
            <v>0</v>
          </cell>
          <cell r="BC2779">
            <v>0</v>
          </cell>
        </row>
        <row r="2780">
          <cell r="A2780">
            <v>0</v>
          </cell>
          <cell r="B2780">
            <v>0</v>
          </cell>
          <cell r="E2780">
            <v>0</v>
          </cell>
          <cell r="F2780">
            <v>0</v>
          </cell>
          <cell r="AO2780">
            <v>0</v>
          </cell>
          <cell r="AP2780">
            <v>0</v>
          </cell>
          <cell r="AQ2780">
            <v>0</v>
          </cell>
          <cell r="BA2780">
            <v>0</v>
          </cell>
          <cell r="BC2780">
            <v>0</v>
          </cell>
        </row>
        <row r="2781">
          <cell r="A2781">
            <v>0</v>
          </cell>
          <cell r="B2781">
            <v>0</v>
          </cell>
          <cell r="E2781">
            <v>0</v>
          </cell>
          <cell r="F2781">
            <v>0</v>
          </cell>
          <cell r="AO2781">
            <v>0</v>
          </cell>
          <cell r="AP2781">
            <v>0</v>
          </cell>
          <cell r="AQ2781">
            <v>0</v>
          </cell>
          <cell r="BA2781">
            <v>0</v>
          </cell>
          <cell r="BC2781">
            <v>0</v>
          </cell>
        </row>
        <row r="2782">
          <cell r="A2782">
            <v>0</v>
          </cell>
          <cell r="B2782">
            <v>0</v>
          </cell>
          <cell r="E2782">
            <v>0</v>
          </cell>
          <cell r="F2782">
            <v>0</v>
          </cell>
          <cell r="AO2782">
            <v>0</v>
          </cell>
          <cell r="AP2782">
            <v>0</v>
          </cell>
          <cell r="AQ2782">
            <v>0</v>
          </cell>
          <cell r="BA2782">
            <v>0</v>
          </cell>
          <cell r="BC2782">
            <v>0</v>
          </cell>
        </row>
        <row r="2783">
          <cell r="A2783">
            <v>0</v>
          </cell>
          <cell r="B2783">
            <v>0</v>
          </cell>
          <cell r="E2783">
            <v>0</v>
          </cell>
          <cell r="F2783">
            <v>0</v>
          </cell>
          <cell r="AO2783">
            <v>0</v>
          </cell>
          <cell r="AP2783">
            <v>0</v>
          </cell>
          <cell r="AQ2783">
            <v>0</v>
          </cell>
          <cell r="BA2783">
            <v>0</v>
          </cell>
          <cell r="BC2783">
            <v>0</v>
          </cell>
        </row>
        <row r="2784">
          <cell r="A2784">
            <v>0</v>
          </cell>
          <cell r="B2784">
            <v>0</v>
          </cell>
          <cell r="E2784">
            <v>0</v>
          </cell>
          <cell r="F2784">
            <v>0</v>
          </cell>
          <cell r="AO2784">
            <v>0</v>
          </cell>
          <cell r="AP2784">
            <v>0</v>
          </cell>
          <cell r="AQ2784">
            <v>0</v>
          </cell>
          <cell r="BA2784">
            <v>0</v>
          </cell>
          <cell r="BC2784">
            <v>0</v>
          </cell>
        </row>
        <row r="2785">
          <cell r="A2785">
            <v>0</v>
          </cell>
          <cell r="B2785">
            <v>0</v>
          </cell>
          <cell r="E2785">
            <v>0</v>
          </cell>
          <cell r="F2785">
            <v>0</v>
          </cell>
          <cell r="AO2785">
            <v>0</v>
          </cell>
          <cell r="AP2785">
            <v>0</v>
          </cell>
          <cell r="AQ2785">
            <v>0</v>
          </cell>
          <cell r="BA2785">
            <v>0</v>
          </cell>
          <cell r="BC2785">
            <v>0</v>
          </cell>
        </row>
        <row r="2786">
          <cell r="A2786">
            <v>0</v>
          </cell>
          <cell r="B2786">
            <v>0</v>
          </cell>
          <cell r="E2786">
            <v>0</v>
          </cell>
          <cell r="F2786">
            <v>0</v>
          </cell>
          <cell r="AO2786">
            <v>0</v>
          </cell>
          <cell r="AP2786">
            <v>0</v>
          </cell>
          <cell r="AQ2786">
            <v>0</v>
          </cell>
          <cell r="BA2786">
            <v>0</v>
          </cell>
          <cell r="BC2786">
            <v>0</v>
          </cell>
        </row>
        <row r="2787">
          <cell r="A2787">
            <v>0</v>
          </cell>
          <cell r="B2787">
            <v>0</v>
          </cell>
          <cell r="E2787">
            <v>0</v>
          </cell>
          <cell r="F2787">
            <v>0</v>
          </cell>
          <cell r="AO2787">
            <v>0</v>
          </cell>
          <cell r="AP2787">
            <v>0</v>
          </cell>
          <cell r="AQ2787">
            <v>0</v>
          </cell>
          <cell r="BA2787">
            <v>0</v>
          </cell>
          <cell r="BC2787">
            <v>0</v>
          </cell>
        </row>
        <row r="2788">
          <cell r="A2788">
            <v>0</v>
          </cell>
          <cell r="B2788">
            <v>0</v>
          </cell>
          <cell r="E2788">
            <v>0</v>
          </cell>
          <cell r="F2788">
            <v>0</v>
          </cell>
          <cell r="AO2788">
            <v>0</v>
          </cell>
          <cell r="AP2788">
            <v>0</v>
          </cell>
          <cell r="AQ2788">
            <v>0</v>
          </cell>
          <cell r="BA2788">
            <v>0</v>
          </cell>
          <cell r="BC2788">
            <v>0</v>
          </cell>
        </row>
        <row r="2789">
          <cell r="A2789">
            <v>0</v>
          </cell>
          <cell r="B2789">
            <v>0</v>
          </cell>
          <cell r="E2789">
            <v>0</v>
          </cell>
          <cell r="F2789">
            <v>0</v>
          </cell>
          <cell r="AO2789">
            <v>0</v>
          </cell>
          <cell r="AP2789">
            <v>0</v>
          </cell>
          <cell r="AQ2789">
            <v>0</v>
          </cell>
          <cell r="BA2789">
            <v>0</v>
          </cell>
          <cell r="BC2789">
            <v>0</v>
          </cell>
        </row>
        <row r="2790">
          <cell r="A2790">
            <v>0</v>
          </cell>
          <cell r="B2790">
            <v>0</v>
          </cell>
          <cell r="E2790">
            <v>0</v>
          </cell>
          <cell r="F2790">
            <v>0</v>
          </cell>
          <cell r="AO2790">
            <v>0</v>
          </cell>
          <cell r="AP2790">
            <v>0</v>
          </cell>
          <cell r="AQ2790">
            <v>0</v>
          </cell>
          <cell r="BA2790">
            <v>0</v>
          </cell>
          <cell r="BC2790">
            <v>0</v>
          </cell>
        </row>
        <row r="2791">
          <cell r="A2791">
            <v>0</v>
          </cell>
          <cell r="B2791">
            <v>0</v>
          </cell>
          <cell r="E2791">
            <v>0</v>
          </cell>
          <cell r="F2791">
            <v>0</v>
          </cell>
          <cell r="AO2791">
            <v>0</v>
          </cell>
          <cell r="AP2791">
            <v>0</v>
          </cell>
          <cell r="AQ2791">
            <v>0</v>
          </cell>
          <cell r="BA2791">
            <v>0</v>
          </cell>
          <cell r="BC2791">
            <v>0</v>
          </cell>
        </row>
        <row r="2792">
          <cell r="A2792">
            <v>0</v>
          </cell>
          <cell r="B2792">
            <v>0</v>
          </cell>
          <cell r="E2792">
            <v>0</v>
          </cell>
          <cell r="F2792">
            <v>0</v>
          </cell>
          <cell r="AO2792">
            <v>0</v>
          </cell>
          <cell r="AP2792">
            <v>0</v>
          </cell>
          <cell r="AQ2792">
            <v>0</v>
          </cell>
          <cell r="BA2792">
            <v>0</v>
          </cell>
          <cell r="BC2792">
            <v>0</v>
          </cell>
        </row>
        <row r="2793">
          <cell r="A2793">
            <v>0</v>
          </cell>
          <cell r="B2793">
            <v>0</v>
          </cell>
          <cell r="E2793">
            <v>0</v>
          </cell>
          <cell r="F2793">
            <v>0</v>
          </cell>
          <cell r="AO2793">
            <v>0</v>
          </cell>
          <cell r="AP2793">
            <v>0</v>
          </cell>
          <cell r="AQ2793">
            <v>0</v>
          </cell>
          <cell r="BA2793">
            <v>0</v>
          </cell>
          <cell r="BC2793">
            <v>0</v>
          </cell>
        </row>
        <row r="2794">
          <cell r="A2794">
            <v>0</v>
          </cell>
          <cell r="B2794">
            <v>0</v>
          </cell>
          <cell r="E2794">
            <v>0</v>
          </cell>
          <cell r="F2794">
            <v>0</v>
          </cell>
          <cell r="AO2794">
            <v>0</v>
          </cell>
          <cell r="AP2794">
            <v>0</v>
          </cell>
          <cell r="AQ2794">
            <v>0</v>
          </cell>
          <cell r="BA2794">
            <v>0</v>
          </cell>
          <cell r="BC2794">
            <v>0</v>
          </cell>
        </row>
        <row r="2795">
          <cell r="A2795">
            <v>0</v>
          </cell>
          <cell r="B2795">
            <v>0</v>
          </cell>
          <cell r="E2795">
            <v>0</v>
          </cell>
          <cell r="F2795">
            <v>0</v>
          </cell>
          <cell r="AO2795">
            <v>0</v>
          </cell>
          <cell r="AP2795">
            <v>0</v>
          </cell>
          <cell r="AQ2795">
            <v>0</v>
          </cell>
          <cell r="BA2795">
            <v>0</v>
          </cell>
          <cell r="BC2795">
            <v>0</v>
          </cell>
        </row>
        <row r="2796">
          <cell r="A2796">
            <v>0</v>
          </cell>
          <cell r="B2796">
            <v>0</v>
          </cell>
          <cell r="E2796">
            <v>0</v>
          </cell>
          <cell r="F2796">
            <v>0</v>
          </cell>
          <cell r="AO2796">
            <v>0</v>
          </cell>
          <cell r="AP2796">
            <v>0</v>
          </cell>
          <cell r="AQ2796">
            <v>0</v>
          </cell>
          <cell r="BA2796">
            <v>0</v>
          </cell>
          <cell r="BC2796">
            <v>0</v>
          </cell>
        </row>
        <row r="2797">
          <cell r="A2797">
            <v>0</v>
          </cell>
          <cell r="B2797">
            <v>0</v>
          </cell>
          <cell r="E2797">
            <v>0</v>
          </cell>
          <cell r="F2797">
            <v>0</v>
          </cell>
          <cell r="AO2797">
            <v>0</v>
          </cell>
          <cell r="AP2797">
            <v>0</v>
          </cell>
          <cell r="AQ2797">
            <v>0</v>
          </cell>
          <cell r="BA2797">
            <v>0</v>
          </cell>
          <cell r="BC2797">
            <v>0</v>
          </cell>
        </row>
        <row r="2798">
          <cell r="A2798">
            <v>0</v>
          </cell>
          <cell r="B2798">
            <v>0</v>
          </cell>
          <cell r="E2798">
            <v>0</v>
          </cell>
          <cell r="F2798">
            <v>0</v>
          </cell>
          <cell r="AO2798">
            <v>0</v>
          </cell>
          <cell r="AP2798">
            <v>0</v>
          </cell>
          <cell r="AQ2798">
            <v>0</v>
          </cell>
          <cell r="BA2798">
            <v>0</v>
          </cell>
          <cell r="BC2798">
            <v>0</v>
          </cell>
        </row>
        <row r="2799">
          <cell r="A2799">
            <v>0</v>
          </cell>
          <cell r="B2799">
            <v>0</v>
          </cell>
          <cell r="E2799">
            <v>0</v>
          </cell>
          <cell r="F2799">
            <v>0</v>
          </cell>
          <cell r="AO2799">
            <v>0</v>
          </cell>
          <cell r="AP2799">
            <v>0</v>
          </cell>
          <cell r="AQ2799">
            <v>0</v>
          </cell>
          <cell r="BA2799">
            <v>0</v>
          </cell>
          <cell r="BC2799">
            <v>0</v>
          </cell>
        </row>
        <row r="2800">
          <cell r="A2800">
            <v>0</v>
          </cell>
          <cell r="B2800">
            <v>0</v>
          </cell>
          <cell r="E2800">
            <v>0</v>
          </cell>
          <cell r="F2800">
            <v>0</v>
          </cell>
          <cell r="AO2800">
            <v>0</v>
          </cell>
          <cell r="AP2800">
            <v>0</v>
          </cell>
          <cell r="AQ2800">
            <v>0</v>
          </cell>
          <cell r="BA2800">
            <v>0</v>
          </cell>
          <cell r="BC2800">
            <v>0</v>
          </cell>
        </row>
        <row r="2801">
          <cell r="A2801">
            <v>0</v>
          </cell>
          <cell r="B2801">
            <v>0</v>
          </cell>
          <cell r="E2801">
            <v>0</v>
          </cell>
          <cell r="F2801">
            <v>0</v>
          </cell>
          <cell r="AO2801">
            <v>0</v>
          </cell>
          <cell r="AP2801">
            <v>0</v>
          </cell>
          <cell r="AQ2801">
            <v>0</v>
          </cell>
          <cell r="BA2801">
            <v>0</v>
          </cell>
          <cell r="BC2801">
            <v>0</v>
          </cell>
        </row>
        <row r="2802">
          <cell r="A2802">
            <v>0</v>
          </cell>
          <cell r="B2802">
            <v>0</v>
          </cell>
          <cell r="E2802">
            <v>0</v>
          </cell>
          <cell r="F2802">
            <v>0</v>
          </cell>
          <cell r="AO2802">
            <v>0</v>
          </cell>
          <cell r="AP2802">
            <v>0</v>
          </cell>
          <cell r="AQ2802">
            <v>0</v>
          </cell>
          <cell r="BA2802">
            <v>0</v>
          </cell>
          <cell r="BC2802">
            <v>0</v>
          </cell>
        </row>
        <row r="2803">
          <cell r="A2803">
            <v>0</v>
          </cell>
          <cell r="B2803">
            <v>0</v>
          </cell>
          <cell r="E2803">
            <v>0</v>
          </cell>
          <cell r="F2803">
            <v>0</v>
          </cell>
          <cell r="AO2803">
            <v>0</v>
          </cell>
          <cell r="AP2803">
            <v>0</v>
          </cell>
          <cell r="AQ2803">
            <v>0</v>
          </cell>
          <cell r="BA2803">
            <v>0</v>
          </cell>
          <cell r="BC2803">
            <v>0</v>
          </cell>
        </row>
        <row r="2804">
          <cell r="A2804">
            <v>0</v>
          </cell>
          <cell r="B2804">
            <v>0</v>
          </cell>
          <cell r="E2804">
            <v>0</v>
          </cell>
          <cell r="F2804">
            <v>0</v>
          </cell>
          <cell r="AO2804">
            <v>0</v>
          </cell>
          <cell r="AP2804">
            <v>0</v>
          </cell>
          <cell r="AQ2804">
            <v>0</v>
          </cell>
          <cell r="BA2804">
            <v>0</v>
          </cell>
          <cell r="BC2804">
            <v>0</v>
          </cell>
        </row>
        <row r="2805">
          <cell r="A2805">
            <v>0</v>
          </cell>
          <cell r="B2805">
            <v>0</v>
          </cell>
          <cell r="E2805">
            <v>0</v>
          </cell>
          <cell r="F2805">
            <v>0</v>
          </cell>
          <cell r="AO2805">
            <v>0</v>
          </cell>
          <cell r="AP2805">
            <v>0</v>
          </cell>
          <cell r="AQ2805">
            <v>0</v>
          </cell>
          <cell r="BA2805">
            <v>0</v>
          </cell>
          <cell r="BC2805">
            <v>0</v>
          </cell>
        </row>
        <row r="2806">
          <cell r="A2806">
            <v>0</v>
          </cell>
          <cell r="B2806">
            <v>0</v>
          </cell>
          <cell r="E2806">
            <v>0</v>
          </cell>
          <cell r="F2806">
            <v>0</v>
          </cell>
          <cell r="AO2806">
            <v>0</v>
          </cell>
          <cell r="AP2806">
            <v>0</v>
          </cell>
          <cell r="AQ2806">
            <v>0</v>
          </cell>
          <cell r="BA2806">
            <v>0</v>
          </cell>
          <cell r="BC2806">
            <v>0</v>
          </cell>
        </row>
        <row r="2807">
          <cell r="A2807">
            <v>0</v>
          </cell>
          <cell r="B2807">
            <v>0</v>
          </cell>
          <cell r="E2807">
            <v>0</v>
          </cell>
          <cell r="F2807">
            <v>0</v>
          </cell>
          <cell r="AO2807">
            <v>0</v>
          </cell>
          <cell r="AP2807">
            <v>0</v>
          </cell>
          <cell r="AQ2807">
            <v>0</v>
          </cell>
          <cell r="BA2807">
            <v>0</v>
          </cell>
          <cell r="BC2807">
            <v>0</v>
          </cell>
        </row>
        <row r="2808">
          <cell r="A2808">
            <v>0</v>
          </cell>
          <cell r="B2808">
            <v>0</v>
          </cell>
          <cell r="E2808">
            <v>0</v>
          </cell>
          <cell r="F2808">
            <v>0</v>
          </cell>
          <cell r="AO2808">
            <v>0</v>
          </cell>
          <cell r="AP2808">
            <v>0</v>
          </cell>
          <cell r="AQ2808">
            <v>0</v>
          </cell>
          <cell r="BA2808">
            <v>0</v>
          </cell>
          <cell r="BC2808">
            <v>0</v>
          </cell>
        </row>
        <row r="2809">
          <cell r="A2809">
            <v>0</v>
          </cell>
          <cell r="B2809">
            <v>0</v>
          </cell>
          <cell r="E2809">
            <v>0</v>
          </cell>
          <cell r="F2809">
            <v>0</v>
          </cell>
          <cell r="AO2809">
            <v>0</v>
          </cell>
          <cell r="AP2809">
            <v>0</v>
          </cell>
          <cell r="AQ2809">
            <v>0</v>
          </cell>
          <cell r="BA2809">
            <v>0</v>
          </cell>
          <cell r="BC2809">
            <v>0</v>
          </cell>
        </row>
        <row r="2810">
          <cell r="A2810">
            <v>0</v>
          </cell>
          <cell r="B2810">
            <v>0</v>
          </cell>
          <cell r="E2810">
            <v>0</v>
          </cell>
          <cell r="F2810">
            <v>0</v>
          </cell>
          <cell r="AO2810">
            <v>0</v>
          </cell>
          <cell r="AP2810">
            <v>0</v>
          </cell>
          <cell r="AQ2810">
            <v>0</v>
          </cell>
          <cell r="BA2810">
            <v>0</v>
          </cell>
          <cell r="BC2810">
            <v>0</v>
          </cell>
        </row>
        <row r="2811">
          <cell r="A2811">
            <v>0</v>
          </cell>
          <cell r="B2811">
            <v>0</v>
          </cell>
          <cell r="E2811">
            <v>0</v>
          </cell>
          <cell r="F2811">
            <v>0</v>
          </cell>
          <cell r="AO2811">
            <v>0</v>
          </cell>
          <cell r="AP2811">
            <v>0</v>
          </cell>
          <cell r="AQ2811">
            <v>0</v>
          </cell>
          <cell r="BA2811">
            <v>0</v>
          </cell>
          <cell r="BC2811">
            <v>0</v>
          </cell>
        </row>
        <row r="2812">
          <cell r="A2812">
            <v>0</v>
          </cell>
          <cell r="B2812">
            <v>0</v>
          </cell>
          <cell r="E2812">
            <v>0</v>
          </cell>
          <cell r="F2812">
            <v>0</v>
          </cell>
          <cell r="AO2812">
            <v>0</v>
          </cell>
          <cell r="AP2812">
            <v>0</v>
          </cell>
          <cell r="AQ2812">
            <v>0</v>
          </cell>
          <cell r="BA2812">
            <v>0</v>
          </cell>
          <cell r="BC2812">
            <v>0</v>
          </cell>
        </row>
        <row r="2813">
          <cell r="A2813">
            <v>0</v>
          </cell>
          <cell r="B2813">
            <v>0</v>
          </cell>
          <cell r="E2813">
            <v>0</v>
          </cell>
          <cell r="F2813">
            <v>0</v>
          </cell>
          <cell r="AO2813">
            <v>0</v>
          </cell>
          <cell r="AP2813">
            <v>0</v>
          </cell>
          <cell r="AQ2813">
            <v>0</v>
          </cell>
          <cell r="BA2813">
            <v>0</v>
          </cell>
          <cell r="BC2813">
            <v>0</v>
          </cell>
        </row>
        <row r="2814">
          <cell r="A2814">
            <v>0</v>
          </cell>
          <cell r="B2814">
            <v>0</v>
          </cell>
          <cell r="E2814">
            <v>0</v>
          </cell>
          <cell r="F2814">
            <v>0</v>
          </cell>
          <cell r="AO2814">
            <v>0</v>
          </cell>
          <cell r="AP2814">
            <v>0</v>
          </cell>
          <cell r="AQ2814">
            <v>0</v>
          </cell>
          <cell r="BA2814">
            <v>0</v>
          </cell>
          <cell r="BC2814">
            <v>0</v>
          </cell>
        </row>
        <row r="2815">
          <cell r="A2815">
            <v>0</v>
          </cell>
          <cell r="B2815">
            <v>0</v>
          </cell>
          <cell r="E2815">
            <v>0</v>
          </cell>
          <cell r="F2815">
            <v>0</v>
          </cell>
          <cell r="AO2815">
            <v>0</v>
          </cell>
          <cell r="AP2815">
            <v>0</v>
          </cell>
          <cell r="AQ2815">
            <v>0</v>
          </cell>
          <cell r="BA2815">
            <v>0</v>
          </cell>
          <cell r="BC2815">
            <v>0</v>
          </cell>
        </row>
        <row r="2816">
          <cell r="A2816">
            <v>0</v>
          </cell>
          <cell r="B2816">
            <v>0</v>
          </cell>
          <cell r="E2816">
            <v>0</v>
          </cell>
          <cell r="F2816">
            <v>0</v>
          </cell>
          <cell r="AO2816">
            <v>0</v>
          </cell>
          <cell r="AP2816">
            <v>0</v>
          </cell>
          <cell r="AQ2816">
            <v>0</v>
          </cell>
          <cell r="BA2816">
            <v>0</v>
          </cell>
          <cell r="BC2816">
            <v>0</v>
          </cell>
        </row>
        <row r="2817">
          <cell r="A2817">
            <v>0</v>
          </cell>
          <cell r="B2817">
            <v>0</v>
          </cell>
          <cell r="E2817">
            <v>0</v>
          </cell>
          <cell r="F2817">
            <v>0</v>
          </cell>
          <cell r="AO2817">
            <v>0</v>
          </cell>
          <cell r="AP2817">
            <v>0</v>
          </cell>
          <cell r="AQ2817">
            <v>0</v>
          </cell>
          <cell r="BA2817">
            <v>0</v>
          </cell>
          <cell r="BC2817">
            <v>0</v>
          </cell>
        </row>
        <row r="2818">
          <cell r="A2818">
            <v>0</v>
          </cell>
          <cell r="B2818">
            <v>0</v>
          </cell>
          <cell r="E2818">
            <v>0</v>
          </cell>
          <cell r="F2818">
            <v>0</v>
          </cell>
          <cell r="AO2818">
            <v>0</v>
          </cell>
          <cell r="AP2818">
            <v>0</v>
          </cell>
          <cell r="AQ2818">
            <v>0</v>
          </cell>
          <cell r="BA2818">
            <v>0</v>
          </cell>
          <cell r="BC2818">
            <v>0</v>
          </cell>
        </row>
        <row r="2819">
          <cell r="A2819">
            <v>0</v>
          </cell>
          <cell r="B2819">
            <v>0</v>
          </cell>
          <cell r="E2819">
            <v>0</v>
          </cell>
          <cell r="F2819">
            <v>0</v>
          </cell>
          <cell r="AO2819">
            <v>0</v>
          </cell>
          <cell r="AP2819">
            <v>0</v>
          </cell>
          <cell r="AQ2819">
            <v>0</v>
          </cell>
          <cell r="BA2819">
            <v>0</v>
          </cell>
          <cell r="BC2819">
            <v>0</v>
          </cell>
        </row>
        <row r="2820">
          <cell r="A2820">
            <v>0</v>
          </cell>
          <cell r="B2820">
            <v>0</v>
          </cell>
          <cell r="E2820">
            <v>0</v>
          </cell>
          <cell r="F2820">
            <v>0</v>
          </cell>
          <cell r="AO2820">
            <v>0</v>
          </cell>
          <cell r="AP2820">
            <v>0</v>
          </cell>
          <cell r="AQ2820">
            <v>0</v>
          </cell>
          <cell r="BA2820">
            <v>0</v>
          </cell>
          <cell r="BC2820">
            <v>0</v>
          </cell>
        </row>
        <row r="2821">
          <cell r="A2821">
            <v>0</v>
          </cell>
          <cell r="B2821">
            <v>0</v>
          </cell>
          <cell r="E2821">
            <v>0</v>
          </cell>
          <cell r="F2821">
            <v>0</v>
          </cell>
          <cell r="AO2821">
            <v>0</v>
          </cell>
          <cell r="AP2821">
            <v>0</v>
          </cell>
          <cell r="AQ2821">
            <v>0</v>
          </cell>
          <cell r="BA2821">
            <v>0</v>
          </cell>
          <cell r="BC2821">
            <v>0</v>
          </cell>
        </row>
        <row r="2822">
          <cell r="A2822">
            <v>0</v>
          </cell>
          <cell r="B2822">
            <v>0</v>
          </cell>
          <cell r="E2822">
            <v>0</v>
          </cell>
          <cell r="F2822">
            <v>0</v>
          </cell>
          <cell r="AO2822">
            <v>0</v>
          </cell>
          <cell r="AP2822">
            <v>0</v>
          </cell>
          <cell r="AQ2822">
            <v>0</v>
          </cell>
          <cell r="BA2822">
            <v>0</v>
          </cell>
          <cell r="BC2822">
            <v>0</v>
          </cell>
        </row>
        <row r="2823">
          <cell r="A2823">
            <v>0</v>
          </cell>
          <cell r="B2823">
            <v>0</v>
          </cell>
          <cell r="E2823">
            <v>0</v>
          </cell>
          <cell r="F2823">
            <v>0</v>
          </cell>
          <cell r="AO2823">
            <v>0</v>
          </cell>
          <cell r="AP2823">
            <v>0</v>
          </cell>
          <cell r="AQ2823">
            <v>0</v>
          </cell>
          <cell r="BA2823">
            <v>0</v>
          </cell>
          <cell r="BC2823">
            <v>0</v>
          </cell>
        </row>
        <row r="2824">
          <cell r="A2824">
            <v>0</v>
          </cell>
          <cell r="B2824">
            <v>0</v>
          </cell>
          <cell r="E2824">
            <v>0</v>
          </cell>
          <cell r="F2824">
            <v>0</v>
          </cell>
          <cell r="AO2824">
            <v>0</v>
          </cell>
          <cell r="AP2824">
            <v>0</v>
          </cell>
          <cell r="AQ2824">
            <v>0</v>
          </cell>
          <cell r="BA2824">
            <v>0</v>
          </cell>
          <cell r="BC2824">
            <v>0</v>
          </cell>
        </row>
        <row r="2825">
          <cell r="A2825">
            <v>0</v>
          </cell>
          <cell r="B2825">
            <v>0</v>
          </cell>
          <cell r="E2825">
            <v>0</v>
          </cell>
          <cell r="F2825">
            <v>0</v>
          </cell>
          <cell r="AO2825">
            <v>0</v>
          </cell>
          <cell r="AP2825">
            <v>0</v>
          </cell>
          <cell r="AQ2825">
            <v>0</v>
          </cell>
          <cell r="BA2825">
            <v>0</v>
          </cell>
          <cell r="BC2825">
            <v>0</v>
          </cell>
        </row>
        <row r="2826">
          <cell r="A2826">
            <v>0</v>
          </cell>
          <cell r="B2826">
            <v>0</v>
          </cell>
          <cell r="E2826">
            <v>0</v>
          </cell>
          <cell r="F2826">
            <v>0</v>
          </cell>
          <cell r="AO2826">
            <v>0</v>
          </cell>
          <cell r="AP2826">
            <v>0</v>
          </cell>
          <cell r="AQ2826">
            <v>0</v>
          </cell>
          <cell r="BA2826">
            <v>0</v>
          </cell>
          <cell r="BC2826">
            <v>0</v>
          </cell>
        </row>
        <row r="2827">
          <cell r="A2827">
            <v>0</v>
          </cell>
          <cell r="B2827">
            <v>0</v>
          </cell>
          <cell r="E2827">
            <v>0</v>
          </cell>
          <cell r="F2827">
            <v>0</v>
          </cell>
          <cell r="AO2827">
            <v>0</v>
          </cell>
          <cell r="AP2827">
            <v>0</v>
          </cell>
          <cell r="AQ2827">
            <v>0</v>
          </cell>
          <cell r="BA2827">
            <v>0</v>
          </cell>
          <cell r="BC2827">
            <v>0</v>
          </cell>
        </row>
        <row r="2828">
          <cell r="A2828">
            <v>0</v>
          </cell>
          <cell r="B2828">
            <v>0</v>
          </cell>
          <cell r="E2828">
            <v>0</v>
          </cell>
          <cell r="F2828">
            <v>0</v>
          </cell>
          <cell r="AO2828">
            <v>0</v>
          </cell>
          <cell r="AP2828">
            <v>0</v>
          </cell>
          <cell r="AQ2828">
            <v>0</v>
          </cell>
          <cell r="BA2828">
            <v>0</v>
          </cell>
          <cell r="BC2828">
            <v>0</v>
          </cell>
        </row>
        <row r="2829">
          <cell r="A2829">
            <v>0</v>
          </cell>
          <cell r="B2829">
            <v>0</v>
          </cell>
          <cell r="E2829">
            <v>0</v>
          </cell>
          <cell r="F2829">
            <v>0</v>
          </cell>
          <cell r="AO2829">
            <v>0</v>
          </cell>
          <cell r="AP2829">
            <v>0</v>
          </cell>
          <cell r="AQ2829">
            <v>0</v>
          </cell>
          <cell r="BA2829">
            <v>0</v>
          </cell>
          <cell r="BC2829">
            <v>0</v>
          </cell>
        </row>
        <row r="2830">
          <cell r="A2830">
            <v>0</v>
          </cell>
          <cell r="B2830">
            <v>0</v>
          </cell>
          <cell r="E2830">
            <v>0</v>
          </cell>
          <cell r="F2830">
            <v>0</v>
          </cell>
          <cell r="AO2830">
            <v>0</v>
          </cell>
          <cell r="AP2830">
            <v>0</v>
          </cell>
          <cell r="AQ2830">
            <v>0</v>
          </cell>
          <cell r="BA2830">
            <v>0</v>
          </cell>
          <cell r="BC2830">
            <v>0</v>
          </cell>
        </row>
        <row r="2831">
          <cell r="A2831">
            <v>0</v>
          </cell>
          <cell r="B2831">
            <v>0</v>
          </cell>
          <cell r="E2831">
            <v>0</v>
          </cell>
          <cell r="F2831">
            <v>0</v>
          </cell>
          <cell r="AO2831">
            <v>0</v>
          </cell>
          <cell r="AP2831">
            <v>0</v>
          </cell>
          <cell r="AQ2831">
            <v>0</v>
          </cell>
          <cell r="BA2831">
            <v>0</v>
          </cell>
          <cell r="BC2831">
            <v>0</v>
          </cell>
        </row>
        <row r="2832">
          <cell r="A2832">
            <v>0</v>
          </cell>
          <cell r="B2832">
            <v>0</v>
          </cell>
          <cell r="E2832">
            <v>0</v>
          </cell>
          <cell r="F2832">
            <v>0</v>
          </cell>
          <cell r="AO2832">
            <v>0</v>
          </cell>
          <cell r="AP2832">
            <v>0</v>
          </cell>
          <cell r="AQ2832">
            <v>0</v>
          </cell>
          <cell r="BA2832">
            <v>0</v>
          </cell>
          <cell r="BC2832">
            <v>0</v>
          </cell>
        </row>
        <row r="2833">
          <cell r="A2833">
            <v>0</v>
          </cell>
          <cell r="B2833">
            <v>0</v>
          </cell>
          <cell r="E2833">
            <v>0</v>
          </cell>
          <cell r="F2833">
            <v>0</v>
          </cell>
          <cell r="AO2833">
            <v>0</v>
          </cell>
          <cell r="AP2833">
            <v>0</v>
          </cell>
          <cell r="AQ2833">
            <v>0</v>
          </cell>
          <cell r="BA2833">
            <v>0</v>
          </cell>
          <cell r="BC2833">
            <v>0</v>
          </cell>
        </row>
        <row r="2834">
          <cell r="A2834">
            <v>0</v>
          </cell>
          <cell r="B2834">
            <v>0</v>
          </cell>
          <cell r="E2834">
            <v>0</v>
          </cell>
          <cell r="F2834">
            <v>0</v>
          </cell>
          <cell r="AO2834">
            <v>0</v>
          </cell>
          <cell r="AP2834">
            <v>0</v>
          </cell>
          <cell r="AQ2834">
            <v>0</v>
          </cell>
          <cell r="BA2834">
            <v>0</v>
          </cell>
          <cell r="BC2834">
            <v>0</v>
          </cell>
        </row>
        <row r="2835">
          <cell r="A2835">
            <v>0</v>
          </cell>
          <cell r="B2835">
            <v>0</v>
          </cell>
          <cell r="E2835">
            <v>0</v>
          </cell>
          <cell r="F2835">
            <v>0</v>
          </cell>
          <cell r="AO2835">
            <v>0</v>
          </cell>
          <cell r="AP2835">
            <v>0</v>
          </cell>
          <cell r="AQ2835">
            <v>0</v>
          </cell>
          <cell r="BA2835">
            <v>0</v>
          </cell>
          <cell r="BC2835">
            <v>0</v>
          </cell>
        </row>
        <row r="2836">
          <cell r="A2836">
            <v>0</v>
          </cell>
          <cell r="B2836">
            <v>0</v>
          </cell>
          <cell r="E2836">
            <v>0</v>
          </cell>
          <cell r="F2836">
            <v>0</v>
          </cell>
          <cell r="AO2836">
            <v>0</v>
          </cell>
          <cell r="AP2836">
            <v>0</v>
          </cell>
          <cell r="AQ2836">
            <v>0</v>
          </cell>
          <cell r="BA2836">
            <v>0</v>
          </cell>
          <cell r="BC2836">
            <v>0</v>
          </cell>
        </row>
        <row r="2837">
          <cell r="A2837">
            <v>0</v>
          </cell>
          <cell r="B2837">
            <v>0</v>
          </cell>
          <cell r="E2837">
            <v>0</v>
          </cell>
          <cell r="F2837">
            <v>0</v>
          </cell>
          <cell r="AO2837">
            <v>0</v>
          </cell>
          <cell r="AP2837">
            <v>0</v>
          </cell>
          <cell r="AQ2837">
            <v>0</v>
          </cell>
          <cell r="BA2837">
            <v>0</v>
          </cell>
          <cell r="BC2837">
            <v>0</v>
          </cell>
        </row>
        <row r="2838">
          <cell r="A2838">
            <v>0</v>
          </cell>
          <cell r="B2838">
            <v>0</v>
          </cell>
          <cell r="E2838">
            <v>0</v>
          </cell>
          <cell r="F2838">
            <v>0</v>
          </cell>
          <cell r="AO2838">
            <v>0</v>
          </cell>
          <cell r="AP2838">
            <v>0</v>
          </cell>
          <cell r="AQ2838">
            <v>0</v>
          </cell>
          <cell r="BA2838">
            <v>0</v>
          </cell>
          <cell r="BC2838">
            <v>0</v>
          </cell>
        </row>
        <row r="2839">
          <cell r="A2839">
            <v>0</v>
          </cell>
          <cell r="B2839">
            <v>0</v>
          </cell>
          <cell r="E2839">
            <v>0</v>
          </cell>
          <cell r="F2839">
            <v>0</v>
          </cell>
          <cell r="AO2839">
            <v>0</v>
          </cell>
          <cell r="AP2839">
            <v>0</v>
          </cell>
          <cell r="AQ2839">
            <v>0</v>
          </cell>
          <cell r="BA2839">
            <v>0</v>
          </cell>
          <cell r="BC2839">
            <v>0</v>
          </cell>
        </row>
        <row r="2840">
          <cell r="A2840">
            <v>0</v>
          </cell>
          <cell r="B2840">
            <v>0</v>
          </cell>
          <cell r="E2840">
            <v>0</v>
          </cell>
          <cell r="F2840">
            <v>0</v>
          </cell>
          <cell r="AO2840">
            <v>0</v>
          </cell>
          <cell r="AP2840">
            <v>0</v>
          </cell>
          <cell r="AQ2840">
            <v>0</v>
          </cell>
          <cell r="BA2840">
            <v>0</v>
          </cell>
          <cell r="BC2840">
            <v>0</v>
          </cell>
        </row>
        <row r="2841">
          <cell r="A2841">
            <v>0</v>
          </cell>
          <cell r="B2841">
            <v>0</v>
          </cell>
          <cell r="E2841">
            <v>0</v>
          </cell>
          <cell r="F2841">
            <v>0</v>
          </cell>
          <cell r="AO2841">
            <v>0</v>
          </cell>
          <cell r="AP2841">
            <v>0</v>
          </cell>
          <cell r="AQ2841">
            <v>0</v>
          </cell>
          <cell r="BA2841">
            <v>0</v>
          </cell>
          <cell r="BC2841">
            <v>0</v>
          </cell>
        </row>
        <row r="2842">
          <cell r="A2842">
            <v>0</v>
          </cell>
          <cell r="B2842">
            <v>0</v>
          </cell>
          <cell r="E2842">
            <v>0</v>
          </cell>
          <cell r="F2842">
            <v>0</v>
          </cell>
          <cell r="AO2842">
            <v>0</v>
          </cell>
          <cell r="AP2842">
            <v>0</v>
          </cell>
          <cell r="AQ2842">
            <v>0</v>
          </cell>
          <cell r="BA2842">
            <v>0</v>
          </cell>
          <cell r="BC2842">
            <v>0</v>
          </cell>
        </row>
        <row r="2843">
          <cell r="A2843">
            <v>0</v>
          </cell>
          <cell r="B2843">
            <v>0</v>
          </cell>
          <cell r="E2843">
            <v>0</v>
          </cell>
          <cell r="F2843">
            <v>0</v>
          </cell>
          <cell r="AO2843">
            <v>0</v>
          </cell>
          <cell r="AP2843">
            <v>0</v>
          </cell>
          <cell r="AQ2843">
            <v>0</v>
          </cell>
          <cell r="BA2843">
            <v>0</v>
          </cell>
          <cell r="BC2843">
            <v>0</v>
          </cell>
        </row>
        <row r="2844">
          <cell r="A2844">
            <v>0</v>
          </cell>
          <cell r="B2844">
            <v>0</v>
          </cell>
          <cell r="E2844">
            <v>0</v>
          </cell>
          <cell r="F2844">
            <v>0</v>
          </cell>
          <cell r="AO2844">
            <v>0</v>
          </cell>
          <cell r="AP2844">
            <v>0</v>
          </cell>
          <cell r="AQ2844">
            <v>0</v>
          </cell>
          <cell r="BA2844">
            <v>0</v>
          </cell>
          <cell r="BC2844">
            <v>0</v>
          </cell>
        </row>
        <row r="2845">
          <cell r="A2845">
            <v>0</v>
          </cell>
          <cell r="B2845">
            <v>0</v>
          </cell>
          <cell r="E2845">
            <v>0</v>
          </cell>
          <cell r="F2845">
            <v>0</v>
          </cell>
          <cell r="AO2845">
            <v>0</v>
          </cell>
          <cell r="AP2845">
            <v>0</v>
          </cell>
          <cell r="AQ2845">
            <v>0</v>
          </cell>
          <cell r="BA2845">
            <v>0</v>
          </cell>
          <cell r="BC2845">
            <v>0</v>
          </cell>
        </row>
        <row r="2846">
          <cell r="A2846">
            <v>0</v>
          </cell>
          <cell r="B2846">
            <v>0</v>
          </cell>
          <cell r="E2846">
            <v>0</v>
          </cell>
          <cell r="F2846">
            <v>0</v>
          </cell>
          <cell r="AO2846">
            <v>0</v>
          </cell>
          <cell r="AP2846">
            <v>0</v>
          </cell>
          <cell r="AQ2846">
            <v>0</v>
          </cell>
          <cell r="BA2846">
            <v>0</v>
          </cell>
          <cell r="BC2846">
            <v>0</v>
          </cell>
        </row>
        <row r="2847">
          <cell r="A2847">
            <v>0</v>
          </cell>
          <cell r="B2847">
            <v>0</v>
          </cell>
          <cell r="E2847">
            <v>0</v>
          </cell>
          <cell r="F2847">
            <v>0</v>
          </cell>
          <cell r="AO2847">
            <v>0</v>
          </cell>
          <cell r="AP2847">
            <v>0</v>
          </cell>
          <cell r="AQ2847">
            <v>0</v>
          </cell>
          <cell r="BA2847">
            <v>0</v>
          </cell>
          <cell r="BC2847">
            <v>0</v>
          </cell>
        </row>
        <row r="2848">
          <cell r="A2848">
            <v>0</v>
          </cell>
          <cell r="B2848">
            <v>0</v>
          </cell>
          <cell r="E2848">
            <v>0</v>
          </cell>
          <cell r="F2848">
            <v>0</v>
          </cell>
          <cell r="AO2848">
            <v>0</v>
          </cell>
          <cell r="AP2848">
            <v>0</v>
          </cell>
          <cell r="AQ2848">
            <v>0</v>
          </cell>
          <cell r="BA2848">
            <v>0</v>
          </cell>
          <cell r="BC2848">
            <v>0</v>
          </cell>
        </row>
        <row r="2849">
          <cell r="A2849">
            <v>0</v>
          </cell>
          <cell r="B2849">
            <v>0</v>
          </cell>
          <cell r="E2849">
            <v>0</v>
          </cell>
          <cell r="F2849">
            <v>0</v>
          </cell>
          <cell r="AO2849">
            <v>0</v>
          </cell>
          <cell r="AP2849">
            <v>0</v>
          </cell>
          <cell r="AQ2849">
            <v>0</v>
          </cell>
          <cell r="BA2849">
            <v>0</v>
          </cell>
          <cell r="BC2849">
            <v>0</v>
          </cell>
        </row>
        <row r="2850">
          <cell r="A2850">
            <v>0</v>
          </cell>
          <cell r="B2850">
            <v>0</v>
          </cell>
          <cell r="E2850">
            <v>0</v>
          </cell>
          <cell r="F2850">
            <v>0</v>
          </cell>
          <cell r="AO2850">
            <v>0</v>
          </cell>
          <cell r="AP2850">
            <v>0</v>
          </cell>
          <cell r="AQ2850">
            <v>0</v>
          </cell>
          <cell r="BA2850">
            <v>0</v>
          </cell>
          <cell r="BC2850">
            <v>0</v>
          </cell>
        </row>
        <row r="2851">
          <cell r="A2851">
            <v>0</v>
          </cell>
          <cell r="B2851">
            <v>0</v>
          </cell>
          <cell r="E2851">
            <v>0</v>
          </cell>
          <cell r="F2851">
            <v>0</v>
          </cell>
          <cell r="AO2851">
            <v>0</v>
          </cell>
          <cell r="AP2851">
            <v>0</v>
          </cell>
          <cell r="AQ2851">
            <v>0</v>
          </cell>
          <cell r="BA2851">
            <v>0</v>
          </cell>
          <cell r="BC2851">
            <v>0</v>
          </cell>
        </row>
        <row r="2852">
          <cell r="A2852">
            <v>0</v>
          </cell>
          <cell r="B2852">
            <v>0</v>
          </cell>
          <cell r="E2852">
            <v>0</v>
          </cell>
          <cell r="F2852">
            <v>0</v>
          </cell>
          <cell r="AO2852">
            <v>0</v>
          </cell>
          <cell r="AP2852">
            <v>0</v>
          </cell>
          <cell r="AQ2852">
            <v>0</v>
          </cell>
          <cell r="BA2852">
            <v>0</v>
          </cell>
          <cell r="BC2852">
            <v>0</v>
          </cell>
        </row>
        <row r="2853">
          <cell r="A2853">
            <v>0</v>
          </cell>
          <cell r="B2853">
            <v>0</v>
          </cell>
          <cell r="E2853">
            <v>0</v>
          </cell>
          <cell r="F2853">
            <v>0</v>
          </cell>
          <cell r="AO2853">
            <v>0</v>
          </cell>
          <cell r="AP2853">
            <v>0</v>
          </cell>
          <cell r="AQ2853">
            <v>0</v>
          </cell>
          <cell r="BA2853">
            <v>0</v>
          </cell>
          <cell r="BC2853">
            <v>0</v>
          </cell>
        </row>
        <row r="2854">
          <cell r="A2854">
            <v>0</v>
          </cell>
          <cell r="B2854">
            <v>0</v>
          </cell>
          <cell r="E2854">
            <v>0</v>
          </cell>
          <cell r="F2854">
            <v>0</v>
          </cell>
          <cell r="AO2854">
            <v>0</v>
          </cell>
          <cell r="AP2854">
            <v>0</v>
          </cell>
          <cell r="AQ2854">
            <v>0</v>
          </cell>
          <cell r="BA2854">
            <v>0</v>
          </cell>
          <cell r="BC2854">
            <v>0</v>
          </cell>
        </row>
        <row r="2855">
          <cell r="A2855">
            <v>0</v>
          </cell>
          <cell r="B2855">
            <v>0</v>
          </cell>
          <cell r="E2855">
            <v>0</v>
          </cell>
          <cell r="F2855">
            <v>0</v>
          </cell>
          <cell r="AO2855">
            <v>0</v>
          </cell>
          <cell r="AP2855">
            <v>0</v>
          </cell>
          <cell r="AQ2855">
            <v>0</v>
          </cell>
          <cell r="BA2855">
            <v>0</v>
          </cell>
          <cell r="BC2855">
            <v>0</v>
          </cell>
        </row>
        <row r="2856">
          <cell r="A2856">
            <v>0</v>
          </cell>
          <cell r="B2856">
            <v>0</v>
          </cell>
          <cell r="E2856">
            <v>0</v>
          </cell>
          <cell r="F2856">
            <v>0</v>
          </cell>
          <cell r="AO2856">
            <v>0</v>
          </cell>
          <cell r="AP2856">
            <v>0</v>
          </cell>
          <cell r="AQ2856">
            <v>0</v>
          </cell>
          <cell r="BA2856">
            <v>0</v>
          </cell>
          <cell r="BC2856">
            <v>0</v>
          </cell>
        </row>
        <row r="2857">
          <cell r="A2857">
            <v>0</v>
          </cell>
          <cell r="B2857">
            <v>0</v>
          </cell>
          <cell r="E2857">
            <v>0</v>
          </cell>
          <cell r="F2857">
            <v>0</v>
          </cell>
          <cell r="AO2857">
            <v>0</v>
          </cell>
          <cell r="AP2857">
            <v>0</v>
          </cell>
          <cell r="AQ2857">
            <v>0</v>
          </cell>
          <cell r="BA2857">
            <v>0</v>
          </cell>
          <cell r="BC2857">
            <v>0</v>
          </cell>
        </row>
        <row r="2858">
          <cell r="A2858">
            <v>0</v>
          </cell>
          <cell r="B2858">
            <v>0</v>
          </cell>
          <cell r="E2858">
            <v>0</v>
          </cell>
          <cell r="F2858">
            <v>0</v>
          </cell>
          <cell r="AO2858">
            <v>0</v>
          </cell>
          <cell r="AP2858">
            <v>0</v>
          </cell>
          <cell r="AQ2858">
            <v>0</v>
          </cell>
          <cell r="BA2858">
            <v>0</v>
          </cell>
          <cell r="BC2858">
            <v>0</v>
          </cell>
        </row>
        <row r="2859">
          <cell r="A2859">
            <v>0</v>
          </cell>
          <cell r="B2859">
            <v>0</v>
          </cell>
          <cell r="E2859">
            <v>0</v>
          </cell>
          <cell r="F2859">
            <v>0</v>
          </cell>
          <cell r="AO2859">
            <v>0</v>
          </cell>
          <cell r="AP2859">
            <v>0</v>
          </cell>
          <cell r="AQ2859">
            <v>0</v>
          </cell>
          <cell r="BA2859">
            <v>0</v>
          </cell>
          <cell r="BC2859">
            <v>0</v>
          </cell>
        </row>
        <row r="2860">
          <cell r="A2860">
            <v>0</v>
          </cell>
          <cell r="B2860">
            <v>0</v>
          </cell>
          <cell r="E2860">
            <v>0</v>
          </cell>
          <cell r="F2860">
            <v>0</v>
          </cell>
          <cell r="AO2860">
            <v>0</v>
          </cell>
          <cell r="AP2860">
            <v>0</v>
          </cell>
          <cell r="AQ2860">
            <v>0</v>
          </cell>
          <cell r="BA2860">
            <v>0</v>
          </cell>
          <cell r="BC2860">
            <v>0</v>
          </cell>
        </row>
        <row r="2861">
          <cell r="A2861">
            <v>0</v>
          </cell>
          <cell r="B2861">
            <v>0</v>
          </cell>
          <cell r="E2861">
            <v>0</v>
          </cell>
          <cell r="F2861">
            <v>0</v>
          </cell>
          <cell r="AO2861">
            <v>0</v>
          </cell>
          <cell r="AP2861">
            <v>0</v>
          </cell>
          <cell r="AQ2861">
            <v>0</v>
          </cell>
          <cell r="BA2861">
            <v>0</v>
          </cell>
          <cell r="BC2861">
            <v>0</v>
          </cell>
        </row>
        <row r="2862">
          <cell r="A2862">
            <v>0</v>
          </cell>
          <cell r="B2862">
            <v>0</v>
          </cell>
          <cell r="E2862">
            <v>0</v>
          </cell>
          <cell r="F2862">
            <v>0</v>
          </cell>
          <cell r="AO2862">
            <v>0</v>
          </cell>
          <cell r="AP2862">
            <v>0</v>
          </cell>
          <cell r="AQ2862">
            <v>0</v>
          </cell>
          <cell r="BA2862">
            <v>0</v>
          </cell>
          <cell r="BC2862">
            <v>0</v>
          </cell>
        </row>
        <row r="2863">
          <cell r="A2863">
            <v>0</v>
          </cell>
          <cell r="B2863">
            <v>0</v>
          </cell>
          <cell r="E2863">
            <v>0</v>
          </cell>
          <cell r="F2863">
            <v>0</v>
          </cell>
          <cell r="AO2863">
            <v>0</v>
          </cell>
          <cell r="AP2863">
            <v>0</v>
          </cell>
          <cell r="AQ2863">
            <v>0</v>
          </cell>
          <cell r="BA2863">
            <v>0</v>
          </cell>
          <cell r="BC2863">
            <v>0</v>
          </cell>
        </row>
        <row r="2864">
          <cell r="A2864">
            <v>0</v>
          </cell>
          <cell r="B2864">
            <v>0</v>
          </cell>
          <cell r="E2864">
            <v>0</v>
          </cell>
          <cell r="F2864">
            <v>0</v>
          </cell>
          <cell r="AO2864">
            <v>0</v>
          </cell>
          <cell r="AP2864">
            <v>0</v>
          </cell>
          <cell r="AQ2864">
            <v>0</v>
          </cell>
          <cell r="BA2864">
            <v>0</v>
          </cell>
          <cell r="BC2864">
            <v>0</v>
          </cell>
        </row>
        <row r="2865">
          <cell r="A2865">
            <v>0</v>
          </cell>
          <cell r="B2865">
            <v>0</v>
          </cell>
          <cell r="E2865">
            <v>0</v>
          </cell>
          <cell r="F2865">
            <v>0</v>
          </cell>
          <cell r="AO2865">
            <v>0</v>
          </cell>
          <cell r="AP2865">
            <v>0</v>
          </cell>
          <cell r="AQ2865">
            <v>0</v>
          </cell>
          <cell r="BA2865">
            <v>0</v>
          </cell>
          <cell r="BC2865">
            <v>0</v>
          </cell>
        </row>
        <row r="2866">
          <cell r="A2866">
            <v>0</v>
          </cell>
          <cell r="B2866">
            <v>0</v>
          </cell>
          <cell r="E2866">
            <v>0</v>
          </cell>
          <cell r="F2866">
            <v>0</v>
          </cell>
          <cell r="AO2866">
            <v>0</v>
          </cell>
          <cell r="AP2866">
            <v>0</v>
          </cell>
          <cell r="AQ2866">
            <v>0</v>
          </cell>
          <cell r="BA2866">
            <v>0</v>
          </cell>
          <cell r="BC2866">
            <v>0</v>
          </cell>
        </row>
        <row r="2867">
          <cell r="A2867">
            <v>0</v>
          </cell>
          <cell r="B2867">
            <v>0</v>
          </cell>
          <cell r="E2867">
            <v>0</v>
          </cell>
          <cell r="F2867">
            <v>0</v>
          </cell>
          <cell r="AO2867">
            <v>0</v>
          </cell>
          <cell r="AP2867">
            <v>0</v>
          </cell>
          <cell r="AQ2867">
            <v>0</v>
          </cell>
          <cell r="BA2867">
            <v>0</v>
          </cell>
          <cell r="BC2867">
            <v>0</v>
          </cell>
        </row>
        <row r="2868">
          <cell r="A2868">
            <v>0</v>
          </cell>
          <cell r="B2868">
            <v>0</v>
          </cell>
          <cell r="E2868">
            <v>0</v>
          </cell>
          <cell r="F2868">
            <v>0</v>
          </cell>
          <cell r="AO2868">
            <v>0</v>
          </cell>
          <cell r="AP2868">
            <v>0</v>
          </cell>
          <cell r="AQ2868">
            <v>0</v>
          </cell>
          <cell r="BA2868">
            <v>0</v>
          </cell>
          <cell r="BC2868">
            <v>0</v>
          </cell>
        </row>
        <row r="2869">
          <cell r="A2869">
            <v>0</v>
          </cell>
          <cell r="B2869">
            <v>0</v>
          </cell>
          <cell r="E2869">
            <v>0</v>
          </cell>
          <cell r="F2869">
            <v>0</v>
          </cell>
          <cell r="AO2869">
            <v>0</v>
          </cell>
          <cell r="AP2869">
            <v>0</v>
          </cell>
          <cell r="AQ2869">
            <v>0</v>
          </cell>
          <cell r="BA2869">
            <v>0</v>
          </cell>
          <cell r="BC2869">
            <v>0</v>
          </cell>
        </row>
        <row r="2870">
          <cell r="A2870">
            <v>0</v>
          </cell>
          <cell r="B2870">
            <v>0</v>
          </cell>
          <cell r="E2870">
            <v>0</v>
          </cell>
          <cell r="F2870">
            <v>0</v>
          </cell>
          <cell r="AO2870">
            <v>0</v>
          </cell>
          <cell r="AP2870">
            <v>0</v>
          </cell>
          <cell r="AQ2870">
            <v>0</v>
          </cell>
          <cell r="BA2870">
            <v>0</v>
          </cell>
          <cell r="BC2870">
            <v>0</v>
          </cell>
        </row>
        <row r="2871">
          <cell r="A2871">
            <v>0</v>
          </cell>
          <cell r="B2871">
            <v>0</v>
          </cell>
          <cell r="E2871">
            <v>0</v>
          </cell>
          <cell r="F2871">
            <v>0</v>
          </cell>
          <cell r="AO2871">
            <v>0</v>
          </cell>
          <cell r="AP2871">
            <v>0</v>
          </cell>
          <cell r="AQ2871">
            <v>0</v>
          </cell>
          <cell r="BA2871">
            <v>0</v>
          </cell>
          <cell r="BC2871">
            <v>0</v>
          </cell>
        </row>
        <row r="2872">
          <cell r="A2872">
            <v>0</v>
          </cell>
          <cell r="B2872">
            <v>0</v>
          </cell>
          <cell r="E2872">
            <v>0</v>
          </cell>
          <cell r="F2872">
            <v>0</v>
          </cell>
          <cell r="AO2872">
            <v>0</v>
          </cell>
          <cell r="AP2872">
            <v>0</v>
          </cell>
          <cell r="AQ2872">
            <v>0</v>
          </cell>
          <cell r="BA2872">
            <v>0</v>
          </cell>
          <cell r="BC2872">
            <v>0</v>
          </cell>
        </row>
        <row r="2873">
          <cell r="A2873">
            <v>0</v>
          </cell>
          <cell r="B2873">
            <v>0</v>
          </cell>
          <cell r="E2873">
            <v>0</v>
          </cell>
          <cell r="F2873">
            <v>0</v>
          </cell>
          <cell r="AO2873">
            <v>0</v>
          </cell>
          <cell r="AP2873">
            <v>0</v>
          </cell>
          <cell r="AQ2873">
            <v>0</v>
          </cell>
          <cell r="BA2873">
            <v>0</v>
          </cell>
          <cell r="BC2873">
            <v>0</v>
          </cell>
        </row>
        <row r="2874">
          <cell r="A2874">
            <v>0</v>
          </cell>
          <cell r="B2874">
            <v>0</v>
          </cell>
          <cell r="E2874">
            <v>0</v>
          </cell>
          <cell r="F2874">
            <v>0</v>
          </cell>
          <cell r="AO2874">
            <v>0</v>
          </cell>
          <cell r="AP2874">
            <v>0</v>
          </cell>
          <cell r="AQ2874">
            <v>0</v>
          </cell>
          <cell r="BA2874">
            <v>0</v>
          </cell>
          <cell r="BC2874">
            <v>0</v>
          </cell>
        </row>
        <row r="2875">
          <cell r="A2875">
            <v>0</v>
          </cell>
          <cell r="B2875">
            <v>0</v>
          </cell>
          <cell r="E2875">
            <v>0</v>
          </cell>
          <cell r="F2875">
            <v>0</v>
          </cell>
          <cell r="AO2875">
            <v>0</v>
          </cell>
          <cell r="AP2875">
            <v>0</v>
          </cell>
          <cell r="AQ2875">
            <v>0</v>
          </cell>
          <cell r="BA2875">
            <v>0</v>
          </cell>
          <cell r="BC2875">
            <v>0</v>
          </cell>
        </row>
        <row r="2876">
          <cell r="A2876">
            <v>0</v>
          </cell>
          <cell r="B2876">
            <v>0</v>
          </cell>
          <cell r="E2876">
            <v>0</v>
          </cell>
          <cell r="F2876">
            <v>0</v>
          </cell>
          <cell r="AO2876">
            <v>0</v>
          </cell>
          <cell r="AP2876">
            <v>0</v>
          </cell>
          <cell r="AQ2876">
            <v>0</v>
          </cell>
          <cell r="BA2876">
            <v>0</v>
          </cell>
          <cell r="BC2876">
            <v>0</v>
          </cell>
        </row>
        <row r="2877">
          <cell r="A2877">
            <v>0</v>
          </cell>
          <cell r="B2877">
            <v>0</v>
          </cell>
          <cell r="E2877">
            <v>0</v>
          </cell>
          <cell r="F2877">
            <v>0</v>
          </cell>
          <cell r="AO2877">
            <v>0</v>
          </cell>
          <cell r="AP2877">
            <v>0</v>
          </cell>
          <cell r="AQ2877">
            <v>0</v>
          </cell>
          <cell r="BA2877">
            <v>0</v>
          </cell>
          <cell r="BC2877">
            <v>0</v>
          </cell>
        </row>
        <row r="2878">
          <cell r="A2878">
            <v>0</v>
          </cell>
          <cell r="B2878">
            <v>0</v>
          </cell>
          <cell r="E2878">
            <v>0</v>
          </cell>
          <cell r="F2878">
            <v>0</v>
          </cell>
          <cell r="AO2878">
            <v>0</v>
          </cell>
          <cell r="AP2878">
            <v>0</v>
          </cell>
          <cell r="AQ2878">
            <v>0</v>
          </cell>
          <cell r="BA2878">
            <v>0</v>
          </cell>
          <cell r="BC2878">
            <v>0</v>
          </cell>
        </row>
        <row r="2879">
          <cell r="A2879">
            <v>0</v>
          </cell>
          <cell r="B2879">
            <v>0</v>
          </cell>
          <cell r="E2879">
            <v>0</v>
          </cell>
          <cell r="F2879">
            <v>0</v>
          </cell>
          <cell r="AO2879">
            <v>0</v>
          </cell>
          <cell r="AP2879">
            <v>0</v>
          </cell>
          <cell r="AQ2879">
            <v>0</v>
          </cell>
          <cell r="BA2879">
            <v>0</v>
          </cell>
          <cell r="BC2879">
            <v>0</v>
          </cell>
        </row>
        <row r="2880">
          <cell r="A2880">
            <v>0</v>
          </cell>
          <cell r="B2880">
            <v>0</v>
          </cell>
          <cell r="E2880">
            <v>0</v>
          </cell>
          <cell r="F2880">
            <v>0</v>
          </cell>
          <cell r="AO2880">
            <v>0</v>
          </cell>
          <cell r="AP2880">
            <v>0</v>
          </cell>
          <cell r="AQ2880">
            <v>0</v>
          </cell>
          <cell r="BA2880">
            <v>0</v>
          </cell>
          <cell r="BC2880">
            <v>0</v>
          </cell>
        </row>
        <row r="2881">
          <cell r="A2881">
            <v>0</v>
          </cell>
          <cell r="B2881">
            <v>0</v>
          </cell>
          <cell r="E2881">
            <v>0</v>
          </cell>
          <cell r="F2881">
            <v>0</v>
          </cell>
          <cell r="AO2881">
            <v>0</v>
          </cell>
          <cell r="AP2881">
            <v>0</v>
          </cell>
          <cell r="AQ2881">
            <v>0</v>
          </cell>
          <cell r="BA2881">
            <v>0</v>
          </cell>
          <cell r="BC2881">
            <v>0</v>
          </cell>
        </row>
        <row r="2882">
          <cell r="A2882">
            <v>0</v>
          </cell>
          <cell r="B2882">
            <v>0</v>
          </cell>
          <cell r="E2882">
            <v>0</v>
          </cell>
          <cell r="F2882">
            <v>0</v>
          </cell>
          <cell r="AO2882">
            <v>0</v>
          </cell>
          <cell r="AP2882">
            <v>0</v>
          </cell>
          <cell r="AQ2882">
            <v>0</v>
          </cell>
          <cell r="BA2882">
            <v>0</v>
          </cell>
          <cell r="BC2882">
            <v>0</v>
          </cell>
        </row>
        <row r="2883">
          <cell r="A2883">
            <v>0</v>
          </cell>
          <cell r="B2883">
            <v>0</v>
          </cell>
          <cell r="E2883">
            <v>0</v>
          </cell>
          <cell r="F2883">
            <v>0</v>
          </cell>
          <cell r="AO2883">
            <v>0</v>
          </cell>
          <cell r="AP2883">
            <v>0</v>
          </cell>
          <cell r="AQ2883">
            <v>0</v>
          </cell>
          <cell r="BA2883">
            <v>0</v>
          </cell>
          <cell r="BC2883">
            <v>0</v>
          </cell>
        </row>
        <row r="2884">
          <cell r="A2884">
            <v>0</v>
          </cell>
          <cell r="B2884">
            <v>0</v>
          </cell>
          <cell r="E2884">
            <v>0</v>
          </cell>
          <cell r="F2884">
            <v>0</v>
          </cell>
          <cell r="AO2884">
            <v>0</v>
          </cell>
          <cell r="AP2884">
            <v>0</v>
          </cell>
          <cell r="AQ2884">
            <v>0</v>
          </cell>
          <cell r="BA2884">
            <v>0</v>
          </cell>
          <cell r="BC2884">
            <v>0</v>
          </cell>
        </row>
        <row r="2885">
          <cell r="A2885">
            <v>0</v>
          </cell>
          <cell r="B2885">
            <v>0</v>
          </cell>
          <cell r="E2885">
            <v>0</v>
          </cell>
          <cell r="F2885">
            <v>0</v>
          </cell>
          <cell r="AO2885">
            <v>0</v>
          </cell>
          <cell r="AP2885">
            <v>0</v>
          </cell>
          <cell r="AQ2885">
            <v>0</v>
          </cell>
          <cell r="BA2885">
            <v>0</v>
          </cell>
          <cell r="BC2885">
            <v>0</v>
          </cell>
        </row>
        <row r="2886">
          <cell r="A2886">
            <v>0</v>
          </cell>
          <cell r="B2886">
            <v>0</v>
          </cell>
          <cell r="E2886">
            <v>0</v>
          </cell>
          <cell r="F2886">
            <v>0</v>
          </cell>
          <cell r="AO2886">
            <v>0</v>
          </cell>
          <cell r="AP2886">
            <v>0</v>
          </cell>
          <cell r="AQ2886">
            <v>0</v>
          </cell>
          <cell r="BA2886">
            <v>0</v>
          </cell>
          <cell r="BC2886">
            <v>0</v>
          </cell>
        </row>
        <row r="2887">
          <cell r="A2887">
            <v>0</v>
          </cell>
          <cell r="B2887">
            <v>0</v>
          </cell>
          <cell r="E2887">
            <v>0</v>
          </cell>
          <cell r="F2887">
            <v>0</v>
          </cell>
          <cell r="AO2887">
            <v>0</v>
          </cell>
          <cell r="AP2887">
            <v>0</v>
          </cell>
          <cell r="AQ2887">
            <v>0</v>
          </cell>
          <cell r="BA2887">
            <v>0</v>
          </cell>
          <cell r="BC2887">
            <v>0</v>
          </cell>
        </row>
        <row r="2888">
          <cell r="A2888">
            <v>0</v>
          </cell>
          <cell r="B2888">
            <v>0</v>
          </cell>
          <cell r="E2888">
            <v>0</v>
          </cell>
          <cell r="F2888">
            <v>0</v>
          </cell>
          <cell r="AO2888">
            <v>0</v>
          </cell>
          <cell r="AP2888">
            <v>0</v>
          </cell>
          <cell r="AQ2888">
            <v>0</v>
          </cell>
          <cell r="BA2888">
            <v>0</v>
          </cell>
          <cell r="BC2888">
            <v>0</v>
          </cell>
        </row>
        <row r="2889">
          <cell r="A2889">
            <v>0</v>
          </cell>
          <cell r="B2889">
            <v>0</v>
          </cell>
          <cell r="E2889">
            <v>0</v>
          </cell>
          <cell r="F2889">
            <v>0</v>
          </cell>
          <cell r="AO2889">
            <v>0</v>
          </cell>
          <cell r="AP2889">
            <v>0</v>
          </cell>
          <cell r="AQ2889">
            <v>0</v>
          </cell>
          <cell r="BA2889">
            <v>0</v>
          </cell>
          <cell r="BC2889">
            <v>0</v>
          </cell>
        </row>
        <row r="2890">
          <cell r="A2890">
            <v>0</v>
          </cell>
          <cell r="B2890">
            <v>0</v>
          </cell>
          <cell r="E2890">
            <v>0</v>
          </cell>
          <cell r="F2890">
            <v>0</v>
          </cell>
          <cell r="AO2890">
            <v>0</v>
          </cell>
          <cell r="AP2890">
            <v>0</v>
          </cell>
          <cell r="AQ2890">
            <v>0</v>
          </cell>
          <cell r="BA2890">
            <v>0</v>
          </cell>
          <cell r="BC2890">
            <v>0</v>
          </cell>
        </row>
        <row r="2891">
          <cell r="A2891">
            <v>0</v>
          </cell>
          <cell r="B2891">
            <v>0</v>
          </cell>
          <cell r="E2891">
            <v>0</v>
          </cell>
          <cell r="F2891">
            <v>0</v>
          </cell>
          <cell r="AO2891">
            <v>0</v>
          </cell>
          <cell r="AP2891">
            <v>0</v>
          </cell>
          <cell r="AQ2891">
            <v>0</v>
          </cell>
          <cell r="BA2891">
            <v>0</v>
          </cell>
          <cell r="BC2891">
            <v>0</v>
          </cell>
        </row>
        <row r="2892">
          <cell r="A2892">
            <v>0</v>
          </cell>
          <cell r="B2892">
            <v>0</v>
          </cell>
          <cell r="E2892">
            <v>0</v>
          </cell>
          <cell r="F2892">
            <v>0</v>
          </cell>
          <cell r="AO2892">
            <v>0</v>
          </cell>
          <cell r="AP2892">
            <v>0</v>
          </cell>
          <cell r="AQ2892">
            <v>0</v>
          </cell>
          <cell r="BA2892">
            <v>0</v>
          </cell>
          <cell r="BC2892">
            <v>0</v>
          </cell>
        </row>
        <row r="2893">
          <cell r="A2893">
            <v>0</v>
          </cell>
          <cell r="B2893">
            <v>0</v>
          </cell>
          <cell r="E2893">
            <v>0</v>
          </cell>
          <cell r="F2893">
            <v>0</v>
          </cell>
          <cell r="AO2893">
            <v>0</v>
          </cell>
          <cell r="AP2893">
            <v>0</v>
          </cell>
          <cell r="AQ2893">
            <v>0</v>
          </cell>
          <cell r="BA2893">
            <v>0</v>
          </cell>
          <cell r="BC2893">
            <v>0</v>
          </cell>
        </row>
        <row r="2894">
          <cell r="A2894">
            <v>0</v>
          </cell>
          <cell r="B2894">
            <v>0</v>
          </cell>
          <cell r="E2894">
            <v>0</v>
          </cell>
          <cell r="F2894">
            <v>0</v>
          </cell>
          <cell r="AO2894">
            <v>0</v>
          </cell>
          <cell r="AP2894">
            <v>0</v>
          </cell>
          <cell r="AQ2894">
            <v>0</v>
          </cell>
          <cell r="BA2894">
            <v>0</v>
          </cell>
          <cell r="BC2894">
            <v>0</v>
          </cell>
        </row>
        <row r="2895">
          <cell r="A2895">
            <v>0</v>
          </cell>
          <cell r="B2895">
            <v>0</v>
          </cell>
          <cell r="E2895">
            <v>0</v>
          </cell>
          <cell r="F2895">
            <v>0</v>
          </cell>
          <cell r="AO2895">
            <v>0</v>
          </cell>
          <cell r="AP2895">
            <v>0</v>
          </cell>
          <cell r="AQ2895">
            <v>0</v>
          </cell>
          <cell r="BA2895">
            <v>0</v>
          </cell>
          <cell r="BC2895">
            <v>0</v>
          </cell>
        </row>
        <row r="2896">
          <cell r="A2896">
            <v>0</v>
          </cell>
          <cell r="B2896">
            <v>0</v>
          </cell>
          <cell r="E2896">
            <v>0</v>
          </cell>
          <cell r="F2896">
            <v>0</v>
          </cell>
          <cell r="AO2896">
            <v>0</v>
          </cell>
          <cell r="AP2896">
            <v>0</v>
          </cell>
          <cell r="AQ2896">
            <v>0</v>
          </cell>
          <cell r="BA2896">
            <v>0</v>
          </cell>
          <cell r="BC2896">
            <v>0</v>
          </cell>
        </row>
        <row r="2897">
          <cell r="A2897">
            <v>0</v>
          </cell>
          <cell r="B2897">
            <v>0</v>
          </cell>
          <cell r="E2897">
            <v>0</v>
          </cell>
          <cell r="F2897">
            <v>0</v>
          </cell>
          <cell r="AO2897">
            <v>0</v>
          </cell>
          <cell r="AP2897">
            <v>0</v>
          </cell>
          <cell r="AQ2897">
            <v>0</v>
          </cell>
          <cell r="BA2897">
            <v>0</v>
          </cell>
          <cell r="BC2897">
            <v>0</v>
          </cell>
        </row>
        <row r="2898">
          <cell r="A2898">
            <v>0</v>
          </cell>
          <cell r="B2898">
            <v>0</v>
          </cell>
          <cell r="E2898">
            <v>0</v>
          </cell>
          <cell r="F2898">
            <v>0</v>
          </cell>
          <cell r="AO2898">
            <v>0</v>
          </cell>
          <cell r="AP2898">
            <v>0</v>
          </cell>
          <cell r="AQ2898">
            <v>0</v>
          </cell>
          <cell r="BA2898">
            <v>0</v>
          </cell>
          <cell r="BC2898">
            <v>0</v>
          </cell>
        </row>
        <row r="2899">
          <cell r="A2899">
            <v>0</v>
          </cell>
          <cell r="B2899">
            <v>0</v>
          </cell>
          <cell r="E2899">
            <v>0</v>
          </cell>
          <cell r="F2899">
            <v>0</v>
          </cell>
          <cell r="AO2899">
            <v>0</v>
          </cell>
          <cell r="AP2899">
            <v>0</v>
          </cell>
          <cell r="AQ2899">
            <v>0</v>
          </cell>
          <cell r="BA2899">
            <v>0</v>
          </cell>
          <cell r="BC2899">
            <v>0</v>
          </cell>
        </row>
        <row r="2900">
          <cell r="A2900">
            <v>0</v>
          </cell>
          <cell r="B2900">
            <v>0</v>
          </cell>
          <cell r="E2900">
            <v>0</v>
          </cell>
          <cell r="F2900">
            <v>0</v>
          </cell>
          <cell r="AO2900">
            <v>0</v>
          </cell>
          <cell r="AP2900">
            <v>0</v>
          </cell>
          <cell r="AQ2900">
            <v>0</v>
          </cell>
          <cell r="BA2900">
            <v>0</v>
          </cell>
          <cell r="BC2900">
            <v>0</v>
          </cell>
        </row>
        <row r="2901">
          <cell r="A2901">
            <v>0</v>
          </cell>
          <cell r="B2901">
            <v>0</v>
          </cell>
          <cell r="E2901">
            <v>0</v>
          </cell>
          <cell r="F2901">
            <v>0</v>
          </cell>
          <cell r="AO2901">
            <v>0</v>
          </cell>
          <cell r="AP2901">
            <v>0</v>
          </cell>
          <cell r="AQ2901">
            <v>0</v>
          </cell>
          <cell r="BA2901">
            <v>0</v>
          </cell>
          <cell r="BC2901">
            <v>0</v>
          </cell>
        </row>
        <row r="2902">
          <cell r="A2902">
            <v>0</v>
          </cell>
          <cell r="B2902">
            <v>0</v>
          </cell>
          <cell r="E2902">
            <v>0</v>
          </cell>
          <cell r="F2902">
            <v>0</v>
          </cell>
          <cell r="AO2902">
            <v>0</v>
          </cell>
          <cell r="AP2902">
            <v>0</v>
          </cell>
          <cell r="AQ2902">
            <v>0</v>
          </cell>
          <cell r="BA2902">
            <v>0</v>
          </cell>
          <cell r="BC2902">
            <v>0</v>
          </cell>
        </row>
        <row r="2903">
          <cell r="A2903">
            <v>0</v>
          </cell>
          <cell r="B2903">
            <v>0</v>
          </cell>
          <cell r="E2903">
            <v>0</v>
          </cell>
          <cell r="F2903">
            <v>0</v>
          </cell>
          <cell r="AO2903">
            <v>0</v>
          </cell>
          <cell r="AP2903">
            <v>0</v>
          </cell>
          <cell r="AQ2903">
            <v>0</v>
          </cell>
          <cell r="BA2903">
            <v>0</v>
          </cell>
          <cell r="BC2903">
            <v>0</v>
          </cell>
        </row>
        <row r="2904">
          <cell r="A2904">
            <v>0</v>
          </cell>
          <cell r="B2904">
            <v>0</v>
          </cell>
          <cell r="E2904">
            <v>0</v>
          </cell>
          <cell r="F2904">
            <v>0</v>
          </cell>
          <cell r="AO2904">
            <v>0</v>
          </cell>
          <cell r="AP2904">
            <v>0</v>
          </cell>
          <cell r="AQ2904">
            <v>0</v>
          </cell>
          <cell r="BA2904">
            <v>0</v>
          </cell>
          <cell r="BC2904">
            <v>0</v>
          </cell>
        </row>
        <row r="2905">
          <cell r="A2905">
            <v>0</v>
          </cell>
          <cell r="B2905">
            <v>0</v>
          </cell>
          <cell r="E2905">
            <v>0</v>
          </cell>
          <cell r="F2905">
            <v>0</v>
          </cell>
          <cell r="AO2905">
            <v>0</v>
          </cell>
          <cell r="AP2905">
            <v>0</v>
          </cell>
          <cell r="AQ2905">
            <v>0</v>
          </cell>
          <cell r="BA2905">
            <v>0</v>
          </cell>
          <cell r="BC2905">
            <v>0</v>
          </cell>
        </row>
        <row r="2906">
          <cell r="A2906">
            <v>0</v>
          </cell>
          <cell r="B2906">
            <v>0</v>
          </cell>
          <cell r="E2906">
            <v>0</v>
          </cell>
          <cell r="F2906">
            <v>0</v>
          </cell>
          <cell r="AO2906">
            <v>0</v>
          </cell>
          <cell r="AP2906">
            <v>0</v>
          </cell>
          <cell r="AQ2906">
            <v>0</v>
          </cell>
          <cell r="BA2906">
            <v>0</v>
          </cell>
          <cell r="BC2906">
            <v>0</v>
          </cell>
        </row>
        <row r="2907">
          <cell r="A2907">
            <v>0</v>
          </cell>
          <cell r="B2907">
            <v>0</v>
          </cell>
          <cell r="E2907">
            <v>0</v>
          </cell>
          <cell r="F2907">
            <v>0</v>
          </cell>
          <cell r="AO2907">
            <v>0</v>
          </cell>
          <cell r="AP2907">
            <v>0</v>
          </cell>
          <cell r="AQ2907">
            <v>0</v>
          </cell>
          <cell r="BA2907">
            <v>0</v>
          </cell>
          <cell r="BC2907">
            <v>0</v>
          </cell>
        </row>
        <row r="2908">
          <cell r="A2908">
            <v>0</v>
          </cell>
          <cell r="B2908">
            <v>0</v>
          </cell>
          <cell r="E2908">
            <v>0</v>
          </cell>
          <cell r="F2908">
            <v>0</v>
          </cell>
          <cell r="AO2908">
            <v>0</v>
          </cell>
          <cell r="AP2908">
            <v>0</v>
          </cell>
          <cell r="AQ2908">
            <v>0</v>
          </cell>
          <cell r="BA2908">
            <v>0</v>
          </cell>
          <cell r="BC2908">
            <v>0</v>
          </cell>
        </row>
        <row r="2909">
          <cell r="A2909">
            <v>0</v>
          </cell>
          <cell r="B2909">
            <v>0</v>
          </cell>
          <cell r="E2909">
            <v>0</v>
          </cell>
          <cell r="F2909">
            <v>0</v>
          </cell>
          <cell r="AO2909">
            <v>0</v>
          </cell>
          <cell r="AP2909">
            <v>0</v>
          </cell>
          <cell r="AQ2909">
            <v>0</v>
          </cell>
          <cell r="BA2909">
            <v>0</v>
          </cell>
          <cell r="BC2909">
            <v>0</v>
          </cell>
        </row>
        <row r="2910">
          <cell r="A2910">
            <v>0</v>
          </cell>
          <cell r="B2910">
            <v>0</v>
          </cell>
          <cell r="E2910">
            <v>0</v>
          </cell>
          <cell r="F2910">
            <v>0</v>
          </cell>
          <cell r="AO2910">
            <v>0</v>
          </cell>
          <cell r="AP2910">
            <v>0</v>
          </cell>
          <cell r="AQ2910">
            <v>0</v>
          </cell>
          <cell r="BA2910">
            <v>0</v>
          </cell>
          <cell r="BC2910">
            <v>0</v>
          </cell>
        </row>
        <row r="2911">
          <cell r="A2911">
            <v>0</v>
          </cell>
          <cell r="B2911">
            <v>0</v>
          </cell>
          <cell r="E2911">
            <v>0</v>
          </cell>
          <cell r="F2911">
            <v>0</v>
          </cell>
          <cell r="AO2911">
            <v>0</v>
          </cell>
          <cell r="AP2911">
            <v>0</v>
          </cell>
          <cell r="AQ2911">
            <v>0</v>
          </cell>
          <cell r="BA2911">
            <v>0</v>
          </cell>
          <cell r="BC2911">
            <v>0</v>
          </cell>
        </row>
        <row r="2912">
          <cell r="A2912">
            <v>0</v>
          </cell>
          <cell r="B2912">
            <v>0</v>
          </cell>
          <cell r="E2912">
            <v>0</v>
          </cell>
          <cell r="F2912">
            <v>0</v>
          </cell>
          <cell r="AO2912">
            <v>0</v>
          </cell>
          <cell r="AP2912">
            <v>0</v>
          </cell>
          <cell r="AQ2912">
            <v>0</v>
          </cell>
          <cell r="BA2912">
            <v>0</v>
          </cell>
          <cell r="BC2912">
            <v>0</v>
          </cell>
        </row>
        <row r="2913">
          <cell r="A2913">
            <v>0</v>
          </cell>
          <cell r="B2913">
            <v>0</v>
          </cell>
          <cell r="E2913">
            <v>0</v>
          </cell>
          <cell r="F2913">
            <v>0</v>
          </cell>
          <cell r="AO2913">
            <v>0</v>
          </cell>
          <cell r="AP2913">
            <v>0</v>
          </cell>
          <cell r="AQ2913">
            <v>0</v>
          </cell>
          <cell r="BA2913">
            <v>0</v>
          </cell>
          <cell r="BC2913">
            <v>0</v>
          </cell>
        </row>
        <row r="2914">
          <cell r="A2914">
            <v>0</v>
          </cell>
          <cell r="B2914">
            <v>0</v>
          </cell>
          <cell r="E2914">
            <v>0</v>
          </cell>
          <cell r="F2914">
            <v>0</v>
          </cell>
          <cell r="AO2914">
            <v>0</v>
          </cell>
          <cell r="AP2914">
            <v>0</v>
          </cell>
          <cell r="AQ2914">
            <v>0</v>
          </cell>
          <cell r="BA2914">
            <v>0</v>
          </cell>
          <cell r="BC2914">
            <v>0</v>
          </cell>
        </row>
        <row r="2915">
          <cell r="A2915">
            <v>0</v>
          </cell>
          <cell r="B2915">
            <v>0</v>
          </cell>
          <cell r="E2915">
            <v>0</v>
          </cell>
          <cell r="F2915">
            <v>0</v>
          </cell>
          <cell r="AO2915">
            <v>0</v>
          </cell>
          <cell r="AP2915">
            <v>0</v>
          </cell>
          <cell r="AQ2915">
            <v>0</v>
          </cell>
          <cell r="BA2915">
            <v>0</v>
          </cell>
          <cell r="BC2915">
            <v>0</v>
          </cell>
        </row>
        <row r="2916">
          <cell r="A2916">
            <v>0</v>
          </cell>
          <cell r="B2916">
            <v>0</v>
          </cell>
          <cell r="E2916">
            <v>0</v>
          </cell>
          <cell r="F2916">
            <v>0</v>
          </cell>
          <cell r="AO2916">
            <v>0</v>
          </cell>
          <cell r="AP2916">
            <v>0</v>
          </cell>
          <cell r="AQ2916">
            <v>0</v>
          </cell>
          <cell r="BA2916">
            <v>0</v>
          </cell>
          <cell r="BC2916">
            <v>0</v>
          </cell>
        </row>
        <row r="2917">
          <cell r="A2917">
            <v>0</v>
          </cell>
          <cell r="B2917">
            <v>0</v>
          </cell>
          <cell r="E2917">
            <v>0</v>
          </cell>
          <cell r="F2917">
            <v>0</v>
          </cell>
          <cell r="AO2917">
            <v>0</v>
          </cell>
          <cell r="AP2917">
            <v>0</v>
          </cell>
          <cell r="AQ2917">
            <v>0</v>
          </cell>
          <cell r="BA2917">
            <v>0</v>
          </cell>
          <cell r="BC2917">
            <v>0</v>
          </cell>
        </row>
        <row r="2918">
          <cell r="A2918">
            <v>0</v>
          </cell>
          <cell r="B2918">
            <v>0</v>
          </cell>
          <cell r="E2918">
            <v>0</v>
          </cell>
          <cell r="F2918">
            <v>0</v>
          </cell>
          <cell r="AO2918">
            <v>0</v>
          </cell>
          <cell r="AP2918">
            <v>0</v>
          </cell>
          <cell r="AQ2918">
            <v>0</v>
          </cell>
          <cell r="BA2918">
            <v>0</v>
          </cell>
          <cell r="BC2918">
            <v>0</v>
          </cell>
        </row>
        <row r="2919">
          <cell r="A2919">
            <v>0</v>
          </cell>
          <cell r="B2919">
            <v>0</v>
          </cell>
          <cell r="E2919">
            <v>0</v>
          </cell>
          <cell r="F2919">
            <v>0</v>
          </cell>
          <cell r="AO2919">
            <v>0</v>
          </cell>
          <cell r="AP2919">
            <v>0</v>
          </cell>
          <cell r="AQ2919">
            <v>0</v>
          </cell>
          <cell r="BA2919">
            <v>0</v>
          </cell>
          <cell r="BC2919">
            <v>0</v>
          </cell>
        </row>
        <row r="2920">
          <cell r="A2920">
            <v>0</v>
          </cell>
          <cell r="B2920">
            <v>0</v>
          </cell>
          <cell r="E2920">
            <v>0</v>
          </cell>
          <cell r="F2920">
            <v>0</v>
          </cell>
          <cell r="AO2920">
            <v>0</v>
          </cell>
          <cell r="AP2920">
            <v>0</v>
          </cell>
          <cell r="AQ2920">
            <v>0</v>
          </cell>
          <cell r="BA2920">
            <v>0</v>
          </cell>
          <cell r="BC2920">
            <v>0</v>
          </cell>
        </row>
        <row r="2921">
          <cell r="A2921">
            <v>0</v>
          </cell>
          <cell r="B2921">
            <v>0</v>
          </cell>
          <cell r="E2921">
            <v>0</v>
          </cell>
          <cell r="F2921">
            <v>0</v>
          </cell>
          <cell r="AO2921">
            <v>0</v>
          </cell>
          <cell r="AP2921">
            <v>0</v>
          </cell>
          <cell r="AQ2921">
            <v>0</v>
          </cell>
          <cell r="BA2921">
            <v>0</v>
          </cell>
          <cell r="BC2921">
            <v>0</v>
          </cell>
        </row>
        <row r="2922">
          <cell r="A2922">
            <v>0</v>
          </cell>
          <cell r="B2922">
            <v>0</v>
          </cell>
          <cell r="E2922">
            <v>0</v>
          </cell>
          <cell r="F2922">
            <v>0</v>
          </cell>
          <cell r="AO2922">
            <v>0</v>
          </cell>
          <cell r="AP2922">
            <v>0</v>
          </cell>
          <cell r="AQ2922">
            <v>0</v>
          </cell>
          <cell r="BA2922">
            <v>0</v>
          </cell>
          <cell r="BC2922">
            <v>0</v>
          </cell>
        </row>
        <row r="2923">
          <cell r="A2923">
            <v>0</v>
          </cell>
          <cell r="B2923">
            <v>0</v>
          </cell>
          <cell r="E2923">
            <v>0</v>
          </cell>
          <cell r="F2923">
            <v>0</v>
          </cell>
          <cell r="AO2923">
            <v>0</v>
          </cell>
          <cell r="AP2923">
            <v>0</v>
          </cell>
          <cell r="AQ2923">
            <v>0</v>
          </cell>
          <cell r="BA2923">
            <v>0</v>
          </cell>
          <cell r="BC2923">
            <v>0</v>
          </cell>
        </row>
        <row r="2924">
          <cell r="A2924">
            <v>0</v>
          </cell>
          <cell r="B2924">
            <v>0</v>
          </cell>
          <cell r="E2924">
            <v>0</v>
          </cell>
          <cell r="F2924">
            <v>0</v>
          </cell>
          <cell r="AO2924">
            <v>0</v>
          </cell>
          <cell r="AP2924">
            <v>0</v>
          </cell>
          <cell r="AQ2924">
            <v>0</v>
          </cell>
          <cell r="BA2924">
            <v>0</v>
          </cell>
          <cell r="BC2924">
            <v>0</v>
          </cell>
        </row>
        <row r="2925">
          <cell r="A2925">
            <v>0</v>
          </cell>
          <cell r="B2925">
            <v>0</v>
          </cell>
          <cell r="E2925">
            <v>0</v>
          </cell>
          <cell r="F2925">
            <v>0</v>
          </cell>
          <cell r="AO2925">
            <v>0</v>
          </cell>
          <cell r="AP2925">
            <v>0</v>
          </cell>
          <cell r="AQ2925">
            <v>0</v>
          </cell>
          <cell r="BA2925">
            <v>0</v>
          </cell>
          <cell r="BC2925">
            <v>0</v>
          </cell>
        </row>
        <row r="2926">
          <cell r="A2926">
            <v>0</v>
          </cell>
          <cell r="B2926">
            <v>0</v>
          </cell>
          <cell r="E2926">
            <v>0</v>
          </cell>
          <cell r="F2926">
            <v>0</v>
          </cell>
          <cell r="AO2926">
            <v>0</v>
          </cell>
          <cell r="AP2926">
            <v>0</v>
          </cell>
          <cell r="AQ2926">
            <v>0</v>
          </cell>
          <cell r="BA2926">
            <v>0</v>
          </cell>
          <cell r="BC2926">
            <v>0</v>
          </cell>
        </row>
        <row r="2927">
          <cell r="A2927">
            <v>0</v>
          </cell>
          <cell r="B2927">
            <v>0</v>
          </cell>
          <cell r="E2927">
            <v>0</v>
          </cell>
          <cell r="F2927">
            <v>0</v>
          </cell>
          <cell r="AO2927">
            <v>0</v>
          </cell>
          <cell r="AP2927">
            <v>0</v>
          </cell>
          <cell r="AQ2927">
            <v>0</v>
          </cell>
          <cell r="BA2927">
            <v>0</v>
          </cell>
          <cell r="BC2927">
            <v>0</v>
          </cell>
        </row>
        <row r="2928">
          <cell r="A2928">
            <v>0</v>
          </cell>
          <cell r="B2928">
            <v>0</v>
          </cell>
          <cell r="E2928">
            <v>0</v>
          </cell>
          <cell r="F2928">
            <v>0</v>
          </cell>
          <cell r="AO2928">
            <v>0</v>
          </cell>
          <cell r="AP2928">
            <v>0</v>
          </cell>
          <cell r="AQ2928">
            <v>0</v>
          </cell>
          <cell r="BA2928">
            <v>0</v>
          </cell>
          <cell r="BC2928">
            <v>0</v>
          </cell>
        </row>
        <row r="2929">
          <cell r="A2929">
            <v>0</v>
          </cell>
          <cell r="B2929">
            <v>0</v>
          </cell>
          <cell r="E2929">
            <v>0</v>
          </cell>
          <cell r="F2929">
            <v>0</v>
          </cell>
          <cell r="AO2929">
            <v>0</v>
          </cell>
          <cell r="AP2929">
            <v>0</v>
          </cell>
          <cell r="AQ2929">
            <v>0</v>
          </cell>
          <cell r="BA2929">
            <v>0</v>
          </cell>
          <cell r="BC2929">
            <v>0</v>
          </cell>
        </row>
        <row r="2930">
          <cell r="A2930">
            <v>0</v>
          </cell>
          <cell r="B2930">
            <v>0</v>
          </cell>
          <cell r="E2930">
            <v>0</v>
          </cell>
          <cell r="F2930">
            <v>0</v>
          </cell>
          <cell r="AO2930">
            <v>0</v>
          </cell>
          <cell r="AP2930">
            <v>0</v>
          </cell>
          <cell r="AQ2930">
            <v>0</v>
          </cell>
          <cell r="BA2930">
            <v>0</v>
          </cell>
          <cell r="BC2930">
            <v>0</v>
          </cell>
        </row>
        <row r="2931">
          <cell r="A2931">
            <v>0</v>
          </cell>
          <cell r="B2931">
            <v>0</v>
          </cell>
          <cell r="E2931">
            <v>0</v>
          </cell>
          <cell r="F2931">
            <v>0</v>
          </cell>
          <cell r="AO2931">
            <v>0</v>
          </cell>
          <cell r="AP2931">
            <v>0</v>
          </cell>
          <cell r="AQ2931">
            <v>0</v>
          </cell>
          <cell r="BA2931">
            <v>0</v>
          </cell>
          <cell r="BC2931">
            <v>0</v>
          </cell>
        </row>
        <row r="2932">
          <cell r="A2932">
            <v>0</v>
          </cell>
          <cell r="B2932">
            <v>0</v>
          </cell>
          <cell r="E2932">
            <v>0</v>
          </cell>
          <cell r="F2932">
            <v>0</v>
          </cell>
          <cell r="AO2932">
            <v>0</v>
          </cell>
          <cell r="AP2932">
            <v>0</v>
          </cell>
          <cell r="AQ2932">
            <v>0</v>
          </cell>
          <cell r="BA2932">
            <v>0</v>
          </cell>
          <cell r="BC2932">
            <v>0</v>
          </cell>
        </row>
        <row r="2933">
          <cell r="A2933">
            <v>0</v>
          </cell>
          <cell r="B2933">
            <v>0</v>
          </cell>
          <cell r="E2933">
            <v>0</v>
          </cell>
          <cell r="F2933">
            <v>0</v>
          </cell>
          <cell r="AO2933">
            <v>0</v>
          </cell>
          <cell r="AP2933">
            <v>0</v>
          </cell>
          <cell r="AQ2933">
            <v>0</v>
          </cell>
          <cell r="BA2933">
            <v>0</v>
          </cell>
          <cell r="BC2933">
            <v>0</v>
          </cell>
        </row>
        <row r="2934">
          <cell r="A2934">
            <v>0</v>
          </cell>
          <cell r="B2934">
            <v>0</v>
          </cell>
          <cell r="E2934">
            <v>0</v>
          </cell>
          <cell r="F2934">
            <v>0</v>
          </cell>
          <cell r="AO2934">
            <v>0</v>
          </cell>
          <cell r="AP2934">
            <v>0</v>
          </cell>
          <cell r="AQ2934">
            <v>0</v>
          </cell>
          <cell r="BA2934">
            <v>0</v>
          </cell>
          <cell r="BC2934">
            <v>0</v>
          </cell>
        </row>
        <row r="2935">
          <cell r="A2935">
            <v>0</v>
          </cell>
          <cell r="B2935">
            <v>0</v>
          </cell>
          <cell r="E2935">
            <v>0</v>
          </cell>
          <cell r="F2935">
            <v>0</v>
          </cell>
          <cell r="AO2935">
            <v>0</v>
          </cell>
          <cell r="AP2935">
            <v>0</v>
          </cell>
          <cell r="AQ2935">
            <v>0</v>
          </cell>
          <cell r="BA2935">
            <v>0</v>
          </cell>
          <cell r="BC2935">
            <v>0</v>
          </cell>
        </row>
        <row r="2936">
          <cell r="A2936">
            <v>0</v>
          </cell>
          <cell r="B2936">
            <v>0</v>
          </cell>
          <cell r="E2936">
            <v>0</v>
          </cell>
          <cell r="F2936">
            <v>0</v>
          </cell>
          <cell r="AO2936">
            <v>0</v>
          </cell>
          <cell r="AP2936">
            <v>0</v>
          </cell>
          <cell r="AQ2936">
            <v>0</v>
          </cell>
          <cell r="BA2936">
            <v>0</v>
          </cell>
          <cell r="BC2936">
            <v>0</v>
          </cell>
        </row>
        <row r="2937">
          <cell r="A2937">
            <v>0</v>
          </cell>
          <cell r="B2937">
            <v>0</v>
          </cell>
          <cell r="E2937">
            <v>0</v>
          </cell>
          <cell r="F2937">
            <v>0</v>
          </cell>
          <cell r="AO2937">
            <v>0</v>
          </cell>
          <cell r="AP2937">
            <v>0</v>
          </cell>
          <cell r="AQ2937">
            <v>0</v>
          </cell>
          <cell r="BA2937">
            <v>0</v>
          </cell>
          <cell r="BC2937">
            <v>0</v>
          </cell>
        </row>
        <row r="2938">
          <cell r="A2938">
            <v>0</v>
          </cell>
          <cell r="B2938">
            <v>0</v>
          </cell>
          <cell r="E2938">
            <v>0</v>
          </cell>
          <cell r="F2938">
            <v>0</v>
          </cell>
          <cell r="AO2938">
            <v>0</v>
          </cell>
          <cell r="AP2938">
            <v>0</v>
          </cell>
          <cell r="AQ2938">
            <v>0</v>
          </cell>
          <cell r="BA2938">
            <v>0</v>
          </cell>
          <cell r="BC2938">
            <v>0</v>
          </cell>
        </row>
        <row r="2939">
          <cell r="A2939">
            <v>0</v>
          </cell>
          <cell r="B2939">
            <v>0</v>
          </cell>
          <cell r="E2939">
            <v>0</v>
          </cell>
          <cell r="F2939">
            <v>0</v>
          </cell>
          <cell r="AO2939">
            <v>0</v>
          </cell>
          <cell r="AP2939">
            <v>0</v>
          </cell>
          <cell r="AQ2939">
            <v>0</v>
          </cell>
          <cell r="BA2939">
            <v>0</v>
          </cell>
          <cell r="BC2939">
            <v>0</v>
          </cell>
        </row>
        <row r="2940">
          <cell r="A2940">
            <v>0</v>
          </cell>
          <cell r="B2940">
            <v>0</v>
          </cell>
          <cell r="E2940">
            <v>0</v>
          </cell>
          <cell r="F2940">
            <v>0</v>
          </cell>
          <cell r="AO2940">
            <v>0</v>
          </cell>
          <cell r="AP2940">
            <v>0</v>
          </cell>
          <cell r="AQ2940">
            <v>0</v>
          </cell>
          <cell r="BA2940">
            <v>0</v>
          </cell>
          <cell r="BC2940">
            <v>0</v>
          </cell>
        </row>
        <row r="2941">
          <cell r="A2941">
            <v>0</v>
          </cell>
          <cell r="B2941">
            <v>0</v>
          </cell>
          <cell r="E2941">
            <v>0</v>
          </cell>
          <cell r="F2941">
            <v>0</v>
          </cell>
          <cell r="AO2941">
            <v>0</v>
          </cell>
          <cell r="AP2941">
            <v>0</v>
          </cell>
          <cell r="AQ2941">
            <v>0</v>
          </cell>
          <cell r="BA2941">
            <v>0</v>
          </cell>
          <cell r="BC2941">
            <v>0</v>
          </cell>
        </row>
        <row r="2942">
          <cell r="A2942">
            <v>0</v>
          </cell>
          <cell r="B2942">
            <v>0</v>
          </cell>
          <cell r="E2942">
            <v>0</v>
          </cell>
          <cell r="F2942">
            <v>0</v>
          </cell>
          <cell r="AO2942">
            <v>0</v>
          </cell>
          <cell r="AP2942">
            <v>0</v>
          </cell>
          <cell r="AQ2942">
            <v>0</v>
          </cell>
          <cell r="BA2942">
            <v>0</v>
          </cell>
          <cell r="BC2942">
            <v>0</v>
          </cell>
        </row>
        <row r="2943">
          <cell r="A2943">
            <v>0</v>
          </cell>
          <cell r="B2943">
            <v>0</v>
          </cell>
          <cell r="E2943">
            <v>0</v>
          </cell>
          <cell r="F2943">
            <v>0</v>
          </cell>
          <cell r="AO2943">
            <v>0</v>
          </cell>
          <cell r="AP2943">
            <v>0</v>
          </cell>
          <cell r="AQ2943">
            <v>0</v>
          </cell>
          <cell r="BA2943">
            <v>0</v>
          </cell>
          <cell r="BC2943">
            <v>0</v>
          </cell>
        </row>
        <row r="2944">
          <cell r="A2944">
            <v>0</v>
          </cell>
          <cell r="B2944">
            <v>0</v>
          </cell>
          <cell r="E2944">
            <v>0</v>
          </cell>
          <cell r="F2944">
            <v>0</v>
          </cell>
          <cell r="AO2944">
            <v>0</v>
          </cell>
          <cell r="AP2944">
            <v>0</v>
          </cell>
          <cell r="AQ2944">
            <v>0</v>
          </cell>
          <cell r="BA2944">
            <v>0</v>
          </cell>
          <cell r="BC2944">
            <v>0</v>
          </cell>
        </row>
        <row r="2945">
          <cell r="A2945">
            <v>0</v>
          </cell>
          <cell r="B2945">
            <v>0</v>
          </cell>
          <cell r="E2945">
            <v>0</v>
          </cell>
          <cell r="F2945">
            <v>0</v>
          </cell>
          <cell r="AO2945">
            <v>0</v>
          </cell>
          <cell r="AP2945">
            <v>0</v>
          </cell>
          <cell r="AQ2945">
            <v>0</v>
          </cell>
          <cell r="BA2945">
            <v>0</v>
          </cell>
          <cell r="BC2945">
            <v>0</v>
          </cell>
        </row>
        <row r="2946">
          <cell r="A2946">
            <v>0</v>
          </cell>
          <cell r="B2946">
            <v>0</v>
          </cell>
          <cell r="E2946">
            <v>0</v>
          </cell>
          <cell r="F2946">
            <v>0</v>
          </cell>
          <cell r="AO2946">
            <v>0</v>
          </cell>
          <cell r="AP2946">
            <v>0</v>
          </cell>
          <cell r="AQ2946">
            <v>0</v>
          </cell>
          <cell r="BA2946">
            <v>0</v>
          </cell>
          <cell r="BC2946">
            <v>0</v>
          </cell>
        </row>
        <row r="2947">
          <cell r="A2947">
            <v>0</v>
          </cell>
          <cell r="B2947">
            <v>0</v>
          </cell>
          <cell r="E2947">
            <v>0</v>
          </cell>
          <cell r="F2947">
            <v>0</v>
          </cell>
          <cell r="AO2947">
            <v>0</v>
          </cell>
          <cell r="AP2947">
            <v>0</v>
          </cell>
          <cell r="AQ2947">
            <v>0</v>
          </cell>
          <cell r="BA2947">
            <v>0</v>
          </cell>
          <cell r="BC2947">
            <v>0</v>
          </cell>
        </row>
        <row r="2948">
          <cell r="A2948">
            <v>0</v>
          </cell>
          <cell r="B2948">
            <v>0</v>
          </cell>
          <cell r="E2948">
            <v>0</v>
          </cell>
          <cell r="F2948">
            <v>0</v>
          </cell>
          <cell r="AO2948">
            <v>0</v>
          </cell>
          <cell r="AP2948">
            <v>0</v>
          </cell>
          <cell r="AQ2948">
            <v>0</v>
          </cell>
          <cell r="BA2948">
            <v>0</v>
          </cell>
          <cell r="BC2948">
            <v>0</v>
          </cell>
        </row>
        <row r="2949">
          <cell r="A2949">
            <v>0</v>
          </cell>
          <cell r="B2949">
            <v>0</v>
          </cell>
          <cell r="E2949">
            <v>0</v>
          </cell>
          <cell r="F2949">
            <v>0</v>
          </cell>
          <cell r="AO2949">
            <v>0</v>
          </cell>
          <cell r="AP2949">
            <v>0</v>
          </cell>
          <cell r="AQ2949">
            <v>0</v>
          </cell>
          <cell r="BA2949">
            <v>0</v>
          </cell>
          <cell r="BC2949">
            <v>0</v>
          </cell>
        </row>
        <row r="2950">
          <cell r="A2950">
            <v>0</v>
          </cell>
          <cell r="B2950">
            <v>0</v>
          </cell>
          <cell r="E2950">
            <v>0</v>
          </cell>
          <cell r="F2950">
            <v>0</v>
          </cell>
          <cell r="AO2950">
            <v>0</v>
          </cell>
          <cell r="AP2950">
            <v>0</v>
          </cell>
          <cell r="AQ2950">
            <v>0</v>
          </cell>
          <cell r="BA2950">
            <v>0</v>
          </cell>
          <cell r="BC2950">
            <v>0</v>
          </cell>
        </row>
        <row r="2951">
          <cell r="A2951">
            <v>0</v>
          </cell>
          <cell r="B2951">
            <v>0</v>
          </cell>
          <cell r="E2951">
            <v>0</v>
          </cell>
          <cell r="F2951">
            <v>0</v>
          </cell>
          <cell r="AO2951">
            <v>0</v>
          </cell>
          <cell r="AP2951">
            <v>0</v>
          </cell>
          <cell r="AQ2951">
            <v>0</v>
          </cell>
          <cell r="BA2951">
            <v>0</v>
          </cell>
          <cell r="BC2951">
            <v>0</v>
          </cell>
        </row>
        <row r="2952">
          <cell r="A2952">
            <v>0</v>
          </cell>
          <cell r="B2952">
            <v>0</v>
          </cell>
          <cell r="E2952">
            <v>0</v>
          </cell>
          <cell r="F2952">
            <v>0</v>
          </cell>
          <cell r="AO2952">
            <v>0</v>
          </cell>
          <cell r="AP2952">
            <v>0</v>
          </cell>
          <cell r="AQ2952">
            <v>0</v>
          </cell>
          <cell r="BA2952">
            <v>0</v>
          </cell>
          <cell r="BC2952">
            <v>0</v>
          </cell>
        </row>
        <row r="2953">
          <cell r="A2953">
            <v>0</v>
          </cell>
          <cell r="B2953">
            <v>0</v>
          </cell>
          <cell r="E2953">
            <v>0</v>
          </cell>
          <cell r="F2953">
            <v>0</v>
          </cell>
          <cell r="AO2953">
            <v>0</v>
          </cell>
          <cell r="AP2953">
            <v>0</v>
          </cell>
          <cell r="AQ2953">
            <v>0</v>
          </cell>
          <cell r="BA2953">
            <v>0</v>
          </cell>
          <cell r="BC2953">
            <v>0</v>
          </cell>
        </row>
        <row r="2954">
          <cell r="A2954">
            <v>0</v>
          </cell>
          <cell r="B2954">
            <v>0</v>
          </cell>
          <cell r="E2954">
            <v>0</v>
          </cell>
          <cell r="F2954">
            <v>0</v>
          </cell>
          <cell r="AO2954">
            <v>0</v>
          </cell>
          <cell r="AP2954">
            <v>0</v>
          </cell>
          <cell r="AQ2954">
            <v>0</v>
          </cell>
          <cell r="BA2954">
            <v>0</v>
          </cell>
          <cell r="BC2954">
            <v>0</v>
          </cell>
        </row>
        <row r="2955">
          <cell r="A2955">
            <v>0</v>
          </cell>
          <cell r="B2955">
            <v>0</v>
          </cell>
          <cell r="E2955">
            <v>0</v>
          </cell>
          <cell r="F2955">
            <v>0</v>
          </cell>
          <cell r="AO2955">
            <v>0</v>
          </cell>
          <cell r="AP2955">
            <v>0</v>
          </cell>
          <cell r="AQ2955">
            <v>0</v>
          </cell>
          <cell r="BA2955">
            <v>0</v>
          </cell>
          <cell r="BC2955">
            <v>0</v>
          </cell>
        </row>
        <row r="2956">
          <cell r="A2956">
            <v>0</v>
          </cell>
          <cell r="B2956">
            <v>0</v>
          </cell>
          <cell r="E2956">
            <v>0</v>
          </cell>
          <cell r="F2956">
            <v>0</v>
          </cell>
          <cell r="AO2956">
            <v>0</v>
          </cell>
          <cell r="AP2956">
            <v>0</v>
          </cell>
          <cell r="AQ2956">
            <v>0</v>
          </cell>
          <cell r="BA2956">
            <v>0</v>
          </cell>
          <cell r="BC2956">
            <v>0</v>
          </cell>
        </row>
        <row r="2957">
          <cell r="A2957">
            <v>0</v>
          </cell>
          <cell r="B2957">
            <v>0</v>
          </cell>
          <cell r="E2957">
            <v>0</v>
          </cell>
          <cell r="F2957">
            <v>0</v>
          </cell>
          <cell r="AO2957">
            <v>0</v>
          </cell>
          <cell r="AP2957">
            <v>0</v>
          </cell>
          <cell r="AQ2957">
            <v>0</v>
          </cell>
          <cell r="BA2957">
            <v>0</v>
          </cell>
          <cell r="BC2957">
            <v>0</v>
          </cell>
        </row>
        <row r="2958">
          <cell r="A2958">
            <v>0</v>
          </cell>
          <cell r="B2958">
            <v>0</v>
          </cell>
          <cell r="E2958">
            <v>0</v>
          </cell>
          <cell r="F2958">
            <v>0</v>
          </cell>
          <cell r="AO2958">
            <v>0</v>
          </cell>
          <cell r="AP2958">
            <v>0</v>
          </cell>
          <cell r="AQ2958">
            <v>0</v>
          </cell>
          <cell r="BA2958">
            <v>0</v>
          </cell>
          <cell r="BC2958">
            <v>0</v>
          </cell>
        </row>
        <row r="2959">
          <cell r="A2959">
            <v>0</v>
          </cell>
          <cell r="B2959">
            <v>0</v>
          </cell>
          <cell r="E2959">
            <v>0</v>
          </cell>
          <cell r="F2959">
            <v>0</v>
          </cell>
          <cell r="AO2959">
            <v>0</v>
          </cell>
          <cell r="AP2959">
            <v>0</v>
          </cell>
          <cell r="AQ2959">
            <v>0</v>
          </cell>
          <cell r="BA2959">
            <v>0</v>
          </cell>
          <cell r="BC2959">
            <v>0</v>
          </cell>
        </row>
        <row r="2960">
          <cell r="A2960">
            <v>0</v>
          </cell>
          <cell r="B2960">
            <v>0</v>
          </cell>
          <cell r="E2960">
            <v>0</v>
          </cell>
          <cell r="F2960">
            <v>0</v>
          </cell>
          <cell r="AO2960">
            <v>0</v>
          </cell>
          <cell r="AP2960">
            <v>0</v>
          </cell>
          <cell r="AQ2960">
            <v>0</v>
          </cell>
          <cell r="BA2960">
            <v>0</v>
          </cell>
          <cell r="BC2960">
            <v>0</v>
          </cell>
        </row>
        <row r="2961">
          <cell r="A2961">
            <v>0</v>
          </cell>
          <cell r="B2961">
            <v>0</v>
          </cell>
          <cell r="E2961">
            <v>0</v>
          </cell>
          <cell r="F2961">
            <v>0</v>
          </cell>
          <cell r="AO2961">
            <v>0</v>
          </cell>
          <cell r="AP2961">
            <v>0</v>
          </cell>
          <cell r="AQ2961">
            <v>0</v>
          </cell>
          <cell r="BA2961">
            <v>0</v>
          </cell>
          <cell r="BC2961">
            <v>0</v>
          </cell>
        </row>
        <row r="2962">
          <cell r="A2962">
            <v>0</v>
          </cell>
          <cell r="B2962">
            <v>0</v>
          </cell>
          <cell r="E2962">
            <v>0</v>
          </cell>
          <cell r="F2962">
            <v>0</v>
          </cell>
          <cell r="AO2962">
            <v>0</v>
          </cell>
          <cell r="AP2962">
            <v>0</v>
          </cell>
          <cell r="AQ2962">
            <v>0</v>
          </cell>
          <cell r="BA2962">
            <v>0</v>
          </cell>
          <cell r="BC2962">
            <v>0</v>
          </cell>
        </row>
        <row r="2963">
          <cell r="A2963">
            <v>0</v>
          </cell>
          <cell r="B2963">
            <v>0</v>
          </cell>
          <cell r="E2963">
            <v>0</v>
          </cell>
          <cell r="F2963">
            <v>0</v>
          </cell>
          <cell r="AO2963">
            <v>0</v>
          </cell>
          <cell r="AP2963">
            <v>0</v>
          </cell>
          <cell r="AQ2963">
            <v>0</v>
          </cell>
          <cell r="BA2963">
            <v>0</v>
          </cell>
          <cell r="BC2963">
            <v>0</v>
          </cell>
        </row>
        <row r="2964">
          <cell r="A2964">
            <v>0</v>
          </cell>
          <cell r="B2964">
            <v>0</v>
          </cell>
          <cell r="E2964">
            <v>0</v>
          </cell>
          <cell r="F2964">
            <v>0</v>
          </cell>
          <cell r="AO2964">
            <v>0</v>
          </cell>
          <cell r="AP2964">
            <v>0</v>
          </cell>
          <cell r="AQ2964">
            <v>0</v>
          </cell>
          <cell r="BA2964">
            <v>0</v>
          </cell>
          <cell r="BC2964">
            <v>0</v>
          </cell>
        </row>
        <row r="2965">
          <cell r="A2965">
            <v>0</v>
          </cell>
          <cell r="B2965">
            <v>0</v>
          </cell>
          <cell r="E2965">
            <v>0</v>
          </cell>
          <cell r="F2965">
            <v>0</v>
          </cell>
          <cell r="AO2965">
            <v>0</v>
          </cell>
          <cell r="AP2965">
            <v>0</v>
          </cell>
          <cell r="AQ2965">
            <v>0</v>
          </cell>
          <cell r="BA2965">
            <v>0</v>
          </cell>
          <cell r="BC2965">
            <v>0</v>
          </cell>
        </row>
        <row r="2966">
          <cell r="A2966">
            <v>0</v>
          </cell>
          <cell r="B2966">
            <v>0</v>
          </cell>
          <cell r="E2966">
            <v>0</v>
          </cell>
          <cell r="F2966">
            <v>0</v>
          </cell>
          <cell r="AO2966">
            <v>0</v>
          </cell>
          <cell r="AP2966">
            <v>0</v>
          </cell>
          <cell r="AQ2966">
            <v>0</v>
          </cell>
          <cell r="BA2966">
            <v>0</v>
          </cell>
          <cell r="BC2966">
            <v>0</v>
          </cell>
        </row>
        <row r="2967">
          <cell r="A2967">
            <v>0</v>
          </cell>
          <cell r="B2967">
            <v>0</v>
          </cell>
          <cell r="E2967">
            <v>0</v>
          </cell>
          <cell r="F2967">
            <v>0</v>
          </cell>
          <cell r="AO2967">
            <v>0</v>
          </cell>
          <cell r="AP2967">
            <v>0</v>
          </cell>
          <cell r="AQ2967">
            <v>0</v>
          </cell>
          <cell r="BA2967">
            <v>0</v>
          </cell>
          <cell r="BC2967">
            <v>0</v>
          </cell>
        </row>
        <row r="2968">
          <cell r="A2968">
            <v>0</v>
          </cell>
          <cell r="B2968">
            <v>0</v>
          </cell>
          <cell r="E2968">
            <v>0</v>
          </cell>
          <cell r="F2968">
            <v>0</v>
          </cell>
          <cell r="AO2968">
            <v>0</v>
          </cell>
          <cell r="AP2968">
            <v>0</v>
          </cell>
          <cell r="AQ2968">
            <v>0</v>
          </cell>
          <cell r="BA2968">
            <v>0</v>
          </cell>
          <cell r="BC2968">
            <v>0</v>
          </cell>
        </row>
        <row r="2969">
          <cell r="A2969">
            <v>0</v>
          </cell>
          <cell r="B2969">
            <v>0</v>
          </cell>
          <cell r="E2969">
            <v>0</v>
          </cell>
          <cell r="F2969">
            <v>0</v>
          </cell>
          <cell r="AO2969">
            <v>0</v>
          </cell>
          <cell r="AP2969">
            <v>0</v>
          </cell>
          <cell r="AQ2969">
            <v>0</v>
          </cell>
          <cell r="BA2969">
            <v>0</v>
          </cell>
          <cell r="BC2969">
            <v>0</v>
          </cell>
        </row>
        <row r="2970">
          <cell r="A2970">
            <v>0</v>
          </cell>
          <cell r="B2970">
            <v>0</v>
          </cell>
          <cell r="E2970">
            <v>0</v>
          </cell>
          <cell r="F2970">
            <v>0</v>
          </cell>
          <cell r="AO2970">
            <v>0</v>
          </cell>
          <cell r="AP2970">
            <v>0</v>
          </cell>
          <cell r="AQ2970">
            <v>0</v>
          </cell>
          <cell r="BA2970">
            <v>0</v>
          </cell>
          <cell r="BC2970">
            <v>0</v>
          </cell>
        </row>
        <row r="2971">
          <cell r="A2971">
            <v>0</v>
          </cell>
          <cell r="B2971">
            <v>0</v>
          </cell>
          <cell r="E2971">
            <v>0</v>
          </cell>
          <cell r="F2971">
            <v>0</v>
          </cell>
          <cell r="AO2971">
            <v>0</v>
          </cell>
          <cell r="AP2971">
            <v>0</v>
          </cell>
          <cell r="AQ2971">
            <v>0</v>
          </cell>
          <cell r="BA2971">
            <v>0</v>
          </cell>
          <cell r="BC2971">
            <v>0</v>
          </cell>
        </row>
        <row r="2972">
          <cell r="A2972">
            <v>0</v>
          </cell>
          <cell r="B2972">
            <v>0</v>
          </cell>
          <cell r="E2972">
            <v>0</v>
          </cell>
          <cell r="F2972">
            <v>0</v>
          </cell>
          <cell r="AO2972">
            <v>0</v>
          </cell>
          <cell r="AP2972">
            <v>0</v>
          </cell>
          <cell r="AQ2972">
            <v>0</v>
          </cell>
          <cell r="BA2972">
            <v>0</v>
          </cell>
          <cell r="BC2972">
            <v>0</v>
          </cell>
        </row>
        <row r="2973">
          <cell r="A2973">
            <v>0</v>
          </cell>
          <cell r="B2973">
            <v>0</v>
          </cell>
          <cell r="E2973">
            <v>0</v>
          </cell>
          <cell r="F2973">
            <v>0</v>
          </cell>
          <cell r="AO2973">
            <v>0</v>
          </cell>
          <cell r="AP2973">
            <v>0</v>
          </cell>
          <cell r="AQ2973">
            <v>0</v>
          </cell>
          <cell r="BA2973">
            <v>0</v>
          </cell>
          <cell r="BC2973">
            <v>0</v>
          </cell>
        </row>
        <row r="2974">
          <cell r="A2974">
            <v>0</v>
          </cell>
          <cell r="B2974">
            <v>0</v>
          </cell>
          <cell r="E2974">
            <v>0</v>
          </cell>
          <cell r="F2974">
            <v>0</v>
          </cell>
          <cell r="AO2974">
            <v>0</v>
          </cell>
          <cell r="AP2974">
            <v>0</v>
          </cell>
          <cell r="AQ2974">
            <v>0</v>
          </cell>
          <cell r="BA2974">
            <v>0</v>
          </cell>
          <cell r="BC2974">
            <v>0</v>
          </cell>
        </row>
        <row r="2975">
          <cell r="A2975">
            <v>0</v>
          </cell>
          <cell r="B2975">
            <v>0</v>
          </cell>
          <cell r="E2975">
            <v>0</v>
          </cell>
          <cell r="F2975">
            <v>0</v>
          </cell>
          <cell r="AO2975">
            <v>0</v>
          </cell>
          <cell r="AP2975">
            <v>0</v>
          </cell>
          <cell r="AQ2975">
            <v>0</v>
          </cell>
          <cell r="BA2975">
            <v>0</v>
          </cell>
          <cell r="BC2975">
            <v>0</v>
          </cell>
        </row>
        <row r="2976">
          <cell r="A2976">
            <v>0</v>
          </cell>
          <cell r="B2976">
            <v>0</v>
          </cell>
          <cell r="E2976">
            <v>0</v>
          </cell>
          <cell r="F2976">
            <v>0</v>
          </cell>
          <cell r="AO2976">
            <v>0</v>
          </cell>
          <cell r="AP2976">
            <v>0</v>
          </cell>
          <cell r="AQ2976">
            <v>0</v>
          </cell>
          <cell r="BA2976">
            <v>0</v>
          </cell>
          <cell r="BC2976">
            <v>0</v>
          </cell>
        </row>
        <row r="2977">
          <cell r="A2977">
            <v>0</v>
          </cell>
          <cell r="B2977">
            <v>0</v>
          </cell>
          <cell r="E2977">
            <v>0</v>
          </cell>
          <cell r="F2977">
            <v>0</v>
          </cell>
          <cell r="AO2977">
            <v>0</v>
          </cell>
          <cell r="AP2977">
            <v>0</v>
          </cell>
          <cell r="AQ2977">
            <v>0</v>
          </cell>
          <cell r="BA2977">
            <v>0</v>
          </cell>
          <cell r="BC2977">
            <v>0</v>
          </cell>
        </row>
        <row r="2978">
          <cell r="A2978">
            <v>0</v>
          </cell>
          <cell r="B2978">
            <v>0</v>
          </cell>
          <cell r="E2978">
            <v>0</v>
          </cell>
          <cell r="F2978">
            <v>0</v>
          </cell>
          <cell r="AO2978">
            <v>0</v>
          </cell>
          <cell r="AP2978">
            <v>0</v>
          </cell>
          <cell r="AQ2978">
            <v>0</v>
          </cell>
          <cell r="BA2978">
            <v>0</v>
          </cell>
          <cell r="BC2978">
            <v>0</v>
          </cell>
        </row>
        <row r="2979">
          <cell r="A2979">
            <v>0</v>
          </cell>
          <cell r="B2979">
            <v>0</v>
          </cell>
          <cell r="E2979">
            <v>0</v>
          </cell>
          <cell r="F2979">
            <v>0</v>
          </cell>
          <cell r="AO2979">
            <v>0</v>
          </cell>
          <cell r="AP2979">
            <v>0</v>
          </cell>
          <cell r="AQ2979">
            <v>0</v>
          </cell>
          <cell r="BA2979">
            <v>0</v>
          </cell>
          <cell r="BC2979">
            <v>0</v>
          </cell>
        </row>
        <row r="2980">
          <cell r="A2980">
            <v>0</v>
          </cell>
          <cell r="B2980">
            <v>0</v>
          </cell>
          <cell r="E2980">
            <v>0</v>
          </cell>
          <cell r="F2980">
            <v>0</v>
          </cell>
          <cell r="AO2980">
            <v>0</v>
          </cell>
          <cell r="AP2980">
            <v>0</v>
          </cell>
          <cell r="AQ2980">
            <v>0</v>
          </cell>
          <cell r="BA2980">
            <v>0</v>
          </cell>
          <cell r="BC2980">
            <v>0</v>
          </cell>
        </row>
        <row r="2981">
          <cell r="A2981">
            <v>0</v>
          </cell>
          <cell r="B2981">
            <v>0</v>
          </cell>
          <cell r="E2981">
            <v>0</v>
          </cell>
          <cell r="F2981">
            <v>0</v>
          </cell>
          <cell r="AO2981">
            <v>0</v>
          </cell>
          <cell r="AP2981">
            <v>0</v>
          </cell>
          <cell r="AQ2981">
            <v>0</v>
          </cell>
          <cell r="BA2981">
            <v>0</v>
          </cell>
          <cell r="BC2981">
            <v>0</v>
          </cell>
        </row>
        <row r="2982">
          <cell r="A2982">
            <v>0</v>
          </cell>
          <cell r="B2982">
            <v>0</v>
          </cell>
          <cell r="E2982">
            <v>0</v>
          </cell>
          <cell r="F2982">
            <v>0</v>
          </cell>
          <cell r="AO2982">
            <v>0</v>
          </cell>
          <cell r="AP2982">
            <v>0</v>
          </cell>
          <cell r="AQ2982">
            <v>0</v>
          </cell>
          <cell r="BA2982">
            <v>0</v>
          </cell>
          <cell r="BC2982">
            <v>0</v>
          </cell>
        </row>
        <row r="2983">
          <cell r="A2983">
            <v>0</v>
          </cell>
          <cell r="B2983">
            <v>0</v>
          </cell>
          <cell r="E2983">
            <v>0</v>
          </cell>
          <cell r="F2983">
            <v>0</v>
          </cell>
          <cell r="AO2983">
            <v>0</v>
          </cell>
          <cell r="AP2983">
            <v>0</v>
          </cell>
          <cell r="AQ2983">
            <v>0</v>
          </cell>
          <cell r="BA2983">
            <v>0</v>
          </cell>
          <cell r="BC2983">
            <v>0</v>
          </cell>
        </row>
        <row r="2984">
          <cell r="A2984">
            <v>0</v>
          </cell>
          <cell r="B2984">
            <v>0</v>
          </cell>
          <cell r="E2984">
            <v>0</v>
          </cell>
          <cell r="F2984">
            <v>0</v>
          </cell>
          <cell r="AO2984">
            <v>0</v>
          </cell>
          <cell r="AP2984">
            <v>0</v>
          </cell>
          <cell r="AQ2984">
            <v>0</v>
          </cell>
          <cell r="BA2984">
            <v>0</v>
          </cell>
          <cell r="BC2984">
            <v>0</v>
          </cell>
        </row>
        <row r="2985">
          <cell r="A2985">
            <v>0</v>
          </cell>
          <cell r="B2985">
            <v>0</v>
          </cell>
          <cell r="E2985">
            <v>0</v>
          </cell>
          <cell r="F2985">
            <v>0</v>
          </cell>
          <cell r="AO2985">
            <v>0</v>
          </cell>
          <cell r="AP2985">
            <v>0</v>
          </cell>
          <cell r="AQ2985">
            <v>0</v>
          </cell>
          <cell r="BA2985">
            <v>0</v>
          </cell>
          <cell r="BC2985">
            <v>0</v>
          </cell>
        </row>
        <row r="2986">
          <cell r="A2986">
            <v>0</v>
          </cell>
          <cell r="B2986">
            <v>0</v>
          </cell>
          <cell r="E2986">
            <v>0</v>
          </cell>
          <cell r="F2986">
            <v>0</v>
          </cell>
          <cell r="AO2986">
            <v>0</v>
          </cell>
          <cell r="AP2986">
            <v>0</v>
          </cell>
          <cell r="AQ2986">
            <v>0</v>
          </cell>
          <cell r="BA2986">
            <v>0</v>
          </cell>
          <cell r="BC2986">
            <v>0</v>
          </cell>
        </row>
        <row r="2987">
          <cell r="A2987">
            <v>0</v>
          </cell>
          <cell r="B2987">
            <v>0</v>
          </cell>
          <cell r="E2987">
            <v>0</v>
          </cell>
          <cell r="F2987">
            <v>0</v>
          </cell>
          <cell r="AO2987">
            <v>0</v>
          </cell>
          <cell r="AP2987">
            <v>0</v>
          </cell>
          <cell r="AQ2987">
            <v>0</v>
          </cell>
          <cell r="BA2987">
            <v>0</v>
          </cell>
          <cell r="BC2987">
            <v>0</v>
          </cell>
        </row>
        <row r="2988">
          <cell r="A2988">
            <v>0</v>
          </cell>
          <cell r="B2988">
            <v>0</v>
          </cell>
          <cell r="E2988">
            <v>0</v>
          </cell>
          <cell r="F2988">
            <v>0</v>
          </cell>
          <cell r="AO2988">
            <v>0</v>
          </cell>
          <cell r="AP2988">
            <v>0</v>
          </cell>
          <cell r="AQ2988">
            <v>0</v>
          </cell>
          <cell r="BA2988">
            <v>0</v>
          </cell>
          <cell r="BC2988">
            <v>0</v>
          </cell>
        </row>
        <row r="2989">
          <cell r="A2989">
            <v>0</v>
          </cell>
          <cell r="B2989">
            <v>0</v>
          </cell>
          <cell r="E2989">
            <v>0</v>
          </cell>
          <cell r="F2989">
            <v>0</v>
          </cell>
          <cell r="AO2989">
            <v>0</v>
          </cell>
          <cell r="AP2989">
            <v>0</v>
          </cell>
          <cell r="AQ2989">
            <v>0</v>
          </cell>
          <cell r="BA2989">
            <v>0</v>
          </cell>
          <cell r="BC2989">
            <v>0</v>
          </cell>
        </row>
        <row r="2990">
          <cell r="A2990">
            <v>0</v>
          </cell>
          <cell r="B2990">
            <v>0</v>
          </cell>
          <cell r="E2990">
            <v>0</v>
          </cell>
          <cell r="F2990">
            <v>0</v>
          </cell>
          <cell r="AO2990">
            <v>0</v>
          </cell>
          <cell r="AP2990">
            <v>0</v>
          </cell>
          <cell r="AQ2990">
            <v>0</v>
          </cell>
          <cell r="BA2990">
            <v>0</v>
          </cell>
          <cell r="BC2990">
            <v>0</v>
          </cell>
        </row>
        <row r="2991">
          <cell r="A2991">
            <v>0</v>
          </cell>
          <cell r="B2991">
            <v>0</v>
          </cell>
          <cell r="E2991">
            <v>0</v>
          </cell>
          <cell r="F2991">
            <v>0</v>
          </cell>
          <cell r="AO2991">
            <v>0</v>
          </cell>
          <cell r="AP2991">
            <v>0</v>
          </cell>
          <cell r="AQ2991">
            <v>0</v>
          </cell>
          <cell r="BA2991">
            <v>0</v>
          </cell>
          <cell r="BC2991">
            <v>0</v>
          </cell>
        </row>
        <row r="2992">
          <cell r="A2992">
            <v>0</v>
          </cell>
          <cell r="B2992">
            <v>0</v>
          </cell>
          <cell r="E2992">
            <v>0</v>
          </cell>
          <cell r="F2992">
            <v>0</v>
          </cell>
          <cell r="AO2992">
            <v>0</v>
          </cell>
          <cell r="AP2992">
            <v>0</v>
          </cell>
          <cell r="AQ2992">
            <v>0</v>
          </cell>
          <cell r="BA2992">
            <v>0</v>
          </cell>
          <cell r="BC2992">
            <v>0</v>
          </cell>
        </row>
        <row r="2993">
          <cell r="A2993">
            <v>0</v>
          </cell>
          <cell r="B2993">
            <v>0</v>
          </cell>
          <cell r="E2993">
            <v>0</v>
          </cell>
          <cell r="F2993">
            <v>0</v>
          </cell>
          <cell r="AO2993">
            <v>0</v>
          </cell>
          <cell r="AP2993">
            <v>0</v>
          </cell>
          <cell r="AQ2993">
            <v>0</v>
          </cell>
          <cell r="BA2993">
            <v>0</v>
          </cell>
          <cell r="BC2993">
            <v>0</v>
          </cell>
        </row>
        <row r="2994">
          <cell r="A2994">
            <v>0</v>
          </cell>
          <cell r="B2994">
            <v>0</v>
          </cell>
          <cell r="E2994">
            <v>0</v>
          </cell>
          <cell r="F2994">
            <v>0</v>
          </cell>
          <cell r="AO2994">
            <v>0</v>
          </cell>
          <cell r="AP2994">
            <v>0</v>
          </cell>
          <cell r="AQ2994">
            <v>0</v>
          </cell>
          <cell r="BA2994">
            <v>0</v>
          </cell>
          <cell r="BC2994">
            <v>0</v>
          </cell>
        </row>
        <row r="2995">
          <cell r="A2995">
            <v>0</v>
          </cell>
          <cell r="B2995">
            <v>0</v>
          </cell>
          <cell r="E2995">
            <v>0</v>
          </cell>
          <cell r="F2995">
            <v>0</v>
          </cell>
          <cell r="AO2995">
            <v>0</v>
          </cell>
          <cell r="AP2995">
            <v>0</v>
          </cell>
          <cell r="AQ2995">
            <v>0</v>
          </cell>
          <cell r="BA2995">
            <v>0</v>
          </cell>
          <cell r="BC2995">
            <v>0</v>
          </cell>
        </row>
        <row r="2996">
          <cell r="A2996">
            <v>0</v>
          </cell>
          <cell r="B2996">
            <v>0</v>
          </cell>
          <cell r="E2996">
            <v>0</v>
          </cell>
          <cell r="F2996">
            <v>0</v>
          </cell>
          <cell r="AO2996">
            <v>0</v>
          </cell>
          <cell r="AP2996">
            <v>0</v>
          </cell>
          <cell r="AQ2996">
            <v>0</v>
          </cell>
          <cell r="BA2996">
            <v>0</v>
          </cell>
          <cell r="BC2996">
            <v>0</v>
          </cell>
        </row>
        <row r="2997">
          <cell r="A2997">
            <v>0</v>
          </cell>
          <cell r="B2997">
            <v>0</v>
          </cell>
          <cell r="E2997">
            <v>0</v>
          </cell>
          <cell r="F2997">
            <v>0</v>
          </cell>
          <cell r="AO2997">
            <v>0</v>
          </cell>
          <cell r="AP2997">
            <v>0</v>
          </cell>
          <cell r="AQ2997">
            <v>0</v>
          </cell>
          <cell r="BA2997">
            <v>0</v>
          </cell>
          <cell r="BC2997">
            <v>0</v>
          </cell>
        </row>
        <row r="2998">
          <cell r="A2998">
            <v>0</v>
          </cell>
          <cell r="B2998">
            <v>0</v>
          </cell>
          <cell r="E2998">
            <v>0</v>
          </cell>
          <cell r="F2998">
            <v>0</v>
          </cell>
          <cell r="AO2998">
            <v>0</v>
          </cell>
          <cell r="AP2998">
            <v>0</v>
          </cell>
          <cell r="AQ2998">
            <v>0</v>
          </cell>
          <cell r="BA2998">
            <v>0</v>
          </cell>
          <cell r="BC2998">
            <v>0</v>
          </cell>
        </row>
        <row r="2999">
          <cell r="A2999">
            <v>0</v>
          </cell>
          <cell r="B2999">
            <v>0</v>
          </cell>
          <cell r="E2999">
            <v>0</v>
          </cell>
          <cell r="F2999">
            <v>0</v>
          </cell>
          <cell r="AO2999">
            <v>0</v>
          </cell>
          <cell r="AP2999">
            <v>0</v>
          </cell>
          <cell r="AQ2999">
            <v>0</v>
          </cell>
          <cell r="BA2999">
            <v>0</v>
          </cell>
          <cell r="BC2999">
            <v>0</v>
          </cell>
        </row>
        <row r="3000">
          <cell r="A3000">
            <v>0</v>
          </cell>
          <cell r="B3000">
            <v>0</v>
          </cell>
          <cell r="E3000">
            <v>0</v>
          </cell>
          <cell r="F3000">
            <v>0</v>
          </cell>
          <cell r="AO3000">
            <v>0</v>
          </cell>
          <cell r="AP3000">
            <v>0</v>
          </cell>
          <cell r="AQ3000">
            <v>0</v>
          </cell>
          <cell r="BA3000">
            <v>0</v>
          </cell>
          <cell r="BC3000">
            <v>0</v>
          </cell>
        </row>
        <row r="3001">
          <cell r="A3001">
            <v>0</v>
          </cell>
          <cell r="B3001">
            <v>0</v>
          </cell>
          <cell r="E3001">
            <v>0</v>
          </cell>
          <cell r="F3001">
            <v>0</v>
          </cell>
          <cell r="AO3001">
            <v>0</v>
          </cell>
          <cell r="AP3001">
            <v>0</v>
          </cell>
          <cell r="AQ3001">
            <v>0</v>
          </cell>
          <cell r="BA3001">
            <v>0</v>
          </cell>
          <cell r="BC3001">
            <v>0</v>
          </cell>
        </row>
        <row r="3002">
          <cell r="A3002">
            <v>0</v>
          </cell>
          <cell r="B3002">
            <v>0</v>
          </cell>
          <cell r="E3002">
            <v>0</v>
          </cell>
          <cell r="F3002">
            <v>0</v>
          </cell>
          <cell r="AO3002">
            <v>0</v>
          </cell>
          <cell r="AP3002">
            <v>0</v>
          </cell>
          <cell r="AQ3002">
            <v>0</v>
          </cell>
          <cell r="BA3002">
            <v>0</v>
          </cell>
          <cell r="BC3002">
            <v>0</v>
          </cell>
        </row>
        <row r="3003">
          <cell r="A3003">
            <v>0</v>
          </cell>
          <cell r="B3003">
            <v>0</v>
          </cell>
          <cell r="E3003">
            <v>0</v>
          </cell>
          <cell r="F3003">
            <v>0</v>
          </cell>
          <cell r="AO3003">
            <v>0</v>
          </cell>
          <cell r="AP3003">
            <v>0</v>
          </cell>
          <cell r="AQ3003">
            <v>0</v>
          </cell>
          <cell r="BA3003">
            <v>0</v>
          </cell>
          <cell r="BC3003">
            <v>0</v>
          </cell>
        </row>
        <row r="3004">
          <cell r="A3004">
            <v>0</v>
          </cell>
          <cell r="B3004">
            <v>0</v>
          </cell>
          <cell r="E3004">
            <v>0</v>
          </cell>
          <cell r="F3004">
            <v>0</v>
          </cell>
          <cell r="AO3004">
            <v>0</v>
          </cell>
          <cell r="AP3004">
            <v>0</v>
          </cell>
          <cell r="AQ3004">
            <v>0</v>
          </cell>
          <cell r="BA3004">
            <v>0</v>
          </cell>
          <cell r="BC3004">
            <v>0</v>
          </cell>
        </row>
        <row r="3005">
          <cell r="A3005">
            <v>0</v>
          </cell>
          <cell r="B3005">
            <v>0</v>
          </cell>
          <cell r="E3005">
            <v>0</v>
          </cell>
          <cell r="F3005">
            <v>0</v>
          </cell>
          <cell r="AO3005">
            <v>0</v>
          </cell>
          <cell r="AP3005">
            <v>0</v>
          </cell>
          <cell r="AQ3005">
            <v>0</v>
          </cell>
          <cell r="BA3005">
            <v>0</v>
          </cell>
          <cell r="BC3005">
            <v>0</v>
          </cell>
        </row>
        <row r="3006">
          <cell r="A3006">
            <v>0</v>
          </cell>
          <cell r="B3006">
            <v>0</v>
          </cell>
          <cell r="E3006">
            <v>0</v>
          </cell>
          <cell r="F3006">
            <v>0</v>
          </cell>
          <cell r="AO3006">
            <v>0</v>
          </cell>
          <cell r="AP3006">
            <v>0</v>
          </cell>
          <cell r="AQ3006">
            <v>0</v>
          </cell>
          <cell r="BA3006">
            <v>0</v>
          </cell>
          <cell r="BC3006">
            <v>0</v>
          </cell>
        </row>
        <row r="3007">
          <cell r="A3007">
            <v>0</v>
          </cell>
          <cell r="B3007">
            <v>0</v>
          </cell>
          <cell r="E3007">
            <v>0</v>
          </cell>
          <cell r="F3007">
            <v>0</v>
          </cell>
          <cell r="AO3007">
            <v>0</v>
          </cell>
          <cell r="AP3007">
            <v>0</v>
          </cell>
          <cell r="AQ3007">
            <v>0</v>
          </cell>
          <cell r="BA3007">
            <v>0</v>
          </cell>
          <cell r="BC3007">
            <v>0</v>
          </cell>
        </row>
        <row r="3008">
          <cell r="A3008">
            <v>0</v>
          </cell>
          <cell r="B3008">
            <v>0</v>
          </cell>
          <cell r="E3008">
            <v>0</v>
          </cell>
          <cell r="F3008">
            <v>0</v>
          </cell>
          <cell r="AO3008">
            <v>0</v>
          </cell>
          <cell r="AP3008">
            <v>0</v>
          </cell>
          <cell r="AQ3008">
            <v>0</v>
          </cell>
          <cell r="BA3008">
            <v>0</v>
          </cell>
          <cell r="BC3008">
            <v>0</v>
          </cell>
        </row>
        <row r="3009">
          <cell r="A3009">
            <v>0</v>
          </cell>
          <cell r="B3009">
            <v>0</v>
          </cell>
          <cell r="E3009">
            <v>0</v>
          </cell>
          <cell r="F3009">
            <v>0</v>
          </cell>
          <cell r="AO3009">
            <v>0</v>
          </cell>
          <cell r="AP3009">
            <v>0</v>
          </cell>
          <cell r="AQ3009">
            <v>0</v>
          </cell>
          <cell r="BA3009">
            <v>0</v>
          </cell>
          <cell r="BC3009">
            <v>0</v>
          </cell>
        </row>
        <row r="3010">
          <cell r="A3010">
            <v>0</v>
          </cell>
          <cell r="B3010">
            <v>0</v>
          </cell>
          <cell r="E3010">
            <v>0</v>
          </cell>
          <cell r="F3010">
            <v>0</v>
          </cell>
          <cell r="AO3010">
            <v>0</v>
          </cell>
          <cell r="AP3010">
            <v>0</v>
          </cell>
          <cell r="AQ3010">
            <v>0</v>
          </cell>
          <cell r="BA3010">
            <v>0</v>
          </cell>
          <cell r="BC3010">
            <v>0</v>
          </cell>
        </row>
        <row r="3011">
          <cell r="A3011">
            <v>0</v>
          </cell>
          <cell r="B3011">
            <v>0</v>
          </cell>
          <cell r="E3011">
            <v>0</v>
          </cell>
          <cell r="F3011">
            <v>0</v>
          </cell>
          <cell r="AO3011">
            <v>0</v>
          </cell>
          <cell r="AP3011">
            <v>0</v>
          </cell>
          <cell r="AQ3011">
            <v>0</v>
          </cell>
          <cell r="BA3011">
            <v>0</v>
          </cell>
          <cell r="BC3011">
            <v>0</v>
          </cell>
        </row>
        <row r="3012">
          <cell r="A3012">
            <v>0</v>
          </cell>
          <cell r="B3012">
            <v>0</v>
          </cell>
          <cell r="E3012">
            <v>0</v>
          </cell>
          <cell r="F3012">
            <v>0</v>
          </cell>
          <cell r="AO3012">
            <v>0</v>
          </cell>
          <cell r="AP3012">
            <v>0</v>
          </cell>
          <cell r="AQ3012">
            <v>0</v>
          </cell>
          <cell r="BA3012">
            <v>0</v>
          </cell>
          <cell r="BC3012">
            <v>0</v>
          </cell>
        </row>
        <row r="3013">
          <cell r="A3013">
            <v>0</v>
          </cell>
          <cell r="B3013">
            <v>0</v>
          </cell>
          <cell r="E3013">
            <v>0</v>
          </cell>
          <cell r="F3013">
            <v>0</v>
          </cell>
          <cell r="AO3013">
            <v>0</v>
          </cell>
          <cell r="AP3013">
            <v>0</v>
          </cell>
          <cell r="AQ3013">
            <v>0</v>
          </cell>
          <cell r="BA3013">
            <v>0</v>
          </cell>
          <cell r="BC3013">
            <v>0</v>
          </cell>
        </row>
        <row r="3014">
          <cell r="A3014">
            <v>0</v>
          </cell>
          <cell r="B3014">
            <v>0</v>
          </cell>
          <cell r="E3014">
            <v>0</v>
          </cell>
          <cell r="F3014">
            <v>0</v>
          </cell>
          <cell r="AO3014">
            <v>0</v>
          </cell>
          <cell r="AP3014">
            <v>0</v>
          </cell>
          <cell r="AQ3014">
            <v>0</v>
          </cell>
          <cell r="BA3014">
            <v>0</v>
          </cell>
          <cell r="BC3014">
            <v>0</v>
          </cell>
        </row>
        <row r="3015">
          <cell r="A3015">
            <v>0</v>
          </cell>
          <cell r="B3015">
            <v>0</v>
          </cell>
          <cell r="E3015">
            <v>0</v>
          </cell>
          <cell r="F3015">
            <v>0</v>
          </cell>
          <cell r="AO3015">
            <v>0</v>
          </cell>
          <cell r="AP3015">
            <v>0</v>
          </cell>
          <cell r="AQ3015">
            <v>0</v>
          </cell>
          <cell r="BA3015">
            <v>0</v>
          </cell>
          <cell r="BC3015">
            <v>0</v>
          </cell>
        </row>
        <row r="3016">
          <cell r="A3016">
            <v>0</v>
          </cell>
          <cell r="B3016">
            <v>0</v>
          </cell>
          <cell r="E3016">
            <v>0</v>
          </cell>
          <cell r="F3016">
            <v>0</v>
          </cell>
          <cell r="AO3016">
            <v>0</v>
          </cell>
          <cell r="AP3016">
            <v>0</v>
          </cell>
          <cell r="AQ3016">
            <v>0</v>
          </cell>
          <cell r="BA3016">
            <v>0</v>
          </cell>
          <cell r="BC3016">
            <v>0</v>
          </cell>
        </row>
        <row r="3017">
          <cell r="A3017">
            <v>0</v>
          </cell>
          <cell r="B3017">
            <v>0</v>
          </cell>
          <cell r="E3017">
            <v>0</v>
          </cell>
          <cell r="F3017">
            <v>0</v>
          </cell>
          <cell r="AO3017">
            <v>0</v>
          </cell>
          <cell r="AP3017">
            <v>0</v>
          </cell>
          <cell r="AQ3017">
            <v>0</v>
          </cell>
          <cell r="BA3017">
            <v>0</v>
          </cell>
          <cell r="BC3017">
            <v>0</v>
          </cell>
        </row>
        <row r="3018">
          <cell r="A3018">
            <v>0</v>
          </cell>
          <cell r="B3018">
            <v>0</v>
          </cell>
          <cell r="E3018">
            <v>0</v>
          </cell>
          <cell r="F3018">
            <v>0</v>
          </cell>
          <cell r="AO3018">
            <v>0</v>
          </cell>
          <cell r="AP3018">
            <v>0</v>
          </cell>
          <cell r="AQ3018">
            <v>0</v>
          </cell>
          <cell r="BA3018">
            <v>0</v>
          </cell>
          <cell r="BC3018">
            <v>0</v>
          </cell>
        </row>
        <row r="3019">
          <cell r="A3019">
            <v>0</v>
          </cell>
          <cell r="B3019">
            <v>0</v>
          </cell>
          <cell r="E3019">
            <v>0</v>
          </cell>
          <cell r="F3019">
            <v>0</v>
          </cell>
          <cell r="AO3019">
            <v>0</v>
          </cell>
          <cell r="AP3019">
            <v>0</v>
          </cell>
          <cell r="AQ3019">
            <v>0</v>
          </cell>
          <cell r="BA3019">
            <v>0</v>
          </cell>
          <cell r="BC3019">
            <v>0</v>
          </cell>
        </row>
        <row r="3020">
          <cell r="A3020">
            <v>0</v>
          </cell>
          <cell r="B3020">
            <v>0</v>
          </cell>
          <cell r="E3020">
            <v>0</v>
          </cell>
          <cell r="F3020">
            <v>0</v>
          </cell>
          <cell r="AO3020">
            <v>0</v>
          </cell>
          <cell r="AP3020">
            <v>0</v>
          </cell>
          <cell r="AQ3020">
            <v>0</v>
          </cell>
          <cell r="BA3020">
            <v>0</v>
          </cell>
          <cell r="BC3020">
            <v>0</v>
          </cell>
        </row>
        <row r="3021">
          <cell r="A3021">
            <v>0</v>
          </cell>
          <cell r="B3021">
            <v>0</v>
          </cell>
          <cell r="E3021">
            <v>0</v>
          </cell>
          <cell r="F3021">
            <v>0</v>
          </cell>
          <cell r="AO3021">
            <v>0</v>
          </cell>
          <cell r="AP3021">
            <v>0</v>
          </cell>
          <cell r="AQ3021">
            <v>0</v>
          </cell>
          <cell r="BA3021">
            <v>0</v>
          </cell>
          <cell r="BC3021">
            <v>0</v>
          </cell>
        </row>
        <row r="3022">
          <cell r="A3022">
            <v>0</v>
          </cell>
          <cell r="B3022">
            <v>0</v>
          </cell>
          <cell r="E3022">
            <v>0</v>
          </cell>
          <cell r="F3022">
            <v>0</v>
          </cell>
          <cell r="AO3022">
            <v>0</v>
          </cell>
          <cell r="AP3022">
            <v>0</v>
          </cell>
          <cell r="AQ3022">
            <v>0</v>
          </cell>
          <cell r="BA3022">
            <v>0</v>
          </cell>
          <cell r="BC3022">
            <v>0</v>
          </cell>
        </row>
        <row r="3023">
          <cell r="A3023">
            <v>0</v>
          </cell>
          <cell r="B3023">
            <v>0</v>
          </cell>
          <cell r="E3023">
            <v>0</v>
          </cell>
          <cell r="F3023">
            <v>0</v>
          </cell>
          <cell r="AO3023">
            <v>0</v>
          </cell>
          <cell r="AP3023">
            <v>0</v>
          </cell>
          <cell r="AQ3023">
            <v>0</v>
          </cell>
          <cell r="BA3023">
            <v>0</v>
          </cell>
          <cell r="BC3023">
            <v>0</v>
          </cell>
        </row>
        <row r="3024">
          <cell r="A3024">
            <v>0</v>
          </cell>
          <cell r="B3024">
            <v>0</v>
          </cell>
          <cell r="E3024">
            <v>0</v>
          </cell>
          <cell r="F3024">
            <v>0</v>
          </cell>
          <cell r="AO3024">
            <v>0</v>
          </cell>
          <cell r="AP3024">
            <v>0</v>
          </cell>
          <cell r="AQ3024">
            <v>0</v>
          </cell>
          <cell r="BA3024">
            <v>0</v>
          </cell>
          <cell r="BC3024">
            <v>0</v>
          </cell>
        </row>
        <row r="3025">
          <cell r="A3025">
            <v>0</v>
          </cell>
          <cell r="B3025">
            <v>0</v>
          </cell>
          <cell r="E3025">
            <v>0</v>
          </cell>
          <cell r="F3025">
            <v>0</v>
          </cell>
          <cell r="AO3025">
            <v>0</v>
          </cell>
          <cell r="AP3025">
            <v>0</v>
          </cell>
          <cell r="AQ3025">
            <v>0</v>
          </cell>
          <cell r="BA3025">
            <v>0</v>
          </cell>
          <cell r="BC3025">
            <v>0</v>
          </cell>
        </row>
        <row r="3026">
          <cell r="A3026">
            <v>0</v>
          </cell>
          <cell r="B3026">
            <v>0</v>
          </cell>
          <cell r="E3026">
            <v>0</v>
          </cell>
          <cell r="F3026">
            <v>0</v>
          </cell>
          <cell r="AO3026">
            <v>0</v>
          </cell>
          <cell r="AP3026">
            <v>0</v>
          </cell>
          <cell r="AQ3026">
            <v>0</v>
          </cell>
          <cell r="BA3026">
            <v>0</v>
          </cell>
          <cell r="BC3026">
            <v>0</v>
          </cell>
        </row>
        <row r="3027">
          <cell r="A3027">
            <v>0</v>
          </cell>
          <cell r="B3027">
            <v>0</v>
          </cell>
          <cell r="E3027">
            <v>0</v>
          </cell>
          <cell r="F3027">
            <v>0</v>
          </cell>
          <cell r="AO3027">
            <v>0</v>
          </cell>
          <cell r="AP3027">
            <v>0</v>
          </cell>
          <cell r="AQ3027">
            <v>0</v>
          </cell>
          <cell r="BA3027">
            <v>0</v>
          </cell>
          <cell r="BC3027">
            <v>0</v>
          </cell>
        </row>
        <row r="3028">
          <cell r="A3028">
            <v>0</v>
          </cell>
          <cell r="B3028">
            <v>0</v>
          </cell>
          <cell r="E3028">
            <v>0</v>
          </cell>
          <cell r="F3028">
            <v>0</v>
          </cell>
          <cell r="AO3028">
            <v>0</v>
          </cell>
          <cell r="AP3028">
            <v>0</v>
          </cell>
          <cell r="AQ3028">
            <v>0</v>
          </cell>
          <cell r="BA3028">
            <v>0</v>
          </cell>
          <cell r="BC3028">
            <v>0</v>
          </cell>
        </row>
        <row r="3029">
          <cell r="A3029">
            <v>0</v>
          </cell>
          <cell r="B3029">
            <v>0</v>
          </cell>
          <cell r="E3029">
            <v>0</v>
          </cell>
          <cell r="F3029">
            <v>0</v>
          </cell>
          <cell r="AO3029">
            <v>0</v>
          </cell>
          <cell r="AP3029">
            <v>0</v>
          </cell>
          <cell r="AQ3029">
            <v>0</v>
          </cell>
          <cell r="BA3029">
            <v>0</v>
          </cell>
          <cell r="BC3029">
            <v>0</v>
          </cell>
        </row>
        <row r="3030">
          <cell r="A3030">
            <v>0</v>
          </cell>
          <cell r="B3030">
            <v>0</v>
          </cell>
          <cell r="E3030">
            <v>0</v>
          </cell>
          <cell r="F3030">
            <v>0</v>
          </cell>
          <cell r="AO3030">
            <v>0</v>
          </cell>
          <cell r="AP3030">
            <v>0</v>
          </cell>
          <cell r="AQ3030">
            <v>0</v>
          </cell>
          <cell r="BA3030">
            <v>0</v>
          </cell>
          <cell r="BC3030">
            <v>0</v>
          </cell>
        </row>
        <row r="3031">
          <cell r="A3031">
            <v>0</v>
          </cell>
          <cell r="B3031">
            <v>0</v>
          </cell>
          <cell r="E3031">
            <v>0</v>
          </cell>
          <cell r="F3031">
            <v>0</v>
          </cell>
          <cell r="AO3031">
            <v>0</v>
          </cell>
          <cell r="AP3031">
            <v>0</v>
          </cell>
          <cell r="AQ3031">
            <v>0</v>
          </cell>
          <cell r="BA3031">
            <v>0</v>
          </cell>
          <cell r="BC3031">
            <v>0</v>
          </cell>
        </row>
        <row r="3032">
          <cell r="A3032">
            <v>0</v>
          </cell>
          <cell r="B3032">
            <v>0</v>
          </cell>
          <cell r="E3032">
            <v>0</v>
          </cell>
          <cell r="F3032">
            <v>0</v>
          </cell>
          <cell r="AO3032">
            <v>0</v>
          </cell>
          <cell r="AP3032">
            <v>0</v>
          </cell>
          <cell r="AQ3032">
            <v>0</v>
          </cell>
          <cell r="BA3032">
            <v>0</v>
          </cell>
          <cell r="BC3032">
            <v>0</v>
          </cell>
        </row>
        <row r="3033">
          <cell r="A3033">
            <v>0</v>
          </cell>
          <cell r="B3033">
            <v>0</v>
          </cell>
          <cell r="E3033">
            <v>0</v>
          </cell>
          <cell r="F3033">
            <v>0</v>
          </cell>
          <cell r="AO3033">
            <v>0</v>
          </cell>
          <cell r="AP3033">
            <v>0</v>
          </cell>
          <cell r="AQ3033">
            <v>0</v>
          </cell>
          <cell r="BA3033">
            <v>0</v>
          </cell>
          <cell r="BC3033">
            <v>0</v>
          </cell>
        </row>
        <row r="3034">
          <cell r="A3034">
            <v>0</v>
          </cell>
          <cell r="B3034">
            <v>0</v>
          </cell>
          <cell r="E3034">
            <v>0</v>
          </cell>
          <cell r="F3034">
            <v>0</v>
          </cell>
          <cell r="AO3034">
            <v>0</v>
          </cell>
          <cell r="AP3034">
            <v>0</v>
          </cell>
          <cell r="AQ3034">
            <v>0</v>
          </cell>
          <cell r="BA3034">
            <v>0</v>
          </cell>
          <cell r="BC3034">
            <v>0</v>
          </cell>
        </row>
        <row r="3035">
          <cell r="A3035">
            <v>0</v>
          </cell>
          <cell r="B3035">
            <v>0</v>
          </cell>
          <cell r="E3035">
            <v>0</v>
          </cell>
          <cell r="F3035">
            <v>0</v>
          </cell>
          <cell r="AO3035">
            <v>0</v>
          </cell>
          <cell r="AP3035">
            <v>0</v>
          </cell>
          <cell r="AQ3035">
            <v>0</v>
          </cell>
          <cell r="BA3035">
            <v>0</v>
          </cell>
          <cell r="BC3035">
            <v>0</v>
          </cell>
        </row>
        <row r="3036">
          <cell r="A3036">
            <v>0</v>
          </cell>
          <cell r="B3036">
            <v>0</v>
          </cell>
          <cell r="E3036">
            <v>0</v>
          </cell>
          <cell r="F3036">
            <v>0</v>
          </cell>
          <cell r="AO3036">
            <v>0</v>
          </cell>
          <cell r="AP3036">
            <v>0</v>
          </cell>
          <cell r="AQ3036">
            <v>0</v>
          </cell>
          <cell r="BA3036">
            <v>0</v>
          </cell>
          <cell r="BC3036">
            <v>0</v>
          </cell>
        </row>
        <row r="3037">
          <cell r="A3037">
            <v>0</v>
          </cell>
          <cell r="B3037">
            <v>0</v>
          </cell>
          <cell r="E3037">
            <v>0</v>
          </cell>
          <cell r="F3037">
            <v>0</v>
          </cell>
          <cell r="AO3037">
            <v>0</v>
          </cell>
          <cell r="AP3037">
            <v>0</v>
          </cell>
          <cell r="AQ3037">
            <v>0</v>
          </cell>
          <cell r="BA3037">
            <v>0</v>
          </cell>
          <cell r="BC3037">
            <v>0</v>
          </cell>
        </row>
        <row r="3038">
          <cell r="A3038">
            <v>0</v>
          </cell>
          <cell r="B3038">
            <v>0</v>
          </cell>
          <cell r="E3038">
            <v>0</v>
          </cell>
          <cell r="F3038">
            <v>0</v>
          </cell>
          <cell r="AO3038">
            <v>0</v>
          </cell>
          <cell r="AP3038">
            <v>0</v>
          </cell>
          <cell r="AQ3038">
            <v>0</v>
          </cell>
          <cell r="BA3038">
            <v>0</v>
          </cell>
          <cell r="BC3038">
            <v>0</v>
          </cell>
        </row>
        <row r="3039">
          <cell r="A3039">
            <v>0</v>
          </cell>
          <cell r="B3039">
            <v>0</v>
          </cell>
          <cell r="E3039">
            <v>0</v>
          </cell>
          <cell r="F3039">
            <v>0</v>
          </cell>
          <cell r="AO3039">
            <v>0</v>
          </cell>
          <cell r="AP3039">
            <v>0</v>
          </cell>
          <cell r="AQ3039">
            <v>0</v>
          </cell>
          <cell r="BA3039">
            <v>0</v>
          </cell>
          <cell r="BC3039">
            <v>0</v>
          </cell>
        </row>
        <row r="3040">
          <cell r="A3040">
            <v>0</v>
          </cell>
          <cell r="B3040">
            <v>0</v>
          </cell>
          <cell r="E3040">
            <v>0</v>
          </cell>
          <cell r="F3040">
            <v>0</v>
          </cell>
          <cell r="AO3040">
            <v>0</v>
          </cell>
          <cell r="AP3040">
            <v>0</v>
          </cell>
          <cell r="AQ3040">
            <v>0</v>
          </cell>
          <cell r="BA3040">
            <v>0</v>
          </cell>
          <cell r="BC3040">
            <v>0</v>
          </cell>
        </row>
        <row r="3041">
          <cell r="A3041">
            <v>0</v>
          </cell>
          <cell r="B3041">
            <v>0</v>
          </cell>
          <cell r="E3041">
            <v>0</v>
          </cell>
          <cell r="F3041">
            <v>0</v>
          </cell>
          <cell r="AO3041">
            <v>0</v>
          </cell>
          <cell r="AP3041">
            <v>0</v>
          </cell>
          <cell r="AQ3041">
            <v>0</v>
          </cell>
          <cell r="BA3041">
            <v>0</v>
          </cell>
          <cell r="BC3041">
            <v>0</v>
          </cell>
        </row>
        <row r="3042">
          <cell r="A3042">
            <v>0</v>
          </cell>
          <cell r="B3042">
            <v>0</v>
          </cell>
          <cell r="E3042">
            <v>0</v>
          </cell>
          <cell r="F3042">
            <v>0</v>
          </cell>
          <cell r="AO3042">
            <v>0</v>
          </cell>
          <cell r="AP3042">
            <v>0</v>
          </cell>
          <cell r="AQ3042">
            <v>0</v>
          </cell>
          <cell r="BA3042">
            <v>0</v>
          </cell>
          <cell r="BC3042">
            <v>0</v>
          </cell>
        </row>
        <row r="3043">
          <cell r="A3043">
            <v>0</v>
          </cell>
          <cell r="B3043">
            <v>0</v>
          </cell>
          <cell r="E3043">
            <v>0</v>
          </cell>
          <cell r="F3043">
            <v>0</v>
          </cell>
          <cell r="AO3043">
            <v>0</v>
          </cell>
          <cell r="AP3043">
            <v>0</v>
          </cell>
          <cell r="AQ3043">
            <v>0</v>
          </cell>
          <cell r="BA3043">
            <v>0</v>
          </cell>
          <cell r="BC3043">
            <v>0</v>
          </cell>
        </row>
        <row r="3044">
          <cell r="A3044">
            <v>0</v>
          </cell>
          <cell r="B3044">
            <v>0</v>
          </cell>
          <cell r="E3044">
            <v>0</v>
          </cell>
          <cell r="F3044">
            <v>0</v>
          </cell>
          <cell r="AO3044">
            <v>0</v>
          </cell>
          <cell r="AP3044">
            <v>0</v>
          </cell>
          <cell r="AQ3044">
            <v>0</v>
          </cell>
          <cell r="BA3044">
            <v>0</v>
          </cell>
          <cell r="BC3044">
            <v>0</v>
          </cell>
        </row>
        <row r="3045">
          <cell r="A3045">
            <v>0</v>
          </cell>
          <cell r="B3045">
            <v>0</v>
          </cell>
          <cell r="E3045">
            <v>0</v>
          </cell>
          <cell r="F3045">
            <v>0</v>
          </cell>
          <cell r="AO3045">
            <v>0</v>
          </cell>
          <cell r="AP3045">
            <v>0</v>
          </cell>
          <cell r="AQ3045">
            <v>0</v>
          </cell>
          <cell r="BA3045">
            <v>0</v>
          </cell>
          <cell r="BC3045">
            <v>0</v>
          </cell>
        </row>
        <row r="3046">
          <cell r="A3046">
            <v>0</v>
          </cell>
          <cell r="B3046">
            <v>0</v>
          </cell>
          <cell r="E3046">
            <v>0</v>
          </cell>
          <cell r="F3046">
            <v>0</v>
          </cell>
          <cell r="AO3046">
            <v>0</v>
          </cell>
          <cell r="AP3046">
            <v>0</v>
          </cell>
          <cell r="AQ3046">
            <v>0</v>
          </cell>
          <cell r="BA3046">
            <v>0</v>
          </cell>
          <cell r="BC3046">
            <v>0</v>
          </cell>
        </row>
        <row r="3047">
          <cell r="A3047">
            <v>0</v>
          </cell>
          <cell r="B3047">
            <v>0</v>
          </cell>
          <cell r="E3047">
            <v>0</v>
          </cell>
          <cell r="F3047">
            <v>0</v>
          </cell>
          <cell r="AO3047">
            <v>0</v>
          </cell>
          <cell r="AP3047">
            <v>0</v>
          </cell>
          <cell r="AQ3047">
            <v>0</v>
          </cell>
          <cell r="BA3047">
            <v>0</v>
          </cell>
          <cell r="BC3047">
            <v>0</v>
          </cell>
        </row>
        <row r="3048">
          <cell r="A3048">
            <v>0</v>
          </cell>
          <cell r="B3048">
            <v>0</v>
          </cell>
          <cell r="E3048">
            <v>0</v>
          </cell>
          <cell r="F3048">
            <v>0</v>
          </cell>
          <cell r="AO3048">
            <v>0</v>
          </cell>
          <cell r="AP3048">
            <v>0</v>
          </cell>
          <cell r="AQ3048">
            <v>0</v>
          </cell>
          <cell r="BA3048">
            <v>0</v>
          </cell>
          <cell r="BC3048">
            <v>0</v>
          </cell>
        </row>
        <row r="3049">
          <cell r="A3049">
            <v>0</v>
          </cell>
          <cell r="B3049">
            <v>0</v>
          </cell>
          <cell r="E3049">
            <v>0</v>
          </cell>
          <cell r="F3049">
            <v>0</v>
          </cell>
          <cell r="AO3049">
            <v>0</v>
          </cell>
          <cell r="AP3049">
            <v>0</v>
          </cell>
          <cell r="AQ3049">
            <v>0</v>
          </cell>
          <cell r="BA3049">
            <v>0</v>
          </cell>
          <cell r="BC3049">
            <v>0</v>
          </cell>
        </row>
        <row r="3050">
          <cell r="A3050">
            <v>0</v>
          </cell>
          <cell r="B3050">
            <v>0</v>
          </cell>
          <cell r="E3050">
            <v>0</v>
          </cell>
          <cell r="F3050">
            <v>0</v>
          </cell>
          <cell r="AO3050">
            <v>0</v>
          </cell>
          <cell r="AP3050">
            <v>0</v>
          </cell>
          <cell r="AQ3050">
            <v>0</v>
          </cell>
          <cell r="BA3050">
            <v>0</v>
          </cell>
          <cell r="BC3050">
            <v>0</v>
          </cell>
        </row>
        <row r="3051">
          <cell r="A3051">
            <v>0</v>
          </cell>
          <cell r="B3051">
            <v>0</v>
          </cell>
          <cell r="E3051">
            <v>0</v>
          </cell>
          <cell r="F3051">
            <v>0</v>
          </cell>
          <cell r="AO3051">
            <v>0</v>
          </cell>
          <cell r="AP3051">
            <v>0</v>
          </cell>
          <cell r="AQ3051">
            <v>0</v>
          </cell>
          <cell r="BA3051">
            <v>0</v>
          </cell>
          <cell r="BC3051">
            <v>0</v>
          </cell>
        </row>
        <row r="3052">
          <cell r="A3052">
            <v>0</v>
          </cell>
          <cell r="B3052">
            <v>0</v>
          </cell>
          <cell r="E3052">
            <v>0</v>
          </cell>
          <cell r="F3052">
            <v>0</v>
          </cell>
          <cell r="AO3052">
            <v>0</v>
          </cell>
          <cell r="AP3052">
            <v>0</v>
          </cell>
          <cell r="AQ3052">
            <v>0</v>
          </cell>
          <cell r="BA3052">
            <v>0</v>
          </cell>
          <cell r="BC3052">
            <v>0</v>
          </cell>
        </row>
        <row r="3053">
          <cell r="A3053">
            <v>0</v>
          </cell>
          <cell r="B3053">
            <v>0</v>
          </cell>
          <cell r="E3053">
            <v>0</v>
          </cell>
          <cell r="F3053">
            <v>0</v>
          </cell>
          <cell r="AO3053">
            <v>0</v>
          </cell>
          <cell r="AP3053">
            <v>0</v>
          </cell>
          <cell r="AQ3053">
            <v>0</v>
          </cell>
          <cell r="BA3053">
            <v>0</v>
          </cell>
          <cell r="BC3053">
            <v>0</v>
          </cell>
        </row>
        <row r="3054">
          <cell r="A3054">
            <v>0</v>
          </cell>
          <cell r="B3054">
            <v>0</v>
          </cell>
          <cell r="E3054">
            <v>0</v>
          </cell>
          <cell r="F3054">
            <v>0</v>
          </cell>
          <cell r="AO3054">
            <v>0</v>
          </cell>
          <cell r="AP3054">
            <v>0</v>
          </cell>
          <cell r="AQ3054">
            <v>0</v>
          </cell>
          <cell r="BA3054">
            <v>0</v>
          </cell>
          <cell r="BC3054">
            <v>0</v>
          </cell>
        </row>
        <row r="3055">
          <cell r="A3055">
            <v>0</v>
          </cell>
          <cell r="B3055">
            <v>0</v>
          </cell>
          <cell r="E3055">
            <v>0</v>
          </cell>
          <cell r="F3055">
            <v>0</v>
          </cell>
          <cell r="AO3055">
            <v>0</v>
          </cell>
          <cell r="AP3055">
            <v>0</v>
          </cell>
          <cell r="AQ3055">
            <v>0</v>
          </cell>
          <cell r="BA3055">
            <v>0</v>
          </cell>
          <cell r="BC3055">
            <v>0</v>
          </cell>
        </row>
        <row r="3056">
          <cell r="A3056">
            <v>0</v>
          </cell>
          <cell r="B3056">
            <v>0</v>
          </cell>
          <cell r="E3056">
            <v>0</v>
          </cell>
          <cell r="F3056">
            <v>0</v>
          </cell>
          <cell r="AO3056">
            <v>0</v>
          </cell>
          <cell r="AP3056">
            <v>0</v>
          </cell>
          <cell r="AQ3056">
            <v>0</v>
          </cell>
          <cell r="BA3056">
            <v>0</v>
          </cell>
          <cell r="BC3056">
            <v>0</v>
          </cell>
        </row>
        <row r="3057">
          <cell r="A3057">
            <v>0</v>
          </cell>
          <cell r="B3057">
            <v>0</v>
          </cell>
          <cell r="E3057">
            <v>0</v>
          </cell>
          <cell r="F3057">
            <v>0</v>
          </cell>
          <cell r="AO3057">
            <v>0</v>
          </cell>
          <cell r="AP3057">
            <v>0</v>
          </cell>
          <cell r="AQ3057">
            <v>0</v>
          </cell>
          <cell r="BA3057">
            <v>0</v>
          </cell>
          <cell r="BC3057">
            <v>0</v>
          </cell>
        </row>
        <row r="3058">
          <cell r="A3058">
            <v>0</v>
          </cell>
          <cell r="B3058">
            <v>0</v>
          </cell>
          <cell r="E3058">
            <v>0</v>
          </cell>
          <cell r="F3058">
            <v>0</v>
          </cell>
          <cell r="AO3058">
            <v>0</v>
          </cell>
          <cell r="AP3058">
            <v>0</v>
          </cell>
          <cell r="AQ3058">
            <v>0</v>
          </cell>
          <cell r="BA3058">
            <v>0</v>
          </cell>
          <cell r="BC3058">
            <v>0</v>
          </cell>
        </row>
        <row r="3059">
          <cell r="A3059">
            <v>0</v>
          </cell>
          <cell r="B3059">
            <v>0</v>
          </cell>
          <cell r="E3059">
            <v>0</v>
          </cell>
          <cell r="F3059">
            <v>0</v>
          </cell>
          <cell r="AO3059">
            <v>0</v>
          </cell>
          <cell r="AP3059">
            <v>0</v>
          </cell>
          <cell r="AQ3059">
            <v>0</v>
          </cell>
          <cell r="BA3059">
            <v>0</v>
          </cell>
          <cell r="BC3059">
            <v>0</v>
          </cell>
        </row>
        <row r="3060">
          <cell r="A3060">
            <v>0</v>
          </cell>
          <cell r="B3060">
            <v>0</v>
          </cell>
          <cell r="E3060">
            <v>0</v>
          </cell>
          <cell r="F3060">
            <v>0</v>
          </cell>
          <cell r="AO3060">
            <v>0</v>
          </cell>
          <cell r="AP3060">
            <v>0</v>
          </cell>
          <cell r="AQ3060">
            <v>0</v>
          </cell>
          <cell r="BA3060">
            <v>0</v>
          </cell>
          <cell r="BC3060">
            <v>0</v>
          </cell>
        </row>
        <row r="3061">
          <cell r="A3061">
            <v>0</v>
          </cell>
          <cell r="B3061">
            <v>0</v>
          </cell>
          <cell r="E3061">
            <v>0</v>
          </cell>
          <cell r="F3061">
            <v>0</v>
          </cell>
          <cell r="AO3061">
            <v>0</v>
          </cell>
          <cell r="AP3061">
            <v>0</v>
          </cell>
          <cell r="AQ3061">
            <v>0</v>
          </cell>
          <cell r="BA3061">
            <v>0</v>
          </cell>
          <cell r="BC3061">
            <v>0</v>
          </cell>
        </row>
        <row r="3062">
          <cell r="A3062">
            <v>0</v>
          </cell>
          <cell r="B3062">
            <v>0</v>
          </cell>
          <cell r="E3062">
            <v>0</v>
          </cell>
          <cell r="F3062">
            <v>0</v>
          </cell>
          <cell r="AO3062">
            <v>0</v>
          </cell>
          <cell r="AP3062">
            <v>0</v>
          </cell>
          <cell r="AQ3062">
            <v>0</v>
          </cell>
          <cell r="BA3062">
            <v>0</v>
          </cell>
          <cell r="BC3062">
            <v>0</v>
          </cell>
        </row>
        <row r="3063">
          <cell r="A3063">
            <v>0</v>
          </cell>
          <cell r="B3063">
            <v>0</v>
          </cell>
          <cell r="E3063">
            <v>0</v>
          </cell>
          <cell r="F3063">
            <v>0</v>
          </cell>
          <cell r="AO3063">
            <v>0</v>
          </cell>
          <cell r="AP3063">
            <v>0</v>
          </cell>
          <cell r="AQ3063">
            <v>0</v>
          </cell>
          <cell r="BA3063">
            <v>0</v>
          </cell>
          <cell r="BC3063">
            <v>0</v>
          </cell>
        </row>
        <row r="3064">
          <cell r="A3064">
            <v>0</v>
          </cell>
          <cell r="B3064">
            <v>0</v>
          </cell>
          <cell r="E3064">
            <v>0</v>
          </cell>
          <cell r="F3064">
            <v>0</v>
          </cell>
          <cell r="AO3064">
            <v>0</v>
          </cell>
          <cell r="AP3064">
            <v>0</v>
          </cell>
          <cell r="AQ3064">
            <v>0</v>
          </cell>
          <cell r="BA3064">
            <v>0</v>
          </cell>
          <cell r="BC3064">
            <v>0</v>
          </cell>
        </row>
        <row r="3065">
          <cell r="A3065">
            <v>0</v>
          </cell>
          <cell r="B3065">
            <v>0</v>
          </cell>
          <cell r="E3065">
            <v>0</v>
          </cell>
          <cell r="F3065">
            <v>0</v>
          </cell>
          <cell r="AO3065">
            <v>0</v>
          </cell>
          <cell r="AP3065">
            <v>0</v>
          </cell>
          <cell r="AQ3065">
            <v>0</v>
          </cell>
          <cell r="BA3065">
            <v>0</v>
          </cell>
          <cell r="BC3065">
            <v>0</v>
          </cell>
        </row>
        <row r="3066">
          <cell r="A3066">
            <v>0</v>
          </cell>
          <cell r="B3066">
            <v>0</v>
          </cell>
          <cell r="E3066">
            <v>0</v>
          </cell>
          <cell r="F3066">
            <v>0</v>
          </cell>
          <cell r="AO3066">
            <v>0</v>
          </cell>
          <cell r="AP3066">
            <v>0</v>
          </cell>
          <cell r="AQ3066">
            <v>0</v>
          </cell>
          <cell r="BA3066">
            <v>0</v>
          </cell>
          <cell r="BC3066">
            <v>0</v>
          </cell>
        </row>
        <row r="3067">
          <cell r="A3067">
            <v>0</v>
          </cell>
          <cell r="B3067">
            <v>0</v>
          </cell>
          <cell r="E3067">
            <v>0</v>
          </cell>
          <cell r="F3067">
            <v>0</v>
          </cell>
          <cell r="AO3067">
            <v>0</v>
          </cell>
          <cell r="AP3067">
            <v>0</v>
          </cell>
          <cell r="AQ3067">
            <v>0</v>
          </cell>
          <cell r="BA3067">
            <v>0</v>
          </cell>
          <cell r="BC3067">
            <v>0</v>
          </cell>
        </row>
        <row r="3068">
          <cell r="A3068">
            <v>0</v>
          </cell>
          <cell r="B3068">
            <v>0</v>
          </cell>
          <cell r="E3068">
            <v>0</v>
          </cell>
          <cell r="F3068">
            <v>0</v>
          </cell>
          <cell r="AO3068">
            <v>0</v>
          </cell>
          <cell r="AP3068">
            <v>0</v>
          </cell>
          <cell r="AQ3068">
            <v>0</v>
          </cell>
          <cell r="BA3068">
            <v>0</v>
          </cell>
          <cell r="BC3068">
            <v>0</v>
          </cell>
        </row>
        <row r="3069">
          <cell r="A3069">
            <v>0</v>
          </cell>
          <cell r="B3069">
            <v>0</v>
          </cell>
          <cell r="E3069">
            <v>0</v>
          </cell>
          <cell r="F3069">
            <v>0</v>
          </cell>
          <cell r="AO3069">
            <v>0</v>
          </cell>
          <cell r="AP3069">
            <v>0</v>
          </cell>
          <cell r="AQ3069">
            <v>0</v>
          </cell>
          <cell r="BA3069">
            <v>0</v>
          </cell>
          <cell r="BC3069">
            <v>0</v>
          </cell>
        </row>
        <row r="3070">
          <cell r="A3070">
            <v>0</v>
          </cell>
          <cell r="B3070">
            <v>0</v>
          </cell>
          <cell r="E3070">
            <v>0</v>
          </cell>
          <cell r="F3070">
            <v>0</v>
          </cell>
          <cell r="AO3070">
            <v>0</v>
          </cell>
          <cell r="AP3070">
            <v>0</v>
          </cell>
          <cell r="AQ3070">
            <v>0</v>
          </cell>
          <cell r="BA3070">
            <v>0</v>
          </cell>
          <cell r="BC3070">
            <v>0</v>
          </cell>
        </row>
        <row r="3071">
          <cell r="A3071">
            <v>0</v>
          </cell>
          <cell r="B3071">
            <v>0</v>
          </cell>
          <cell r="E3071">
            <v>0</v>
          </cell>
          <cell r="F3071">
            <v>0</v>
          </cell>
          <cell r="AO3071">
            <v>0</v>
          </cell>
          <cell r="AP3071">
            <v>0</v>
          </cell>
          <cell r="AQ3071">
            <v>0</v>
          </cell>
          <cell r="BA3071">
            <v>0</v>
          </cell>
          <cell r="BC3071">
            <v>0</v>
          </cell>
        </row>
        <row r="3072">
          <cell r="A3072">
            <v>0</v>
          </cell>
          <cell r="B3072">
            <v>0</v>
          </cell>
          <cell r="E3072">
            <v>0</v>
          </cell>
          <cell r="F3072">
            <v>0</v>
          </cell>
          <cell r="AO3072">
            <v>0</v>
          </cell>
          <cell r="AP3072">
            <v>0</v>
          </cell>
          <cell r="AQ3072">
            <v>0</v>
          </cell>
          <cell r="BA3072">
            <v>0</v>
          </cell>
          <cell r="BC3072">
            <v>0</v>
          </cell>
        </row>
        <row r="3073">
          <cell r="A3073">
            <v>0</v>
          </cell>
          <cell r="B3073">
            <v>0</v>
          </cell>
          <cell r="E3073">
            <v>0</v>
          </cell>
          <cell r="F3073">
            <v>0</v>
          </cell>
          <cell r="AO3073">
            <v>0</v>
          </cell>
          <cell r="AP3073">
            <v>0</v>
          </cell>
          <cell r="AQ3073">
            <v>0</v>
          </cell>
          <cell r="BA3073">
            <v>0</v>
          </cell>
          <cell r="BC3073">
            <v>0</v>
          </cell>
        </row>
        <row r="3074">
          <cell r="A3074">
            <v>0</v>
          </cell>
          <cell r="B3074">
            <v>0</v>
          </cell>
          <cell r="E3074">
            <v>0</v>
          </cell>
          <cell r="F3074">
            <v>0</v>
          </cell>
          <cell r="AO3074">
            <v>0</v>
          </cell>
          <cell r="AP3074">
            <v>0</v>
          </cell>
          <cell r="AQ3074">
            <v>0</v>
          </cell>
          <cell r="BA3074">
            <v>0</v>
          </cell>
          <cell r="BC3074">
            <v>0</v>
          </cell>
        </row>
        <row r="3075">
          <cell r="A3075">
            <v>0</v>
          </cell>
          <cell r="B3075">
            <v>0</v>
          </cell>
          <cell r="E3075">
            <v>0</v>
          </cell>
          <cell r="F3075">
            <v>0</v>
          </cell>
          <cell r="AO3075">
            <v>0</v>
          </cell>
          <cell r="AP3075">
            <v>0</v>
          </cell>
          <cell r="AQ3075">
            <v>0</v>
          </cell>
          <cell r="BA3075">
            <v>0</v>
          </cell>
          <cell r="BC3075">
            <v>0</v>
          </cell>
        </row>
        <row r="3076">
          <cell r="A3076">
            <v>0</v>
          </cell>
          <cell r="B3076">
            <v>0</v>
          </cell>
          <cell r="E3076">
            <v>0</v>
          </cell>
          <cell r="F3076">
            <v>0</v>
          </cell>
          <cell r="AO3076">
            <v>0</v>
          </cell>
          <cell r="AP3076">
            <v>0</v>
          </cell>
          <cell r="AQ3076">
            <v>0</v>
          </cell>
          <cell r="BA3076">
            <v>0</v>
          </cell>
          <cell r="BC3076">
            <v>0</v>
          </cell>
        </row>
        <row r="3077">
          <cell r="A3077">
            <v>0</v>
          </cell>
          <cell r="B3077">
            <v>0</v>
          </cell>
          <cell r="E3077">
            <v>0</v>
          </cell>
          <cell r="F3077">
            <v>0</v>
          </cell>
          <cell r="AO3077">
            <v>0</v>
          </cell>
          <cell r="AP3077">
            <v>0</v>
          </cell>
          <cell r="AQ3077">
            <v>0</v>
          </cell>
          <cell r="BA3077">
            <v>0</v>
          </cell>
          <cell r="BC3077">
            <v>0</v>
          </cell>
        </row>
        <row r="3078">
          <cell r="A3078">
            <v>0</v>
          </cell>
          <cell r="B3078">
            <v>0</v>
          </cell>
          <cell r="E3078">
            <v>0</v>
          </cell>
          <cell r="F3078">
            <v>0</v>
          </cell>
          <cell r="AO3078">
            <v>0</v>
          </cell>
          <cell r="AP3078">
            <v>0</v>
          </cell>
          <cell r="AQ3078">
            <v>0</v>
          </cell>
          <cell r="BA3078">
            <v>0</v>
          </cell>
          <cell r="BC3078">
            <v>0</v>
          </cell>
        </row>
        <row r="3079">
          <cell r="A3079">
            <v>0</v>
          </cell>
          <cell r="B3079">
            <v>0</v>
          </cell>
          <cell r="E3079">
            <v>0</v>
          </cell>
          <cell r="F3079">
            <v>0</v>
          </cell>
          <cell r="AO3079">
            <v>0</v>
          </cell>
          <cell r="AP3079">
            <v>0</v>
          </cell>
          <cell r="AQ3079">
            <v>0</v>
          </cell>
          <cell r="BA3079">
            <v>0</v>
          </cell>
          <cell r="BC3079">
            <v>0</v>
          </cell>
        </row>
        <row r="3080">
          <cell r="A3080">
            <v>0</v>
          </cell>
          <cell r="B3080">
            <v>0</v>
          </cell>
          <cell r="E3080">
            <v>0</v>
          </cell>
          <cell r="F3080">
            <v>0</v>
          </cell>
          <cell r="AO3080">
            <v>0</v>
          </cell>
          <cell r="AP3080">
            <v>0</v>
          </cell>
          <cell r="AQ3080">
            <v>0</v>
          </cell>
          <cell r="BA3080">
            <v>0</v>
          </cell>
          <cell r="BC3080">
            <v>0</v>
          </cell>
        </row>
        <row r="3081">
          <cell r="A3081">
            <v>0</v>
          </cell>
          <cell r="B3081">
            <v>0</v>
          </cell>
          <cell r="E3081">
            <v>0</v>
          </cell>
          <cell r="F3081">
            <v>0</v>
          </cell>
          <cell r="AO3081">
            <v>0</v>
          </cell>
          <cell r="AP3081">
            <v>0</v>
          </cell>
          <cell r="AQ3081">
            <v>0</v>
          </cell>
          <cell r="BA3081">
            <v>0</v>
          </cell>
          <cell r="BC3081">
            <v>0</v>
          </cell>
        </row>
        <row r="3082">
          <cell r="A3082">
            <v>0</v>
          </cell>
          <cell r="B3082">
            <v>0</v>
          </cell>
          <cell r="E3082">
            <v>0</v>
          </cell>
          <cell r="F3082">
            <v>0</v>
          </cell>
          <cell r="AO3082">
            <v>0</v>
          </cell>
          <cell r="AP3082">
            <v>0</v>
          </cell>
          <cell r="AQ3082">
            <v>0</v>
          </cell>
          <cell r="BA3082">
            <v>0</v>
          </cell>
          <cell r="BC3082">
            <v>0</v>
          </cell>
        </row>
        <row r="3083">
          <cell r="A3083">
            <v>0</v>
          </cell>
          <cell r="B3083">
            <v>0</v>
          </cell>
          <cell r="E3083">
            <v>0</v>
          </cell>
          <cell r="F3083">
            <v>0</v>
          </cell>
          <cell r="AO3083">
            <v>0</v>
          </cell>
          <cell r="AP3083">
            <v>0</v>
          </cell>
          <cell r="AQ3083">
            <v>0</v>
          </cell>
          <cell r="BA3083">
            <v>0</v>
          </cell>
          <cell r="BC3083">
            <v>0</v>
          </cell>
        </row>
        <row r="3084">
          <cell r="A3084">
            <v>0</v>
          </cell>
          <cell r="B3084">
            <v>0</v>
          </cell>
          <cell r="E3084">
            <v>0</v>
          </cell>
          <cell r="F3084">
            <v>0</v>
          </cell>
          <cell r="AO3084">
            <v>0</v>
          </cell>
          <cell r="AP3084">
            <v>0</v>
          </cell>
          <cell r="AQ3084">
            <v>0</v>
          </cell>
          <cell r="BA3084">
            <v>0</v>
          </cell>
          <cell r="BC3084">
            <v>0</v>
          </cell>
        </row>
        <row r="3085">
          <cell r="A3085">
            <v>0</v>
          </cell>
          <cell r="B3085">
            <v>0</v>
          </cell>
          <cell r="E3085">
            <v>0</v>
          </cell>
          <cell r="F3085">
            <v>0</v>
          </cell>
          <cell r="AO3085">
            <v>0</v>
          </cell>
          <cell r="AP3085">
            <v>0</v>
          </cell>
          <cell r="AQ3085">
            <v>0</v>
          </cell>
          <cell r="BA3085">
            <v>0</v>
          </cell>
          <cell r="BC3085">
            <v>0</v>
          </cell>
        </row>
        <row r="3086">
          <cell r="A3086">
            <v>0</v>
          </cell>
          <cell r="B3086">
            <v>0</v>
          </cell>
          <cell r="E3086">
            <v>0</v>
          </cell>
          <cell r="F3086">
            <v>0</v>
          </cell>
          <cell r="AO3086">
            <v>0</v>
          </cell>
          <cell r="AP3086">
            <v>0</v>
          </cell>
          <cell r="AQ3086">
            <v>0</v>
          </cell>
          <cell r="BA3086">
            <v>0</v>
          </cell>
          <cell r="BC3086">
            <v>0</v>
          </cell>
        </row>
        <row r="3087">
          <cell r="A3087">
            <v>0</v>
          </cell>
          <cell r="B3087">
            <v>0</v>
          </cell>
          <cell r="E3087">
            <v>0</v>
          </cell>
          <cell r="F3087">
            <v>0</v>
          </cell>
          <cell r="AO3087">
            <v>0</v>
          </cell>
          <cell r="AP3087">
            <v>0</v>
          </cell>
          <cell r="AQ3087">
            <v>0</v>
          </cell>
          <cell r="BA3087">
            <v>0</v>
          </cell>
          <cell r="BC3087">
            <v>0</v>
          </cell>
        </row>
        <row r="3088">
          <cell r="A3088">
            <v>0</v>
          </cell>
          <cell r="B3088">
            <v>0</v>
          </cell>
          <cell r="E3088">
            <v>0</v>
          </cell>
          <cell r="F3088">
            <v>0</v>
          </cell>
          <cell r="AO3088">
            <v>0</v>
          </cell>
          <cell r="AP3088">
            <v>0</v>
          </cell>
          <cell r="AQ3088">
            <v>0</v>
          </cell>
          <cell r="BA3088">
            <v>0</v>
          </cell>
          <cell r="BC3088">
            <v>0</v>
          </cell>
        </row>
        <row r="3089">
          <cell r="A3089">
            <v>0</v>
          </cell>
          <cell r="B3089">
            <v>0</v>
          </cell>
          <cell r="E3089">
            <v>0</v>
          </cell>
          <cell r="F3089">
            <v>0</v>
          </cell>
          <cell r="AO3089">
            <v>0</v>
          </cell>
          <cell r="AP3089">
            <v>0</v>
          </cell>
          <cell r="AQ3089">
            <v>0</v>
          </cell>
          <cell r="BA3089">
            <v>0</v>
          </cell>
          <cell r="BC3089">
            <v>0</v>
          </cell>
        </row>
        <row r="3090">
          <cell r="A3090">
            <v>0</v>
          </cell>
          <cell r="B3090">
            <v>0</v>
          </cell>
          <cell r="E3090">
            <v>0</v>
          </cell>
          <cell r="F3090">
            <v>0</v>
          </cell>
          <cell r="AO3090">
            <v>0</v>
          </cell>
          <cell r="AP3090">
            <v>0</v>
          </cell>
          <cell r="AQ3090">
            <v>0</v>
          </cell>
          <cell r="BA3090">
            <v>0</v>
          </cell>
          <cell r="BC3090">
            <v>0</v>
          </cell>
        </row>
        <row r="3091">
          <cell r="A3091">
            <v>0</v>
          </cell>
          <cell r="B3091">
            <v>0</v>
          </cell>
          <cell r="E3091">
            <v>0</v>
          </cell>
          <cell r="F3091">
            <v>0</v>
          </cell>
          <cell r="AO3091">
            <v>0</v>
          </cell>
          <cell r="AP3091">
            <v>0</v>
          </cell>
          <cell r="AQ3091">
            <v>0</v>
          </cell>
          <cell r="BA3091">
            <v>0</v>
          </cell>
          <cell r="BC3091">
            <v>0</v>
          </cell>
        </row>
        <row r="3092">
          <cell r="A3092">
            <v>0</v>
          </cell>
          <cell r="B3092">
            <v>0</v>
          </cell>
          <cell r="E3092">
            <v>0</v>
          </cell>
          <cell r="F3092">
            <v>0</v>
          </cell>
          <cell r="AO3092">
            <v>0</v>
          </cell>
          <cell r="AP3092">
            <v>0</v>
          </cell>
          <cell r="AQ3092">
            <v>0</v>
          </cell>
          <cell r="BA3092">
            <v>0</v>
          </cell>
          <cell r="BC3092">
            <v>0</v>
          </cell>
        </row>
        <row r="3093">
          <cell r="A3093">
            <v>0</v>
          </cell>
          <cell r="B3093">
            <v>0</v>
          </cell>
          <cell r="E3093">
            <v>0</v>
          </cell>
          <cell r="F3093">
            <v>0</v>
          </cell>
          <cell r="AO3093">
            <v>0</v>
          </cell>
          <cell r="AP3093">
            <v>0</v>
          </cell>
          <cell r="AQ3093">
            <v>0</v>
          </cell>
          <cell r="BA3093">
            <v>0</v>
          </cell>
          <cell r="BC3093">
            <v>0</v>
          </cell>
        </row>
        <row r="3094">
          <cell r="A3094">
            <v>0</v>
          </cell>
          <cell r="B3094">
            <v>0</v>
          </cell>
          <cell r="E3094">
            <v>0</v>
          </cell>
          <cell r="F3094">
            <v>0</v>
          </cell>
          <cell r="AO3094">
            <v>0</v>
          </cell>
          <cell r="AP3094">
            <v>0</v>
          </cell>
          <cell r="AQ3094">
            <v>0</v>
          </cell>
          <cell r="BA3094">
            <v>0</v>
          </cell>
          <cell r="BC3094">
            <v>0</v>
          </cell>
        </row>
        <row r="3095">
          <cell r="A3095">
            <v>0</v>
          </cell>
          <cell r="B3095">
            <v>0</v>
          </cell>
          <cell r="E3095">
            <v>0</v>
          </cell>
          <cell r="F3095">
            <v>0</v>
          </cell>
          <cell r="AO3095">
            <v>0</v>
          </cell>
          <cell r="AP3095">
            <v>0</v>
          </cell>
          <cell r="AQ3095">
            <v>0</v>
          </cell>
          <cell r="BA3095">
            <v>0</v>
          </cell>
          <cell r="BC3095">
            <v>0</v>
          </cell>
        </row>
        <row r="3096">
          <cell r="A3096">
            <v>0</v>
          </cell>
          <cell r="B3096">
            <v>0</v>
          </cell>
          <cell r="E3096">
            <v>0</v>
          </cell>
          <cell r="F3096">
            <v>0</v>
          </cell>
          <cell r="AO3096">
            <v>0</v>
          </cell>
          <cell r="AP3096">
            <v>0</v>
          </cell>
          <cell r="AQ3096">
            <v>0</v>
          </cell>
          <cell r="BA3096">
            <v>0</v>
          </cell>
          <cell r="BC3096">
            <v>0</v>
          </cell>
        </row>
        <row r="3097">
          <cell r="A3097">
            <v>0</v>
          </cell>
          <cell r="B3097">
            <v>0</v>
          </cell>
          <cell r="E3097">
            <v>0</v>
          </cell>
          <cell r="F3097">
            <v>0</v>
          </cell>
          <cell r="AO3097">
            <v>0</v>
          </cell>
          <cell r="AP3097">
            <v>0</v>
          </cell>
          <cell r="AQ3097">
            <v>0</v>
          </cell>
          <cell r="BA3097">
            <v>0</v>
          </cell>
          <cell r="BC3097">
            <v>0</v>
          </cell>
        </row>
        <row r="3098">
          <cell r="A3098">
            <v>0</v>
          </cell>
          <cell r="B3098">
            <v>0</v>
          </cell>
          <cell r="E3098">
            <v>0</v>
          </cell>
          <cell r="F3098">
            <v>0</v>
          </cell>
          <cell r="AO3098">
            <v>0</v>
          </cell>
          <cell r="AP3098">
            <v>0</v>
          </cell>
          <cell r="AQ3098">
            <v>0</v>
          </cell>
          <cell r="BA3098">
            <v>0</v>
          </cell>
          <cell r="BC3098">
            <v>0</v>
          </cell>
        </row>
        <row r="3099">
          <cell r="A3099">
            <v>0</v>
          </cell>
          <cell r="B3099">
            <v>0</v>
          </cell>
          <cell r="E3099">
            <v>0</v>
          </cell>
          <cell r="F3099">
            <v>0</v>
          </cell>
          <cell r="AO3099">
            <v>0</v>
          </cell>
          <cell r="AP3099">
            <v>0</v>
          </cell>
          <cell r="AQ3099">
            <v>0</v>
          </cell>
          <cell r="BA3099">
            <v>0</v>
          </cell>
          <cell r="BC3099">
            <v>0</v>
          </cell>
        </row>
        <row r="3100">
          <cell r="A3100">
            <v>0</v>
          </cell>
          <cell r="B3100">
            <v>0</v>
          </cell>
          <cell r="E3100">
            <v>0</v>
          </cell>
          <cell r="F3100">
            <v>0</v>
          </cell>
          <cell r="AO3100">
            <v>0</v>
          </cell>
          <cell r="AP3100">
            <v>0</v>
          </cell>
          <cell r="AQ3100">
            <v>0</v>
          </cell>
          <cell r="BA3100">
            <v>0</v>
          </cell>
          <cell r="BC3100">
            <v>0</v>
          </cell>
        </row>
        <row r="3101">
          <cell r="A3101">
            <v>0</v>
          </cell>
          <cell r="B3101">
            <v>0</v>
          </cell>
          <cell r="E3101">
            <v>0</v>
          </cell>
          <cell r="F3101">
            <v>0</v>
          </cell>
          <cell r="AO3101">
            <v>0</v>
          </cell>
          <cell r="AP3101">
            <v>0</v>
          </cell>
          <cell r="AQ3101">
            <v>0</v>
          </cell>
          <cell r="BA3101">
            <v>0</v>
          </cell>
          <cell r="BC3101">
            <v>0</v>
          </cell>
        </row>
        <row r="3102">
          <cell r="A3102">
            <v>0</v>
          </cell>
          <cell r="B3102">
            <v>0</v>
          </cell>
          <cell r="E3102">
            <v>0</v>
          </cell>
          <cell r="F3102">
            <v>0</v>
          </cell>
          <cell r="AO3102">
            <v>0</v>
          </cell>
          <cell r="AP3102">
            <v>0</v>
          </cell>
          <cell r="AQ3102">
            <v>0</v>
          </cell>
          <cell r="BA3102">
            <v>0</v>
          </cell>
          <cell r="BC3102">
            <v>0</v>
          </cell>
        </row>
        <row r="3103">
          <cell r="A3103">
            <v>0</v>
          </cell>
          <cell r="B3103">
            <v>0</v>
          </cell>
          <cell r="E3103">
            <v>0</v>
          </cell>
          <cell r="F3103">
            <v>0</v>
          </cell>
          <cell r="AO3103">
            <v>0</v>
          </cell>
          <cell r="AP3103">
            <v>0</v>
          </cell>
          <cell r="AQ3103">
            <v>0</v>
          </cell>
          <cell r="BA3103">
            <v>0</v>
          </cell>
          <cell r="BC3103">
            <v>0</v>
          </cell>
        </row>
        <row r="3104">
          <cell r="A3104">
            <v>0</v>
          </cell>
          <cell r="B3104">
            <v>0</v>
          </cell>
          <cell r="E3104">
            <v>0</v>
          </cell>
          <cell r="F3104">
            <v>0</v>
          </cell>
          <cell r="AO3104">
            <v>0</v>
          </cell>
          <cell r="AP3104">
            <v>0</v>
          </cell>
          <cell r="AQ3104">
            <v>0</v>
          </cell>
          <cell r="BA3104">
            <v>0</v>
          </cell>
          <cell r="BC3104">
            <v>0</v>
          </cell>
        </row>
        <row r="3105">
          <cell r="A3105">
            <v>0</v>
          </cell>
          <cell r="B3105">
            <v>0</v>
          </cell>
          <cell r="E3105">
            <v>0</v>
          </cell>
          <cell r="F3105">
            <v>0</v>
          </cell>
          <cell r="AO3105">
            <v>0</v>
          </cell>
          <cell r="AP3105">
            <v>0</v>
          </cell>
          <cell r="AQ3105">
            <v>0</v>
          </cell>
          <cell r="BA3105">
            <v>0</v>
          </cell>
          <cell r="BC3105">
            <v>0</v>
          </cell>
        </row>
        <row r="3106">
          <cell r="A3106">
            <v>0</v>
          </cell>
          <cell r="B3106">
            <v>0</v>
          </cell>
          <cell r="E3106">
            <v>0</v>
          </cell>
          <cell r="F3106">
            <v>0</v>
          </cell>
          <cell r="AO3106">
            <v>0</v>
          </cell>
          <cell r="AP3106">
            <v>0</v>
          </cell>
          <cell r="AQ3106">
            <v>0</v>
          </cell>
          <cell r="BA3106">
            <v>0</v>
          </cell>
          <cell r="BC3106">
            <v>0</v>
          </cell>
        </row>
        <row r="3107">
          <cell r="A3107">
            <v>0</v>
          </cell>
          <cell r="B3107">
            <v>0</v>
          </cell>
          <cell r="E3107">
            <v>0</v>
          </cell>
          <cell r="F3107">
            <v>0</v>
          </cell>
          <cell r="AO3107">
            <v>0</v>
          </cell>
          <cell r="AP3107">
            <v>0</v>
          </cell>
          <cell r="AQ3107">
            <v>0</v>
          </cell>
          <cell r="BA3107">
            <v>0</v>
          </cell>
          <cell r="BC3107">
            <v>0</v>
          </cell>
        </row>
        <row r="3108">
          <cell r="A3108">
            <v>0</v>
          </cell>
          <cell r="B3108">
            <v>0</v>
          </cell>
          <cell r="E3108">
            <v>0</v>
          </cell>
          <cell r="F3108">
            <v>0</v>
          </cell>
          <cell r="AO3108">
            <v>0</v>
          </cell>
          <cell r="AP3108">
            <v>0</v>
          </cell>
          <cell r="AQ3108">
            <v>0</v>
          </cell>
          <cell r="BA3108">
            <v>0</v>
          </cell>
          <cell r="BC3108">
            <v>0</v>
          </cell>
        </row>
        <row r="3109">
          <cell r="A3109">
            <v>0</v>
          </cell>
          <cell r="B3109">
            <v>0</v>
          </cell>
          <cell r="E3109">
            <v>0</v>
          </cell>
          <cell r="F3109">
            <v>0</v>
          </cell>
          <cell r="AO3109">
            <v>0</v>
          </cell>
          <cell r="AP3109">
            <v>0</v>
          </cell>
          <cell r="AQ3109">
            <v>0</v>
          </cell>
          <cell r="BA3109">
            <v>0</v>
          </cell>
          <cell r="BC3109">
            <v>0</v>
          </cell>
        </row>
        <row r="3110">
          <cell r="A3110">
            <v>0</v>
          </cell>
          <cell r="B3110">
            <v>0</v>
          </cell>
          <cell r="E3110">
            <v>0</v>
          </cell>
          <cell r="F3110">
            <v>0</v>
          </cell>
          <cell r="AO3110">
            <v>0</v>
          </cell>
          <cell r="AP3110">
            <v>0</v>
          </cell>
          <cell r="AQ3110">
            <v>0</v>
          </cell>
          <cell r="BA3110">
            <v>0</v>
          </cell>
          <cell r="BC3110">
            <v>0</v>
          </cell>
        </row>
        <row r="3111">
          <cell r="A3111">
            <v>0</v>
          </cell>
          <cell r="B3111">
            <v>0</v>
          </cell>
          <cell r="E3111">
            <v>0</v>
          </cell>
          <cell r="F3111">
            <v>0</v>
          </cell>
          <cell r="AO3111">
            <v>0</v>
          </cell>
          <cell r="AP3111">
            <v>0</v>
          </cell>
          <cell r="AQ3111">
            <v>0</v>
          </cell>
          <cell r="BA3111">
            <v>0</v>
          </cell>
          <cell r="BC3111">
            <v>0</v>
          </cell>
        </row>
        <row r="3112">
          <cell r="A3112">
            <v>0</v>
          </cell>
          <cell r="B3112">
            <v>0</v>
          </cell>
          <cell r="E3112">
            <v>0</v>
          </cell>
          <cell r="F3112">
            <v>0</v>
          </cell>
          <cell r="AO3112">
            <v>0</v>
          </cell>
          <cell r="AP3112">
            <v>0</v>
          </cell>
          <cell r="AQ3112">
            <v>0</v>
          </cell>
          <cell r="BA3112">
            <v>0</v>
          </cell>
          <cell r="BC3112">
            <v>0</v>
          </cell>
        </row>
        <row r="3113">
          <cell r="A3113">
            <v>0</v>
          </cell>
          <cell r="B3113">
            <v>0</v>
          </cell>
          <cell r="E3113">
            <v>0</v>
          </cell>
          <cell r="F3113">
            <v>0</v>
          </cell>
          <cell r="AO3113">
            <v>0</v>
          </cell>
          <cell r="AP3113">
            <v>0</v>
          </cell>
          <cell r="AQ3113">
            <v>0</v>
          </cell>
          <cell r="BA3113">
            <v>0</v>
          </cell>
          <cell r="BC3113">
            <v>0</v>
          </cell>
        </row>
        <row r="3114">
          <cell r="A3114">
            <v>0</v>
          </cell>
          <cell r="B3114">
            <v>0</v>
          </cell>
          <cell r="E3114">
            <v>0</v>
          </cell>
          <cell r="F3114">
            <v>0</v>
          </cell>
          <cell r="AO3114">
            <v>0</v>
          </cell>
          <cell r="AP3114">
            <v>0</v>
          </cell>
          <cell r="AQ3114">
            <v>0</v>
          </cell>
          <cell r="BA3114">
            <v>0</v>
          </cell>
          <cell r="BC3114">
            <v>0</v>
          </cell>
        </row>
        <row r="3115">
          <cell r="A3115">
            <v>0</v>
          </cell>
          <cell r="B3115">
            <v>0</v>
          </cell>
          <cell r="E3115">
            <v>0</v>
          </cell>
          <cell r="F3115">
            <v>0</v>
          </cell>
          <cell r="AO3115">
            <v>0</v>
          </cell>
          <cell r="AP3115">
            <v>0</v>
          </cell>
          <cell r="AQ3115">
            <v>0</v>
          </cell>
          <cell r="BA3115">
            <v>0</v>
          </cell>
          <cell r="BC3115">
            <v>0</v>
          </cell>
        </row>
        <row r="3116">
          <cell r="A3116">
            <v>0</v>
          </cell>
          <cell r="B3116">
            <v>0</v>
          </cell>
          <cell r="E3116">
            <v>0</v>
          </cell>
          <cell r="F3116">
            <v>0</v>
          </cell>
          <cell r="AO3116">
            <v>0</v>
          </cell>
          <cell r="AP3116">
            <v>0</v>
          </cell>
          <cell r="AQ3116">
            <v>0</v>
          </cell>
          <cell r="BA3116">
            <v>0</v>
          </cell>
          <cell r="BC3116">
            <v>0</v>
          </cell>
        </row>
        <row r="3117">
          <cell r="A3117">
            <v>0</v>
          </cell>
          <cell r="B3117">
            <v>0</v>
          </cell>
          <cell r="E3117">
            <v>0</v>
          </cell>
          <cell r="F3117">
            <v>0</v>
          </cell>
          <cell r="AO3117">
            <v>0</v>
          </cell>
          <cell r="AP3117">
            <v>0</v>
          </cell>
          <cell r="AQ3117">
            <v>0</v>
          </cell>
          <cell r="BA3117">
            <v>0</v>
          </cell>
          <cell r="BC3117">
            <v>0</v>
          </cell>
        </row>
        <row r="3118">
          <cell r="A3118">
            <v>0</v>
          </cell>
          <cell r="B3118">
            <v>0</v>
          </cell>
          <cell r="E3118">
            <v>0</v>
          </cell>
          <cell r="F3118">
            <v>0</v>
          </cell>
          <cell r="AO3118">
            <v>0</v>
          </cell>
          <cell r="AP3118">
            <v>0</v>
          </cell>
          <cell r="AQ3118">
            <v>0</v>
          </cell>
          <cell r="BA3118">
            <v>0</v>
          </cell>
          <cell r="BC3118">
            <v>0</v>
          </cell>
        </row>
        <row r="3119">
          <cell r="A3119">
            <v>0</v>
          </cell>
          <cell r="B3119">
            <v>0</v>
          </cell>
          <cell r="E3119">
            <v>0</v>
          </cell>
          <cell r="F3119">
            <v>0</v>
          </cell>
          <cell r="AO3119">
            <v>0</v>
          </cell>
          <cell r="AP3119">
            <v>0</v>
          </cell>
          <cell r="AQ3119">
            <v>0</v>
          </cell>
          <cell r="BA3119">
            <v>0</v>
          </cell>
          <cell r="BC3119">
            <v>0</v>
          </cell>
        </row>
        <row r="3120">
          <cell r="A3120">
            <v>0</v>
          </cell>
          <cell r="B3120">
            <v>0</v>
          </cell>
          <cell r="E3120">
            <v>0</v>
          </cell>
          <cell r="F3120">
            <v>0</v>
          </cell>
          <cell r="AO3120">
            <v>0</v>
          </cell>
          <cell r="AP3120">
            <v>0</v>
          </cell>
          <cell r="AQ3120">
            <v>0</v>
          </cell>
          <cell r="BA3120">
            <v>0</v>
          </cell>
          <cell r="BC3120">
            <v>0</v>
          </cell>
        </row>
        <row r="3121">
          <cell r="A3121">
            <v>0</v>
          </cell>
          <cell r="B3121">
            <v>0</v>
          </cell>
          <cell r="E3121">
            <v>0</v>
          </cell>
          <cell r="F3121">
            <v>0</v>
          </cell>
          <cell r="AO3121">
            <v>0</v>
          </cell>
          <cell r="AP3121">
            <v>0</v>
          </cell>
          <cell r="AQ3121">
            <v>0</v>
          </cell>
          <cell r="BA3121">
            <v>0</v>
          </cell>
          <cell r="BC3121">
            <v>0</v>
          </cell>
        </row>
        <row r="3122">
          <cell r="A3122">
            <v>0</v>
          </cell>
          <cell r="B3122">
            <v>0</v>
          </cell>
          <cell r="E3122">
            <v>0</v>
          </cell>
          <cell r="F3122">
            <v>0</v>
          </cell>
          <cell r="AO3122">
            <v>0</v>
          </cell>
          <cell r="AP3122">
            <v>0</v>
          </cell>
          <cell r="AQ3122">
            <v>0</v>
          </cell>
          <cell r="BA3122">
            <v>0</v>
          </cell>
          <cell r="BC3122">
            <v>0</v>
          </cell>
        </row>
        <row r="3123">
          <cell r="A3123">
            <v>0</v>
          </cell>
          <cell r="B3123">
            <v>0</v>
          </cell>
          <cell r="E3123">
            <v>0</v>
          </cell>
          <cell r="F3123">
            <v>0</v>
          </cell>
          <cell r="AO3123">
            <v>0</v>
          </cell>
          <cell r="AP3123">
            <v>0</v>
          </cell>
          <cell r="AQ3123">
            <v>0</v>
          </cell>
          <cell r="BA3123">
            <v>0</v>
          </cell>
          <cell r="BC3123">
            <v>0</v>
          </cell>
        </row>
        <row r="3124">
          <cell r="A3124">
            <v>0</v>
          </cell>
          <cell r="B3124">
            <v>0</v>
          </cell>
          <cell r="E3124">
            <v>0</v>
          </cell>
          <cell r="F3124">
            <v>0</v>
          </cell>
          <cell r="AO3124">
            <v>0</v>
          </cell>
          <cell r="AP3124">
            <v>0</v>
          </cell>
          <cell r="AQ3124">
            <v>0</v>
          </cell>
          <cell r="BA3124">
            <v>0</v>
          </cell>
          <cell r="BC3124">
            <v>0</v>
          </cell>
        </row>
        <row r="3125">
          <cell r="A3125">
            <v>0</v>
          </cell>
          <cell r="B3125">
            <v>0</v>
          </cell>
          <cell r="E3125">
            <v>0</v>
          </cell>
          <cell r="F3125">
            <v>0</v>
          </cell>
          <cell r="AO3125">
            <v>0</v>
          </cell>
          <cell r="AP3125">
            <v>0</v>
          </cell>
          <cell r="AQ3125">
            <v>0</v>
          </cell>
          <cell r="BA3125">
            <v>0</v>
          </cell>
          <cell r="BC3125">
            <v>0</v>
          </cell>
        </row>
        <row r="3126">
          <cell r="A3126">
            <v>0</v>
          </cell>
          <cell r="B3126">
            <v>0</v>
          </cell>
          <cell r="E3126">
            <v>0</v>
          </cell>
          <cell r="F3126">
            <v>0</v>
          </cell>
          <cell r="AO3126">
            <v>0</v>
          </cell>
          <cell r="AP3126">
            <v>0</v>
          </cell>
          <cell r="AQ3126">
            <v>0</v>
          </cell>
          <cell r="BA3126">
            <v>0</v>
          </cell>
          <cell r="BC3126">
            <v>0</v>
          </cell>
        </row>
        <row r="3127">
          <cell r="A3127">
            <v>0</v>
          </cell>
          <cell r="B3127">
            <v>0</v>
          </cell>
          <cell r="E3127">
            <v>0</v>
          </cell>
          <cell r="F3127">
            <v>0</v>
          </cell>
          <cell r="AO3127">
            <v>0</v>
          </cell>
          <cell r="AP3127">
            <v>0</v>
          </cell>
          <cell r="AQ3127">
            <v>0</v>
          </cell>
          <cell r="BA3127">
            <v>0</v>
          </cell>
          <cell r="BC3127">
            <v>0</v>
          </cell>
        </row>
        <row r="3128">
          <cell r="A3128">
            <v>0</v>
          </cell>
          <cell r="B3128">
            <v>0</v>
          </cell>
          <cell r="E3128">
            <v>0</v>
          </cell>
          <cell r="F3128">
            <v>0</v>
          </cell>
          <cell r="AO3128">
            <v>0</v>
          </cell>
          <cell r="AP3128">
            <v>0</v>
          </cell>
          <cell r="AQ3128">
            <v>0</v>
          </cell>
          <cell r="BA3128">
            <v>0</v>
          </cell>
          <cell r="BC3128">
            <v>0</v>
          </cell>
        </row>
        <row r="3129">
          <cell r="A3129">
            <v>0</v>
          </cell>
          <cell r="B3129">
            <v>0</v>
          </cell>
          <cell r="E3129">
            <v>0</v>
          </cell>
          <cell r="F3129">
            <v>0</v>
          </cell>
          <cell r="AO3129">
            <v>0</v>
          </cell>
          <cell r="AP3129">
            <v>0</v>
          </cell>
          <cell r="AQ3129">
            <v>0</v>
          </cell>
          <cell r="BA3129">
            <v>0</v>
          </cell>
          <cell r="BC3129">
            <v>0</v>
          </cell>
        </row>
        <row r="3130">
          <cell r="A3130">
            <v>0</v>
          </cell>
          <cell r="B3130">
            <v>0</v>
          </cell>
          <cell r="E3130">
            <v>0</v>
          </cell>
          <cell r="F3130">
            <v>0</v>
          </cell>
          <cell r="AO3130">
            <v>0</v>
          </cell>
          <cell r="AP3130">
            <v>0</v>
          </cell>
          <cell r="AQ3130">
            <v>0</v>
          </cell>
          <cell r="BA3130">
            <v>0</v>
          </cell>
          <cell r="BC3130">
            <v>0</v>
          </cell>
        </row>
        <row r="3131">
          <cell r="A3131">
            <v>0</v>
          </cell>
          <cell r="B3131">
            <v>0</v>
          </cell>
          <cell r="E3131">
            <v>0</v>
          </cell>
          <cell r="F3131">
            <v>0</v>
          </cell>
          <cell r="AO3131">
            <v>0</v>
          </cell>
          <cell r="AP3131">
            <v>0</v>
          </cell>
          <cell r="AQ3131">
            <v>0</v>
          </cell>
          <cell r="BA3131">
            <v>0</v>
          </cell>
          <cell r="BC3131">
            <v>0</v>
          </cell>
        </row>
        <row r="3132">
          <cell r="A3132">
            <v>0</v>
          </cell>
          <cell r="B3132">
            <v>0</v>
          </cell>
          <cell r="E3132">
            <v>0</v>
          </cell>
          <cell r="F3132">
            <v>0</v>
          </cell>
          <cell r="AO3132">
            <v>0</v>
          </cell>
          <cell r="AP3132">
            <v>0</v>
          </cell>
          <cell r="AQ3132">
            <v>0</v>
          </cell>
          <cell r="BA3132">
            <v>0</v>
          </cell>
          <cell r="BC3132">
            <v>0</v>
          </cell>
        </row>
        <row r="3133">
          <cell r="A3133">
            <v>0</v>
          </cell>
          <cell r="B3133">
            <v>0</v>
          </cell>
          <cell r="E3133">
            <v>0</v>
          </cell>
          <cell r="F3133">
            <v>0</v>
          </cell>
          <cell r="AO3133">
            <v>0</v>
          </cell>
          <cell r="AP3133">
            <v>0</v>
          </cell>
          <cell r="AQ3133">
            <v>0</v>
          </cell>
          <cell r="BA3133">
            <v>0</v>
          </cell>
          <cell r="BC3133">
            <v>0</v>
          </cell>
        </row>
        <row r="3134">
          <cell r="A3134">
            <v>0</v>
          </cell>
          <cell r="B3134">
            <v>0</v>
          </cell>
          <cell r="E3134">
            <v>0</v>
          </cell>
          <cell r="F3134">
            <v>0</v>
          </cell>
          <cell r="AO3134">
            <v>0</v>
          </cell>
          <cell r="AP3134">
            <v>0</v>
          </cell>
          <cell r="AQ3134">
            <v>0</v>
          </cell>
          <cell r="BA3134">
            <v>0</v>
          </cell>
          <cell r="BC3134">
            <v>0</v>
          </cell>
        </row>
        <row r="3135">
          <cell r="A3135">
            <v>0</v>
          </cell>
          <cell r="B3135">
            <v>0</v>
          </cell>
          <cell r="E3135">
            <v>0</v>
          </cell>
          <cell r="F3135">
            <v>0</v>
          </cell>
          <cell r="AO3135">
            <v>0</v>
          </cell>
          <cell r="AP3135">
            <v>0</v>
          </cell>
          <cell r="AQ3135">
            <v>0</v>
          </cell>
          <cell r="BA3135">
            <v>0</v>
          </cell>
          <cell r="BC3135">
            <v>0</v>
          </cell>
        </row>
        <row r="3136">
          <cell r="A3136">
            <v>0</v>
          </cell>
          <cell r="B3136">
            <v>0</v>
          </cell>
          <cell r="E3136">
            <v>0</v>
          </cell>
          <cell r="F3136">
            <v>0</v>
          </cell>
          <cell r="AO3136">
            <v>0</v>
          </cell>
          <cell r="AP3136">
            <v>0</v>
          </cell>
          <cell r="AQ3136">
            <v>0</v>
          </cell>
          <cell r="BA3136">
            <v>0</v>
          </cell>
          <cell r="BC3136">
            <v>0</v>
          </cell>
        </row>
        <row r="3137">
          <cell r="A3137">
            <v>0</v>
          </cell>
          <cell r="B3137">
            <v>0</v>
          </cell>
          <cell r="E3137">
            <v>0</v>
          </cell>
          <cell r="F3137">
            <v>0</v>
          </cell>
          <cell r="AO3137">
            <v>0</v>
          </cell>
          <cell r="AP3137">
            <v>0</v>
          </cell>
          <cell r="AQ3137">
            <v>0</v>
          </cell>
          <cell r="BA3137">
            <v>0</v>
          </cell>
          <cell r="BC3137">
            <v>0</v>
          </cell>
        </row>
        <row r="3138">
          <cell r="A3138">
            <v>0</v>
          </cell>
          <cell r="B3138">
            <v>0</v>
          </cell>
          <cell r="E3138">
            <v>0</v>
          </cell>
          <cell r="F3138">
            <v>0</v>
          </cell>
          <cell r="AO3138">
            <v>0</v>
          </cell>
          <cell r="AP3138">
            <v>0</v>
          </cell>
          <cell r="AQ3138">
            <v>0</v>
          </cell>
          <cell r="BA3138">
            <v>0</v>
          </cell>
          <cell r="BC3138">
            <v>0</v>
          </cell>
        </row>
        <row r="3139">
          <cell r="A3139">
            <v>0</v>
          </cell>
          <cell r="B3139">
            <v>0</v>
          </cell>
          <cell r="E3139">
            <v>0</v>
          </cell>
          <cell r="F3139">
            <v>0</v>
          </cell>
          <cell r="AO3139">
            <v>0</v>
          </cell>
          <cell r="AP3139">
            <v>0</v>
          </cell>
          <cell r="AQ3139">
            <v>0</v>
          </cell>
          <cell r="BA3139">
            <v>0</v>
          </cell>
          <cell r="BC3139">
            <v>0</v>
          </cell>
        </row>
        <row r="3140">
          <cell r="A3140">
            <v>0</v>
          </cell>
          <cell r="B3140">
            <v>0</v>
          </cell>
          <cell r="E3140">
            <v>0</v>
          </cell>
          <cell r="F3140">
            <v>0</v>
          </cell>
          <cell r="AO3140">
            <v>0</v>
          </cell>
          <cell r="AP3140">
            <v>0</v>
          </cell>
          <cell r="AQ3140">
            <v>0</v>
          </cell>
          <cell r="BA3140">
            <v>0</v>
          </cell>
          <cell r="BC3140">
            <v>0</v>
          </cell>
        </row>
        <row r="3141">
          <cell r="A3141">
            <v>0</v>
          </cell>
          <cell r="B3141">
            <v>0</v>
          </cell>
          <cell r="E3141">
            <v>0</v>
          </cell>
          <cell r="F3141">
            <v>0</v>
          </cell>
          <cell r="AO3141">
            <v>0</v>
          </cell>
          <cell r="AP3141">
            <v>0</v>
          </cell>
          <cell r="AQ3141">
            <v>0</v>
          </cell>
          <cell r="BA3141">
            <v>0</v>
          </cell>
          <cell r="BC3141">
            <v>0</v>
          </cell>
        </row>
        <row r="3142">
          <cell r="A3142">
            <v>0</v>
          </cell>
          <cell r="B3142">
            <v>0</v>
          </cell>
          <cell r="E3142">
            <v>0</v>
          </cell>
          <cell r="F3142">
            <v>0</v>
          </cell>
          <cell r="AO3142">
            <v>0</v>
          </cell>
          <cell r="AP3142">
            <v>0</v>
          </cell>
          <cell r="AQ3142">
            <v>0</v>
          </cell>
          <cell r="BA3142">
            <v>0</v>
          </cell>
          <cell r="BC3142">
            <v>0</v>
          </cell>
        </row>
        <row r="3143">
          <cell r="A3143">
            <v>0</v>
          </cell>
          <cell r="B3143">
            <v>0</v>
          </cell>
          <cell r="E3143">
            <v>0</v>
          </cell>
          <cell r="F3143">
            <v>0</v>
          </cell>
          <cell r="AO3143">
            <v>0</v>
          </cell>
          <cell r="AP3143">
            <v>0</v>
          </cell>
          <cell r="AQ3143">
            <v>0</v>
          </cell>
          <cell r="BA3143">
            <v>0</v>
          </cell>
          <cell r="BC3143">
            <v>0</v>
          </cell>
        </row>
        <row r="3144">
          <cell r="A3144">
            <v>0</v>
          </cell>
          <cell r="B3144">
            <v>0</v>
          </cell>
          <cell r="E3144">
            <v>0</v>
          </cell>
          <cell r="F3144">
            <v>0</v>
          </cell>
          <cell r="AO3144">
            <v>0</v>
          </cell>
          <cell r="AP3144">
            <v>0</v>
          </cell>
          <cell r="AQ3144">
            <v>0</v>
          </cell>
          <cell r="BA3144">
            <v>0</v>
          </cell>
          <cell r="BC3144">
            <v>0</v>
          </cell>
        </row>
        <row r="3145">
          <cell r="A3145">
            <v>0</v>
          </cell>
          <cell r="B3145">
            <v>0</v>
          </cell>
          <cell r="E3145">
            <v>0</v>
          </cell>
          <cell r="F3145">
            <v>0</v>
          </cell>
          <cell r="AO3145">
            <v>0</v>
          </cell>
          <cell r="AP3145">
            <v>0</v>
          </cell>
          <cell r="AQ3145">
            <v>0</v>
          </cell>
          <cell r="BA3145">
            <v>0</v>
          </cell>
          <cell r="BC3145">
            <v>0</v>
          </cell>
        </row>
        <row r="3146">
          <cell r="A3146">
            <v>0</v>
          </cell>
          <cell r="B3146">
            <v>0</v>
          </cell>
          <cell r="E3146">
            <v>0</v>
          </cell>
          <cell r="F3146">
            <v>0</v>
          </cell>
          <cell r="AO3146">
            <v>0</v>
          </cell>
          <cell r="AP3146">
            <v>0</v>
          </cell>
          <cell r="AQ3146">
            <v>0</v>
          </cell>
          <cell r="BA3146">
            <v>0</v>
          </cell>
          <cell r="BC3146">
            <v>0</v>
          </cell>
        </row>
        <row r="3147">
          <cell r="A3147">
            <v>0</v>
          </cell>
          <cell r="B3147">
            <v>0</v>
          </cell>
          <cell r="E3147">
            <v>0</v>
          </cell>
          <cell r="F3147">
            <v>0</v>
          </cell>
          <cell r="AO3147">
            <v>0</v>
          </cell>
          <cell r="AP3147">
            <v>0</v>
          </cell>
          <cell r="AQ3147">
            <v>0</v>
          </cell>
          <cell r="BA3147">
            <v>0</v>
          </cell>
          <cell r="BC3147">
            <v>0</v>
          </cell>
        </row>
        <row r="3148">
          <cell r="A3148">
            <v>0</v>
          </cell>
          <cell r="B3148">
            <v>0</v>
          </cell>
          <cell r="E3148">
            <v>0</v>
          </cell>
          <cell r="F3148">
            <v>0</v>
          </cell>
          <cell r="AO3148">
            <v>0</v>
          </cell>
          <cell r="AP3148">
            <v>0</v>
          </cell>
          <cell r="AQ3148">
            <v>0</v>
          </cell>
          <cell r="BA3148">
            <v>0</v>
          </cell>
          <cell r="BC3148">
            <v>0</v>
          </cell>
        </row>
        <row r="3149">
          <cell r="A3149">
            <v>0</v>
          </cell>
          <cell r="B3149">
            <v>0</v>
          </cell>
          <cell r="E3149">
            <v>0</v>
          </cell>
          <cell r="F3149">
            <v>0</v>
          </cell>
          <cell r="AO3149">
            <v>0</v>
          </cell>
          <cell r="AP3149">
            <v>0</v>
          </cell>
          <cell r="AQ3149">
            <v>0</v>
          </cell>
          <cell r="BA3149">
            <v>0</v>
          </cell>
          <cell r="BC3149">
            <v>0</v>
          </cell>
        </row>
        <row r="3150">
          <cell r="A3150">
            <v>0</v>
          </cell>
          <cell r="B3150">
            <v>0</v>
          </cell>
          <cell r="E3150">
            <v>0</v>
          </cell>
          <cell r="F3150">
            <v>0</v>
          </cell>
          <cell r="AO3150">
            <v>0</v>
          </cell>
          <cell r="AP3150">
            <v>0</v>
          </cell>
          <cell r="AQ3150">
            <v>0</v>
          </cell>
          <cell r="BA3150">
            <v>0</v>
          </cell>
          <cell r="BC3150">
            <v>0</v>
          </cell>
        </row>
        <row r="3151">
          <cell r="A3151">
            <v>0</v>
          </cell>
          <cell r="B3151">
            <v>0</v>
          </cell>
          <cell r="E3151">
            <v>0</v>
          </cell>
          <cell r="F3151">
            <v>0</v>
          </cell>
          <cell r="AO3151">
            <v>0</v>
          </cell>
          <cell r="AP3151">
            <v>0</v>
          </cell>
          <cell r="AQ3151">
            <v>0</v>
          </cell>
          <cell r="BA3151">
            <v>0</v>
          </cell>
          <cell r="BC3151">
            <v>0</v>
          </cell>
        </row>
        <row r="3152">
          <cell r="A3152">
            <v>0</v>
          </cell>
          <cell r="B3152">
            <v>0</v>
          </cell>
          <cell r="E3152">
            <v>0</v>
          </cell>
          <cell r="F3152">
            <v>0</v>
          </cell>
          <cell r="AO3152">
            <v>0</v>
          </cell>
          <cell r="AP3152">
            <v>0</v>
          </cell>
          <cell r="AQ3152">
            <v>0</v>
          </cell>
          <cell r="BA3152">
            <v>0</v>
          </cell>
          <cell r="BC3152">
            <v>0</v>
          </cell>
        </row>
        <row r="3153">
          <cell r="A3153">
            <v>0</v>
          </cell>
          <cell r="B3153">
            <v>0</v>
          </cell>
          <cell r="E3153">
            <v>0</v>
          </cell>
          <cell r="F3153">
            <v>0</v>
          </cell>
          <cell r="AO3153">
            <v>0</v>
          </cell>
          <cell r="AP3153">
            <v>0</v>
          </cell>
          <cell r="AQ3153">
            <v>0</v>
          </cell>
          <cell r="BA3153">
            <v>0</v>
          </cell>
          <cell r="BC3153">
            <v>0</v>
          </cell>
        </row>
        <row r="3154">
          <cell r="A3154">
            <v>0</v>
          </cell>
          <cell r="B3154">
            <v>0</v>
          </cell>
          <cell r="E3154">
            <v>0</v>
          </cell>
          <cell r="F3154">
            <v>0</v>
          </cell>
          <cell r="AO3154">
            <v>0</v>
          </cell>
          <cell r="AP3154">
            <v>0</v>
          </cell>
          <cell r="AQ3154">
            <v>0</v>
          </cell>
          <cell r="BA3154">
            <v>0</v>
          </cell>
          <cell r="BC3154">
            <v>0</v>
          </cell>
        </row>
        <row r="3155">
          <cell r="A3155">
            <v>0</v>
          </cell>
          <cell r="B3155">
            <v>0</v>
          </cell>
          <cell r="E3155">
            <v>0</v>
          </cell>
          <cell r="F3155">
            <v>0</v>
          </cell>
          <cell r="AO3155">
            <v>0</v>
          </cell>
          <cell r="AP3155">
            <v>0</v>
          </cell>
          <cell r="AQ3155">
            <v>0</v>
          </cell>
          <cell r="BA3155">
            <v>0</v>
          </cell>
          <cell r="BC3155">
            <v>0</v>
          </cell>
        </row>
        <row r="3156">
          <cell r="A3156">
            <v>0</v>
          </cell>
          <cell r="B3156">
            <v>0</v>
          </cell>
          <cell r="E3156">
            <v>0</v>
          </cell>
          <cell r="F3156">
            <v>0</v>
          </cell>
          <cell r="AO3156">
            <v>0</v>
          </cell>
          <cell r="AP3156">
            <v>0</v>
          </cell>
          <cell r="AQ3156">
            <v>0</v>
          </cell>
          <cell r="BA3156">
            <v>0</v>
          </cell>
          <cell r="BC3156">
            <v>0</v>
          </cell>
        </row>
        <row r="3157">
          <cell r="A3157">
            <v>0</v>
          </cell>
          <cell r="B3157">
            <v>0</v>
          </cell>
          <cell r="E3157">
            <v>0</v>
          </cell>
          <cell r="F3157">
            <v>0</v>
          </cell>
          <cell r="AO3157">
            <v>0</v>
          </cell>
          <cell r="AP3157">
            <v>0</v>
          </cell>
          <cell r="AQ3157">
            <v>0</v>
          </cell>
          <cell r="BA3157">
            <v>0</v>
          </cell>
          <cell r="BC3157">
            <v>0</v>
          </cell>
        </row>
        <row r="3158">
          <cell r="A3158">
            <v>0</v>
          </cell>
          <cell r="B3158">
            <v>0</v>
          </cell>
          <cell r="E3158">
            <v>0</v>
          </cell>
          <cell r="F3158">
            <v>0</v>
          </cell>
          <cell r="AO3158">
            <v>0</v>
          </cell>
          <cell r="AP3158">
            <v>0</v>
          </cell>
          <cell r="AQ3158">
            <v>0</v>
          </cell>
          <cell r="BA3158">
            <v>0</v>
          </cell>
          <cell r="BC3158">
            <v>0</v>
          </cell>
        </row>
        <row r="3159">
          <cell r="A3159">
            <v>0</v>
          </cell>
          <cell r="B3159">
            <v>0</v>
          </cell>
          <cell r="E3159">
            <v>0</v>
          </cell>
          <cell r="F3159">
            <v>0</v>
          </cell>
          <cell r="AO3159">
            <v>0</v>
          </cell>
          <cell r="AP3159">
            <v>0</v>
          </cell>
          <cell r="AQ3159">
            <v>0</v>
          </cell>
          <cell r="BA3159">
            <v>0</v>
          </cell>
          <cell r="BC3159">
            <v>0</v>
          </cell>
        </row>
        <row r="3160">
          <cell r="A3160">
            <v>0</v>
          </cell>
          <cell r="B3160">
            <v>0</v>
          </cell>
          <cell r="E3160">
            <v>0</v>
          </cell>
          <cell r="F3160">
            <v>0</v>
          </cell>
          <cell r="AO3160">
            <v>0</v>
          </cell>
          <cell r="AP3160">
            <v>0</v>
          </cell>
          <cell r="AQ3160">
            <v>0</v>
          </cell>
          <cell r="BA3160">
            <v>0</v>
          </cell>
          <cell r="BC3160">
            <v>0</v>
          </cell>
        </row>
        <row r="3161">
          <cell r="A3161">
            <v>0</v>
          </cell>
          <cell r="B3161">
            <v>0</v>
          </cell>
          <cell r="E3161">
            <v>0</v>
          </cell>
          <cell r="F3161">
            <v>0</v>
          </cell>
          <cell r="AO3161">
            <v>0</v>
          </cell>
          <cell r="AP3161">
            <v>0</v>
          </cell>
          <cell r="AQ3161">
            <v>0</v>
          </cell>
          <cell r="BA3161">
            <v>0</v>
          </cell>
          <cell r="BC3161">
            <v>0</v>
          </cell>
        </row>
        <row r="3162">
          <cell r="A3162">
            <v>0</v>
          </cell>
          <cell r="B3162">
            <v>0</v>
          </cell>
          <cell r="E3162">
            <v>0</v>
          </cell>
          <cell r="F3162">
            <v>0</v>
          </cell>
          <cell r="AO3162">
            <v>0</v>
          </cell>
          <cell r="AP3162">
            <v>0</v>
          </cell>
          <cell r="AQ3162">
            <v>0</v>
          </cell>
          <cell r="BA3162">
            <v>0</v>
          </cell>
          <cell r="BC3162">
            <v>0</v>
          </cell>
        </row>
        <row r="3163">
          <cell r="A3163">
            <v>0</v>
          </cell>
          <cell r="B3163">
            <v>0</v>
          </cell>
          <cell r="E3163">
            <v>0</v>
          </cell>
          <cell r="F3163">
            <v>0</v>
          </cell>
          <cell r="AO3163">
            <v>0</v>
          </cell>
          <cell r="AP3163">
            <v>0</v>
          </cell>
          <cell r="AQ3163">
            <v>0</v>
          </cell>
          <cell r="BA3163">
            <v>0</v>
          </cell>
          <cell r="BC3163">
            <v>0</v>
          </cell>
        </row>
        <row r="3164">
          <cell r="A3164">
            <v>0</v>
          </cell>
          <cell r="B3164">
            <v>0</v>
          </cell>
          <cell r="E3164">
            <v>0</v>
          </cell>
          <cell r="F3164">
            <v>0</v>
          </cell>
          <cell r="AO3164">
            <v>0</v>
          </cell>
          <cell r="AP3164">
            <v>0</v>
          </cell>
          <cell r="AQ3164">
            <v>0</v>
          </cell>
          <cell r="BA3164">
            <v>0</v>
          </cell>
          <cell r="BC3164">
            <v>0</v>
          </cell>
        </row>
        <row r="3165">
          <cell r="A3165">
            <v>0</v>
          </cell>
          <cell r="B3165">
            <v>0</v>
          </cell>
          <cell r="E3165">
            <v>0</v>
          </cell>
          <cell r="F3165">
            <v>0</v>
          </cell>
          <cell r="AO3165">
            <v>0</v>
          </cell>
          <cell r="AP3165">
            <v>0</v>
          </cell>
          <cell r="AQ3165">
            <v>0</v>
          </cell>
          <cell r="BA3165">
            <v>0</v>
          </cell>
          <cell r="BC3165">
            <v>0</v>
          </cell>
        </row>
        <row r="3166">
          <cell r="A3166">
            <v>0</v>
          </cell>
          <cell r="B3166">
            <v>0</v>
          </cell>
          <cell r="E3166">
            <v>0</v>
          </cell>
          <cell r="F3166">
            <v>0</v>
          </cell>
          <cell r="AO3166">
            <v>0</v>
          </cell>
          <cell r="AP3166">
            <v>0</v>
          </cell>
          <cell r="AQ3166">
            <v>0</v>
          </cell>
          <cell r="BA3166">
            <v>0</v>
          </cell>
          <cell r="BC3166">
            <v>0</v>
          </cell>
        </row>
        <row r="3167">
          <cell r="A3167">
            <v>0</v>
          </cell>
          <cell r="B3167">
            <v>0</v>
          </cell>
          <cell r="E3167">
            <v>0</v>
          </cell>
          <cell r="F3167">
            <v>0</v>
          </cell>
          <cell r="AO3167">
            <v>0</v>
          </cell>
          <cell r="AP3167">
            <v>0</v>
          </cell>
          <cell r="AQ3167">
            <v>0</v>
          </cell>
          <cell r="BA3167">
            <v>0</v>
          </cell>
          <cell r="BC3167">
            <v>0</v>
          </cell>
        </row>
        <row r="3168">
          <cell r="A3168">
            <v>0</v>
          </cell>
          <cell r="B3168">
            <v>0</v>
          </cell>
          <cell r="E3168">
            <v>0</v>
          </cell>
          <cell r="F3168">
            <v>0</v>
          </cell>
          <cell r="AO3168">
            <v>0</v>
          </cell>
          <cell r="AP3168">
            <v>0</v>
          </cell>
          <cell r="AQ3168">
            <v>0</v>
          </cell>
          <cell r="BA3168">
            <v>0</v>
          </cell>
          <cell r="BC3168">
            <v>0</v>
          </cell>
        </row>
        <row r="3169">
          <cell r="A3169">
            <v>0</v>
          </cell>
          <cell r="B3169">
            <v>0</v>
          </cell>
          <cell r="E3169">
            <v>0</v>
          </cell>
          <cell r="F3169">
            <v>0</v>
          </cell>
          <cell r="AO3169">
            <v>0</v>
          </cell>
          <cell r="AP3169">
            <v>0</v>
          </cell>
          <cell r="AQ3169">
            <v>0</v>
          </cell>
          <cell r="BA3169">
            <v>0</v>
          </cell>
          <cell r="BC3169">
            <v>0</v>
          </cell>
        </row>
        <row r="3170">
          <cell r="A3170">
            <v>0</v>
          </cell>
          <cell r="B3170">
            <v>0</v>
          </cell>
          <cell r="E3170">
            <v>0</v>
          </cell>
          <cell r="F3170">
            <v>0</v>
          </cell>
          <cell r="AO3170">
            <v>0</v>
          </cell>
          <cell r="AP3170">
            <v>0</v>
          </cell>
          <cell r="AQ3170">
            <v>0</v>
          </cell>
          <cell r="BA3170">
            <v>0</v>
          </cell>
          <cell r="BC3170">
            <v>0</v>
          </cell>
        </row>
        <row r="3171">
          <cell r="A3171">
            <v>0</v>
          </cell>
          <cell r="B3171">
            <v>0</v>
          </cell>
          <cell r="E3171">
            <v>0</v>
          </cell>
          <cell r="F3171">
            <v>0</v>
          </cell>
          <cell r="AO3171">
            <v>0</v>
          </cell>
          <cell r="AP3171">
            <v>0</v>
          </cell>
          <cell r="AQ3171">
            <v>0</v>
          </cell>
          <cell r="BA3171">
            <v>0</v>
          </cell>
          <cell r="BC3171">
            <v>0</v>
          </cell>
        </row>
        <row r="3172">
          <cell r="A3172">
            <v>0</v>
          </cell>
          <cell r="B3172">
            <v>0</v>
          </cell>
          <cell r="E3172">
            <v>0</v>
          </cell>
          <cell r="F3172">
            <v>0</v>
          </cell>
          <cell r="AO3172">
            <v>0</v>
          </cell>
          <cell r="AP3172">
            <v>0</v>
          </cell>
          <cell r="AQ3172">
            <v>0</v>
          </cell>
          <cell r="BA3172">
            <v>0</v>
          </cell>
          <cell r="BC3172">
            <v>0</v>
          </cell>
        </row>
        <row r="3173">
          <cell r="A3173">
            <v>0</v>
          </cell>
          <cell r="B3173">
            <v>0</v>
          </cell>
          <cell r="E3173">
            <v>0</v>
          </cell>
          <cell r="F3173">
            <v>0</v>
          </cell>
          <cell r="AO3173">
            <v>0</v>
          </cell>
          <cell r="AP3173">
            <v>0</v>
          </cell>
          <cell r="AQ3173">
            <v>0</v>
          </cell>
          <cell r="BA3173">
            <v>0</v>
          </cell>
          <cell r="BC3173">
            <v>0</v>
          </cell>
        </row>
        <row r="3174">
          <cell r="A3174">
            <v>0</v>
          </cell>
          <cell r="B3174">
            <v>0</v>
          </cell>
          <cell r="E3174">
            <v>0</v>
          </cell>
          <cell r="F3174">
            <v>0</v>
          </cell>
          <cell r="AO3174">
            <v>0</v>
          </cell>
          <cell r="AP3174">
            <v>0</v>
          </cell>
          <cell r="AQ3174">
            <v>0</v>
          </cell>
          <cell r="BA3174">
            <v>0</v>
          </cell>
          <cell r="BC3174">
            <v>0</v>
          </cell>
        </row>
        <row r="3175">
          <cell r="A3175">
            <v>0</v>
          </cell>
          <cell r="B3175">
            <v>0</v>
          </cell>
          <cell r="E3175">
            <v>0</v>
          </cell>
          <cell r="F3175">
            <v>0</v>
          </cell>
          <cell r="AO3175">
            <v>0</v>
          </cell>
          <cell r="AP3175">
            <v>0</v>
          </cell>
          <cell r="AQ3175">
            <v>0</v>
          </cell>
          <cell r="BA3175">
            <v>0</v>
          </cell>
          <cell r="BC3175">
            <v>0</v>
          </cell>
        </row>
        <row r="3176">
          <cell r="A3176">
            <v>0</v>
          </cell>
          <cell r="B3176">
            <v>0</v>
          </cell>
          <cell r="E3176">
            <v>0</v>
          </cell>
          <cell r="F3176">
            <v>0</v>
          </cell>
          <cell r="AO3176">
            <v>0</v>
          </cell>
          <cell r="AP3176">
            <v>0</v>
          </cell>
          <cell r="AQ3176">
            <v>0</v>
          </cell>
          <cell r="BA3176">
            <v>0</v>
          </cell>
          <cell r="BC3176">
            <v>0</v>
          </cell>
        </row>
        <row r="3177">
          <cell r="A3177">
            <v>0</v>
          </cell>
          <cell r="B3177">
            <v>0</v>
          </cell>
          <cell r="E3177">
            <v>0</v>
          </cell>
          <cell r="F3177">
            <v>0</v>
          </cell>
          <cell r="AO3177">
            <v>0</v>
          </cell>
          <cell r="AP3177">
            <v>0</v>
          </cell>
          <cell r="AQ3177">
            <v>0</v>
          </cell>
          <cell r="BA3177">
            <v>0</v>
          </cell>
          <cell r="BC3177">
            <v>0</v>
          </cell>
        </row>
        <row r="3178">
          <cell r="A3178">
            <v>0</v>
          </cell>
          <cell r="B3178">
            <v>0</v>
          </cell>
          <cell r="E3178">
            <v>0</v>
          </cell>
          <cell r="F3178">
            <v>0</v>
          </cell>
          <cell r="AO3178">
            <v>0</v>
          </cell>
          <cell r="AP3178">
            <v>0</v>
          </cell>
          <cell r="AQ3178">
            <v>0</v>
          </cell>
          <cell r="BA3178">
            <v>0</v>
          </cell>
          <cell r="BC3178">
            <v>0</v>
          </cell>
        </row>
        <row r="3179">
          <cell r="A3179">
            <v>0</v>
          </cell>
          <cell r="B3179">
            <v>0</v>
          </cell>
          <cell r="E3179">
            <v>0</v>
          </cell>
          <cell r="F3179">
            <v>0</v>
          </cell>
          <cell r="AO3179">
            <v>0</v>
          </cell>
          <cell r="AP3179">
            <v>0</v>
          </cell>
          <cell r="AQ3179">
            <v>0</v>
          </cell>
          <cell r="BA3179">
            <v>0</v>
          </cell>
          <cell r="BC3179">
            <v>0</v>
          </cell>
        </row>
        <row r="3180">
          <cell r="A3180">
            <v>0</v>
          </cell>
          <cell r="B3180">
            <v>0</v>
          </cell>
          <cell r="E3180">
            <v>0</v>
          </cell>
          <cell r="F3180">
            <v>0</v>
          </cell>
          <cell r="AO3180">
            <v>0</v>
          </cell>
          <cell r="AP3180">
            <v>0</v>
          </cell>
          <cell r="AQ3180">
            <v>0</v>
          </cell>
          <cell r="BA3180">
            <v>0</v>
          </cell>
          <cell r="BC3180">
            <v>0</v>
          </cell>
        </row>
        <row r="3181">
          <cell r="A3181">
            <v>0</v>
          </cell>
          <cell r="B3181">
            <v>0</v>
          </cell>
          <cell r="E3181">
            <v>0</v>
          </cell>
          <cell r="F3181">
            <v>0</v>
          </cell>
          <cell r="AO3181">
            <v>0</v>
          </cell>
          <cell r="AP3181">
            <v>0</v>
          </cell>
          <cell r="AQ3181">
            <v>0</v>
          </cell>
          <cell r="BA3181">
            <v>0</v>
          </cell>
          <cell r="BC3181">
            <v>0</v>
          </cell>
        </row>
        <row r="3182">
          <cell r="A3182">
            <v>0</v>
          </cell>
          <cell r="B3182">
            <v>0</v>
          </cell>
          <cell r="E3182">
            <v>0</v>
          </cell>
          <cell r="F3182">
            <v>0</v>
          </cell>
          <cell r="AO3182">
            <v>0</v>
          </cell>
          <cell r="AP3182">
            <v>0</v>
          </cell>
          <cell r="AQ3182">
            <v>0</v>
          </cell>
          <cell r="BA3182">
            <v>0</v>
          </cell>
          <cell r="BC3182">
            <v>0</v>
          </cell>
        </row>
        <row r="3183">
          <cell r="A3183">
            <v>0</v>
          </cell>
          <cell r="B3183">
            <v>0</v>
          </cell>
          <cell r="E3183">
            <v>0</v>
          </cell>
          <cell r="F3183">
            <v>0</v>
          </cell>
          <cell r="AO3183">
            <v>0</v>
          </cell>
          <cell r="AP3183">
            <v>0</v>
          </cell>
          <cell r="AQ3183">
            <v>0</v>
          </cell>
          <cell r="BA3183">
            <v>0</v>
          </cell>
          <cell r="BC3183">
            <v>0</v>
          </cell>
        </row>
        <row r="3184">
          <cell r="A3184">
            <v>0</v>
          </cell>
          <cell r="B3184">
            <v>0</v>
          </cell>
          <cell r="E3184">
            <v>0</v>
          </cell>
          <cell r="F3184">
            <v>0</v>
          </cell>
          <cell r="AO3184">
            <v>0</v>
          </cell>
          <cell r="AP3184">
            <v>0</v>
          </cell>
          <cell r="AQ3184">
            <v>0</v>
          </cell>
          <cell r="BA3184">
            <v>0</v>
          </cell>
          <cell r="BC3184">
            <v>0</v>
          </cell>
        </row>
        <row r="3185">
          <cell r="A3185">
            <v>0</v>
          </cell>
          <cell r="B3185">
            <v>0</v>
          </cell>
          <cell r="E3185">
            <v>0</v>
          </cell>
          <cell r="F3185">
            <v>0</v>
          </cell>
          <cell r="AO3185">
            <v>0</v>
          </cell>
          <cell r="AP3185">
            <v>0</v>
          </cell>
          <cell r="AQ3185">
            <v>0</v>
          </cell>
          <cell r="BA3185">
            <v>0</v>
          </cell>
          <cell r="BC3185">
            <v>0</v>
          </cell>
        </row>
        <row r="3186">
          <cell r="A3186">
            <v>0</v>
          </cell>
          <cell r="B3186">
            <v>0</v>
          </cell>
          <cell r="E3186">
            <v>0</v>
          </cell>
          <cell r="F3186">
            <v>0</v>
          </cell>
          <cell r="AO3186">
            <v>0</v>
          </cell>
          <cell r="AP3186">
            <v>0</v>
          </cell>
          <cell r="AQ3186">
            <v>0</v>
          </cell>
          <cell r="BA3186">
            <v>0</v>
          </cell>
          <cell r="BC3186">
            <v>0</v>
          </cell>
        </row>
        <row r="3187">
          <cell r="A3187">
            <v>0</v>
          </cell>
          <cell r="B3187">
            <v>0</v>
          </cell>
          <cell r="E3187">
            <v>0</v>
          </cell>
          <cell r="F3187">
            <v>0</v>
          </cell>
          <cell r="AO3187">
            <v>0</v>
          </cell>
          <cell r="AP3187">
            <v>0</v>
          </cell>
          <cell r="AQ3187">
            <v>0</v>
          </cell>
          <cell r="BA3187">
            <v>0</v>
          </cell>
          <cell r="BC3187">
            <v>0</v>
          </cell>
        </row>
        <row r="3188">
          <cell r="A3188">
            <v>0</v>
          </cell>
          <cell r="B3188">
            <v>0</v>
          </cell>
          <cell r="E3188">
            <v>0</v>
          </cell>
          <cell r="F3188">
            <v>0</v>
          </cell>
          <cell r="AO3188">
            <v>0</v>
          </cell>
          <cell r="AP3188">
            <v>0</v>
          </cell>
          <cell r="AQ3188">
            <v>0</v>
          </cell>
          <cell r="BA3188">
            <v>0</v>
          </cell>
          <cell r="BC3188">
            <v>0</v>
          </cell>
        </row>
        <row r="3189">
          <cell r="A3189">
            <v>0</v>
          </cell>
          <cell r="B3189">
            <v>0</v>
          </cell>
          <cell r="E3189">
            <v>0</v>
          </cell>
          <cell r="F3189">
            <v>0</v>
          </cell>
          <cell r="AO3189">
            <v>0</v>
          </cell>
          <cell r="AP3189">
            <v>0</v>
          </cell>
          <cell r="AQ3189">
            <v>0</v>
          </cell>
          <cell r="BA3189">
            <v>0</v>
          </cell>
          <cell r="BC3189">
            <v>0</v>
          </cell>
        </row>
        <row r="3190">
          <cell r="A3190">
            <v>0</v>
          </cell>
          <cell r="B3190">
            <v>0</v>
          </cell>
          <cell r="E3190">
            <v>0</v>
          </cell>
          <cell r="F3190">
            <v>0</v>
          </cell>
          <cell r="AO3190">
            <v>0</v>
          </cell>
          <cell r="AP3190">
            <v>0</v>
          </cell>
          <cell r="AQ3190">
            <v>0</v>
          </cell>
          <cell r="BA3190">
            <v>0</v>
          </cell>
          <cell r="BC3190">
            <v>0</v>
          </cell>
        </row>
        <row r="3191">
          <cell r="A3191">
            <v>0</v>
          </cell>
          <cell r="B3191">
            <v>0</v>
          </cell>
          <cell r="E3191">
            <v>0</v>
          </cell>
          <cell r="F3191">
            <v>0</v>
          </cell>
          <cell r="AO3191">
            <v>0</v>
          </cell>
          <cell r="AP3191">
            <v>0</v>
          </cell>
          <cell r="AQ3191">
            <v>0</v>
          </cell>
          <cell r="BA3191">
            <v>0</v>
          </cell>
          <cell r="BC3191">
            <v>0</v>
          </cell>
        </row>
        <row r="3192">
          <cell r="A3192">
            <v>0</v>
          </cell>
          <cell r="B3192">
            <v>0</v>
          </cell>
          <cell r="E3192">
            <v>0</v>
          </cell>
          <cell r="F3192">
            <v>0</v>
          </cell>
          <cell r="AO3192">
            <v>0</v>
          </cell>
          <cell r="AP3192">
            <v>0</v>
          </cell>
          <cell r="AQ3192">
            <v>0</v>
          </cell>
          <cell r="BA3192">
            <v>0</v>
          </cell>
          <cell r="BC3192">
            <v>0</v>
          </cell>
        </row>
        <row r="3193">
          <cell r="A3193">
            <v>0</v>
          </cell>
          <cell r="B3193">
            <v>0</v>
          </cell>
          <cell r="E3193">
            <v>0</v>
          </cell>
          <cell r="F3193">
            <v>0</v>
          </cell>
          <cell r="AO3193">
            <v>0</v>
          </cell>
          <cell r="AP3193">
            <v>0</v>
          </cell>
          <cell r="AQ3193">
            <v>0</v>
          </cell>
          <cell r="BA3193">
            <v>0</v>
          </cell>
          <cell r="BC3193">
            <v>0</v>
          </cell>
        </row>
        <row r="3194">
          <cell r="A3194">
            <v>0</v>
          </cell>
          <cell r="B3194">
            <v>0</v>
          </cell>
          <cell r="E3194">
            <v>0</v>
          </cell>
          <cell r="F3194">
            <v>0</v>
          </cell>
          <cell r="AO3194">
            <v>0</v>
          </cell>
          <cell r="AP3194">
            <v>0</v>
          </cell>
          <cell r="AQ3194">
            <v>0</v>
          </cell>
          <cell r="BA3194">
            <v>0</v>
          </cell>
          <cell r="BC3194">
            <v>0</v>
          </cell>
        </row>
        <row r="3195">
          <cell r="A3195">
            <v>0</v>
          </cell>
          <cell r="B3195">
            <v>0</v>
          </cell>
          <cell r="E3195">
            <v>0</v>
          </cell>
          <cell r="F3195">
            <v>0</v>
          </cell>
          <cell r="AO3195">
            <v>0</v>
          </cell>
          <cell r="AP3195">
            <v>0</v>
          </cell>
          <cell r="AQ3195">
            <v>0</v>
          </cell>
          <cell r="BA3195">
            <v>0</v>
          </cell>
          <cell r="BC3195">
            <v>0</v>
          </cell>
        </row>
        <row r="3196">
          <cell r="A3196">
            <v>0</v>
          </cell>
          <cell r="B3196">
            <v>0</v>
          </cell>
          <cell r="E3196">
            <v>0</v>
          </cell>
          <cell r="F3196">
            <v>0</v>
          </cell>
          <cell r="AO3196">
            <v>0</v>
          </cell>
          <cell r="AP3196">
            <v>0</v>
          </cell>
          <cell r="AQ3196">
            <v>0</v>
          </cell>
          <cell r="BA3196">
            <v>0</v>
          </cell>
          <cell r="BC3196">
            <v>0</v>
          </cell>
        </row>
        <row r="3197">
          <cell r="A3197">
            <v>0</v>
          </cell>
          <cell r="B3197">
            <v>0</v>
          </cell>
          <cell r="E3197">
            <v>0</v>
          </cell>
          <cell r="F3197">
            <v>0</v>
          </cell>
          <cell r="AO3197">
            <v>0</v>
          </cell>
          <cell r="AP3197">
            <v>0</v>
          </cell>
          <cell r="AQ3197">
            <v>0</v>
          </cell>
          <cell r="BA3197">
            <v>0</v>
          </cell>
          <cell r="BC3197">
            <v>0</v>
          </cell>
        </row>
        <row r="3198">
          <cell r="A3198">
            <v>0</v>
          </cell>
          <cell r="B3198">
            <v>0</v>
          </cell>
          <cell r="E3198">
            <v>0</v>
          </cell>
          <cell r="F3198">
            <v>0</v>
          </cell>
          <cell r="AO3198">
            <v>0</v>
          </cell>
          <cell r="AP3198">
            <v>0</v>
          </cell>
          <cell r="AQ3198">
            <v>0</v>
          </cell>
          <cell r="BA3198">
            <v>0</v>
          </cell>
          <cell r="BC3198">
            <v>0</v>
          </cell>
        </row>
        <row r="3199">
          <cell r="A3199">
            <v>0</v>
          </cell>
          <cell r="B3199">
            <v>0</v>
          </cell>
          <cell r="E3199">
            <v>0</v>
          </cell>
          <cell r="F3199">
            <v>0</v>
          </cell>
          <cell r="AO3199">
            <v>0</v>
          </cell>
          <cell r="AP3199">
            <v>0</v>
          </cell>
          <cell r="AQ3199">
            <v>0</v>
          </cell>
          <cell r="BA3199">
            <v>0</v>
          </cell>
          <cell r="BC3199">
            <v>0</v>
          </cell>
        </row>
        <row r="3200">
          <cell r="A3200">
            <v>0</v>
          </cell>
          <cell r="B3200">
            <v>0</v>
          </cell>
          <cell r="E3200">
            <v>0</v>
          </cell>
          <cell r="F3200">
            <v>0</v>
          </cell>
          <cell r="AO3200">
            <v>0</v>
          </cell>
          <cell r="AP3200">
            <v>0</v>
          </cell>
          <cell r="AQ3200">
            <v>0</v>
          </cell>
          <cell r="BA3200">
            <v>0</v>
          </cell>
          <cell r="BC3200">
            <v>0</v>
          </cell>
        </row>
        <row r="3201">
          <cell r="A3201">
            <v>0</v>
          </cell>
          <cell r="B3201">
            <v>0</v>
          </cell>
          <cell r="E3201">
            <v>0</v>
          </cell>
          <cell r="F3201">
            <v>0</v>
          </cell>
          <cell r="AO3201">
            <v>0</v>
          </cell>
          <cell r="AP3201">
            <v>0</v>
          </cell>
          <cell r="AQ3201">
            <v>0</v>
          </cell>
          <cell r="BA3201">
            <v>0</v>
          </cell>
          <cell r="BC3201">
            <v>0</v>
          </cell>
        </row>
        <row r="3202">
          <cell r="A3202">
            <v>0</v>
          </cell>
          <cell r="B3202">
            <v>0</v>
          </cell>
          <cell r="E3202">
            <v>0</v>
          </cell>
          <cell r="F3202">
            <v>0</v>
          </cell>
          <cell r="AO3202">
            <v>0</v>
          </cell>
          <cell r="AP3202">
            <v>0</v>
          </cell>
          <cell r="AQ3202">
            <v>0</v>
          </cell>
          <cell r="BA3202">
            <v>0</v>
          </cell>
          <cell r="BC3202">
            <v>0</v>
          </cell>
        </row>
        <row r="3203">
          <cell r="A3203">
            <v>0</v>
          </cell>
          <cell r="B3203">
            <v>0</v>
          </cell>
          <cell r="E3203">
            <v>0</v>
          </cell>
          <cell r="F3203">
            <v>0</v>
          </cell>
          <cell r="AO3203">
            <v>0</v>
          </cell>
          <cell r="AP3203">
            <v>0</v>
          </cell>
          <cell r="AQ3203">
            <v>0</v>
          </cell>
          <cell r="BA3203">
            <v>0</v>
          </cell>
          <cell r="BC3203">
            <v>0</v>
          </cell>
        </row>
        <row r="3204">
          <cell r="A3204">
            <v>0</v>
          </cell>
          <cell r="B3204">
            <v>0</v>
          </cell>
          <cell r="E3204">
            <v>0</v>
          </cell>
          <cell r="F3204">
            <v>0</v>
          </cell>
          <cell r="AO3204">
            <v>0</v>
          </cell>
          <cell r="AP3204">
            <v>0</v>
          </cell>
          <cell r="AQ3204">
            <v>0</v>
          </cell>
          <cell r="BA3204">
            <v>0</v>
          </cell>
          <cell r="BC3204">
            <v>0</v>
          </cell>
        </row>
        <row r="3205">
          <cell r="A3205">
            <v>0</v>
          </cell>
          <cell r="B3205">
            <v>0</v>
          </cell>
          <cell r="E3205">
            <v>0</v>
          </cell>
          <cell r="F3205">
            <v>0</v>
          </cell>
          <cell r="AO3205">
            <v>0</v>
          </cell>
          <cell r="AP3205">
            <v>0</v>
          </cell>
          <cell r="AQ3205">
            <v>0</v>
          </cell>
          <cell r="BA3205">
            <v>0</v>
          </cell>
          <cell r="BC3205">
            <v>0</v>
          </cell>
        </row>
        <row r="3206">
          <cell r="A3206">
            <v>0</v>
          </cell>
          <cell r="B3206">
            <v>0</v>
          </cell>
          <cell r="E3206">
            <v>0</v>
          </cell>
          <cell r="F3206">
            <v>0</v>
          </cell>
          <cell r="AO3206">
            <v>0</v>
          </cell>
          <cell r="AP3206">
            <v>0</v>
          </cell>
          <cell r="AQ3206">
            <v>0</v>
          </cell>
          <cell r="BA3206">
            <v>0</v>
          </cell>
          <cell r="BC3206">
            <v>0</v>
          </cell>
        </row>
        <row r="3207">
          <cell r="A3207">
            <v>0</v>
          </cell>
          <cell r="B3207">
            <v>0</v>
          </cell>
          <cell r="E3207">
            <v>0</v>
          </cell>
          <cell r="F3207">
            <v>0</v>
          </cell>
          <cell r="AO3207">
            <v>0</v>
          </cell>
          <cell r="AP3207">
            <v>0</v>
          </cell>
          <cell r="AQ3207">
            <v>0</v>
          </cell>
          <cell r="BA3207">
            <v>0</v>
          </cell>
          <cell r="BC3207">
            <v>0</v>
          </cell>
        </row>
        <row r="3208">
          <cell r="A3208">
            <v>0</v>
          </cell>
          <cell r="B3208">
            <v>0</v>
          </cell>
          <cell r="E3208">
            <v>0</v>
          </cell>
          <cell r="F3208">
            <v>0</v>
          </cell>
          <cell r="AO3208">
            <v>0</v>
          </cell>
          <cell r="AP3208">
            <v>0</v>
          </cell>
          <cell r="AQ3208">
            <v>0</v>
          </cell>
          <cell r="BA3208">
            <v>0</v>
          </cell>
          <cell r="BC3208">
            <v>0</v>
          </cell>
        </row>
        <row r="3209">
          <cell r="A3209">
            <v>0</v>
          </cell>
          <cell r="B3209">
            <v>0</v>
          </cell>
          <cell r="E3209">
            <v>0</v>
          </cell>
          <cell r="F3209">
            <v>0</v>
          </cell>
          <cell r="AO3209">
            <v>0</v>
          </cell>
          <cell r="AP3209">
            <v>0</v>
          </cell>
          <cell r="AQ3209">
            <v>0</v>
          </cell>
          <cell r="BA3209">
            <v>0</v>
          </cell>
          <cell r="BC3209">
            <v>0</v>
          </cell>
        </row>
        <row r="3210">
          <cell r="A3210">
            <v>0</v>
          </cell>
          <cell r="B3210">
            <v>0</v>
          </cell>
          <cell r="E3210">
            <v>0</v>
          </cell>
          <cell r="F3210">
            <v>0</v>
          </cell>
          <cell r="AO3210">
            <v>0</v>
          </cell>
          <cell r="AP3210">
            <v>0</v>
          </cell>
          <cell r="AQ3210">
            <v>0</v>
          </cell>
          <cell r="BA3210">
            <v>0</v>
          </cell>
          <cell r="BC3210">
            <v>0</v>
          </cell>
        </row>
        <row r="3211">
          <cell r="A3211">
            <v>0</v>
          </cell>
          <cell r="B3211">
            <v>0</v>
          </cell>
          <cell r="E3211">
            <v>0</v>
          </cell>
          <cell r="F3211">
            <v>0</v>
          </cell>
          <cell r="AO3211">
            <v>0</v>
          </cell>
          <cell r="AP3211">
            <v>0</v>
          </cell>
          <cell r="AQ3211">
            <v>0</v>
          </cell>
          <cell r="BA3211">
            <v>0</v>
          </cell>
          <cell r="BC3211">
            <v>0</v>
          </cell>
        </row>
        <row r="3212">
          <cell r="A3212">
            <v>0</v>
          </cell>
          <cell r="B3212">
            <v>0</v>
          </cell>
          <cell r="E3212">
            <v>0</v>
          </cell>
          <cell r="F3212">
            <v>0</v>
          </cell>
          <cell r="AO3212">
            <v>0</v>
          </cell>
          <cell r="AP3212">
            <v>0</v>
          </cell>
          <cell r="AQ3212">
            <v>0</v>
          </cell>
          <cell r="BA3212">
            <v>0</v>
          </cell>
          <cell r="BC3212">
            <v>0</v>
          </cell>
        </row>
        <row r="3213">
          <cell r="A3213">
            <v>0</v>
          </cell>
          <cell r="B3213">
            <v>0</v>
          </cell>
          <cell r="E3213">
            <v>0</v>
          </cell>
          <cell r="F3213">
            <v>0</v>
          </cell>
          <cell r="AO3213">
            <v>0</v>
          </cell>
          <cell r="AP3213">
            <v>0</v>
          </cell>
          <cell r="AQ3213">
            <v>0</v>
          </cell>
          <cell r="BA3213">
            <v>0</v>
          </cell>
          <cell r="BC3213">
            <v>0</v>
          </cell>
        </row>
        <row r="3214">
          <cell r="A3214">
            <v>0</v>
          </cell>
          <cell r="B3214">
            <v>0</v>
          </cell>
          <cell r="E3214">
            <v>0</v>
          </cell>
          <cell r="F3214">
            <v>0</v>
          </cell>
          <cell r="AO3214">
            <v>0</v>
          </cell>
          <cell r="AP3214">
            <v>0</v>
          </cell>
          <cell r="AQ3214">
            <v>0</v>
          </cell>
          <cell r="BA3214">
            <v>0</v>
          </cell>
          <cell r="BC3214">
            <v>0</v>
          </cell>
        </row>
        <row r="3215">
          <cell r="A3215">
            <v>0</v>
          </cell>
          <cell r="B3215">
            <v>0</v>
          </cell>
          <cell r="E3215">
            <v>0</v>
          </cell>
          <cell r="F3215">
            <v>0</v>
          </cell>
          <cell r="AO3215">
            <v>0</v>
          </cell>
          <cell r="AP3215">
            <v>0</v>
          </cell>
          <cell r="AQ3215">
            <v>0</v>
          </cell>
          <cell r="BA3215">
            <v>0</v>
          </cell>
          <cell r="BC3215">
            <v>0</v>
          </cell>
        </row>
        <row r="3216">
          <cell r="A3216">
            <v>0</v>
          </cell>
          <cell r="B3216">
            <v>0</v>
          </cell>
          <cell r="E3216">
            <v>0</v>
          </cell>
          <cell r="F3216">
            <v>0</v>
          </cell>
          <cell r="AO3216">
            <v>0</v>
          </cell>
          <cell r="AP3216">
            <v>0</v>
          </cell>
          <cell r="AQ3216">
            <v>0</v>
          </cell>
          <cell r="BA3216">
            <v>0</v>
          </cell>
          <cell r="BC3216">
            <v>0</v>
          </cell>
        </row>
        <row r="3217">
          <cell r="A3217">
            <v>0</v>
          </cell>
          <cell r="B3217">
            <v>0</v>
          </cell>
          <cell r="E3217">
            <v>0</v>
          </cell>
          <cell r="F3217">
            <v>0</v>
          </cell>
          <cell r="AO3217">
            <v>0</v>
          </cell>
          <cell r="AP3217">
            <v>0</v>
          </cell>
          <cell r="AQ3217">
            <v>0</v>
          </cell>
          <cell r="BA3217">
            <v>0</v>
          </cell>
          <cell r="BC3217">
            <v>0</v>
          </cell>
        </row>
        <row r="3218">
          <cell r="A3218">
            <v>0</v>
          </cell>
          <cell r="B3218">
            <v>0</v>
          </cell>
          <cell r="E3218">
            <v>0</v>
          </cell>
          <cell r="F3218">
            <v>0</v>
          </cell>
          <cell r="AO3218">
            <v>0</v>
          </cell>
          <cell r="AP3218">
            <v>0</v>
          </cell>
          <cell r="AQ3218">
            <v>0</v>
          </cell>
          <cell r="BA3218">
            <v>0</v>
          </cell>
          <cell r="BC3218">
            <v>0</v>
          </cell>
        </row>
        <row r="3219">
          <cell r="A3219">
            <v>0</v>
          </cell>
          <cell r="B3219">
            <v>0</v>
          </cell>
          <cell r="E3219">
            <v>0</v>
          </cell>
          <cell r="F3219">
            <v>0</v>
          </cell>
          <cell r="AO3219">
            <v>0</v>
          </cell>
          <cell r="AP3219">
            <v>0</v>
          </cell>
          <cell r="AQ3219">
            <v>0</v>
          </cell>
          <cell r="BA3219">
            <v>0</v>
          </cell>
          <cell r="BC3219">
            <v>0</v>
          </cell>
        </row>
        <row r="3220">
          <cell r="A3220">
            <v>0</v>
          </cell>
          <cell r="B3220">
            <v>0</v>
          </cell>
          <cell r="E3220">
            <v>0</v>
          </cell>
          <cell r="F3220">
            <v>0</v>
          </cell>
          <cell r="AO3220">
            <v>0</v>
          </cell>
          <cell r="AP3220">
            <v>0</v>
          </cell>
          <cell r="AQ3220">
            <v>0</v>
          </cell>
          <cell r="BA3220">
            <v>0</v>
          </cell>
          <cell r="BC3220">
            <v>0</v>
          </cell>
        </row>
        <row r="3221">
          <cell r="A3221">
            <v>0</v>
          </cell>
          <cell r="B3221">
            <v>0</v>
          </cell>
          <cell r="E3221">
            <v>0</v>
          </cell>
          <cell r="F3221">
            <v>0</v>
          </cell>
          <cell r="AO3221">
            <v>0</v>
          </cell>
          <cell r="AP3221">
            <v>0</v>
          </cell>
          <cell r="AQ3221">
            <v>0</v>
          </cell>
          <cell r="BA3221">
            <v>0</v>
          </cell>
          <cell r="BC3221">
            <v>0</v>
          </cell>
        </row>
        <row r="3222">
          <cell r="A3222">
            <v>0</v>
          </cell>
          <cell r="B3222">
            <v>0</v>
          </cell>
          <cell r="E3222">
            <v>0</v>
          </cell>
          <cell r="F3222">
            <v>0</v>
          </cell>
          <cell r="AO3222">
            <v>0</v>
          </cell>
          <cell r="AP3222">
            <v>0</v>
          </cell>
          <cell r="AQ3222">
            <v>0</v>
          </cell>
          <cell r="BA3222">
            <v>0</v>
          </cell>
          <cell r="BC3222">
            <v>0</v>
          </cell>
        </row>
        <row r="3223">
          <cell r="A3223">
            <v>0</v>
          </cell>
          <cell r="B3223">
            <v>0</v>
          </cell>
          <cell r="E3223">
            <v>0</v>
          </cell>
          <cell r="F3223">
            <v>0</v>
          </cell>
          <cell r="AO3223">
            <v>0</v>
          </cell>
          <cell r="AP3223">
            <v>0</v>
          </cell>
          <cell r="AQ3223">
            <v>0</v>
          </cell>
          <cell r="BA3223">
            <v>0</v>
          </cell>
          <cell r="BC3223">
            <v>0</v>
          </cell>
        </row>
        <row r="3224">
          <cell r="A3224">
            <v>0</v>
          </cell>
          <cell r="B3224">
            <v>0</v>
          </cell>
          <cell r="E3224">
            <v>0</v>
          </cell>
          <cell r="F3224">
            <v>0</v>
          </cell>
          <cell r="AO3224">
            <v>0</v>
          </cell>
          <cell r="AP3224">
            <v>0</v>
          </cell>
          <cell r="AQ3224">
            <v>0</v>
          </cell>
          <cell r="BA3224">
            <v>0</v>
          </cell>
          <cell r="BC3224">
            <v>0</v>
          </cell>
        </row>
        <row r="3225">
          <cell r="A3225">
            <v>0</v>
          </cell>
          <cell r="B3225">
            <v>0</v>
          </cell>
          <cell r="E3225">
            <v>0</v>
          </cell>
          <cell r="F3225">
            <v>0</v>
          </cell>
          <cell r="AO3225">
            <v>0</v>
          </cell>
          <cell r="AP3225">
            <v>0</v>
          </cell>
          <cell r="AQ3225">
            <v>0</v>
          </cell>
          <cell r="BA3225">
            <v>0</v>
          </cell>
          <cell r="BC3225">
            <v>0</v>
          </cell>
        </row>
        <row r="3226">
          <cell r="A3226">
            <v>0</v>
          </cell>
          <cell r="B3226">
            <v>0</v>
          </cell>
          <cell r="E3226">
            <v>0</v>
          </cell>
          <cell r="F3226">
            <v>0</v>
          </cell>
          <cell r="AO3226">
            <v>0</v>
          </cell>
          <cell r="AP3226">
            <v>0</v>
          </cell>
          <cell r="AQ3226">
            <v>0</v>
          </cell>
          <cell r="BA3226">
            <v>0</v>
          </cell>
          <cell r="BC3226">
            <v>0</v>
          </cell>
        </row>
        <row r="3227">
          <cell r="A3227">
            <v>0</v>
          </cell>
          <cell r="B3227">
            <v>0</v>
          </cell>
          <cell r="E3227">
            <v>0</v>
          </cell>
          <cell r="F3227">
            <v>0</v>
          </cell>
          <cell r="AO3227">
            <v>0</v>
          </cell>
          <cell r="AP3227">
            <v>0</v>
          </cell>
          <cell r="AQ3227">
            <v>0</v>
          </cell>
          <cell r="BA3227">
            <v>0</v>
          </cell>
          <cell r="BC3227">
            <v>0</v>
          </cell>
        </row>
        <row r="3228">
          <cell r="A3228">
            <v>0</v>
          </cell>
          <cell r="B3228">
            <v>0</v>
          </cell>
          <cell r="E3228">
            <v>0</v>
          </cell>
          <cell r="F3228">
            <v>0</v>
          </cell>
          <cell r="AO3228">
            <v>0</v>
          </cell>
          <cell r="AP3228">
            <v>0</v>
          </cell>
          <cell r="AQ3228">
            <v>0</v>
          </cell>
          <cell r="BA3228">
            <v>0</v>
          </cell>
          <cell r="BC3228">
            <v>0</v>
          </cell>
        </row>
        <row r="3229">
          <cell r="A3229">
            <v>0</v>
          </cell>
          <cell r="B3229">
            <v>0</v>
          </cell>
          <cell r="E3229">
            <v>0</v>
          </cell>
          <cell r="F3229">
            <v>0</v>
          </cell>
          <cell r="AO3229">
            <v>0</v>
          </cell>
          <cell r="AP3229">
            <v>0</v>
          </cell>
          <cell r="AQ3229">
            <v>0</v>
          </cell>
          <cell r="BA3229">
            <v>0</v>
          </cell>
          <cell r="BC3229">
            <v>0</v>
          </cell>
        </row>
        <row r="3230">
          <cell r="A3230">
            <v>0</v>
          </cell>
          <cell r="B3230">
            <v>0</v>
          </cell>
          <cell r="E3230">
            <v>0</v>
          </cell>
          <cell r="F3230">
            <v>0</v>
          </cell>
          <cell r="AO3230">
            <v>0</v>
          </cell>
          <cell r="AP3230">
            <v>0</v>
          </cell>
          <cell r="AQ3230">
            <v>0</v>
          </cell>
          <cell r="BA3230">
            <v>0</v>
          </cell>
          <cell r="BC3230">
            <v>0</v>
          </cell>
        </row>
        <row r="3231">
          <cell r="A3231">
            <v>0</v>
          </cell>
          <cell r="B3231">
            <v>0</v>
          </cell>
          <cell r="E3231">
            <v>0</v>
          </cell>
          <cell r="F3231">
            <v>0</v>
          </cell>
          <cell r="AO3231">
            <v>0</v>
          </cell>
          <cell r="AP3231">
            <v>0</v>
          </cell>
          <cell r="AQ3231">
            <v>0</v>
          </cell>
          <cell r="BA3231">
            <v>0</v>
          </cell>
          <cell r="BC3231">
            <v>0</v>
          </cell>
        </row>
        <row r="3232">
          <cell r="A3232">
            <v>0</v>
          </cell>
          <cell r="B3232">
            <v>0</v>
          </cell>
          <cell r="E3232">
            <v>0</v>
          </cell>
          <cell r="F3232">
            <v>0</v>
          </cell>
          <cell r="AO3232">
            <v>0</v>
          </cell>
          <cell r="AP3232">
            <v>0</v>
          </cell>
          <cell r="AQ3232">
            <v>0</v>
          </cell>
          <cell r="BA3232">
            <v>0</v>
          </cell>
          <cell r="BC3232">
            <v>0</v>
          </cell>
        </row>
        <row r="3233">
          <cell r="A3233">
            <v>0</v>
          </cell>
          <cell r="B3233">
            <v>0</v>
          </cell>
          <cell r="E3233">
            <v>0</v>
          </cell>
          <cell r="F3233">
            <v>0</v>
          </cell>
          <cell r="AO3233">
            <v>0</v>
          </cell>
          <cell r="AP3233">
            <v>0</v>
          </cell>
          <cell r="AQ3233">
            <v>0</v>
          </cell>
          <cell r="BA3233">
            <v>0</v>
          </cell>
          <cell r="BC3233">
            <v>0</v>
          </cell>
        </row>
        <row r="3234">
          <cell r="A3234">
            <v>0</v>
          </cell>
          <cell r="B3234">
            <v>0</v>
          </cell>
          <cell r="E3234">
            <v>0</v>
          </cell>
          <cell r="F3234">
            <v>0</v>
          </cell>
          <cell r="AO3234">
            <v>0</v>
          </cell>
          <cell r="AP3234">
            <v>0</v>
          </cell>
          <cell r="AQ3234">
            <v>0</v>
          </cell>
          <cell r="BA3234">
            <v>0</v>
          </cell>
          <cell r="BC3234">
            <v>0</v>
          </cell>
        </row>
        <row r="3235">
          <cell r="A3235">
            <v>0</v>
          </cell>
          <cell r="B3235">
            <v>0</v>
          </cell>
          <cell r="E3235">
            <v>0</v>
          </cell>
          <cell r="F3235">
            <v>0</v>
          </cell>
          <cell r="AO3235">
            <v>0</v>
          </cell>
          <cell r="AP3235">
            <v>0</v>
          </cell>
          <cell r="AQ3235">
            <v>0</v>
          </cell>
          <cell r="BA3235">
            <v>0</v>
          </cell>
          <cell r="BC3235">
            <v>0</v>
          </cell>
        </row>
        <row r="3236">
          <cell r="A3236">
            <v>0</v>
          </cell>
          <cell r="B3236">
            <v>0</v>
          </cell>
          <cell r="E3236">
            <v>0</v>
          </cell>
          <cell r="F3236">
            <v>0</v>
          </cell>
          <cell r="AO3236">
            <v>0</v>
          </cell>
          <cell r="AP3236">
            <v>0</v>
          </cell>
          <cell r="AQ3236">
            <v>0</v>
          </cell>
          <cell r="BA3236">
            <v>0</v>
          </cell>
          <cell r="BC3236">
            <v>0</v>
          </cell>
        </row>
        <row r="3237">
          <cell r="A3237">
            <v>0</v>
          </cell>
          <cell r="B3237">
            <v>0</v>
          </cell>
          <cell r="E3237">
            <v>0</v>
          </cell>
          <cell r="F3237">
            <v>0</v>
          </cell>
          <cell r="AO3237">
            <v>0</v>
          </cell>
          <cell r="AP3237">
            <v>0</v>
          </cell>
          <cell r="AQ3237">
            <v>0</v>
          </cell>
          <cell r="BA3237">
            <v>0</v>
          </cell>
          <cell r="BC3237">
            <v>0</v>
          </cell>
        </row>
        <row r="3238">
          <cell r="A3238">
            <v>0</v>
          </cell>
          <cell r="B3238">
            <v>0</v>
          </cell>
          <cell r="E3238">
            <v>0</v>
          </cell>
          <cell r="F3238">
            <v>0</v>
          </cell>
          <cell r="AO3238">
            <v>0</v>
          </cell>
          <cell r="AP3238">
            <v>0</v>
          </cell>
          <cell r="AQ3238">
            <v>0</v>
          </cell>
          <cell r="BA3238">
            <v>0</v>
          </cell>
          <cell r="BC3238">
            <v>0</v>
          </cell>
        </row>
        <row r="3239">
          <cell r="A3239">
            <v>0</v>
          </cell>
          <cell r="B3239">
            <v>0</v>
          </cell>
          <cell r="E3239">
            <v>0</v>
          </cell>
          <cell r="F3239">
            <v>0</v>
          </cell>
          <cell r="AO3239">
            <v>0</v>
          </cell>
          <cell r="AP3239">
            <v>0</v>
          </cell>
          <cell r="AQ3239">
            <v>0</v>
          </cell>
          <cell r="BA3239">
            <v>0</v>
          </cell>
          <cell r="BC3239">
            <v>0</v>
          </cell>
        </row>
        <row r="3240">
          <cell r="A3240">
            <v>0</v>
          </cell>
          <cell r="B3240">
            <v>0</v>
          </cell>
          <cell r="E3240">
            <v>0</v>
          </cell>
          <cell r="F3240">
            <v>0</v>
          </cell>
          <cell r="AO3240">
            <v>0</v>
          </cell>
          <cell r="AP3240">
            <v>0</v>
          </cell>
          <cell r="AQ3240">
            <v>0</v>
          </cell>
          <cell r="BA3240">
            <v>0</v>
          </cell>
          <cell r="BC3240">
            <v>0</v>
          </cell>
        </row>
        <row r="3241">
          <cell r="A3241">
            <v>0</v>
          </cell>
          <cell r="B3241">
            <v>0</v>
          </cell>
          <cell r="E3241">
            <v>0</v>
          </cell>
          <cell r="F3241">
            <v>0</v>
          </cell>
          <cell r="AO3241">
            <v>0</v>
          </cell>
          <cell r="AP3241">
            <v>0</v>
          </cell>
          <cell r="AQ3241">
            <v>0</v>
          </cell>
          <cell r="BA3241">
            <v>0</v>
          </cell>
          <cell r="BC3241">
            <v>0</v>
          </cell>
        </row>
        <row r="3242">
          <cell r="A3242">
            <v>0</v>
          </cell>
          <cell r="B3242">
            <v>0</v>
          </cell>
          <cell r="E3242">
            <v>0</v>
          </cell>
          <cell r="F3242">
            <v>0</v>
          </cell>
          <cell r="AO3242">
            <v>0</v>
          </cell>
          <cell r="AP3242">
            <v>0</v>
          </cell>
          <cell r="AQ3242">
            <v>0</v>
          </cell>
          <cell r="BA3242">
            <v>0</v>
          </cell>
          <cell r="BC3242">
            <v>0</v>
          </cell>
        </row>
        <row r="3243">
          <cell r="A3243">
            <v>0</v>
          </cell>
          <cell r="B3243">
            <v>0</v>
          </cell>
          <cell r="E3243">
            <v>0</v>
          </cell>
          <cell r="F3243">
            <v>0</v>
          </cell>
          <cell r="AO3243">
            <v>0</v>
          </cell>
          <cell r="AP3243">
            <v>0</v>
          </cell>
          <cell r="AQ3243">
            <v>0</v>
          </cell>
          <cell r="BA3243">
            <v>0</v>
          </cell>
          <cell r="BC3243">
            <v>0</v>
          </cell>
        </row>
        <row r="3244">
          <cell r="A3244">
            <v>0</v>
          </cell>
          <cell r="B3244">
            <v>0</v>
          </cell>
          <cell r="E3244">
            <v>0</v>
          </cell>
          <cell r="F3244">
            <v>0</v>
          </cell>
          <cell r="AO3244">
            <v>0</v>
          </cell>
          <cell r="AP3244">
            <v>0</v>
          </cell>
          <cell r="AQ3244">
            <v>0</v>
          </cell>
          <cell r="BA3244">
            <v>0</v>
          </cell>
          <cell r="BC3244">
            <v>0</v>
          </cell>
        </row>
        <row r="3245">
          <cell r="A3245">
            <v>0</v>
          </cell>
          <cell r="B3245">
            <v>0</v>
          </cell>
          <cell r="E3245">
            <v>0</v>
          </cell>
          <cell r="F3245">
            <v>0</v>
          </cell>
          <cell r="AO3245">
            <v>0</v>
          </cell>
          <cell r="AP3245">
            <v>0</v>
          </cell>
          <cell r="AQ3245">
            <v>0</v>
          </cell>
          <cell r="BA3245">
            <v>0</v>
          </cell>
          <cell r="BC3245">
            <v>0</v>
          </cell>
        </row>
        <row r="3246">
          <cell r="A3246">
            <v>0</v>
          </cell>
          <cell r="B3246">
            <v>0</v>
          </cell>
          <cell r="E3246">
            <v>0</v>
          </cell>
          <cell r="F3246">
            <v>0</v>
          </cell>
          <cell r="AO3246">
            <v>0</v>
          </cell>
          <cell r="AP3246">
            <v>0</v>
          </cell>
          <cell r="AQ3246">
            <v>0</v>
          </cell>
          <cell r="BA3246">
            <v>0</v>
          </cell>
          <cell r="BC3246">
            <v>0</v>
          </cell>
        </row>
        <row r="3247">
          <cell r="A3247">
            <v>0</v>
          </cell>
          <cell r="B3247">
            <v>0</v>
          </cell>
          <cell r="E3247">
            <v>0</v>
          </cell>
          <cell r="F3247">
            <v>0</v>
          </cell>
          <cell r="AO3247">
            <v>0</v>
          </cell>
          <cell r="AP3247">
            <v>0</v>
          </cell>
          <cell r="AQ3247">
            <v>0</v>
          </cell>
          <cell r="BA3247">
            <v>0</v>
          </cell>
          <cell r="BC3247">
            <v>0</v>
          </cell>
        </row>
        <row r="3248">
          <cell r="A3248">
            <v>0</v>
          </cell>
          <cell r="B3248">
            <v>0</v>
          </cell>
          <cell r="E3248">
            <v>0</v>
          </cell>
          <cell r="F3248">
            <v>0</v>
          </cell>
          <cell r="AO3248">
            <v>0</v>
          </cell>
          <cell r="AP3248">
            <v>0</v>
          </cell>
          <cell r="AQ3248">
            <v>0</v>
          </cell>
          <cell r="BA3248">
            <v>0</v>
          </cell>
          <cell r="BC3248">
            <v>0</v>
          </cell>
        </row>
        <row r="3249">
          <cell r="A3249">
            <v>0</v>
          </cell>
          <cell r="B3249">
            <v>0</v>
          </cell>
          <cell r="E3249">
            <v>0</v>
          </cell>
          <cell r="F3249">
            <v>0</v>
          </cell>
          <cell r="AO3249">
            <v>0</v>
          </cell>
          <cell r="AP3249">
            <v>0</v>
          </cell>
          <cell r="AQ3249">
            <v>0</v>
          </cell>
          <cell r="BA3249">
            <v>0</v>
          </cell>
          <cell r="BC3249">
            <v>0</v>
          </cell>
        </row>
        <row r="3250">
          <cell r="A3250">
            <v>0</v>
          </cell>
          <cell r="B3250">
            <v>0</v>
          </cell>
          <cell r="E3250">
            <v>0</v>
          </cell>
          <cell r="F3250">
            <v>0</v>
          </cell>
          <cell r="AO3250">
            <v>0</v>
          </cell>
          <cell r="AP3250">
            <v>0</v>
          </cell>
          <cell r="AQ3250">
            <v>0</v>
          </cell>
          <cell r="BA3250">
            <v>0</v>
          </cell>
          <cell r="BC3250">
            <v>0</v>
          </cell>
        </row>
        <row r="3251">
          <cell r="A3251">
            <v>0</v>
          </cell>
          <cell r="B3251">
            <v>0</v>
          </cell>
          <cell r="E3251">
            <v>0</v>
          </cell>
          <cell r="F3251">
            <v>0</v>
          </cell>
          <cell r="AO3251">
            <v>0</v>
          </cell>
          <cell r="AP3251">
            <v>0</v>
          </cell>
          <cell r="AQ3251">
            <v>0</v>
          </cell>
          <cell r="BA3251">
            <v>0</v>
          </cell>
          <cell r="BC3251">
            <v>0</v>
          </cell>
        </row>
        <row r="3252">
          <cell r="A3252">
            <v>0</v>
          </cell>
          <cell r="B3252">
            <v>0</v>
          </cell>
          <cell r="E3252">
            <v>0</v>
          </cell>
          <cell r="F3252">
            <v>0</v>
          </cell>
          <cell r="AO3252">
            <v>0</v>
          </cell>
          <cell r="AP3252">
            <v>0</v>
          </cell>
          <cell r="AQ3252">
            <v>0</v>
          </cell>
          <cell r="BA3252">
            <v>0</v>
          </cell>
          <cell r="BC3252">
            <v>0</v>
          </cell>
        </row>
        <row r="3253">
          <cell r="A3253">
            <v>0</v>
          </cell>
          <cell r="B3253">
            <v>0</v>
          </cell>
          <cell r="E3253">
            <v>0</v>
          </cell>
          <cell r="F3253">
            <v>0</v>
          </cell>
          <cell r="AO3253">
            <v>0</v>
          </cell>
          <cell r="AP3253">
            <v>0</v>
          </cell>
          <cell r="AQ3253">
            <v>0</v>
          </cell>
          <cell r="BA3253">
            <v>0</v>
          </cell>
          <cell r="BC3253">
            <v>0</v>
          </cell>
        </row>
        <row r="3254">
          <cell r="A3254">
            <v>0</v>
          </cell>
          <cell r="B3254">
            <v>0</v>
          </cell>
          <cell r="E3254">
            <v>0</v>
          </cell>
          <cell r="F3254">
            <v>0</v>
          </cell>
          <cell r="AO3254">
            <v>0</v>
          </cell>
          <cell r="AP3254">
            <v>0</v>
          </cell>
          <cell r="AQ3254">
            <v>0</v>
          </cell>
          <cell r="BA3254">
            <v>0</v>
          </cell>
          <cell r="BC3254">
            <v>0</v>
          </cell>
        </row>
        <row r="3255">
          <cell r="A3255">
            <v>0</v>
          </cell>
          <cell r="B3255">
            <v>0</v>
          </cell>
          <cell r="E3255">
            <v>0</v>
          </cell>
          <cell r="F3255">
            <v>0</v>
          </cell>
          <cell r="AO3255">
            <v>0</v>
          </cell>
          <cell r="AP3255">
            <v>0</v>
          </cell>
          <cell r="AQ3255">
            <v>0</v>
          </cell>
          <cell r="BA3255">
            <v>0</v>
          </cell>
          <cell r="BC3255">
            <v>0</v>
          </cell>
        </row>
        <row r="3256">
          <cell r="A3256">
            <v>0</v>
          </cell>
          <cell r="B3256">
            <v>0</v>
          </cell>
          <cell r="E3256">
            <v>0</v>
          </cell>
          <cell r="F3256">
            <v>0</v>
          </cell>
          <cell r="AO3256">
            <v>0</v>
          </cell>
          <cell r="AP3256">
            <v>0</v>
          </cell>
          <cell r="AQ3256">
            <v>0</v>
          </cell>
          <cell r="BA3256">
            <v>0</v>
          </cell>
          <cell r="BC3256">
            <v>0</v>
          </cell>
        </row>
        <row r="3257">
          <cell r="A3257">
            <v>0</v>
          </cell>
          <cell r="B3257">
            <v>0</v>
          </cell>
          <cell r="E3257">
            <v>0</v>
          </cell>
          <cell r="F3257">
            <v>0</v>
          </cell>
          <cell r="AO3257">
            <v>0</v>
          </cell>
          <cell r="AP3257">
            <v>0</v>
          </cell>
          <cell r="AQ3257">
            <v>0</v>
          </cell>
          <cell r="BA3257">
            <v>0</v>
          </cell>
          <cell r="BC3257">
            <v>0</v>
          </cell>
        </row>
        <row r="3258">
          <cell r="A3258">
            <v>0</v>
          </cell>
          <cell r="B3258">
            <v>0</v>
          </cell>
          <cell r="E3258">
            <v>0</v>
          </cell>
          <cell r="F3258">
            <v>0</v>
          </cell>
          <cell r="AO3258">
            <v>0</v>
          </cell>
          <cell r="AP3258">
            <v>0</v>
          </cell>
          <cell r="AQ3258">
            <v>0</v>
          </cell>
          <cell r="BA3258">
            <v>0</v>
          </cell>
          <cell r="BC3258">
            <v>0</v>
          </cell>
        </row>
        <row r="3259">
          <cell r="A3259">
            <v>0</v>
          </cell>
          <cell r="B3259">
            <v>0</v>
          </cell>
          <cell r="E3259">
            <v>0</v>
          </cell>
          <cell r="F3259">
            <v>0</v>
          </cell>
          <cell r="AO3259">
            <v>0</v>
          </cell>
          <cell r="AP3259">
            <v>0</v>
          </cell>
          <cell r="AQ3259">
            <v>0</v>
          </cell>
          <cell r="BA3259">
            <v>0</v>
          </cell>
          <cell r="BC3259">
            <v>0</v>
          </cell>
        </row>
        <row r="3260">
          <cell r="A3260">
            <v>0</v>
          </cell>
          <cell r="B3260">
            <v>0</v>
          </cell>
          <cell r="E3260">
            <v>0</v>
          </cell>
          <cell r="F3260">
            <v>0</v>
          </cell>
          <cell r="AO3260">
            <v>0</v>
          </cell>
          <cell r="AP3260">
            <v>0</v>
          </cell>
          <cell r="AQ3260">
            <v>0</v>
          </cell>
          <cell r="BA3260">
            <v>0</v>
          </cell>
          <cell r="BC3260">
            <v>0</v>
          </cell>
        </row>
        <row r="3261">
          <cell r="A3261">
            <v>0</v>
          </cell>
          <cell r="B3261">
            <v>0</v>
          </cell>
          <cell r="E3261">
            <v>0</v>
          </cell>
          <cell r="F3261">
            <v>0</v>
          </cell>
          <cell r="AO3261">
            <v>0</v>
          </cell>
          <cell r="AP3261">
            <v>0</v>
          </cell>
          <cell r="AQ3261">
            <v>0</v>
          </cell>
          <cell r="BA3261">
            <v>0</v>
          </cell>
          <cell r="BC3261">
            <v>0</v>
          </cell>
        </row>
        <row r="3262">
          <cell r="A3262">
            <v>0</v>
          </cell>
          <cell r="B3262">
            <v>0</v>
          </cell>
          <cell r="E3262">
            <v>0</v>
          </cell>
          <cell r="F3262">
            <v>0</v>
          </cell>
          <cell r="AO3262">
            <v>0</v>
          </cell>
          <cell r="AP3262">
            <v>0</v>
          </cell>
          <cell r="AQ3262">
            <v>0</v>
          </cell>
          <cell r="BA3262">
            <v>0</v>
          </cell>
          <cell r="BC3262">
            <v>0</v>
          </cell>
        </row>
        <row r="3263">
          <cell r="A3263">
            <v>0</v>
          </cell>
          <cell r="B3263">
            <v>0</v>
          </cell>
          <cell r="E3263">
            <v>0</v>
          </cell>
          <cell r="F3263">
            <v>0</v>
          </cell>
          <cell r="AO3263">
            <v>0</v>
          </cell>
          <cell r="AP3263">
            <v>0</v>
          </cell>
          <cell r="AQ3263">
            <v>0</v>
          </cell>
          <cell r="BA3263">
            <v>0</v>
          </cell>
          <cell r="BC3263">
            <v>0</v>
          </cell>
        </row>
        <row r="3264">
          <cell r="A3264">
            <v>0</v>
          </cell>
          <cell r="B3264">
            <v>0</v>
          </cell>
          <cell r="E3264">
            <v>0</v>
          </cell>
          <cell r="F3264">
            <v>0</v>
          </cell>
          <cell r="AO3264">
            <v>0</v>
          </cell>
          <cell r="AP3264">
            <v>0</v>
          </cell>
          <cell r="AQ3264">
            <v>0</v>
          </cell>
          <cell r="BA3264">
            <v>0</v>
          </cell>
          <cell r="BC3264">
            <v>0</v>
          </cell>
        </row>
        <row r="3265">
          <cell r="A3265">
            <v>0</v>
          </cell>
          <cell r="B3265">
            <v>0</v>
          </cell>
          <cell r="E3265">
            <v>0</v>
          </cell>
          <cell r="F3265">
            <v>0</v>
          </cell>
          <cell r="AO3265">
            <v>0</v>
          </cell>
          <cell r="AP3265">
            <v>0</v>
          </cell>
          <cell r="AQ3265">
            <v>0</v>
          </cell>
          <cell r="BA3265">
            <v>0</v>
          </cell>
          <cell r="BC3265">
            <v>0</v>
          </cell>
        </row>
        <row r="3266">
          <cell r="A3266">
            <v>0</v>
          </cell>
          <cell r="B3266">
            <v>0</v>
          </cell>
          <cell r="E3266">
            <v>0</v>
          </cell>
          <cell r="F3266">
            <v>0</v>
          </cell>
          <cell r="AO3266">
            <v>0</v>
          </cell>
          <cell r="AP3266">
            <v>0</v>
          </cell>
          <cell r="AQ3266">
            <v>0</v>
          </cell>
          <cell r="BA3266">
            <v>0</v>
          </cell>
          <cell r="BC3266">
            <v>0</v>
          </cell>
        </row>
        <row r="3267">
          <cell r="A3267">
            <v>0</v>
          </cell>
          <cell r="B3267">
            <v>0</v>
          </cell>
          <cell r="E3267">
            <v>0</v>
          </cell>
          <cell r="F3267">
            <v>0</v>
          </cell>
          <cell r="AO3267">
            <v>0</v>
          </cell>
          <cell r="AP3267">
            <v>0</v>
          </cell>
          <cell r="AQ3267">
            <v>0</v>
          </cell>
          <cell r="BA3267">
            <v>0</v>
          </cell>
          <cell r="BC3267">
            <v>0</v>
          </cell>
        </row>
        <row r="3268">
          <cell r="A3268">
            <v>0</v>
          </cell>
          <cell r="B3268">
            <v>0</v>
          </cell>
          <cell r="E3268">
            <v>0</v>
          </cell>
          <cell r="F3268">
            <v>0</v>
          </cell>
          <cell r="AO3268">
            <v>0</v>
          </cell>
          <cell r="AP3268">
            <v>0</v>
          </cell>
          <cell r="AQ3268">
            <v>0</v>
          </cell>
          <cell r="BA3268">
            <v>0</v>
          </cell>
          <cell r="BC3268">
            <v>0</v>
          </cell>
        </row>
        <row r="3269">
          <cell r="A3269">
            <v>0</v>
          </cell>
          <cell r="B3269">
            <v>0</v>
          </cell>
          <cell r="E3269">
            <v>0</v>
          </cell>
          <cell r="F3269">
            <v>0</v>
          </cell>
          <cell r="AO3269">
            <v>0</v>
          </cell>
          <cell r="AP3269">
            <v>0</v>
          </cell>
          <cell r="AQ3269">
            <v>0</v>
          </cell>
          <cell r="BA3269">
            <v>0</v>
          </cell>
          <cell r="BC3269">
            <v>0</v>
          </cell>
        </row>
        <row r="3270">
          <cell r="A3270">
            <v>0</v>
          </cell>
          <cell r="B3270">
            <v>0</v>
          </cell>
          <cell r="E3270">
            <v>0</v>
          </cell>
          <cell r="F3270">
            <v>0</v>
          </cell>
          <cell r="AO3270">
            <v>0</v>
          </cell>
          <cell r="AP3270">
            <v>0</v>
          </cell>
          <cell r="AQ3270">
            <v>0</v>
          </cell>
          <cell r="BA3270">
            <v>0</v>
          </cell>
          <cell r="BC3270">
            <v>0</v>
          </cell>
        </row>
        <row r="3271">
          <cell r="A3271">
            <v>0</v>
          </cell>
          <cell r="B3271">
            <v>0</v>
          </cell>
          <cell r="E3271">
            <v>0</v>
          </cell>
          <cell r="F3271">
            <v>0</v>
          </cell>
          <cell r="AO3271">
            <v>0</v>
          </cell>
          <cell r="AP3271">
            <v>0</v>
          </cell>
          <cell r="AQ3271">
            <v>0</v>
          </cell>
          <cell r="BA3271">
            <v>0</v>
          </cell>
          <cell r="BC3271">
            <v>0</v>
          </cell>
        </row>
        <row r="3272">
          <cell r="A3272">
            <v>0</v>
          </cell>
          <cell r="B3272">
            <v>0</v>
          </cell>
          <cell r="E3272">
            <v>0</v>
          </cell>
          <cell r="F3272">
            <v>0</v>
          </cell>
          <cell r="AO3272">
            <v>0</v>
          </cell>
          <cell r="AP3272">
            <v>0</v>
          </cell>
          <cell r="AQ3272">
            <v>0</v>
          </cell>
          <cell r="BA3272">
            <v>0</v>
          </cell>
          <cell r="BC3272">
            <v>0</v>
          </cell>
        </row>
        <row r="3273">
          <cell r="A3273">
            <v>0</v>
          </cell>
          <cell r="B3273">
            <v>0</v>
          </cell>
          <cell r="E3273">
            <v>0</v>
          </cell>
          <cell r="F3273">
            <v>0</v>
          </cell>
          <cell r="AO3273">
            <v>0</v>
          </cell>
          <cell r="AP3273">
            <v>0</v>
          </cell>
          <cell r="AQ3273">
            <v>0</v>
          </cell>
          <cell r="BA3273">
            <v>0</v>
          </cell>
          <cell r="BC3273">
            <v>0</v>
          </cell>
        </row>
        <row r="3274">
          <cell r="A3274">
            <v>0</v>
          </cell>
          <cell r="B3274">
            <v>0</v>
          </cell>
          <cell r="E3274">
            <v>0</v>
          </cell>
          <cell r="F3274">
            <v>0</v>
          </cell>
          <cell r="AO3274">
            <v>0</v>
          </cell>
          <cell r="AP3274">
            <v>0</v>
          </cell>
          <cell r="AQ3274">
            <v>0</v>
          </cell>
          <cell r="BA3274">
            <v>0</v>
          </cell>
          <cell r="BC3274">
            <v>0</v>
          </cell>
        </row>
        <row r="3275">
          <cell r="A3275">
            <v>0</v>
          </cell>
          <cell r="B3275">
            <v>0</v>
          </cell>
          <cell r="E3275">
            <v>0</v>
          </cell>
          <cell r="F3275">
            <v>0</v>
          </cell>
          <cell r="AO3275">
            <v>0</v>
          </cell>
          <cell r="AP3275">
            <v>0</v>
          </cell>
          <cell r="AQ3275">
            <v>0</v>
          </cell>
          <cell r="BA3275">
            <v>0</v>
          </cell>
          <cell r="BC3275">
            <v>0</v>
          </cell>
        </row>
        <row r="3276">
          <cell r="A3276">
            <v>0</v>
          </cell>
          <cell r="B3276">
            <v>0</v>
          </cell>
          <cell r="E3276">
            <v>0</v>
          </cell>
          <cell r="F3276">
            <v>0</v>
          </cell>
          <cell r="AO3276">
            <v>0</v>
          </cell>
          <cell r="AP3276">
            <v>0</v>
          </cell>
          <cell r="AQ3276">
            <v>0</v>
          </cell>
          <cell r="BA3276">
            <v>0</v>
          </cell>
          <cell r="BC3276">
            <v>0</v>
          </cell>
        </row>
        <row r="3277">
          <cell r="A3277">
            <v>0</v>
          </cell>
          <cell r="B3277">
            <v>0</v>
          </cell>
          <cell r="E3277">
            <v>0</v>
          </cell>
          <cell r="F3277">
            <v>0</v>
          </cell>
          <cell r="AO3277">
            <v>0</v>
          </cell>
          <cell r="AP3277">
            <v>0</v>
          </cell>
          <cell r="AQ3277">
            <v>0</v>
          </cell>
          <cell r="BA3277">
            <v>0</v>
          </cell>
          <cell r="BC3277">
            <v>0</v>
          </cell>
        </row>
        <row r="3278">
          <cell r="A3278">
            <v>0</v>
          </cell>
          <cell r="B3278">
            <v>0</v>
          </cell>
          <cell r="E3278">
            <v>0</v>
          </cell>
          <cell r="F3278">
            <v>0</v>
          </cell>
          <cell r="AO3278">
            <v>0</v>
          </cell>
          <cell r="AP3278">
            <v>0</v>
          </cell>
          <cell r="AQ3278">
            <v>0</v>
          </cell>
          <cell r="BA3278">
            <v>0</v>
          </cell>
          <cell r="BC3278">
            <v>0</v>
          </cell>
        </row>
        <row r="3279">
          <cell r="A3279">
            <v>0</v>
          </cell>
          <cell r="B3279">
            <v>0</v>
          </cell>
          <cell r="E3279">
            <v>0</v>
          </cell>
          <cell r="F3279">
            <v>0</v>
          </cell>
          <cell r="AO3279">
            <v>0</v>
          </cell>
          <cell r="AP3279">
            <v>0</v>
          </cell>
          <cell r="AQ3279">
            <v>0</v>
          </cell>
          <cell r="BA3279">
            <v>0</v>
          </cell>
          <cell r="BC3279">
            <v>0</v>
          </cell>
        </row>
        <row r="3280">
          <cell r="A3280">
            <v>0</v>
          </cell>
          <cell r="B3280">
            <v>0</v>
          </cell>
          <cell r="E3280">
            <v>0</v>
          </cell>
          <cell r="F3280">
            <v>0</v>
          </cell>
          <cell r="AO3280">
            <v>0</v>
          </cell>
          <cell r="AP3280">
            <v>0</v>
          </cell>
          <cell r="AQ3280">
            <v>0</v>
          </cell>
          <cell r="BA3280">
            <v>0</v>
          </cell>
          <cell r="BC3280">
            <v>0</v>
          </cell>
        </row>
        <row r="3281">
          <cell r="A3281">
            <v>0</v>
          </cell>
          <cell r="B3281">
            <v>0</v>
          </cell>
          <cell r="E3281">
            <v>0</v>
          </cell>
          <cell r="F3281">
            <v>0</v>
          </cell>
          <cell r="AO3281">
            <v>0</v>
          </cell>
          <cell r="AP3281">
            <v>0</v>
          </cell>
          <cell r="AQ3281">
            <v>0</v>
          </cell>
          <cell r="BA3281">
            <v>0</v>
          </cell>
          <cell r="BC3281">
            <v>0</v>
          </cell>
        </row>
        <row r="3282">
          <cell r="A3282">
            <v>0</v>
          </cell>
          <cell r="B3282">
            <v>0</v>
          </cell>
          <cell r="E3282">
            <v>0</v>
          </cell>
          <cell r="F3282">
            <v>0</v>
          </cell>
          <cell r="AO3282">
            <v>0</v>
          </cell>
          <cell r="AP3282">
            <v>0</v>
          </cell>
          <cell r="AQ3282">
            <v>0</v>
          </cell>
          <cell r="BA3282">
            <v>0</v>
          </cell>
          <cell r="BC3282">
            <v>0</v>
          </cell>
        </row>
        <row r="3283">
          <cell r="A3283">
            <v>0</v>
          </cell>
          <cell r="B3283">
            <v>0</v>
          </cell>
          <cell r="E3283">
            <v>0</v>
          </cell>
          <cell r="F3283">
            <v>0</v>
          </cell>
          <cell r="AO3283">
            <v>0</v>
          </cell>
          <cell r="AP3283">
            <v>0</v>
          </cell>
          <cell r="AQ3283">
            <v>0</v>
          </cell>
          <cell r="BA3283">
            <v>0</v>
          </cell>
          <cell r="BC3283">
            <v>0</v>
          </cell>
        </row>
        <row r="3284">
          <cell r="A3284">
            <v>0</v>
          </cell>
          <cell r="B3284">
            <v>0</v>
          </cell>
          <cell r="E3284">
            <v>0</v>
          </cell>
          <cell r="F3284">
            <v>0</v>
          </cell>
          <cell r="AO3284">
            <v>0</v>
          </cell>
          <cell r="AP3284">
            <v>0</v>
          </cell>
          <cell r="AQ3284">
            <v>0</v>
          </cell>
          <cell r="BA3284">
            <v>0</v>
          </cell>
          <cell r="BC3284">
            <v>0</v>
          </cell>
        </row>
        <row r="3285">
          <cell r="A3285">
            <v>0</v>
          </cell>
          <cell r="B3285">
            <v>0</v>
          </cell>
          <cell r="E3285">
            <v>0</v>
          </cell>
          <cell r="F3285">
            <v>0</v>
          </cell>
          <cell r="AO3285">
            <v>0</v>
          </cell>
          <cell r="AP3285">
            <v>0</v>
          </cell>
          <cell r="AQ3285">
            <v>0</v>
          </cell>
          <cell r="BA3285">
            <v>0</v>
          </cell>
          <cell r="BC3285">
            <v>0</v>
          </cell>
        </row>
        <row r="3286">
          <cell r="A3286">
            <v>0</v>
          </cell>
          <cell r="B3286">
            <v>0</v>
          </cell>
          <cell r="E3286">
            <v>0</v>
          </cell>
          <cell r="F3286">
            <v>0</v>
          </cell>
          <cell r="AO3286">
            <v>0</v>
          </cell>
          <cell r="AP3286">
            <v>0</v>
          </cell>
          <cell r="AQ3286">
            <v>0</v>
          </cell>
          <cell r="BA3286">
            <v>0</v>
          </cell>
          <cell r="BC3286">
            <v>0</v>
          </cell>
        </row>
        <row r="3287">
          <cell r="A3287">
            <v>0</v>
          </cell>
          <cell r="B3287">
            <v>0</v>
          </cell>
          <cell r="E3287">
            <v>0</v>
          </cell>
          <cell r="F3287">
            <v>0</v>
          </cell>
          <cell r="AO3287">
            <v>0</v>
          </cell>
          <cell r="AP3287">
            <v>0</v>
          </cell>
          <cell r="AQ3287">
            <v>0</v>
          </cell>
          <cell r="BA3287">
            <v>0</v>
          </cell>
          <cell r="BC3287">
            <v>0</v>
          </cell>
        </row>
        <row r="3288">
          <cell r="A3288">
            <v>0</v>
          </cell>
          <cell r="B3288">
            <v>0</v>
          </cell>
          <cell r="E3288">
            <v>0</v>
          </cell>
          <cell r="F3288">
            <v>0</v>
          </cell>
          <cell r="AO3288">
            <v>0</v>
          </cell>
          <cell r="AP3288">
            <v>0</v>
          </cell>
          <cell r="AQ3288">
            <v>0</v>
          </cell>
          <cell r="BA3288">
            <v>0</v>
          </cell>
          <cell r="BC3288">
            <v>0</v>
          </cell>
        </row>
        <row r="3289">
          <cell r="A3289">
            <v>0</v>
          </cell>
          <cell r="B3289">
            <v>0</v>
          </cell>
          <cell r="E3289">
            <v>0</v>
          </cell>
          <cell r="F3289">
            <v>0</v>
          </cell>
          <cell r="AO3289">
            <v>0</v>
          </cell>
          <cell r="AP3289">
            <v>0</v>
          </cell>
          <cell r="AQ3289">
            <v>0</v>
          </cell>
          <cell r="BA3289">
            <v>0</v>
          </cell>
          <cell r="BC3289">
            <v>0</v>
          </cell>
        </row>
        <row r="3290">
          <cell r="A3290">
            <v>0</v>
          </cell>
          <cell r="B3290">
            <v>0</v>
          </cell>
          <cell r="E3290">
            <v>0</v>
          </cell>
          <cell r="F3290">
            <v>0</v>
          </cell>
          <cell r="AO3290">
            <v>0</v>
          </cell>
          <cell r="AP3290">
            <v>0</v>
          </cell>
          <cell r="AQ3290">
            <v>0</v>
          </cell>
          <cell r="BA3290">
            <v>0</v>
          </cell>
          <cell r="BC3290">
            <v>0</v>
          </cell>
        </row>
        <row r="3291">
          <cell r="A3291">
            <v>0</v>
          </cell>
          <cell r="B3291">
            <v>0</v>
          </cell>
          <cell r="E3291">
            <v>0</v>
          </cell>
          <cell r="F3291">
            <v>0</v>
          </cell>
          <cell r="AO3291">
            <v>0</v>
          </cell>
          <cell r="AP3291">
            <v>0</v>
          </cell>
          <cell r="AQ3291">
            <v>0</v>
          </cell>
          <cell r="BA3291">
            <v>0</v>
          </cell>
          <cell r="BC3291">
            <v>0</v>
          </cell>
        </row>
        <row r="3292">
          <cell r="A3292">
            <v>0</v>
          </cell>
          <cell r="B3292">
            <v>0</v>
          </cell>
          <cell r="E3292">
            <v>0</v>
          </cell>
          <cell r="F3292">
            <v>0</v>
          </cell>
          <cell r="AO3292">
            <v>0</v>
          </cell>
          <cell r="AP3292">
            <v>0</v>
          </cell>
          <cell r="AQ3292">
            <v>0</v>
          </cell>
          <cell r="BA3292">
            <v>0</v>
          </cell>
          <cell r="BC3292">
            <v>0</v>
          </cell>
        </row>
        <row r="3293">
          <cell r="A3293">
            <v>0</v>
          </cell>
          <cell r="B3293">
            <v>0</v>
          </cell>
          <cell r="E3293">
            <v>0</v>
          </cell>
          <cell r="F3293">
            <v>0</v>
          </cell>
          <cell r="AO3293">
            <v>0</v>
          </cell>
          <cell r="AP3293">
            <v>0</v>
          </cell>
          <cell r="AQ3293">
            <v>0</v>
          </cell>
          <cell r="BA3293">
            <v>0</v>
          </cell>
          <cell r="BC3293">
            <v>0</v>
          </cell>
        </row>
        <row r="3294">
          <cell r="A3294">
            <v>0</v>
          </cell>
          <cell r="B3294">
            <v>0</v>
          </cell>
          <cell r="E3294">
            <v>0</v>
          </cell>
          <cell r="F3294">
            <v>0</v>
          </cell>
          <cell r="AO3294">
            <v>0</v>
          </cell>
          <cell r="AP3294">
            <v>0</v>
          </cell>
          <cell r="AQ3294">
            <v>0</v>
          </cell>
          <cell r="BA3294">
            <v>0</v>
          </cell>
          <cell r="BC3294">
            <v>0</v>
          </cell>
        </row>
        <row r="3295">
          <cell r="A3295">
            <v>0</v>
          </cell>
          <cell r="B3295">
            <v>0</v>
          </cell>
          <cell r="E3295">
            <v>0</v>
          </cell>
          <cell r="F3295">
            <v>0</v>
          </cell>
          <cell r="AO3295">
            <v>0</v>
          </cell>
          <cell r="AP3295">
            <v>0</v>
          </cell>
          <cell r="AQ3295">
            <v>0</v>
          </cell>
          <cell r="BA3295">
            <v>0</v>
          </cell>
          <cell r="BC3295">
            <v>0</v>
          </cell>
        </row>
        <row r="3296">
          <cell r="A3296">
            <v>0</v>
          </cell>
          <cell r="B3296">
            <v>0</v>
          </cell>
          <cell r="E3296">
            <v>0</v>
          </cell>
          <cell r="F3296">
            <v>0</v>
          </cell>
          <cell r="AO3296">
            <v>0</v>
          </cell>
          <cell r="AP3296">
            <v>0</v>
          </cell>
          <cell r="AQ3296">
            <v>0</v>
          </cell>
          <cell r="BA3296">
            <v>0</v>
          </cell>
          <cell r="BC3296">
            <v>0</v>
          </cell>
        </row>
        <row r="3297">
          <cell r="A3297">
            <v>0</v>
          </cell>
          <cell r="B3297">
            <v>0</v>
          </cell>
          <cell r="E3297">
            <v>0</v>
          </cell>
          <cell r="F3297">
            <v>0</v>
          </cell>
          <cell r="AO3297">
            <v>0</v>
          </cell>
          <cell r="AP3297">
            <v>0</v>
          </cell>
          <cell r="AQ3297">
            <v>0</v>
          </cell>
          <cell r="BA3297">
            <v>0</v>
          </cell>
          <cell r="BC3297">
            <v>0</v>
          </cell>
        </row>
        <row r="3298">
          <cell r="A3298">
            <v>0</v>
          </cell>
          <cell r="B3298">
            <v>0</v>
          </cell>
          <cell r="E3298">
            <v>0</v>
          </cell>
          <cell r="F3298">
            <v>0</v>
          </cell>
          <cell r="AO3298">
            <v>0</v>
          </cell>
          <cell r="AP3298">
            <v>0</v>
          </cell>
          <cell r="AQ3298">
            <v>0</v>
          </cell>
          <cell r="BA3298">
            <v>0</v>
          </cell>
          <cell r="BC3298">
            <v>0</v>
          </cell>
        </row>
        <row r="3299">
          <cell r="A3299">
            <v>0</v>
          </cell>
          <cell r="B3299">
            <v>0</v>
          </cell>
          <cell r="E3299">
            <v>0</v>
          </cell>
          <cell r="F3299">
            <v>0</v>
          </cell>
          <cell r="AO3299">
            <v>0</v>
          </cell>
          <cell r="AP3299">
            <v>0</v>
          </cell>
          <cell r="AQ3299">
            <v>0</v>
          </cell>
          <cell r="BA3299">
            <v>0</v>
          </cell>
          <cell r="BC3299">
            <v>0</v>
          </cell>
        </row>
        <row r="3300">
          <cell r="A3300">
            <v>0</v>
          </cell>
          <cell r="B3300">
            <v>0</v>
          </cell>
          <cell r="E3300">
            <v>0</v>
          </cell>
          <cell r="F3300">
            <v>0</v>
          </cell>
          <cell r="AO3300">
            <v>0</v>
          </cell>
          <cell r="AP3300">
            <v>0</v>
          </cell>
          <cell r="AQ3300">
            <v>0</v>
          </cell>
          <cell r="BA3300">
            <v>0</v>
          </cell>
          <cell r="BC3300">
            <v>0</v>
          </cell>
        </row>
        <row r="3301">
          <cell r="A3301">
            <v>0</v>
          </cell>
          <cell r="B3301">
            <v>0</v>
          </cell>
          <cell r="E3301">
            <v>0</v>
          </cell>
          <cell r="F3301">
            <v>0</v>
          </cell>
          <cell r="AO3301">
            <v>0</v>
          </cell>
          <cell r="AP3301">
            <v>0</v>
          </cell>
          <cell r="AQ3301">
            <v>0</v>
          </cell>
          <cell r="BA3301">
            <v>0</v>
          </cell>
          <cell r="BC3301">
            <v>0</v>
          </cell>
        </row>
        <row r="3302">
          <cell r="A3302">
            <v>0</v>
          </cell>
          <cell r="B3302">
            <v>0</v>
          </cell>
          <cell r="E3302">
            <v>0</v>
          </cell>
          <cell r="F3302">
            <v>0</v>
          </cell>
          <cell r="AO3302">
            <v>0</v>
          </cell>
          <cell r="AP3302">
            <v>0</v>
          </cell>
          <cell r="AQ3302">
            <v>0</v>
          </cell>
          <cell r="BA3302">
            <v>0</v>
          </cell>
          <cell r="BC3302">
            <v>0</v>
          </cell>
        </row>
        <row r="3303">
          <cell r="A3303">
            <v>0</v>
          </cell>
          <cell r="B3303">
            <v>0</v>
          </cell>
          <cell r="E3303">
            <v>0</v>
          </cell>
          <cell r="F3303">
            <v>0</v>
          </cell>
          <cell r="AO3303">
            <v>0</v>
          </cell>
          <cell r="AP3303">
            <v>0</v>
          </cell>
          <cell r="AQ3303">
            <v>0</v>
          </cell>
          <cell r="BA3303">
            <v>0</v>
          </cell>
          <cell r="BC3303">
            <v>0</v>
          </cell>
        </row>
        <row r="3304">
          <cell r="A3304">
            <v>0</v>
          </cell>
          <cell r="B3304">
            <v>0</v>
          </cell>
          <cell r="E3304">
            <v>0</v>
          </cell>
          <cell r="F3304">
            <v>0</v>
          </cell>
          <cell r="AO3304">
            <v>0</v>
          </cell>
          <cell r="AP3304">
            <v>0</v>
          </cell>
          <cell r="AQ3304">
            <v>0</v>
          </cell>
          <cell r="BA3304">
            <v>0</v>
          </cell>
          <cell r="BC3304">
            <v>0</v>
          </cell>
        </row>
        <row r="3305">
          <cell r="A3305">
            <v>0</v>
          </cell>
          <cell r="B3305">
            <v>0</v>
          </cell>
          <cell r="E3305">
            <v>0</v>
          </cell>
          <cell r="F3305">
            <v>0</v>
          </cell>
          <cell r="AO3305">
            <v>0</v>
          </cell>
          <cell r="AP3305">
            <v>0</v>
          </cell>
          <cell r="AQ3305">
            <v>0</v>
          </cell>
          <cell r="BA3305">
            <v>0</v>
          </cell>
          <cell r="BC3305">
            <v>0</v>
          </cell>
        </row>
        <row r="3306">
          <cell r="A3306">
            <v>0</v>
          </cell>
          <cell r="B3306">
            <v>0</v>
          </cell>
          <cell r="E3306">
            <v>0</v>
          </cell>
          <cell r="F3306">
            <v>0</v>
          </cell>
          <cell r="AO3306">
            <v>0</v>
          </cell>
          <cell r="AP3306">
            <v>0</v>
          </cell>
          <cell r="AQ3306">
            <v>0</v>
          </cell>
          <cell r="BA3306">
            <v>0</v>
          </cell>
          <cell r="BC3306">
            <v>0</v>
          </cell>
        </row>
        <row r="3307">
          <cell r="A3307">
            <v>0</v>
          </cell>
          <cell r="B3307">
            <v>0</v>
          </cell>
          <cell r="E3307">
            <v>0</v>
          </cell>
          <cell r="F3307">
            <v>0</v>
          </cell>
          <cell r="AO3307">
            <v>0</v>
          </cell>
          <cell r="AP3307">
            <v>0</v>
          </cell>
          <cell r="AQ3307">
            <v>0</v>
          </cell>
          <cell r="BA3307">
            <v>0</v>
          </cell>
          <cell r="BC3307">
            <v>0</v>
          </cell>
        </row>
        <row r="3308">
          <cell r="A3308">
            <v>0</v>
          </cell>
          <cell r="B3308">
            <v>0</v>
          </cell>
          <cell r="E3308">
            <v>0</v>
          </cell>
          <cell r="F3308">
            <v>0</v>
          </cell>
          <cell r="AO3308">
            <v>0</v>
          </cell>
          <cell r="AP3308">
            <v>0</v>
          </cell>
          <cell r="AQ3308">
            <v>0</v>
          </cell>
          <cell r="BA3308">
            <v>0</v>
          </cell>
          <cell r="BC3308">
            <v>0</v>
          </cell>
        </row>
        <row r="3309">
          <cell r="A3309">
            <v>0</v>
          </cell>
          <cell r="B3309">
            <v>0</v>
          </cell>
          <cell r="E3309">
            <v>0</v>
          </cell>
          <cell r="F3309">
            <v>0</v>
          </cell>
          <cell r="AO3309">
            <v>0</v>
          </cell>
          <cell r="AP3309">
            <v>0</v>
          </cell>
          <cell r="AQ3309">
            <v>0</v>
          </cell>
          <cell r="BA3309">
            <v>0</v>
          </cell>
          <cell r="BC3309">
            <v>0</v>
          </cell>
        </row>
        <row r="3310">
          <cell r="A3310">
            <v>0</v>
          </cell>
          <cell r="B3310">
            <v>0</v>
          </cell>
          <cell r="E3310">
            <v>0</v>
          </cell>
          <cell r="F3310">
            <v>0</v>
          </cell>
          <cell r="AO3310">
            <v>0</v>
          </cell>
          <cell r="AP3310">
            <v>0</v>
          </cell>
          <cell r="AQ3310">
            <v>0</v>
          </cell>
          <cell r="BA3310">
            <v>0</v>
          </cell>
          <cell r="BC3310">
            <v>0</v>
          </cell>
        </row>
        <row r="3311">
          <cell r="A3311">
            <v>0</v>
          </cell>
          <cell r="B3311">
            <v>0</v>
          </cell>
          <cell r="E3311">
            <v>0</v>
          </cell>
          <cell r="F3311">
            <v>0</v>
          </cell>
          <cell r="AO3311">
            <v>0</v>
          </cell>
          <cell r="AP3311">
            <v>0</v>
          </cell>
          <cell r="AQ3311">
            <v>0</v>
          </cell>
          <cell r="BA3311">
            <v>0</v>
          </cell>
          <cell r="BC3311">
            <v>0</v>
          </cell>
        </row>
        <row r="3312">
          <cell r="A3312">
            <v>0</v>
          </cell>
          <cell r="B3312">
            <v>0</v>
          </cell>
          <cell r="E3312">
            <v>0</v>
          </cell>
          <cell r="F3312">
            <v>0</v>
          </cell>
          <cell r="AO3312">
            <v>0</v>
          </cell>
          <cell r="AP3312">
            <v>0</v>
          </cell>
          <cell r="AQ3312">
            <v>0</v>
          </cell>
          <cell r="BA3312">
            <v>0</v>
          </cell>
          <cell r="BC3312">
            <v>0</v>
          </cell>
        </row>
        <row r="3313">
          <cell r="A3313">
            <v>0</v>
          </cell>
          <cell r="B3313">
            <v>0</v>
          </cell>
          <cell r="E3313">
            <v>0</v>
          </cell>
          <cell r="F3313">
            <v>0</v>
          </cell>
          <cell r="AO3313">
            <v>0</v>
          </cell>
          <cell r="AP3313">
            <v>0</v>
          </cell>
          <cell r="AQ3313">
            <v>0</v>
          </cell>
          <cell r="BA3313">
            <v>0</v>
          </cell>
          <cell r="BC3313">
            <v>0</v>
          </cell>
        </row>
        <row r="3314">
          <cell r="A3314">
            <v>0</v>
          </cell>
          <cell r="B3314">
            <v>0</v>
          </cell>
          <cell r="E3314">
            <v>0</v>
          </cell>
          <cell r="F3314">
            <v>0</v>
          </cell>
          <cell r="AO3314">
            <v>0</v>
          </cell>
          <cell r="AP3314">
            <v>0</v>
          </cell>
          <cell r="AQ3314">
            <v>0</v>
          </cell>
          <cell r="BA3314">
            <v>0</v>
          </cell>
          <cell r="BC3314">
            <v>0</v>
          </cell>
        </row>
        <row r="3315">
          <cell r="A3315">
            <v>0</v>
          </cell>
          <cell r="B3315">
            <v>0</v>
          </cell>
          <cell r="E3315">
            <v>0</v>
          </cell>
          <cell r="F3315">
            <v>0</v>
          </cell>
          <cell r="AO3315">
            <v>0</v>
          </cell>
          <cell r="AP3315">
            <v>0</v>
          </cell>
          <cell r="AQ3315">
            <v>0</v>
          </cell>
          <cell r="BA3315">
            <v>0</v>
          </cell>
          <cell r="BC3315">
            <v>0</v>
          </cell>
        </row>
        <row r="3316">
          <cell r="A3316">
            <v>0</v>
          </cell>
          <cell r="B3316">
            <v>0</v>
          </cell>
          <cell r="E3316">
            <v>0</v>
          </cell>
          <cell r="F3316">
            <v>0</v>
          </cell>
          <cell r="AO3316">
            <v>0</v>
          </cell>
          <cell r="AP3316">
            <v>0</v>
          </cell>
          <cell r="AQ3316">
            <v>0</v>
          </cell>
          <cell r="BA3316">
            <v>0</v>
          </cell>
          <cell r="BC3316">
            <v>0</v>
          </cell>
        </row>
        <row r="3317">
          <cell r="A3317">
            <v>0</v>
          </cell>
          <cell r="B3317">
            <v>0</v>
          </cell>
          <cell r="E3317">
            <v>0</v>
          </cell>
          <cell r="F3317">
            <v>0</v>
          </cell>
          <cell r="AO3317">
            <v>0</v>
          </cell>
          <cell r="AP3317">
            <v>0</v>
          </cell>
          <cell r="AQ3317">
            <v>0</v>
          </cell>
          <cell r="BA3317">
            <v>0</v>
          </cell>
          <cell r="BC3317">
            <v>0</v>
          </cell>
        </row>
        <row r="3318">
          <cell r="A3318">
            <v>0</v>
          </cell>
          <cell r="B3318">
            <v>0</v>
          </cell>
          <cell r="E3318">
            <v>0</v>
          </cell>
          <cell r="F3318">
            <v>0</v>
          </cell>
          <cell r="AO3318">
            <v>0</v>
          </cell>
          <cell r="AP3318">
            <v>0</v>
          </cell>
          <cell r="AQ3318">
            <v>0</v>
          </cell>
          <cell r="BA3318">
            <v>0</v>
          </cell>
          <cell r="BC3318">
            <v>0</v>
          </cell>
        </row>
        <row r="3319">
          <cell r="A3319">
            <v>0</v>
          </cell>
          <cell r="B3319">
            <v>0</v>
          </cell>
          <cell r="E3319">
            <v>0</v>
          </cell>
          <cell r="F3319">
            <v>0</v>
          </cell>
          <cell r="AO3319">
            <v>0</v>
          </cell>
          <cell r="AP3319">
            <v>0</v>
          </cell>
          <cell r="AQ3319">
            <v>0</v>
          </cell>
          <cell r="BA3319">
            <v>0</v>
          </cell>
          <cell r="BC3319">
            <v>0</v>
          </cell>
        </row>
        <row r="3320">
          <cell r="A3320">
            <v>0</v>
          </cell>
          <cell r="B3320">
            <v>0</v>
          </cell>
          <cell r="E3320">
            <v>0</v>
          </cell>
          <cell r="F3320">
            <v>0</v>
          </cell>
          <cell r="AO3320">
            <v>0</v>
          </cell>
          <cell r="AP3320">
            <v>0</v>
          </cell>
          <cell r="AQ3320">
            <v>0</v>
          </cell>
          <cell r="BA3320">
            <v>0</v>
          </cell>
          <cell r="BC3320">
            <v>0</v>
          </cell>
        </row>
        <row r="3321">
          <cell r="A3321">
            <v>0</v>
          </cell>
          <cell r="B3321">
            <v>0</v>
          </cell>
          <cell r="E3321">
            <v>0</v>
          </cell>
          <cell r="F3321">
            <v>0</v>
          </cell>
          <cell r="AO3321">
            <v>0</v>
          </cell>
          <cell r="AP3321">
            <v>0</v>
          </cell>
          <cell r="AQ3321">
            <v>0</v>
          </cell>
          <cell r="BA3321">
            <v>0</v>
          </cell>
          <cell r="BC3321">
            <v>0</v>
          </cell>
        </row>
        <row r="3322">
          <cell r="A3322">
            <v>0</v>
          </cell>
          <cell r="B3322">
            <v>0</v>
          </cell>
          <cell r="E3322">
            <v>0</v>
          </cell>
          <cell r="F3322">
            <v>0</v>
          </cell>
          <cell r="AO3322">
            <v>0</v>
          </cell>
          <cell r="AP3322">
            <v>0</v>
          </cell>
          <cell r="AQ3322">
            <v>0</v>
          </cell>
          <cell r="BA3322">
            <v>0</v>
          </cell>
          <cell r="BC3322">
            <v>0</v>
          </cell>
        </row>
        <row r="3323">
          <cell r="A3323">
            <v>0</v>
          </cell>
          <cell r="B3323">
            <v>0</v>
          </cell>
          <cell r="E3323">
            <v>0</v>
          </cell>
          <cell r="F3323">
            <v>0</v>
          </cell>
          <cell r="AO3323">
            <v>0</v>
          </cell>
          <cell r="AP3323">
            <v>0</v>
          </cell>
          <cell r="AQ3323">
            <v>0</v>
          </cell>
          <cell r="BA3323">
            <v>0</v>
          </cell>
          <cell r="BC3323">
            <v>0</v>
          </cell>
        </row>
        <row r="3324">
          <cell r="A3324">
            <v>0</v>
          </cell>
          <cell r="B3324">
            <v>0</v>
          </cell>
          <cell r="E3324">
            <v>0</v>
          </cell>
          <cell r="F3324">
            <v>0</v>
          </cell>
          <cell r="AO3324">
            <v>0</v>
          </cell>
          <cell r="AP3324">
            <v>0</v>
          </cell>
          <cell r="AQ3324">
            <v>0</v>
          </cell>
          <cell r="BA3324">
            <v>0</v>
          </cell>
          <cell r="BC3324">
            <v>0</v>
          </cell>
        </row>
        <row r="3325">
          <cell r="A3325">
            <v>0</v>
          </cell>
          <cell r="B3325">
            <v>0</v>
          </cell>
          <cell r="E3325">
            <v>0</v>
          </cell>
          <cell r="F3325">
            <v>0</v>
          </cell>
          <cell r="AO3325">
            <v>0</v>
          </cell>
          <cell r="AP3325">
            <v>0</v>
          </cell>
          <cell r="AQ3325">
            <v>0</v>
          </cell>
          <cell r="BA3325">
            <v>0</v>
          </cell>
          <cell r="BC3325">
            <v>0</v>
          </cell>
        </row>
        <row r="3326">
          <cell r="A3326">
            <v>0</v>
          </cell>
          <cell r="B3326">
            <v>0</v>
          </cell>
          <cell r="E3326">
            <v>0</v>
          </cell>
          <cell r="F3326">
            <v>0</v>
          </cell>
          <cell r="AO3326">
            <v>0</v>
          </cell>
          <cell r="AP3326">
            <v>0</v>
          </cell>
          <cell r="AQ3326">
            <v>0</v>
          </cell>
          <cell r="BA3326">
            <v>0</v>
          </cell>
          <cell r="BC3326">
            <v>0</v>
          </cell>
        </row>
        <row r="3327">
          <cell r="A3327">
            <v>0</v>
          </cell>
          <cell r="B3327">
            <v>0</v>
          </cell>
          <cell r="E3327">
            <v>0</v>
          </cell>
          <cell r="F3327">
            <v>0</v>
          </cell>
          <cell r="AO3327">
            <v>0</v>
          </cell>
          <cell r="AP3327">
            <v>0</v>
          </cell>
          <cell r="AQ3327">
            <v>0</v>
          </cell>
          <cell r="BA3327">
            <v>0</v>
          </cell>
          <cell r="BC3327">
            <v>0</v>
          </cell>
        </row>
        <row r="3328">
          <cell r="A3328">
            <v>0</v>
          </cell>
          <cell r="B3328">
            <v>0</v>
          </cell>
          <cell r="E3328">
            <v>0</v>
          </cell>
          <cell r="F3328">
            <v>0</v>
          </cell>
          <cell r="AO3328">
            <v>0</v>
          </cell>
          <cell r="AP3328">
            <v>0</v>
          </cell>
          <cell r="AQ3328">
            <v>0</v>
          </cell>
          <cell r="BA3328">
            <v>0</v>
          </cell>
          <cell r="BC3328">
            <v>0</v>
          </cell>
        </row>
        <row r="3329">
          <cell r="A3329">
            <v>0</v>
          </cell>
          <cell r="B3329">
            <v>0</v>
          </cell>
          <cell r="E3329">
            <v>0</v>
          </cell>
          <cell r="F3329">
            <v>0</v>
          </cell>
          <cell r="AO3329">
            <v>0</v>
          </cell>
          <cell r="AP3329">
            <v>0</v>
          </cell>
          <cell r="AQ3329">
            <v>0</v>
          </cell>
          <cell r="BA3329">
            <v>0</v>
          </cell>
          <cell r="BC3329">
            <v>0</v>
          </cell>
        </row>
        <row r="3330">
          <cell r="A3330">
            <v>0</v>
          </cell>
          <cell r="B3330">
            <v>0</v>
          </cell>
          <cell r="E3330">
            <v>0</v>
          </cell>
          <cell r="F3330">
            <v>0</v>
          </cell>
          <cell r="AO3330">
            <v>0</v>
          </cell>
          <cell r="AP3330">
            <v>0</v>
          </cell>
          <cell r="AQ3330">
            <v>0</v>
          </cell>
          <cell r="BA3330">
            <v>0</v>
          </cell>
          <cell r="BC3330">
            <v>0</v>
          </cell>
        </row>
        <row r="3331">
          <cell r="A3331">
            <v>0</v>
          </cell>
          <cell r="B3331">
            <v>0</v>
          </cell>
          <cell r="E3331">
            <v>0</v>
          </cell>
          <cell r="F3331">
            <v>0</v>
          </cell>
          <cell r="AO3331">
            <v>0</v>
          </cell>
          <cell r="AP3331">
            <v>0</v>
          </cell>
          <cell r="AQ3331">
            <v>0</v>
          </cell>
          <cell r="BA3331">
            <v>0</v>
          </cell>
          <cell r="BC3331">
            <v>0</v>
          </cell>
        </row>
        <row r="3332">
          <cell r="A3332">
            <v>0</v>
          </cell>
          <cell r="B3332">
            <v>0</v>
          </cell>
          <cell r="E3332">
            <v>0</v>
          </cell>
          <cell r="F3332">
            <v>0</v>
          </cell>
          <cell r="AO3332">
            <v>0</v>
          </cell>
          <cell r="AP3332">
            <v>0</v>
          </cell>
          <cell r="AQ3332">
            <v>0</v>
          </cell>
          <cell r="BA3332">
            <v>0</v>
          </cell>
          <cell r="BC3332">
            <v>0</v>
          </cell>
        </row>
        <row r="3333">
          <cell r="A3333">
            <v>0</v>
          </cell>
          <cell r="B3333">
            <v>0</v>
          </cell>
          <cell r="E3333">
            <v>0</v>
          </cell>
          <cell r="F3333">
            <v>0</v>
          </cell>
          <cell r="AO3333">
            <v>0</v>
          </cell>
          <cell r="AP3333">
            <v>0</v>
          </cell>
          <cell r="AQ3333">
            <v>0</v>
          </cell>
          <cell r="BA3333">
            <v>0</v>
          </cell>
          <cell r="BC3333">
            <v>0</v>
          </cell>
        </row>
        <row r="3334">
          <cell r="A3334">
            <v>0</v>
          </cell>
          <cell r="B3334">
            <v>0</v>
          </cell>
          <cell r="E3334">
            <v>0</v>
          </cell>
          <cell r="F3334">
            <v>0</v>
          </cell>
          <cell r="AO3334">
            <v>0</v>
          </cell>
          <cell r="AP3334">
            <v>0</v>
          </cell>
          <cell r="AQ3334">
            <v>0</v>
          </cell>
          <cell r="BA3334">
            <v>0</v>
          </cell>
          <cell r="BC3334">
            <v>0</v>
          </cell>
        </row>
        <row r="3335">
          <cell r="A3335">
            <v>0</v>
          </cell>
          <cell r="B3335">
            <v>0</v>
          </cell>
          <cell r="E3335">
            <v>0</v>
          </cell>
          <cell r="F3335">
            <v>0</v>
          </cell>
          <cell r="AO3335">
            <v>0</v>
          </cell>
          <cell r="AP3335">
            <v>0</v>
          </cell>
          <cell r="AQ3335">
            <v>0</v>
          </cell>
          <cell r="BA3335">
            <v>0</v>
          </cell>
          <cell r="BC3335">
            <v>0</v>
          </cell>
        </row>
        <row r="3336">
          <cell r="A3336">
            <v>0</v>
          </cell>
          <cell r="B3336">
            <v>0</v>
          </cell>
          <cell r="E3336">
            <v>0</v>
          </cell>
          <cell r="F3336">
            <v>0</v>
          </cell>
          <cell r="AO3336">
            <v>0</v>
          </cell>
          <cell r="AP3336">
            <v>0</v>
          </cell>
          <cell r="AQ3336">
            <v>0</v>
          </cell>
          <cell r="BA3336">
            <v>0</v>
          </cell>
          <cell r="BC3336">
            <v>0</v>
          </cell>
        </row>
        <row r="3337">
          <cell r="A3337">
            <v>0</v>
          </cell>
          <cell r="B3337">
            <v>0</v>
          </cell>
          <cell r="E3337">
            <v>0</v>
          </cell>
          <cell r="F3337">
            <v>0</v>
          </cell>
          <cell r="AO3337">
            <v>0</v>
          </cell>
          <cell r="AP3337">
            <v>0</v>
          </cell>
          <cell r="AQ3337">
            <v>0</v>
          </cell>
          <cell r="BA3337">
            <v>0</v>
          </cell>
          <cell r="BC3337">
            <v>0</v>
          </cell>
        </row>
        <row r="3338">
          <cell r="A3338">
            <v>0</v>
          </cell>
          <cell r="B3338">
            <v>0</v>
          </cell>
          <cell r="E3338">
            <v>0</v>
          </cell>
          <cell r="F3338">
            <v>0</v>
          </cell>
          <cell r="AO3338">
            <v>0</v>
          </cell>
          <cell r="AP3338">
            <v>0</v>
          </cell>
          <cell r="AQ3338">
            <v>0</v>
          </cell>
          <cell r="BA3338">
            <v>0</v>
          </cell>
          <cell r="BC3338">
            <v>0</v>
          </cell>
        </row>
        <row r="3339">
          <cell r="A3339">
            <v>0</v>
          </cell>
          <cell r="B3339">
            <v>0</v>
          </cell>
          <cell r="E3339">
            <v>0</v>
          </cell>
          <cell r="F3339">
            <v>0</v>
          </cell>
          <cell r="AO3339">
            <v>0</v>
          </cell>
          <cell r="AP3339">
            <v>0</v>
          </cell>
          <cell r="AQ3339">
            <v>0</v>
          </cell>
          <cell r="BA3339">
            <v>0</v>
          </cell>
          <cell r="BC3339">
            <v>0</v>
          </cell>
        </row>
        <row r="3340">
          <cell r="A3340">
            <v>0</v>
          </cell>
          <cell r="B3340">
            <v>0</v>
          </cell>
          <cell r="E3340">
            <v>0</v>
          </cell>
          <cell r="F3340">
            <v>0</v>
          </cell>
          <cell r="AO3340">
            <v>0</v>
          </cell>
          <cell r="AP3340">
            <v>0</v>
          </cell>
          <cell r="AQ3340">
            <v>0</v>
          </cell>
          <cell r="BA3340">
            <v>0</v>
          </cell>
          <cell r="BC3340">
            <v>0</v>
          </cell>
        </row>
        <row r="3341">
          <cell r="A3341">
            <v>0</v>
          </cell>
          <cell r="B3341">
            <v>0</v>
          </cell>
          <cell r="E3341">
            <v>0</v>
          </cell>
          <cell r="F3341">
            <v>0</v>
          </cell>
          <cell r="AO3341">
            <v>0</v>
          </cell>
          <cell r="AP3341">
            <v>0</v>
          </cell>
          <cell r="AQ3341">
            <v>0</v>
          </cell>
          <cell r="BA3341">
            <v>0</v>
          </cell>
          <cell r="BC3341">
            <v>0</v>
          </cell>
        </row>
        <row r="3342">
          <cell r="A3342">
            <v>0</v>
          </cell>
          <cell r="B3342">
            <v>0</v>
          </cell>
          <cell r="E3342">
            <v>0</v>
          </cell>
          <cell r="F3342">
            <v>0</v>
          </cell>
          <cell r="AO3342">
            <v>0</v>
          </cell>
          <cell r="AP3342">
            <v>0</v>
          </cell>
          <cell r="AQ3342">
            <v>0</v>
          </cell>
          <cell r="BA3342">
            <v>0</v>
          </cell>
          <cell r="BC3342">
            <v>0</v>
          </cell>
        </row>
        <row r="3343">
          <cell r="A3343">
            <v>0</v>
          </cell>
          <cell r="B3343">
            <v>0</v>
          </cell>
          <cell r="E3343">
            <v>0</v>
          </cell>
          <cell r="F3343">
            <v>0</v>
          </cell>
          <cell r="AO3343">
            <v>0</v>
          </cell>
          <cell r="AP3343">
            <v>0</v>
          </cell>
          <cell r="AQ3343">
            <v>0</v>
          </cell>
          <cell r="BA3343">
            <v>0</v>
          </cell>
          <cell r="BC3343">
            <v>0</v>
          </cell>
        </row>
        <row r="3344">
          <cell r="A3344">
            <v>0</v>
          </cell>
          <cell r="B3344">
            <v>0</v>
          </cell>
          <cell r="E3344">
            <v>0</v>
          </cell>
          <cell r="F3344">
            <v>0</v>
          </cell>
          <cell r="AO3344">
            <v>0</v>
          </cell>
          <cell r="AP3344">
            <v>0</v>
          </cell>
          <cell r="AQ3344">
            <v>0</v>
          </cell>
          <cell r="BA3344">
            <v>0</v>
          </cell>
          <cell r="BC3344">
            <v>0</v>
          </cell>
        </row>
        <row r="3345">
          <cell r="A3345">
            <v>0</v>
          </cell>
          <cell r="B3345">
            <v>0</v>
          </cell>
          <cell r="E3345">
            <v>0</v>
          </cell>
          <cell r="F3345">
            <v>0</v>
          </cell>
          <cell r="AO3345">
            <v>0</v>
          </cell>
          <cell r="AP3345">
            <v>0</v>
          </cell>
          <cell r="AQ3345">
            <v>0</v>
          </cell>
          <cell r="BA3345">
            <v>0</v>
          </cell>
          <cell r="BC3345">
            <v>0</v>
          </cell>
        </row>
        <row r="3346">
          <cell r="A3346">
            <v>0</v>
          </cell>
          <cell r="B3346">
            <v>0</v>
          </cell>
          <cell r="E3346">
            <v>0</v>
          </cell>
          <cell r="F3346">
            <v>0</v>
          </cell>
          <cell r="AO3346">
            <v>0</v>
          </cell>
          <cell r="AP3346">
            <v>0</v>
          </cell>
          <cell r="AQ3346">
            <v>0</v>
          </cell>
          <cell r="BA3346">
            <v>0</v>
          </cell>
          <cell r="BC3346">
            <v>0</v>
          </cell>
        </row>
        <row r="3347">
          <cell r="A3347">
            <v>0</v>
          </cell>
          <cell r="B3347">
            <v>0</v>
          </cell>
          <cell r="E3347">
            <v>0</v>
          </cell>
          <cell r="F3347">
            <v>0</v>
          </cell>
          <cell r="AO3347">
            <v>0</v>
          </cell>
          <cell r="AP3347">
            <v>0</v>
          </cell>
          <cell r="AQ3347">
            <v>0</v>
          </cell>
          <cell r="BA3347">
            <v>0</v>
          </cell>
          <cell r="BC3347">
            <v>0</v>
          </cell>
        </row>
        <row r="3348">
          <cell r="A3348">
            <v>0</v>
          </cell>
          <cell r="B3348">
            <v>0</v>
          </cell>
          <cell r="E3348">
            <v>0</v>
          </cell>
          <cell r="F3348">
            <v>0</v>
          </cell>
          <cell r="AO3348">
            <v>0</v>
          </cell>
          <cell r="AP3348">
            <v>0</v>
          </cell>
          <cell r="AQ3348">
            <v>0</v>
          </cell>
          <cell r="BA3348">
            <v>0</v>
          </cell>
          <cell r="BC3348">
            <v>0</v>
          </cell>
        </row>
        <row r="3349">
          <cell r="A3349">
            <v>0</v>
          </cell>
          <cell r="B3349">
            <v>0</v>
          </cell>
          <cell r="E3349">
            <v>0</v>
          </cell>
          <cell r="F3349">
            <v>0</v>
          </cell>
          <cell r="AO3349">
            <v>0</v>
          </cell>
          <cell r="AP3349">
            <v>0</v>
          </cell>
          <cell r="AQ3349">
            <v>0</v>
          </cell>
          <cell r="BA3349">
            <v>0</v>
          </cell>
          <cell r="BC3349">
            <v>0</v>
          </cell>
        </row>
        <row r="3350">
          <cell r="A3350">
            <v>0</v>
          </cell>
          <cell r="B3350">
            <v>0</v>
          </cell>
          <cell r="E3350">
            <v>0</v>
          </cell>
          <cell r="F3350">
            <v>0</v>
          </cell>
          <cell r="AO3350">
            <v>0</v>
          </cell>
          <cell r="AP3350">
            <v>0</v>
          </cell>
          <cell r="AQ3350">
            <v>0</v>
          </cell>
          <cell r="BA3350">
            <v>0</v>
          </cell>
          <cell r="BC3350">
            <v>0</v>
          </cell>
        </row>
        <row r="3351">
          <cell r="A3351">
            <v>0</v>
          </cell>
          <cell r="B3351">
            <v>0</v>
          </cell>
          <cell r="E3351">
            <v>0</v>
          </cell>
          <cell r="F3351">
            <v>0</v>
          </cell>
          <cell r="AO3351">
            <v>0</v>
          </cell>
          <cell r="AP3351">
            <v>0</v>
          </cell>
          <cell r="AQ3351">
            <v>0</v>
          </cell>
          <cell r="BA3351">
            <v>0</v>
          </cell>
          <cell r="BC3351">
            <v>0</v>
          </cell>
        </row>
        <row r="3352">
          <cell r="A3352">
            <v>0</v>
          </cell>
          <cell r="B3352">
            <v>0</v>
          </cell>
          <cell r="E3352">
            <v>0</v>
          </cell>
          <cell r="F3352">
            <v>0</v>
          </cell>
          <cell r="AO3352">
            <v>0</v>
          </cell>
          <cell r="AP3352">
            <v>0</v>
          </cell>
          <cell r="AQ3352">
            <v>0</v>
          </cell>
          <cell r="BA3352">
            <v>0</v>
          </cell>
          <cell r="BC3352">
            <v>0</v>
          </cell>
        </row>
        <row r="3353">
          <cell r="A3353">
            <v>0</v>
          </cell>
          <cell r="B3353">
            <v>0</v>
          </cell>
          <cell r="E3353">
            <v>0</v>
          </cell>
          <cell r="F3353">
            <v>0</v>
          </cell>
          <cell r="AO3353">
            <v>0</v>
          </cell>
          <cell r="AP3353">
            <v>0</v>
          </cell>
          <cell r="AQ3353">
            <v>0</v>
          </cell>
          <cell r="BA3353">
            <v>0</v>
          </cell>
          <cell r="BC3353">
            <v>0</v>
          </cell>
        </row>
        <row r="3354">
          <cell r="A3354">
            <v>0</v>
          </cell>
          <cell r="B3354">
            <v>0</v>
          </cell>
          <cell r="E3354">
            <v>0</v>
          </cell>
          <cell r="F3354">
            <v>0</v>
          </cell>
          <cell r="AO3354">
            <v>0</v>
          </cell>
          <cell r="AP3354">
            <v>0</v>
          </cell>
          <cell r="AQ3354">
            <v>0</v>
          </cell>
          <cell r="BA3354">
            <v>0</v>
          </cell>
          <cell r="BC3354">
            <v>0</v>
          </cell>
        </row>
        <row r="3355">
          <cell r="A3355">
            <v>0</v>
          </cell>
          <cell r="B3355">
            <v>0</v>
          </cell>
          <cell r="E3355">
            <v>0</v>
          </cell>
          <cell r="F3355">
            <v>0</v>
          </cell>
          <cell r="AO3355">
            <v>0</v>
          </cell>
          <cell r="AP3355">
            <v>0</v>
          </cell>
          <cell r="AQ3355">
            <v>0</v>
          </cell>
          <cell r="BA3355">
            <v>0</v>
          </cell>
          <cell r="BC3355">
            <v>0</v>
          </cell>
        </row>
        <row r="3356">
          <cell r="A3356">
            <v>0</v>
          </cell>
          <cell r="B3356">
            <v>0</v>
          </cell>
          <cell r="E3356">
            <v>0</v>
          </cell>
          <cell r="F3356">
            <v>0</v>
          </cell>
          <cell r="AO3356">
            <v>0</v>
          </cell>
          <cell r="AP3356">
            <v>0</v>
          </cell>
          <cell r="AQ3356">
            <v>0</v>
          </cell>
          <cell r="BA3356">
            <v>0</v>
          </cell>
          <cell r="BC3356">
            <v>0</v>
          </cell>
        </row>
        <row r="3357">
          <cell r="A3357">
            <v>0</v>
          </cell>
          <cell r="B3357">
            <v>0</v>
          </cell>
          <cell r="E3357">
            <v>0</v>
          </cell>
          <cell r="F3357">
            <v>0</v>
          </cell>
          <cell r="AO3357">
            <v>0</v>
          </cell>
          <cell r="AP3357">
            <v>0</v>
          </cell>
          <cell r="AQ3357">
            <v>0</v>
          </cell>
          <cell r="BA3357">
            <v>0</v>
          </cell>
          <cell r="BC3357">
            <v>0</v>
          </cell>
        </row>
        <row r="3358">
          <cell r="A3358">
            <v>0</v>
          </cell>
          <cell r="B3358">
            <v>0</v>
          </cell>
          <cell r="E3358">
            <v>0</v>
          </cell>
          <cell r="F3358">
            <v>0</v>
          </cell>
          <cell r="AO3358">
            <v>0</v>
          </cell>
          <cell r="AP3358">
            <v>0</v>
          </cell>
          <cell r="AQ3358">
            <v>0</v>
          </cell>
          <cell r="BA3358">
            <v>0</v>
          </cell>
          <cell r="BC3358">
            <v>0</v>
          </cell>
        </row>
        <row r="3359">
          <cell r="A3359">
            <v>0</v>
          </cell>
          <cell r="B3359">
            <v>0</v>
          </cell>
          <cell r="E3359">
            <v>0</v>
          </cell>
          <cell r="F3359">
            <v>0</v>
          </cell>
          <cell r="AO3359">
            <v>0</v>
          </cell>
          <cell r="AP3359">
            <v>0</v>
          </cell>
          <cell r="AQ3359">
            <v>0</v>
          </cell>
          <cell r="BA3359">
            <v>0</v>
          </cell>
          <cell r="BC3359">
            <v>0</v>
          </cell>
        </row>
        <row r="3360">
          <cell r="A3360">
            <v>0</v>
          </cell>
          <cell r="B3360">
            <v>0</v>
          </cell>
          <cell r="E3360">
            <v>0</v>
          </cell>
          <cell r="F3360">
            <v>0</v>
          </cell>
          <cell r="AO3360">
            <v>0</v>
          </cell>
          <cell r="AP3360">
            <v>0</v>
          </cell>
          <cell r="AQ3360">
            <v>0</v>
          </cell>
          <cell r="BA3360">
            <v>0</v>
          </cell>
          <cell r="BC3360">
            <v>0</v>
          </cell>
        </row>
        <row r="3361">
          <cell r="A3361">
            <v>0</v>
          </cell>
          <cell r="B3361">
            <v>0</v>
          </cell>
          <cell r="E3361">
            <v>0</v>
          </cell>
          <cell r="F3361">
            <v>0</v>
          </cell>
          <cell r="AO3361">
            <v>0</v>
          </cell>
          <cell r="AP3361">
            <v>0</v>
          </cell>
          <cell r="AQ3361">
            <v>0</v>
          </cell>
          <cell r="BA3361">
            <v>0</v>
          </cell>
          <cell r="BC3361">
            <v>0</v>
          </cell>
        </row>
        <row r="3362">
          <cell r="A3362">
            <v>0</v>
          </cell>
          <cell r="B3362">
            <v>0</v>
          </cell>
          <cell r="E3362">
            <v>0</v>
          </cell>
          <cell r="F3362">
            <v>0</v>
          </cell>
          <cell r="AO3362">
            <v>0</v>
          </cell>
          <cell r="AP3362">
            <v>0</v>
          </cell>
          <cell r="AQ3362">
            <v>0</v>
          </cell>
          <cell r="BA3362">
            <v>0</v>
          </cell>
          <cell r="BC3362">
            <v>0</v>
          </cell>
        </row>
        <row r="3363">
          <cell r="A3363">
            <v>0</v>
          </cell>
          <cell r="B3363">
            <v>0</v>
          </cell>
          <cell r="E3363">
            <v>0</v>
          </cell>
          <cell r="F3363">
            <v>0</v>
          </cell>
          <cell r="AO3363">
            <v>0</v>
          </cell>
          <cell r="AP3363">
            <v>0</v>
          </cell>
          <cell r="AQ3363">
            <v>0</v>
          </cell>
          <cell r="BA3363">
            <v>0</v>
          </cell>
          <cell r="BC3363">
            <v>0</v>
          </cell>
        </row>
        <row r="3364">
          <cell r="A3364">
            <v>0</v>
          </cell>
          <cell r="B3364">
            <v>0</v>
          </cell>
          <cell r="E3364">
            <v>0</v>
          </cell>
          <cell r="F3364">
            <v>0</v>
          </cell>
          <cell r="AO3364">
            <v>0</v>
          </cell>
          <cell r="AP3364">
            <v>0</v>
          </cell>
          <cell r="AQ3364">
            <v>0</v>
          </cell>
          <cell r="BA3364">
            <v>0</v>
          </cell>
          <cell r="BC3364">
            <v>0</v>
          </cell>
        </row>
        <row r="3365">
          <cell r="A3365">
            <v>0</v>
          </cell>
          <cell r="B3365">
            <v>0</v>
          </cell>
          <cell r="E3365">
            <v>0</v>
          </cell>
          <cell r="F3365">
            <v>0</v>
          </cell>
          <cell r="AO3365">
            <v>0</v>
          </cell>
          <cell r="AP3365">
            <v>0</v>
          </cell>
          <cell r="AQ3365">
            <v>0</v>
          </cell>
          <cell r="BA3365">
            <v>0</v>
          </cell>
          <cell r="BC3365">
            <v>0</v>
          </cell>
        </row>
        <row r="3366">
          <cell r="A3366">
            <v>0</v>
          </cell>
          <cell r="B3366">
            <v>0</v>
          </cell>
          <cell r="E3366">
            <v>0</v>
          </cell>
          <cell r="F3366">
            <v>0</v>
          </cell>
          <cell r="AO3366">
            <v>0</v>
          </cell>
          <cell r="AP3366">
            <v>0</v>
          </cell>
          <cell r="AQ3366">
            <v>0</v>
          </cell>
          <cell r="BA3366">
            <v>0</v>
          </cell>
          <cell r="BC3366">
            <v>0</v>
          </cell>
        </row>
        <row r="3367">
          <cell r="A3367">
            <v>0</v>
          </cell>
          <cell r="B3367">
            <v>0</v>
          </cell>
          <cell r="E3367">
            <v>0</v>
          </cell>
          <cell r="F3367">
            <v>0</v>
          </cell>
          <cell r="AO3367">
            <v>0</v>
          </cell>
          <cell r="AP3367">
            <v>0</v>
          </cell>
          <cell r="AQ3367">
            <v>0</v>
          </cell>
          <cell r="BA3367">
            <v>0</v>
          </cell>
          <cell r="BC3367">
            <v>0</v>
          </cell>
        </row>
        <row r="3368">
          <cell r="A3368">
            <v>0</v>
          </cell>
          <cell r="B3368">
            <v>0</v>
          </cell>
          <cell r="E3368">
            <v>0</v>
          </cell>
          <cell r="F3368">
            <v>0</v>
          </cell>
          <cell r="AO3368">
            <v>0</v>
          </cell>
          <cell r="AP3368">
            <v>0</v>
          </cell>
          <cell r="AQ3368">
            <v>0</v>
          </cell>
          <cell r="BA3368">
            <v>0</v>
          </cell>
          <cell r="BC3368">
            <v>0</v>
          </cell>
        </row>
        <row r="3369">
          <cell r="A3369">
            <v>0</v>
          </cell>
          <cell r="B3369">
            <v>0</v>
          </cell>
          <cell r="E3369">
            <v>0</v>
          </cell>
          <cell r="F3369">
            <v>0</v>
          </cell>
          <cell r="AO3369">
            <v>0</v>
          </cell>
          <cell r="AP3369">
            <v>0</v>
          </cell>
          <cell r="AQ3369">
            <v>0</v>
          </cell>
          <cell r="BA3369">
            <v>0</v>
          </cell>
          <cell r="BC3369">
            <v>0</v>
          </cell>
        </row>
        <row r="3370">
          <cell r="A3370">
            <v>0</v>
          </cell>
          <cell r="B3370">
            <v>0</v>
          </cell>
          <cell r="E3370">
            <v>0</v>
          </cell>
          <cell r="F3370">
            <v>0</v>
          </cell>
          <cell r="AO3370">
            <v>0</v>
          </cell>
          <cell r="AP3370">
            <v>0</v>
          </cell>
          <cell r="AQ3370">
            <v>0</v>
          </cell>
          <cell r="BA3370">
            <v>0</v>
          </cell>
          <cell r="BC3370">
            <v>0</v>
          </cell>
        </row>
        <row r="3371">
          <cell r="A3371">
            <v>0</v>
          </cell>
          <cell r="B3371">
            <v>0</v>
          </cell>
          <cell r="E3371">
            <v>0</v>
          </cell>
          <cell r="F3371">
            <v>0</v>
          </cell>
          <cell r="AO3371">
            <v>0</v>
          </cell>
          <cell r="AP3371">
            <v>0</v>
          </cell>
          <cell r="AQ3371">
            <v>0</v>
          </cell>
          <cell r="BA3371">
            <v>0</v>
          </cell>
          <cell r="BC3371">
            <v>0</v>
          </cell>
        </row>
        <row r="3372">
          <cell r="A3372">
            <v>0</v>
          </cell>
          <cell r="B3372">
            <v>0</v>
          </cell>
          <cell r="E3372">
            <v>0</v>
          </cell>
          <cell r="F3372">
            <v>0</v>
          </cell>
          <cell r="AO3372">
            <v>0</v>
          </cell>
          <cell r="AP3372">
            <v>0</v>
          </cell>
          <cell r="AQ3372">
            <v>0</v>
          </cell>
          <cell r="BA3372">
            <v>0</v>
          </cell>
          <cell r="BC3372">
            <v>0</v>
          </cell>
        </row>
        <row r="3373">
          <cell r="A3373">
            <v>0</v>
          </cell>
          <cell r="B3373">
            <v>0</v>
          </cell>
          <cell r="E3373">
            <v>0</v>
          </cell>
          <cell r="F3373">
            <v>0</v>
          </cell>
          <cell r="AO3373">
            <v>0</v>
          </cell>
          <cell r="AP3373">
            <v>0</v>
          </cell>
          <cell r="AQ3373">
            <v>0</v>
          </cell>
          <cell r="BA3373">
            <v>0</v>
          </cell>
          <cell r="BC3373">
            <v>0</v>
          </cell>
        </row>
        <row r="3374">
          <cell r="A3374">
            <v>0</v>
          </cell>
          <cell r="B3374">
            <v>0</v>
          </cell>
          <cell r="E3374">
            <v>0</v>
          </cell>
          <cell r="F3374">
            <v>0</v>
          </cell>
          <cell r="AO3374">
            <v>0</v>
          </cell>
          <cell r="AP3374">
            <v>0</v>
          </cell>
          <cell r="AQ3374">
            <v>0</v>
          </cell>
          <cell r="BA3374">
            <v>0</v>
          </cell>
          <cell r="BC3374">
            <v>0</v>
          </cell>
        </row>
        <row r="3375">
          <cell r="A3375">
            <v>0</v>
          </cell>
          <cell r="B3375">
            <v>0</v>
          </cell>
          <cell r="E3375">
            <v>0</v>
          </cell>
          <cell r="F3375">
            <v>0</v>
          </cell>
          <cell r="AO3375">
            <v>0</v>
          </cell>
          <cell r="AP3375">
            <v>0</v>
          </cell>
          <cell r="AQ3375">
            <v>0</v>
          </cell>
          <cell r="BA3375">
            <v>0</v>
          </cell>
          <cell r="BC3375">
            <v>0</v>
          </cell>
        </row>
        <row r="3376">
          <cell r="A3376">
            <v>0</v>
          </cell>
          <cell r="B3376">
            <v>0</v>
          </cell>
          <cell r="E3376">
            <v>0</v>
          </cell>
          <cell r="F3376">
            <v>0</v>
          </cell>
          <cell r="AO3376">
            <v>0</v>
          </cell>
          <cell r="AP3376">
            <v>0</v>
          </cell>
          <cell r="AQ3376">
            <v>0</v>
          </cell>
          <cell r="BA3376">
            <v>0</v>
          </cell>
          <cell r="BC3376">
            <v>0</v>
          </cell>
        </row>
        <row r="3377">
          <cell r="A3377">
            <v>0</v>
          </cell>
          <cell r="B3377">
            <v>0</v>
          </cell>
          <cell r="E3377">
            <v>0</v>
          </cell>
          <cell r="F3377">
            <v>0</v>
          </cell>
          <cell r="AO3377">
            <v>0</v>
          </cell>
          <cell r="AP3377">
            <v>0</v>
          </cell>
          <cell r="AQ3377">
            <v>0</v>
          </cell>
          <cell r="BA3377">
            <v>0</v>
          </cell>
          <cell r="BC3377">
            <v>0</v>
          </cell>
        </row>
        <row r="3378">
          <cell r="A3378">
            <v>0</v>
          </cell>
          <cell r="B3378">
            <v>0</v>
          </cell>
          <cell r="E3378">
            <v>0</v>
          </cell>
          <cell r="F3378">
            <v>0</v>
          </cell>
          <cell r="AO3378">
            <v>0</v>
          </cell>
          <cell r="AP3378">
            <v>0</v>
          </cell>
          <cell r="AQ3378">
            <v>0</v>
          </cell>
          <cell r="BA3378">
            <v>0</v>
          </cell>
          <cell r="BC3378">
            <v>0</v>
          </cell>
        </row>
        <row r="3379">
          <cell r="A3379">
            <v>0</v>
          </cell>
          <cell r="B3379">
            <v>0</v>
          </cell>
          <cell r="E3379">
            <v>0</v>
          </cell>
          <cell r="F3379">
            <v>0</v>
          </cell>
          <cell r="AO3379">
            <v>0</v>
          </cell>
          <cell r="AP3379">
            <v>0</v>
          </cell>
          <cell r="AQ3379">
            <v>0</v>
          </cell>
          <cell r="BA3379">
            <v>0</v>
          </cell>
          <cell r="BC3379">
            <v>0</v>
          </cell>
        </row>
        <row r="3380">
          <cell r="A3380">
            <v>0</v>
          </cell>
          <cell r="B3380">
            <v>0</v>
          </cell>
          <cell r="E3380">
            <v>0</v>
          </cell>
          <cell r="F3380">
            <v>0</v>
          </cell>
          <cell r="AO3380">
            <v>0</v>
          </cell>
          <cell r="AP3380">
            <v>0</v>
          </cell>
          <cell r="AQ3380">
            <v>0</v>
          </cell>
          <cell r="BA3380">
            <v>0</v>
          </cell>
          <cell r="BC3380">
            <v>0</v>
          </cell>
        </row>
        <row r="3381">
          <cell r="A3381">
            <v>0</v>
          </cell>
          <cell r="B3381">
            <v>0</v>
          </cell>
          <cell r="E3381">
            <v>0</v>
          </cell>
          <cell r="F3381">
            <v>0</v>
          </cell>
          <cell r="AO3381">
            <v>0</v>
          </cell>
          <cell r="AP3381">
            <v>0</v>
          </cell>
          <cell r="AQ3381">
            <v>0</v>
          </cell>
          <cell r="BA3381">
            <v>0</v>
          </cell>
          <cell r="BC3381">
            <v>0</v>
          </cell>
        </row>
        <row r="3382">
          <cell r="A3382">
            <v>0</v>
          </cell>
          <cell r="B3382">
            <v>0</v>
          </cell>
          <cell r="E3382">
            <v>0</v>
          </cell>
          <cell r="F3382">
            <v>0</v>
          </cell>
          <cell r="AO3382">
            <v>0</v>
          </cell>
          <cell r="AP3382">
            <v>0</v>
          </cell>
          <cell r="AQ3382">
            <v>0</v>
          </cell>
          <cell r="BA3382">
            <v>0</v>
          </cell>
          <cell r="BC3382">
            <v>0</v>
          </cell>
        </row>
        <row r="3383">
          <cell r="A3383">
            <v>0</v>
          </cell>
          <cell r="B3383">
            <v>0</v>
          </cell>
          <cell r="E3383">
            <v>0</v>
          </cell>
          <cell r="F3383">
            <v>0</v>
          </cell>
          <cell r="AO3383">
            <v>0</v>
          </cell>
          <cell r="AP3383">
            <v>0</v>
          </cell>
          <cell r="AQ3383">
            <v>0</v>
          </cell>
          <cell r="BA3383">
            <v>0</v>
          </cell>
          <cell r="BC3383">
            <v>0</v>
          </cell>
        </row>
        <row r="3384">
          <cell r="A3384">
            <v>0</v>
          </cell>
          <cell r="B3384">
            <v>0</v>
          </cell>
          <cell r="E3384">
            <v>0</v>
          </cell>
          <cell r="F3384">
            <v>0</v>
          </cell>
          <cell r="AO3384">
            <v>0</v>
          </cell>
          <cell r="AP3384">
            <v>0</v>
          </cell>
          <cell r="AQ3384">
            <v>0</v>
          </cell>
          <cell r="BA3384">
            <v>0</v>
          </cell>
          <cell r="BC3384">
            <v>0</v>
          </cell>
        </row>
        <row r="3385">
          <cell r="A3385">
            <v>0</v>
          </cell>
          <cell r="B3385">
            <v>0</v>
          </cell>
          <cell r="E3385">
            <v>0</v>
          </cell>
          <cell r="F3385">
            <v>0</v>
          </cell>
          <cell r="AO3385">
            <v>0</v>
          </cell>
          <cell r="AP3385">
            <v>0</v>
          </cell>
          <cell r="AQ3385">
            <v>0</v>
          </cell>
          <cell r="BA3385">
            <v>0</v>
          </cell>
          <cell r="BC3385">
            <v>0</v>
          </cell>
        </row>
        <row r="3386">
          <cell r="A3386">
            <v>0</v>
          </cell>
          <cell r="B3386">
            <v>0</v>
          </cell>
          <cell r="E3386">
            <v>0</v>
          </cell>
          <cell r="F3386">
            <v>0</v>
          </cell>
          <cell r="AO3386">
            <v>0</v>
          </cell>
          <cell r="AP3386">
            <v>0</v>
          </cell>
          <cell r="AQ3386">
            <v>0</v>
          </cell>
          <cell r="BA3386">
            <v>0</v>
          </cell>
          <cell r="BC3386">
            <v>0</v>
          </cell>
        </row>
        <row r="3387">
          <cell r="A3387">
            <v>0</v>
          </cell>
          <cell r="B3387">
            <v>0</v>
          </cell>
          <cell r="E3387">
            <v>0</v>
          </cell>
          <cell r="F3387">
            <v>0</v>
          </cell>
          <cell r="AO3387">
            <v>0</v>
          </cell>
          <cell r="AP3387">
            <v>0</v>
          </cell>
          <cell r="AQ3387">
            <v>0</v>
          </cell>
          <cell r="BA3387">
            <v>0</v>
          </cell>
          <cell r="BC3387">
            <v>0</v>
          </cell>
        </row>
        <row r="3388">
          <cell r="A3388">
            <v>0</v>
          </cell>
          <cell r="B3388">
            <v>0</v>
          </cell>
          <cell r="E3388">
            <v>0</v>
          </cell>
          <cell r="F3388">
            <v>0</v>
          </cell>
          <cell r="AO3388">
            <v>0</v>
          </cell>
          <cell r="AP3388">
            <v>0</v>
          </cell>
          <cell r="AQ3388">
            <v>0</v>
          </cell>
          <cell r="BA3388">
            <v>0</v>
          </cell>
          <cell r="BC3388">
            <v>0</v>
          </cell>
        </row>
        <row r="3389">
          <cell r="A3389">
            <v>0</v>
          </cell>
          <cell r="B3389">
            <v>0</v>
          </cell>
          <cell r="E3389">
            <v>0</v>
          </cell>
          <cell r="F3389">
            <v>0</v>
          </cell>
          <cell r="AO3389">
            <v>0</v>
          </cell>
          <cell r="AP3389">
            <v>0</v>
          </cell>
          <cell r="AQ3389">
            <v>0</v>
          </cell>
          <cell r="BA3389">
            <v>0</v>
          </cell>
          <cell r="BC3389">
            <v>0</v>
          </cell>
        </row>
        <row r="3390">
          <cell r="A3390">
            <v>0</v>
          </cell>
          <cell r="B3390">
            <v>0</v>
          </cell>
          <cell r="E3390">
            <v>0</v>
          </cell>
          <cell r="F3390">
            <v>0</v>
          </cell>
          <cell r="AO3390">
            <v>0</v>
          </cell>
          <cell r="AP3390">
            <v>0</v>
          </cell>
          <cell r="AQ3390">
            <v>0</v>
          </cell>
          <cell r="BA3390">
            <v>0</v>
          </cell>
          <cell r="BC3390">
            <v>0</v>
          </cell>
        </row>
        <row r="3391">
          <cell r="A3391">
            <v>0</v>
          </cell>
          <cell r="B3391">
            <v>0</v>
          </cell>
          <cell r="E3391">
            <v>0</v>
          </cell>
          <cell r="F3391">
            <v>0</v>
          </cell>
          <cell r="AO3391">
            <v>0</v>
          </cell>
          <cell r="AP3391">
            <v>0</v>
          </cell>
          <cell r="AQ3391">
            <v>0</v>
          </cell>
          <cell r="BA3391">
            <v>0</v>
          </cell>
          <cell r="BC3391">
            <v>0</v>
          </cell>
        </row>
        <row r="3392">
          <cell r="A3392">
            <v>0</v>
          </cell>
          <cell r="B3392">
            <v>0</v>
          </cell>
          <cell r="E3392">
            <v>0</v>
          </cell>
          <cell r="F3392">
            <v>0</v>
          </cell>
          <cell r="AO3392">
            <v>0</v>
          </cell>
          <cell r="AP3392">
            <v>0</v>
          </cell>
          <cell r="AQ3392">
            <v>0</v>
          </cell>
          <cell r="BA3392">
            <v>0</v>
          </cell>
          <cell r="BC3392">
            <v>0</v>
          </cell>
        </row>
        <row r="3393">
          <cell r="A3393">
            <v>0</v>
          </cell>
          <cell r="B3393">
            <v>0</v>
          </cell>
          <cell r="E3393">
            <v>0</v>
          </cell>
          <cell r="F3393">
            <v>0</v>
          </cell>
          <cell r="AO3393">
            <v>0</v>
          </cell>
          <cell r="AP3393">
            <v>0</v>
          </cell>
          <cell r="AQ3393">
            <v>0</v>
          </cell>
          <cell r="BA3393">
            <v>0</v>
          </cell>
          <cell r="BC3393">
            <v>0</v>
          </cell>
        </row>
        <row r="3394">
          <cell r="A3394">
            <v>0</v>
          </cell>
          <cell r="B3394">
            <v>0</v>
          </cell>
          <cell r="E3394">
            <v>0</v>
          </cell>
          <cell r="F3394">
            <v>0</v>
          </cell>
          <cell r="AO3394">
            <v>0</v>
          </cell>
          <cell r="AP3394">
            <v>0</v>
          </cell>
          <cell r="AQ3394">
            <v>0</v>
          </cell>
          <cell r="BA3394">
            <v>0</v>
          </cell>
          <cell r="BC3394">
            <v>0</v>
          </cell>
        </row>
        <row r="3395">
          <cell r="A3395">
            <v>0</v>
          </cell>
          <cell r="B3395">
            <v>0</v>
          </cell>
          <cell r="E3395">
            <v>0</v>
          </cell>
          <cell r="F3395">
            <v>0</v>
          </cell>
          <cell r="AO3395">
            <v>0</v>
          </cell>
          <cell r="AP3395">
            <v>0</v>
          </cell>
          <cell r="AQ3395">
            <v>0</v>
          </cell>
          <cell r="BA3395">
            <v>0</v>
          </cell>
          <cell r="BC3395">
            <v>0</v>
          </cell>
        </row>
        <row r="3396">
          <cell r="A3396">
            <v>0</v>
          </cell>
          <cell r="B3396">
            <v>0</v>
          </cell>
          <cell r="E3396">
            <v>0</v>
          </cell>
          <cell r="F3396">
            <v>0</v>
          </cell>
          <cell r="AO3396">
            <v>0</v>
          </cell>
          <cell r="AP3396">
            <v>0</v>
          </cell>
          <cell r="AQ3396">
            <v>0</v>
          </cell>
          <cell r="BA3396">
            <v>0</v>
          </cell>
          <cell r="BC3396">
            <v>0</v>
          </cell>
        </row>
        <row r="3397">
          <cell r="A3397">
            <v>0</v>
          </cell>
          <cell r="B3397">
            <v>0</v>
          </cell>
          <cell r="E3397">
            <v>0</v>
          </cell>
          <cell r="F3397">
            <v>0</v>
          </cell>
          <cell r="AO3397">
            <v>0</v>
          </cell>
          <cell r="AP3397">
            <v>0</v>
          </cell>
          <cell r="AQ3397">
            <v>0</v>
          </cell>
          <cell r="BA3397">
            <v>0</v>
          </cell>
          <cell r="BC3397">
            <v>0</v>
          </cell>
        </row>
        <row r="3398">
          <cell r="A3398">
            <v>0</v>
          </cell>
          <cell r="B3398">
            <v>0</v>
          </cell>
          <cell r="E3398">
            <v>0</v>
          </cell>
          <cell r="F3398">
            <v>0</v>
          </cell>
          <cell r="AO3398">
            <v>0</v>
          </cell>
          <cell r="AP3398">
            <v>0</v>
          </cell>
          <cell r="AQ3398">
            <v>0</v>
          </cell>
          <cell r="BA3398">
            <v>0</v>
          </cell>
          <cell r="BC3398">
            <v>0</v>
          </cell>
        </row>
        <row r="3399">
          <cell r="A3399">
            <v>0</v>
          </cell>
          <cell r="B3399">
            <v>0</v>
          </cell>
          <cell r="E3399">
            <v>0</v>
          </cell>
          <cell r="F3399">
            <v>0</v>
          </cell>
          <cell r="AO3399">
            <v>0</v>
          </cell>
          <cell r="AP3399">
            <v>0</v>
          </cell>
          <cell r="AQ3399">
            <v>0</v>
          </cell>
          <cell r="BA3399">
            <v>0</v>
          </cell>
          <cell r="BC3399">
            <v>0</v>
          </cell>
        </row>
        <row r="3400">
          <cell r="A3400">
            <v>0</v>
          </cell>
          <cell r="B3400">
            <v>0</v>
          </cell>
          <cell r="E3400">
            <v>0</v>
          </cell>
          <cell r="F3400">
            <v>0</v>
          </cell>
          <cell r="AO3400">
            <v>0</v>
          </cell>
          <cell r="AP3400">
            <v>0</v>
          </cell>
          <cell r="AQ3400">
            <v>0</v>
          </cell>
          <cell r="BA3400">
            <v>0</v>
          </cell>
          <cell r="BC3400">
            <v>0</v>
          </cell>
        </row>
        <row r="3401">
          <cell r="A3401">
            <v>0</v>
          </cell>
          <cell r="B3401">
            <v>0</v>
          </cell>
          <cell r="E3401">
            <v>0</v>
          </cell>
          <cell r="F3401">
            <v>0</v>
          </cell>
          <cell r="AO3401">
            <v>0</v>
          </cell>
          <cell r="AP3401">
            <v>0</v>
          </cell>
          <cell r="AQ3401">
            <v>0</v>
          </cell>
          <cell r="BA3401">
            <v>0</v>
          </cell>
          <cell r="BC3401">
            <v>0</v>
          </cell>
        </row>
        <row r="3402">
          <cell r="A3402">
            <v>0</v>
          </cell>
          <cell r="B3402">
            <v>0</v>
          </cell>
          <cell r="E3402">
            <v>0</v>
          </cell>
          <cell r="F3402">
            <v>0</v>
          </cell>
          <cell r="AO3402">
            <v>0</v>
          </cell>
          <cell r="AP3402">
            <v>0</v>
          </cell>
          <cell r="AQ3402">
            <v>0</v>
          </cell>
          <cell r="BA3402">
            <v>0</v>
          </cell>
          <cell r="BC3402">
            <v>0</v>
          </cell>
        </row>
        <row r="3403">
          <cell r="A3403">
            <v>0</v>
          </cell>
          <cell r="B3403">
            <v>0</v>
          </cell>
          <cell r="E3403">
            <v>0</v>
          </cell>
          <cell r="F3403">
            <v>0</v>
          </cell>
          <cell r="AO3403">
            <v>0</v>
          </cell>
          <cell r="AP3403">
            <v>0</v>
          </cell>
          <cell r="AQ3403">
            <v>0</v>
          </cell>
          <cell r="BA3403">
            <v>0</v>
          </cell>
          <cell r="BC3403">
            <v>0</v>
          </cell>
        </row>
        <row r="3404">
          <cell r="A3404">
            <v>0</v>
          </cell>
          <cell r="B3404">
            <v>0</v>
          </cell>
          <cell r="E3404">
            <v>0</v>
          </cell>
          <cell r="F3404">
            <v>0</v>
          </cell>
          <cell r="AO3404">
            <v>0</v>
          </cell>
          <cell r="AP3404">
            <v>0</v>
          </cell>
          <cell r="AQ3404">
            <v>0</v>
          </cell>
          <cell r="BA3404">
            <v>0</v>
          </cell>
          <cell r="BC3404">
            <v>0</v>
          </cell>
        </row>
        <row r="3405">
          <cell r="A3405">
            <v>0</v>
          </cell>
          <cell r="B3405">
            <v>0</v>
          </cell>
          <cell r="E3405">
            <v>0</v>
          </cell>
          <cell r="F3405">
            <v>0</v>
          </cell>
          <cell r="AO3405">
            <v>0</v>
          </cell>
          <cell r="AP3405">
            <v>0</v>
          </cell>
          <cell r="AQ3405">
            <v>0</v>
          </cell>
          <cell r="BA3405">
            <v>0</v>
          </cell>
          <cell r="BC3405">
            <v>0</v>
          </cell>
        </row>
        <row r="3406">
          <cell r="A3406">
            <v>0</v>
          </cell>
          <cell r="B3406">
            <v>0</v>
          </cell>
          <cell r="E3406">
            <v>0</v>
          </cell>
          <cell r="F3406">
            <v>0</v>
          </cell>
          <cell r="AO3406">
            <v>0</v>
          </cell>
          <cell r="AP3406">
            <v>0</v>
          </cell>
          <cell r="AQ3406">
            <v>0</v>
          </cell>
          <cell r="BA3406">
            <v>0</v>
          </cell>
          <cell r="BC3406">
            <v>0</v>
          </cell>
        </row>
        <row r="3407">
          <cell r="A3407">
            <v>0</v>
          </cell>
          <cell r="B3407">
            <v>0</v>
          </cell>
          <cell r="E3407">
            <v>0</v>
          </cell>
          <cell r="F3407">
            <v>0</v>
          </cell>
          <cell r="AO3407">
            <v>0</v>
          </cell>
          <cell r="AP3407">
            <v>0</v>
          </cell>
          <cell r="AQ3407">
            <v>0</v>
          </cell>
          <cell r="BA3407">
            <v>0</v>
          </cell>
          <cell r="BC3407">
            <v>0</v>
          </cell>
        </row>
        <row r="3408">
          <cell r="A3408">
            <v>0</v>
          </cell>
          <cell r="B3408">
            <v>0</v>
          </cell>
          <cell r="E3408">
            <v>0</v>
          </cell>
          <cell r="F3408">
            <v>0</v>
          </cell>
          <cell r="AO3408">
            <v>0</v>
          </cell>
          <cell r="AP3408">
            <v>0</v>
          </cell>
          <cell r="AQ3408">
            <v>0</v>
          </cell>
          <cell r="BA3408">
            <v>0</v>
          </cell>
          <cell r="BC3408">
            <v>0</v>
          </cell>
        </row>
        <row r="3409">
          <cell r="A3409">
            <v>0</v>
          </cell>
          <cell r="B3409">
            <v>0</v>
          </cell>
          <cell r="E3409">
            <v>0</v>
          </cell>
          <cell r="F3409">
            <v>0</v>
          </cell>
          <cell r="AO3409">
            <v>0</v>
          </cell>
          <cell r="AP3409">
            <v>0</v>
          </cell>
          <cell r="AQ3409">
            <v>0</v>
          </cell>
          <cell r="BA3409">
            <v>0</v>
          </cell>
          <cell r="BC3409">
            <v>0</v>
          </cell>
        </row>
        <row r="3410">
          <cell r="A3410">
            <v>0</v>
          </cell>
          <cell r="B3410">
            <v>0</v>
          </cell>
          <cell r="E3410">
            <v>0</v>
          </cell>
          <cell r="F3410">
            <v>0</v>
          </cell>
          <cell r="AO3410">
            <v>0</v>
          </cell>
          <cell r="AP3410">
            <v>0</v>
          </cell>
          <cell r="AQ3410">
            <v>0</v>
          </cell>
          <cell r="BA3410">
            <v>0</v>
          </cell>
          <cell r="BC3410">
            <v>0</v>
          </cell>
        </row>
        <row r="3411">
          <cell r="A3411">
            <v>0</v>
          </cell>
          <cell r="B3411">
            <v>0</v>
          </cell>
          <cell r="E3411">
            <v>0</v>
          </cell>
          <cell r="F3411">
            <v>0</v>
          </cell>
          <cell r="AO3411">
            <v>0</v>
          </cell>
          <cell r="AP3411">
            <v>0</v>
          </cell>
          <cell r="AQ3411">
            <v>0</v>
          </cell>
          <cell r="BA3411">
            <v>0</v>
          </cell>
          <cell r="BC3411">
            <v>0</v>
          </cell>
        </row>
        <row r="3412">
          <cell r="A3412">
            <v>0</v>
          </cell>
          <cell r="B3412">
            <v>0</v>
          </cell>
          <cell r="E3412">
            <v>0</v>
          </cell>
          <cell r="F3412">
            <v>0</v>
          </cell>
          <cell r="AO3412">
            <v>0</v>
          </cell>
          <cell r="AP3412">
            <v>0</v>
          </cell>
          <cell r="AQ3412">
            <v>0</v>
          </cell>
          <cell r="BA3412">
            <v>0</v>
          </cell>
          <cell r="BC3412">
            <v>0</v>
          </cell>
        </row>
        <row r="3413">
          <cell r="A3413">
            <v>0</v>
          </cell>
          <cell r="B3413">
            <v>0</v>
          </cell>
          <cell r="E3413">
            <v>0</v>
          </cell>
          <cell r="F3413">
            <v>0</v>
          </cell>
          <cell r="AO3413">
            <v>0</v>
          </cell>
          <cell r="AP3413">
            <v>0</v>
          </cell>
          <cell r="AQ3413">
            <v>0</v>
          </cell>
          <cell r="BA3413">
            <v>0</v>
          </cell>
          <cell r="BC3413">
            <v>0</v>
          </cell>
        </row>
        <row r="3414">
          <cell r="A3414">
            <v>0</v>
          </cell>
          <cell r="B3414">
            <v>0</v>
          </cell>
          <cell r="E3414">
            <v>0</v>
          </cell>
          <cell r="F3414">
            <v>0</v>
          </cell>
          <cell r="AO3414">
            <v>0</v>
          </cell>
          <cell r="AP3414">
            <v>0</v>
          </cell>
          <cell r="AQ3414">
            <v>0</v>
          </cell>
          <cell r="BA3414">
            <v>0</v>
          </cell>
          <cell r="BC3414">
            <v>0</v>
          </cell>
        </row>
        <row r="3415">
          <cell r="A3415">
            <v>0</v>
          </cell>
          <cell r="B3415">
            <v>0</v>
          </cell>
          <cell r="E3415">
            <v>0</v>
          </cell>
          <cell r="F3415">
            <v>0</v>
          </cell>
          <cell r="AO3415">
            <v>0</v>
          </cell>
          <cell r="AP3415">
            <v>0</v>
          </cell>
          <cell r="AQ3415">
            <v>0</v>
          </cell>
          <cell r="BA3415">
            <v>0</v>
          </cell>
          <cell r="BC3415">
            <v>0</v>
          </cell>
        </row>
        <row r="3416">
          <cell r="A3416">
            <v>0</v>
          </cell>
          <cell r="B3416">
            <v>0</v>
          </cell>
          <cell r="E3416">
            <v>0</v>
          </cell>
          <cell r="F3416">
            <v>0</v>
          </cell>
          <cell r="AO3416">
            <v>0</v>
          </cell>
          <cell r="AP3416">
            <v>0</v>
          </cell>
          <cell r="AQ3416">
            <v>0</v>
          </cell>
          <cell r="BA3416">
            <v>0</v>
          </cell>
          <cell r="BC3416">
            <v>0</v>
          </cell>
        </row>
        <row r="3417">
          <cell r="A3417">
            <v>0</v>
          </cell>
          <cell r="B3417">
            <v>0</v>
          </cell>
          <cell r="E3417">
            <v>0</v>
          </cell>
          <cell r="F3417">
            <v>0</v>
          </cell>
          <cell r="AO3417">
            <v>0</v>
          </cell>
          <cell r="AP3417">
            <v>0</v>
          </cell>
          <cell r="AQ3417">
            <v>0</v>
          </cell>
          <cell r="BA3417">
            <v>0</v>
          </cell>
          <cell r="BC3417">
            <v>0</v>
          </cell>
        </row>
        <row r="3418">
          <cell r="A3418">
            <v>0</v>
          </cell>
          <cell r="B3418">
            <v>0</v>
          </cell>
          <cell r="E3418">
            <v>0</v>
          </cell>
          <cell r="F3418">
            <v>0</v>
          </cell>
          <cell r="AO3418">
            <v>0</v>
          </cell>
          <cell r="AP3418">
            <v>0</v>
          </cell>
          <cell r="AQ3418">
            <v>0</v>
          </cell>
          <cell r="BA3418">
            <v>0</v>
          </cell>
          <cell r="BC3418">
            <v>0</v>
          </cell>
        </row>
        <row r="3419">
          <cell r="A3419">
            <v>0</v>
          </cell>
          <cell r="B3419">
            <v>0</v>
          </cell>
          <cell r="E3419">
            <v>0</v>
          </cell>
          <cell r="F3419">
            <v>0</v>
          </cell>
          <cell r="AO3419">
            <v>0</v>
          </cell>
          <cell r="AP3419">
            <v>0</v>
          </cell>
          <cell r="AQ3419">
            <v>0</v>
          </cell>
          <cell r="BA3419">
            <v>0</v>
          </cell>
          <cell r="BC3419">
            <v>0</v>
          </cell>
        </row>
        <row r="3420">
          <cell r="A3420">
            <v>0</v>
          </cell>
          <cell r="B3420">
            <v>0</v>
          </cell>
          <cell r="E3420">
            <v>0</v>
          </cell>
          <cell r="F3420">
            <v>0</v>
          </cell>
          <cell r="AO3420">
            <v>0</v>
          </cell>
          <cell r="AP3420">
            <v>0</v>
          </cell>
          <cell r="AQ3420">
            <v>0</v>
          </cell>
          <cell r="BA3420">
            <v>0</v>
          </cell>
          <cell r="BC3420">
            <v>0</v>
          </cell>
        </row>
        <row r="3421">
          <cell r="A3421">
            <v>0</v>
          </cell>
          <cell r="B3421">
            <v>0</v>
          </cell>
          <cell r="E3421">
            <v>0</v>
          </cell>
          <cell r="F3421">
            <v>0</v>
          </cell>
          <cell r="AO3421">
            <v>0</v>
          </cell>
          <cell r="AP3421">
            <v>0</v>
          </cell>
          <cell r="AQ3421">
            <v>0</v>
          </cell>
          <cell r="BA3421">
            <v>0</v>
          </cell>
          <cell r="BC3421">
            <v>0</v>
          </cell>
        </row>
        <row r="3422">
          <cell r="A3422">
            <v>0</v>
          </cell>
          <cell r="B3422">
            <v>0</v>
          </cell>
          <cell r="E3422">
            <v>0</v>
          </cell>
          <cell r="F3422">
            <v>0</v>
          </cell>
          <cell r="AO3422">
            <v>0</v>
          </cell>
          <cell r="AP3422">
            <v>0</v>
          </cell>
          <cell r="AQ3422">
            <v>0</v>
          </cell>
          <cell r="BA3422">
            <v>0</v>
          </cell>
          <cell r="BC3422">
            <v>0</v>
          </cell>
        </row>
        <row r="3423">
          <cell r="A3423">
            <v>0</v>
          </cell>
          <cell r="B3423">
            <v>0</v>
          </cell>
          <cell r="E3423">
            <v>0</v>
          </cell>
          <cell r="F3423">
            <v>0</v>
          </cell>
          <cell r="AO3423">
            <v>0</v>
          </cell>
          <cell r="AP3423">
            <v>0</v>
          </cell>
          <cell r="AQ3423">
            <v>0</v>
          </cell>
          <cell r="BA3423">
            <v>0</v>
          </cell>
          <cell r="BC3423">
            <v>0</v>
          </cell>
        </row>
        <row r="3424">
          <cell r="A3424">
            <v>0</v>
          </cell>
          <cell r="B3424">
            <v>0</v>
          </cell>
          <cell r="E3424">
            <v>0</v>
          </cell>
          <cell r="F3424">
            <v>0</v>
          </cell>
          <cell r="AO3424">
            <v>0</v>
          </cell>
          <cell r="AP3424">
            <v>0</v>
          </cell>
          <cell r="AQ3424">
            <v>0</v>
          </cell>
          <cell r="BA3424">
            <v>0</v>
          </cell>
          <cell r="BC3424">
            <v>0</v>
          </cell>
        </row>
        <row r="3425">
          <cell r="A3425">
            <v>0</v>
          </cell>
          <cell r="B3425">
            <v>0</v>
          </cell>
          <cell r="E3425">
            <v>0</v>
          </cell>
          <cell r="F3425">
            <v>0</v>
          </cell>
          <cell r="AO3425">
            <v>0</v>
          </cell>
          <cell r="AP3425">
            <v>0</v>
          </cell>
          <cell r="AQ3425">
            <v>0</v>
          </cell>
          <cell r="BA3425">
            <v>0</v>
          </cell>
          <cell r="BC3425">
            <v>0</v>
          </cell>
        </row>
        <row r="3426">
          <cell r="A3426">
            <v>0</v>
          </cell>
          <cell r="B3426">
            <v>0</v>
          </cell>
          <cell r="E3426">
            <v>0</v>
          </cell>
          <cell r="F3426">
            <v>0</v>
          </cell>
          <cell r="AO3426">
            <v>0</v>
          </cell>
          <cell r="AP3426">
            <v>0</v>
          </cell>
          <cell r="AQ3426">
            <v>0</v>
          </cell>
          <cell r="BA3426">
            <v>0</v>
          </cell>
          <cell r="BC3426">
            <v>0</v>
          </cell>
        </row>
        <row r="3427">
          <cell r="A3427">
            <v>0</v>
          </cell>
          <cell r="B3427">
            <v>0</v>
          </cell>
          <cell r="E3427">
            <v>0</v>
          </cell>
          <cell r="F3427">
            <v>0</v>
          </cell>
          <cell r="AO3427">
            <v>0</v>
          </cell>
          <cell r="AP3427">
            <v>0</v>
          </cell>
          <cell r="AQ3427">
            <v>0</v>
          </cell>
          <cell r="BA3427">
            <v>0</v>
          </cell>
          <cell r="BC3427">
            <v>0</v>
          </cell>
        </row>
        <row r="3428">
          <cell r="A3428">
            <v>0</v>
          </cell>
          <cell r="B3428">
            <v>0</v>
          </cell>
          <cell r="E3428">
            <v>0</v>
          </cell>
          <cell r="F3428">
            <v>0</v>
          </cell>
          <cell r="AO3428">
            <v>0</v>
          </cell>
          <cell r="AP3428">
            <v>0</v>
          </cell>
          <cell r="AQ3428">
            <v>0</v>
          </cell>
          <cell r="BA3428">
            <v>0</v>
          </cell>
          <cell r="BC3428">
            <v>0</v>
          </cell>
        </row>
        <row r="3429">
          <cell r="A3429">
            <v>0</v>
          </cell>
          <cell r="B3429">
            <v>0</v>
          </cell>
          <cell r="E3429">
            <v>0</v>
          </cell>
          <cell r="F3429">
            <v>0</v>
          </cell>
          <cell r="AO3429">
            <v>0</v>
          </cell>
          <cell r="AP3429">
            <v>0</v>
          </cell>
          <cell r="AQ3429">
            <v>0</v>
          </cell>
          <cell r="BA3429">
            <v>0</v>
          </cell>
          <cell r="BC3429">
            <v>0</v>
          </cell>
        </row>
        <row r="3430">
          <cell r="A3430">
            <v>0</v>
          </cell>
          <cell r="B3430">
            <v>0</v>
          </cell>
          <cell r="E3430">
            <v>0</v>
          </cell>
          <cell r="F3430">
            <v>0</v>
          </cell>
          <cell r="AO3430">
            <v>0</v>
          </cell>
          <cell r="AP3430">
            <v>0</v>
          </cell>
          <cell r="AQ3430">
            <v>0</v>
          </cell>
          <cell r="BA3430">
            <v>0</v>
          </cell>
          <cell r="BC3430">
            <v>0</v>
          </cell>
        </row>
        <row r="3431">
          <cell r="A3431">
            <v>0</v>
          </cell>
          <cell r="B3431">
            <v>0</v>
          </cell>
          <cell r="E3431">
            <v>0</v>
          </cell>
          <cell r="F3431">
            <v>0</v>
          </cell>
          <cell r="AO3431">
            <v>0</v>
          </cell>
          <cell r="AP3431">
            <v>0</v>
          </cell>
          <cell r="AQ3431">
            <v>0</v>
          </cell>
          <cell r="BA3431">
            <v>0</v>
          </cell>
          <cell r="BC3431">
            <v>0</v>
          </cell>
        </row>
        <row r="3432">
          <cell r="A3432">
            <v>0</v>
          </cell>
          <cell r="B3432">
            <v>0</v>
          </cell>
          <cell r="E3432">
            <v>0</v>
          </cell>
          <cell r="F3432">
            <v>0</v>
          </cell>
          <cell r="AO3432">
            <v>0</v>
          </cell>
          <cell r="AP3432">
            <v>0</v>
          </cell>
          <cell r="AQ3432">
            <v>0</v>
          </cell>
          <cell r="BA3432">
            <v>0</v>
          </cell>
          <cell r="BC3432">
            <v>0</v>
          </cell>
        </row>
        <row r="3433">
          <cell r="A3433">
            <v>0</v>
          </cell>
          <cell r="B3433">
            <v>0</v>
          </cell>
          <cell r="E3433">
            <v>0</v>
          </cell>
          <cell r="F3433">
            <v>0</v>
          </cell>
          <cell r="AO3433">
            <v>0</v>
          </cell>
          <cell r="AP3433">
            <v>0</v>
          </cell>
          <cell r="AQ3433">
            <v>0</v>
          </cell>
          <cell r="BA3433">
            <v>0</v>
          </cell>
          <cell r="BC3433">
            <v>0</v>
          </cell>
        </row>
        <row r="3434">
          <cell r="A3434">
            <v>0</v>
          </cell>
          <cell r="B3434">
            <v>0</v>
          </cell>
          <cell r="E3434">
            <v>0</v>
          </cell>
          <cell r="F3434">
            <v>0</v>
          </cell>
          <cell r="AO3434">
            <v>0</v>
          </cell>
          <cell r="AP3434">
            <v>0</v>
          </cell>
          <cell r="AQ3434">
            <v>0</v>
          </cell>
          <cell r="BA3434">
            <v>0</v>
          </cell>
          <cell r="BC3434">
            <v>0</v>
          </cell>
        </row>
        <row r="3435">
          <cell r="A3435">
            <v>0</v>
          </cell>
          <cell r="B3435">
            <v>0</v>
          </cell>
          <cell r="E3435">
            <v>0</v>
          </cell>
          <cell r="F3435">
            <v>0</v>
          </cell>
          <cell r="AO3435">
            <v>0</v>
          </cell>
          <cell r="AP3435">
            <v>0</v>
          </cell>
          <cell r="AQ3435">
            <v>0</v>
          </cell>
          <cell r="BA3435">
            <v>0</v>
          </cell>
          <cell r="BC3435">
            <v>0</v>
          </cell>
        </row>
        <row r="3436">
          <cell r="A3436">
            <v>0</v>
          </cell>
          <cell r="B3436">
            <v>0</v>
          </cell>
          <cell r="E3436">
            <v>0</v>
          </cell>
          <cell r="F3436">
            <v>0</v>
          </cell>
          <cell r="AO3436">
            <v>0</v>
          </cell>
          <cell r="AP3436">
            <v>0</v>
          </cell>
          <cell r="AQ3436">
            <v>0</v>
          </cell>
          <cell r="BA3436">
            <v>0</v>
          </cell>
          <cell r="BC3436">
            <v>0</v>
          </cell>
        </row>
        <row r="3437">
          <cell r="A3437">
            <v>0</v>
          </cell>
          <cell r="B3437">
            <v>0</v>
          </cell>
          <cell r="E3437">
            <v>0</v>
          </cell>
          <cell r="F3437">
            <v>0</v>
          </cell>
          <cell r="AO3437">
            <v>0</v>
          </cell>
          <cell r="AP3437">
            <v>0</v>
          </cell>
          <cell r="AQ3437">
            <v>0</v>
          </cell>
          <cell r="BA3437">
            <v>0</v>
          </cell>
          <cell r="BC3437">
            <v>0</v>
          </cell>
        </row>
        <row r="3438">
          <cell r="A3438">
            <v>0</v>
          </cell>
          <cell r="B3438">
            <v>0</v>
          </cell>
          <cell r="E3438">
            <v>0</v>
          </cell>
          <cell r="F3438">
            <v>0</v>
          </cell>
          <cell r="AO3438">
            <v>0</v>
          </cell>
          <cell r="AP3438">
            <v>0</v>
          </cell>
          <cell r="AQ3438">
            <v>0</v>
          </cell>
          <cell r="BA3438">
            <v>0</v>
          </cell>
          <cell r="BC3438">
            <v>0</v>
          </cell>
        </row>
        <row r="3439">
          <cell r="A3439">
            <v>0</v>
          </cell>
          <cell r="B3439">
            <v>0</v>
          </cell>
          <cell r="E3439">
            <v>0</v>
          </cell>
          <cell r="F3439">
            <v>0</v>
          </cell>
          <cell r="AO3439">
            <v>0</v>
          </cell>
          <cell r="AP3439">
            <v>0</v>
          </cell>
          <cell r="AQ3439">
            <v>0</v>
          </cell>
          <cell r="BA3439">
            <v>0</v>
          </cell>
          <cell r="BC3439">
            <v>0</v>
          </cell>
        </row>
        <row r="3440">
          <cell r="A3440">
            <v>0</v>
          </cell>
          <cell r="B3440">
            <v>0</v>
          </cell>
          <cell r="E3440">
            <v>0</v>
          </cell>
          <cell r="F3440">
            <v>0</v>
          </cell>
          <cell r="AO3440">
            <v>0</v>
          </cell>
          <cell r="AP3440">
            <v>0</v>
          </cell>
          <cell r="AQ3440">
            <v>0</v>
          </cell>
          <cell r="BA3440">
            <v>0</v>
          </cell>
          <cell r="BC3440">
            <v>0</v>
          </cell>
        </row>
        <row r="3441">
          <cell r="A3441">
            <v>0</v>
          </cell>
          <cell r="B3441">
            <v>0</v>
          </cell>
          <cell r="E3441">
            <v>0</v>
          </cell>
          <cell r="F3441">
            <v>0</v>
          </cell>
          <cell r="AO3441">
            <v>0</v>
          </cell>
          <cell r="AP3441">
            <v>0</v>
          </cell>
          <cell r="AQ3441">
            <v>0</v>
          </cell>
          <cell r="BA3441">
            <v>0</v>
          </cell>
          <cell r="BC3441">
            <v>0</v>
          </cell>
        </row>
        <row r="3442">
          <cell r="A3442">
            <v>0</v>
          </cell>
          <cell r="B3442">
            <v>0</v>
          </cell>
          <cell r="E3442">
            <v>0</v>
          </cell>
          <cell r="F3442">
            <v>0</v>
          </cell>
          <cell r="AO3442">
            <v>0</v>
          </cell>
          <cell r="AP3442">
            <v>0</v>
          </cell>
          <cell r="AQ3442">
            <v>0</v>
          </cell>
          <cell r="BA3442">
            <v>0</v>
          </cell>
          <cell r="BC3442">
            <v>0</v>
          </cell>
        </row>
        <row r="3443">
          <cell r="A3443">
            <v>0</v>
          </cell>
          <cell r="B3443">
            <v>0</v>
          </cell>
          <cell r="E3443">
            <v>0</v>
          </cell>
          <cell r="F3443">
            <v>0</v>
          </cell>
          <cell r="AO3443">
            <v>0</v>
          </cell>
          <cell r="AP3443">
            <v>0</v>
          </cell>
          <cell r="AQ3443">
            <v>0</v>
          </cell>
          <cell r="BA3443">
            <v>0</v>
          </cell>
          <cell r="BC3443">
            <v>0</v>
          </cell>
        </row>
        <row r="3444">
          <cell r="A3444">
            <v>0</v>
          </cell>
          <cell r="B3444">
            <v>0</v>
          </cell>
          <cell r="E3444">
            <v>0</v>
          </cell>
          <cell r="F3444">
            <v>0</v>
          </cell>
          <cell r="AO3444">
            <v>0</v>
          </cell>
          <cell r="AP3444">
            <v>0</v>
          </cell>
          <cell r="AQ3444">
            <v>0</v>
          </cell>
          <cell r="BA3444">
            <v>0</v>
          </cell>
          <cell r="BC3444">
            <v>0</v>
          </cell>
        </row>
        <row r="3445">
          <cell r="A3445">
            <v>0</v>
          </cell>
          <cell r="B3445">
            <v>0</v>
          </cell>
          <cell r="E3445">
            <v>0</v>
          </cell>
          <cell r="F3445">
            <v>0</v>
          </cell>
          <cell r="AO3445">
            <v>0</v>
          </cell>
          <cell r="AP3445">
            <v>0</v>
          </cell>
          <cell r="AQ3445">
            <v>0</v>
          </cell>
          <cell r="BA3445">
            <v>0</v>
          </cell>
          <cell r="BC3445">
            <v>0</v>
          </cell>
        </row>
        <row r="3446">
          <cell r="A3446">
            <v>0</v>
          </cell>
          <cell r="B3446">
            <v>0</v>
          </cell>
          <cell r="E3446">
            <v>0</v>
          </cell>
          <cell r="F3446">
            <v>0</v>
          </cell>
          <cell r="AO3446">
            <v>0</v>
          </cell>
          <cell r="AP3446">
            <v>0</v>
          </cell>
          <cell r="AQ3446">
            <v>0</v>
          </cell>
          <cell r="BA3446">
            <v>0</v>
          </cell>
          <cell r="BC3446">
            <v>0</v>
          </cell>
        </row>
        <row r="3447">
          <cell r="A3447">
            <v>0</v>
          </cell>
          <cell r="B3447">
            <v>0</v>
          </cell>
          <cell r="E3447">
            <v>0</v>
          </cell>
          <cell r="F3447">
            <v>0</v>
          </cell>
          <cell r="AO3447">
            <v>0</v>
          </cell>
          <cell r="AP3447">
            <v>0</v>
          </cell>
          <cell r="AQ3447">
            <v>0</v>
          </cell>
          <cell r="BA3447">
            <v>0</v>
          </cell>
          <cell r="BC3447">
            <v>0</v>
          </cell>
        </row>
        <row r="3448">
          <cell r="A3448">
            <v>0</v>
          </cell>
          <cell r="B3448">
            <v>0</v>
          </cell>
          <cell r="E3448">
            <v>0</v>
          </cell>
          <cell r="F3448">
            <v>0</v>
          </cell>
          <cell r="AO3448">
            <v>0</v>
          </cell>
          <cell r="AP3448">
            <v>0</v>
          </cell>
          <cell r="AQ3448">
            <v>0</v>
          </cell>
          <cell r="BA3448">
            <v>0</v>
          </cell>
          <cell r="BC3448">
            <v>0</v>
          </cell>
        </row>
        <row r="3449">
          <cell r="A3449">
            <v>0</v>
          </cell>
          <cell r="B3449">
            <v>0</v>
          </cell>
          <cell r="E3449">
            <v>0</v>
          </cell>
          <cell r="F3449">
            <v>0</v>
          </cell>
          <cell r="AO3449">
            <v>0</v>
          </cell>
          <cell r="AP3449">
            <v>0</v>
          </cell>
          <cell r="AQ3449">
            <v>0</v>
          </cell>
          <cell r="BA3449">
            <v>0</v>
          </cell>
          <cell r="BC3449">
            <v>0</v>
          </cell>
        </row>
        <row r="3450">
          <cell r="A3450">
            <v>0</v>
          </cell>
          <cell r="B3450">
            <v>0</v>
          </cell>
          <cell r="E3450">
            <v>0</v>
          </cell>
          <cell r="F3450">
            <v>0</v>
          </cell>
          <cell r="AO3450">
            <v>0</v>
          </cell>
          <cell r="AP3450">
            <v>0</v>
          </cell>
          <cell r="AQ3450">
            <v>0</v>
          </cell>
          <cell r="BA3450">
            <v>0</v>
          </cell>
          <cell r="BC3450">
            <v>0</v>
          </cell>
        </row>
        <row r="3451">
          <cell r="A3451">
            <v>0</v>
          </cell>
          <cell r="B3451">
            <v>0</v>
          </cell>
          <cell r="E3451">
            <v>0</v>
          </cell>
          <cell r="F3451">
            <v>0</v>
          </cell>
          <cell r="AO3451">
            <v>0</v>
          </cell>
          <cell r="AP3451">
            <v>0</v>
          </cell>
          <cell r="AQ3451">
            <v>0</v>
          </cell>
          <cell r="BA3451">
            <v>0</v>
          </cell>
          <cell r="BC3451">
            <v>0</v>
          </cell>
        </row>
        <row r="3452">
          <cell r="A3452">
            <v>0</v>
          </cell>
          <cell r="B3452">
            <v>0</v>
          </cell>
          <cell r="E3452">
            <v>0</v>
          </cell>
          <cell r="F3452">
            <v>0</v>
          </cell>
          <cell r="AO3452">
            <v>0</v>
          </cell>
          <cell r="AP3452">
            <v>0</v>
          </cell>
          <cell r="AQ3452">
            <v>0</v>
          </cell>
          <cell r="BA3452">
            <v>0</v>
          </cell>
          <cell r="BC3452">
            <v>0</v>
          </cell>
        </row>
        <row r="3453">
          <cell r="A3453">
            <v>0</v>
          </cell>
          <cell r="B3453">
            <v>0</v>
          </cell>
          <cell r="E3453">
            <v>0</v>
          </cell>
          <cell r="F3453">
            <v>0</v>
          </cell>
          <cell r="AO3453">
            <v>0</v>
          </cell>
          <cell r="AP3453">
            <v>0</v>
          </cell>
          <cell r="AQ3453">
            <v>0</v>
          </cell>
          <cell r="BA3453">
            <v>0</v>
          </cell>
          <cell r="BC3453">
            <v>0</v>
          </cell>
        </row>
        <row r="3454">
          <cell r="A3454">
            <v>0</v>
          </cell>
          <cell r="B3454">
            <v>0</v>
          </cell>
          <cell r="E3454">
            <v>0</v>
          </cell>
          <cell r="F3454">
            <v>0</v>
          </cell>
          <cell r="AO3454">
            <v>0</v>
          </cell>
          <cell r="AP3454">
            <v>0</v>
          </cell>
          <cell r="AQ3454">
            <v>0</v>
          </cell>
          <cell r="BA3454">
            <v>0</v>
          </cell>
          <cell r="BC3454">
            <v>0</v>
          </cell>
        </row>
        <row r="3455">
          <cell r="A3455">
            <v>0</v>
          </cell>
          <cell r="B3455">
            <v>0</v>
          </cell>
          <cell r="E3455">
            <v>0</v>
          </cell>
          <cell r="F3455">
            <v>0</v>
          </cell>
          <cell r="AO3455">
            <v>0</v>
          </cell>
          <cell r="AP3455">
            <v>0</v>
          </cell>
          <cell r="AQ3455">
            <v>0</v>
          </cell>
          <cell r="BA3455">
            <v>0</v>
          </cell>
          <cell r="BC3455">
            <v>0</v>
          </cell>
        </row>
        <row r="3456">
          <cell r="A3456">
            <v>0</v>
          </cell>
          <cell r="B3456">
            <v>0</v>
          </cell>
          <cell r="E3456">
            <v>0</v>
          </cell>
          <cell r="F3456">
            <v>0</v>
          </cell>
          <cell r="AO3456">
            <v>0</v>
          </cell>
          <cell r="AP3456">
            <v>0</v>
          </cell>
          <cell r="AQ3456">
            <v>0</v>
          </cell>
          <cell r="BA3456">
            <v>0</v>
          </cell>
          <cell r="BC3456">
            <v>0</v>
          </cell>
        </row>
        <row r="3457">
          <cell r="A3457">
            <v>0</v>
          </cell>
          <cell r="B3457">
            <v>0</v>
          </cell>
          <cell r="E3457">
            <v>0</v>
          </cell>
          <cell r="F3457">
            <v>0</v>
          </cell>
          <cell r="AO3457">
            <v>0</v>
          </cell>
          <cell r="AP3457">
            <v>0</v>
          </cell>
          <cell r="AQ3457">
            <v>0</v>
          </cell>
          <cell r="BA3457">
            <v>0</v>
          </cell>
          <cell r="BC3457">
            <v>0</v>
          </cell>
        </row>
        <row r="3458">
          <cell r="A3458">
            <v>0</v>
          </cell>
          <cell r="B3458">
            <v>0</v>
          </cell>
          <cell r="E3458">
            <v>0</v>
          </cell>
          <cell r="F3458">
            <v>0</v>
          </cell>
          <cell r="AO3458">
            <v>0</v>
          </cell>
          <cell r="AP3458">
            <v>0</v>
          </cell>
          <cell r="AQ3458">
            <v>0</v>
          </cell>
          <cell r="BA3458">
            <v>0</v>
          </cell>
          <cell r="BC3458">
            <v>0</v>
          </cell>
        </row>
        <row r="3459">
          <cell r="A3459">
            <v>0</v>
          </cell>
          <cell r="B3459">
            <v>0</v>
          </cell>
          <cell r="E3459">
            <v>0</v>
          </cell>
          <cell r="F3459">
            <v>0</v>
          </cell>
          <cell r="AO3459">
            <v>0</v>
          </cell>
          <cell r="AP3459">
            <v>0</v>
          </cell>
          <cell r="AQ3459">
            <v>0</v>
          </cell>
          <cell r="BA3459">
            <v>0</v>
          </cell>
          <cell r="BC3459">
            <v>0</v>
          </cell>
        </row>
        <row r="3460">
          <cell r="A3460">
            <v>0</v>
          </cell>
          <cell r="B3460">
            <v>0</v>
          </cell>
          <cell r="E3460">
            <v>0</v>
          </cell>
          <cell r="F3460">
            <v>0</v>
          </cell>
          <cell r="AO3460">
            <v>0</v>
          </cell>
          <cell r="AP3460">
            <v>0</v>
          </cell>
          <cell r="AQ3460">
            <v>0</v>
          </cell>
          <cell r="BA3460">
            <v>0</v>
          </cell>
          <cell r="BC3460">
            <v>0</v>
          </cell>
        </row>
        <row r="3461">
          <cell r="A3461">
            <v>0</v>
          </cell>
          <cell r="B3461">
            <v>0</v>
          </cell>
          <cell r="E3461">
            <v>0</v>
          </cell>
          <cell r="F3461">
            <v>0</v>
          </cell>
          <cell r="AO3461">
            <v>0</v>
          </cell>
          <cell r="AP3461">
            <v>0</v>
          </cell>
          <cell r="AQ3461">
            <v>0</v>
          </cell>
          <cell r="BA3461">
            <v>0</v>
          </cell>
          <cell r="BC3461">
            <v>0</v>
          </cell>
        </row>
        <row r="3462">
          <cell r="A3462">
            <v>0</v>
          </cell>
          <cell r="B3462">
            <v>0</v>
          </cell>
          <cell r="E3462">
            <v>0</v>
          </cell>
          <cell r="F3462">
            <v>0</v>
          </cell>
          <cell r="AO3462">
            <v>0</v>
          </cell>
          <cell r="AP3462">
            <v>0</v>
          </cell>
          <cell r="AQ3462">
            <v>0</v>
          </cell>
          <cell r="BA3462">
            <v>0</v>
          </cell>
          <cell r="BC3462">
            <v>0</v>
          </cell>
        </row>
        <row r="3463">
          <cell r="A3463">
            <v>0</v>
          </cell>
          <cell r="B3463">
            <v>0</v>
          </cell>
          <cell r="E3463">
            <v>0</v>
          </cell>
          <cell r="F3463">
            <v>0</v>
          </cell>
          <cell r="AO3463">
            <v>0</v>
          </cell>
          <cell r="AP3463">
            <v>0</v>
          </cell>
          <cell r="AQ3463">
            <v>0</v>
          </cell>
          <cell r="BA3463">
            <v>0</v>
          </cell>
          <cell r="BC3463">
            <v>0</v>
          </cell>
        </row>
        <row r="3464">
          <cell r="A3464">
            <v>0</v>
          </cell>
          <cell r="B3464">
            <v>0</v>
          </cell>
          <cell r="E3464">
            <v>0</v>
          </cell>
          <cell r="F3464">
            <v>0</v>
          </cell>
          <cell r="AO3464">
            <v>0</v>
          </cell>
          <cell r="AP3464">
            <v>0</v>
          </cell>
          <cell r="AQ3464">
            <v>0</v>
          </cell>
          <cell r="BA3464">
            <v>0</v>
          </cell>
          <cell r="BC3464">
            <v>0</v>
          </cell>
        </row>
        <row r="3465">
          <cell r="A3465">
            <v>0</v>
          </cell>
          <cell r="B3465">
            <v>0</v>
          </cell>
          <cell r="E3465">
            <v>0</v>
          </cell>
          <cell r="F3465">
            <v>0</v>
          </cell>
          <cell r="AO3465">
            <v>0</v>
          </cell>
          <cell r="AP3465">
            <v>0</v>
          </cell>
          <cell r="AQ3465">
            <v>0</v>
          </cell>
          <cell r="BA3465">
            <v>0</v>
          </cell>
          <cell r="BC3465">
            <v>0</v>
          </cell>
        </row>
        <row r="3466">
          <cell r="A3466">
            <v>0</v>
          </cell>
          <cell r="B3466">
            <v>0</v>
          </cell>
          <cell r="E3466">
            <v>0</v>
          </cell>
          <cell r="F3466">
            <v>0</v>
          </cell>
          <cell r="AO3466">
            <v>0</v>
          </cell>
          <cell r="AP3466">
            <v>0</v>
          </cell>
          <cell r="AQ3466">
            <v>0</v>
          </cell>
          <cell r="BA3466">
            <v>0</v>
          </cell>
          <cell r="BC3466">
            <v>0</v>
          </cell>
        </row>
        <row r="3467">
          <cell r="A3467">
            <v>0</v>
          </cell>
          <cell r="B3467">
            <v>0</v>
          </cell>
          <cell r="E3467">
            <v>0</v>
          </cell>
          <cell r="F3467">
            <v>0</v>
          </cell>
          <cell r="AO3467">
            <v>0</v>
          </cell>
          <cell r="AP3467">
            <v>0</v>
          </cell>
          <cell r="AQ3467">
            <v>0</v>
          </cell>
          <cell r="BA3467">
            <v>0</v>
          </cell>
          <cell r="BC3467">
            <v>0</v>
          </cell>
        </row>
        <row r="3468">
          <cell r="A3468">
            <v>0</v>
          </cell>
          <cell r="B3468">
            <v>0</v>
          </cell>
          <cell r="E3468">
            <v>0</v>
          </cell>
          <cell r="F3468">
            <v>0</v>
          </cell>
          <cell r="AO3468">
            <v>0</v>
          </cell>
          <cell r="AP3468">
            <v>0</v>
          </cell>
          <cell r="AQ3468">
            <v>0</v>
          </cell>
          <cell r="BA3468">
            <v>0</v>
          </cell>
          <cell r="BC3468">
            <v>0</v>
          </cell>
        </row>
        <row r="3469">
          <cell r="A3469">
            <v>0</v>
          </cell>
          <cell r="B3469">
            <v>0</v>
          </cell>
          <cell r="E3469">
            <v>0</v>
          </cell>
          <cell r="F3469">
            <v>0</v>
          </cell>
          <cell r="AO3469">
            <v>0</v>
          </cell>
          <cell r="AP3469">
            <v>0</v>
          </cell>
          <cell r="AQ3469">
            <v>0</v>
          </cell>
          <cell r="BA3469">
            <v>0</v>
          </cell>
          <cell r="BC3469">
            <v>0</v>
          </cell>
        </row>
        <row r="3470">
          <cell r="A3470">
            <v>0</v>
          </cell>
          <cell r="B3470">
            <v>0</v>
          </cell>
          <cell r="E3470">
            <v>0</v>
          </cell>
          <cell r="F3470">
            <v>0</v>
          </cell>
          <cell r="AO3470">
            <v>0</v>
          </cell>
          <cell r="AP3470">
            <v>0</v>
          </cell>
          <cell r="AQ3470">
            <v>0</v>
          </cell>
          <cell r="BA3470">
            <v>0</v>
          </cell>
          <cell r="BC3470">
            <v>0</v>
          </cell>
        </row>
        <row r="3471">
          <cell r="A3471">
            <v>0</v>
          </cell>
          <cell r="B3471">
            <v>0</v>
          </cell>
          <cell r="E3471">
            <v>0</v>
          </cell>
          <cell r="F3471">
            <v>0</v>
          </cell>
          <cell r="AO3471">
            <v>0</v>
          </cell>
          <cell r="AP3471">
            <v>0</v>
          </cell>
          <cell r="AQ3471">
            <v>0</v>
          </cell>
          <cell r="BA3471">
            <v>0</v>
          </cell>
          <cell r="BC3471">
            <v>0</v>
          </cell>
        </row>
        <row r="3472">
          <cell r="A3472">
            <v>0</v>
          </cell>
          <cell r="B3472">
            <v>0</v>
          </cell>
          <cell r="E3472">
            <v>0</v>
          </cell>
          <cell r="F3472">
            <v>0</v>
          </cell>
          <cell r="AO3472">
            <v>0</v>
          </cell>
          <cell r="AP3472">
            <v>0</v>
          </cell>
          <cell r="AQ3472">
            <v>0</v>
          </cell>
          <cell r="BA3472">
            <v>0</v>
          </cell>
          <cell r="BC3472">
            <v>0</v>
          </cell>
        </row>
        <row r="3473">
          <cell r="A3473">
            <v>0</v>
          </cell>
          <cell r="B3473">
            <v>0</v>
          </cell>
          <cell r="E3473">
            <v>0</v>
          </cell>
          <cell r="F3473">
            <v>0</v>
          </cell>
          <cell r="AO3473">
            <v>0</v>
          </cell>
          <cell r="AP3473">
            <v>0</v>
          </cell>
          <cell r="AQ3473">
            <v>0</v>
          </cell>
          <cell r="BA3473">
            <v>0</v>
          </cell>
          <cell r="BC3473">
            <v>0</v>
          </cell>
        </row>
        <row r="3474">
          <cell r="A3474">
            <v>0</v>
          </cell>
          <cell r="B3474">
            <v>0</v>
          </cell>
          <cell r="E3474">
            <v>0</v>
          </cell>
          <cell r="F3474">
            <v>0</v>
          </cell>
          <cell r="AO3474">
            <v>0</v>
          </cell>
          <cell r="AP3474">
            <v>0</v>
          </cell>
          <cell r="AQ3474">
            <v>0</v>
          </cell>
          <cell r="BA3474">
            <v>0</v>
          </cell>
          <cell r="BC3474">
            <v>0</v>
          </cell>
        </row>
        <row r="3475">
          <cell r="A3475">
            <v>0</v>
          </cell>
          <cell r="B3475">
            <v>0</v>
          </cell>
          <cell r="E3475">
            <v>0</v>
          </cell>
          <cell r="F3475">
            <v>0</v>
          </cell>
          <cell r="AO3475">
            <v>0</v>
          </cell>
          <cell r="AP3475">
            <v>0</v>
          </cell>
          <cell r="AQ3475">
            <v>0</v>
          </cell>
          <cell r="BA3475">
            <v>0</v>
          </cell>
          <cell r="BC3475">
            <v>0</v>
          </cell>
        </row>
        <row r="3476">
          <cell r="A3476">
            <v>0</v>
          </cell>
          <cell r="B3476">
            <v>0</v>
          </cell>
          <cell r="E3476">
            <v>0</v>
          </cell>
          <cell r="F3476">
            <v>0</v>
          </cell>
          <cell r="AO3476">
            <v>0</v>
          </cell>
          <cell r="AP3476">
            <v>0</v>
          </cell>
          <cell r="AQ3476">
            <v>0</v>
          </cell>
          <cell r="BA3476">
            <v>0</v>
          </cell>
          <cell r="BC3476">
            <v>0</v>
          </cell>
        </row>
        <row r="3477">
          <cell r="A3477">
            <v>0</v>
          </cell>
          <cell r="B3477">
            <v>0</v>
          </cell>
          <cell r="E3477">
            <v>0</v>
          </cell>
          <cell r="F3477">
            <v>0</v>
          </cell>
          <cell r="AO3477">
            <v>0</v>
          </cell>
          <cell r="AP3477">
            <v>0</v>
          </cell>
          <cell r="AQ3477">
            <v>0</v>
          </cell>
          <cell r="BA3477">
            <v>0</v>
          </cell>
          <cell r="BC3477">
            <v>0</v>
          </cell>
        </row>
        <row r="3478">
          <cell r="A3478">
            <v>0</v>
          </cell>
          <cell r="B3478">
            <v>0</v>
          </cell>
          <cell r="E3478">
            <v>0</v>
          </cell>
          <cell r="F3478">
            <v>0</v>
          </cell>
          <cell r="AO3478">
            <v>0</v>
          </cell>
          <cell r="AP3478">
            <v>0</v>
          </cell>
          <cell r="AQ3478">
            <v>0</v>
          </cell>
          <cell r="BA3478">
            <v>0</v>
          </cell>
          <cell r="BC3478">
            <v>0</v>
          </cell>
        </row>
        <row r="3479">
          <cell r="A3479">
            <v>0</v>
          </cell>
          <cell r="B3479">
            <v>0</v>
          </cell>
          <cell r="E3479">
            <v>0</v>
          </cell>
          <cell r="F3479">
            <v>0</v>
          </cell>
          <cell r="AO3479">
            <v>0</v>
          </cell>
          <cell r="AP3479">
            <v>0</v>
          </cell>
          <cell r="AQ3479">
            <v>0</v>
          </cell>
          <cell r="BA3479">
            <v>0</v>
          </cell>
          <cell r="BC3479">
            <v>0</v>
          </cell>
        </row>
        <row r="3480">
          <cell r="A3480">
            <v>0</v>
          </cell>
          <cell r="B3480">
            <v>0</v>
          </cell>
          <cell r="E3480">
            <v>0</v>
          </cell>
          <cell r="F3480">
            <v>0</v>
          </cell>
          <cell r="AO3480">
            <v>0</v>
          </cell>
          <cell r="AP3480">
            <v>0</v>
          </cell>
          <cell r="AQ3480">
            <v>0</v>
          </cell>
          <cell r="BA3480">
            <v>0</v>
          </cell>
          <cell r="BC3480">
            <v>0</v>
          </cell>
        </row>
        <row r="3481">
          <cell r="A3481">
            <v>0</v>
          </cell>
          <cell r="B3481">
            <v>0</v>
          </cell>
          <cell r="E3481">
            <v>0</v>
          </cell>
          <cell r="F3481">
            <v>0</v>
          </cell>
          <cell r="AO3481">
            <v>0</v>
          </cell>
          <cell r="AP3481">
            <v>0</v>
          </cell>
          <cell r="AQ3481">
            <v>0</v>
          </cell>
          <cell r="BA3481">
            <v>0</v>
          </cell>
          <cell r="BC3481">
            <v>0</v>
          </cell>
        </row>
        <row r="3482">
          <cell r="A3482">
            <v>0</v>
          </cell>
          <cell r="B3482">
            <v>0</v>
          </cell>
          <cell r="E3482">
            <v>0</v>
          </cell>
          <cell r="F3482">
            <v>0</v>
          </cell>
          <cell r="AO3482">
            <v>0</v>
          </cell>
          <cell r="AP3482">
            <v>0</v>
          </cell>
          <cell r="AQ3482">
            <v>0</v>
          </cell>
          <cell r="BA3482">
            <v>0</v>
          </cell>
          <cell r="BC3482">
            <v>0</v>
          </cell>
        </row>
        <row r="3483">
          <cell r="A3483">
            <v>0</v>
          </cell>
          <cell r="B3483">
            <v>0</v>
          </cell>
          <cell r="E3483">
            <v>0</v>
          </cell>
          <cell r="F3483">
            <v>0</v>
          </cell>
          <cell r="AO3483">
            <v>0</v>
          </cell>
          <cell r="AP3483">
            <v>0</v>
          </cell>
          <cell r="AQ3483">
            <v>0</v>
          </cell>
          <cell r="BA3483">
            <v>0</v>
          </cell>
          <cell r="BC3483">
            <v>0</v>
          </cell>
        </row>
        <row r="3484">
          <cell r="A3484">
            <v>0</v>
          </cell>
          <cell r="B3484">
            <v>0</v>
          </cell>
          <cell r="E3484">
            <v>0</v>
          </cell>
          <cell r="F3484">
            <v>0</v>
          </cell>
          <cell r="AO3484">
            <v>0</v>
          </cell>
          <cell r="AP3484">
            <v>0</v>
          </cell>
          <cell r="AQ3484">
            <v>0</v>
          </cell>
          <cell r="BA3484">
            <v>0</v>
          </cell>
          <cell r="BC3484">
            <v>0</v>
          </cell>
        </row>
        <row r="3485">
          <cell r="A3485">
            <v>0</v>
          </cell>
          <cell r="B3485">
            <v>0</v>
          </cell>
          <cell r="E3485">
            <v>0</v>
          </cell>
          <cell r="F3485">
            <v>0</v>
          </cell>
          <cell r="AO3485">
            <v>0</v>
          </cell>
          <cell r="AP3485">
            <v>0</v>
          </cell>
          <cell r="AQ3485">
            <v>0</v>
          </cell>
          <cell r="BA3485">
            <v>0</v>
          </cell>
          <cell r="BC3485">
            <v>0</v>
          </cell>
        </row>
        <row r="3486">
          <cell r="A3486">
            <v>0</v>
          </cell>
          <cell r="B3486">
            <v>0</v>
          </cell>
          <cell r="E3486">
            <v>0</v>
          </cell>
          <cell r="F3486">
            <v>0</v>
          </cell>
          <cell r="AO3486">
            <v>0</v>
          </cell>
          <cell r="AP3486">
            <v>0</v>
          </cell>
          <cell r="AQ3486">
            <v>0</v>
          </cell>
          <cell r="BA3486">
            <v>0</v>
          </cell>
          <cell r="BC3486">
            <v>0</v>
          </cell>
        </row>
        <row r="3487">
          <cell r="A3487">
            <v>0</v>
          </cell>
          <cell r="B3487">
            <v>0</v>
          </cell>
          <cell r="E3487">
            <v>0</v>
          </cell>
          <cell r="F3487">
            <v>0</v>
          </cell>
          <cell r="AO3487">
            <v>0</v>
          </cell>
          <cell r="AP3487">
            <v>0</v>
          </cell>
          <cell r="AQ3487">
            <v>0</v>
          </cell>
          <cell r="BA3487">
            <v>0</v>
          </cell>
          <cell r="BC3487">
            <v>0</v>
          </cell>
        </row>
        <row r="3488">
          <cell r="A3488">
            <v>0</v>
          </cell>
          <cell r="B3488">
            <v>0</v>
          </cell>
          <cell r="E3488">
            <v>0</v>
          </cell>
          <cell r="F3488">
            <v>0</v>
          </cell>
          <cell r="AO3488">
            <v>0</v>
          </cell>
          <cell r="AP3488">
            <v>0</v>
          </cell>
          <cell r="AQ3488">
            <v>0</v>
          </cell>
          <cell r="BA3488">
            <v>0</v>
          </cell>
          <cell r="BC3488">
            <v>0</v>
          </cell>
        </row>
        <row r="3489">
          <cell r="A3489">
            <v>0</v>
          </cell>
          <cell r="B3489">
            <v>0</v>
          </cell>
          <cell r="E3489">
            <v>0</v>
          </cell>
          <cell r="F3489">
            <v>0</v>
          </cell>
          <cell r="AO3489">
            <v>0</v>
          </cell>
          <cell r="AP3489">
            <v>0</v>
          </cell>
          <cell r="AQ3489">
            <v>0</v>
          </cell>
          <cell r="BA3489">
            <v>0</v>
          </cell>
          <cell r="BC3489">
            <v>0</v>
          </cell>
        </row>
        <row r="3490">
          <cell r="A3490">
            <v>0</v>
          </cell>
          <cell r="B3490">
            <v>0</v>
          </cell>
          <cell r="E3490">
            <v>0</v>
          </cell>
          <cell r="F3490">
            <v>0</v>
          </cell>
          <cell r="AO3490">
            <v>0</v>
          </cell>
          <cell r="AP3490">
            <v>0</v>
          </cell>
          <cell r="AQ3490">
            <v>0</v>
          </cell>
          <cell r="BA3490">
            <v>0</v>
          </cell>
          <cell r="BC3490">
            <v>0</v>
          </cell>
        </row>
        <row r="3491">
          <cell r="A3491">
            <v>0</v>
          </cell>
          <cell r="B3491">
            <v>0</v>
          </cell>
          <cell r="E3491">
            <v>0</v>
          </cell>
          <cell r="F3491">
            <v>0</v>
          </cell>
          <cell r="AO3491">
            <v>0</v>
          </cell>
          <cell r="AP3491">
            <v>0</v>
          </cell>
          <cell r="AQ3491">
            <v>0</v>
          </cell>
          <cell r="BA3491">
            <v>0</v>
          </cell>
          <cell r="BC3491">
            <v>0</v>
          </cell>
        </row>
        <row r="3492">
          <cell r="A3492">
            <v>0</v>
          </cell>
          <cell r="B3492">
            <v>0</v>
          </cell>
          <cell r="E3492">
            <v>0</v>
          </cell>
          <cell r="F3492">
            <v>0</v>
          </cell>
          <cell r="AO3492">
            <v>0</v>
          </cell>
          <cell r="AP3492">
            <v>0</v>
          </cell>
          <cell r="AQ3492">
            <v>0</v>
          </cell>
          <cell r="BA3492">
            <v>0</v>
          </cell>
          <cell r="BC3492">
            <v>0</v>
          </cell>
        </row>
        <row r="3493">
          <cell r="A3493">
            <v>0</v>
          </cell>
          <cell r="B3493">
            <v>0</v>
          </cell>
          <cell r="E3493">
            <v>0</v>
          </cell>
          <cell r="F3493">
            <v>0</v>
          </cell>
          <cell r="AO3493">
            <v>0</v>
          </cell>
          <cell r="AP3493">
            <v>0</v>
          </cell>
          <cell r="AQ3493">
            <v>0</v>
          </cell>
          <cell r="BA3493">
            <v>0</v>
          </cell>
          <cell r="BC3493">
            <v>0</v>
          </cell>
        </row>
        <row r="3494">
          <cell r="A3494">
            <v>0</v>
          </cell>
          <cell r="B3494">
            <v>0</v>
          </cell>
          <cell r="E3494">
            <v>0</v>
          </cell>
          <cell r="F3494">
            <v>0</v>
          </cell>
          <cell r="AO3494">
            <v>0</v>
          </cell>
          <cell r="AP3494">
            <v>0</v>
          </cell>
          <cell r="AQ3494">
            <v>0</v>
          </cell>
          <cell r="BA3494">
            <v>0</v>
          </cell>
          <cell r="BC3494">
            <v>0</v>
          </cell>
        </row>
        <row r="3495">
          <cell r="A3495">
            <v>0</v>
          </cell>
          <cell r="B3495">
            <v>0</v>
          </cell>
          <cell r="E3495">
            <v>0</v>
          </cell>
          <cell r="F3495">
            <v>0</v>
          </cell>
          <cell r="AO3495">
            <v>0</v>
          </cell>
          <cell r="AP3495">
            <v>0</v>
          </cell>
          <cell r="AQ3495">
            <v>0</v>
          </cell>
          <cell r="BA3495">
            <v>0</v>
          </cell>
          <cell r="BC3495">
            <v>0</v>
          </cell>
        </row>
        <row r="3496">
          <cell r="A3496">
            <v>0</v>
          </cell>
          <cell r="B3496">
            <v>0</v>
          </cell>
          <cell r="E3496">
            <v>0</v>
          </cell>
          <cell r="F3496">
            <v>0</v>
          </cell>
          <cell r="AO3496">
            <v>0</v>
          </cell>
          <cell r="AP3496">
            <v>0</v>
          </cell>
          <cell r="AQ3496">
            <v>0</v>
          </cell>
          <cell r="BA3496">
            <v>0</v>
          </cell>
          <cell r="BC3496">
            <v>0</v>
          </cell>
        </row>
        <row r="3497">
          <cell r="A3497">
            <v>0</v>
          </cell>
          <cell r="B3497">
            <v>0</v>
          </cell>
          <cell r="E3497">
            <v>0</v>
          </cell>
          <cell r="F3497">
            <v>0</v>
          </cell>
          <cell r="AO3497">
            <v>0</v>
          </cell>
          <cell r="AP3497">
            <v>0</v>
          </cell>
          <cell r="AQ3497">
            <v>0</v>
          </cell>
          <cell r="BA3497">
            <v>0</v>
          </cell>
          <cell r="BC3497">
            <v>0</v>
          </cell>
        </row>
        <row r="3498">
          <cell r="A3498">
            <v>0</v>
          </cell>
          <cell r="B3498">
            <v>0</v>
          </cell>
          <cell r="E3498">
            <v>0</v>
          </cell>
          <cell r="F3498">
            <v>0</v>
          </cell>
          <cell r="AO3498">
            <v>0</v>
          </cell>
          <cell r="AP3498">
            <v>0</v>
          </cell>
          <cell r="AQ3498">
            <v>0</v>
          </cell>
          <cell r="BA3498">
            <v>0</v>
          </cell>
          <cell r="BC3498">
            <v>0</v>
          </cell>
        </row>
        <row r="3499">
          <cell r="A3499">
            <v>0</v>
          </cell>
          <cell r="B3499">
            <v>0</v>
          </cell>
          <cell r="E3499">
            <v>0</v>
          </cell>
          <cell r="F3499">
            <v>0</v>
          </cell>
          <cell r="AO3499">
            <v>0</v>
          </cell>
          <cell r="AP3499">
            <v>0</v>
          </cell>
          <cell r="AQ3499">
            <v>0</v>
          </cell>
          <cell r="BA3499">
            <v>0</v>
          </cell>
          <cell r="BC3499">
            <v>0</v>
          </cell>
        </row>
        <row r="3500">
          <cell r="A3500">
            <v>0</v>
          </cell>
          <cell r="B3500">
            <v>0</v>
          </cell>
          <cell r="E3500">
            <v>0</v>
          </cell>
          <cell r="F3500">
            <v>0</v>
          </cell>
          <cell r="AO3500">
            <v>0</v>
          </cell>
          <cell r="AP3500">
            <v>0</v>
          </cell>
          <cell r="AQ3500">
            <v>0</v>
          </cell>
          <cell r="BA3500">
            <v>0</v>
          </cell>
          <cell r="BC3500">
            <v>0</v>
          </cell>
        </row>
        <row r="3501">
          <cell r="A3501">
            <v>0</v>
          </cell>
          <cell r="B3501">
            <v>0</v>
          </cell>
          <cell r="E3501">
            <v>0</v>
          </cell>
          <cell r="F3501">
            <v>0</v>
          </cell>
          <cell r="AO3501">
            <v>0</v>
          </cell>
          <cell r="AP3501">
            <v>0</v>
          </cell>
          <cell r="AQ3501">
            <v>0</v>
          </cell>
          <cell r="BA3501">
            <v>0</v>
          </cell>
          <cell r="BC3501">
            <v>0</v>
          </cell>
        </row>
        <row r="3502">
          <cell r="A3502">
            <v>0</v>
          </cell>
          <cell r="B3502">
            <v>0</v>
          </cell>
          <cell r="E3502">
            <v>0</v>
          </cell>
          <cell r="F3502">
            <v>0</v>
          </cell>
          <cell r="AO3502">
            <v>0</v>
          </cell>
          <cell r="AP3502">
            <v>0</v>
          </cell>
          <cell r="AQ3502">
            <v>0</v>
          </cell>
          <cell r="BA3502">
            <v>0</v>
          </cell>
          <cell r="BC3502">
            <v>0</v>
          </cell>
        </row>
        <row r="3503">
          <cell r="A3503">
            <v>0</v>
          </cell>
          <cell r="B3503">
            <v>0</v>
          </cell>
          <cell r="E3503">
            <v>0</v>
          </cell>
          <cell r="F3503">
            <v>0</v>
          </cell>
          <cell r="AO3503">
            <v>0</v>
          </cell>
          <cell r="AP3503">
            <v>0</v>
          </cell>
          <cell r="AQ3503">
            <v>0</v>
          </cell>
          <cell r="BA3503">
            <v>0</v>
          </cell>
          <cell r="BC3503">
            <v>0</v>
          </cell>
        </row>
        <row r="3504">
          <cell r="A3504">
            <v>0</v>
          </cell>
          <cell r="B3504">
            <v>0</v>
          </cell>
          <cell r="E3504">
            <v>0</v>
          </cell>
          <cell r="F3504">
            <v>0</v>
          </cell>
          <cell r="AO3504">
            <v>0</v>
          </cell>
          <cell r="AP3504">
            <v>0</v>
          </cell>
          <cell r="AQ3504">
            <v>0</v>
          </cell>
          <cell r="BA3504">
            <v>0</v>
          </cell>
          <cell r="BC3504">
            <v>0</v>
          </cell>
        </row>
        <row r="3505">
          <cell r="A3505">
            <v>0</v>
          </cell>
          <cell r="B3505">
            <v>0</v>
          </cell>
          <cell r="E3505">
            <v>0</v>
          </cell>
          <cell r="F3505">
            <v>0</v>
          </cell>
          <cell r="AO3505">
            <v>0</v>
          </cell>
          <cell r="AP3505">
            <v>0</v>
          </cell>
          <cell r="AQ3505">
            <v>0</v>
          </cell>
          <cell r="BA3505">
            <v>0</v>
          </cell>
          <cell r="BC3505">
            <v>0</v>
          </cell>
        </row>
        <row r="3506">
          <cell r="A3506">
            <v>0</v>
          </cell>
          <cell r="B3506">
            <v>0</v>
          </cell>
          <cell r="E3506">
            <v>0</v>
          </cell>
          <cell r="F3506">
            <v>0</v>
          </cell>
          <cell r="AO3506">
            <v>0</v>
          </cell>
          <cell r="AP3506">
            <v>0</v>
          </cell>
          <cell r="AQ3506">
            <v>0</v>
          </cell>
          <cell r="BA3506">
            <v>0</v>
          </cell>
          <cell r="BC3506">
            <v>0</v>
          </cell>
        </row>
        <row r="3507">
          <cell r="A3507">
            <v>0</v>
          </cell>
          <cell r="B3507">
            <v>0</v>
          </cell>
          <cell r="E3507">
            <v>0</v>
          </cell>
          <cell r="F3507">
            <v>0</v>
          </cell>
          <cell r="AO3507">
            <v>0</v>
          </cell>
          <cell r="AP3507">
            <v>0</v>
          </cell>
          <cell r="AQ3507">
            <v>0</v>
          </cell>
          <cell r="BA3507">
            <v>0</v>
          </cell>
          <cell r="BC3507">
            <v>0</v>
          </cell>
        </row>
        <row r="3508">
          <cell r="A3508">
            <v>0</v>
          </cell>
          <cell r="B3508">
            <v>0</v>
          </cell>
          <cell r="E3508">
            <v>0</v>
          </cell>
          <cell r="F3508">
            <v>0</v>
          </cell>
          <cell r="AO3508">
            <v>0</v>
          </cell>
          <cell r="AP3508">
            <v>0</v>
          </cell>
          <cell r="AQ3508">
            <v>0</v>
          </cell>
          <cell r="BA3508">
            <v>0</v>
          </cell>
          <cell r="BC3508">
            <v>0</v>
          </cell>
        </row>
        <row r="3509">
          <cell r="A3509">
            <v>0</v>
          </cell>
          <cell r="B3509">
            <v>0</v>
          </cell>
          <cell r="E3509">
            <v>0</v>
          </cell>
          <cell r="F3509">
            <v>0</v>
          </cell>
          <cell r="AO3509">
            <v>0</v>
          </cell>
          <cell r="AP3509">
            <v>0</v>
          </cell>
          <cell r="AQ3509">
            <v>0</v>
          </cell>
          <cell r="BA3509">
            <v>0</v>
          </cell>
          <cell r="BC3509">
            <v>0</v>
          </cell>
        </row>
        <row r="3510">
          <cell r="A3510">
            <v>0</v>
          </cell>
          <cell r="B3510">
            <v>0</v>
          </cell>
          <cell r="E3510">
            <v>0</v>
          </cell>
          <cell r="F3510">
            <v>0</v>
          </cell>
          <cell r="AO3510">
            <v>0</v>
          </cell>
          <cell r="AP3510">
            <v>0</v>
          </cell>
          <cell r="AQ3510">
            <v>0</v>
          </cell>
          <cell r="BA3510">
            <v>0</v>
          </cell>
          <cell r="BC3510">
            <v>0</v>
          </cell>
        </row>
        <row r="3511">
          <cell r="A3511">
            <v>0</v>
          </cell>
          <cell r="B3511">
            <v>0</v>
          </cell>
          <cell r="E3511">
            <v>0</v>
          </cell>
          <cell r="F3511">
            <v>0</v>
          </cell>
          <cell r="AO3511">
            <v>0</v>
          </cell>
          <cell r="AP3511">
            <v>0</v>
          </cell>
          <cell r="AQ3511">
            <v>0</v>
          </cell>
          <cell r="BA3511">
            <v>0</v>
          </cell>
          <cell r="BC3511">
            <v>0</v>
          </cell>
        </row>
        <row r="3512">
          <cell r="A3512">
            <v>0</v>
          </cell>
          <cell r="B3512">
            <v>0</v>
          </cell>
          <cell r="E3512">
            <v>0</v>
          </cell>
          <cell r="F3512">
            <v>0</v>
          </cell>
          <cell r="AO3512">
            <v>0</v>
          </cell>
          <cell r="AP3512">
            <v>0</v>
          </cell>
          <cell r="AQ3512">
            <v>0</v>
          </cell>
          <cell r="BA3512">
            <v>0</v>
          </cell>
          <cell r="BC3512">
            <v>0</v>
          </cell>
        </row>
        <row r="3513">
          <cell r="A3513">
            <v>0</v>
          </cell>
          <cell r="B3513">
            <v>0</v>
          </cell>
          <cell r="E3513">
            <v>0</v>
          </cell>
          <cell r="F3513">
            <v>0</v>
          </cell>
          <cell r="AO3513">
            <v>0</v>
          </cell>
          <cell r="AP3513">
            <v>0</v>
          </cell>
          <cell r="AQ3513">
            <v>0</v>
          </cell>
          <cell r="BA3513">
            <v>0</v>
          </cell>
          <cell r="BC3513">
            <v>0</v>
          </cell>
        </row>
        <row r="3514">
          <cell r="A3514">
            <v>0</v>
          </cell>
          <cell r="B3514">
            <v>0</v>
          </cell>
          <cell r="E3514">
            <v>0</v>
          </cell>
          <cell r="F3514">
            <v>0</v>
          </cell>
          <cell r="AO3514">
            <v>0</v>
          </cell>
          <cell r="AP3514">
            <v>0</v>
          </cell>
          <cell r="AQ3514">
            <v>0</v>
          </cell>
          <cell r="BA3514">
            <v>0</v>
          </cell>
          <cell r="BC3514">
            <v>0</v>
          </cell>
        </row>
        <row r="3515">
          <cell r="A3515">
            <v>0</v>
          </cell>
          <cell r="B3515">
            <v>0</v>
          </cell>
          <cell r="E3515">
            <v>0</v>
          </cell>
          <cell r="F3515">
            <v>0</v>
          </cell>
          <cell r="AO3515">
            <v>0</v>
          </cell>
          <cell r="AP3515">
            <v>0</v>
          </cell>
          <cell r="AQ3515">
            <v>0</v>
          </cell>
          <cell r="BA3515">
            <v>0</v>
          </cell>
          <cell r="BC3515">
            <v>0</v>
          </cell>
        </row>
        <row r="3516">
          <cell r="A3516">
            <v>0</v>
          </cell>
          <cell r="B3516">
            <v>0</v>
          </cell>
          <cell r="E3516">
            <v>0</v>
          </cell>
          <cell r="F3516">
            <v>0</v>
          </cell>
          <cell r="AO3516">
            <v>0</v>
          </cell>
          <cell r="AP3516">
            <v>0</v>
          </cell>
          <cell r="AQ3516">
            <v>0</v>
          </cell>
          <cell r="BA3516">
            <v>0</v>
          </cell>
          <cell r="BC3516">
            <v>0</v>
          </cell>
        </row>
        <row r="3517">
          <cell r="A3517">
            <v>0</v>
          </cell>
          <cell r="B3517">
            <v>0</v>
          </cell>
          <cell r="E3517">
            <v>0</v>
          </cell>
          <cell r="F3517">
            <v>0</v>
          </cell>
          <cell r="AO3517">
            <v>0</v>
          </cell>
          <cell r="AP3517">
            <v>0</v>
          </cell>
          <cell r="AQ3517">
            <v>0</v>
          </cell>
          <cell r="BA3517">
            <v>0</v>
          </cell>
          <cell r="BC3517">
            <v>0</v>
          </cell>
        </row>
        <row r="3518">
          <cell r="A3518">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P1898"/>
  <sheetViews>
    <sheetView workbookViewId="0">
      <pane ySplit="4" topLeftCell="A1740" activePane="bottomLeft" state="frozenSplit"/>
      <selection activeCell="V1" sqref="V1"/>
      <selection pane="bottomLeft" activeCell="BA5" sqref="BA5:BA1898"/>
    </sheetView>
  </sheetViews>
  <sheetFormatPr defaultRowHeight="15" x14ac:dyDescent="0.25"/>
  <cols>
    <col min="1" max="1" width="22.7109375" customWidth="1"/>
    <col min="2" max="2" width="52.42578125" customWidth="1"/>
    <col min="3" max="3" width="14" customWidth="1"/>
    <col min="4" max="4" width="9.140625" customWidth="1"/>
    <col min="5" max="5" width="28" customWidth="1"/>
    <col min="6" max="7" width="9.140625" customWidth="1"/>
    <col min="8" max="8" width="11.28515625" customWidth="1"/>
    <col min="9" max="15" width="9.140625" customWidth="1"/>
    <col min="16" max="16" width="11.85546875" customWidth="1"/>
    <col min="17" max="30" width="9.140625" customWidth="1"/>
    <col min="31" max="31" width="26.42578125" customWidth="1"/>
    <col min="32" max="32" width="15" customWidth="1"/>
    <col min="33" max="33" width="9.140625" customWidth="1"/>
    <col min="34" max="34" width="12.42578125" customWidth="1"/>
    <col min="35" max="39" width="9.140625" customWidth="1"/>
    <col min="40" max="40" width="11.85546875" customWidth="1"/>
    <col min="41" max="41" width="17" customWidth="1"/>
    <col min="42" max="43" width="13.5703125" customWidth="1"/>
    <col min="44" max="44" width="14.28515625" customWidth="1"/>
    <col min="45" max="45" width="11.85546875" customWidth="1"/>
    <col min="46" max="46" width="14.5703125" customWidth="1"/>
    <col min="47" max="47" width="12" customWidth="1"/>
    <col min="48" max="48" width="13.140625" customWidth="1"/>
    <col min="49" max="49" width="18" customWidth="1"/>
    <col min="50" max="50" width="9.140625" customWidth="1"/>
    <col min="51" max="51" width="13.42578125" customWidth="1"/>
    <col min="53" max="54" width="9.140625" customWidth="1"/>
    <col min="62" max="62" width="14.5703125" customWidth="1"/>
    <col min="63" max="63" width="23.140625" customWidth="1"/>
  </cols>
  <sheetData>
    <row r="1" spans="1:94" x14ac:dyDescent="0.25">
      <c r="A1" s="1">
        <v>1</v>
      </c>
      <c r="B1" s="2">
        <v>2</v>
      </c>
      <c r="C1" s="1">
        <v>3</v>
      </c>
      <c r="D1" s="2">
        <v>4</v>
      </c>
      <c r="E1" s="1">
        <v>5</v>
      </c>
      <c r="F1" s="2">
        <v>6</v>
      </c>
      <c r="G1" s="1">
        <v>7</v>
      </c>
      <c r="H1" s="2">
        <v>8</v>
      </c>
      <c r="I1" s="1">
        <v>9</v>
      </c>
      <c r="J1" s="2">
        <v>10</v>
      </c>
      <c r="K1" s="1">
        <v>11</v>
      </c>
      <c r="L1" s="2">
        <v>12</v>
      </c>
      <c r="M1" s="1">
        <v>13</v>
      </c>
      <c r="N1" s="2">
        <v>14</v>
      </c>
      <c r="O1" s="1">
        <v>15</v>
      </c>
      <c r="P1" s="2">
        <v>16</v>
      </c>
      <c r="Q1" s="1">
        <v>17</v>
      </c>
      <c r="R1" s="2">
        <v>18</v>
      </c>
      <c r="S1" s="1">
        <v>19</v>
      </c>
      <c r="T1" s="2">
        <v>20</v>
      </c>
      <c r="U1" s="1">
        <v>21</v>
      </c>
      <c r="V1" s="2">
        <v>22</v>
      </c>
      <c r="W1" s="1">
        <v>23</v>
      </c>
      <c r="X1" s="2">
        <v>24</v>
      </c>
      <c r="Y1" s="1">
        <v>25</v>
      </c>
      <c r="Z1" s="2">
        <v>26</v>
      </c>
      <c r="AA1" s="1">
        <v>27</v>
      </c>
      <c r="AB1" s="2">
        <v>28</v>
      </c>
      <c r="AC1" s="1">
        <v>29</v>
      </c>
      <c r="AD1" s="2">
        <v>30</v>
      </c>
      <c r="AE1" s="1">
        <v>31</v>
      </c>
      <c r="AF1" s="2">
        <v>32</v>
      </c>
      <c r="AG1" s="1">
        <v>33</v>
      </c>
      <c r="AH1" s="2">
        <v>34</v>
      </c>
      <c r="AI1" s="1">
        <v>35</v>
      </c>
      <c r="AJ1" s="2">
        <v>36</v>
      </c>
      <c r="AK1" s="1">
        <v>37</v>
      </c>
      <c r="AL1" s="2">
        <v>38</v>
      </c>
      <c r="AM1" s="1">
        <v>39</v>
      </c>
      <c r="AN1" s="2">
        <v>40</v>
      </c>
      <c r="AO1" s="1">
        <v>41</v>
      </c>
      <c r="AP1" s="2">
        <v>42</v>
      </c>
      <c r="AQ1" s="1">
        <v>43</v>
      </c>
      <c r="AR1" s="2">
        <v>44</v>
      </c>
      <c r="AS1" s="1">
        <v>45</v>
      </c>
      <c r="AT1" s="2">
        <v>46</v>
      </c>
      <c r="AU1" s="1">
        <v>47</v>
      </c>
      <c r="AV1" s="2">
        <v>48</v>
      </c>
      <c r="AW1" s="1">
        <v>49</v>
      </c>
      <c r="AX1" s="2">
        <v>50</v>
      </c>
      <c r="AY1" s="1">
        <v>51</v>
      </c>
      <c r="AZ1" s="2">
        <v>52</v>
      </c>
      <c r="BA1" s="1">
        <v>53</v>
      </c>
      <c r="BB1" s="2">
        <v>54</v>
      </c>
      <c r="BC1" s="3">
        <v>55</v>
      </c>
      <c r="BD1" s="4">
        <v>56</v>
      </c>
      <c r="BE1" s="3">
        <v>57</v>
      </c>
      <c r="BF1" s="4">
        <v>58</v>
      </c>
      <c r="BG1" s="3">
        <v>59</v>
      </c>
      <c r="BH1" s="4">
        <v>60</v>
      </c>
      <c r="BI1" s="1">
        <v>61</v>
      </c>
      <c r="BJ1" s="5">
        <v>62</v>
      </c>
      <c r="BK1" s="6">
        <v>63</v>
      </c>
      <c r="BL1" s="5">
        <v>64</v>
      </c>
      <c r="BM1" s="6">
        <v>65</v>
      </c>
      <c r="BN1" s="5">
        <v>66</v>
      </c>
      <c r="BO1" s="6">
        <v>67</v>
      </c>
      <c r="BP1" s="5">
        <v>68</v>
      </c>
      <c r="BQ1" s="6">
        <v>69</v>
      </c>
      <c r="BR1" s="5">
        <v>70</v>
      </c>
      <c r="BS1" s="6">
        <v>71</v>
      </c>
      <c r="BT1" s="5">
        <v>72</v>
      </c>
      <c r="BU1" s="6">
        <v>73</v>
      </c>
      <c r="BV1" s="5">
        <v>74</v>
      </c>
      <c r="BW1" s="6">
        <v>75</v>
      </c>
      <c r="BX1" s="5">
        <v>76</v>
      </c>
      <c r="BY1" s="7">
        <v>77</v>
      </c>
      <c r="BZ1" s="8">
        <v>78</v>
      </c>
      <c r="CA1" s="7">
        <v>79</v>
      </c>
      <c r="CB1" s="8">
        <v>80</v>
      </c>
      <c r="CC1" s="7">
        <v>81</v>
      </c>
      <c r="CD1" s="8">
        <v>82</v>
      </c>
      <c r="CE1" s="1">
        <v>83</v>
      </c>
      <c r="CF1" s="2">
        <v>84</v>
      </c>
      <c r="CG1" s="1">
        <v>85</v>
      </c>
      <c r="CH1" s="2">
        <v>86</v>
      </c>
      <c r="CI1" s="1">
        <v>87</v>
      </c>
      <c r="CJ1" s="2">
        <v>88</v>
      </c>
      <c r="CK1" s="1">
        <v>89</v>
      </c>
      <c r="CL1" s="2">
        <v>90</v>
      </c>
      <c r="CM1" s="1">
        <v>91</v>
      </c>
      <c r="CN1" s="9"/>
      <c r="CO1" s="9"/>
      <c r="CP1" s="9"/>
    </row>
    <row r="2" spans="1:94" ht="15.75" x14ac:dyDescent="0.25">
      <c r="A2" s="277" t="s">
        <v>0</v>
      </c>
      <c r="B2" s="278" t="s">
        <v>1</v>
      </c>
      <c r="C2" s="279" t="s">
        <v>2</v>
      </c>
      <c r="D2" s="280"/>
      <c r="E2" s="280"/>
      <c r="F2" s="280"/>
      <c r="G2" s="280"/>
      <c r="H2" s="280"/>
      <c r="I2" s="280"/>
      <c r="J2" s="280"/>
      <c r="K2" s="280"/>
      <c r="L2" s="280"/>
      <c r="M2" s="280"/>
      <c r="N2" s="280"/>
      <c r="O2" s="280"/>
      <c r="P2" s="280"/>
      <c r="Q2" s="280"/>
      <c r="R2" s="280"/>
      <c r="S2" s="280"/>
      <c r="T2" s="280"/>
      <c r="U2" s="280"/>
      <c r="V2" s="280"/>
      <c r="W2" s="281"/>
      <c r="X2" s="10"/>
      <c r="Y2" s="10"/>
      <c r="Z2" s="10"/>
      <c r="AA2" s="10"/>
      <c r="AB2" s="10"/>
      <c r="AC2" s="10"/>
      <c r="AD2" s="10"/>
      <c r="AE2" s="11" t="s">
        <v>3</v>
      </c>
      <c r="AF2" s="12"/>
      <c r="AG2" s="12"/>
      <c r="AH2" s="13" t="s">
        <v>4</v>
      </c>
      <c r="AI2" s="12"/>
      <c r="AJ2" s="12"/>
      <c r="AK2" s="12"/>
      <c r="AL2" s="12"/>
      <c r="AM2" s="14" t="s">
        <v>5</v>
      </c>
      <c r="AN2" s="14"/>
      <c r="AO2" s="15"/>
      <c r="AP2" s="282" t="s">
        <v>6</v>
      </c>
      <c r="AQ2" s="283"/>
      <c r="AR2" s="283"/>
      <c r="AS2" s="283"/>
      <c r="AT2" s="283"/>
      <c r="AU2" s="283"/>
      <c r="AV2" s="283"/>
      <c r="AW2" s="283"/>
      <c r="AX2" s="16"/>
      <c r="AY2" s="16"/>
      <c r="AZ2" s="16"/>
      <c r="BA2" s="284" t="s">
        <v>7</v>
      </c>
      <c r="BB2" s="284"/>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c r="CO2" s="17"/>
      <c r="CP2" s="17"/>
    </row>
    <row r="3" spans="1:94" ht="57" x14ac:dyDescent="0.25">
      <c r="A3" s="277"/>
      <c r="B3" s="278"/>
      <c r="C3" s="18" t="s">
        <v>8</v>
      </c>
      <c r="D3" s="19" t="s">
        <v>9</v>
      </c>
      <c r="E3" s="20" t="s">
        <v>10</v>
      </c>
      <c r="F3" s="19" t="s">
        <v>11</v>
      </c>
      <c r="G3" s="21" t="s">
        <v>12</v>
      </c>
      <c r="H3" s="22" t="s">
        <v>13</v>
      </c>
      <c r="I3" s="10" t="s">
        <v>14</v>
      </c>
      <c r="J3" s="23" t="s">
        <v>15</v>
      </c>
      <c r="K3" s="24" t="s">
        <v>16</v>
      </c>
      <c r="L3" s="25" t="s">
        <v>17</v>
      </c>
      <c r="M3" s="26" t="s">
        <v>18</v>
      </c>
      <c r="N3" s="27" t="s">
        <v>19</v>
      </c>
      <c r="O3" s="28" t="s">
        <v>20</v>
      </c>
      <c r="P3" s="29" t="s">
        <v>21</v>
      </c>
      <c r="Q3" s="30" t="s">
        <v>22</v>
      </c>
      <c r="R3" s="31" t="s">
        <v>23</v>
      </c>
      <c r="S3" s="21" t="s">
        <v>24</v>
      </c>
      <c r="T3" s="32" t="s">
        <v>25</v>
      </c>
      <c r="U3" s="33" t="s">
        <v>26</v>
      </c>
      <c r="V3" s="34" t="s">
        <v>27</v>
      </c>
      <c r="W3" s="35" t="s">
        <v>28</v>
      </c>
      <c r="X3" s="36"/>
      <c r="Y3" s="37"/>
      <c r="Z3" s="37"/>
      <c r="AA3" s="37"/>
      <c r="AB3" s="36"/>
      <c r="AC3" s="36"/>
      <c r="AD3" s="36"/>
      <c r="AE3" s="10" t="s">
        <v>29</v>
      </c>
      <c r="AF3" s="10" t="s">
        <v>30</v>
      </c>
      <c r="AG3" s="38" t="s">
        <v>31</v>
      </c>
      <c r="AH3" s="13" t="s">
        <v>32</v>
      </c>
      <c r="AI3" s="13" t="s">
        <v>33</v>
      </c>
      <c r="AJ3" s="39" t="s">
        <v>34</v>
      </c>
      <c r="AK3" s="40" t="s">
        <v>35</v>
      </c>
      <c r="AL3" s="39" t="s">
        <v>36</v>
      </c>
      <c r="AM3" s="37" t="s">
        <v>37</v>
      </c>
      <c r="AN3" s="40" t="s">
        <v>38</v>
      </c>
      <c r="AO3" s="41" t="s">
        <v>39</v>
      </c>
      <c r="AP3" s="42" t="s">
        <v>40</v>
      </c>
      <c r="AQ3" s="42" t="s">
        <v>41</v>
      </c>
      <c r="AR3" s="42" t="s">
        <v>42</v>
      </c>
      <c r="AS3" s="42" t="s">
        <v>43</v>
      </c>
      <c r="AT3" s="42" t="s">
        <v>44</v>
      </c>
      <c r="AU3" s="42" t="s">
        <v>45</v>
      </c>
      <c r="AV3" s="42" t="s">
        <v>46</v>
      </c>
      <c r="AW3" s="42" t="s">
        <v>47</v>
      </c>
      <c r="AX3" s="42" t="s">
        <v>48</v>
      </c>
      <c r="AY3" s="40" t="s">
        <v>49</v>
      </c>
      <c r="AZ3" s="40" t="s">
        <v>50</v>
      </c>
      <c r="BA3" s="43" t="s">
        <v>51</v>
      </c>
      <c r="BB3" s="44" t="s">
        <v>52</v>
      </c>
      <c r="BC3" s="45"/>
      <c r="BD3" s="46"/>
      <c r="BE3" s="46"/>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row>
    <row r="4" spans="1:94" x14ac:dyDescent="0.25">
      <c r="A4" s="47">
        <v>1</v>
      </c>
      <c r="B4" s="48">
        <v>2</v>
      </c>
      <c r="C4" s="39">
        <v>3</v>
      </c>
      <c r="D4" s="49">
        <v>4</v>
      </c>
      <c r="E4" s="39">
        <v>5</v>
      </c>
      <c r="F4" s="49">
        <v>6</v>
      </c>
      <c r="G4" s="39">
        <v>7</v>
      </c>
      <c r="H4" s="49">
        <v>8</v>
      </c>
      <c r="I4" s="39">
        <v>9</v>
      </c>
      <c r="J4" s="49">
        <v>10</v>
      </c>
      <c r="K4" s="39">
        <v>11</v>
      </c>
      <c r="L4" s="39">
        <v>12</v>
      </c>
      <c r="M4" s="49">
        <v>13</v>
      </c>
      <c r="N4" s="39">
        <v>14</v>
      </c>
      <c r="O4" s="49">
        <v>15</v>
      </c>
      <c r="P4" s="39">
        <v>16</v>
      </c>
      <c r="Q4" s="49">
        <v>17</v>
      </c>
      <c r="R4" s="39">
        <v>18</v>
      </c>
      <c r="S4" s="49">
        <v>19</v>
      </c>
      <c r="T4" s="39">
        <v>20</v>
      </c>
      <c r="U4" s="49">
        <v>21</v>
      </c>
      <c r="V4" s="39">
        <v>22</v>
      </c>
      <c r="W4" s="39">
        <v>23</v>
      </c>
      <c r="X4" s="49">
        <v>24</v>
      </c>
      <c r="Y4" s="39">
        <v>25</v>
      </c>
      <c r="Z4" s="49">
        <v>26</v>
      </c>
      <c r="AA4" s="39">
        <v>27</v>
      </c>
      <c r="AB4" s="49">
        <v>28</v>
      </c>
      <c r="AC4" s="39">
        <v>29</v>
      </c>
      <c r="AD4" s="49">
        <v>30</v>
      </c>
      <c r="AE4" s="39">
        <v>31</v>
      </c>
      <c r="AF4" s="49">
        <v>32</v>
      </c>
      <c r="AG4" s="39">
        <v>33</v>
      </c>
      <c r="AH4" s="39">
        <v>34</v>
      </c>
      <c r="AI4" s="49">
        <v>35</v>
      </c>
      <c r="AJ4" s="39">
        <v>36</v>
      </c>
      <c r="AK4" s="49">
        <v>37</v>
      </c>
      <c r="AL4" s="39">
        <v>38</v>
      </c>
      <c r="AM4" s="49">
        <v>39</v>
      </c>
      <c r="AN4" s="39">
        <v>40</v>
      </c>
      <c r="AO4" s="49">
        <v>41</v>
      </c>
      <c r="AP4" s="39">
        <v>42</v>
      </c>
      <c r="AQ4" s="49">
        <v>43</v>
      </c>
      <c r="AR4" s="39">
        <v>44</v>
      </c>
      <c r="AS4" s="39">
        <v>45</v>
      </c>
      <c r="AT4" s="49">
        <v>46</v>
      </c>
      <c r="AU4" s="39">
        <v>47</v>
      </c>
      <c r="AV4" s="49">
        <v>48</v>
      </c>
      <c r="AW4" s="39">
        <v>49</v>
      </c>
      <c r="AX4" s="49">
        <v>50</v>
      </c>
      <c r="AY4" s="39">
        <v>51</v>
      </c>
      <c r="AZ4" s="49">
        <v>52</v>
      </c>
      <c r="BA4" s="39">
        <v>53</v>
      </c>
      <c r="BB4" s="49">
        <v>54</v>
      </c>
      <c r="BC4" s="39">
        <v>55</v>
      </c>
      <c r="BD4" s="39">
        <v>56</v>
      </c>
      <c r="BE4" s="49">
        <v>57</v>
      </c>
      <c r="BF4" s="39">
        <v>58</v>
      </c>
      <c r="BG4" s="49">
        <v>59</v>
      </c>
      <c r="BH4" s="39">
        <v>60</v>
      </c>
      <c r="BI4" s="49">
        <v>61</v>
      </c>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row>
    <row r="5" spans="1:94" ht="45" x14ac:dyDescent="0.25">
      <c r="A5" s="50" t="s">
        <v>53</v>
      </c>
      <c r="B5" s="51" t="s">
        <v>54</v>
      </c>
      <c r="C5" s="50">
        <f t="shared" ref="C5:C73" si="0">SUM(H5:W5)</f>
        <v>5.4799999999999995</v>
      </c>
      <c r="D5" s="50">
        <v>2</v>
      </c>
      <c r="E5" s="50" t="s">
        <v>55</v>
      </c>
      <c r="F5" s="50">
        <v>5</v>
      </c>
      <c r="G5" s="50" t="s">
        <v>56</v>
      </c>
      <c r="H5" s="50">
        <f>VLOOKUP($A5,'[1]ma sp 02'!$A$5:$BD$1101,H$1,0)</f>
        <v>0.1</v>
      </c>
      <c r="I5" s="50">
        <f>VLOOKUP($A5,'[1]ma sp 02'!$A$5:$BD$1101,I$1,0)</f>
        <v>2.4</v>
      </c>
      <c r="J5" s="50">
        <f>VLOOKUP($A5,'[1]ma sp 02'!$A$5:$BD$1101,J$1,0)</f>
        <v>0</v>
      </c>
      <c r="K5" s="50">
        <f>VLOOKUP($A5,'[1]ma sp 02'!$A$5:$BD$1101,K$1,0)</f>
        <v>0.08</v>
      </c>
      <c r="L5" s="50">
        <f>VLOOKUP($A5,'[1]ma sp 02'!$A$5:$BD$1101,L$1,0)</f>
        <v>2</v>
      </c>
      <c r="M5" s="50">
        <f>VLOOKUP($A5,'[1]ma sp 02'!$A$5:$BD$1101,M$1,0)</f>
        <v>0.7</v>
      </c>
      <c r="N5" s="50">
        <f>VLOOKUP($A5,'[1]ma sp 02'!$A$5:$BD$1101,N$1,0)</f>
        <v>0</v>
      </c>
      <c r="O5" s="50">
        <f>VLOOKUP($A5,'[1]ma sp 02'!$A$5:$BD$1101,O$1,0)</f>
        <v>0</v>
      </c>
      <c r="P5" s="50">
        <f>VLOOKUP($A5,'[1]ma sp 02'!$A$5:$BD$1101,P$1,0)</f>
        <v>0.1</v>
      </c>
      <c r="Q5" s="50">
        <f>VLOOKUP($A5,'[1]ma sp 02'!$A$5:$BD$1101,Q$1,0)</f>
        <v>0</v>
      </c>
      <c r="R5" s="50">
        <f>VLOOKUP($A5,'[1]ma sp 02'!$A$5:$BD$1101,R$1,0)</f>
        <v>0.1</v>
      </c>
      <c r="S5" s="50">
        <f>VLOOKUP($A5,'[1]ma sp 02'!$A$5:$BD$1101,S$1,0)</f>
        <v>0</v>
      </c>
      <c r="T5" s="50">
        <f>VLOOKUP($A5,'[1]ma sp 02'!$A$5:$BD$1101,T$1,0)</f>
        <v>0</v>
      </c>
      <c r="U5" s="50">
        <f>VLOOKUP($A5,'[1]ma sp 02'!$A$5:$BD$1101,U$1,0)</f>
        <v>0</v>
      </c>
      <c r="V5" s="50">
        <f>VLOOKUP($A5,'[1]ma sp 02'!$A$5:$BD$1101,V$1,0)</f>
        <v>0</v>
      </c>
      <c r="W5" s="50">
        <f>VLOOKUP($A5,'[1]ma sp 02'!$A$5:$BD$1101,W$1,0)</f>
        <v>0</v>
      </c>
      <c r="X5" s="50">
        <f>COUNTIF(H5:W5, "&gt;0")</f>
        <v>7</v>
      </c>
      <c r="Y5" s="50"/>
      <c r="Z5" s="50"/>
      <c r="AA5" s="50"/>
      <c r="AB5" s="50"/>
      <c r="AC5" s="50"/>
      <c r="AD5" s="50"/>
      <c r="AE5" s="52" t="s">
        <v>57</v>
      </c>
      <c r="AF5" s="52" t="s">
        <v>58</v>
      </c>
      <c r="AG5" s="53">
        <f>(0.02*0.91+0.012*1.4+0.03*0.925)*0.7</f>
        <v>4.3924999999999999E-2</v>
      </c>
      <c r="AH5" s="54">
        <f>(2.3/0.75/2)*0.69</f>
        <v>1.0579999999999998</v>
      </c>
      <c r="AI5" s="55">
        <f>(0.0023*0.69*3)/(10*0.3)*1000</f>
        <v>1.587</v>
      </c>
      <c r="AJ5" s="56">
        <v>9530</v>
      </c>
      <c r="AK5" s="57">
        <v>9690</v>
      </c>
      <c r="AL5" s="52" t="s">
        <v>59</v>
      </c>
      <c r="AM5" s="52" t="s">
        <v>60</v>
      </c>
      <c r="AN5" s="58">
        <v>285</v>
      </c>
      <c r="AO5" s="52" t="s">
        <v>61</v>
      </c>
      <c r="AP5" s="59">
        <f>IFERROR(VLOOKUP($A5,[2]Mssp!$A$5:$BE$1463,AP$4+1,0),0)</f>
        <v>0</v>
      </c>
      <c r="AQ5" s="59">
        <f>IFERROR(VLOOKUP($A5,[2]Mssp!$A$5:$BE$1463,AQ$4+1,0),0)</f>
        <v>0</v>
      </c>
      <c r="AR5" s="59">
        <f>IFERROR(VLOOKUP($A5,[2]Mssp!$A$5:$BE$1463,AR$4+1,0),0)</f>
        <v>0</v>
      </c>
      <c r="AS5" s="59">
        <f>IFERROR(VLOOKUP($A5,[2]Mssp!$A$5:$BE$1463,AS$4+1,0),0)</f>
        <v>0</v>
      </c>
      <c r="AT5" s="59">
        <f>IFERROR(VLOOKUP($A5,[2]Mssp!$A$5:$BE$1463,AT$4+1,0),0)</f>
        <v>0</v>
      </c>
      <c r="AU5" s="59">
        <f>IFERROR(VLOOKUP($A5,[2]Mssp!$A$5:$BE$1463,AU$4+1,0),0)</f>
        <v>0</v>
      </c>
      <c r="AV5" s="59">
        <f>IFERROR(VLOOKUP($A5,[2]Mssp!$A$5:$BE$1463,AV$4+1,0),0)</f>
        <v>0</v>
      </c>
      <c r="AW5" s="59">
        <f>IFERROR(VLOOKUP($A5,[2]Mssp!$A$5:$BE$1463,AW$4+1,0),0)</f>
        <v>0</v>
      </c>
      <c r="AX5" s="59">
        <f>IFERROR(VLOOKUP($A5,[2]Mssp!$A$5:$BE$1463,AX$4+1,0),0)</f>
        <v>0</v>
      </c>
      <c r="AY5" s="59">
        <f>IFERROR(VLOOKUP($A5,[2]Mssp!$A$5:$BE$1463,AY$4+2,0),0)</f>
        <v>0</v>
      </c>
      <c r="AZ5" s="59">
        <f>IFERROR(VLOOKUP($A5,[2]Mssp!$A$5:$BE$1463,AZ$4+2,0),0)</f>
        <v>0</v>
      </c>
      <c r="BA5" s="60">
        <v>4000</v>
      </c>
      <c r="BB5" s="61" t="s">
        <v>62</v>
      </c>
      <c r="BC5" s="62"/>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row>
    <row r="6" spans="1:94" ht="45" x14ac:dyDescent="0.25">
      <c r="A6" s="50" t="s">
        <v>63</v>
      </c>
      <c r="B6" s="51" t="s">
        <v>64</v>
      </c>
      <c r="C6" s="50">
        <f t="shared" si="0"/>
        <v>6.9</v>
      </c>
      <c r="D6" s="50">
        <v>2</v>
      </c>
      <c r="E6" s="50" t="s">
        <v>65</v>
      </c>
      <c r="F6" s="50">
        <v>7</v>
      </c>
      <c r="G6" s="50" t="s">
        <v>56</v>
      </c>
      <c r="H6" s="50">
        <f>VLOOKUP($A6,'[1]ma sp 02'!$A$5:$BD$1101,H$1,0)</f>
        <v>0.2</v>
      </c>
      <c r="I6" s="50">
        <f>VLOOKUP($A6,'[1]ma sp 02'!$A$5:$BD$1101,I$1,0)</f>
        <v>2.2000000000000002</v>
      </c>
      <c r="J6" s="50">
        <f>VLOOKUP($A6,'[1]ma sp 02'!$A$5:$BD$1101,J$1,0)</f>
        <v>0.3</v>
      </c>
      <c r="K6" s="50">
        <f>VLOOKUP($A6,'[1]ma sp 02'!$A$5:$BD$1101,K$1,0)</f>
        <v>0.5</v>
      </c>
      <c r="L6" s="50">
        <f>VLOOKUP($A6,'[1]ma sp 02'!$A$5:$BD$1101,L$1,0)</f>
        <v>2</v>
      </c>
      <c r="M6" s="50">
        <f>VLOOKUP($A6,'[1]ma sp 02'!$A$5:$BD$1101,M$1,0)</f>
        <v>0.7</v>
      </c>
      <c r="N6" s="50">
        <f>VLOOKUP($A6,'[1]ma sp 02'!$A$5:$BD$1101,N$1,0)</f>
        <v>0</v>
      </c>
      <c r="O6" s="50">
        <f>VLOOKUP($A6,'[1]ma sp 02'!$A$5:$BD$1101,O$1,0)</f>
        <v>0</v>
      </c>
      <c r="P6" s="50">
        <f>VLOOKUP($A6,'[1]ma sp 02'!$A$5:$BD$1101,P$1,0)</f>
        <v>0.7</v>
      </c>
      <c r="Q6" s="50">
        <f>VLOOKUP($A6,'[1]ma sp 02'!$A$5:$BD$1101,Q$1,0)</f>
        <v>0</v>
      </c>
      <c r="R6" s="50">
        <f>VLOOKUP($A6,'[1]ma sp 02'!$A$5:$BD$1101,R$1,0)</f>
        <v>0.3</v>
      </c>
      <c r="S6" s="50">
        <f>VLOOKUP($A6,'[1]ma sp 02'!$A$5:$BD$1101,S$1,0)</f>
        <v>0</v>
      </c>
      <c r="T6" s="50">
        <f>VLOOKUP($A6,'[1]ma sp 02'!$A$5:$BD$1101,T$1,0)</f>
        <v>0</v>
      </c>
      <c r="U6" s="50">
        <f>VLOOKUP($A6,'[1]ma sp 02'!$A$5:$BD$1101,U$1,0)</f>
        <v>0</v>
      </c>
      <c r="V6" s="50">
        <f>VLOOKUP($A6,'[1]ma sp 02'!$A$5:$BD$1101,V$1,0)</f>
        <v>0</v>
      </c>
      <c r="W6" s="50">
        <f>VLOOKUP($A6,'[1]ma sp 02'!$A$5:$BD$1101,W$1,0)</f>
        <v>0</v>
      </c>
      <c r="X6" s="50">
        <f t="shared" ref="X6:X70" si="1">COUNTIF(H6:W6, "&gt;0")</f>
        <v>8</v>
      </c>
      <c r="Y6" s="50"/>
      <c r="Z6" s="50"/>
      <c r="AA6" s="50"/>
      <c r="AB6" s="50"/>
      <c r="AC6" s="50"/>
      <c r="AD6" s="50"/>
      <c r="AE6" s="58" t="s">
        <v>66</v>
      </c>
      <c r="AF6" s="58" t="s">
        <v>67</v>
      </c>
      <c r="AG6" s="53">
        <f>(0.02*0.91+0.012*1.4+0.03*0.925)*0.68</f>
        <v>4.2670000000000007E-2</v>
      </c>
      <c r="AH6" s="63">
        <f>(2.3/0.75/2)*0.67</f>
        <v>1.0273333333333332</v>
      </c>
      <c r="AI6" s="55">
        <f>(0.0023*0.67*3)/(10*0.3)*1000</f>
        <v>1.5410000000000001</v>
      </c>
      <c r="AJ6" s="58">
        <v>9530</v>
      </c>
      <c r="AK6" s="57">
        <v>9690</v>
      </c>
      <c r="AL6" s="52" t="s">
        <v>59</v>
      </c>
      <c r="AM6" s="52" t="s">
        <v>60</v>
      </c>
      <c r="AN6" s="58">
        <v>260</v>
      </c>
      <c r="AO6" s="52" t="s">
        <v>61</v>
      </c>
      <c r="AP6" s="59">
        <f>IFERROR(VLOOKUP($A6,[2]Mssp!$A$5:$BE$1463,AP$4+1,0),0)</f>
        <v>0</v>
      </c>
      <c r="AQ6" s="59">
        <f>IFERROR(VLOOKUP($A6,[2]Mssp!$A$5:$BE$1463,AQ$4+1,0),0)</f>
        <v>0</v>
      </c>
      <c r="AR6" s="59">
        <f>IFERROR(VLOOKUP($A6,[2]Mssp!$A$5:$BE$1463,AR$4+1,0),0)</f>
        <v>0</v>
      </c>
      <c r="AS6" s="59">
        <f>IFERROR(VLOOKUP($A6,[2]Mssp!$A$5:$BE$1463,AS$4+1,0),0)</f>
        <v>0</v>
      </c>
      <c r="AT6" s="59">
        <f>IFERROR(VLOOKUP($A6,[2]Mssp!$A$5:$BE$1463,AT$4+1,0),0)</f>
        <v>0</v>
      </c>
      <c r="AU6" s="59">
        <f>IFERROR(VLOOKUP($A6,[2]Mssp!$A$5:$BE$1463,AU$4+1,0),0)</f>
        <v>0</v>
      </c>
      <c r="AV6" s="59">
        <f>IFERROR(VLOOKUP($A6,[2]Mssp!$A$5:$BE$1463,AV$4+1,0),0)</f>
        <v>0</v>
      </c>
      <c r="AW6" s="59">
        <f>IFERROR(VLOOKUP($A6,[2]Mssp!$A$5:$BE$1463,AW$4+1,0),0)</f>
        <v>0</v>
      </c>
      <c r="AX6" s="59">
        <f>IFERROR(VLOOKUP($A6,[2]Mssp!$A$5:$BE$1463,AX$4+1,0),0)</f>
        <v>0</v>
      </c>
      <c r="AY6" s="59">
        <f>IFERROR(VLOOKUP($A6,[2]Mssp!$A$5:$BE$1463,AY$4+2,0),0)</f>
        <v>0</v>
      </c>
      <c r="AZ6" s="59">
        <f>IFERROR(VLOOKUP($A6,[2]Mssp!$A$5:$BE$1463,AZ$4+2,0),0)</f>
        <v>0</v>
      </c>
      <c r="BA6" s="60">
        <v>4000</v>
      </c>
      <c r="BB6" s="61" t="s">
        <v>62</v>
      </c>
      <c r="BC6" s="62"/>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row>
    <row r="7" spans="1:94" ht="45" x14ac:dyDescent="0.25">
      <c r="A7" s="64" t="s">
        <v>68</v>
      </c>
      <c r="B7" s="51" t="s">
        <v>69</v>
      </c>
      <c r="C7" s="50">
        <f>SUM(H7:W7)</f>
        <v>7.6999999999999993</v>
      </c>
      <c r="D7" s="50">
        <v>1</v>
      </c>
      <c r="E7" s="50" t="s">
        <v>70</v>
      </c>
      <c r="F7" s="50">
        <v>5</v>
      </c>
      <c r="G7" s="50" t="s">
        <v>56</v>
      </c>
      <c r="H7" s="50">
        <f>VLOOKUP($A7,'[1]ma sp 02'!$A$5:$BD$1101,H$1,0)</f>
        <v>0.02</v>
      </c>
      <c r="I7" s="50">
        <f>VLOOKUP($A7,'[1]ma sp 02'!$A$5:$BD$1101,I$1,0)</f>
        <v>3.58</v>
      </c>
      <c r="J7" s="50">
        <f>VLOOKUP($A7,'[1]ma sp 02'!$A$5:$BD$1101,J$1,0)</f>
        <v>0</v>
      </c>
      <c r="K7" s="50">
        <f>VLOOKUP($A7,'[1]ma sp 02'!$A$5:$BD$1101,K$1,0)</f>
        <v>0.77</v>
      </c>
      <c r="L7" s="50">
        <f>VLOOKUP($A7,'[1]ma sp 02'!$A$5:$BD$1101,L$1,0)</f>
        <v>0.85</v>
      </c>
      <c r="M7" s="50">
        <f>VLOOKUP($A7,'[1]ma sp 02'!$A$5:$BD$1101,M$1,0)</f>
        <v>2.48</v>
      </c>
      <c r="N7" s="50">
        <f>VLOOKUP($A7,'[1]ma sp 02'!$A$5:$BD$1101,N$1,0)</f>
        <v>0</v>
      </c>
      <c r="O7" s="50">
        <f>VLOOKUP($A7,'[1]ma sp 02'!$A$5:$BD$1101,O$1,0)</f>
        <v>0</v>
      </c>
      <c r="P7" s="50">
        <f>VLOOKUP($A7,'[1]ma sp 02'!$A$5:$BD$1101,P$1,0)</f>
        <v>0</v>
      </c>
      <c r="Q7" s="50">
        <f>VLOOKUP($A7,'[1]ma sp 02'!$A$5:$BD$1101,Q$1,0)</f>
        <v>0</v>
      </c>
      <c r="R7" s="50">
        <f>VLOOKUP($A7,'[1]ma sp 02'!$A$5:$BD$1101,R$1,0)</f>
        <v>0</v>
      </c>
      <c r="S7" s="50">
        <f>VLOOKUP($A7,'[1]ma sp 02'!$A$5:$BD$1101,S$1,0)</f>
        <v>0</v>
      </c>
      <c r="T7" s="50">
        <f>VLOOKUP($A7,'[1]ma sp 02'!$A$5:$BD$1101,T$1,0)</f>
        <v>0</v>
      </c>
      <c r="U7" s="50">
        <f>VLOOKUP($A7,'[1]ma sp 02'!$A$5:$BD$1101,U$1,0)</f>
        <v>0</v>
      </c>
      <c r="V7" s="50">
        <f>VLOOKUP($A7,'[1]ma sp 02'!$A$5:$BD$1101,V$1,0)</f>
        <v>0</v>
      </c>
      <c r="W7" s="50">
        <f>VLOOKUP($A7,'[1]ma sp 02'!$A$5:$BD$1101,W$1,0)</f>
        <v>0</v>
      </c>
      <c r="X7" s="50">
        <f t="shared" si="1"/>
        <v>5</v>
      </c>
      <c r="Y7" s="50"/>
      <c r="Z7" s="50"/>
      <c r="AA7" s="50"/>
      <c r="AB7" s="50"/>
      <c r="AC7" s="50"/>
      <c r="AD7" s="50"/>
      <c r="AE7" s="52" t="s">
        <v>71</v>
      </c>
      <c r="AF7" s="52" t="s">
        <v>72</v>
      </c>
      <c r="AG7" s="65">
        <v>6.7580000000000001E-2</v>
      </c>
      <c r="AH7" s="66">
        <v>0.81333333333333324</v>
      </c>
      <c r="AI7" s="66">
        <v>1.22</v>
      </c>
      <c r="AJ7" s="58">
        <v>9530</v>
      </c>
      <c r="AK7" s="57">
        <v>9530</v>
      </c>
      <c r="AL7" s="52" t="s">
        <v>73</v>
      </c>
      <c r="AM7" s="52" t="s">
        <v>74</v>
      </c>
      <c r="AN7" s="58">
        <v>220</v>
      </c>
      <c r="AO7" s="67" t="s">
        <v>75</v>
      </c>
      <c r="AP7" s="59" t="str">
        <f>IFERROR(VLOOKUP($A7,[2]Mssp!$A$5:$BE$1463,AP$4+1,0),0)</f>
        <v>20030055-1</v>
      </c>
      <c r="AQ7" s="59" t="str">
        <f>IFERROR(VLOOKUP($A7,[2]Mssp!$A$5:$BE$1463,AQ$4+1,0),0)</f>
        <v>17090112-2</v>
      </c>
      <c r="AR7" s="59" t="str">
        <f>IFERROR(VLOOKUP($A7,[2]Mssp!$A$5:$BE$1463,AR$4+1,0),0)</f>
        <v>17090112-3</v>
      </c>
      <c r="AS7" s="59" t="str">
        <f>IFERROR(VLOOKUP($A7,[2]Mssp!$A$5:$BE$1463,AS$4+1,0),0)</f>
        <v>17090112-4</v>
      </c>
      <c r="AT7" s="59" t="str">
        <f>IFERROR(VLOOKUP($A7,[2]Mssp!$A$5:$BE$1463,AT$4+1,0),0)</f>
        <v>17090112-5</v>
      </c>
      <c r="AU7" s="59">
        <f>IFERROR(VLOOKUP($A7,[2]Mssp!$A$5:$BE$1463,AU$4+1,0),0)</f>
        <v>0</v>
      </c>
      <c r="AV7" s="59">
        <f>IFERROR(VLOOKUP($A7,[2]Mssp!$A$5:$BE$1463,AV$4+1,0),0)</f>
        <v>0</v>
      </c>
      <c r="AW7" s="59">
        <f>IFERROR(VLOOKUP($A7,[2]Mssp!$A$5:$BE$1463,AW$4+1,0),0)</f>
        <v>0</v>
      </c>
      <c r="AX7" s="59">
        <f>IFERROR(VLOOKUP($A7,[2]Mssp!$A$5:$BE$1463,AX$4+1,0),0)</f>
        <v>0</v>
      </c>
      <c r="AY7" s="59" t="str">
        <f>IFERROR(VLOOKUP($A7,[2]Mssp!$A$5:$BE$1463,AY$4+2,0),0)</f>
        <v>440x750</v>
      </c>
      <c r="AZ7" s="59" t="str">
        <f>IFERROR(VLOOKUP($A7,[2]Mssp!$A$5:$BE$1463,AZ$4+2,0),0)</f>
        <v>M1</v>
      </c>
      <c r="BA7" s="68">
        <v>2000</v>
      </c>
      <c r="BB7" s="69" t="s">
        <v>62</v>
      </c>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row>
    <row r="8" spans="1:94" ht="45" x14ac:dyDescent="0.25">
      <c r="A8" s="50" t="s">
        <v>76</v>
      </c>
      <c r="B8" s="51" t="s">
        <v>77</v>
      </c>
      <c r="C8" s="50">
        <f t="shared" si="0"/>
        <v>5.3000000000000007</v>
      </c>
      <c r="D8" s="50">
        <v>1</v>
      </c>
      <c r="E8" s="50" t="s">
        <v>70</v>
      </c>
      <c r="F8" s="50">
        <v>5</v>
      </c>
      <c r="G8" s="50" t="s">
        <v>56</v>
      </c>
      <c r="H8" s="50">
        <f>VLOOKUP($A8,'[1]ma sp 02'!$A$5:$BD$1101,H$1,0)</f>
        <v>0.1</v>
      </c>
      <c r="I8" s="50">
        <f>VLOOKUP($A8,'[1]ma sp 02'!$A$5:$BD$1101,I$1,0)</f>
        <v>2.5</v>
      </c>
      <c r="J8" s="50">
        <f>VLOOKUP($A8,'[1]ma sp 02'!$A$5:$BD$1101,J$1,0)</f>
        <v>0.2</v>
      </c>
      <c r="K8" s="50">
        <f>VLOOKUP($A8,'[1]ma sp 02'!$A$5:$BD$1101,K$1,0)</f>
        <v>0.5</v>
      </c>
      <c r="L8" s="50">
        <f>VLOOKUP($A8,'[1]ma sp 02'!$A$5:$BD$1101,L$1,0)</f>
        <v>1.3</v>
      </c>
      <c r="M8" s="50">
        <f>VLOOKUP($A8,'[1]ma sp 02'!$A$5:$BD$1101,M$1,0)</f>
        <v>0.7</v>
      </c>
      <c r="N8" s="50">
        <f>VLOOKUP($A8,'[1]ma sp 02'!$A$5:$BD$1101,N$1,0)</f>
        <v>0</v>
      </c>
      <c r="O8" s="50">
        <f>VLOOKUP($A8,'[1]ma sp 02'!$A$5:$BD$1101,O$1,0)</f>
        <v>0</v>
      </c>
      <c r="P8" s="50">
        <f>VLOOKUP($A8,'[1]ma sp 02'!$A$5:$BD$1101,P$1,0)</f>
        <v>0</v>
      </c>
      <c r="Q8" s="50">
        <f>VLOOKUP($A8,'[1]ma sp 02'!$A$5:$BD$1101,Q$1,0)</f>
        <v>0</v>
      </c>
      <c r="R8" s="50">
        <f>VLOOKUP($A8,'[1]ma sp 02'!$A$5:$BD$1101,R$1,0)</f>
        <v>0</v>
      </c>
      <c r="S8" s="50">
        <f>VLOOKUP($A8,'[1]ma sp 02'!$A$5:$BD$1101,S$1,0)</f>
        <v>0</v>
      </c>
      <c r="T8" s="50">
        <f>VLOOKUP($A8,'[1]ma sp 02'!$A$5:$BD$1101,T$1,0)</f>
        <v>0</v>
      </c>
      <c r="U8" s="50">
        <f>VLOOKUP($A8,'[1]ma sp 02'!$A$5:$BD$1101,U$1,0)</f>
        <v>0</v>
      </c>
      <c r="V8" s="50">
        <f>VLOOKUP($A8,'[1]ma sp 02'!$A$5:$BD$1101,V$1,0)</f>
        <v>0</v>
      </c>
      <c r="W8" s="50">
        <f>VLOOKUP($A8,'[1]ma sp 02'!$A$5:$BD$1101,W$1,0)</f>
        <v>0</v>
      </c>
      <c r="X8" s="50">
        <f t="shared" si="1"/>
        <v>6</v>
      </c>
      <c r="Y8" s="50"/>
      <c r="Z8" s="50"/>
      <c r="AA8" s="50"/>
      <c r="AB8" s="50"/>
      <c r="AC8" s="50"/>
      <c r="AD8" s="50"/>
      <c r="AE8" s="52" t="s">
        <v>78</v>
      </c>
      <c r="AF8" s="52" t="s">
        <v>72</v>
      </c>
      <c r="AG8" s="53">
        <f>(0.02*0.91+0.012*1.4+0.08*0.925)*0.62</f>
        <v>6.7580000000000001E-2</v>
      </c>
      <c r="AH8" s="70">
        <f>(2/0.75/2)*0.61</f>
        <v>0.81333333333333324</v>
      </c>
      <c r="AI8" s="70">
        <f>(3/0.75/2)*0.61</f>
        <v>1.22</v>
      </c>
      <c r="AJ8" s="58">
        <v>9530</v>
      </c>
      <c r="AK8" s="58">
        <v>9530</v>
      </c>
      <c r="AL8" s="58" t="s">
        <v>79</v>
      </c>
      <c r="AM8" s="52" t="s">
        <v>74</v>
      </c>
      <c r="AN8" s="58">
        <v>220</v>
      </c>
      <c r="AO8" s="52" t="s">
        <v>75</v>
      </c>
      <c r="AP8" s="59" t="str">
        <f>IFERROR(VLOOKUP($A8,[2]Mssp!$A$5:$BE$1463,AP$4+1,0),0)</f>
        <v>20030056-1</v>
      </c>
      <c r="AQ8" s="59" t="str">
        <f>IFERROR(VLOOKUP($A8,[2]Mssp!$A$5:$BE$1463,AQ$4+1,0),0)</f>
        <v>180111143-2</v>
      </c>
      <c r="AR8" s="59" t="str">
        <f>IFERROR(VLOOKUP($A8,[2]Mssp!$A$5:$BE$1463,AR$4+1,0),0)</f>
        <v>180111143-3</v>
      </c>
      <c r="AS8" s="59" t="str">
        <f>IFERROR(VLOOKUP($A8,[2]Mssp!$A$5:$BE$1463,AS$4+1,0),0)</f>
        <v>180111143-4</v>
      </c>
      <c r="AT8" s="59" t="str">
        <f>IFERROR(VLOOKUP($A8,[2]Mssp!$A$5:$BE$1463,AT$4+1,0),0)</f>
        <v>1709112-5</v>
      </c>
      <c r="AU8" s="59">
        <f>IFERROR(VLOOKUP($A8,[2]Mssp!$A$5:$BE$1463,AU$4+1,0),0)</f>
        <v>0</v>
      </c>
      <c r="AV8" s="59">
        <f>IFERROR(VLOOKUP($A8,[2]Mssp!$A$5:$BE$1463,AV$4+1,0),0)</f>
        <v>0</v>
      </c>
      <c r="AW8" s="59">
        <f>IFERROR(VLOOKUP($A8,[2]Mssp!$A$5:$BE$1463,AW$4+1,0),0)</f>
        <v>0</v>
      </c>
      <c r="AX8" s="59">
        <f>IFERROR(VLOOKUP($A8,[2]Mssp!$A$5:$BE$1463,AX$4+1,0),0)</f>
        <v>0</v>
      </c>
      <c r="AY8" s="59" t="str">
        <f>IFERROR(VLOOKUP($A8,[2]Mssp!$A$5:$BE$1463,AY$4+2,0),0)</f>
        <v>440x750</v>
      </c>
      <c r="AZ8" s="59" t="str">
        <f>IFERROR(VLOOKUP($A8,[2]Mssp!$A$5:$BE$1463,AZ$4+2,0),0)</f>
        <v>M1</v>
      </c>
      <c r="BA8" s="60">
        <v>2000</v>
      </c>
      <c r="BB8" s="61" t="s">
        <v>62</v>
      </c>
      <c r="BC8" s="62"/>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row>
    <row r="9" spans="1:94" ht="45" x14ac:dyDescent="0.25">
      <c r="A9" s="50" t="s">
        <v>80</v>
      </c>
      <c r="B9" s="51" t="s">
        <v>81</v>
      </c>
      <c r="C9" s="50">
        <f t="shared" si="0"/>
        <v>5.1719999999999997</v>
      </c>
      <c r="D9" s="50">
        <v>1</v>
      </c>
      <c r="E9" s="50" t="s">
        <v>82</v>
      </c>
      <c r="F9" s="50">
        <v>8</v>
      </c>
      <c r="G9" s="50" t="s">
        <v>56</v>
      </c>
      <c r="H9" s="50">
        <f>VLOOKUP($A9,'[1]ma sp 02'!$A$5:$BD$1101,H$1,0)</f>
        <v>0.01</v>
      </c>
      <c r="I9" s="50">
        <f>VLOOKUP($A9,'[1]ma sp 02'!$A$5:$BD$1101,I$1,0)</f>
        <v>2.4140000000000001</v>
      </c>
      <c r="J9" s="50">
        <f>VLOOKUP($A9,'[1]ma sp 02'!$A$5:$BD$1101,J$1,0)</f>
        <v>7.1999999999999995E-2</v>
      </c>
      <c r="K9" s="50">
        <f>VLOOKUP($A9,'[1]ma sp 02'!$A$5:$BD$1101,K$1,0)</f>
        <v>0.14399999999999999</v>
      </c>
      <c r="L9" s="50">
        <f>VLOOKUP($A9,'[1]ma sp 02'!$A$5:$BD$1101,L$1,0)</f>
        <v>2.21</v>
      </c>
      <c r="M9" s="50">
        <f>VLOOKUP($A9,'[1]ma sp 02'!$A$5:$BD$1101,M$1,0)</f>
        <v>0.26400000000000001</v>
      </c>
      <c r="N9" s="50">
        <f>VLOOKUP($A9,'[1]ma sp 02'!$A$5:$BD$1101,N$1,0)</f>
        <v>0</v>
      </c>
      <c r="O9" s="50">
        <f>VLOOKUP($A9,'[1]ma sp 02'!$A$5:$BD$1101,O$1,0)</f>
        <v>0</v>
      </c>
      <c r="P9" s="50">
        <f>VLOOKUP($A9,'[1]ma sp 02'!$A$5:$BD$1101,P$1,0)</f>
        <v>4.8000000000000001E-2</v>
      </c>
      <c r="Q9" s="50">
        <f>VLOOKUP($A9,'[1]ma sp 02'!$A$5:$BD$1101,Q$1,0)</f>
        <v>0</v>
      </c>
      <c r="R9" s="50">
        <f>VLOOKUP($A9,'[1]ma sp 02'!$A$5:$BD$1101,R$1,0)</f>
        <v>0.01</v>
      </c>
      <c r="S9" s="50">
        <f>VLOOKUP($A9,'[1]ma sp 02'!$A$5:$BD$1101,S$1,0)</f>
        <v>0</v>
      </c>
      <c r="T9" s="50">
        <f>VLOOKUP($A9,'[1]ma sp 02'!$A$5:$BD$1101,T$1,0)</f>
        <v>0</v>
      </c>
      <c r="U9" s="50">
        <f>VLOOKUP($A9,'[1]ma sp 02'!$A$5:$BD$1101,U$1,0)</f>
        <v>0</v>
      </c>
      <c r="V9" s="50">
        <f>VLOOKUP($A9,'[1]ma sp 02'!$A$5:$BD$1101,V$1,0)</f>
        <v>0</v>
      </c>
      <c r="W9" s="50">
        <f>VLOOKUP($A9,'[1]ma sp 02'!$A$5:$BD$1101,W$1,0)</f>
        <v>0</v>
      </c>
      <c r="X9" s="50">
        <f t="shared" si="1"/>
        <v>8</v>
      </c>
      <c r="Y9" s="50"/>
      <c r="Z9" s="50"/>
      <c r="AA9" s="50"/>
      <c r="AB9" s="50"/>
      <c r="AC9" s="50"/>
      <c r="AD9" s="50"/>
      <c r="AE9" s="58" t="s">
        <v>83</v>
      </c>
      <c r="AF9" s="57"/>
      <c r="AG9" s="71">
        <f>(0.02*0.91+0.055*0.925)*0.67</f>
        <v>4.6280250000000002E-2</v>
      </c>
      <c r="AH9" s="55">
        <f>(0.0025*0.66*3)/(10*0.3)*1000</f>
        <v>1.6500000000000001</v>
      </c>
      <c r="AI9" s="54">
        <v>0</v>
      </c>
      <c r="AJ9" s="58">
        <v>9530</v>
      </c>
      <c r="AK9" s="57"/>
      <c r="AL9" s="58">
        <v>2.3E-3</v>
      </c>
      <c r="AM9" s="52" t="s">
        <v>74</v>
      </c>
      <c r="AN9" s="58">
        <v>350</v>
      </c>
      <c r="AO9" s="52" t="s">
        <v>61</v>
      </c>
      <c r="AP9" s="59" t="str">
        <f>IFERROR(VLOOKUP($A9,[2]Mssp!$A$5:$BE$1463,AP$4+1,0),0)</f>
        <v>21020370-1</v>
      </c>
      <c r="AQ9" s="59" t="str">
        <f>IFERROR(VLOOKUP($A9,[2]Mssp!$A$5:$BE$1463,AQ$4+1,0),0)</f>
        <v>20120670-2</v>
      </c>
      <c r="AR9" s="59" t="str">
        <f>IFERROR(VLOOKUP($A9,[2]Mssp!$A$5:$BE$1463,AR$4+1,0),0)</f>
        <v>20070875-3</v>
      </c>
      <c r="AS9" s="59" t="str">
        <f>IFERROR(VLOOKUP($A9,[2]Mssp!$A$5:$BE$1463,AS$4+1,0),0)</f>
        <v>21080722-4</v>
      </c>
      <c r="AT9" s="59" t="str">
        <f>IFERROR(VLOOKUP($A9,[2]Mssp!$A$5:$BE$1463,AT$4+1,0),0)</f>
        <v>21080722-5</v>
      </c>
      <c r="AU9" s="59" t="str">
        <f>IFERROR(VLOOKUP($A9,[2]Mssp!$A$5:$BE$1463,AU$4+1,0),0)</f>
        <v>1808751-6</v>
      </c>
      <c r="AV9" s="59" t="str">
        <f>IFERROR(VLOOKUP($A9,[2]Mssp!$A$5:$BE$1463,AV$4+1,0),0)</f>
        <v>21110214-7</v>
      </c>
      <c r="AW9" s="59">
        <f>IFERROR(VLOOKUP($A9,[2]Mssp!$A$5:$BE$1463,AW$4+1,0),0)</f>
        <v>0</v>
      </c>
      <c r="AX9" s="59">
        <f>IFERROR(VLOOKUP($A9,[2]Mssp!$A$5:$BE$1463,AX$4+1,0),0)</f>
        <v>0</v>
      </c>
      <c r="AY9" s="59" t="str">
        <f>IFERROR(VLOOKUP($A9,[2]Mssp!$A$5:$BE$1463,AY$4+2,0),0)</f>
        <v>700x750</v>
      </c>
      <c r="AZ9" s="59" t="str">
        <f>IFERROR(VLOOKUP($A9,[2]Mssp!$A$5:$BE$1463,AZ$4+2,0),0)</f>
        <v>C1</v>
      </c>
      <c r="BA9" s="60">
        <v>2000</v>
      </c>
      <c r="BB9" s="61" t="s">
        <v>62</v>
      </c>
      <c r="BC9" s="62"/>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row>
    <row r="10" spans="1:94" ht="45" x14ac:dyDescent="0.25">
      <c r="A10" s="50" t="s">
        <v>84</v>
      </c>
      <c r="B10" s="51" t="s">
        <v>85</v>
      </c>
      <c r="C10" s="50">
        <f t="shared" si="0"/>
        <v>0</v>
      </c>
      <c r="D10" s="50">
        <v>1</v>
      </c>
      <c r="E10" s="50" t="s">
        <v>86</v>
      </c>
      <c r="F10" s="50">
        <v>1</v>
      </c>
      <c r="G10" s="50" t="s">
        <v>56</v>
      </c>
      <c r="H10" s="50">
        <f>VLOOKUP($A10,'[1]ma sp 02'!$A$5:$BD$1101,H$1,0)</f>
        <v>0</v>
      </c>
      <c r="I10" s="50">
        <f>VLOOKUP($A10,'[1]ma sp 02'!$A$5:$BD$1101,I$1,0)</f>
        <v>0</v>
      </c>
      <c r="J10" s="50">
        <f>VLOOKUP($A10,'[1]ma sp 02'!$A$5:$BD$1101,J$1,0)</f>
        <v>0</v>
      </c>
      <c r="K10" s="50">
        <f>VLOOKUP($A10,'[1]ma sp 02'!$A$5:$BD$1101,K$1,0)</f>
        <v>0</v>
      </c>
      <c r="L10" s="50">
        <f>VLOOKUP($A10,'[1]ma sp 02'!$A$5:$BD$1101,L$1,0)</f>
        <v>0</v>
      </c>
      <c r="M10" s="50">
        <f>VLOOKUP($A10,'[1]ma sp 02'!$A$5:$BD$1101,M$1,0)</f>
        <v>0</v>
      </c>
      <c r="N10" s="50">
        <f>VLOOKUP($A10,'[1]ma sp 02'!$A$5:$BD$1101,N$1,0)</f>
        <v>0</v>
      </c>
      <c r="O10" s="50">
        <f>VLOOKUP($A10,'[1]ma sp 02'!$A$5:$BD$1101,O$1,0)</f>
        <v>0</v>
      </c>
      <c r="P10" s="50">
        <f>VLOOKUP($A10,'[1]ma sp 02'!$A$5:$BD$1101,P$1,0)</f>
        <v>0</v>
      </c>
      <c r="Q10" s="50">
        <f>VLOOKUP($A10,'[1]ma sp 02'!$A$5:$BD$1101,Q$1,0)</f>
        <v>0</v>
      </c>
      <c r="R10" s="50">
        <f>VLOOKUP($A10,'[1]ma sp 02'!$A$5:$BD$1101,R$1,0)</f>
        <v>0</v>
      </c>
      <c r="S10" s="50">
        <f>VLOOKUP($A10,'[1]ma sp 02'!$A$5:$BD$1101,S$1,0)</f>
        <v>0</v>
      </c>
      <c r="T10" s="50">
        <f>VLOOKUP($A10,'[1]ma sp 02'!$A$5:$BD$1101,T$1,0)</f>
        <v>0</v>
      </c>
      <c r="U10" s="50">
        <f>VLOOKUP($A10,'[1]ma sp 02'!$A$5:$BD$1101,U$1,0)</f>
        <v>0</v>
      </c>
      <c r="V10" s="50">
        <f>VLOOKUP($A10,'[1]ma sp 02'!$A$5:$BD$1101,V$1,0)</f>
        <v>0</v>
      </c>
      <c r="W10" s="50">
        <f>VLOOKUP($A10,'[1]ma sp 02'!$A$5:$BD$1101,W$1,0)</f>
        <v>0</v>
      </c>
      <c r="X10" s="50">
        <f t="shared" si="1"/>
        <v>0</v>
      </c>
      <c r="Y10" s="50"/>
      <c r="Z10" s="50"/>
      <c r="AA10" s="50"/>
      <c r="AB10" s="50"/>
      <c r="AC10" s="50"/>
      <c r="AD10" s="50"/>
      <c r="AE10" s="58" t="s">
        <v>87</v>
      </c>
      <c r="AF10" s="57"/>
      <c r="AG10" s="71">
        <f>(0.02*0.91+0.02*0.91)*0.44</f>
        <v>1.6016000000000002E-2</v>
      </c>
      <c r="AH10" s="63">
        <f>(2.3/0.75/2)*0.43</f>
        <v>0.65933333333333333</v>
      </c>
      <c r="AI10" s="57"/>
      <c r="AJ10" s="57">
        <v>9530</v>
      </c>
      <c r="AK10" s="57"/>
      <c r="AL10" s="58">
        <v>2.3E-3</v>
      </c>
      <c r="AM10" s="52" t="s">
        <v>60</v>
      </c>
      <c r="AN10" s="58">
        <v>140</v>
      </c>
      <c r="AO10" s="52" t="s">
        <v>85</v>
      </c>
      <c r="AP10" s="59">
        <f>IFERROR(VLOOKUP($A10,[2]Mssp!$A$5:$BE$1463,AP$4+1,0),0)</f>
        <v>0</v>
      </c>
      <c r="AQ10" s="59">
        <f>IFERROR(VLOOKUP($A10,[2]Mssp!$A$5:$BE$1463,AQ$4+1,0),0)</f>
        <v>0</v>
      </c>
      <c r="AR10" s="59">
        <f>IFERROR(VLOOKUP($A10,[2]Mssp!$A$5:$BE$1463,AR$4+1,0),0)</f>
        <v>0</v>
      </c>
      <c r="AS10" s="59">
        <f>IFERROR(VLOOKUP($A10,[2]Mssp!$A$5:$BE$1463,AS$4+1,0),0)</f>
        <v>0</v>
      </c>
      <c r="AT10" s="59">
        <f>IFERROR(VLOOKUP($A10,[2]Mssp!$A$5:$BE$1463,AT$4+1,0),0)</f>
        <v>0</v>
      </c>
      <c r="AU10" s="59">
        <f>IFERROR(VLOOKUP($A10,[2]Mssp!$A$5:$BE$1463,AU$4+1,0),0)</f>
        <v>0</v>
      </c>
      <c r="AV10" s="59">
        <f>IFERROR(VLOOKUP($A10,[2]Mssp!$A$5:$BE$1463,AV$4+1,0),0)</f>
        <v>0</v>
      </c>
      <c r="AW10" s="59">
        <f>IFERROR(VLOOKUP($A10,[2]Mssp!$A$5:$BE$1463,AW$4+1,0),0)</f>
        <v>0</v>
      </c>
      <c r="AX10" s="59">
        <f>IFERROR(VLOOKUP($A10,[2]Mssp!$A$5:$BE$1463,AX$4+1,0),0)</f>
        <v>0</v>
      </c>
      <c r="AY10" s="59">
        <f>IFERROR(VLOOKUP($A10,[2]Mssp!$A$5:$BE$1463,AY$4+2,0),0)</f>
        <v>0</v>
      </c>
      <c r="AZ10" s="59">
        <f>IFERROR(VLOOKUP($A10,[2]Mssp!$A$5:$BE$1463,AZ$4+2,0),0)</f>
        <v>0</v>
      </c>
      <c r="BA10" s="60">
        <v>0</v>
      </c>
      <c r="BB10" s="61" t="s">
        <v>62</v>
      </c>
      <c r="BC10" s="62"/>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row>
    <row r="11" spans="1:94" ht="45" x14ac:dyDescent="0.25">
      <c r="A11" s="50" t="s">
        <v>88</v>
      </c>
      <c r="B11" s="72" t="s">
        <v>89</v>
      </c>
      <c r="C11" s="50">
        <f t="shared" si="0"/>
        <v>10.35</v>
      </c>
      <c r="D11" s="50">
        <v>2</v>
      </c>
      <c r="E11" s="50" t="s">
        <v>90</v>
      </c>
      <c r="F11" s="50">
        <v>4</v>
      </c>
      <c r="G11" s="50" t="s">
        <v>56</v>
      </c>
      <c r="H11" s="50">
        <f>VLOOKUP($A11,'[1]ma sp 02'!$A$5:$BD$1101,H$1,0)</f>
        <v>0.4</v>
      </c>
      <c r="I11" s="50">
        <f>VLOOKUP($A11,'[1]ma sp 02'!$A$5:$BD$1101,I$1,0)</f>
        <v>0</v>
      </c>
      <c r="J11" s="50">
        <f>VLOOKUP($A11,'[1]ma sp 02'!$A$5:$BD$1101,J$1,0)</f>
        <v>0.96</v>
      </c>
      <c r="K11" s="50">
        <f>VLOOKUP($A11,'[1]ma sp 02'!$A$5:$BD$1101,K$1,0)</f>
        <v>0</v>
      </c>
      <c r="L11" s="50">
        <f>VLOOKUP($A11,'[1]ma sp 02'!$A$5:$BD$1101,L$1,0)</f>
        <v>7.7</v>
      </c>
      <c r="M11" s="50">
        <f>VLOOKUP($A11,'[1]ma sp 02'!$A$5:$BD$1101,M$1,0)</f>
        <v>0</v>
      </c>
      <c r="N11" s="50">
        <f>VLOOKUP($A11,'[1]ma sp 02'!$A$5:$BD$1101,N$1,0)</f>
        <v>0.96</v>
      </c>
      <c r="O11" s="50">
        <f>VLOOKUP($A11,'[1]ma sp 02'!$A$5:$BD$1101,O$1,0)</f>
        <v>0.01</v>
      </c>
      <c r="P11" s="50">
        <f>VLOOKUP($A11,'[1]ma sp 02'!$A$5:$BD$1101,P$1,0)</f>
        <v>0</v>
      </c>
      <c r="Q11" s="50">
        <f>VLOOKUP($A11,'[1]ma sp 02'!$A$5:$BD$1101,Q$1,0)</f>
        <v>0</v>
      </c>
      <c r="R11" s="50">
        <f>VLOOKUP($A11,'[1]ma sp 02'!$A$5:$BD$1101,R$1,0)</f>
        <v>0</v>
      </c>
      <c r="S11" s="50">
        <f>VLOOKUP($A11,'[1]ma sp 02'!$A$5:$BD$1101,S$1,0)</f>
        <v>0.32</v>
      </c>
      <c r="T11" s="50">
        <f>VLOOKUP($A11,'[1]ma sp 02'!$A$5:$BD$1101,T$1,0)</f>
        <v>0</v>
      </c>
      <c r="U11" s="50">
        <f>VLOOKUP($A11,'[1]ma sp 02'!$A$5:$BD$1101,U$1,0)</f>
        <v>0</v>
      </c>
      <c r="V11" s="50">
        <f>VLOOKUP($A11,'[1]ma sp 02'!$A$5:$BD$1101,V$1,0)</f>
        <v>0</v>
      </c>
      <c r="W11" s="50">
        <f>VLOOKUP($A11,'[1]ma sp 02'!$A$5:$BD$1101,W$1,0)</f>
        <v>0</v>
      </c>
      <c r="X11" s="50">
        <f t="shared" si="1"/>
        <v>6</v>
      </c>
      <c r="Y11" s="50"/>
      <c r="Z11" s="50"/>
      <c r="AA11" s="50"/>
      <c r="AB11" s="50"/>
      <c r="AC11" s="50"/>
      <c r="AD11" s="50"/>
      <c r="AE11" s="58" t="s">
        <v>91</v>
      </c>
      <c r="AF11" s="57"/>
      <c r="AG11" s="71">
        <f>(0.02*0.91+0.025*0.91)*0.7</f>
        <v>2.8665E-2</v>
      </c>
      <c r="AH11" s="63">
        <f>(1.8/0.75/2)*0.69</f>
        <v>0.82799999999999996</v>
      </c>
      <c r="AI11" s="57"/>
      <c r="AJ11" s="58">
        <v>9530</v>
      </c>
      <c r="AK11" s="57"/>
      <c r="AL11" s="58">
        <v>1.8E-3</v>
      </c>
      <c r="AM11" s="52" t="s">
        <v>60</v>
      </c>
      <c r="AN11" s="58">
        <v>280</v>
      </c>
      <c r="AO11" s="52" t="s">
        <v>92</v>
      </c>
      <c r="AP11" s="59" t="str">
        <f>IFERROR(VLOOKUP($A11,[2]Mssp!$A$5:$BE$1463,AP$4+1,0),0)</f>
        <v>1404452-1</v>
      </c>
      <c r="AQ11" s="59" t="str">
        <f>IFERROR(VLOOKUP($A11,[2]Mssp!$A$5:$BE$1463,AQ$4+1,0),0)</f>
        <v>1807192-2</v>
      </c>
      <c r="AR11" s="59" t="str">
        <f>IFERROR(VLOOKUP($A11,[2]Mssp!$A$5:$BE$1463,AR$4+1,0),0)</f>
        <v>sửa nội dung cây K</v>
      </c>
      <c r="AS11" s="59" t="str">
        <f>IFERROR(VLOOKUP($A11,[2]Mssp!$A$5:$BE$1463,AS$4+1,0),0)</f>
        <v>1404451-4</v>
      </c>
      <c r="AT11" s="59">
        <f>IFERROR(VLOOKUP($A11,[2]Mssp!$A$5:$BE$1463,AT$4+1,0),0)</f>
        <v>0</v>
      </c>
      <c r="AU11" s="59">
        <f>IFERROR(VLOOKUP($A11,[2]Mssp!$A$5:$BE$1463,AU$4+1,0),0)</f>
        <v>0</v>
      </c>
      <c r="AV11" s="59">
        <f>IFERROR(VLOOKUP($A11,[2]Mssp!$A$5:$BE$1463,AV$4+1,0),0)</f>
        <v>0</v>
      </c>
      <c r="AW11" s="59">
        <f>IFERROR(VLOOKUP($A11,[2]Mssp!$A$5:$BE$1463,AW$4+1,0),0)</f>
        <v>0</v>
      </c>
      <c r="AX11" s="59">
        <f>IFERROR(VLOOKUP($A11,[2]Mssp!$A$5:$BE$1463,AX$4+1,0),0)</f>
        <v>0</v>
      </c>
      <c r="AY11" s="59" t="str">
        <f>IFERROR(VLOOKUP($A11,[2]Mssp!$A$5:$BE$1463,AY$4+2,0),0)</f>
        <v>560x750</v>
      </c>
      <c r="AZ11" s="59" t="str">
        <f>IFERROR(VLOOKUP($A11,[2]Mssp!$A$5:$BE$1463,AZ$4+2,0),0)</f>
        <v>A1</v>
      </c>
      <c r="BA11" s="60">
        <v>4000</v>
      </c>
      <c r="BB11" s="61" t="s">
        <v>62</v>
      </c>
      <c r="BC11" s="62"/>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row>
    <row r="12" spans="1:94" ht="45" x14ac:dyDescent="0.25">
      <c r="A12" s="50" t="s">
        <v>93</v>
      </c>
      <c r="B12" s="72" t="s">
        <v>94</v>
      </c>
      <c r="C12" s="50">
        <f t="shared" si="0"/>
        <v>2.84</v>
      </c>
      <c r="D12" s="50">
        <v>2</v>
      </c>
      <c r="E12" s="50" t="s">
        <v>90</v>
      </c>
      <c r="F12" s="50">
        <v>4</v>
      </c>
      <c r="G12" s="50" t="s">
        <v>56</v>
      </c>
      <c r="H12" s="50">
        <f>VLOOKUP($A12,'[1]ma sp 02'!$A$5:$BD$1101,H$1,0)</f>
        <v>0.21</v>
      </c>
      <c r="I12" s="50">
        <f>VLOOKUP($A12,'[1]ma sp 02'!$A$5:$BD$1101,I$1,0)</f>
        <v>0</v>
      </c>
      <c r="J12" s="50">
        <f>VLOOKUP($A12,'[1]ma sp 02'!$A$5:$BD$1101,J$1,0)</f>
        <v>0.43</v>
      </c>
      <c r="K12" s="50">
        <f>VLOOKUP($A12,'[1]ma sp 02'!$A$5:$BD$1101,K$1,0)</f>
        <v>0</v>
      </c>
      <c r="L12" s="50">
        <f>VLOOKUP($A12,'[1]ma sp 02'!$A$5:$BD$1101,L$1,0)</f>
        <v>1.1599999999999999</v>
      </c>
      <c r="M12" s="50">
        <f>VLOOKUP($A12,'[1]ma sp 02'!$A$5:$BD$1101,M$1,0)</f>
        <v>0</v>
      </c>
      <c r="N12" s="50">
        <f>VLOOKUP($A12,'[1]ma sp 02'!$A$5:$BD$1101,N$1,0)</f>
        <v>0</v>
      </c>
      <c r="O12" s="50">
        <f>VLOOKUP($A12,'[1]ma sp 02'!$A$5:$BD$1101,O$1,0)</f>
        <v>0</v>
      </c>
      <c r="P12" s="50">
        <f>VLOOKUP($A12,'[1]ma sp 02'!$A$5:$BD$1101,P$1,0)</f>
        <v>0.91</v>
      </c>
      <c r="Q12" s="50">
        <f>VLOOKUP($A12,'[1]ma sp 02'!$A$5:$BD$1101,Q$1,0)</f>
        <v>0.12</v>
      </c>
      <c r="R12" s="50">
        <f>VLOOKUP($A12,'[1]ma sp 02'!$A$5:$BD$1101,R$1,0)</f>
        <v>0</v>
      </c>
      <c r="S12" s="50">
        <f>VLOOKUP($A12,'[1]ma sp 02'!$A$5:$BD$1101,S$1,0)</f>
        <v>0.01</v>
      </c>
      <c r="T12" s="50">
        <f>VLOOKUP($A12,'[1]ma sp 02'!$A$5:$BD$1101,T$1,0)</f>
        <v>0</v>
      </c>
      <c r="U12" s="50">
        <f>VLOOKUP($A12,'[1]ma sp 02'!$A$5:$BD$1101,U$1,0)</f>
        <v>0</v>
      </c>
      <c r="V12" s="50">
        <f>VLOOKUP($A12,'[1]ma sp 02'!$A$5:$BD$1101,V$1,0)</f>
        <v>0</v>
      </c>
      <c r="W12" s="50">
        <f>VLOOKUP($A12,'[1]ma sp 02'!$A$5:$BD$1101,W$1,0)</f>
        <v>0</v>
      </c>
      <c r="X12" s="50">
        <f t="shared" si="1"/>
        <v>6</v>
      </c>
      <c r="Y12" s="50"/>
      <c r="Z12" s="50"/>
      <c r="AA12" s="50"/>
      <c r="AB12" s="50"/>
      <c r="AC12" s="50"/>
      <c r="AD12" s="50"/>
      <c r="AE12" s="58" t="s">
        <v>91</v>
      </c>
      <c r="AF12" s="57"/>
      <c r="AG12" s="71">
        <f>(0.02*0.91+0.025*0.91)*0.7</f>
        <v>2.8665E-2</v>
      </c>
      <c r="AH12" s="63">
        <f>(1.8/0.75/2)*0.69</f>
        <v>0.82799999999999996</v>
      </c>
      <c r="AI12" s="57"/>
      <c r="AJ12" s="58">
        <v>9530</v>
      </c>
      <c r="AK12" s="57"/>
      <c r="AL12" s="58">
        <v>1.8E-3</v>
      </c>
      <c r="AM12" s="52" t="s">
        <v>60</v>
      </c>
      <c r="AN12" s="58">
        <v>280</v>
      </c>
      <c r="AO12" s="52" t="s">
        <v>92</v>
      </c>
      <c r="AP12" s="59" t="str">
        <f>IFERROR(VLOOKUP($A12,[2]Mssp!$A$5:$BE$1463,AP$4+1,0),0)</f>
        <v>1404451-1</v>
      </c>
      <c r="AQ12" s="59" t="str">
        <f>IFERROR(VLOOKUP($A12,[2]Mssp!$A$5:$BE$1463,AQ$4+1,0),0)</f>
        <v>18011006-2</v>
      </c>
      <c r="AR12" s="59" t="str">
        <f>IFERROR(VLOOKUP($A12,[2]Mssp!$A$5:$BE$1463,AR$4+1,0),0)</f>
        <v>1404451-3</v>
      </c>
      <c r="AS12" s="59" t="str">
        <f>IFERROR(VLOOKUP($A12,[2]Mssp!$A$5:$BE$1463,AS$4+1,0),0)</f>
        <v>1404451-4</v>
      </c>
      <c r="AT12" s="59">
        <f>IFERROR(VLOOKUP($A12,[2]Mssp!$A$5:$BE$1463,AT$4+1,0),0)</f>
        <v>0</v>
      </c>
      <c r="AU12" s="59">
        <f>IFERROR(VLOOKUP($A12,[2]Mssp!$A$5:$BE$1463,AU$4+1,0),0)</f>
        <v>0</v>
      </c>
      <c r="AV12" s="59">
        <f>IFERROR(VLOOKUP($A12,[2]Mssp!$A$5:$BE$1463,AV$4+1,0),0)</f>
        <v>0</v>
      </c>
      <c r="AW12" s="59">
        <f>IFERROR(VLOOKUP($A12,[2]Mssp!$A$5:$BE$1463,AW$4+1,0),0)</f>
        <v>0</v>
      </c>
      <c r="AX12" s="59">
        <f>IFERROR(VLOOKUP($A12,[2]Mssp!$A$5:$BE$1463,AX$4+1,0),0)</f>
        <v>0</v>
      </c>
      <c r="AY12" s="59" t="str">
        <f>IFERROR(VLOOKUP($A12,[2]Mssp!$A$5:$BE$1463,AY$4+2,0),0)</f>
        <v>560x750</v>
      </c>
      <c r="AZ12" s="59" t="str">
        <f>IFERROR(VLOOKUP($A12,[2]Mssp!$A$5:$BE$1463,AZ$4+2,0),0)</f>
        <v>A1</v>
      </c>
      <c r="BA12" s="60">
        <v>4000</v>
      </c>
      <c r="BB12" s="61" t="s">
        <v>62</v>
      </c>
      <c r="BC12" s="62"/>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row>
    <row r="13" spans="1:94" ht="45" x14ac:dyDescent="0.25">
      <c r="A13" s="50" t="s">
        <v>95</v>
      </c>
      <c r="B13" s="51" t="s">
        <v>96</v>
      </c>
      <c r="C13" s="50">
        <f t="shared" si="0"/>
        <v>3.9000000000000004</v>
      </c>
      <c r="D13" s="50">
        <v>1</v>
      </c>
      <c r="E13" s="50" t="s">
        <v>97</v>
      </c>
      <c r="F13" s="50">
        <v>6</v>
      </c>
      <c r="G13" s="50" t="s">
        <v>56</v>
      </c>
      <c r="H13" s="50">
        <f>VLOOKUP($A13,'[1]ma sp 02'!$A$5:$BD$1101,H$1,0)</f>
        <v>0.1</v>
      </c>
      <c r="I13" s="50">
        <f>VLOOKUP($A13,'[1]ma sp 02'!$A$5:$BD$1101,I$1,0)</f>
        <v>0</v>
      </c>
      <c r="J13" s="50">
        <f>VLOOKUP($A13,'[1]ma sp 02'!$A$5:$BD$1101,J$1,0)</f>
        <v>0.3</v>
      </c>
      <c r="K13" s="50">
        <f>VLOOKUP($A13,'[1]ma sp 02'!$A$5:$BD$1101,K$1,0)</f>
        <v>0.1</v>
      </c>
      <c r="L13" s="50">
        <f>VLOOKUP($A13,'[1]ma sp 02'!$A$5:$BD$1101,L$1,0)</f>
        <v>0.9</v>
      </c>
      <c r="M13" s="50">
        <f>VLOOKUP($A13,'[1]ma sp 02'!$A$5:$BD$1101,M$1,0)</f>
        <v>1.8</v>
      </c>
      <c r="N13" s="50">
        <f>VLOOKUP($A13,'[1]ma sp 02'!$A$5:$BD$1101,N$1,0)</f>
        <v>0</v>
      </c>
      <c r="O13" s="50">
        <f>VLOOKUP($A13,'[1]ma sp 02'!$A$5:$BD$1101,O$1,0)</f>
        <v>0.7</v>
      </c>
      <c r="P13" s="50">
        <f>VLOOKUP($A13,'[1]ma sp 02'!$A$5:$BD$1101,P$1,0)</f>
        <v>0</v>
      </c>
      <c r="Q13" s="50">
        <f>VLOOKUP($A13,'[1]ma sp 02'!$A$5:$BD$1101,Q$1,0)</f>
        <v>0</v>
      </c>
      <c r="R13" s="50">
        <f>VLOOKUP($A13,'[1]ma sp 02'!$A$5:$BD$1101,R$1,0)</f>
        <v>0</v>
      </c>
      <c r="S13" s="50">
        <f>VLOOKUP($A13,'[1]ma sp 02'!$A$5:$BD$1101,S$1,0)</f>
        <v>0</v>
      </c>
      <c r="T13" s="50">
        <f>VLOOKUP($A13,'[1]ma sp 02'!$A$5:$BD$1101,T$1,0)</f>
        <v>0</v>
      </c>
      <c r="U13" s="50">
        <f>VLOOKUP($A13,'[1]ma sp 02'!$A$5:$BD$1101,U$1,0)</f>
        <v>0</v>
      </c>
      <c r="V13" s="50">
        <f>VLOOKUP($A13,'[1]ma sp 02'!$A$5:$BD$1101,V$1,0)</f>
        <v>0</v>
      </c>
      <c r="W13" s="50">
        <f>VLOOKUP($A13,'[1]ma sp 02'!$A$5:$BD$1101,W$1,0)</f>
        <v>0</v>
      </c>
      <c r="X13" s="50">
        <f t="shared" si="1"/>
        <v>6</v>
      </c>
      <c r="Y13" s="50"/>
      <c r="Z13" s="50"/>
      <c r="AA13" s="50"/>
      <c r="AB13" s="50"/>
      <c r="AC13" s="50"/>
      <c r="AD13" s="50"/>
      <c r="AE13" s="58" t="s">
        <v>98</v>
      </c>
      <c r="AF13" s="57"/>
      <c r="AG13" s="71">
        <f>(0.02*0.91+0.06*0.925)*0.54</f>
        <v>3.9798E-2</v>
      </c>
      <c r="AH13" s="63">
        <f>(2.2/0.75/2)*0.53</f>
        <v>0.77733333333333343</v>
      </c>
      <c r="AI13" s="57"/>
      <c r="AJ13" s="58">
        <v>9530</v>
      </c>
      <c r="AK13" s="57"/>
      <c r="AL13" s="58">
        <v>2.2000000000000001E-3</v>
      </c>
      <c r="AM13" s="52" t="s">
        <v>74</v>
      </c>
      <c r="AN13" s="58">
        <v>210</v>
      </c>
      <c r="AO13" s="52" t="s">
        <v>99</v>
      </c>
      <c r="AP13" s="59" t="str">
        <f>IFERROR(VLOOKUP($A13,[2]Mssp!$A$5:$BE$1463,AP$4+1,0),0)</f>
        <v>1404538-1</v>
      </c>
      <c r="AQ13" s="59" t="str">
        <f>IFERROR(VLOOKUP($A13,[2]Mssp!$A$5:$BE$1463,AQ$4+1,0),0)</f>
        <v>1404538-2</v>
      </c>
      <c r="AR13" s="59" t="str">
        <f>IFERROR(VLOOKUP($A13,[2]Mssp!$A$5:$BE$1463,AR$4+1,0),0)</f>
        <v>1404538-3</v>
      </c>
      <c r="AS13" s="59" t="str">
        <f>IFERROR(VLOOKUP($A13,[2]Mssp!$A$5:$BE$1463,AS$4+1,0),0)</f>
        <v>1404538-4</v>
      </c>
      <c r="AT13" s="59" t="str">
        <f>IFERROR(VLOOKUP($A13,[2]Mssp!$A$5:$BE$1463,AT$4+1,0),0)</f>
        <v>1404538-5</v>
      </c>
      <c r="AU13" s="59" t="str">
        <f>IFERROR(VLOOKUP($A13,[2]Mssp!$A$5:$BE$1463,AU$4+1,0),0)</f>
        <v>1404538-6</v>
      </c>
      <c r="AV13" s="59">
        <f>IFERROR(VLOOKUP($A13,[2]Mssp!$A$5:$BE$1463,AV$4+1,0),0)</f>
        <v>0</v>
      </c>
      <c r="AW13" s="59">
        <f>IFERROR(VLOOKUP($A13,[2]Mssp!$A$5:$BE$1463,AW$4+1,0),0)</f>
        <v>0</v>
      </c>
      <c r="AX13" s="59">
        <f>IFERROR(VLOOKUP($A13,[2]Mssp!$A$5:$BE$1463,AX$4+1,0),0)</f>
        <v>0</v>
      </c>
      <c r="AY13" s="59" t="str">
        <f>IFERROR(VLOOKUP($A13,[2]Mssp!$A$5:$BE$1463,AY$4+2,0),0)</f>
        <v>420x750</v>
      </c>
      <c r="AZ13" s="59" t="str">
        <f>IFERROR(VLOOKUP($A13,[2]Mssp!$A$5:$BE$1463,AZ$4+2,0),0)</f>
        <v>M1</v>
      </c>
      <c r="BA13" s="60">
        <v>0</v>
      </c>
      <c r="BB13" s="61" t="s">
        <v>62</v>
      </c>
      <c r="BC13" s="62"/>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row>
    <row r="14" spans="1:94" ht="45" x14ac:dyDescent="0.25">
      <c r="A14" s="50" t="s">
        <v>100</v>
      </c>
      <c r="B14" s="51" t="s">
        <v>101</v>
      </c>
      <c r="C14" s="50">
        <f t="shared" si="0"/>
        <v>6.41</v>
      </c>
      <c r="D14" s="50">
        <v>1</v>
      </c>
      <c r="E14" s="50" t="s">
        <v>102</v>
      </c>
      <c r="F14" s="50">
        <v>7</v>
      </c>
      <c r="G14" s="50" t="s">
        <v>56</v>
      </c>
      <c r="H14" s="50">
        <f>VLOOKUP($A14,'[1]ma sp 02'!$A$5:$BD$1101,H$1,0)</f>
        <v>0.18</v>
      </c>
      <c r="I14" s="50">
        <f>VLOOKUP($A14,'[1]ma sp 02'!$A$5:$BD$1101,I$1,0)</f>
        <v>3</v>
      </c>
      <c r="J14" s="50">
        <f>VLOOKUP($A14,'[1]ma sp 02'!$A$5:$BD$1101,J$1,0)</f>
        <v>0.8</v>
      </c>
      <c r="K14" s="50">
        <f>VLOOKUP($A14,'[1]ma sp 02'!$A$5:$BD$1101,K$1,0)</f>
        <v>0.1</v>
      </c>
      <c r="L14" s="50">
        <f>VLOOKUP($A14,'[1]ma sp 02'!$A$5:$BD$1101,L$1,0)</f>
        <v>0.9</v>
      </c>
      <c r="M14" s="50">
        <f>VLOOKUP($A14,'[1]ma sp 02'!$A$5:$BD$1101,M$1,0)</f>
        <v>0.7</v>
      </c>
      <c r="N14" s="50">
        <f>VLOOKUP($A14,'[1]ma sp 02'!$A$5:$BD$1101,N$1,0)</f>
        <v>0</v>
      </c>
      <c r="O14" s="50">
        <f>VLOOKUP($A14,'[1]ma sp 02'!$A$5:$BD$1101,O$1,0)</f>
        <v>0</v>
      </c>
      <c r="P14" s="50">
        <f>VLOOKUP($A14,'[1]ma sp 02'!$A$5:$BD$1101,P$1,0)</f>
        <v>0.05</v>
      </c>
      <c r="Q14" s="50">
        <f>VLOOKUP($A14,'[1]ma sp 02'!$A$5:$BD$1101,Q$1,0)</f>
        <v>0.5</v>
      </c>
      <c r="R14" s="50">
        <f>VLOOKUP($A14,'[1]ma sp 02'!$A$5:$BD$1101,R$1,0)</f>
        <v>0.18</v>
      </c>
      <c r="S14" s="50">
        <f>VLOOKUP($A14,'[1]ma sp 02'!$A$5:$BD$1101,S$1,0)</f>
        <v>0</v>
      </c>
      <c r="T14" s="50">
        <f>VLOOKUP($A14,'[1]ma sp 02'!$A$5:$BD$1101,T$1,0)</f>
        <v>0</v>
      </c>
      <c r="U14" s="50">
        <f>VLOOKUP($A14,'[1]ma sp 02'!$A$5:$BD$1101,U$1,0)</f>
        <v>0</v>
      </c>
      <c r="V14" s="50">
        <f>VLOOKUP($A14,'[1]ma sp 02'!$A$5:$BD$1101,V$1,0)</f>
        <v>0</v>
      </c>
      <c r="W14" s="50">
        <f>VLOOKUP($A14,'[1]ma sp 02'!$A$5:$BD$1101,W$1,0)</f>
        <v>0</v>
      </c>
      <c r="X14" s="50">
        <f t="shared" si="1"/>
        <v>9</v>
      </c>
      <c r="Y14" s="50"/>
      <c r="Z14" s="50"/>
      <c r="AA14" s="50"/>
      <c r="AB14" s="50"/>
      <c r="AC14" s="50"/>
      <c r="AD14" s="50"/>
      <c r="AE14" s="58" t="s">
        <v>103</v>
      </c>
      <c r="AF14" s="57"/>
      <c r="AG14" s="71">
        <f>(0.02*0.91+0.068*0.925)*0.46</f>
        <v>3.7306000000000006E-2</v>
      </c>
      <c r="AH14" s="63">
        <f>(2.2/0.75/2)*0.45</f>
        <v>0.66</v>
      </c>
      <c r="AI14" s="57"/>
      <c r="AJ14" s="58">
        <v>9530</v>
      </c>
      <c r="AK14" s="57"/>
      <c r="AL14" s="58">
        <v>2.2000000000000001E-3</v>
      </c>
      <c r="AM14" s="52" t="s">
        <v>104</v>
      </c>
      <c r="AN14" s="58">
        <v>440</v>
      </c>
      <c r="AO14" s="52" t="s">
        <v>105</v>
      </c>
      <c r="AP14" s="59" t="str">
        <f>IFERROR(VLOOKUP($A14,[2]Mssp!$A$5:$BE$1463,AP$4+1,0),0)</f>
        <v>F308246-1</v>
      </c>
      <c r="AQ14" s="59" t="str">
        <f>IFERROR(VLOOKUP($A14,[2]Mssp!$A$5:$BE$1463,AQ$4+1,0),0)</f>
        <v>F308246-2</v>
      </c>
      <c r="AR14" s="59" t="str">
        <f>IFERROR(VLOOKUP($A14,[2]Mssp!$A$5:$BE$1463,AR$4+1,0),0)</f>
        <v>F308246-3</v>
      </c>
      <c r="AS14" s="59" t="str">
        <f>IFERROR(VLOOKUP($A14,[2]Mssp!$A$5:$BE$1463,AS$4+1,0),0)</f>
        <v>F308246-4</v>
      </c>
      <c r="AT14" s="59" t="str">
        <f>IFERROR(VLOOKUP($A14,[2]Mssp!$A$5:$BE$1463,AT$4+1,0),0)</f>
        <v>F308246-5</v>
      </c>
      <c r="AU14" s="59" t="str">
        <f>IFERROR(VLOOKUP($A14,[2]Mssp!$A$5:$BE$1463,AU$4+1,0),0)</f>
        <v>F308246-6</v>
      </c>
      <c r="AV14" s="59" t="str">
        <f>IFERROR(VLOOKUP($A14,[2]Mssp!$A$5:$BE$1463,AV$4+1,0),0)</f>
        <v>F308246-7</v>
      </c>
      <c r="AW14" s="59">
        <f>IFERROR(VLOOKUP($A14,[2]Mssp!$A$5:$BE$1463,AW$4+1,0),0)</f>
        <v>0</v>
      </c>
      <c r="AX14" s="59">
        <f>IFERROR(VLOOKUP($A14,[2]Mssp!$A$5:$BE$1463,AX$4+1,0),0)</f>
        <v>0</v>
      </c>
      <c r="AY14" s="59" t="str">
        <f>IFERROR(VLOOKUP($A14,[2]Mssp!$A$5:$BE$1463,AY$4+2,0),0)</f>
        <v>520x610</v>
      </c>
      <c r="AZ14" s="59" t="str">
        <f>IFERROR(VLOOKUP($A14,[2]Mssp!$A$5:$BE$1463,AZ$4+2,0),0)</f>
        <v>Z1</v>
      </c>
      <c r="BA14" s="60" t="s">
        <v>106</v>
      </c>
      <c r="BB14" s="61" t="s">
        <v>107</v>
      </c>
      <c r="BC14" s="62"/>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c r="CP14" s="9"/>
    </row>
    <row r="15" spans="1:94" ht="45" x14ac:dyDescent="0.25">
      <c r="A15" s="50" t="s">
        <v>108</v>
      </c>
      <c r="B15" s="51" t="s">
        <v>109</v>
      </c>
      <c r="C15" s="50" t="e">
        <f t="shared" si="0"/>
        <v>#N/A</v>
      </c>
      <c r="D15" s="50"/>
      <c r="E15" s="50"/>
      <c r="F15" s="50"/>
      <c r="G15" s="50" t="s">
        <v>110</v>
      </c>
      <c r="H15" s="50" t="e">
        <f>VLOOKUP($A15,'[1]ma sp 02'!$A$5:$BD$1101,H$1,0)</f>
        <v>#N/A</v>
      </c>
      <c r="I15" s="50" t="e">
        <f>VLOOKUP($A15,'[1]ma sp 02'!$A$5:$BD$1101,I$1,0)</f>
        <v>#N/A</v>
      </c>
      <c r="J15" s="50" t="e">
        <f>VLOOKUP($A15,'[1]ma sp 02'!$A$5:$BD$1101,J$1,0)</f>
        <v>#N/A</v>
      </c>
      <c r="K15" s="50" t="e">
        <f>VLOOKUP($A15,'[1]ma sp 02'!$A$5:$BD$1101,K$1,0)</f>
        <v>#N/A</v>
      </c>
      <c r="L15" s="50" t="e">
        <f>VLOOKUP($A15,'[1]ma sp 02'!$A$5:$BD$1101,L$1,0)</f>
        <v>#N/A</v>
      </c>
      <c r="M15" s="50" t="e">
        <f>VLOOKUP($A15,'[1]ma sp 02'!$A$5:$BD$1101,M$1,0)</f>
        <v>#N/A</v>
      </c>
      <c r="N15" s="50" t="e">
        <f>VLOOKUP($A15,'[1]ma sp 02'!$A$5:$BD$1101,N$1,0)</f>
        <v>#N/A</v>
      </c>
      <c r="O15" s="50" t="e">
        <f>VLOOKUP($A15,'[1]ma sp 02'!$A$5:$BD$1101,O$1,0)</f>
        <v>#N/A</v>
      </c>
      <c r="P15" s="50" t="e">
        <f>VLOOKUP($A15,'[1]ma sp 02'!$A$5:$BD$1101,P$1,0)</f>
        <v>#N/A</v>
      </c>
      <c r="Q15" s="50" t="e">
        <f>VLOOKUP($A15,'[1]ma sp 02'!$A$5:$BD$1101,Q$1,0)</f>
        <v>#N/A</v>
      </c>
      <c r="R15" s="50" t="e">
        <f>VLOOKUP($A15,'[1]ma sp 02'!$A$5:$BD$1101,R$1,0)</f>
        <v>#N/A</v>
      </c>
      <c r="S15" s="50" t="e">
        <f>VLOOKUP($A15,'[1]ma sp 02'!$A$5:$BD$1101,S$1,0)</f>
        <v>#N/A</v>
      </c>
      <c r="T15" s="50" t="e">
        <f>VLOOKUP($A15,'[1]ma sp 02'!$A$5:$BD$1101,T$1,0)</f>
        <v>#N/A</v>
      </c>
      <c r="U15" s="50" t="e">
        <f>VLOOKUP($A15,'[1]ma sp 02'!$A$5:$BD$1101,U$1,0)</f>
        <v>#N/A</v>
      </c>
      <c r="V15" s="50" t="e">
        <f>VLOOKUP($A15,'[1]ma sp 02'!$A$5:$BD$1101,V$1,0)</f>
        <v>#N/A</v>
      </c>
      <c r="W15" s="50" t="e">
        <f>VLOOKUP($A15,'[1]ma sp 02'!$A$5:$BD$1101,W$1,0)</f>
        <v>#N/A</v>
      </c>
      <c r="X15" s="50">
        <f t="shared" si="1"/>
        <v>0</v>
      </c>
      <c r="Y15" s="50"/>
      <c r="Z15" s="50"/>
      <c r="AA15" s="50"/>
      <c r="AB15" s="50"/>
      <c r="AC15" s="50"/>
      <c r="AD15" s="50"/>
      <c r="AE15" s="57"/>
      <c r="AF15" s="57"/>
      <c r="AG15" s="57"/>
      <c r="AH15" s="57"/>
      <c r="AI15" s="57"/>
      <c r="AJ15" s="57"/>
      <c r="AK15" s="57"/>
      <c r="AL15" s="57"/>
      <c r="AM15" s="52" t="s">
        <v>74</v>
      </c>
      <c r="AN15" s="57"/>
      <c r="AO15" s="52" t="s">
        <v>61</v>
      </c>
      <c r="AP15" s="59">
        <f>IFERROR(VLOOKUP($A15,[2]Mssp!$A$5:$BE$1463,AP$4+1,0),0)</f>
        <v>0</v>
      </c>
      <c r="AQ15" s="59">
        <f>IFERROR(VLOOKUP($A15,[2]Mssp!$A$5:$BE$1463,AQ$4+1,0),0)</f>
        <v>0</v>
      </c>
      <c r="AR15" s="59">
        <f>IFERROR(VLOOKUP($A15,[2]Mssp!$A$5:$BE$1463,AR$4+1,0),0)</f>
        <v>0</v>
      </c>
      <c r="AS15" s="59">
        <f>IFERROR(VLOOKUP($A15,[2]Mssp!$A$5:$BE$1463,AS$4+1,0),0)</f>
        <v>0</v>
      </c>
      <c r="AT15" s="59">
        <f>IFERROR(VLOOKUP($A15,[2]Mssp!$A$5:$BE$1463,AT$4+1,0),0)</f>
        <v>0</v>
      </c>
      <c r="AU15" s="59">
        <f>IFERROR(VLOOKUP($A15,[2]Mssp!$A$5:$BE$1463,AU$4+1,0),0)</f>
        <v>0</v>
      </c>
      <c r="AV15" s="59">
        <f>IFERROR(VLOOKUP($A15,[2]Mssp!$A$5:$BE$1463,AV$4+1,0),0)</f>
        <v>0</v>
      </c>
      <c r="AW15" s="59">
        <f>IFERROR(VLOOKUP($A15,[2]Mssp!$A$5:$BE$1463,AW$4+1,0),0)</f>
        <v>0</v>
      </c>
      <c r="AX15" s="59">
        <f>IFERROR(VLOOKUP($A15,[2]Mssp!$A$5:$BE$1463,AX$4+1,0),0)</f>
        <v>0</v>
      </c>
      <c r="AY15" s="59">
        <f>IFERROR(VLOOKUP($A15,[2]Mssp!$A$5:$BE$1463,AY$4+2,0),0)</f>
        <v>0</v>
      </c>
      <c r="AZ15" s="59">
        <f>IFERROR(VLOOKUP($A15,[2]Mssp!$A$5:$BE$1463,AZ$4+2,0),0)</f>
        <v>0</v>
      </c>
      <c r="BA15" s="60">
        <v>0</v>
      </c>
      <c r="BB15" s="61" t="s">
        <v>62</v>
      </c>
      <c r="BC15" s="62"/>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row>
    <row r="16" spans="1:94" ht="75" x14ac:dyDescent="0.25">
      <c r="A16" s="50" t="s">
        <v>111</v>
      </c>
      <c r="B16" s="51" t="s">
        <v>112</v>
      </c>
      <c r="C16" s="50">
        <f t="shared" si="0"/>
        <v>0</v>
      </c>
      <c r="D16" s="57">
        <v>2</v>
      </c>
      <c r="E16" s="58" t="s">
        <v>113</v>
      </c>
      <c r="F16" s="58">
        <v>1</v>
      </c>
      <c r="G16" s="50" t="s">
        <v>114</v>
      </c>
      <c r="H16" s="50">
        <f>VLOOKUP($A16,'[1]ma sp 02'!$A$5:$BD$1101,H$1,0)</f>
        <v>0</v>
      </c>
      <c r="I16" s="50">
        <f>VLOOKUP($A16,'[1]ma sp 02'!$A$5:$BD$1101,I$1,0)</f>
        <v>0</v>
      </c>
      <c r="J16" s="50">
        <f>VLOOKUP($A16,'[1]ma sp 02'!$A$5:$BD$1101,J$1,0)</f>
        <v>0</v>
      </c>
      <c r="K16" s="50">
        <f>VLOOKUP($A16,'[1]ma sp 02'!$A$5:$BD$1101,K$1,0)</f>
        <v>0</v>
      </c>
      <c r="L16" s="50">
        <f>VLOOKUP($A16,'[1]ma sp 02'!$A$5:$BD$1101,L$1,0)</f>
        <v>0</v>
      </c>
      <c r="M16" s="50">
        <f>VLOOKUP($A16,'[1]ma sp 02'!$A$5:$BD$1101,M$1,0)</f>
        <v>0</v>
      </c>
      <c r="N16" s="50">
        <f>VLOOKUP($A16,'[1]ma sp 02'!$A$5:$BD$1101,N$1,0)</f>
        <v>0</v>
      </c>
      <c r="O16" s="50">
        <f>VLOOKUP($A16,'[1]ma sp 02'!$A$5:$BD$1101,O$1,0)</f>
        <v>0</v>
      </c>
      <c r="P16" s="50">
        <f>VLOOKUP($A16,'[1]ma sp 02'!$A$5:$BD$1101,P$1,0)</f>
        <v>0</v>
      </c>
      <c r="Q16" s="50">
        <f>VLOOKUP($A16,'[1]ma sp 02'!$A$5:$BD$1101,Q$1,0)</f>
        <v>0</v>
      </c>
      <c r="R16" s="50">
        <f>VLOOKUP($A16,'[1]ma sp 02'!$A$5:$BD$1101,R$1,0)</f>
        <v>0</v>
      </c>
      <c r="S16" s="50">
        <f>VLOOKUP($A16,'[1]ma sp 02'!$A$5:$BD$1101,S$1,0)</f>
        <v>0</v>
      </c>
      <c r="T16" s="50">
        <f>VLOOKUP($A16,'[1]ma sp 02'!$A$5:$BD$1101,T$1,0)</f>
        <v>0</v>
      </c>
      <c r="U16" s="50">
        <f>VLOOKUP($A16,'[1]ma sp 02'!$A$5:$BD$1101,U$1,0)</f>
        <v>0</v>
      </c>
      <c r="V16" s="50">
        <f>VLOOKUP($A16,'[1]ma sp 02'!$A$5:$BD$1101,V$1,0)</f>
        <v>0</v>
      </c>
      <c r="W16" s="50">
        <f>VLOOKUP($A16,'[1]ma sp 02'!$A$5:$BD$1101,W$1,0)</f>
        <v>0</v>
      </c>
      <c r="X16" s="50">
        <f t="shared" si="1"/>
        <v>0</v>
      </c>
      <c r="Y16" s="57"/>
      <c r="Z16" s="57"/>
      <c r="AA16" s="57"/>
      <c r="AB16" s="57"/>
      <c r="AC16" s="57"/>
      <c r="AD16" s="57"/>
      <c r="AE16" s="58" t="s">
        <v>115</v>
      </c>
      <c r="AF16" s="58" t="s">
        <v>116</v>
      </c>
      <c r="AG16" s="71">
        <f>(0.012*1.4+0.012*1.4+0.06*0.925)*0.74</f>
        <v>6.5933999999999993E-2</v>
      </c>
      <c r="AH16" s="63">
        <f>(2.3/0.75/2)*0.73</f>
        <v>1.1193333333333333</v>
      </c>
      <c r="AI16" s="63">
        <f>(3/0.75/2)*0.73</f>
        <v>1.46</v>
      </c>
      <c r="AJ16" s="58">
        <v>9530</v>
      </c>
      <c r="AK16" s="57">
        <v>9530</v>
      </c>
      <c r="AL16" s="58" t="s">
        <v>117</v>
      </c>
      <c r="AM16" s="52" t="s">
        <v>60</v>
      </c>
      <c r="AN16" s="58">
        <v>420</v>
      </c>
      <c r="AO16" s="52" t="s">
        <v>118</v>
      </c>
      <c r="AP16" s="59">
        <f>IFERROR(VLOOKUP($A16,[2]Mssp!$A$5:$BE$1463,AP$4+1,0),0)</f>
        <v>0</v>
      </c>
      <c r="AQ16" s="59">
        <f>IFERROR(VLOOKUP($A16,[2]Mssp!$A$5:$BE$1463,AQ$4+1,0),0)</f>
        <v>0</v>
      </c>
      <c r="AR16" s="59">
        <f>IFERROR(VLOOKUP($A16,[2]Mssp!$A$5:$BE$1463,AR$4+1,0),0)</f>
        <v>0</v>
      </c>
      <c r="AS16" s="59">
        <f>IFERROR(VLOOKUP($A16,[2]Mssp!$A$5:$BE$1463,AS$4+1,0),0)</f>
        <v>0</v>
      </c>
      <c r="AT16" s="59">
        <f>IFERROR(VLOOKUP($A16,[2]Mssp!$A$5:$BE$1463,AT$4+1,0),0)</f>
        <v>0</v>
      </c>
      <c r="AU16" s="59">
        <f>IFERROR(VLOOKUP($A16,[2]Mssp!$A$5:$BE$1463,AU$4+1,0),0)</f>
        <v>0</v>
      </c>
      <c r="AV16" s="59">
        <f>IFERROR(VLOOKUP($A16,[2]Mssp!$A$5:$BE$1463,AV$4+1,0),0)</f>
        <v>0</v>
      </c>
      <c r="AW16" s="59">
        <f>IFERROR(VLOOKUP($A16,[2]Mssp!$A$5:$BE$1463,AW$4+1,0),0)</f>
        <v>0</v>
      </c>
      <c r="AX16" s="59">
        <f>IFERROR(VLOOKUP($A16,[2]Mssp!$A$5:$BE$1463,AX$4+1,0),0)</f>
        <v>0</v>
      </c>
      <c r="AY16" s="59">
        <f>IFERROR(VLOOKUP($A16,[2]Mssp!$A$5:$BE$1463,AY$4+2,0),0)</f>
        <v>0</v>
      </c>
      <c r="AZ16" s="59">
        <f>IFERROR(VLOOKUP($A16,[2]Mssp!$A$5:$BE$1463,AZ$4+2,0),0)</f>
        <v>0</v>
      </c>
      <c r="BA16" s="60">
        <v>1500</v>
      </c>
      <c r="BB16" s="61" t="s">
        <v>119</v>
      </c>
      <c r="BC16" s="62"/>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row>
    <row r="17" spans="1:94" ht="45" x14ac:dyDescent="0.25">
      <c r="A17" s="50" t="s">
        <v>120</v>
      </c>
      <c r="B17" s="51" t="s">
        <v>121</v>
      </c>
      <c r="C17" s="50">
        <f t="shared" si="0"/>
        <v>3</v>
      </c>
      <c r="D17" s="58">
        <v>3</v>
      </c>
      <c r="E17" s="58" t="s">
        <v>113</v>
      </c>
      <c r="F17" s="58">
        <v>1</v>
      </c>
      <c r="G17" s="50" t="s">
        <v>114</v>
      </c>
      <c r="H17" s="50">
        <f>VLOOKUP($A17,'[1]ma sp 02'!$A$5:$BD$1101,H$1,0)</f>
        <v>0</v>
      </c>
      <c r="I17" s="50">
        <f>VLOOKUP($A17,'[1]ma sp 02'!$A$5:$BD$1101,I$1,0)</f>
        <v>0</v>
      </c>
      <c r="J17" s="50">
        <f>VLOOKUP($A17,'[1]ma sp 02'!$A$5:$BD$1101,J$1,0)</f>
        <v>0</v>
      </c>
      <c r="K17" s="50">
        <f>VLOOKUP($A17,'[1]ma sp 02'!$A$5:$BD$1101,K$1,0)</f>
        <v>0</v>
      </c>
      <c r="L17" s="50">
        <f>VLOOKUP($A17,'[1]ma sp 02'!$A$5:$BD$1101,L$1,0)</f>
        <v>3</v>
      </c>
      <c r="M17" s="50">
        <f>VLOOKUP($A17,'[1]ma sp 02'!$A$5:$BD$1101,M$1,0)</f>
        <v>0</v>
      </c>
      <c r="N17" s="50">
        <f>VLOOKUP($A17,'[1]ma sp 02'!$A$5:$BD$1101,N$1,0)</f>
        <v>0</v>
      </c>
      <c r="O17" s="50">
        <f>VLOOKUP($A17,'[1]ma sp 02'!$A$5:$BD$1101,O$1,0)</f>
        <v>0</v>
      </c>
      <c r="P17" s="50">
        <f>VLOOKUP($A17,'[1]ma sp 02'!$A$5:$BD$1101,P$1,0)</f>
        <v>0</v>
      </c>
      <c r="Q17" s="50">
        <f>VLOOKUP($A17,'[1]ma sp 02'!$A$5:$BD$1101,Q$1,0)</f>
        <v>0</v>
      </c>
      <c r="R17" s="50">
        <f>VLOOKUP($A17,'[1]ma sp 02'!$A$5:$BD$1101,R$1,0)</f>
        <v>0</v>
      </c>
      <c r="S17" s="50">
        <f>VLOOKUP($A17,'[1]ma sp 02'!$A$5:$BD$1101,S$1,0)</f>
        <v>0</v>
      </c>
      <c r="T17" s="50">
        <f>VLOOKUP($A17,'[1]ma sp 02'!$A$5:$BD$1101,T$1,0)</f>
        <v>0</v>
      </c>
      <c r="U17" s="50">
        <f>VLOOKUP($A17,'[1]ma sp 02'!$A$5:$BD$1101,U$1,0)</f>
        <v>0</v>
      </c>
      <c r="V17" s="50">
        <f>VLOOKUP($A17,'[1]ma sp 02'!$A$5:$BD$1101,V$1,0)</f>
        <v>0</v>
      </c>
      <c r="W17" s="50">
        <f>VLOOKUP($A17,'[1]ma sp 02'!$A$5:$BD$1101,W$1,0)</f>
        <v>0</v>
      </c>
      <c r="X17" s="50">
        <f t="shared" si="1"/>
        <v>1</v>
      </c>
      <c r="Y17" s="57"/>
      <c r="Z17" s="57"/>
      <c r="AA17" s="57"/>
      <c r="AB17" s="57"/>
      <c r="AC17" s="57"/>
      <c r="AD17" s="57"/>
      <c r="AE17" s="58" t="s">
        <v>115</v>
      </c>
      <c r="AF17" s="58" t="s">
        <v>116</v>
      </c>
      <c r="AG17" s="71">
        <f>(0.012*1.4+0.012*1.4+0.06*0.925)*0.74</f>
        <v>6.5933999999999993E-2</v>
      </c>
      <c r="AH17" s="63">
        <f>(2.3/0.75/2)*0.73</f>
        <v>1.1193333333333333</v>
      </c>
      <c r="AI17" s="63">
        <f>(3/0.75/2)*0.73</f>
        <v>1.46</v>
      </c>
      <c r="AJ17" s="58">
        <v>9530</v>
      </c>
      <c r="AK17" s="57">
        <v>9530</v>
      </c>
      <c r="AL17" s="58" t="s">
        <v>117</v>
      </c>
      <c r="AM17" s="52" t="s">
        <v>60</v>
      </c>
      <c r="AN17" s="58">
        <v>270</v>
      </c>
      <c r="AO17" s="52" t="s">
        <v>118</v>
      </c>
      <c r="AP17" s="59">
        <f>IFERROR(VLOOKUP($A17,[2]Mssp!$A$5:$BE$1463,AP$4+1,0),0)</f>
        <v>0</v>
      </c>
      <c r="AQ17" s="59">
        <f>IFERROR(VLOOKUP($A17,[2]Mssp!$A$5:$BE$1463,AQ$4+1,0),0)</f>
        <v>0</v>
      </c>
      <c r="AR17" s="59">
        <f>IFERROR(VLOOKUP($A17,[2]Mssp!$A$5:$BE$1463,AR$4+1,0),0)</f>
        <v>0</v>
      </c>
      <c r="AS17" s="59">
        <f>IFERROR(VLOOKUP($A17,[2]Mssp!$A$5:$BE$1463,AS$4+1,0),0)</f>
        <v>0</v>
      </c>
      <c r="AT17" s="59">
        <f>IFERROR(VLOOKUP($A17,[2]Mssp!$A$5:$BE$1463,AT$4+1,0),0)</f>
        <v>0</v>
      </c>
      <c r="AU17" s="59">
        <f>IFERROR(VLOOKUP($A17,[2]Mssp!$A$5:$BE$1463,AU$4+1,0),0)</f>
        <v>0</v>
      </c>
      <c r="AV17" s="59">
        <f>IFERROR(VLOOKUP($A17,[2]Mssp!$A$5:$BE$1463,AV$4+1,0),0)</f>
        <v>0</v>
      </c>
      <c r="AW17" s="59">
        <f>IFERROR(VLOOKUP($A17,[2]Mssp!$A$5:$BE$1463,AW$4+1,0),0)</f>
        <v>0</v>
      </c>
      <c r="AX17" s="59">
        <f>IFERROR(VLOOKUP($A17,[2]Mssp!$A$5:$BE$1463,AX$4+1,0),0)</f>
        <v>0</v>
      </c>
      <c r="AY17" s="59">
        <f>IFERROR(VLOOKUP($A17,[2]Mssp!$A$5:$BE$1463,AY$4+2,0),0)</f>
        <v>0</v>
      </c>
      <c r="AZ17" s="59">
        <f>IFERROR(VLOOKUP($A17,[2]Mssp!$A$5:$BE$1463,AZ$4+2,0),0)</f>
        <v>0</v>
      </c>
      <c r="BA17" s="60">
        <v>3000</v>
      </c>
      <c r="BB17" s="61" t="s">
        <v>62</v>
      </c>
      <c r="BC17" s="62"/>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row>
    <row r="18" spans="1:94" ht="45" x14ac:dyDescent="0.25">
      <c r="A18" s="50" t="s">
        <v>122</v>
      </c>
      <c r="B18" s="51" t="s">
        <v>123</v>
      </c>
      <c r="C18" s="50">
        <f t="shared" si="0"/>
        <v>8.32</v>
      </c>
      <c r="D18" s="58">
        <v>1</v>
      </c>
      <c r="E18" s="58" t="s">
        <v>124</v>
      </c>
      <c r="F18" s="58">
        <v>7</v>
      </c>
      <c r="G18" s="50" t="s">
        <v>56</v>
      </c>
      <c r="H18" s="50">
        <f>VLOOKUP($A18,'[1]ma sp 02'!$A$5:$BD$1101,H$1,0)</f>
        <v>0.08</v>
      </c>
      <c r="I18" s="50">
        <f>VLOOKUP($A18,'[1]ma sp 02'!$A$5:$BD$1101,I$1,0)</f>
        <v>3.99</v>
      </c>
      <c r="J18" s="50">
        <f>VLOOKUP($A18,'[1]ma sp 02'!$A$5:$BD$1101,J$1,0)</f>
        <v>0.01</v>
      </c>
      <c r="K18" s="50">
        <f>VLOOKUP($A18,'[1]ma sp 02'!$A$5:$BD$1101,K$1,0)</f>
        <v>0.01</v>
      </c>
      <c r="L18" s="50">
        <f>VLOOKUP($A18,'[1]ma sp 02'!$A$5:$BD$1101,L$1,0)</f>
        <v>2.31</v>
      </c>
      <c r="M18" s="50">
        <f>VLOOKUP($A18,'[1]ma sp 02'!$A$5:$BD$1101,M$1,0)</f>
        <v>1.38</v>
      </c>
      <c r="N18" s="50">
        <f>VLOOKUP($A18,'[1]ma sp 02'!$A$5:$BD$1101,N$1,0)</f>
        <v>0</v>
      </c>
      <c r="O18" s="50">
        <f>VLOOKUP($A18,'[1]ma sp 02'!$A$5:$BD$1101,O$1,0)</f>
        <v>0</v>
      </c>
      <c r="P18" s="50">
        <f>VLOOKUP($A18,'[1]ma sp 02'!$A$5:$BD$1101,P$1,0)</f>
        <v>0.53</v>
      </c>
      <c r="Q18" s="50">
        <f>VLOOKUP($A18,'[1]ma sp 02'!$A$5:$BD$1101,Q$1,0)</f>
        <v>0</v>
      </c>
      <c r="R18" s="50">
        <f>VLOOKUP($A18,'[1]ma sp 02'!$A$5:$BD$1101,R$1,0)</f>
        <v>0.01</v>
      </c>
      <c r="S18" s="50">
        <f>VLOOKUP($A18,'[1]ma sp 02'!$A$5:$BD$1101,S$1,0)</f>
        <v>0</v>
      </c>
      <c r="T18" s="50">
        <f>VLOOKUP($A18,'[1]ma sp 02'!$A$5:$BD$1101,T$1,0)</f>
        <v>0</v>
      </c>
      <c r="U18" s="50">
        <f>VLOOKUP($A18,'[1]ma sp 02'!$A$5:$BD$1101,U$1,0)</f>
        <v>0</v>
      </c>
      <c r="V18" s="50">
        <f>VLOOKUP($A18,'[1]ma sp 02'!$A$5:$BD$1101,V$1,0)</f>
        <v>0</v>
      </c>
      <c r="W18" s="50">
        <f>VLOOKUP($A18,'[1]ma sp 02'!$A$5:$BD$1101,W$1,0)</f>
        <v>0</v>
      </c>
      <c r="X18" s="50">
        <f t="shared" si="1"/>
        <v>8</v>
      </c>
      <c r="Y18" s="57"/>
      <c r="Z18" s="57"/>
      <c r="AA18" s="57"/>
      <c r="AB18" s="57"/>
      <c r="AC18" s="57"/>
      <c r="AD18" s="57"/>
      <c r="AE18" s="58" t="s">
        <v>125</v>
      </c>
      <c r="AF18" s="58" t="s">
        <v>126</v>
      </c>
      <c r="AG18" s="71">
        <f>(0.02*0.91+0.012*1.4+0.03*0.925)*0.46</f>
        <v>2.8865000000000002E-2</v>
      </c>
      <c r="AH18" s="63">
        <f>(2.3/0.75/2)*0.45</f>
        <v>0.69</v>
      </c>
      <c r="AI18" s="55">
        <f>(0.0023*0.45*3)/(10*0.3)*1000</f>
        <v>1.0350000000000001</v>
      </c>
      <c r="AJ18" s="58">
        <v>9690</v>
      </c>
      <c r="AK18" s="58">
        <v>9690</v>
      </c>
      <c r="AL18" s="52" t="s">
        <v>127</v>
      </c>
      <c r="AM18" s="52" t="s">
        <v>128</v>
      </c>
      <c r="AN18" s="58">
        <v>300</v>
      </c>
      <c r="AO18" s="52" t="s">
        <v>61</v>
      </c>
      <c r="AP18" s="59" t="str">
        <f>IFERROR(VLOOKUP($A18,[2]Mssp!$A$5:$BE$1463,AP$4+1,0),0)</f>
        <v>1902139-1</v>
      </c>
      <c r="AQ18" s="59" t="str">
        <f>IFERROR(VLOOKUP($A18,[2]Mssp!$A$5:$BE$1463,AQ$4+1,0),0)</f>
        <v>18071167-2</v>
      </c>
      <c r="AR18" s="59" t="str">
        <f>IFERROR(VLOOKUP($A18,[2]Mssp!$A$5:$BE$1463,AR$4+1,0),0)</f>
        <v>1902139-3</v>
      </c>
      <c r="AS18" s="59" t="str">
        <f>IFERROR(VLOOKUP($A18,[2]Mssp!$A$5:$BE$1463,AS$4+1,0),0)</f>
        <v>1710403-4</v>
      </c>
      <c r="AT18" s="59" t="str">
        <f>IFERROR(VLOOKUP($A18,[2]Mssp!$A$5:$BE$1463,AT$4+1,0),0)</f>
        <v>1902139-5</v>
      </c>
      <c r="AU18" s="59" t="str">
        <f>IFERROR(VLOOKUP($A18,[2]Mssp!$A$5:$BE$1463,AU$4+1,0),0)</f>
        <v>1902139-6</v>
      </c>
      <c r="AV18" s="59" t="str">
        <f>IFERROR(VLOOKUP($A18,[2]Mssp!$A$5:$BE$1463,AV$4+1,0),0)</f>
        <v>1710175-7</v>
      </c>
      <c r="AW18" s="59">
        <f>IFERROR(VLOOKUP($A18,[2]Mssp!$A$5:$BE$1463,AW$4+1,0),0)</f>
        <v>0</v>
      </c>
      <c r="AX18" s="59">
        <f>IFERROR(VLOOKUP($A18,[2]Mssp!$A$5:$BE$1463,AX$4+1,0),0)</f>
        <v>0</v>
      </c>
      <c r="AY18" s="59" t="str">
        <f>IFERROR(VLOOKUP($A18,[2]Mssp!$A$5:$BE$1463,AY$4+2,0),0)</f>
        <v>600x750</v>
      </c>
      <c r="AZ18" s="59" t="str">
        <f>IFERROR(VLOOKUP($A18,[2]Mssp!$A$5:$BE$1463,AZ$4+2,0),0)</f>
        <v>C1</v>
      </c>
      <c r="BA18" s="60">
        <v>3000</v>
      </c>
      <c r="BB18" s="61" t="s">
        <v>62</v>
      </c>
      <c r="BC18" s="62"/>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c r="CP18" s="9"/>
    </row>
    <row r="19" spans="1:94" ht="45" x14ac:dyDescent="0.25">
      <c r="A19" s="50" t="s">
        <v>129</v>
      </c>
      <c r="B19" s="51" t="s">
        <v>130</v>
      </c>
      <c r="C19" s="50">
        <f t="shared" si="0"/>
        <v>3.4</v>
      </c>
      <c r="D19" s="58">
        <v>1</v>
      </c>
      <c r="E19" s="58" t="s">
        <v>131</v>
      </c>
      <c r="F19" s="58">
        <v>1</v>
      </c>
      <c r="G19" s="50" t="s">
        <v>114</v>
      </c>
      <c r="H19" s="50">
        <f>VLOOKUP($A19,'[1]ma sp 02'!$A$5:$BD$1101,H$1,0)</f>
        <v>0</v>
      </c>
      <c r="I19" s="50">
        <f>VLOOKUP($A19,'[1]ma sp 02'!$A$5:$BD$1101,I$1,0)</f>
        <v>0</v>
      </c>
      <c r="J19" s="50">
        <f>VLOOKUP($A19,'[1]ma sp 02'!$A$5:$BD$1101,J$1,0)</f>
        <v>0</v>
      </c>
      <c r="K19" s="50">
        <f>VLOOKUP($A19,'[1]ma sp 02'!$A$5:$BD$1101,K$1,0)</f>
        <v>0</v>
      </c>
      <c r="L19" s="50">
        <f>VLOOKUP($A19,'[1]ma sp 02'!$A$5:$BD$1101,L$1,0)</f>
        <v>3.4</v>
      </c>
      <c r="M19" s="50">
        <f>VLOOKUP($A19,'[1]ma sp 02'!$A$5:$BD$1101,M$1,0)</f>
        <v>0</v>
      </c>
      <c r="N19" s="50">
        <f>VLOOKUP($A19,'[1]ma sp 02'!$A$5:$BD$1101,N$1,0)</f>
        <v>0</v>
      </c>
      <c r="O19" s="50">
        <f>VLOOKUP($A19,'[1]ma sp 02'!$A$5:$BD$1101,O$1,0)</f>
        <v>0</v>
      </c>
      <c r="P19" s="50">
        <f>VLOOKUP($A19,'[1]ma sp 02'!$A$5:$BD$1101,P$1,0)</f>
        <v>0</v>
      </c>
      <c r="Q19" s="50">
        <f>VLOOKUP($A19,'[1]ma sp 02'!$A$5:$BD$1101,Q$1,0)</f>
        <v>0</v>
      </c>
      <c r="R19" s="50">
        <f>VLOOKUP($A19,'[1]ma sp 02'!$A$5:$BD$1101,R$1,0)</f>
        <v>0</v>
      </c>
      <c r="S19" s="50">
        <f>VLOOKUP($A19,'[1]ma sp 02'!$A$5:$BD$1101,S$1,0)</f>
        <v>0</v>
      </c>
      <c r="T19" s="50">
        <f>VLOOKUP($A19,'[1]ma sp 02'!$A$5:$BD$1101,T$1,0)</f>
        <v>0</v>
      </c>
      <c r="U19" s="50">
        <f>VLOOKUP($A19,'[1]ma sp 02'!$A$5:$BD$1101,U$1,0)</f>
        <v>0</v>
      </c>
      <c r="V19" s="50">
        <f>VLOOKUP($A19,'[1]ma sp 02'!$A$5:$BD$1101,V$1,0)</f>
        <v>0</v>
      </c>
      <c r="W19" s="50">
        <f>VLOOKUP($A19,'[1]ma sp 02'!$A$5:$BD$1101,W$1,0)</f>
        <v>0</v>
      </c>
      <c r="X19" s="50">
        <f t="shared" si="1"/>
        <v>1</v>
      </c>
      <c r="Y19" s="57"/>
      <c r="Z19" s="57"/>
      <c r="AA19" s="57"/>
      <c r="AB19" s="57"/>
      <c r="AC19" s="57"/>
      <c r="AD19" s="57"/>
      <c r="AE19" s="58" t="s">
        <v>78</v>
      </c>
      <c r="AF19" s="58" t="s">
        <v>132</v>
      </c>
      <c r="AG19" s="71">
        <f>(0.012*1.4+0.012*1.4+0.06*0.925)*0.62</f>
        <v>5.5241999999999999E-2</v>
      </c>
      <c r="AH19" s="63">
        <f>(2.3/0.75/2)*0.61</f>
        <v>0.93533333333333324</v>
      </c>
      <c r="AI19" s="63">
        <f>(3/0.75/2)*0.61</f>
        <v>1.22</v>
      </c>
      <c r="AJ19" s="58">
        <v>9530</v>
      </c>
      <c r="AK19" s="57">
        <v>9530</v>
      </c>
      <c r="AL19" s="58" t="s">
        <v>117</v>
      </c>
      <c r="AM19" s="52" t="s">
        <v>60</v>
      </c>
      <c r="AN19" s="58">
        <v>340</v>
      </c>
      <c r="AO19" s="52" t="s">
        <v>118</v>
      </c>
      <c r="AP19" s="59">
        <f>IFERROR(VLOOKUP($A19,[2]Mssp!$A$5:$BE$1463,AP$4+1,0),0)</f>
        <v>0</v>
      </c>
      <c r="AQ19" s="59">
        <f>IFERROR(VLOOKUP($A19,[2]Mssp!$A$5:$BE$1463,AQ$4+1,0),0)</f>
        <v>0</v>
      </c>
      <c r="AR19" s="59">
        <f>IFERROR(VLOOKUP($A19,[2]Mssp!$A$5:$BE$1463,AR$4+1,0),0)</f>
        <v>0</v>
      </c>
      <c r="AS19" s="59">
        <f>IFERROR(VLOOKUP($A19,[2]Mssp!$A$5:$BE$1463,AS$4+1,0),0)</f>
        <v>0</v>
      </c>
      <c r="AT19" s="59">
        <f>IFERROR(VLOOKUP($A19,[2]Mssp!$A$5:$BE$1463,AT$4+1,0),0)</f>
        <v>0</v>
      </c>
      <c r="AU19" s="59">
        <f>IFERROR(VLOOKUP($A19,[2]Mssp!$A$5:$BE$1463,AU$4+1,0),0)</f>
        <v>0</v>
      </c>
      <c r="AV19" s="59">
        <f>IFERROR(VLOOKUP($A19,[2]Mssp!$A$5:$BE$1463,AV$4+1,0),0)</f>
        <v>0</v>
      </c>
      <c r="AW19" s="59">
        <f>IFERROR(VLOOKUP($A19,[2]Mssp!$A$5:$BE$1463,AW$4+1,0),0)</f>
        <v>0</v>
      </c>
      <c r="AX19" s="59">
        <f>IFERROR(VLOOKUP($A19,[2]Mssp!$A$5:$BE$1463,AX$4+1,0),0)</f>
        <v>0</v>
      </c>
      <c r="AY19" s="59">
        <f>IFERROR(VLOOKUP($A19,[2]Mssp!$A$5:$BE$1463,AY$4+2,0),0)</f>
        <v>0</v>
      </c>
      <c r="AZ19" s="59">
        <f>IFERROR(VLOOKUP($A19,[2]Mssp!$A$5:$BE$1463,AZ$4+2,0),0)</f>
        <v>0</v>
      </c>
      <c r="BA19" s="60">
        <v>2500</v>
      </c>
      <c r="BB19" s="61" t="s">
        <v>62</v>
      </c>
      <c r="BC19" s="62"/>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row>
    <row r="20" spans="1:94" ht="45" x14ac:dyDescent="0.25">
      <c r="A20" s="50" t="s">
        <v>133</v>
      </c>
      <c r="B20" s="73" t="s">
        <v>134</v>
      </c>
      <c r="C20" s="50">
        <f t="shared" si="0"/>
        <v>0</v>
      </c>
      <c r="D20" s="58">
        <v>3</v>
      </c>
      <c r="E20" s="58" t="s">
        <v>135</v>
      </c>
      <c r="F20" s="58">
        <v>0</v>
      </c>
      <c r="G20" s="50" t="s">
        <v>56</v>
      </c>
      <c r="H20" s="50">
        <f>VLOOKUP($A20,'[1]ma sp 02'!$A$5:$BD$1101,H$1,0)</f>
        <v>0</v>
      </c>
      <c r="I20" s="50">
        <f>VLOOKUP($A20,'[1]ma sp 02'!$A$5:$BD$1101,I$1,0)</f>
        <v>0</v>
      </c>
      <c r="J20" s="50">
        <f>VLOOKUP($A20,'[1]ma sp 02'!$A$5:$BD$1101,J$1,0)</f>
        <v>0</v>
      </c>
      <c r="K20" s="50">
        <f>VLOOKUP($A20,'[1]ma sp 02'!$A$5:$BD$1101,K$1,0)</f>
        <v>0</v>
      </c>
      <c r="L20" s="50">
        <f>VLOOKUP($A20,'[1]ma sp 02'!$A$5:$BD$1101,L$1,0)</f>
        <v>0</v>
      </c>
      <c r="M20" s="50">
        <f>VLOOKUP($A20,'[1]ma sp 02'!$A$5:$BD$1101,M$1,0)</f>
        <v>0</v>
      </c>
      <c r="N20" s="50">
        <f>VLOOKUP($A20,'[1]ma sp 02'!$A$5:$BD$1101,N$1,0)</f>
        <v>0</v>
      </c>
      <c r="O20" s="50">
        <f>VLOOKUP($A20,'[1]ma sp 02'!$A$5:$BD$1101,O$1,0)</f>
        <v>0</v>
      </c>
      <c r="P20" s="50">
        <f>VLOOKUP($A20,'[1]ma sp 02'!$A$5:$BD$1101,P$1,0)</f>
        <v>0</v>
      </c>
      <c r="Q20" s="50">
        <f>VLOOKUP($A20,'[1]ma sp 02'!$A$5:$BD$1101,Q$1,0)</f>
        <v>0</v>
      </c>
      <c r="R20" s="50">
        <f>VLOOKUP($A20,'[1]ma sp 02'!$A$5:$BD$1101,R$1,0)</f>
        <v>0</v>
      </c>
      <c r="S20" s="50">
        <f>VLOOKUP($A20,'[1]ma sp 02'!$A$5:$BD$1101,S$1,0)</f>
        <v>0</v>
      </c>
      <c r="T20" s="50">
        <f>VLOOKUP($A20,'[1]ma sp 02'!$A$5:$BD$1101,T$1,0)</f>
        <v>0</v>
      </c>
      <c r="U20" s="50">
        <f>VLOOKUP($A20,'[1]ma sp 02'!$A$5:$BD$1101,U$1,0)</f>
        <v>0</v>
      </c>
      <c r="V20" s="50">
        <f>VLOOKUP($A20,'[1]ma sp 02'!$A$5:$BD$1101,V$1,0)</f>
        <v>0</v>
      </c>
      <c r="W20" s="50">
        <f>VLOOKUP($A20,'[1]ma sp 02'!$A$5:$BD$1101,W$1,0)</f>
        <v>0</v>
      </c>
      <c r="X20" s="50">
        <f t="shared" si="1"/>
        <v>0</v>
      </c>
      <c r="Y20" s="57"/>
      <c r="Z20" s="57"/>
      <c r="AA20" s="57"/>
      <c r="AB20" s="57"/>
      <c r="AC20" s="57"/>
      <c r="AD20" s="57"/>
      <c r="AE20" s="58" t="s">
        <v>136</v>
      </c>
      <c r="AF20" s="57"/>
      <c r="AG20" s="71">
        <f>(0.02*0.91+0.025*0.91)*0.68</f>
        <v>2.7846000000000003E-2</v>
      </c>
      <c r="AH20" s="63">
        <f>(1.8/0.75/2)*0.67</f>
        <v>0.80400000000000005</v>
      </c>
      <c r="AI20" s="57"/>
      <c r="AJ20" s="58">
        <v>9530</v>
      </c>
      <c r="AK20" s="57"/>
      <c r="AL20" s="58">
        <v>1.8E-3</v>
      </c>
      <c r="AM20" s="52" t="s">
        <v>60</v>
      </c>
      <c r="AN20" s="58">
        <v>150</v>
      </c>
      <c r="AO20" s="52" t="s">
        <v>137</v>
      </c>
      <c r="AP20" s="59">
        <f>IFERROR(VLOOKUP($A20,[2]Mssp!$A$5:$BE$1463,AP$4+1,0),0)</f>
        <v>0</v>
      </c>
      <c r="AQ20" s="59">
        <f>IFERROR(VLOOKUP($A20,[2]Mssp!$A$5:$BE$1463,AQ$4+1,0),0)</f>
        <v>0</v>
      </c>
      <c r="AR20" s="59">
        <f>IFERROR(VLOOKUP($A20,[2]Mssp!$A$5:$BE$1463,AR$4+1,0),0)</f>
        <v>0</v>
      </c>
      <c r="AS20" s="59">
        <f>IFERROR(VLOOKUP($A20,[2]Mssp!$A$5:$BE$1463,AS$4+1,0),0)</f>
        <v>0</v>
      </c>
      <c r="AT20" s="59">
        <f>IFERROR(VLOOKUP($A20,[2]Mssp!$A$5:$BE$1463,AT$4+1,0),0)</f>
        <v>0</v>
      </c>
      <c r="AU20" s="59">
        <f>IFERROR(VLOOKUP($A20,[2]Mssp!$A$5:$BE$1463,AU$4+1,0),0)</f>
        <v>0</v>
      </c>
      <c r="AV20" s="59">
        <f>IFERROR(VLOOKUP($A20,[2]Mssp!$A$5:$BE$1463,AV$4+1,0),0)</f>
        <v>0</v>
      </c>
      <c r="AW20" s="59">
        <f>IFERROR(VLOOKUP($A20,[2]Mssp!$A$5:$BE$1463,AW$4+1,0),0)</f>
        <v>0</v>
      </c>
      <c r="AX20" s="59">
        <f>IFERROR(VLOOKUP($A20,[2]Mssp!$A$5:$BE$1463,AX$4+1,0),0)</f>
        <v>0</v>
      </c>
      <c r="AY20" s="59">
        <f>IFERROR(VLOOKUP($A20,[2]Mssp!$A$5:$BE$1463,AY$4+2,0),0)</f>
        <v>0</v>
      </c>
      <c r="AZ20" s="59">
        <f>IFERROR(VLOOKUP($A20,[2]Mssp!$A$5:$BE$1463,AZ$4+2,0),0)</f>
        <v>0</v>
      </c>
      <c r="BA20" s="60">
        <v>15000</v>
      </c>
      <c r="BB20" s="61" t="s">
        <v>62</v>
      </c>
      <c r="BC20" s="62"/>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row>
    <row r="21" spans="1:94" ht="30" x14ac:dyDescent="0.25">
      <c r="A21" s="50" t="s">
        <v>138</v>
      </c>
      <c r="B21" s="73" t="s">
        <v>139</v>
      </c>
      <c r="C21" s="50">
        <v>5.35</v>
      </c>
      <c r="D21" s="58">
        <v>5</v>
      </c>
      <c r="E21" s="58" t="s">
        <v>140</v>
      </c>
      <c r="F21" s="58">
        <v>6</v>
      </c>
      <c r="G21" s="50" t="s">
        <v>56</v>
      </c>
      <c r="H21" s="50">
        <f>VLOOKUP($A21,'[1]ma sp 02'!$A$5:$BD$1101,H$1,0)</f>
        <v>0.18</v>
      </c>
      <c r="I21" s="50">
        <f>VLOOKUP($A21,'[1]ma sp 02'!$A$5:$BD$1101,I$1,0)</f>
        <v>3.05</v>
      </c>
      <c r="J21" s="50">
        <f>VLOOKUP($A21,'[1]ma sp 02'!$A$5:$BD$1101,J$1,0)</f>
        <v>7.0000000000000007E-2</v>
      </c>
      <c r="K21" s="50">
        <f>VLOOKUP($A21,'[1]ma sp 02'!$A$5:$BD$1101,K$1,0)</f>
        <v>1.01</v>
      </c>
      <c r="L21" s="50">
        <f>VLOOKUP($A21,'[1]ma sp 02'!$A$5:$BD$1101,L$1,0)</f>
        <v>2.0099999999999998</v>
      </c>
      <c r="M21" s="50">
        <f>VLOOKUP($A21,'[1]ma sp 02'!$A$5:$BD$1101,M$1,0)</f>
        <v>1.64</v>
      </c>
      <c r="N21" s="50">
        <f>VLOOKUP($A21,'[1]ma sp 02'!$A$5:$BD$1101,N$1,0)</f>
        <v>0</v>
      </c>
      <c r="O21" s="50">
        <f>VLOOKUP($A21,'[1]ma sp 02'!$A$5:$BD$1101,O$1,0)</f>
        <v>0</v>
      </c>
      <c r="P21" s="50">
        <f>VLOOKUP($A21,'[1]ma sp 02'!$A$5:$BD$1101,P$1,0)</f>
        <v>0.1</v>
      </c>
      <c r="Q21" s="50">
        <f>VLOOKUP($A21,'[1]ma sp 02'!$A$5:$BD$1101,Q$1,0)</f>
        <v>0</v>
      </c>
      <c r="R21" s="50">
        <f>VLOOKUP($A21,'[1]ma sp 02'!$A$5:$BD$1101,R$1,0)</f>
        <v>0</v>
      </c>
      <c r="S21" s="50">
        <f>VLOOKUP($A21,'[1]ma sp 02'!$A$5:$BD$1101,S$1,0)</f>
        <v>0</v>
      </c>
      <c r="T21" s="50">
        <f>VLOOKUP($A21,'[1]ma sp 02'!$A$5:$BD$1101,T$1,0)</f>
        <v>0.01</v>
      </c>
      <c r="U21" s="50">
        <f>VLOOKUP($A21,'[1]ma sp 02'!$A$5:$BD$1101,U$1,0)</f>
        <v>0</v>
      </c>
      <c r="V21" s="50">
        <f>VLOOKUP($A21,'[1]ma sp 02'!$A$5:$BD$1101,V$1,0)</f>
        <v>0</v>
      </c>
      <c r="W21" s="50">
        <f>VLOOKUP($A21,'[1]ma sp 02'!$A$5:$BD$1101,W$1,0)</f>
        <v>0</v>
      </c>
      <c r="X21" s="50">
        <f t="shared" si="1"/>
        <v>8</v>
      </c>
      <c r="Y21" s="57"/>
      <c r="Z21" s="57"/>
      <c r="AA21" s="57"/>
      <c r="AB21" s="57"/>
      <c r="AC21" s="57"/>
      <c r="AD21" s="57"/>
      <c r="AE21" s="58" t="s">
        <v>141</v>
      </c>
      <c r="AF21" s="57"/>
      <c r="AG21" s="71">
        <f>(0.03*0.91+0.025*0.91)*0.97</f>
        <v>4.8548500000000001E-2</v>
      </c>
      <c r="AH21" s="63">
        <f>(2/0.75/2)*0.96</f>
        <v>1.2799999999999998</v>
      </c>
      <c r="AI21" s="57"/>
      <c r="AJ21" s="58">
        <v>9530</v>
      </c>
      <c r="AK21" s="58">
        <v>9530</v>
      </c>
      <c r="AL21" s="57">
        <v>2E-3</v>
      </c>
      <c r="AM21" s="58" t="s">
        <v>142</v>
      </c>
      <c r="AN21" s="58">
        <v>190</v>
      </c>
      <c r="AO21" s="58" t="s">
        <v>143</v>
      </c>
      <c r="AP21" s="59" t="str">
        <f>IFERROR(VLOOKUP($A21,[2]Mssp!$A$5:$BE$1463,AP$4+1,0),0)</f>
        <v>1909933-1</v>
      </c>
      <c r="AQ21" s="59" t="str">
        <f>IFERROR(VLOOKUP($A21,[2]Mssp!$A$5:$BE$1463,AQ$4+1,0),0)</f>
        <v>1705971-2</v>
      </c>
      <c r="AR21" s="59" t="str">
        <f>IFERROR(VLOOKUP($A21,[2]Mssp!$A$5:$BE$1463,AR$4+1,0),0)</f>
        <v>1407462-3</v>
      </c>
      <c r="AS21" s="59" t="str">
        <f>IFERROR(VLOOKUP($A21,[2]Mssp!$A$5:$BE$1463,AS$4+1,0),0)</f>
        <v>1407462-4</v>
      </c>
      <c r="AT21" s="59" t="str">
        <f>IFERROR(VLOOKUP($A21,[2]Mssp!$A$5:$BE$1463,AT$4+1,0),0)</f>
        <v>1712059-5</v>
      </c>
      <c r="AU21" s="59" t="str">
        <f>IFERROR(VLOOKUP($A21,[2]Mssp!$A$5:$BE$1463,AU$4+1,0),0)</f>
        <v>1712059-6</v>
      </c>
      <c r="AV21" s="59">
        <f>IFERROR(VLOOKUP($A21,[2]Mssp!$A$5:$BE$1463,AV$4+1,0),0)</f>
        <v>0</v>
      </c>
      <c r="AW21" s="59">
        <f>IFERROR(VLOOKUP($A21,[2]Mssp!$A$5:$BE$1463,AW$4+1,0),0)</f>
        <v>0</v>
      </c>
      <c r="AX21" s="59">
        <f>IFERROR(VLOOKUP($A21,[2]Mssp!$A$5:$BE$1463,AX$4+1,0),0)</f>
        <v>0</v>
      </c>
      <c r="AY21" s="59" t="str">
        <f>IFERROR(VLOOKUP($A21,[2]Mssp!$A$5:$BE$1463,AY$4+2,0),0)</f>
        <v>480x1100</v>
      </c>
      <c r="AZ21" s="59" t="str">
        <f>IFERROR(VLOOKUP($A21,[2]Mssp!$A$5:$BE$1463,AZ$4+2,0),0)</f>
        <v>M1</v>
      </c>
      <c r="BA21" s="62" t="s">
        <v>144</v>
      </c>
      <c r="BB21" s="61" t="s">
        <v>107</v>
      </c>
      <c r="BC21" s="62"/>
      <c r="BD21" s="74" t="e">
        <v>#REF!</v>
      </c>
      <c r="BE21" s="9"/>
      <c r="BF21" s="58">
        <v>6</v>
      </c>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row>
    <row r="22" spans="1:94" ht="45" x14ac:dyDescent="0.25">
      <c r="A22" s="50" t="s">
        <v>145</v>
      </c>
      <c r="B22" s="73" t="s">
        <v>146</v>
      </c>
      <c r="C22" s="50">
        <f t="shared" si="0"/>
        <v>5.589999999999999</v>
      </c>
      <c r="D22" s="58">
        <v>1</v>
      </c>
      <c r="E22" s="58" t="s">
        <v>147</v>
      </c>
      <c r="F22" s="58">
        <v>6</v>
      </c>
      <c r="G22" s="50" t="s">
        <v>56</v>
      </c>
      <c r="H22" s="50">
        <f>VLOOKUP($A22,'[1]ma sp 02'!$A$5:$BD$1101,H$1,0)</f>
        <v>0.39</v>
      </c>
      <c r="I22" s="50">
        <f>VLOOKUP($A22,'[1]ma sp 02'!$A$5:$BD$1101,I$1,0)</f>
        <v>0</v>
      </c>
      <c r="J22" s="50">
        <f>VLOOKUP($A22,'[1]ma sp 02'!$A$5:$BD$1101,J$1,0)</f>
        <v>0.46</v>
      </c>
      <c r="K22" s="50">
        <f>VLOOKUP($A22,'[1]ma sp 02'!$A$5:$BD$1101,K$1,0)</f>
        <v>1.66</v>
      </c>
      <c r="L22" s="50">
        <f>VLOOKUP($A22,'[1]ma sp 02'!$A$5:$BD$1101,L$1,0)</f>
        <v>1.93</v>
      </c>
      <c r="M22" s="50">
        <f>VLOOKUP($A22,'[1]ma sp 02'!$A$5:$BD$1101,M$1,0)</f>
        <v>1.0900000000000001</v>
      </c>
      <c r="N22" s="50">
        <f>VLOOKUP($A22,'[1]ma sp 02'!$A$5:$BD$1101,N$1,0)</f>
        <v>0</v>
      </c>
      <c r="O22" s="50">
        <f>VLOOKUP($A22,'[1]ma sp 02'!$A$5:$BD$1101,O$1,0)</f>
        <v>0</v>
      </c>
      <c r="P22" s="50">
        <f>VLOOKUP($A22,'[1]ma sp 02'!$A$5:$BD$1101,P$1,0)</f>
        <v>0.05</v>
      </c>
      <c r="Q22" s="50">
        <f>VLOOKUP($A22,'[1]ma sp 02'!$A$5:$BD$1101,Q$1,0)</f>
        <v>0</v>
      </c>
      <c r="R22" s="50">
        <f>VLOOKUP($A22,'[1]ma sp 02'!$A$5:$BD$1101,R$1,0)</f>
        <v>0</v>
      </c>
      <c r="S22" s="50">
        <f>VLOOKUP($A22,'[1]ma sp 02'!$A$5:$BD$1101,S$1,0)</f>
        <v>0</v>
      </c>
      <c r="T22" s="50">
        <f>VLOOKUP($A22,'[1]ma sp 02'!$A$5:$BD$1101,T$1,0)</f>
        <v>0.01</v>
      </c>
      <c r="U22" s="50">
        <f>VLOOKUP($A22,'[1]ma sp 02'!$A$5:$BD$1101,U$1,0)</f>
        <v>0</v>
      </c>
      <c r="V22" s="50">
        <f>VLOOKUP($A22,'[1]ma sp 02'!$A$5:$BD$1101,V$1,0)</f>
        <v>0</v>
      </c>
      <c r="W22" s="50">
        <f>VLOOKUP($A22,'[1]ma sp 02'!$A$5:$BD$1101,W$1,0)</f>
        <v>0</v>
      </c>
      <c r="X22" s="50">
        <f t="shared" si="1"/>
        <v>7</v>
      </c>
      <c r="Y22" s="57"/>
      <c r="Z22" s="57"/>
      <c r="AA22" s="57"/>
      <c r="AB22" s="57"/>
      <c r="AC22" s="57"/>
      <c r="AD22" s="57"/>
      <c r="AE22" s="58" t="s">
        <v>148</v>
      </c>
      <c r="AF22" s="57"/>
      <c r="AG22" s="71">
        <f>(0.02*0.91+0.09*0.925)*0.645</f>
        <v>6.5435250000000014E-2</v>
      </c>
      <c r="AH22" s="63">
        <f>(2.3/0.75/2)*0.635</f>
        <v>0.97366666666666657</v>
      </c>
      <c r="AI22" s="57"/>
      <c r="AJ22" s="58">
        <v>9530</v>
      </c>
      <c r="AK22" s="57"/>
      <c r="AL22" s="58">
        <v>2.3E-3</v>
      </c>
      <c r="AM22" s="52" t="s">
        <v>128</v>
      </c>
      <c r="AN22" s="58">
        <v>340</v>
      </c>
      <c r="AO22" s="52" t="s">
        <v>143</v>
      </c>
      <c r="AP22" s="59" t="str">
        <f>IFERROR(VLOOKUP($A22,[2]Mssp!$A$5:$BE$1463,AP$4+1,0),0)</f>
        <v>1912155-1</v>
      </c>
      <c r="AQ22" s="59" t="str">
        <f>IFERROR(VLOOKUP($A22,[2]Mssp!$A$5:$BE$1463,AQ$4+1,0),0)</f>
        <v>21030919-2</v>
      </c>
      <c r="AR22" s="59" t="str">
        <f>IFERROR(VLOOKUP($A22,[2]Mssp!$A$5:$BE$1463,AR$4+1,0),0)</f>
        <v>1407463-3</v>
      </c>
      <c r="AS22" s="59" t="str">
        <f>IFERROR(VLOOKUP($A22,[2]Mssp!$A$5:$BE$1463,AS$4+1,0),0)</f>
        <v>1407463-4</v>
      </c>
      <c r="AT22" s="59" t="str">
        <f>IFERROR(VLOOKUP($A22,[2]Mssp!$A$5:$BE$1463,AT$4+1,0),0)</f>
        <v>1407463-5</v>
      </c>
      <c r="AU22" s="59" t="str">
        <f>IFERROR(VLOOKUP($A22,[2]Mssp!$A$5:$BE$1463,AU$4+1,0),0)</f>
        <v>1407464-6</v>
      </c>
      <c r="AV22" s="59" t="str">
        <f>IFERROR(VLOOKUP($A22,[2]Mssp!$A$5:$BE$1463,AV$4+1,0),0)</f>
        <v>20070428-0</v>
      </c>
      <c r="AW22" s="59">
        <f>IFERROR(VLOOKUP($A22,[2]Mssp!$A$5:$BE$1463,AW$4+1,0),0)</f>
        <v>0</v>
      </c>
      <c r="AX22" s="59">
        <f>IFERROR(VLOOKUP($A22,[2]Mssp!$A$5:$BE$1463,AX$4+1,0),0)</f>
        <v>0</v>
      </c>
      <c r="AY22" s="59" t="str">
        <f>IFERROR(VLOOKUP($A22,[2]Mssp!$A$5:$BE$1463,AY$4+2,0),0)</f>
        <v>650x750</v>
      </c>
      <c r="AZ22" s="59" t="str">
        <f>IFERROR(VLOOKUP($A22,[2]Mssp!$A$5:$BE$1463,AZ$4+2,0),0)</f>
        <v>M1</v>
      </c>
      <c r="BA22" s="60">
        <v>1200</v>
      </c>
      <c r="BB22" s="61" t="s">
        <v>62</v>
      </c>
      <c r="BC22" s="62"/>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row>
    <row r="23" spans="1:94" ht="45" x14ac:dyDescent="0.25">
      <c r="A23" s="50" t="s">
        <v>149</v>
      </c>
      <c r="B23" s="73" t="s">
        <v>150</v>
      </c>
      <c r="C23" s="50"/>
      <c r="D23" s="58">
        <v>1</v>
      </c>
      <c r="E23" s="58" t="s">
        <v>151</v>
      </c>
      <c r="F23" s="58">
        <v>7</v>
      </c>
      <c r="G23" s="50" t="s">
        <v>56</v>
      </c>
      <c r="H23" s="50">
        <f>VLOOKUP($A23,'[1]ma sp 02'!$A$5:$BD$1101,H$1,0)</f>
        <v>0.33</v>
      </c>
      <c r="I23" s="50">
        <f>VLOOKUP($A23,'[1]ma sp 02'!$A$5:$BD$1101,I$1,0)</f>
        <v>0</v>
      </c>
      <c r="J23" s="50">
        <f>VLOOKUP($A23,'[1]ma sp 02'!$A$5:$BD$1101,J$1,0)</f>
        <v>0.01</v>
      </c>
      <c r="K23" s="50">
        <f>VLOOKUP($A23,'[1]ma sp 02'!$A$5:$BD$1101,K$1,0)</f>
        <v>0.46</v>
      </c>
      <c r="L23" s="50">
        <f>VLOOKUP($A23,'[1]ma sp 02'!$A$5:$BD$1101,L$1,0)</f>
        <v>2.39</v>
      </c>
      <c r="M23" s="50">
        <f>VLOOKUP($A23,'[1]ma sp 02'!$A$5:$BD$1101,M$1,0)</f>
        <v>1.19</v>
      </c>
      <c r="N23" s="50">
        <f>VLOOKUP($A23,'[1]ma sp 02'!$A$5:$BD$1101,N$1,0)</f>
        <v>0</v>
      </c>
      <c r="O23" s="50">
        <f>VLOOKUP($A23,'[1]ma sp 02'!$A$5:$BD$1101,O$1,0)</f>
        <v>0</v>
      </c>
      <c r="P23" s="50">
        <f>VLOOKUP($A23,'[1]ma sp 02'!$A$5:$BD$1101,P$1,0)</f>
        <v>0</v>
      </c>
      <c r="Q23" s="50">
        <f>VLOOKUP($A23,'[1]ma sp 02'!$A$5:$BD$1101,Q$1,0)</f>
        <v>0</v>
      </c>
      <c r="R23" s="50">
        <f>VLOOKUP($A23,'[1]ma sp 02'!$A$5:$BD$1101,R$1,0)</f>
        <v>0.13</v>
      </c>
      <c r="S23" s="50">
        <f>VLOOKUP($A23,'[1]ma sp 02'!$A$5:$BD$1101,S$1,0)</f>
        <v>0</v>
      </c>
      <c r="T23" s="50">
        <f>VLOOKUP($A23,'[1]ma sp 02'!$A$5:$BD$1101,T$1,0)</f>
        <v>0.13</v>
      </c>
      <c r="U23" s="50">
        <f>VLOOKUP($A23,'[1]ma sp 02'!$A$5:$BD$1101,U$1,0)</f>
        <v>0</v>
      </c>
      <c r="V23" s="50">
        <f>VLOOKUP($A23,'[1]ma sp 02'!$A$5:$BD$1101,V$1,0)</f>
        <v>0</v>
      </c>
      <c r="W23" s="50">
        <f>VLOOKUP($A23,'[1]ma sp 02'!$A$5:$BD$1101,W$1,0)</f>
        <v>0</v>
      </c>
      <c r="X23" s="50">
        <f>COUNTIF(H23:W23, "&gt;0")</f>
        <v>7</v>
      </c>
      <c r="Y23" s="57"/>
      <c r="Z23" s="57"/>
      <c r="AA23" s="57"/>
      <c r="AB23" s="57"/>
      <c r="AC23" s="57"/>
      <c r="AD23" s="57"/>
      <c r="AE23" s="58" t="s">
        <v>152</v>
      </c>
      <c r="AF23" s="57"/>
      <c r="AG23" s="71">
        <f>(0.02*0.91+0.09*0.925)*0.645</f>
        <v>6.5435250000000014E-2</v>
      </c>
      <c r="AH23" s="63">
        <f>(2.3/0.75/2)*0.635</f>
        <v>0.97366666666666657</v>
      </c>
      <c r="AI23" s="57"/>
      <c r="AJ23" s="58">
        <v>9530</v>
      </c>
      <c r="AK23" s="57"/>
      <c r="AL23" s="58">
        <v>2.3E-3</v>
      </c>
      <c r="AM23" s="52" t="s">
        <v>128</v>
      </c>
      <c r="AN23" s="58">
        <v>340</v>
      </c>
      <c r="AO23" s="52" t="s">
        <v>143</v>
      </c>
      <c r="AP23" s="59">
        <f>IFERROR(VLOOKUP($A23,[2]Mssp!$A$5:$BE$1463,AP$4+1,0),0)</f>
        <v>0</v>
      </c>
      <c r="AQ23" s="59">
        <f>IFERROR(VLOOKUP($A23,[2]Mssp!$A$5:$BE$1463,AQ$4+1,0),0)</f>
        <v>0</v>
      </c>
      <c r="AR23" s="59">
        <f>IFERROR(VLOOKUP($A23,[2]Mssp!$A$5:$BE$1463,AR$4+1,0),0)</f>
        <v>0</v>
      </c>
      <c r="AS23" s="59">
        <f>IFERROR(VLOOKUP($A23,[2]Mssp!$A$5:$BE$1463,AS$4+1,0),0)</f>
        <v>0</v>
      </c>
      <c r="AT23" s="59">
        <f>IFERROR(VLOOKUP($A23,[2]Mssp!$A$5:$BE$1463,AT$4+1,0),0)</f>
        <v>0</v>
      </c>
      <c r="AU23" s="59">
        <f>IFERROR(VLOOKUP($A23,[2]Mssp!$A$5:$BE$1463,AU$4+1,0),0)</f>
        <v>0</v>
      </c>
      <c r="AV23" s="59">
        <f>IFERROR(VLOOKUP($A23,[2]Mssp!$A$5:$BE$1463,AV$4+1,0),0)</f>
        <v>0</v>
      </c>
      <c r="AW23" s="59">
        <f>IFERROR(VLOOKUP($A23,[2]Mssp!$A$5:$BE$1463,AW$4+1,0),0)</f>
        <v>0</v>
      </c>
      <c r="AX23" s="59">
        <f>IFERROR(VLOOKUP($A23,[2]Mssp!$A$5:$BE$1463,AX$4+1,0),0)</f>
        <v>0</v>
      </c>
      <c r="AY23" s="59">
        <f>IFERROR(VLOOKUP($A23,[2]Mssp!$A$5:$BE$1463,AY$4+2,0),0)</f>
        <v>0</v>
      </c>
      <c r="AZ23" s="59">
        <f>IFERROR(VLOOKUP($A23,[2]Mssp!$A$5:$BE$1463,AZ$4+2,0),0)</f>
        <v>0</v>
      </c>
      <c r="BA23" s="60"/>
      <c r="BB23" s="61" t="s">
        <v>62</v>
      </c>
      <c r="BC23" s="62"/>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c r="CP23" s="9"/>
    </row>
    <row r="24" spans="1:94" ht="45" x14ac:dyDescent="0.25">
      <c r="A24" s="50" t="s">
        <v>153</v>
      </c>
      <c r="B24" s="51" t="s">
        <v>154</v>
      </c>
      <c r="C24" s="50">
        <f t="shared" si="0"/>
        <v>3.2600000000000002</v>
      </c>
      <c r="D24" s="58">
        <v>1</v>
      </c>
      <c r="E24" s="58" t="s">
        <v>155</v>
      </c>
      <c r="F24" s="58">
        <v>6</v>
      </c>
      <c r="G24" s="50" t="s">
        <v>56</v>
      </c>
      <c r="H24" s="50">
        <f>VLOOKUP($A24,'[1]ma sp 02'!$A$5:$BD$1101,H$1,0)</f>
        <v>0.2</v>
      </c>
      <c r="I24" s="50">
        <f>VLOOKUP($A24,'[1]ma sp 02'!$A$5:$BD$1101,I$1,0)</f>
        <v>0</v>
      </c>
      <c r="J24" s="50">
        <f>VLOOKUP($A24,'[1]ma sp 02'!$A$5:$BD$1101,J$1,0)</f>
        <v>0.26</v>
      </c>
      <c r="K24" s="50">
        <f>VLOOKUP($A24,'[1]ma sp 02'!$A$5:$BD$1101,K$1,0)</f>
        <v>0.4</v>
      </c>
      <c r="L24" s="50">
        <f>VLOOKUP($A24,'[1]ma sp 02'!$A$5:$BD$1101,L$1,0)</f>
        <v>1.5</v>
      </c>
      <c r="M24" s="50">
        <f>VLOOKUP($A24,'[1]ma sp 02'!$A$5:$BD$1101,M$1,0)</f>
        <v>0.8</v>
      </c>
      <c r="N24" s="50">
        <f>VLOOKUP($A24,'[1]ma sp 02'!$A$5:$BD$1101,N$1,0)</f>
        <v>0</v>
      </c>
      <c r="O24" s="50">
        <f>VLOOKUP($A24,'[1]ma sp 02'!$A$5:$BD$1101,O$1,0)</f>
        <v>0</v>
      </c>
      <c r="P24" s="50">
        <f>VLOOKUP($A24,'[1]ma sp 02'!$A$5:$BD$1101,P$1,0)</f>
        <v>0</v>
      </c>
      <c r="Q24" s="50">
        <f>VLOOKUP($A24,'[1]ma sp 02'!$A$5:$BD$1101,Q$1,0)</f>
        <v>0</v>
      </c>
      <c r="R24" s="50">
        <f>VLOOKUP($A24,'[1]ma sp 02'!$A$5:$BD$1101,R$1,0)</f>
        <v>0</v>
      </c>
      <c r="S24" s="50">
        <f>VLOOKUP($A24,'[1]ma sp 02'!$A$5:$BD$1101,S$1,0)</f>
        <v>0</v>
      </c>
      <c r="T24" s="50">
        <f>VLOOKUP($A24,'[1]ma sp 02'!$A$5:$BD$1101,T$1,0)</f>
        <v>0.1</v>
      </c>
      <c r="U24" s="50">
        <f>VLOOKUP($A24,'[1]ma sp 02'!$A$5:$BD$1101,U$1,0)</f>
        <v>0</v>
      </c>
      <c r="V24" s="50">
        <f>VLOOKUP($A24,'[1]ma sp 02'!$A$5:$BD$1101,V$1,0)</f>
        <v>0</v>
      </c>
      <c r="W24" s="50">
        <f>VLOOKUP($A24,'[1]ma sp 02'!$A$5:$BD$1101,W$1,0)</f>
        <v>0</v>
      </c>
      <c r="X24" s="50">
        <f t="shared" si="1"/>
        <v>6</v>
      </c>
      <c r="Y24" s="57"/>
      <c r="Z24" s="57"/>
      <c r="AA24" s="57"/>
      <c r="AB24" s="57"/>
      <c r="AC24" s="57"/>
      <c r="AD24" s="57"/>
      <c r="AE24" s="58" t="s">
        <v>148</v>
      </c>
      <c r="AF24" s="57"/>
      <c r="AG24" s="71">
        <f>(0.02*0.91+0.09*0.925)*0.645</f>
        <v>6.5435250000000014E-2</v>
      </c>
      <c r="AH24" s="63">
        <f>(2.3/0.75/2)*0.635</f>
        <v>0.97366666666666657</v>
      </c>
      <c r="AI24" s="57"/>
      <c r="AJ24" s="58">
        <v>9530</v>
      </c>
      <c r="AK24" s="57"/>
      <c r="AL24" s="58">
        <v>2.3E-3</v>
      </c>
      <c r="AM24" s="52" t="s">
        <v>128</v>
      </c>
      <c r="AN24" s="58">
        <v>340</v>
      </c>
      <c r="AO24" s="52" t="s">
        <v>143</v>
      </c>
      <c r="AP24" s="59" t="str">
        <f>IFERROR(VLOOKUP($A24,[2]Mssp!$A$5:$BE$1463,AP$4+1,0),0)</f>
        <v>1407464-1</v>
      </c>
      <c r="AQ24" s="59" t="str">
        <f>IFERROR(VLOOKUP($A24,[2]Mssp!$A$5:$BE$1463,AQ$4+1,0),0)</f>
        <v>1407464-2</v>
      </c>
      <c r="AR24" s="59" t="str">
        <f>IFERROR(VLOOKUP($A24,[2]Mssp!$A$5:$BE$1463,AR$4+1,0),0)</f>
        <v>1407464-3</v>
      </c>
      <c r="AS24" s="59" t="str">
        <f>IFERROR(VLOOKUP($A24,[2]Mssp!$A$5:$BE$1463,AS$4+1,0),0)</f>
        <v>1407464-4</v>
      </c>
      <c r="AT24" s="59" t="str">
        <f>IFERROR(VLOOKUP($A24,[2]Mssp!$A$5:$BE$1463,AT$4+1,0),0)</f>
        <v>1407464-5</v>
      </c>
      <c r="AU24" s="59" t="str">
        <f>IFERROR(VLOOKUP($A24,[2]Mssp!$A$5:$BE$1463,AU$4+1,0),0)</f>
        <v>1407464-6</v>
      </c>
      <c r="AV24" s="59">
        <f>IFERROR(VLOOKUP($A24,[2]Mssp!$A$5:$BE$1463,AV$4+1,0),0)</f>
        <v>0</v>
      </c>
      <c r="AW24" s="59">
        <f>IFERROR(VLOOKUP($A24,[2]Mssp!$A$5:$BE$1463,AW$4+1,0),0)</f>
        <v>0</v>
      </c>
      <c r="AX24" s="59">
        <f>IFERROR(VLOOKUP($A24,[2]Mssp!$A$5:$BE$1463,AX$4+1,0),0)</f>
        <v>0</v>
      </c>
      <c r="AY24" s="59" t="str">
        <f>IFERROR(VLOOKUP($A24,[2]Mssp!$A$5:$BE$1463,AY$4+2,0),0)</f>
        <v>650x750</v>
      </c>
      <c r="AZ24" s="59" t="str">
        <f>IFERROR(VLOOKUP($A24,[2]Mssp!$A$5:$BE$1463,AZ$4+2,0),0)</f>
        <v>M1</v>
      </c>
      <c r="BA24" s="60">
        <v>1200</v>
      </c>
      <c r="BB24" s="61" t="s">
        <v>62</v>
      </c>
      <c r="BC24" s="62"/>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row>
    <row r="25" spans="1:94" ht="45" x14ac:dyDescent="0.25">
      <c r="A25" s="50" t="s">
        <v>156</v>
      </c>
      <c r="B25" s="73" t="s">
        <v>157</v>
      </c>
      <c r="C25" s="50">
        <f t="shared" si="0"/>
        <v>5.4799999999999995</v>
      </c>
      <c r="D25" s="58">
        <v>2</v>
      </c>
      <c r="E25" s="58" t="s">
        <v>158</v>
      </c>
      <c r="F25" s="50">
        <v>5</v>
      </c>
      <c r="G25" s="50" t="s">
        <v>56</v>
      </c>
      <c r="H25" s="50">
        <f>VLOOKUP($A25,'[1]ma sp 02'!$A$5:$BD$1101,H$1,0)</f>
        <v>0.09</v>
      </c>
      <c r="I25" s="50">
        <f>VLOOKUP($A25,'[1]ma sp 02'!$A$5:$BD$1101,I$1,0)</f>
        <v>1.97</v>
      </c>
      <c r="J25" s="50">
        <f>VLOOKUP($A25,'[1]ma sp 02'!$A$5:$BD$1101,J$1,0)</f>
        <v>0.46</v>
      </c>
      <c r="K25" s="50">
        <f>VLOOKUP($A25,'[1]ma sp 02'!$A$5:$BD$1101,K$1,0)</f>
        <v>0.01</v>
      </c>
      <c r="L25" s="50">
        <f>VLOOKUP($A25,'[1]ma sp 02'!$A$5:$BD$1101,L$1,0)</f>
        <v>1</v>
      </c>
      <c r="M25" s="50">
        <f>VLOOKUP($A25,'[1]ma sp 02'!$A$5:$BD$1101,M$1,0)</f>
        <v>0.77</v>
      </c>
      <c r="N25" s="50">
        <f>VLOOKUP($A25,'[1]ma sp 02'!$A$5:$BD$1101,N$1,0)</f>
        <v>0</v>
      </c>
      <c r="O25" s="50">
        <f>VLOOKUP($A25,'[1]ma sp 02'!$A$5:$BD$1101,O$1,0)</f>
        <v>0</v>
      </c>
      <c r="P25" s="50">
        <f>VLOOKUP($A25,'[1]ma sp 02'!$A$5:$BD$1101,P$1,0)</f>
        <v>1.18</v>
      </c>
      <c r="Q25" s="50">
        <f>VLOOKUP($A25,'[1]ma sp 02'!$A$5:$BD$1101,Q$1,0)</f>
        <v>0</v>
      </c>
      <c r="R25" s="50">
        <f>VLOOKUP($A25,'[1]ma sp 02'!$A$5:$BD$1101,R$1,0)</f>
        <v>0</v>
      </c>
      <c r="S25" s="50">
        <f>VLOOKUP($A25,'[1]ma sp 02'!$A$5:$BD$1101,S$1,0)</f>
        <v>0</v>
      </c>
      <c r="T25" s="50">
        <f>VLOOKUP($A25,'[1]ma sp 02'!$A$5:$BD$1101,T$1,0)</f>
        <v>0</v>
      </c>
      <c r="U25" s="50">
        <f>VLOOKUP($A25,'[1]ma sp 02'!$A$5:$BD$1101,U$1,0)</f>
        <v>0</v>
      </c>
      <c r="V25" s="50">
        <f>VLOOKUP($A25,'[1]ma sp 02'!$A$5:$BD$1101,V$1,0)</f>
        <v>0</v>
      </c>
      <c r="W25" s="50">
        <f>VLOOKUP($A25,'[1]ma sp 02'!$A$5:$BD$1101,W$1,0)</f>
        <v>0</v>
      </c>
      <c r="X25" s="50">
        <f t="shared" si="1"/>
        <v>7</v>
      </c>
      <c r="Y25" s="57"/>
      <c r="Z25" s="57"/>
      <c r="AA25" s="57"/>
      <c r="AB25" s="57"/>
      <c r="AC25" s="57"/>
      <c r="AD25" s="57"/>
      <c r="AE25" s="58" t="s">
        <v>159</v>
      </c>
      <c r="AF25" s="57"/>
      <c r="AG25" s="71">
        <f>(0.02*0.91+0.065*0.925)*0.8</f>
        <v>6.2660000000000007E-2</v>
      </c>
      <c r="AH25" s="63">
        <f>(2.5/0.75/2)*0.79</f>
        <v>1.3166666666666669</v>
      </c>
      <c r="AI25" s="54"/>
      <c r="AJ25" s="58">
        <v>9530</v>
      </c>
      <c r="AK25" s="57"/>
      <c r="AL25" s="58">
        <v>2.2000000000000001E-3</v>
      </c>
      <c r="AM25" s="52" t="s">
        <v>74</v>
      </c>
      <c r="AN25" s="58">
        <v>295</v>
      </c>
      <c r="AO25" s="52" t="s">
        <v>160</v>
      </c>
      <c r="AP25" s="59" t="str">
        <f>IFERROR(VLOOKUP($A25,[2]Mssp!$A$5:$BE$1463,AP$4+1,0),0)</f>
        <v>1702827-1</v>
      </c>
      <c r="AQ25" s="59" t="str">
        <f>IFERROR(VLOOKUP($A25,[2]Mssp!$A$5:$BE$1463,AQ$4+1,0),0)</f>
        <v>1408353-2</v>
      </c>
      <c r="AR25" s="59" t="str">
        <f>IFERROR(VLOOKUP($A25,[2]Mssp!$A$5:$BE$1463,AR$4+1,0),0)</f>
        <v>1607581-3</v>
      </c>
      <c r="AS25" s="59" t="str">
        <f>IFERROR(VLOOKUP($A25,[2]Mssp!$A$5:$BE$1463,AS$4+1,0),0)</f>
        <v>1408353-4</v>
      </c>
      <c r="AT25" s="59" t="str">
        <f>IFERROR(VLOOKUP($A25,[2]Mssp!$A$5:$BE$1463,AT$4+1,0),0)</f>
        <v>1408353-5</v>
      </c>
      <c r="AU25" s="59">
        <f>IFERROR(VLOOKUP($A25,[2]Mssp!$A$5:$BE$1463,AU$4+1,0),0)</f>
        <v>0</v>
      </c>
      <c r="AV25" s="59">
        <f>IFERROR(VLOOKUP($A25,[2]Mssp!$A$5:$BE$1463,AV$4+1,0),0)</f>
        <v>0</v>
      </c>
      <c r="AW25" s="59">
        <f>IFERROR(VLOOKUP($A25,[2]Mssp!$A$5:$BE$1463,AW$4+1,0),0)</f>
        <v>0</v>
      </c>
      <c r="AX25" s="59">
        <f>IFERROR(VLOOKUP($A25,[2]Mssp!$A$5:$BE$1463,AX$4+1,0),0)</f>
        <v>0</v>
      </c>
      <c r="AY25" s="59" t="str">
        <f>IFERROR(VLOOKUP($A25,[2]Mssp!$A$5:$BE$1463,AY$4+2,0),0)</f>
        <v>590x850</v>
      </c>
      <c r="AZ25" s="59" t="str">
        <f>IFERROR(VLOOKUP($A25,[2]Mssp!$A$5:$BE$1463,AZ$4+2,0),0)</f>
        <v>M1</v>
      </c>
      <c r="BA25" s="60">
        <v>3000</v>
      </c>
      <c r="BB25" s="61" t="s">
        <v>62</v>
      </c>
      <c r="BC25" s="62"/>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row>
    <row r="26" spans="1:94" ht="45" x14ac:dyDescent="0.25">
      <c r="A26" s="50" t="s">
        <v>161</v>
      </c>
      <c r="B26" s="73" t="s">
        <v>162</v>
      </c>
      <c r="C26" s="50">
        <f t="shared" si="0"/>
        <v>3.04</v>
      </c>
      <c r="D26" s="57">
        <v>3</v>
      </c>
      <c r="E26" s="58" t="s">
        <v>163</v>
      </c>
      <c r="F26" s="58">
        <v>5</v>
      </c>
      <c r="G26" s="50" t="s">
        <v>56</v>
      </c>
      <c r="H26" s="50">
        <f>VLOOKUP($A26,'[1]ma sp 02'!$A$5:$BD$1101,H$1,0)</f>
        <v>0.2</v>
      </c>
      <c r="I26" s="50">
        <f>VLOOKUP($A26,'[1]ma sp 02'!$A$5:$BD$1101,I$1,0)</f>
        <v>1</v>
      </c>
      <c r="J26" s="50">
        <f>VLOOKUP($A26,'[1]ma sp 02'!$A$5:$BD$1101,J$1,0)</f>
        <v>0.4</v>
      </c>
      <c r="K26" s="50">
        <f>VLOOKUP($A26,'[1]ma sp 02'!$A$5:$BD$1101,K$1,0)</f>
        <v>0</v>
      </c>
      <c r="L26" s="50">
        <f>VLOOKUP($A26,'[1]ma sp 02'!$A$5:$BD$1101,L$1,0)</f>
        <v>1.04</v>
      </c>
      <c r="M26" s="50">
        <f>VLOOKUP($A26,'[1]ma sp 02'!$A$5:$BD$1101,M$1,0)</f>
        <v>0</v>
      </c>
      <c r="N26" s="50">
        <f>VLOOKUP($A26,'[1]ma sp 02'!$A$5:$BD$1101,N$1,0)</f>
        <v>0</v>
      </c>
      <c r="O26" s="50">
        <f>VLOOKUP($A26,'[1]ma sp 02'!$A$5:$BD$1101,O$1,0)</f>
        <v>0</v>
      </c>
      <c r="P26" s="50">
        <f>VLOOKUP($A26,'[1]ma sp 02'!$A$5:$BD$1101,P$1,0)</f>
        <v>0.1</v>
      </c>
      <c r="Q26" s="50">
        <f>VLOOKUP($A26,'[1]ma sp 02'!$A$5:$BD$1101,Q$1,0)</f>
        <v>0.3</v>
      </c>
      <c r="R26" s="50">
        <f>VLOOKUP($A26,'[1]ma sp 02'!$A$5:$BD$1101,R$1,0)</f>
        <v>0</v>
      </c>
      <c r="S26" s="50">
        <f>VLOOKUP($A26,'[1]ma sp 02'!$A$5:$BD$1101,S$1,0)</f>
        <v>0</v>
      </c>
      <c r="T26" s="50">
        <f>VLOOKUP($A26,'[1]ma sp 02'!$A$5:$BD$1101,T$1,0)</f>
        <v>0</v>
      </c>
      <c r="U26" s="50">
        <f>VLOOKUP($A26,'[1]ma sp 02'!$A$5:$BD$1101,U$1,0)</f>
        <v>0</v>
      </c>
      <c r="V26" s="50">
        <f>VLOOKUP($A26,'[1]ma sp 02'!$A$5:$BD$1101,V$1,0)</f>
        <v>0</v>
      </c>
      <c r="W26" s="50">
        <f>VLOOKUP($A26,'[1]ma sp 02'!$A$5:$BD$1101,W$1,0)</f>
        <v>0</v>
      </c>
      <c r="X26" s="50">
        <f t="shared" si="1"/>
        <v>6</v>
      </c>
      <c r="Y26" s="57"/>
      <c r="Z26" s="57"/>
      <c r="AA26" s="57"/>
      <c r="AB26" s="57"/>
      <c r="AC26" s="57"/>
      <c r="AD26" s="57"/>
      <c r="AE26" s="58" t="s">
        <v>164</v>
      </c>
      <c r="AF26" s="57"/>
      <c r="AG26" s="71">
        <f>(0.02*0.91+0.065*0.925)*0.64</f>
        <v>5.0128000000000006E-2</v>
      </c>
      <c r="AH26" s="63">
        <f>(2/0.75/2)*0.63</f>
        <v>0.84</v>
      </c>
      <c r="AI26" s="54"/>
      <c r="AJ26" s="58">
        <v>9530</v>
      </c>
      <c r="AK26" s="57"/>
      <c r="AL26" s="58">
        <v>2E-3</v>
      </c>
      <c r="AM26" s="52" t="s">
        <v>74</v>
      </c>
      <c r="AN26" s="57">
        <v>212</v>
      </c>
      <c r="AO26" s="52" t="s">
        <v>160</v>
      </c>
      <c r="AP26" s="59" t="str">
        <f>IFERROR(VLOOKUP($A26,[2]Mssp!$A$5:$BE$1463,AP$4+1,0),0)</f>
        <v>1505020-1</v>
      </c>
      <c r="AQ26" s="59" t="str">
        <f>IFERROR(VLOOKUP($A26,[2]Mssp!$A$5:$BE$1463,AQ$4+1,0),0)</f>
        <v>1505020-2</v>
      </c>
      <c r="AR26" s="59" t="str">
        <f>IFERROR(VLOOKUP($A26,[2]Mssp!$A$5:$BE$1463,AR$4+1,0),0)</f>
        <v>1505020-3</v>
      </c>
      <c r="AS26" s="59" t="str">
        <f>IFERROR(VLOOKUP($A26,[2]Mssp!$A$5:$BE$1463,AS$4+1,0),0)</f>
        <v>1505020-4</v>
      </c>
      <c r="AT26" s="59">
        <f>IFERROR(VLOOKUP($A26,[2]Mssp!$A$5:$BE$1463,AT$4+1,0),0)</f>
        <v>0</v>
      </c>
      <c r="AU26" s="59">
        <f>IFERROR(VLOOKUP($A26,[2]Mssp!$A$5:$BE$1463,AU$4+1,0),0)</f>
        <v>0</v>
      </c>
      <c r="AV26" s="59">
        <f>IFERROR(VLOOKUP($A26,[2]Mssp!$A$5:$BE$1463,AV$4+1,0),0)</f>
        <v>0</v>
      </c>
      <c r="AW26" s="59">
        <f>IFERROR(VLOOKUP($A26,[2]Mssp!$A$5:$BE$1463,AW$4+1,0),0)</f>
        <v>0</v>
      </c>
      <c r="AX26" s="59">
        <f>IFERROR(VLOOKUP($A26,[2]Mssp!$A$5:$BE$1463,AX$4+1,0),0)</f>
        <v>0</v>
      </c>
      <c r="AY26" s="59" t="str">
        <f>IFERROR(VLOOKUP($A26,[2]Mssp!$A$5:$BE$1463,AY$4+2,0),0)</f>
        <v>424x750</v>
      </c>
      <c r="AZ26" s="59" t="str">
        <f>IFERROR(VLOOKUP($A26,[2]Mssp!$A$5:$BE$1463,AZ$4+2,0),0)</f>
        <v>M1</v>
      </c>
      <c r="BA26" s="60">
        <v>9000</v>
      </c>
      <c r="BB26" s="61" t="s">
        <v>62</v>
      </c>
      <c r="BC26" s="62"/>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row>
    <row r="27" spans="1:94" ht="45" x14ac:dyDescent="0.25">
      <c r="A27" s="50" t="s">
        <v>165</v>
      </c>
      <c r="B27" s="51" t="s">
        <v>166</v>
      </c>
      <c r="C27" s="50">
        <f t="shared" si="0"/>
        <v>6.15</v>
      </c>
      <c r="D27" s="58">
        <v>6</v>
      </c>
      <c r="E27" s="58" t="s">
        <v>167</v>
      </c>
      <c r="F27" s="58">
        <v>5</v>
      </c>
      <c r="G27" s="50" t="s">
        <v>56</v>
      </c>
      <c r="H27" s="50">
        <f>VLOOKUP($A27,'[1]ma sp 02'!$A$5:$BD$1101,H$1,0)</f>
        <v>0.01</v>
      </c>
      <c r="I27" s="50">
        <f>VLOOKUP($A27,'[1]ma sp 02'!$A$5:$BD$1101,I$1,0)</f>
        <v>3.49</v>
      </c>
      <c r="J27" s="50">
        <f>VLOOKUP($A27,'[1]ma sp 02'!$A$5:$BD$1101,J$1,0)</f>
        <v>0.33</v>
      </c>
      <c r="K27" s="50">
        <f>VLOOKUP($A27,'[1]ma sp 02'!$A$5:$BD$1101,K$1,0)</f>
        <v>0.14000000000000001</v>
      </c>
      <c r="L27" s="50">
        <f>VLOOKUP($A27,'[1]ma sp 02'!$A$5:$BD$1101,L$1,0)</f>
        <v>1.3</v>
      </c>
      <c r="M27" s="50">
        <f>VLOOKUP($A27,'[1]ma sp 02'!$A$5:$BD$1101,M$1,0)</f>
        <v>0.88</v>
      </c>
      <c r="N27" s="50">
        <f>VLOOKUP($A27,'[1]ma sp 02'!$A$5:$BD$1101,N$1,0)</f>
        <v>0</v>
      </c>
      <c r="O27" s="50">
        <f>VLOOKUP($A27,'[1]ma sp 02'!$A$5:$BD$1101,O$1,0)</f>
        <v>0</v>
      </c>
      <c r="P27" s="50">
        <f>VLOOKUP($A27,'[1]ma sp 02'!$A$5:$BD$1101,P$1,0)</f>
        <v>0</v>
      </c>
      <c r="Q27" s="50">
        <f>VLOOKUP($A27,'[1]ma sp 02'!$A$5:$BD$1101,Q$1,0)</f>
        <v>0</v>
      </c>
      <c r="R27" s="50">
        <f>VLOOKUP($A27,'[1]ma sp 02'!$A$5:$BD$1101,R$1,0)</f>
        <v>0</v>
      </c>
      <c r="S27" s="50">
        <f>VLOOKUP($A27,'[1]ma sp 02'!$A$5:$BD$1101,S$1,0)</f>
        <v>0</v>
      </c>
      <c r="T27" s="50">
        <f>VLOOKUP($A27,'[1]ma sp 02'!$A$5:$BD$1101,T$1,0)</f>
        <v>0</v>
      </c>
      <c r="U27" s="50">
        <f>VLOOKUP($A27,'[1]ma sp 02'!$A$5:$BD$1101,U$1,0)</f>
        <v>0</v>
      </c>
      <c r="V27" s="50">
        <f>VLOOKUP($A27,'[1]ma sp 02'!$A$5:$BD$1101,V$1,0)</f>
        <v>0</v>
      </c>
      <c r="W27" s="50">
        <f>VLOOKUP($A27,'[1]ma sp 02'!$A$5:$BD$1101,W$1,0)</f>
        <v>0</v>
      </c>
      <c r="X27" s="50">
        <f t="shared" si="1"/>
        <v>6</v>
      </c>
      <c r="Y27" s="57"/>
      <c r="Z27" s="57"/>
      <c r="AA27" s="57"/>
      <c r="AB27" s="57"/>
      <c r="AC27" s="57"/>
      <c r="AD27" s="57"/>
      <c r="AE27" s="58" t="s">
        <v>168</v>
      </c>
      <c r="AF27" s="57"/>
      <c r="AG27" s="71">
        <f>(0.02*0.91+0.023*0.91)*0.92</f>
        <v>3.59996E-2</v>
      </c>
      <c r="AH27" s="63">
        <f>(2/0.75/2)*0.91</f>
        <v>1.2133333333333334</v>
      </c>
      <c r="AI27" s="57"/>
      <c r="AJ27" s="58">
        <v>9530</v>
      </c>
      <c r="AK27" s="57"/>
      <c r="AL27" s="58">
        <v>2E-3</v>
      </c>
      <c r="AM27" s="52" t="s">
        <v>142</v>
      </c>
      <c r="AN27" s="58">
        <v>150</v>
      </c>
      <c r="AO27" s="52" t="s">
        <v>169</v>
      </c>
      <c r="AP27" s="59">
        <f>IFERROR(VLOOKUP($A27,[2]Mssp!$A$5:$BE$1463,AP$4+1,0),0)</f>
        <v>0</v>
      </c>
      <c r="AQ27" s="59">
        <f>IFERROR(VLOOKUP($A27,[2]Mssp!$A$5:$BE$1463,AQ$4+1,0),0)</f>
        <v>0</v>
      </c>
      <c r="AR27" s="59">
        <f>IFERROR(VLOOKUP($A27,[2]Mssp!$A$5:$BE$1463,AR$4+1,0),0)</f>
        <v>0</v>
      </c>
      <c r="AS27" s="59">
        <f>IFERROR(VLOOKUP($A27,[2]Mssp!$A$5:$BE$1463,AS$4+1,0),0)</f>
        <v>0</v>
      </c>
      <c r="AT27" s="59">
        <f>IFERROR(VLOOKUP($A27,[2]Mssp!$A$5:$BE$1463,AT$4+1,0),0)</f>
        <v>0</v>
      </c>
      <c r="AU27" s="59">
        <f>IFERROR(VLOOKUP($A27,[2]Mssp!$A$5:$BE$1463,AU$4+1,0),0)</f>
        <v>0</v>
      </c>
      <c r="AV27" s="59">
        <f>IFERROR(VLOOKUP($A27,[2]Mssp!$A$5:$BE$1463,AV$4+1,0),0)</f>
        <v>0</v>
      </c>
      <c r="AW27" s="59">
        <f>IFERROR(VLOOKUP($A27,[2]Mssp!$A$5:$BE$1463,AW$4+1,0),0)</f>
        <v>0</v>
      </c>
      <c r="AX27" s="59">
        <f>IFERROR(VLOOKUP($A27,[2]Mssp!$A$5:$BE$1463,AX$4+1,0),0)</f>
        <v>0</v>
      </c>
      <c r="AY27" s="59">
        <f>IFERROR(VLOOKUP($A27,[2]Mssp!$A$5:$BE$1463,AY$4+2,0),0)</f>
        <v>0</v>
      </c>
      <c r="AZ27" s="59">
        <f>IFERROR(VLOOKUP($A27,[2]Mssp!$A$5:$BE$1463,AZ$4+2,0),0)</f>
        <v>0</v>
      </c>
      <c r="BA27" s="60" t="s">
        <v>170</v>
      </c>
      <c r="BB27" s="61" t="s">
        <v>107</v>
      </c>
      <c r="BC27" s="62"/>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row>
    <row r="28" spans="1:94" ht="45" x14ac:dyDescent="0.25">
      <c r="A28" s="50" t="s">
        <v>171</v>
      </c>
      <c r="B28" s="51" t="s">
        <v>172</v>
      </c>
      <c r="C28" s="50">
        <f t="shared" si="0"/>
        <v>6.0400000000000009</v>
      </c>
      <c r="D28" s="50">
        <v>4</v>
      </c>
      <c r="E28" s="50" t="s">
        <v>173</v>
      </c>
      <c r="F28" s="50">
        <v>5</v>
      </c>
      <c r="G28" s="50" t="s">
        <v>56</v>
      </c>
      <c r="H28" s="50">
        <f>VLOOKUP($A28,'[1]ma sp 02'!$A$5:$BD$1101,H$1,0)</f>
        <v>0.14000000000000001</v>
      </c>
      <c r="I28" s="50">
        <f>VLOOKUP($A28,'[1]ma sp 02'!$A$5:$BD$1101,I$1,0)</f>
        <v>2.61</v>
      </c>
      <c r="J28" s="50">
        <f>VLOOKUP($A28,'[1]ma sp 02'!$A$5:$BD$1101,J$1,0)</f>
        <v>0.31</v>
      </c>
      <c r="K28" s="50">
        <f>VLOOKUP($A28,'[1]ma sp 02'!$A$5:$BD$1101,K$1,0)</f>
        <v>0.06</v>
      </c>
      <c r="L28" s="50">
        <f>VLOOKUP($A28,'[1]ma sp 02'!$A$5:$BD$1101,L$1,0)</f>
        <v>1.69</v>
      </c>
      <c r="M28" s="50">
        <f>VLOOKUP($A28,'[1]ma sp 02'!$A$5:$BD$1101,M$1,0)</f>
        <v>1.23</v>
      </c>
      <c r="N28" s="50">
        <f>VLOOKUP($A28,'[1]ma sp 02'!$A$5:$BD$1101,N$1,0)</f>
        <v>0</v>
      </c>
      <c r="O28" s="50">
        <f>VLOOKUP($A28,'[1]ma sp 02'!$A$5:$BD$1101,O$1,0)</f>
        <v>0</v>
      </c>
      <c r="P28" s="50">
        <f>VLOOKUP($A28,'[1]ma sp 02'!$A$5:$BD$1101,P$1,0)</f>
        <v>0</v>
      </c>
      <c r="Q28" s="50">
        <f>VLOOKUP($A28,'[1]ma sp 02'!$A$5:$BD$1101,Q$1,0)</f>
        <v>0</v>
      </c>
      <c r="R28" s="50">
        <f>VLOOKUP($A28,'[1]ma sp 02'!$A$5:$BD$1101,R$1,0)</f>
        <v>0</v>
      </c>
      <c r="S28" s="50">
        <f>VLOOKUP($A28,'[1]ma sp 02'!$A$5:$BD$1101,S$1,0)</f>
        <v>0</v>
      </c>
      <c r="T28" s="50">
        <f>VLOOKUP($A28,'[1]ma sp 02'!$A$5:$BD$1101,T$1,0)</f>
        <v>0</v>
      </c>
      <c r="U28" s="50">
        <f>VLOOKUP($A28,'[1]ma sp 02'!$A$5:$BD$1101,U$1,0)</f>
        <v>0</v>
      </c>
      <c r="V28" s="50">
        <f>VLOOKUP($A28,'[1]ma sp 02'!$A$5:$BD$1101,V$1,0)</f>
        <v>0</v>
      </c>
      <c r="W28" s="50">
        <f>VLOOKUP($A28,'[1]ma sp 02'!$A$5:$BD$1101,W$1,0)</f>
        <v>0</v>
      </c>
      <c r="X28" s="50">
        <f t="shared" si="1"/>
        <v>6</v>
      </c>
      <c r="Y28" s="50"/>
      <c r="Z28" s="50"/>
      <c r="AA28" s="50"/>
      <c r="AB28" s="50"/>
      <c r="AC28" s="50"/>
      <c r="AD28" s="50"/>
      <c r="AE28" s="50" t="s">
        <v>174</v>
      </c>
      <c r="AF28" s="50"/>
      <c r="AG28" s="71">
        <f>(0.02*0.91+0.025*0.91)*0.78</f>
        <v>3.1941000000000004E-2</v>
      </c>
      <c r="AH28" s="75">
        <f>(2/0.75/2)*0.77</f>
        <v>1.0266666666666666</v>
      </c>
      <c r="AI28" s="76"/>
      <c r="AJ28" s="50">
        <v>9530</v>
      </c>
      <c r="AK28" s="50"/>
      <c r="AL28" s="50">
        <v>2E-3</v>
      </c>
      <c r="AM28" s="52" t="s">
        <v>142</v>
      </c>
      <c r="AN28" s="58">
        <v>190</v>
      </c>
      <c r="AO28" s="52" t="s">
        <v>169</v>
      </c>
      <c r="AP28" s="59">
        <f>IFERROR(VLOOKUP($A28,[2]Mssp!$A$5:$BE$1463,AP$4+1,0),0)</f>
        <v>0</v>
      </c>
      <c r="AQ28" s="59">
        <f>IFERROR(VLOOKUP($A28,[2]Mssp!$A$5:$BE$1463,AQ$4+1,0),0)</f>
        <v>0</v>
      </c>
      <c r="AR28" s="59">
        <f>IFERROR(VLOOKUP($A28,[2]Mssp!$A$5:$BE$1463,AR$4+1,0),0)</f>
        <v>0</v>
      </c>
      <c r="AS28" s="59">
        <f>IFERROR(VLOOKUP($A28,[2]Mssp!$A$5:$BE$1463,AS$4+1,0),0)</f>
        <v>0</v>
      </c>
      <c r="AT28" s="59">
        <f>IFERROR(VLOOKUP($A28,[2]Mssp!$A$5:$BE$1463,AT$4+1,0),0)</f>
        <v>0</v>
      </c>
      <c r="AU28" s="59">
        <f>IFERROR(VLOOKUP($A28,[2]Mssp!$A$5:$BE$1463,AU$4+1,0),0)</f>
        <v>0</v>
      </c>
      <c r="AV28" s="59">
        <f>IFERROR(VLOOKUP($A28,[2]Mssp!$A$5:$BE$1463,AV$4+1,0),0)</f>
        <v>0</v>
      </c>
      <c r="AW28" s="59">
        <f>IFERROR(VLOOKUP($A28,[2]Mssp!$A$5:$BE$1463,AW$4+1,0),0)</f>
        <v>0</v>
      </c>
      <c r="AX28" s="59">
        <f>IFERROR(VLOOKUP($A28,[2]Mssp!$A$5:$BE$1463,AX$4+1,0),0)</f>
        <v>0</v>
      </c>
      <c r="AY28" s="59">
        <f>IFERROR(VLOOKUP($A28,[2]Mssp!$A$5:$BE$1463,AY$4+2,0),0)</f>
        <v>0</v>
      </c>
      <c r="AZ28" s="59">
        <f>IFERROR(VLOOKUP($A28,[2]Mssp!$A$5:$BE$1463,AZ$4+2,0),0)</f>
        <v>0</v>
      </c>
      <c r="BA28" s="60" t="s">
        <v>175</v>
      </c>
      <c r="BB28" s="61" t="s">
        <v>107</v>
      </c>
      <c r="BC28" s="62"/>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row>
    <row r="29" spans="1:94" ht="45" x14ac:dyDescent="0.25">
      <c r="A29" s="50" t="s">
        <v>176</v>
      </c>
      <c r="B29" s="51" t="s">
        <v>177</v>
      </c>
      <c r="C29" s="50">
        <f t="shared" si="0"/>
        <v>8.6300000000000008</v>
      </c>
      <c r="D29" s="58">
        <v>2</v>
      </c>
      <c r="E29" s="58" t="s">
        <v>178</v>
      </c>
      <c r="F29" s="58">
        <v>7</v>
      </c>
      <c r="G29" s="50" t="s">
        <v>56</v>
      </c>
      <c r="H29" s="50">
        <f>VLOOKUP($A29,'[1]ma sp 02'!$A$5:$BD$1101,H$1,0)</f>
        <v>0.18</v>
      </c>
      <c r="I29" s="50">
        <f>VLOOKUP($A29,'[1]ma sp 02'!$A$5:$BD$1101,I$1,0)</f>
        <v>2.13</v>
      </c>
      <c r="J29" s="50">
        <f>VLOOKUP($A29,'[1]ma sp 02'!$A$5:$BD$1101,J$1,0)</f>
        <v>0.36</v>
      </c>
      <c r="K29" s="50">
        <f>VLOOKUP($A29,'[1]ma sp 02'!$A$5:$BD$1101,K$1,0)</f>
        <v>1.24</v>
      </c>
      <c r="L29" s="50">
        <f>VLOOKUP($A29,'[1]ma sp 02'!$A$5:$BD$1101,L$1,0)</f>
        <v>1.87</v>
      </c>
      <c r="M29" s="50">
        <f>VLOOKUP($A29,'[1]ma sp 02'!$A$5:$BD$1101,M$1,0)</f>
        <v>1.42</v>
      </c>
      <c r="N29" s="50">
        <f>VLOOKUP($A29,'[1]ma sp 02'!$A$5:$BD$1101,N$1,0)</f>
        <v>0</v>
      </c>
      <c r="O29" s="50">
        <f>VLOOKUP($A29,'[1]ma sp 02'!$A$5:$BD$1101,O$1,0)</f>
        <v>0</v>
      </c>
      <c r="P29" s="50">
        <f>VLOOKUP($A29,'[1]ma sp 02'!$A$5:$BD$1101,P$1,0)</f>
        <v>0.62</v>
      </c>
      <c r="Q29" s="50">
        <f>VLOOKUP($A29,'[1]ma sp 02'!$A$5:$BD$1101,Q$1,0)</f>
        <v>0.8</v>
      </c>
      <c r="R29" s="50">
        <f>VLOOKUP($A29,'[1]ma sp 02'!$A$5:$BD$1101,R$1,0)</f>
        <v>0</v>
      </c>
      <c r="S29" s="50">
        <f>VLOOKUP($A29,'[1]ma sp 02'!$A$5:$BD$1101,S$1,0)</f>
        <v>0</v>
      </c>
      <c r="T29" s="50">
        <f>VLOOKUP($A29,'[1]ma sp 02'!$A$5:$BD$1101,T$1,0)</f>
        <v>0.01</v>
      </c>
      <c r="U29" s="50">
        <f>VLOOKUP($A29,'[1]ma sp 02'!$A$5:$BD$1101,U$1,0)</f>
        <v>0</v>
      </c>
      <c r="V29" s="50">
        <f>VLOOKUP($A29,'[1]ma sp 02'!$A$5:$BD$1101,V$1,0)</f>
        <v>0</v>
      </c>
      <c r="W29" s="50">
        <f>VLOOKUP($A29,'[1]ma sp 02'!$A$5:$BD$1101,W$1,0)</f>
        <v>0</v>
      </c>
      <c r="X29" s="50">
        <f t="shared" si="1"/>
        <v>9</v>
      </c>
      <c r="Y29" s="57"/>
      <c r="Z29" s="57"/>
      <c r="AA29" s="57"/>
      <c r="AB29" s="57"/>
      <c r="AC29" s="57"/>
      <c r="AD29" s="57"/>
      <c r="AE29" s="58" t="s">
        <v>179</v>
      </c>
      <c r="AF29" s="57"/>
      <c r="AG29" s="71">
        <f>(0.02*0.91+0.07*0.925)*0.73</f>
        <v>6.0553500000000017E-2</v>
      </c>
      <c r="AH29" s="63">
        <f>(2.2/0.75/2)*0.72</f>
        <v>1.056</v>
      </c>
      <c r="AI29" s="57"/>
      <c r="AJ29" s="58">
        <v>9530</v>
      </c>
      <c r="AK29" s="57"/>
      <c r="AL29" s="58">
        <v>2E-3</v>
      </c>
      <c r="AM29" s="52" t="s">
        <v>104</v>
      </c>
      <c r="AN29" s="57">
        <v>355</v>
      </c>
      <c r="AO29" s="52" t="s">
        <v>180</v>
      </c>
      <c r="AP29" s="59" t="str">
        <f>IFERROR(VLOOKUP($A29,[2]Mssp!$A$5:$BE$1463,AP$4+1,0),0)</f>
        <v>18121024-1</v>
      </c>
      <c r="AQ29" s="59" t="str">
        <f>IFERROR(VLOOKUP($A29,[2]Mssp!$A$5:$BE$1463,AQ$4+1,0),0)</f>
        <v>1310563-2</v>
      </c>
      <c r="AR29" s="59" t="str">
        <f>IFERROR(VLOOKUP($A29,[2]Mssp!$A$5:$BE$1463,AR$4+1,0),0)</f>
        <v>1310563-3</v>
      </c>
      <c r="AS29" s="59" t="str">
        <f>IFERROR(VLOOKUP($A29,[2]Mssp!$A$5:$BE$1463,AS$4+1,0),0)</f>
        <v>1310563-4</v>
      </c>
      <c r="AT29" s="59" t="str">
        <f>IFERROR(VLOOKUP($A29,[2]Mssp!$A$5:$BE$1463,AT$4+1,0),0)</f>
        <v>1310563-5</v>
      </c>
      <c r="AU29" s="59" t="str">
        <f>IFERROR(VLOOKUP($A29,[2]Mssp!$A$5:$BE$1463,AU$4+1,0),0)</f>
        <v>1310563-6</v>
      </c>
      <c r="AV29" s="59" t="str">
        <f>IFERROR(VLOOKUP($A29,[2]Mssp!$A$5:$BE$1463,AV$4+1,0),0)</f>
        <v>1310562-7</v>
      </c>
      <c r="AW29" s="59">
        <f>IFERROR(VLOOKUP($A29,[2]Mssp!$A$5:$BE$1463,AW$4+1,0),0)</f>
        <v>0</v>
      </c>
      <c r="AX29" s="59">
        <f>IFERROR(VLOOKUP($A29,[2]Mssp!$A$5:$BE$1463,AX$4+1,0),0)</f>
        <v>0</v>
      </c>
      <c r="AY29" s="59" t="str">
        <f>IFERROR(VLOOKUP($A29,[2]Mssp!$A$5:$BE$1463,AY$4+2,0),0)</f>
        <v>532x850</v>
      </c>
      <c r="AZ29" s="59" t="str">
        <f>IFERROR(VLOOKUP($A29,[2]Mssp!$A$5:$BE$1463,AZ$4+2,0),0)</f>
        <v>V1</v>
      </c>
      <c r="BA29" s="60" t="s">
        <v>106</v>
      </c>
      <c r="BB29" s="61" t="s">
        <v>107</v>
      </c>
      <c r="BC29" s="62"/>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row>
    <row r="30" spans="1:94" ht="45" x14ac:dyDescent="0.25">
      <c r="A30" s="50" t="s">
        <v>181</v>
      </c>
      <c r="B30" s="73" t="s">
        <v>182</v>
      </c>
      <c r="C30" s="50">
        <f t="shared" si="0"/>
        <v>6.39</v>
      </c>
      <c r="D30" s="58">
        <v>7</v>
      </c>
      <c r="E30" s="58" t="s">
        <v>183</v>
      </c>
      <c r="F30" s="58">
        <v>7</v>
      </c>
      <c r="G30" s="50" t="s">
        <v>184</v>
      </c>
      <c r="H30" s="50">
        <f>VLOOKUP($A30,'[1]ma sp 02'!$A$5:$BD$1101,H$1,0)</f>
        <v>0.02</v>
      </c>
      <c r="I30" s="50">
        <f>VLOOKUP($A30,'[1]ma sp 02'!$A$5:$BD$1101,I$1,0)</f>
        <v>3.06</v>
      </c>
      <c r="J30" s="50">
        <f>VLOOKUP($A30,'[1]ma sp 02'!$A$5:$BD$1101,J$1,0)</f>
        <v>0.01</v>
      </c>
      <c r="K30" s="50">
        <f>VLOOKUP($A30,'[1]ma sp 02'!$A$5:$BD$1101,K$1,0)</f>
        <v>0.47</v>
      </c>
      <c r="L30" s="50">
        <f>VLOOKUP($A30,'[1]ma sp 02'!$A$5:$BD$1101,L$1,0)</f>
        <v>1.95</v>
      </c>
      <c r="M30" s="50">
        <f>VLOOKUP($A30,'[1]ma sp 02'!$A$5:$BD$1101,M$1,0)</f>
        <v>0.34</v>
      </c>
      <c r="N30" s="50">
        <f>VLOOKUP($A30,'[1]ma sp 02'!$A$5:$BD$1101,N$1,0)</f>
        <v>0</v>
      </c>
      <c r="O30" s="50">
        <f>VLOOKUP($A30,'[1]ma sp 02'!$A$5:$BD$1101,O$1,0)</f>
        <v>0</v>
      </c>
      <c r="P30" s="50">
        <f>VLOOKUP($A30,'[1]ma sp 02'!$A$5:$BD$1101,P$1,0)</f>
        <v>7.0000000000000007E-2</v>
      </c>
      <c r="Q30" s="50">
        <f>VLOOKUP($A30,'[1]ma sp 02'!$A$5:$BD$1101,Q$1,0)</f>
        <v>0.47</v>
      </c>
      <c r="R30" s="50">
        <f>VLOOKUP($A30,'[1]ma sp 02'!$A$5:$BD$1101,R$1,0)</f>
        <v>0</v>
      </c>
      <c r="S30" s="50">
        <f>VLOOKUP($A30,'[1]ma sp 02'!$A$5:$BD$1101,S$1,0)</f>
        <v>0</v>
      </c>
      <c r="T30" s="50">
        <f>VLOOKUP($A30,'[1]ma sp 02'!$A$5:$BD$1101,T$1,0)</f>
        <v>0</v>
      </c>
      <c r="U30" s="50">
        <f>VLOOKUP($A30,'[1]ma sp 02'!$A$5:$BD$1101,U$1,0)</f>
        <v>0</v>
      </c>
      <c r="V30" s="50">
        <f>VLOOKUP($A30,'[1]ma sp 02'!$A$5:$BD$1101,V$1,0)</f>
        <v>0</v>
      </c>
      <c r="W30" s="50">
        <f>VLOOKUP($A30,'[1]ma sp 02'!$A$5:$BD$1101,W$1,0)</f>
        <v>0</v>
      </c>
      <c r="X30" s="50">
        <f t="shared" si="1"/>
        <v>8</v>
      </c>
      <c r="Y30" s="57"/>
      <c r="Z30" s="57"/>
      <c r="AA30" s="57"/>
      <c r="AB30" s="57"/>
      <c r="AC30" s="57"/>
      <c r="AD30" s="57"/>
      <c r="AE30" s="58" t="s">
        <v>185</v>
      </c>
      <c r="AF30" s="57"/>
      <c r="AG30" s="71">
        <f>(0.02*0.91+0.025*0.91)*1</f>
        <v>4.095E-2</v>
      </c>
      <c r="AH30" s="63">
        <f>(2.2/0.75/2)*0.99</f>
        <v>1.4520000000000002</v>
      </c>
      <c r="AI30" s="57"/>
      <c r="AJ30" s="58">
        <v>9530</v>
      </c>
      <c r="AK30" s="57"/>
      <c r="AL30" s="58">
        <v>2.2000000000000001E-3</v>
      </c>
      <c r="AM30" s="52" t="s">
        <v>142</v>
      </c>
      <c r="AN30" s="57">
        <v>140</v>
      </c>
      <c r="AO30" s="52" t="s">
        <v>61</v>
      </c>
      <c r="AP30" s="59">
        <f>IFERROR(VLOOKUP($A30,[2]Mssp!$A$5:$BE$1463,AP$4+1,0),0)</f>
        <v>0</v>
      </c>
      <c r="AQ30" s="59">
        <f>IFERROR(VLOOKUP($A30,[2]Mssp!$A$5:$BE$1463,AQ$4+1,0),0)</f>
        <v>0</v>
      </c>
      <c r="AR30" s="59">
        <f>IFERROR(VLOOKUP($A30,[2]Mssp!$A$5:$BE$1463,AR$4+1,0),0)</f>
        <v>0</v>
      </c>
      <c r="AS30" s="59">
        <f>IFERROR(VLOOKUP($A30,[2]Mssp!$A$5:$BE$1463,AS$4+1,0),0)</f>
        <v>0</v>
      </c>
      <c r="AT30" s="59">
        <f>IFERROR(VLOOKUP($A30,[2]Mssp!$A$5:$BE$1463,AT$4+1,0),0)</f>
        <v>0</v>
      </c>
      <c r="AU30" s="59">
        <f>IFERROR(VLOOKUP($A30,[2]Mssp!$A$5:$BE$1463,AU$4+1,0),0)</f>
        <v>0</v>
      </c>
      <c r="AV30" s="59">
        <f>IFERROR(VLOOKUP($A30,[2]Mssp!$A$5:$BE$1463,AV$4+1,0),0)</f>
        <v>0</v>
      </c>
      <c r="AW30" s="59">
        <f>IFERROR(VLOOKUP($A30,[2]Mssp!$A$5:$BE$1463,AW$4+1,0),0)</f>
        <v>0</v>
      </c>
      <c r="AX30" s="59">
        <f>IFERROR(VLOOKUP($A30,[2]Mssp!$A$5:$BE$1463,AX$4+1,0),0)</f>
        <v>0</v>
      </c>
      <c r="AY30" s="59">
        <f>IFERROR(VLOOKUP($A30,[2]Mssp!$A$5:$BE$1463,AY$4+2,0),0)</f>
        <v>0</v>
      </c>
      <c r="AZ30" s="59">
        <f>IFERROR(VLOOKUP($A30,[2]Mssp!$A$5:$BE$1463,AZ$4+2,0),0)</f>
        <v>0</v>
      </c>
      <c r="BA30" s="60" t="s">
        <v>144</v>
      </c>
      <c r="BB30" s="61" t="s">
        <v>186</v>
      </c>
      <c r="BC30" s="62"/>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row>
    <row r="31" spans="1:94" ht="45" x14ac:dyDescent="0.25">
      <c r="A31" s="50" t="s">
        <v>187</v>
      </c>
      <c r="B31" s="73" t="s">
        <v>188</v>
      </c>
      <c r="C31" s="50">
        <f t="shared" si="0"/>
        <v>6.6000000000000005</v>
      </c>
      <c r="D31" s="58">
        <v>1</v>
      </c>
      <c r="E31" s="58" t="s">
        <v>189</v>
      </c>
      <c r="F31" s="58">
        <v>7</v>
      </c>
      <c r="G31" s="50" t="s">
        <v>184</v>
      </c>
      <c r="H31" s="50">
        <f>VLOOKUP($A31,'[1]ma sp 02'!$A$5:$BD$1101,H$1,0)</f>
        <v>0.1</v>
      </c>
      <c r="I31" s="50">
        <f>VLOOKUP($A31,'[1]ma sp 02'!$A$5:$BD$1101,I$1,0)</f>
        <v>3</v>
      </c>
      <c r="J31" s="50">
        <f>VLOOKUP($A31,'[1]ma sp 02'!$A$5:$BD$1101,J$1,0)</f>
        <v>0.1</v>
      </c>
      <c r="K31" s="50">
        <f>VLOOKUP($A31,'[1]ma sp 02'!$A$5:$BD$1101,K$1,0)</f>
        <v>0.4</v>
      </c>
      <c r="L31" s="50">
        <f>VLOOKUP($A31,'[1]ma sp 02'!$A$5:$BD$1101,L$1,0)</f>
        <v>1.7</v>
      </c>
      <c r="M31" s="50">
        <f>VLOOKUP($A31,'[1]ma sp 02'!$A$5:$BD$1101,M$1,0)</f>
        <v>0.7</v>
      </c>
      <c r="N31" s="50">
        <f>VLOOKUP($A31,'[1]ma sp 02'!$A$5:$BD$1101,N$1,0)</f>
        <v>0</v>
      </c>
      <c r="O31" s="50">
        <f>VLOOKUP($A31,'[1]ma sp 02'!$A$5:$BD$1101,O$1,0)</f>
        <v>0</v>
      </c>
      <c r="P31" s="50">
        <f>VLOOKUP($A31,'[1]ma sp 02'!$A$5:$BD$1101,P$1,0)</f>
        <v>0.4</v>
      </c>
      <c r="Q31" s="50">
        <f>VLOOKUP($A31,'[1]ma sp 02'!$A$5:$BD$1101,Q$1,0)</f>
        <v>0.2</v>
      </c>
      <c r="R31" s="50">
        <f>VLOOKUP($A31,'[1]ma sp 02'!$A$5:$BD$1101,R$1,0)</f>
        <v>0</v>
      </c>
      <c r="S31" s="50">
        <f>VLOOKUP($A31,'[1]ma sp 02'!$A$5:$BD$1101,S$1,0)</f>
        <v>0</v>
      </c>
      <c r="T31" s="50">
        <f>VLOOKUP($A31,'[1]ma sp 02'!$A$5:$BD$1101,T$1,0)</f>
        <v>0</v>
      </c>
      <c r="U31" s="50">
        <f>VLOOKUP($A31,'[1]ma sp 02'!$A$5:$BD$1101,U$1,0)</f>
        <v>0</v>
      </c>
      <c r="V31" s="50">
        <f>VLOOKUP($A31,'[1]ma sp 02'!$A$5:$BD$1101,V$1,0)</f>
        <v>0</v>
      </c>
      <c r="W31" s="50">
        <f>VLOOKUP($A31,'[1]ma sp 02'!$A$5:$BD$1101,W$1,0)</f>
        <v>0</v>
      </c>
      <c r="X31" s="50">
        <f t="shared" si="1"/>
        <v>8</v>
      </c>
      <c r="Y31" s="57"/>
      <c r="Z31" s="57"/>
      <c r="AA31" s="57"/>
      <c r="AB31" s="57"/>
      <c r="AC31" s="57"/>
      <c r="AD31" s="57"/>
      <c r="AE31" s="52" t="s">
        <v>66</v>
      </c>
      <c r="AF31" s="52" t="s">
        <v>67</v>
      </c>
      <c r="AG31" s="53">
        <f>(0.02*0.91+0.012*1.4+0.03*0.925)*0.68</f>
        <v>4.2670000000000007E-2</v>
      </c>
      <c r="AH31" s="70">
        <f>(2.3/0.75/2)*0.67</f>
        <v>1.0273333333333332</v>
      </c>
      <c r="AI31" s="55">
        <f>(0.0023*0.69*3)/(10*0.3)*1000</f>
        <v>1.587</v>
      </c>
      <c r="AJ31" s="58">
        <v>9530</v>
      </c>
      <c r="AK31" s="57">
        <v>9690</v>
      </c>
      <c r="AL31" s="52" t="s">
        <v>59</v>
      </c>
      <c r="AM31" s="52" t="s">
        <v>74</v>
      </c>
      <c r="AN31" s="57">
        <v>295</v>
      </c>
      <c r="AO31" s="52" t="s">
        <v>61</v>
      </c>
      <c r="AP31" s="59">
        <f>IFERROR(VLOOKUP($A31,[2]Mssp!$A$5:$BE$1463,AP$4+1,0),0)</f>
        <v>0</v>
      </c>
      <c r="AQ31" s="59">
        <f>IFERROR(VLOOKUP($A31,[2]Mssp!$A$5:$BE$1463,AQ$4+1,0),0)</f>
        <v>0</v>
      </c>
      <c r="AR31" s="59">
        <f>IFERROR(VLOOKUP($A31,[2]Mssp!$A$5:$BE$1463,AR$4+1,0),0)</f>
        <v>0</v>
      </c>
      <c r="AS31" s="59">
        <f>IFERROR(VLOOKUP($A31,[2]Mssp!$A$5:$BE$1463,AS$4+1,0),0)</f>
        <v>0</v>
      </c>
      <c r="AT31" s="59">
        <f>IFERROR(VLOOKUP($A31,[2]Mssp!$A$5:$BE$1463,AT$4+1,0),0)</f>
        <v>0</v>
      </c>
      <c r="AU31" s="59">
        <f>IFERROR(VLOOKUP($A31,[2]Mssp!$A$5:$BE$1463,AU$4+1,0),0)</f>
        <v>0</v>
      </c>
      <c r="AV31" s="59">
        <f>IFERROR(VLOOKUP($A31,[2]Mssp!$A$5:$BE$1463,AV$4+1,0),0)</f>
        <v>0</v>
      </c>
      <c r="AW31" s="59">
        <f>IFERROR(VLOOKUP($A31,[2]Mssp!$A$5:$BE$1463,AW$4+1,0),0)</f>
        <v>0</v>
      </c>
      <c r="AX31" s="59">
        <f>IFERROR(VLOOKUP($A31,[2]Mssp!$A$5:$BE$1463,AX$4+1,0),0)</f>
        <v>0</v>
      </c>
      <c r="AY31" s="59">
        <f>IFERROR(VLOOKUP($A31,[2]Mssp!$A$5:$BE$1463,AY$4+2,0),0)</f>
        <v>0</v>
      </c>
      <c r="AZ31" s="59">
        <f>IFERROR(VLOOKUP($A31,[2]Mssp!$A$5:$BE$1463,AZ$4+2,0),0)</f>
        <v>0</v>
      </c>
      <c r="BA31" s="60">
        <v>2500</v>
      </c>
      <c r="BB31" s="61" t="s">
        <v>62</v>
      </c>
      <c r="BC31" s="62"/>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row>
    <row r="32" spans="1:94" ht="45" x14ac:dyDescent="0.25">
      <c r="A32" s="50" t="s">
        <v>190</v>
      </c>
      <c r="B32" s="51" t="s">
        <v>191</v>
      </c>
      <c r="C32" s="50">
        <f t="shared" si="0"/>
        <v>0</v>
      </c>
      <c r="D32" s="58">
        <v>4</v>
      </c>
      <c r="E32" s="58" t="s">
        <v>192</v>
      </c>
      <c r="F32" s="58">
        <v>6</v>
      </c>
      <c r="G32" s="50" t="s">
        <v>184</v>
      </c>
      <c r="H32" s="50">
        <f>VLOOKUP($A32,'[1]ma sp 02'!$A$5:$BD$1101,H$1,0)</f>
        <v>0</v>
      </c>
      <c r="I32" s="50">
        <f>VLOOKUP($A32,'[1]ma sp 02'!$A$5:$BD$1101,I$1,0)</f>
        <v>0</v>
      </c>
      <c r="J32" s="50">
        <f>VLOOKUP($A32,'[1]ma sp 02'!$A$5:$BD$1101,J$1,0)</f>
        <v>0</v>
      </c>
      <c r="K32" s="50">
        <f>VLOOKUP($A32,'[1]ma sp 02'!$A$5:$BD$1101,K$1,0)</f>
        <v>0</v>
      </c>
      <c r="L32" s="50">
        <f>VLOOKUP($A32,'[1]ma sp 02'!$A$5:$BD$1101,L$1,0)</f>
        <v>0</v>
      </c>
      <c r="M32" s="50">
        <f>VLOOKUP($A32,'[1]ma sp 02'!$A$5:$BD$1101,M$1,0)</f>
        <v>0</v>
      </c>
      <c r="N32" s="50">
        <f>VLOOKUP($A32,'[1]ma sp 02'!$A$5:$BD$1101,N$1,0)</f>
        <v>0</v>
      </c>
      <c r="O32" s="50">
        <f>VLOOKUP($A32,'[1]ma sp 02'!$A$5:$BD$1101,O$1,0)</f>
        <v>0</v>
      </c>
      <c r="P32" s="50">
        <f>VLOOKUP($A32,'[1]ma sp 02'!$A$5:$BD$1101,P$1,0)</f>
        <v>0</v>
      </c>
      <c r="Q32" s="50">
        <f>VLOOKUP($A32,'[1]ma sp 02'!$A$5:$BD$1101,Q$1,0)</f>
        <v>0</v>
      </c>
      <c r="R32" s="50">
        <f>VLOOKUP($A32,'[1]ma sp 02'!$A$5:$BD$1101,R$1,0)</f>
        <v>0</v>
      </c>
      <c r="S32" s="50">
        <f>VLOOKUP($A32,'[1]ma sp 02'!$A$5:$BD$1101,S$1,0)</f>
        <v>0</v>
      </c>
      <c r="T32" s="50">
        <f>VLOOKUP($A32,'[1]ma sp 02'!$A$5:$BD$1101,T$1,0)</f>
        <v>0</v>
      </c>
      <c r="U32" s="50">
        <f>VLOOKUP($A32,'[1]ma sp 02'!$A$5:$BD$1101,U$1,0)</f>
        <v>0</v>
      </c>
      <c r="V32" s="50">
        <f>VLOOKUP($A32,'[1]ma sp 02'!$A$5:$BD$1101,V$1,0)</f>
        <v>0</v>
      </c>
      <c r="W32" s="50">
        <f>VLOOKUP($A32,'[1]ma sp 02'!$A$5:$BD$1101,W$1,0)</f>
        <v>0</v>
      </c>
      <c r="X32" s="50">
        <f t="shared" si="1"/>
        <v>0</v>
      </c>
      <c r="Y32" s="57"/>
      <c r="Z32" s="57"/>
      <c r="AA32" s="57"/>
      <c r="AB32" s="57"/>
      <c r="AC32" s="57"/>
      <c r="AD32" s="57"/>
      <c r="AE32" s="58" t="s">
        <v>193</v>
      </c>
      <c r="AF32" s="57"/>
      <c r="AG32" s="71">
        <f>(0.02*0.91+0.035*0.91)*0.64</f>
        <v>3.2032000000000005E-2</v>
      </c>
      <c r="AH32" s="63">
        <f>(2/0.75/2)*0.63</f>
        <v>0.84</v>
      </c>
      <c r="AI32" s="63"/>
      <c r="AJ32" s="58">
        <v>9530</v>
      </c>
      <c r="AK32" s="57"/>
      <c r="AL32" s="58">
        <v>2E-3</v>
      </c>
      <c r="AM32" s="52" t="s">
        <v>194</v>
      </c>
      <c r="AN32" s="58">
        <v>155</v>
      </c>
      <c r="AO32" s="52" t="s">
        <v>195</v>
      </c>
      <c r="AP32" s="59" t="str">
        <f>IFERROR(VLOOKUP($A32,[2]Mssp!$A$5:$BE$1463,AP$4+1,0),0)</f>
        <v>1410590-1</v>
      </c>
      <c r="AQ32" s="59" t="str">
        <f>IFERROR(VLOOKUP($A32,[2]Mssp!$A$5:$BE$1463,AQ$4+1,0),0)</f>
        <v>1410590-2</v>
      </c>
      <c r="AR32" s="59" t="str">
        <f>IFERROR(VLOOKUP($A32,[2]Mssp!$A$5:$BE$1463,AR$4+1,0),0)</f>
        <v>1410590-3</v>
      </c>
      <c r="AS32" s="59" t="str">
        <f>IFERROR(VLOOKUP($A32,[2]Mssp!$A$5:$BE$1463,AS$4+1,0),0)</f>
        <v>1410590-4</v>
      </c>
      <c r="AT32" s="59" t="str">
        <f>IFERROR(VLOOKUP($A32,[2]Mssp!$A$5:$BE$1463,AT$4+1,0),0)</f>
        <v>1410590-5</v>
      </c>
      <c r="AU32" s="59" t="str">
        <f>IFERROR(VLOOKUP($A32,[2]Mssp!$A$5:$BE$1463,AU$4+1,0),0)</f>
        <v>1908217-6</v>
      </c>
      <c r="AV32" s="59">
        <f>IFERROR(VLOOKUP($A32,[2]Mssp!$A$5:$BE$1463,AV$4+1,0),0)</f>
        <v>0</v>
      </c>
      <c r="AW32" s="59">
        <f>IFERROR(VLOOKUP($A32,[2]Mssp!$A$5:$BE$1463,AW$4+1,0),0)</f>
        <v>0</v>
      </c>
      <c r="AX32" s="59">
        <f>IFERROR(VLOOKUP($A32,[2]Mssp!$A$5:$BE$1463,AX$4+1,0),0)</f>
        <v>0</v>
      </c>
      <c r="AY32" s="59" t="str">
        <f>IFERROR(VLOOKUP($A32,[2]Mssp!$A$5:$BE$1463,AY$4+2,0),0)</f>
        <v>462x750</v>
      </c>
      <c r="AZ32" s="59" t="str">
        <f>IFERROR(VLOOKUP($A32,[2]Mssp!$A$5:$BE$1463,AZ$4+2,0),0)</f>
        <v>A1</v>
      </c>
      <c r="BA32" s="60" t="s">
        <v>175</v>
      </c>
      <c r="BB32" s="61" t="s">
        <v>107</v>
      </c>
      <c r="BC32" s="62"/>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row>
    <row r="33" spans="1:94" ht="45" x14ac:dyDescent="0.25">
      <c r="A33" s="50" t="s">
        <v>196</v>
      </c>
      <c r="B33" s="73" t="s">
        <v>197</v>
      </c>
      <c r="C33" s="50">
        <f t="shared" si="0"/>
        <v>9.370000000000001</v>
      </c>
      <c r="D33" s="58">
        <v>2</v>
      </c>
      <c r="E33" s="58" t="s">
        <v>178</v>
      </c>
      <c r="F33" s="58">
        <v>7</v>
      </c>
      <c r="G33" s="50" t="s">
        <v>184</v>
      </c>
      <c r="H33" s="50">
        <f>VLOOKUP($A33,'[1]ma sp 02'!$A$5:$BD$1101,H$1,0)</f>
        <v>0.05</v>
      </c>
      <c r="I33" s="50">
        <f>VLOOKUP($A33,'[1]ma sp 02'!$A$5:$BD$1101,I$1,0)</f>
        <v>5.94</v>
      </c>
      <c r="J33" s="50">
        <f>VLOOKUP($A33,'[1]ma sp 02'!$A$5:$BD$1101,J$1,0)</f>
        <v>0.33</v>
      </c>
      <c r="K33" s="50">
        <f>VLOOKUP($A33,'[1]ma sp 02'!$A$5:$BD$1101,K$1,0)</f>
        <v>0.54</v>
      </c>
      <c r="L33" s="50">
        <f>VLOOKUP($A33,'[1]ma sp 02'!$A$5:$BD$1101,L$1,0)</f>
        <v>1.93</v>
      </c>
      <c r="M33" s="50">
        <f>VLOOKUP($A33,'[1]ma sp 02'!$A$5:$BD$1101,M$1,0)</f>
        <v>0.42</v>
      </c>
      <c r="N33" s="50">
        <f>VLOOKUP($A33,'[1]ma sp 02'!$A$5:$BD$1101,N$1,0)</f>
        <v>0</v>
      </c>
      <c r="O33" s="50">
        <f>VLOOKUP($A33,'[1]ma sp 02'!$A$5:$BD$1101,O$1,0)</f>
        <v>0</v>
      </c>
      <c r="P33" s="50">
        <f>VLOOKUP($A33,'[1]ma sp 02'!$A$5:$BD$1101,P$1,0)</f>
        <v>0.01</v>
      </c>
      <c r="Q33" s="50">
        <f>VLOOKUP($A33,'[1]ma sp 02'!$A$5:$BD$1101,Q$1,0)</f>
        <v>0.14000000000000001</v>
      </c>
      <c r="R33" s="50">
        <f>VLOOKUP($A33,'[1]ma sp 02'!$A$5:$BD$1101,R$1,0)</f>
        <v>0</v>
      </c>
      <c r="S33" s="50">
        <f>VLOOKUP($A33,'[1]ma sp 02'!$A$5:$BD$1101,S$1,0)</f>
        <v>0</v>
      </c>
      <c r="T33" s="50">
        <f>VLOOKUP($A33,'[1]ma sp 02'!$A$5:$BD$1101,T$1,0)</f>
        <v>0.01</v>
      </c>
      <c r="U33" s="50">
        <f>VLOOKUP($A33,'[1]ma sp 02'!$A$5:$BD$1101,U$1,0)</f>
        <v>0</v>
      </c>
      <c r="V33" s="50">
        <f>VLOOKUP($A33,'[1]ma sp 02'!$A$5:$BD$1101,V$1,0)</f>
        <v>0</v>
      </c>
      <c r="W33" s="50">
        <f>VLOOKUP($A33,'[1]ma sp 02'!$A$5:$BD$1101,W$1,0)</f>
        <v>0</v>
      </c>
      <c r="X33" s="50">
        <f t="shared" si="1"/>
        <v>9</v>
      </c>
      <c r="Y33" s="57"/>
      <c r="Z33" s="57"/>
      <c r="AA33" s="57"/>
      <c r="AB33" s="57"/>
      <c r="AC33" s="57"/>
      <c r="AD33" s="57"/>
      <c r="AE33" s="77" t="s">
        <v>179</v>
      </c>
      <c r="AF33" s="57"/>
      <c r="AG33" s="71">
        <f>(0.02*0.91+0.07*0.925)*0.73</f>
        <v>6.0553500000000017E-2</v>
      </c>
      <c r="AH33" s="63">
        <f>(2.2/0.75/2)*0.72</f>
        <v>1.056</v>
      </c>
      <c r="AI33" s="57"/>
      <c r="AJ33" s="58">
        <v>9530</v>
      </c>
      <c r="AK33" s="57"/>
      <c r="AL33" s="58">
        <v>2.2000000000000001E-3</v>
      </c>
      <c r="AM33" s="52" t="s">
        <v>104</v>
      </c>
      <c r="AN33" s="58">
        <v>355</v>
      </c>
      <c r="AO33" s="52" t="s">
        <v>180</v>
      </c>
      <c r="AP33" s="59" t="str">
        <f>IFERROR(VLOOKUP($A33,[2]Mssp!$A$5:$BE$1463,AP$4+1,0),0)</f>
        <v>18051197-1</v>
      </c>
      <c r="AQ33" s="59" t="str">
        <f>IFERROR(VLOOKUP($A33,[2]Mssp!$A$5:$BE$1463,AQ$4+1,0),0)</f>
        <v>1310562-2</v>
      </c>
      <c r="AR33" s="59" t="str">
        <f>IFERROR(VLOOKUP($A33,[2]Mssp!$A$5:$BE$1463,AR$4+1,0),0)</f>
        <v>1411258-3</v>
      </c>
      <c r="AS33" s="59" t="str">
        <f>IFERROR(VLOOKUP($A33,[2]Mssp!$A$5:$BE$1463,AS$4+1,0),0)</f>
        <v>1310562-4</v>
      </c>
      <c r="AT33" s="59" t="str">
        <f>IFERROR(VLOOKUP($A33,[2]Mssp!$A$5:$BE$1463,AT$4+1,0),0)</f>
        <v>1310562-5</v>
      </c>
      <c r="AU33" s="59" t="str">
        <f>IFERROR(VLOOKUP($A33,[2]Mssp!$A$5:$BE$1463,AU$4+1,0),0)</f>
        <v>1310562-6</v>
      </c>
      <c r="AV33" s="59" t="str">
        <f>IFERROR(VLOOKUP($A33,[2]Mssp!$A$5:$BE$1463,AV$4+1,0),0)</f>
        <v>1310562-7</v>
      </c>
      <c r="AW33" s="59">
        <f>IFERROR(VLOOKUP($A33,[2]Mssp!$A$5:$BE$1463,AW$4+1,0),0)</f>
        <v>0</v>
      </c>
      <c r="AX33" s="59">
        <f>IFERROR(VLOOKUP($A33,[2]Mssp!$A$5:$BE$1463,AX$4+1,0),0)</f>
        <v>0</v>
      </c>
      <c r="AY33" s="59" t="str">
        <f>IFERROR(VLOOKUP($A33,[2]Mssp!$A$5:$BE$1463,AY$4+2,0),0)</f>
        <v>532x850</v>
      </c>
      <c r="AZ33" s="59" t="str">
        <f>IFERROR(VLOOKUP($A33,[2]Mssp!$A$5:$BE$1463,AZ$4+2,0),0)</f>
        <v>V1</v>
      </c>
      <c r="BA33" s="60" t="s">
        <v>106</v>
      </c>
      <c r="BB33" s="61" t="s">
        <v>107</v>
      </c>
      <c r="BC33" s="62"/>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row>
    <row r="34" spans="1:94" ht="45" x14ac:dyDescent="0.25">
      <c r="A34" s="50" t="s">
        <v>198</v>
      </c>
      <c r="B34" s="73" t="s">
        <v>199</v>
      </c>
      <c r="C34" s="50">
        <f t="shared" si="0"/>
        <v>9.5799999999999983</v>
      </c>
      <c r="D34" s="57">
        <v>2</v>
      </c>
      <c r="E34" s="58" t="s">
        <v>178</v>
      </c>
      <c r="F34" s="58">
        <v>7</v>
      </c>
      <c r="G34" s="50" t="s">
        <v>184</v>
      </c>
      <c r="H34" s="50">
        <f>VLOOKUP($A34,'[1]ma sp 02'!$A$5:$BD$1101,H$1,0)</f>
        <v>0.09</v>
      </c>
      <c r="I34" s="50">
        <f>VLOOKUP($A34,'[1]ma sp 02'!$A$5:$BD$1101,I$1,0)</f>
        <v>4.88</v>
      </c>
      <c r="J34" s="50">
        <f>VLOOKUP($A34,'[1]ma sp 02'!$A$5:$BD$1101,J$1,0)</f>
        <v>0.27</v>
      </c>
      <c r="K34" s="50">
        <f>VLOOKUP($A34,'[1]ma sp 02'!$A$5:$BD$1101,K$1,0)</f>
        <v>0.27</v>
      </c>
      <c r="L34" s="50">
        <f>VLOOKUP($A34,'[1]ma sp 02'!$A$5:$BD$1101,L$1,0)</f>
        <v>1.17</v>
      </c>
      <c r="M34" s="50">
        <f>VLOOKUP($A34,'[1]ma sp 02'!$A$5:$BD$1101,M$1,0)</f>
        <v>1.63</v>
      </c>
      <c r="N34" s="50">
        <f>VLOOKUP($A34,'[1]ma sp 02'!$A$5:$BD$1101,N$1,0)</f>
        <v>0</v>
      </c>
      <c r="O34" s="50">
        <f>VLOOKUP($A34,'[1]ma sp 02'!$A$5:$BD$1101,O$1,0)</f>
        <v>0.01</v>
      </c>
      <c r="P34" s="50">
        <f>VLOOKUP($A34,'[1]ma sp 02'!$A$5:$BD$1101,P$1,0)</f>
        <v>0.9</v>
      </c>
      <c r="Q34" s="50">
        <f>VLOOKUP($A34,'[1]ma sp 02'!$A$5:$BD$1101,Q$1,0)</f>
        <v>0.36</v>
      </c>
      <c r="R34" s="50">
        <f>VLOOKUP($A34,'[1]ma sp 02'!$A$5:$BD$1101,R$1,0)</f>
        <v>0</v>
      </c>
      <c r="S34" s="50">
        <f>VLOOKUP($A34,'[1]ma sp 02'!$A$5:$BD$1101,S$1,0)</f>
        <v>0</v>
      </c>
      <c r="T34" s="50">
        <f>VLOOKUP($A34,'[1]ma sp 02'!$A$5:$BD$1101,T$1,0)</f>
        <v>0</v>
      </c>
      <c r="U34" s="50">
        <f>VLOOKUP($A34,'[1]ma sp 02'!$A$5:$BD$1101,U$1,0)</f>
        <v>0</v>
      </c>
      <c r="V34" s="50">
        <f>VLOOKUP($A34,'[1]ma sp 02'!$A$5:$BD$1101,V$1,0)</f>
        <v>0</v>
      </c>
      <c r="W34" s="50">
        <f>VLOOKUP($A34,'[1]ma sp 02'!$A$5:$BD$1101,W$1,0)</f>
        <v>0</v>
      </c>
      <c r="X34" s="50">
        <f t="shared" si="1"/>
        <v>9</v>
      </c>
      <c r="Y34" s="57"/>
      <c r="Z34" s="57"/>
      <c r="AA34" s="57"/>
      <c r="AB34" s="57"/>
      <c r="AC34" s="57"/>
      <c r="AD34" s="57"/>
      <c r="AE34" s="58" t="s">
        <v>179</v>
      </c>
      <c r="AF34" s="57"/>
      <c r="AG34" s="71">
        <f>(0.02*0.91+0.07*0.925)*0.73</f>
        <v>6.0553500000000017E-2</v>
      </c>
      <c r="AH34" s="63">
        <f>(2.2/0.75/2)*0.72</f>
        <v>1.056</v>
      </c>
      <c r="AI34" s="57"/>
      <c r="AJ34" s="58">
        <v>9530</v>
      </c>
      <c r="AK34" s="57"/>
      <c r="AL34" s="58">
        <v>2E-3</v>
      </c>
      <c r="AM34" s="52" t="s">
        <v>104</v>
      </c>
      <c r="AN34" s="58">
        <v>355</v>
      </c>
      <c r="AO34" s="52" t="s">
        <v>180</v>
      </c>
      <c r="AP34" s="59" t="str">
        <f>IFERROR(VLOOKUP($A34,[2]Mssp!$A$5:$BE$1463,AP$4+1,0),0)</f>
        <v>18121023-1</v>
      </c>
      <c r="AQ34" s="59" t="str">
        <f>IFERROR(VLOOKUP($A34,[2]Mssp!$A$5:$BE$1463,AQ$4+1,0),0)</f>
        <v>1310564-2</v>
      </c>
      <c r="AR34" s="59" t="str">
        <f>IFERROR(VLOOKUP($A34,[2]Mssp!$A$5:$BE$1463,AR$4+1,0),0)</f>
        <v>1310564-3</v>
      </c>
      <c r="AS34" s="59" t="str">
        <f>IFERROR(VLOOKUP($A34,[2]Mssp!$A$5:$BE$1463,AS$4+1,0),0)</f>
        <v>1310564-4</v>
      </c>
      <c r="AT34" s="59" t="str">
        <f>IFERROR(VLOOKUP($A34,[2]Mssp!$A$5:$BE$1463,AT$4+1,0),0)</f>
        <v>1310564-5</v>
      </c>
      <c r="AU34" s="59" t="str">
        <f>IFERROR(VLOOKUP($A34,[2]Mssp!$A$5:$BE$1463,AU$4+1,0),0)</f>
        <v>1310564-6</v>
      </c>
      <c r="AV34" s="59" t="str">
        <f>IFERROR(VLOOKUP($A34,[2]Mssp!$A$5:$BE$1463,AV$4+1,0),0)</f>
        <v>1310562-7</v>
      </c>
      <c r="AW34" s="59">
        <f>IFERROR(VLOOKUP($A34,[2]Mssp!$A$5:$BE$1463,AW$4+1,0),0)</f>
        <v>0</v>
      </c>
      <c r="AX34" s="59">
        <f>IFERROR(VLOOKUP($A34,[2]Mssp!$A$5:$BE$1463,AX$4+1,0),0)</f>
        <v>0</v>
      </c>
      <c r="AY34" s="59" t="str">
        <f>IFERROR(VLOOKUP($A34,[2]Mssp!$A$5:$BE$1463,AY$4+2,0),0)</f>
        <v xml:space="preserve"> 532x850</v>
      </c>
      <c r="AZ34" s="59" t="str">
        <f>IFERROR(VLOOKUP($A34,[2]Mssp!$A$5:$BE$1463,AZ$4+2,0),0)</f>
        <v>V1</v>
      </c>
      <c r="BA34" s="60" t="s">
        <v>106</v>
      </c>
      <c r="BB34" s="61" t="s">
        <v>107</v>
      </c>
      <c r="BC34" s="62"/>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row>
    <row r="35" spans="1:94" ht="45" x14ac:dyDescent="0.25">
      <c r="A35" s="50" t="s">
        <v>200</v>
      </c>
      <c r="B35" s="73" t="s">
        <v>201</v>
      </c>
      <c r="C35" s="50">
        <f t="shared" si="0"/>
        <v>5.01</v>
      </c>
      <c r="D35" s="58">
        <v>5</v>
      </c>
      <c r="E35" s="58" t="s">
        <v>202</v>
      </c>
      <c r="F35" s="58">
        <v>6</v>
      </c>
      <c r="G35" s="50" t="s">
        <v>56</v>
      </c>
      <c r="H35" s="50">
        <f>VLOOKUP($A35,'[1]ma sp 02'!$A$5:$BD$1101,H$1,0)</f>
        <v>0.43</v>
      </c>
      <c r="I35" s="50">
        <f>VLOOKUP($A35,'[1]ma sp 02'!$A$5:$BD$1101,I$1,0)</f>
        <v>3.8</v>
      </c>
      <c r="J35" s="50">
        <f>VLOOKUP($A35,'[1]ma sp 02'!$A$5:$BD$1101,J$1,0)</f>
        <v>0.27</v>
      </c>
      <c r="K35" s="50">
        <f>VLOOKUP($A35,'[1]ma sp 02'!$A$5:$BD$1101,K$1,0)</f>
        <v>0</v>
      </c>
      <c r="L35" s="50">
        <f>VLOOKUP($A35,'[1]ma sp 02'!$A$5:$BD$1101,L$1,0)</f>
        <v>0.27</v>
      </c>
      <c r="M35" s="50">
        <f>VLOOKUP($A35,'[1]ma sp 02'!$A$5:$BD$1101,M$1,0)</f>
        <v>0.2</v>
      </c>
      <c r="N35" s="50">
        <f>VLOOKUP($A35,'[1]ma sp 02'!$A$5:$BD$1101,N$1,0)</f>
        <v>0</v>
      </c>
      <c r="O35" s="50">
        <f>VLOOKUP($A35,'[1]ma sp 02'!$A$5:$BD$1101,O$1,0)</f>
        <v>0</v>
      </c>
      <c r="P35" s="50">
        <f>VLOOKUP($A35,'[1]ma sp 02'!$A$5:$BD$1101,P$1,0)</f>
        <v>0</v>
      </c>
      <c r="Q35" s="50">
        <f>VLOOKUP($A35,'[1]ma sp 02'!$A$5:$BD$1101,Q$1,0)</f>
        <v>0</v>
      </c>
      <c r="R35" s="50">
        <f>VLOOKUP($A35,'[1]ma sp 02'!$A$5:$BD$1101,R$1,0)</f>
        <v>0</v>
      </c>
      <c r="S35" s="50">
        <f>VLOOKUP($A35,'[1]ma sp 02'!$A$5:$BD$1101,S$1,0)</f>
        <v>0</v>
      </c>
      <c r="T35" s="50">
        <f>VLOOKUP($A35,'[1]ma sp 02'!$A$5:$BD$1101,T$1,0)</f>
        <v>0.04</v>
      </c>
      <c r="U35" s="50">
        <f>VLOOKUP($A35,'[1]ma sp 02'!$A$5:$BD$1101,U$1,0)</f>
        <v>0</v>
      </c>
      <c r="V35" s="50">
        <f>VLOOKUP($A35,'[1]ma sp 02'!$A$5:$BD$1101,V$1,0)</f>
        <v>0</v>
      </c>
      <c r="W35" s="50">
        <f>VLOOKUP($A35,'[1]ma sp 02'!$A$5:$BD$1101,W$1,0)</f>
        <v>0</v>
      </c>
      <c r="X35" s="50">
        <f t="shared" si="1"/>
        <v>6</v>
      </c>
      <c r="Y35" s="57"/>
      <c r="Z35" s="57"/>
      <c r="AA35" s="57"/>
      <c r="AB35" s="57"/>
      <c r="AC35" s="57"/>
      <c r="AD35" s="57"/>
      <c r="AE35" s="58" t="s">
        <v>203</v>
      </c>
      <c r="AF35" s="58"/>
      <c r="AG35" s="78">
        <f>(0.03*0.91+0.025*0.91)*0.795</f>
        <v>3.9789750000000006E-2</v>
      </c>
      <c r="AH35" s="79">
        <f>(2/0.75/2)*0.785</f>
        <v>1.0466666666666666</v>
      </c>
      <c r="AI35" s="80"/>
      <c r="AJ35" s="58">
        <v>9530</v>
      </c>
      <c r="AK35" s="57"/>
      <c r="AL35" s="58">
        <v>2E-3</v>
      </c>
      <c r="AM35" s="52" t="s">
        <v>142</v>
      </c>
      <c r="AN35" s="58">
        <v>155</v>
      </c>
      <c r="AO35" s="52" t="s">
        <v>204</v>
      </c>
      <c r="AP35" s="59" t="str">
        <f>IFERROR(VLOOKUP($A35,[2]Mssp!$A$5:$BE$1463,AP$4+1,0),0)</f>
        <v>F110031G1-1</v>
      </c>
      <c r="AQ35" s="59" t="str">
        <f>IFERROR(VLOOKUP($A35,[2]Mssp!$A$5:$BE$1463,AQ$4+1,0),0)</f>
        <v>F110031G1-2</v>
      </c>
      <c r="AR35" s="59" t="str">
        <f>IFERROR(VLOOKUP($A35,[2]Mssp!$A$5:$BE$1463,AR$4+1,0),0)</f>
        <v>F110031G1-3</v>
      </c>
      <c r="AS35" s="59" t="str">
        <f>IFERROR(VLOOKUP($A35,[2]Mssp!$A$5:$BE$1463,AS$4+1,0),0)</f>
        <v>F110031G1-4</v>
      </c>
      <c r="AT35" s="59" t="str">
        <f>IFERROR(VLOOKUP($A35,[2]Mssp!$A$5:$BE$1463,AT$4+1,0),0)</f>
        <v>F110031G1-5</v>
      </c>
      <c r="AU35" s="59" t="str">
        <f>IFERROR(VLOOKUP($A35,[2]Mssp!$A$5:$BE$1463,AU$4+1,0),0)</f>
        <v>F110031-6</v>
      </c>
      <c r="AV35" s="59">
        <f>IFERROR(VLOOKUP($A35,[2]Mssp!$A$5:$BE$1463,AV$4+1,0),0)</f>
        <v>0</v>
      </c>
      <c r="AW35" s="59">
        <f>IFERROR(VLOOKUP($A35,[2]Mssp!$A$5:$BE$1463,AW$4+1,0),0)</f>
        <v>0</v>
      </c>
      <c r="AX35" s="59">
        <f>IFERROR(VLOOKUP($A35,[2]Mssp!$A$5:$BE$1463,AX$4+1,0),0)</f>
        <v>0</v>
      </c>
      <c r="AY35" s="59" t="str">
        <f>IFERROR(VLOOKUP($A35,[2]Mssp!$A$5:$BE$1463,AY$4+2,0),0)</f>
        <v>462x860</v>
      </c>
      <c r="AZ35" s="59" t="str">
        <f>IFERROR(VLOOKUP($A35,[2]Mssp!$A$5:$BE$1463,AZ$4+2,0),0)</f>
        <v>M1</v>
      </c>
      <c r="BA35" s="60">
        <v>0</v>
      </c>
      <c r="BB35" s="61" t="s">
        <v>107</v>
      </c>
      <c r="BC35" s="62"/>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row>
    <row r="36" spans="1:94" ht="45" x14ac:dyDescent="0.25">
      <c r="A36" s="50" t="s">
        <v>205</v>
      </c>
      <c r="B36" s="73" t="s">
        <v>206</v>
      </c>
      <c r="C36" s="50">
        <f t="shared" si="0"/>
        <v>4.07</v>
      </c>
      <c r="D36" s="58">
        <v>2</v>
      </c>
      <c r="E36" s="58" t="s">
        <v>207</v>
      </c>
      <c r="F36" s="58">
        <v>2</v>
      </c>
      <c r="G36" s="50" t="s">
        <v>184</v>
      </c>
      <c r="H36" s="50">
        <f>VLOOKUP($A36,'[1]ma sp 02'!$A$5:$BD$1101,H$1,0)</f>
        <v>0.06</v>
      </c>
      <c r="I36" s="50">
        <f>VLOOKUP($A36,'[1]ma sp 02'!$A$5:$BD$1101,I$1,0)</f>
        <v>0</v>
      </c>
      <c r="J36" s="50">
        <f>VLOOKUP($A36,'[1]ma sp 02'!$A$5:$BD$1101,J$1,0)</f>
        <v>0.51</v>
      </c>
      <c r="K36" s="50">
        <f>VLOOKUP($A36,'[1]ma sp 02'!$A$5:$BD$1101,K$1,0)</f>
        <v>1.1399999999999999</v>
      </c>
      <c r="L36" s="50">
        <f>VLOOKUP($A36,'[1]ma sp 02'!$A$5:$BD$1101,L$1,0)</f>
        <v>0.13</v>
      </c>
      <c r="M36" s="50">
        <f>VLOOKUP($A36,'[1]ma sp 02'!$A$5:$BD$1101,M$1,0)</f>
        <v>1.78</v>
      </c>
      <c r="N36" s="50">
        <f>VLOOKUP($A36,'[1]ma sp 02'!$A$5:$BD$1101,N$1,0)</f>
        <v>0</v>
      </c>
      <c r="O36" s="50">
        <f>VLOOKUP($A36,'[1]ma sp 02'!$A$5:$BD$1101,O$1,0)</f>
        <v>0</v>
      </c>
      <c r="P36" s="50">
        <f>VLOOKUP($A36,'[1]ma sp 02'!$A$5:$BD$1101,P$1,0)</f>
        <v>0.44</v>
      </c>
      <c r="Q36" s="50">
        <f>VLOOKUP($A36,'[1]ma sp 02'!$A$5:$BD$1101,Q$1,0)</f>
        <v>0</v>
      </c>
      <c r="R36" s="50">
        <f>VLOOKUP($A36,'[1]ma sp 02'!$A$5:$BD$1101,R$1,0)</f>
        <v>0.01</v>
      </c>
      <c r="S36" s="50">
        <f>VLOOKUP($A36,'[1]ma sp 02'!$A$5:$BD$1101,S$1,0)</f>
        <v>0</v>
      </c>
      <c r="T36" s="50">
        <f>VLOOKUP($A36,'[1]ma sp 02'!$A$5:$BD$1101,T$1,0)</f>
        <v>0</v>
      </c>
      <c r="U36" s="50">
        <f>VLOOKUP($A36,'[1]ma sp 02'!$A$5:$BD$1101,U$1,0)</f>
        <v>0</v>
      </c>
      <c r="V36" s="50">
        <f>VLOOKUP($A36,'[1]ma sp 02'!$A$5:$BD$1101,V$1,0)</f>
        <v>0</v>
      </c>
      <c r="W36" s="50">
        <f>VLOOKUP($A36,'[1]ma sp 02'!$A$5:$BD$1101,W$1,0)</f>
        <v>0</v>
      </c>
      <c r="X36" s="50">
        <f t="shared" si="1"/>
        <v>7</v>
      </c>
      <c r="Y36" s="57"/>
      <c r="Z36" s="57"/>
      <c r="AA36" s="57"/>
      <c r="AB36" s="57"/>
      <c r="AC36" s="57"/>
      <c r="AD36" s="57"/>
      <c r="AE36" s="58" t="s">
        <v>208</v>
      </c>
      <c r="AF36" s="57"/>
      <c r="AG36" s="71">
        <f>(0.02*0.91+0.045*0.91)*0.52</f>
        <v>3.0758000000000001E-2</v>
      </c>
      <c r="AH36" s="63">
        <f>(1.8/0.75/2)*0.51</f>
        <v>0.61199999999999999</v>
      </c>
      <c r="AI36" s="57"/>
      <c r="AJ36" s="58">
        <v>9530</v>
      </c>
      <c r="AK36" s="57"/>
      <c r="AL36" s="58">
        <v>1.8E-3</v>
      </c>
      <c r="AM36" s="52" t="s">
        <v>74</v>
      </c>
      <c r="AN36" s="58">
        <v>140</v>
      </c>
      <c r="AO36" s="52" t="s">
        <v>209</v>
      </c>
      <c r="AP36" s="59" t="str">
        <f>IFERROR(VLOOKUP($A36,[2]Mssp!$A$5:$BE$1463,AP$4+1,0),0)</f>
        <v>1811584-1</v>
      </c>
      <c r="AQ36" s="59" t="str">
        <f>IFERROR(VLOOKUP($A36,[2]Mssp!$A$5:$BE$1463,AQ$4+1,0),0)</f>
        <v>1811584-2</v>
      </c>
      <c r="AR36" s="59">
        <f>IFERROR(VLOOKUP($A36,[2]Mssp!$A$5:$BE$1463,AR$4+1,0),0)</f>
        <v>0</v>
      </c>
      <c r="AS36" s="59">
        <f>IFERROR(VLOOKUP($A36,[2]Mssp!$A$5:$BE$1463,AS$4+1,0),0)</f>
        <v>0</v>
      </c>
      <c r="AT36" s="59">
        <f>IFERROR(VLOOKUP($A36,[2]Mssp!$A$5:$BE$1463,AT$4+1,0),0)</f>
        <v>0</v>
      </c>
      <c r="AU36" s="59">
        <f>IFERROR(VLOOKUP($A36,[2]Mssp!$A$5:$BE$1463,AU$4+1,0),0)</f>
        <v>0</v>
      </c>
      <c r="AV36" s="59">
        <f>IFERROR(VLOOKUP($A36,[2]Mssp!$A$5:$BE$1463,AV$4+1,0),0)</f>
        <v>0</v>
      </c>
      <c r="AW36" s="59">
        <f>IFERROR(VLOOKUP($A36,[2]Mssp!$A$5:$BE$1463,AW$4+1,0),0)</f>
        <v>0</v>
      </c>
      <c r="AX36" s="59">
        <f>IFERROR(VLOOKUP($A36,[2]Mssp!$A$5:$BE$1463,AX$4+1,0),0)</f>
        <v>0</v>
      </c>
      <c r="AY36" s="59" t="str">
        <f>IFERROR(VLOOKUP($A36,[2]Mssp!$A$5:$BE$1463,AY$4+2,0),0)</f>
        <v>420x750</v>
      </c>
      <c r="AZ36" s="59" t="str">
        <f>IFERROR(VLOOKUP($A36,[2]Mssp!$A$5:$BE$1463,AZ$4+2,0),0)</f>
        <v>M2</v>
      </c>
      <c r="BA36" s="60">
        <v>12000</v>
      </c>
      <c r="BB36" s="61" t="s">
        <v>62</v>
      </c>
      <c r="BC36" s="62"/>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row>
    <row r="37" spans="1:94" ht="45" x14ac:dyDescent="0.25">
      <c r="A37" s="50" t="s">
        <v>210</v>
      </c>
      <c r="B37" s="73" t="s">
        <v>211</v>
      </c>
      <c r="C37" s="50">
        <f t="shared" si="0"/>
        <v>6.7</v>
      </c>
      <c r="D37" s="58">
        <v>2</v>
      </c>
      <c r="E37" s="58" t="s">
        <v>212</v>
      </c>
      <c r="F37" s="58">
        <v>7</v>
      </c>
      <c r="G37" s="50" t="s">
        <v>184</v>
      </c>
      <c r="H37" s="50">
        <f>VLOOKUP($A37,'[1]ma sp 02'!$A$5:$BD$1101,H$1,0)</f>
        <v>0.1</v>
      </c>
      <c r="I37" s="50">
        <f>VLOOKUP($A37,'[1]ma sp 02'!$A$5:$BD$1101,I$1,0)</f>
        <v>2.5</v>
      </c>
      <c r="J37" s="50">
        <f>VLOOKUP($A37,'[1]ma sp 02'!$A$5:$BD$1101,J$1,0)</f>
        <v>0.1</v>
      </c>
      <c r="K37" s="50">
        <f>VLOOKUP($A37,'[1]ma sp 02'!$A$5:$BD$1101,K$1,0)</f>
        <v>0.8</v>
      </c>
      <c r="L37" s="50">
        <f>VLOOKUP($A37,'[1]ma sp 02'!$A$5:$BD$1101,L$1,0)</f>
        <v>0.8</v>
      </c>
      <c r="M37" s="50">
        <f>VLOOKUP($A37,'[1]ma sp 02'!$A$5:$BD$1101,M$1,0)</f>
        <v>1.6</v>
      </c>
      <c r="N37" s="50">
        <f>VLOOKUP($A37,'[1]ma sp 02'!$A$5:$BD$1101,N$1,0)</f>
        <v>0</v>
      </c>
      <c r="O37" s="50">
        <f>VLOOKUP($A37,'[1]ma sp 02'!$A$5:$BD$1101,O$1,0)</f>
        <v>0</v>
      </c>
      <c r="P37" s="50">
        <f>VLOOKUP($A37,'[1]ma sp 02'!$A$5:$BD$1101,P$1,0)</f>
        <v>0.5</v>
      </c>
      <c r="Q37" s="50">
        <f>VLOOKUP($A37,'[1]ma sp 02'!$A$5:$BD$1101,Q$1,0)</f>
        <v>0</v>
      </c>
      <c r="R37" s="50">
        <f>VLOOKUP($A37,'[1]ma sp 02'!$A$5:$BD$1101,R$1,0)</f>
        <v>0</v>
      </c>
      <c r="S37" s="50">
        <f>VLOOKUP($A37,'[1]ma sp 02'!$A$5:$BD$1101,S$1,0)</f>
        <v>0.2</v>
      </c>
      <c r="T37" s="50">
        <f>VLOOKUP($A37,'[1]ma sp 02'!$A$5:$BD$1101,T$1,0)</f>
        <v>0.1</v>
      </c>
      <c r="U37" s="50">
        <f>VLOOKUP($A37,'[1]ma sp 02'!$A$5:$BD$1101,U$1,0)</f>
        <v>0</v>
      </c>
      <c r="V37" s="50">
        <f>VLOOKUP($A37,'[1]ma sp 02'!$A$5:$BD$1101,V$1,0)</f>
        <v>0</v>
      </c>
      <c r="W37" s="50">
        <f>VLOOKUP($A37,'[1]ma sp 02'!$A$5:$BD$1101,W$1,0)</f>
        <v>0</v>
      </c>
      <c r="X37" s="50">
        <f t="shared" si="1"/>
        <v>9</v>
      </c>
      <c r="Y37" s="57"/>
      <c r="Z37" s="57"/>
      <c r="AA37" s="57"/>
      <c r="AB37" s="57"/>
      <c r="AC37" s="57"/>
      <c r="AD37" s="57"/>
      <c r="AE37" s="58" t="s">
        <v>213</v>
      </c>
      <c r="AF37" s="57"/>
      <c r="AG37" s="71">
        <f>(0.02*0.91+0.07*0.925)*0.62</f>
        <v>5.1429000000000016E-2</v>
      </c>
      <c r="AH37" s="63">
        <f>(2/0.75/2)*0.61</f>
        <v>0.81333333333333324</v>
      </c>
      <c r="AI37" s="57"/>
      <c r="AJ37" s="58">
        <v>9530</v>
      </c>
      <c r="AK37" s="57"/>
      <c r="AL37" s="58">
        <v>2E-3</v>
      </c>
      <c r="AM37" s="52" t="s">
        <v>104</v>
      </c>
      <c r="AN37" s="58">
        <v>300</v>
      </c>
      <c r="AO37" s="52" t="s">
        <v>214</v>
      </c>
      <c r="AP37" s="59">
        <f>IFERROR(VLOOKUP($A37,[2]Mssp!$A$5:$BE$1463,AP$4+1,0),0)</f>
        <v>0</v>
      </c>
      <c r="AQ37" s="59">
        <f>IFERROR(VLOOKUP($A37,[2]Mssp!$A$5:$BE$1463,AQ$4+1,0),0)</f>
        <v>0</v>
      </c>
      <c r="AR37" s="59">
        <f>IFERROR(VLOOKUP($A37,[2]Mssp!$A$5:$BE$1463,AR$4+1,0),0)</f>
        <v>0</v>
      </c>
      <c r="AS37" s="59">
        <f>IFERROR(VLOOKUP($A37,[2]Mssp!$A$5:$BE$1463,AS$4+1,0),0)</f>
        <v>0</v>
      </c>
      <c r="AT37" s="59">
        <f>IFERROR(VLOOKUP($A37,[2]Mssp!$A$5:$BE$1463,AT$4+1,0),0)</f>
        <v>0</v>
      </c>
      <c r="AU37" s="59">
        <f>IFERROR(VLOOKUP($A37,[2]Mssp!$A$5:$BE$1463,AU$4+1,0),0)</f>
        <v>0</v>
      </c>
      <c r="AV37" s="59">
        <f>IFERROR(VLOOKUP($A37,[2]Mssp!$A$5:$BE$1463,AV$4+1,0),0)</f>
        <v>0</v>
      </c>
      <c r="AW37" s="59">
        <f>IFERROR(VLOOKUP($A37,[2]Mssp!$A$5:$BE$1463,AW$4+1,0),0)</f>
        <v>0</v>
      </c>
      <c r="AX37" s="59">
        <f>IFERROR(VLOOKUP($A37,[2]Mssp!$A$5:$BE$1463,AX$4+1,0),0)</f>
        <v>0</v>
      </c>
      <c r="AY37" s="59">
        <f>IFERROR(VLOOKUP($A37,[2]Mssp!$A$5:$BE$1463,AY$4+2,0),0)</f>
        <v>0</v>
      </c>
      <c r="AZ37" s="59">
        <f>IFERROR(VLOOKUP($A37,[2]Mssp!$A$5:$BE$1463,AZ$4+2,0),0)</f>
        <v>0</v>
      </c>
      <c r="BA37" s="60" t="s">
        <v>106</v>
      </c>
      <c r="BB37" s="61" t="s">
        <v>107</v>
      </c>
      <c r="BC37" s="62"/>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9"/>
      <c r="CN37" s="9"/>
      <c r="CO37" s="9"/>
      <c r="CP37" s="9"/>
    </row>
    <row r="38" spans="1:94" ht="45" x14ac:dyDescent="0.25">
      <c r="A38" s="77" t="s">
        <v>215</v>
      </c>
      <c r="B38" s="81" t="s">
        <v>216</v>
      </c>
      <c r="C38" s="50">
        <f t="shared" si="0"/>
        <v>5.6599999999999993</v>
      </c>
      <c r="D38" s="58">
        <v>4</v>
      </c>
      <c r="E38" s="58" t="s">
        <v>192</v>
      </c>
      <c r="F38" s="58">
        <v>5</v>
      </c>
      <c r="G38" s="50" t="s">
        <v>184</v>
      </c>
      <c r="H38" s="50">
        <f>VLOOKUP($A38,'[1]ma sp 02'!$A$5:$BD$1101,H$1,0)</f>
        <v>0.45</v>
      </c>
      <c r="I38" s="50">
        <f>VLOOKUP($A38,'[1]ma sp 02'!$A$5:$BD$1101,I$1,0)</f>
        <v>2.2999999999999998</v>
      </c>
      <c r="J38" s="50">
        <f>VLOOKUP($A38,'[1]ma sp 02'!$A$5:$BD$1101,J$1,0)</f>
        <v>0.75</v>
      </c>
      <c r="K38" s="50">
        <f>VLOOKUP($A38,'[1]ma sp 02'!$A$5:$BD$1101,K$1,0)</f>
        <v>0.2</v>
      </c>
      <c r="L38" s="50">
        <f>VLOOKUP($A38,'[1]ma sp 02'!$A$5:$BD$1101,L$1,0)</f>
        <v>1.1499999999999999</v>
      </c>
      <c r="M38" s="50">
        <f>VLOOKUP($A38,'[1]ma sp 02'!$A$5:$BD$1101,M$1,0)</f>
        <v>0.75</v>
      </c>
      <c r="N38" s="50">
        <f>VLOOKUP($A38,'[1]ma sp 02'!$A$5:$BD$1101,N$1,0)</f>
        <v>0</v>
      </c>
      <c r="O38" s="50">
        <f>VLOOKUP($A38,'[1]ma sp 02'!$A$5:$BD$1101,O$1,0)</f>
        <v>0.01</v>
      </c>
      <c r="P38" s="50">
        <f>VLOOKUP($A38,'[1]ma sp 02'!$A$5:$BD$1101,P$1,0)</f>
        <v>0</v>
      </c>
      <c r="Q38" s="50">
        <f>VLOOKUP($A38,'[1]ma sp 02'!$A$5:$BD$1101,Q$1,0)</f>
        <v>0.05</v>
      </c>
      <c r="R38" s="50">
        <f>VLOOKUP($A38,'[1]ma sp 02'!$A$5:$BD$1101,R$1,0)</f>
        <v>0</v>
      </c>
      <c r="S38" s="50">
        <f>VLOOKUP($A38,'[1]ma sp 02'!$A$5:$BD$1101,S$1,0)</f>
        <v>0</v>
      </c>
      <c r="T38" s="50">
        <f>VLOOKUP($A38,'[1]ma sp 02'!$A$5:$BD$1101,T$1,0)</f>
        <v>0</v>
      </c>
      <c r="U38" s="50">
        <f>VLOOKUP($A38,'[1]ma sp 02'!$A$5:$BD$1101,U$1,0)</f>
        <v>0</v>
      </c>
      <c r="V38" s="50">
        <f>VLOOKUP($A38,'[1]ma sp 02'!$A$5:$BD$1101,V$1,0)</f>
        <v>0</v>
      </c>
      <c r="W38" s="50">
        <f>VLOOKUP($A38,'[1]ma sp 02'!$A$5:$BD$1101,W$1,0)</f>
        <v>0</v>
      </c>
      <c r="X38" s="50">
        <f t="shared" si="1"/>
        <v>8</v>
      </c>
      <c r="Y38" s="57"/>
      <c r="Z38" s="57"/>
      <c r="AA38" s="57"/>
      <c r="AB38" s="57"/>
      <c r="AC38" s="57"/>
      <c r="AD38" s="57"/>
      <c r="AE38" s="58" t="s">
        <v>193</v>
      </c>
      <c r="AF38" s="57"/>
      <c r="AG38" s="71">
        <f>(0.03*0.91+0.025*0.91)*0.64</f>
        <v>3.2032000000000005E-2</v>
      </c>
      <c r="AH38" s="63">
        <f>(2/0.75/2)*0.63</f>
        <v>0.84</v>
      </c>
      <c r="AI38" s="57"/>
      <c r="AJ38" s="58">
        <v>9530</v>
      </c>
      <c r="AK38" s="57"/>
      <c r="AL38" s="58">
        <v>2E-3</v>
      </c>
      <c r="AM38" s="52" t="s">
        <v>194</v>
      </c>
      <c r="AN38" s="57">
        <v>155</v>
      </c>
      <c r="AO38" s="52" t="s">
        <v>92</v>
      </c>
      <c r="AP38" s="59" t="str">
        <f>IFERROR(VLOOKUP($A38,[2]Mssp!$A$5:$BE$1463,AP$4+1,0),0)</f>
        <v>21080170-1</v>
      </c>
      <c r="AQ38" s="59" t="str">
        <f>IFERROR(VLOOKUP($A38,[2]Mssp!$A$5:$BE$1463,AQ$4+1,0),0)</f>
        <v>18031198-2</v>
      </c>
      <c r="AR38" s="59" t="str">
        <f>IFERROR(VLOOKUP($A38,[2]Mssp!$A$5:$BE$1463,AR$4+1,0),0)</f>
        <v>18031198-3</v>
      </c>
      <c r="AS38" s="59" t="str">
        <f>IFERROR(VLOOKUP($A38,[2]Mssp!$A$5:$BE$1463,AS$4+1,0),0)</f>
        <v>18031198-4</v>
      </c>
      <c r="AT38" s="59" t="str">
        <f>IFERROR(VLOOKUP($A38,[2]Mssp!$A$5:$BE$1463,AT$4+1,0),0)</f>
        <v>18031198-5</v>
      </c>
      <c r="AU38" s="59" t="str">
        <f>IFERROR(VLOOKUP($A38,[2]Mssp!$A$5:$BE$1463,AU$4+1,0),0)</f>
        <v>21080170-6</v>
      </c>
      <c r="AV38" s="59">
        <f>IFERROR(VLOOKUP($A38,[2]Mssp!$A$5:$BE$1463,AV$4+1,0),0)</f>
        <v>0</v>
      </c>
      <c r="AW38" s="59">
        <f>IFERROR(VLOOKUP($A38,[2]Mssp!$A$5:$BE$1463,AW$4+1,0),0)</f>
        <v>0</v>
      </c>
      <c r="AX38" s="59">
        <f>IFERROR(VLOOKUP($A38,[2]Mssp!$A$5:$BE$1463,AX$4+1,0),0)</f>
        <v>0</v>
      </c>
      <c r="AY38" s="59" t="str">
        <f>IFERROR(VLOOKUP($A38,[2]Mssp!$A$5:$BE$1463,AY$4+2,0),0)</f>
        <v>462x750</v>
      </c>
      <c r="AZ38" s="59" t="str">
        <f>IFERROR(VLOOKUP($A38,[2]Mssp!$A$5:$BE$1463,AZ$4+2,0),0)</f>
        <v>A1</v>
      </c>
      <c r="BA38" s="60" t="s">
        <v>170</v>
      </c>
      <c r="BB38" s="61" t="s">
        <v>107</v>
      </c>
      <c r="BC38" s="62"/>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c r="CK38" s="9"/>
      <c r="CL38" s="9"/>
      <c r="CM38" s="9"/>
      <c r="CN38" s="9"/>
      <c r="CO38" s="9"/>
      <c r="CP38" s="9"/>
    </row>
    <row r="39" spans="1:94" ht="45" x14ac:dyDescent="0.25">
      <c r="A39" s="50" t="s">
        <v>217</v>
      </c>
      <c r="B39" s="73" t="s">
        <v>218</v>
      </c>
      <c r="C39" s="50">
        <f t="shared" si="0"/>
        <v>0</v>
      </c>
      <c r="D39" s="57">
        <v>5</v>
      </c>
      <c r="E39" s="58" t="s">
        <v>212</v>
      </c>
      <c r="F39" s="58">
        <v>5</v>
      </c>
      <c r="G39" s="50" t="s">
        <v>184</v>
      </c>
      <c r="H39" s="50">
        <f>VLOOKUP($A39,'[1]ma sp 02'!$A$5:$BD$1101,H$1,0)</f>
        <v>0</v>
      </c>
      <c r="I39" s="50">
        <f>VLOOKUP($A39,'[1]ma sp 02'!$A$5:$BD$1101,I$1,0)</f>
        <v>0</v>
      </c>
      <c r="J39" s="50">
        <f>VLOOKUP($A39,'[1]ma sp 02'!$A$5:$BD$1101,J$1,0)</f>
        <v>0</v>
      </c>
      <c r="K39" s="50">
        <f>VLOOKUP($A39,'[1]ma sp 02'!$A$5:$BD$1101,K$1,0)</f>
        <v>0</v>
      </c>
      <c r="L39" s="50">
        <f>VLOOKUP($A39,'[1]ma sp 02'!$A$5:$BD$1101,L$1,0)</f>
        <v>0</v>
      </c>
      <c r="M39" s="50">
        <f>VLOOKUP($A39,'[1]ma sp 02'!$A$5:$BD$1101,M$1,0)</f>
        <v>0</v>
      </c>
      <c r="N39" s="50">
        <f>VLOOKUP($A39,'[1]ma sp 02'!$A$5:$BD$1101,N$1,0)</f>
        <v>0</v>
      </c>
      <c r="O39" s="50">
        <f>VLOOKUP($A39,'[1]ma sp 02'!$A$5:$BD$1101,O$1,0)</f>
        <v>0</v>
      </c>
      <c r="P39" s="50">
        <f>VLOOKUP($A39,'[1]ma sp 02'!$A$5:$BD$1101,P$1,0)</f>
        <v>0</v>
      </c>
      <c r="Q39" s="50">
        <f>VLOOKUP($A39,'[1]ma sp 02'!$A$5:$BD$1101,Q$1,0)</f>
        <v>0</v>
      </c>
      <c r="R39" s="50">
        <f>VLOOKUP($A39,'[1]ma sp 02'!$A$5:$BD$1101,R$1,0)</f>
        <v>0</v>
      </c>
      <c r="S39" s="50">
        <f>VLOOKUP($A39,'[1]ma sp 02'!$A$5:$BD$1101,S$1,0)</f>
        <v>0</v>
      </c>
      <c r="T39" s="50">
        <f>VLOOKUP($A39,'[1]ma sp 02'!$A$5:$BD$1101,T$1,0)</f>
        <v>0</v>
      </c>
      <c r="U39" s="50">
        <f>VLOOKUP($A39,'[1]ma sp 02'!$A$5:$BD$1101,U$1,0)</f>
        <v>0</v>
      </c>
      <c r="V39" s="50">
        <f>VLOOKUP($A39,'[1]ma sp 02'!$A$5:$BD$1101,V$1,0)</f>
        <v>0</v>
      </c>
      <c r="W39" s="50">
        <f>VLOOKUP($A39,'[1]ma sp 02'!$A$5:$BD$1101,W$1,0)</f>
        <v>0</v>
      </c>
      <c r="X39" s="50">
        <f t="shared" si="1"/>
        <v>0</v>
      </c>
      <c r="Y39" s="57"/>
      <c r="Z39" s="57"/>
      <c r="AA39" s="57"/>
      <c r="AB39" s="57"/>
      <c r="AC39" s="57"/>
      <c r="AD39" s="57"/>
      <c r="AE39" s="57" t="s">
        <v>219</v>
      </c>
      <c r="AF39" s="57" t="s">
        <v>220</v>
      </c>
      <c r="AG39" s="82">
        <f>(0.02*0.91+0.006*2.71+0.05*0.91)*0.62</f>
        <v>4.95752E-2</v>
      </c>
      <c r="AH39" s="63">
        <f>(2.3/0.75/2)*0.61</f>
        <v>0.93533333333333324</v>
      </c>
      <c r="AI39" s="63">
        <f>(3/0.75/2)*0.61</f>
        <v>1.22</v>
      </c>
      <c r="AJ39" s="57">
        <v>9530</v>
      </c>
      <c r="AK39" s="57">
        <v>9530</v>
      </c>
      <c r="AL39" s="72" t="s">
        <v>117</v>
      </c>
      <c r="AM39" s="52" t="s">
        <v>104</v>
      </c>
      <c r="AN39" s="57">
        <v>120</v>
      </c>
      <c r="AO39" s="52" t="s">
        <v>137</v>
      </c>
      <c r="AP39" s="59">
        <f>IFERROR(VLOOKUP($A39,[2]Mssp!$A$5:$BE$1463,AP$4+1,0),0)</f>
        <v>0</v>
      </c>
      <c r="AQ39" s="59">
        <f>IFERROR(VLOOKUP($A39,[2]Mssp!$A$5:$BE$1463,AQ$4+1,0),0)</f>
        <v>0</v>
      </c>
      <c r="AR39" s="59">
        <f>IFERROR(VLOOKUP($A39,[2]Mssp!$A$5:$BE$1463,AR$4+1,0),0)</f>
        <v>0</v>
      </c>
      <c r="AS39" s="59">
        <f>IFERROR(VLOOKUP($A39,[2]Mssp!$A$5:$BE$1463,AS$4+1,0),0)</f>
        <v>0</v>
      </c>
      <c r="AT39" s="59">
        <f>IFERROR(VLOOKUP($A39,[2]Mssp!$A$5:$BE$1463,AT$4+1,0),0)</f>
        <v>0</v>
      </c>
      <c r="AU39" s="59">
        <f>IFERROR(VLOOKUP($A39,[2]Mssp!$A$5:$BE$1463,AU$4+1,0),0)</f>
        <v>0</v>
      </c>
      <c r="AV39" s="59">
        <f>IFERROR(VLOOKUP($A39,[2]Mssp!$A$5:$BE$1463,AV$4+1,0),0)</f>
        <v>0</v>
      </c>
      <c r="AW39" s="59">
        <f>IFERROR(VLOOKUP($A39,[2]Mssp!$A$5:$BE$1463,AW$4+1,0),0)</f>
        <v>0</v>
      </c>
      <c r="AX39" s="59">
        <f>IFERROR(VLOOKUP($A39,[2]Mssp!$A$5:$BE$1463,AX$4+1,0),0)</f>
        <v>0</v>
      </c>
      <c r="AY39" s="59">
        <f>IFERROR(VLOOKUP($A39,[2]Mssp!$A$5:$BE$1463,AY$4+2,0),0)</f>
        <v>0</v>
      </c>
      <c r="AZ39" s="59">
        <f>IFERROR(VLOOKUP($A39,[2]Mssp!$A$5:$BE$1463,AZ$4+2,0),0)</f>
        <v>0</v>
      </c>
      <c r="BA39" s="60"/>
      <c r="BB39" s="61" t="s">
        <v>107</v>
      </c>
      <c r="BC39" s="62"/>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9"/>
      <c r="CK39" s="9"/>
      <c r="CL39" s="9"/>
      <c r="CM39" s="9"/>
      <c r="CN39" s="9"/>
      <c r="CO39" s="9"/>
      <c r="CP39" s="9"/>
    </row>
    <row r="40" spans="1:94" ht="45" x14ac:dyDescent="0.25">
      <c r="A40" s="50" t="s">
        <v>221</v>
      </c>
      <c r="B40" s="73" t="s">
        <v>222</v>
      </c>
      <c r="C40" s="50">
        <f t="shared" si="0"/>
        <v>6.8499999999999988</v>
      </c>
      <c r="D40" s="58">
        <v>4</v>
      </c>
      <c r="E40" s="58" t="s">
        <v>90</v>
      </c>
      <c r="F40" s="58">
        <v>7</v>
      </c>
      <c r="G40" s="50" t="s">
        <v>184</v>
      </c>
      <c r="H40" s="50">
        <f>VLOOKUP($A40,'[1]ma sp 02'!$A$5:$BD$1101,H$1,0)</f>
        <v>0.03</v>
      </c>
      <c r="I40" s="50">
        <f>VLOOKUP($A40,'[1]ma sp 02'!$A$5:$BD$1101,I$1,0)</f>
        <v>3.33</v>
      </c>
      <c r="J40" s="50">
        <f>VLOOKUP($A40,'[1]ma sp 02'!$A$5:$BD$1101,J$1,0)</f>
        <v>0.02</v>
      </c>
      <c r="K40" s="50">
        <f>VLOOKUP($A40,'[1]ma sp 02'!$A$5:$BD$1101,K$1,0)</f>
        <v>0.05</v>
      </c>
      <c r="L40" s="50">
        <f>VLOOKUP($A40,'[1]ma sp 02'!$A$5:$BD$1101,L$1,0)</f>
        <v>1.92</v>
      </c>
      <c r="M40" s="50">
        <f>VLOOKUP($A40,'[1]ma sp 02'!$A$5:$BD$1101,M$1,0)</f>
        <v>1.22</v>
      </c>
      <c r="N40" s="50">
        <f>VLOOKUP($A40,'[1]ma sp 02'!$A$5:$BD$1101,N$1,0)</f>
        <v>0</v>
      </c>
      <c r="O40" s="50">
        <f>VLOOKUP($A40,'[1]ma sp 02'!$A$5:$BD$1101,O$1,0)</f>
        <v>0</v>
      </c>
      <c r="P40" s="50">
        <f>VLOOKUP($A40,'[1]ma sp 02'!$A$5:$BD$1101,P$1,0)</f>
        <v>0.26</v>
      </c>
      <c r="Q40" s="50">
        <f>VLOOKUP($A40,'[1]ma sp 02'!$A$5:$BD$1101,Q$1,0)</f>
        <v>0</v>
      </c>
      <c r="R40" s="50">
        <f>VLOOKUP($A40,'[1]ma sp 02'!$A$5:$BD$1101,R$1,0)</f>
        <v>0.02</v>
      </c>
      <c r="S40" s="50">
        <f>VLOOKUP($A40,'[1]ma sp 02'!$A$5:$BD$1101,S$1,0)</f>
        <v>0</v>
      </c>
      <c r="T40" s="50">
        <f>VLOOKUP($A40,'[1]ma sp 02'!$A$5:$BD$1101,T$1,0)</f>
        <v>0</v>
      </c>
      <c r="U40" s="50">
        <f>VLOOKUP($A40,'[1]ma sp 02'!$A$5:$BD$1101,U$1,0)</f>
        <v>0</v>
      </c>
      <c r="V40" s="50">
        <f>VLOOKUP($A40,'[1]ma sp 02'!$A$5:$BD$1101,V$1,0)</f>
        <v>0</v>
      </c>
      <c r="W40" s="50">
        <f>VLOOKUP($A40,'[1]ma sp 02'!$A$5:$BD$1101,W$1,0)</f>
        <v>0</v>
      </c>
      <c r="X40" s="50">
        <f t="shared" si="1"/>
        <v>8</v>
      </c>
      <c r="Y40" s="57"/>
      <c r="Z40" s="57"/>
      <c r="AA40" s="57"/>
      <c r="AB40" s="57"/>
      <c r="AC40" s="57"/>
      <c r="AD40" s="57"/>
      <c r="AE40" s="58" t="s">
        <v>91</v>
      </c>
      <c r="AF40" s="57"/>
      <c r="AG40" s="71">
        <f>(0.002*0.91+0.025*0.91)*0.7</f>
        <v>1.7198999999999999E-2</v>
      </c>
      <c r="AH40" s="63">
        <f>(2.3/0.75/2)*0.69</f>
        <v>1.0579999999999998</v>
      </c>
      <c r="AI40" s="54"/>
      <c r="AJ40" s="58">
        <v>9530</v>
      </c>
      <c r="AK40" s="57"/>
      <c r="AL40" s="58">
        <v>2.3E-3</v>
      </c>
      <c r="AM40" s="52" t="s">
        <v>142</v>
      </c>
      <c r="AN40" s="57">
        <v>170</v>
      </c>
      <c r="AO40" s="52" t="s">
        <v>61</v>
      </c>
      <c r="AP40" s="59" t="str">
        <f>IFERROR(VLOOKUP($A40,[2]Mssp!$A$5:$BE$1463,AP$4+1,0),0)</f>
        <v>F810864G6-1</v>
      </c>
      <c r="AQ40" s="59" t="str">
        <f>IFERROR(VLOOKUP($A40,[2]Mssp!$A$5:$BE$1463,AQ$4+1,0),0)</f>
        <v>F810864G7-2</v>
      </c>
      <c r="AR40" s="59" t="str">
        <f>IFERROR(VLOOKUP($A40,[2]Mssp!$A$5:$BE$1463,AR$4+1,0),0)</f>
        <v>F810864G5-3</v>
      </c>
      <c r="AS40" s="59" t="str">
        <f>IFERROR(VLOOKUP($A40,[2]Mssp!$A$5:$BE$1463,AS$4+1,0),0)</f>
        <v>F810864G8-4</v>
      </c>
      <c r="AT40" s="59" t="str">
        <f>IFERROR(VLOOKUP($A40,[2]Mssp!$A$5:$BE$1463,AT$4+1,0),0)</f>
        <v>F810864G7-5</v>
      </c>
      <c r="AU40" s="59" t="str">
        <f>IFERROR(VLOOKUP($A40,[2]Mssp!$A$5:$BE$1463,AU$4+1,0),0)</f>
        <v>F810864G9-6</v>
      </c>
      <c r="AV40" s="59" t="str">
        <f>IFERROR(VLOOKUP($A40,[2]Mssp!$A$5:$BE$1463,AV$4+1,0),0)</f>
        <v>F810864G10-7 
cây mới</v>
      </c>
      <c r="AW40" s="59" t="str">
        <f>IFERROR(VLOOKUP($A40,[2]Mssp!$A$5:$BE$1463,AW$4+1,0),0)</f>
        <v xml:space="preserve">F810864G4-7 
cây củ </v>
      </c>
      <c r="AX40" s="59">
        <f>IFERROR(VLOOKUP($A40,[2]Mssp!$A$5:$BE$1463,AX$4+1,0),0)</f>
        <v>0</v>
      </c>
      <c r="AY40" s="59" t="str">
        <f>IFERROR(VLOOKUP($A40,[2]Mssp!$A$5:$BE$1463,AY$4+2,0),0)</f>
        <v>500x750</v>
      </c>
      <c r="AZ40" s="59" t="str">
        <f>IFERROR(VLOOKUP($A40,[2]Mssp!$A$5:$BE$1463,AZ$4+2,0),0)</f>
        <v>C1</v>
      </c>
      <c r="BA40" s="60" t="s">
        <v>144</v>
      </c>
      <c r="BB40" s="61" t="s">
        <v>223</v>
      </c>
      <c r="BC40" s="62"/>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9"/>
      <c r="CK40" s="9"/>
      <c r="CL40" s="9"/>
      <c r="CM40" s="9"/>
      <c r="CN40" s="9"/>
      <c r="CO40" s="9"/>
      <c r="CP40" s="9"/>
    </row>
    <row r="41" spans="1:94" ht="45" x14ac:dyDescent="0.25">
      <c r="A41" s="50" t="s">
        <v>224</v>
      </c>
      <c r="B41" s="73" t="s">
        <v>225</v>
      </c>
      <c r="C41" s="50">
        <f t="shared" si="0"/>
        <v>7.6899999999999986</v>
      </c>
      <c r="D41" s="58">
        <v>1</v>
      </c>
      <c r="E41" s="58" t="s">
        <v>86</v>
      </c>
      <c r="F41" s="58">
        <v>5</v>
      </c>
      <c r="G41" s="50" t="s">
        <v>184</v>
      </c>
      <c r="H41" s="50">
        <f>VLOOKUP($A41,'[1]ma sp 02'!$A$5:$BD$1101,H$1,0)</f>
        <v>0.11</v>
      </c>
      <c r="I41" s="50">
        <f>VLOOKUP($A41,'[1]ma sp 02'!$A$5:$BD$1101,I$1,0)</f>
        <v>3.6</v>
      </c>
      <c r="J41" s="50">
        <f>VLOOKUP($A41,'[1]ma sp 02'!$A$5:$BD$1101,J$1,0)</f>
        <v>0.06</v>
      </c>
      <c r="K41" s="50">
        <f>VLOOKUP($A41,'[1]ma sp 02'!$A$5:$BD$1101,K$1,0)</f>
        <v>0.4</v>
      </c>
      <c r="L41" s="50">
        <f>VLOOKUP($A41,'[1]ma sp 02'!$A$5:$BD$1101,L$1,0)</f>
        <v>2.2799999999999998</v>
      </c>
      <c r="M41" s="50">
        <f>VLOOKUP($A41,'[1]ma sp 02'!$A$5:$BD$1101,M$1,0)</f>
        <v>1.05</v>
      </c>
      <c r="N41" s="50">
        <f>VLOOKUP($A41,'[1]ma sp 02'!$A$5:$BD$1101,N$1,0)</f>
        <v>0</v>
      </c>
      <c r="O41" s="50">
        <f>VLOOKUP($A41,'[1]ma sp 02'!$A$5:$BD$1101,O$1,0)</f>
        <v>0</v>
      </c>
      <c r="P41" s="50">
        <f>VLOOKUP($A41,'[1]ma sp 02'!$A$5:$BD$1101,P$1,0)</f>
        <v>0</v>
      </c>
      <c r="Q41" s="50">
        <f>VLOOKUP($A41,'[1]ma sp 02'!$A$5:$BD$1101,Q$1,0)</f>
        <v>0.02</v>
      </c>
      <c r="R41" s="50">
        <f>VLOOKUP($A41,'[1]ma sp 02'!$A$5:$BD$1101,R$1,0)</f>
        <v>0.17</v>
      </c>
      <c r="S41" s="50">
        <f>VLOOKUP($A41,'[1]ma sp 02'!$A$5:$BD$1101,S$1,0)</f>
        <v>0</v>
      </c>
      <c r="T41" s="50">
        <f>VLOOKUP($A41,'[1]ma sp 02'!$A$5:$BD$1101,T$1,0)</f>
        <v>0</v>
      </c>
      <c r="U41" s="50">
        <f>VLOOKUP($A41,'[1]ma sp 02'!$A$5:$BD$1101,U$1,0)</f>
        <v>0</v>
      </c>
      <c r="V41" s="50">
        <f>VLOOKUP($A41,'[1]ma sp 02'!$A$5:$BD$1101,V$1,0)</f>
        <v>0</v>
      </c>
      <c r="W41" s="50">
        <f>VLOOKUP($A41,'[1]ma sp 02'!$A$5:$BD$1101,W$1,0)</f>
        <v>0</v>
      </c>
      <c r="X41" s="50">
        <f t="shared" si="1"/>
        <v>8</v>
      </c>
      <c r="Y41" s="57"/>
      <c r="Z41" s="57"/>
      <c r="AA41" s="57"/>
      <c r="AB41" s="57"/>
      <c r="AC41" s="57"/>
      <c r="AD41" s="57"/>
      <c r="AE41" s="58" t="s">
        <v>226</v>
      </c>
      <c r="AF41" s="57"/>
      <c r="AG41" s="71">
        <f>(0.02*0.91+0.035*0.91)*0.44</f>
        <v>2.2022000000000003E-2</v>
      </c>
      <c r="AH41" s="63">
        <f>(2/0.75/2)*0.43</f>
        <v>0.57333333333333325</v>
      </c>
      <c r="AI41" s="57"/>
      <c r="AJ41" s="58">
        <v>9530</v>
      </c>
      <c r="AK41" s="57"/>
      <c r="AL41" s="58">
        <v>2.3E-3</v>
      </c>
      <c r="AM41" s="52" t="s">
        <v>227</v>
      </c>
      <c r="AN41" s="57">
        <v>310</v>
      </c>
      <c r="AO41" s="52" t="s">
        <v>228</v>
      </c>
      <c r="AP41" s="59" t="str">
        <f>IFERROR(VLOOKUP($A41,[2]Mssp!$A$5:$BE$1463,AP$4+1,0),0)</f>
        <v>21040498-1</v>
      </c>
      <c r="AQ41" s="59" t="str">
        <f>IFERROR(VLOOKUP($A41,[2]Mssp!$A$5:$BE$1463,AQ$4+1,0),0)</f>
        <v>1708739-2</v>
      </c>
      <c r="AR41" s="59" t="str">
        <f>IFERROR(VLOOKUP($A41,[2]Mssp!$A$5:$BE$1463,AR$4+1,0),0)</f>
        <v>21040498-3</v>
      </c>
      <c r="AS41" s="59" t="str">
        <f>IFERROR(VLOOKUP($A41,[2]Mssp!$A$5:$BE$1463,AS$4+1,0),0)</f>
        <v>1708739-4</v>
      </c>
      <c r="AT41" s="59" t="str">
        <f>IFERROR(VLOOKUP($A41,[2]Mssp!$A$5:$BE$1463,AT$4+1,0),0)</f>
        <v>1708739-5</v>
      </c>
      <c r="AU41" s="59">
        <f>IFERROR(VLOOKUP($A41,[2]Mssp!$A$5:$BE$1463,AU$4+1,0),0)</f>
        <v>0</v>
      </c>
      <c r="AV41" s="59">
        <f>IFERROR(VLOOKUP($A41,[2]Mssp!$A$5:$BE$1463,AV$4+1,0),0)</f>
        <v>0</v>
      </c>
      <c r="AW41" s="59">
        <f>IFERROR(VLOOKUP($A41,[2]Mssp!$A$5:$BE$1463,AW$4+1,0),0)</f>
        <v>0</v>
      </c>
      <c r="AX41" s="59">
        <f>IFERROR(VLOOKUP($A41,[2]Mssp!$A$5:$BE$1463,AX$4+1,0),0)</f>
        <v>0</v>
      </c>
      <c r="AY41" s="59" t="str">
        <f>IFERROR(VLOOKUP($A41,[2]Mssp!$A$5:$BE$1463,AY$4+2,0),0)</f>
        <v>620x750</v>
      </c>
      <c r="AZ41" s="59" t="str">
        <f>IFERROR(VLOOKUP($A41,[2]Mssp!$A$5:$BE$1463,AZ$4+2,0),0)</f>
        <v>M2</v>
      </c>
      <c r="BA41" s="60">
        <v>3000</v>
      </c>
      <c r="BB41" s="61" t="s">
        <v>62</v>
      </c>
      <c r="BC41" s="62"/>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row>
    <row r="42" spans="1:94" ht="45" x14ac:dyDescent="0.25">
      <c r="A42" s="50" t="s">
        <v>229</v>
      </c>
      <c r="B42" s="73" t="s">
        <v>230</v>
      </c>
      <c r="C42" s="50">
        <f t="shared" si="0"/>
        <v>4.7999999999999989</v>
      </c>
      <c r="D42" s="57">
        <v>1</v>
      </c>
      <c r="E42" s="58" t="s">
        <v>86</v>
      </c>
      <c r="F42" s="58">
        <v>5</v>
      </c>
      <c r="G42" s="50" t="s">
        <v>184</v>
      </c>
      <c r="H42" s="50">
        <f>VLOOKUP($A42,'[1]ma sp 02'!$A$5:$BD$1101,H$1,0)</f>
        <v>0</v>
      </c>
      <c r="I42" s="50">
        <f>VLOOKUP($A42,'[1]ma sp 02'!$A$5:$BD$1101,I$1,0)</f>
        <v>2.6</v>
      </c>
      <c r="J42" s="50">
        <f>VLOOKUP($A42,'[1]ma sp 02'!$A$5:$BD$1101,J$1,0)</f>
        <v>0</v>
      </c>
      <c r="K42" s="50">
        <f>VLOOKUP($A42,'[1]ma sp 02'!$A$5:$BD$1101,K$1,0)</f>
        <v>0.5</v>
      </c>
      <c r="L42" s="50">
        <f>VLOOKUP($A42,'[1]ma sp 02'!$A$5:$BD$1101,L$1,0)</f>
        <v>1.5</v>
      </c>
      <c r="M42" s="50">
        <f>VLOOKUP($A42,'[1]ma sp 02'!$A$5:$BD$1101,M$1,0)</f>
        <v>0</v>
      </c>
      <c r="N42" s="50">
        <f>VLOOKUP($A42,'[1]ma sp 02'!$A$5:$BD$1101,N$1,0)</f>
        <v>0</v>
      </c>
      <c r="O42" s="50">
        <f>VLOOKUP($A42,'[1]ma sp 02'!$A$5:$BD$1101,O$1,0)</f>
        <v>0.1</v>
      </c>
      <c r="P42" s="50">
        <f>VLOOKUP($A42,'[1]ma sp 02'!$A$5:$BD$1101,P$1,0)</f>
        <v>0</v>
      </c>
      <c r="Q42" s="50">
        <f>VLOOKUP($A42,'[1]ma sp 02'!$A$5:$BD$1101,Q$1,0)</f>
        <v>0</v>
      </c>
      <c r="R42" s="50">
        <f>VLOOKUP($A42,'[1]ma sp 02'!$A$5:$BD$1101,R$1,0)</f>
        <v>0.1</v>
      </c>
      <c r="S42" s="50">
        <f>VLOOKUP($A42,'[1]ma sp 02'!$A$5:$BD$1101,S$1,0)</f>
        <v>0</v>
      </c>
      <c r="T42" s="50">
        <f>VLOOKUP($A42,'[1]ma sp 02'!$A$5:$BD$1101,T$1,0)</f>
        <v>0</v>
      </c>
      <c r="U42" s="50">
        <f>VLOOKUP($A42,'[1]ma sp 02'!$A$5:$BD$1101,U$1,0)</f>
        <v>0</v>
      </c>
      <c r="V42" s="50">
        <f>VLOOKUP($A42,'[1]ma sp 02'!$A$5:$BD$1101,V$1,0)</f>
        <v>0</v>
      </c>
      <c r="W42" s="50">
        <f>VLOOKUP($A42,'[1]ma sp 02'!$A$5:$BD$1101,W$1,0)</f>
        <v>0</v>
      </c>
      <c r="X42" s="50">
        <f t="shared" si="1"/>
        <v>5</v>
      </c>
      <c r="Y42" s="57"/>
      <c r="Z42" s="57"/>
      <c r="AA42" s="57"/>
      <c r="AB42" s="57"/>
      <c r="AC42" s="57"/>
      <c r="AD42" s="57"/>
      <c r="AE42" s="58" t="s">
        <v>226</v>
      </c>
      <c r="AF42" s="57"/>
      <c r="AG42" s="71">
        <f>(0.02*0.91+0.035*0.91)*0.44</f>
        <v>2.2022000000000003E-2</v>
      </c>
      <c r="AH42" s="63">
        <f>(2/0.75/2)*0.43</f>
        <v>0.57333333333333325</v>
      </c>
      <c r="AI42" s="57"/>
      <c r="AJ42" s="58">
        <v>9530</v>
      </c>
      <c r="AK42" s="57"/>
      <c r="AL42" s="58">
        <v>2.3E-3</v>
      </c>
      <c r="AM42" s="52" t="s">
        <v>227</v>
      </c>
      <c r="AN42" s="57">
        <v>310</v>
      </c>
      <c r="AO42" s="52" t="s">
        <v>228</v>
      </c>
      <c r="AP42" s="59">
        <f>IFERROR(VLOOKUP($A42,[2]Mssp!$A$5:$BE$1463,AP$4+1,0),0)</f>
        <v>0</v>
      </c>
      <c r="AQ42" s="59">
        <f>IFERROR(VLOOKUP($A42,[2]Mssp!$A$5:$BE$1463,AQ$4+1,0),0)</f>
        <v>0</v>
      </c>
      <c r="AR42" s="59">
        <f>IFERROR(VLOOKUP($A42,[2]Mssp!$A$5:$BE$1463,AR$4+1,0),0)</f>
        <v>0</v>
      </c>
      <c r="AS42" s="59">
        <f>IFERROR(VLOOKUP($A42,[2]Mssp!$A$5:$BE$1463,AS$4+1,0),0)</f>
        <v>0</v>
      </c>
      <c r="AT42" s="59">
        <f>IFERROR(VLOOKUP($A42,[2]Mssp!$A$5:$BE$1463,AT$4+1,0),0)</f>
        <v>0</v>
      </c>
      <c r="AU42" s="59">
        <f>IFERROR(VLOOKUP($A42,[2]Mssp!$A$5:$BE$1463,AU$4+1,0),0)</f>
        <v>0</v>
      </c>
      <c r="AV42" s="59">
        <f>IFERROR(VLOOKUP($A42,[2]Mssp!$A$5:$BE$1463,AV$4+1,0),0)</f>
        <v>0</v>
      </c>
      <c r="AW42" s="59">
        <f>IFERROR(VLOOKUP($A42,[2]Mssp!$A$5:$BE$1463,AW$4+1,0),0)</f>
        <v>0</v>
      </c>
      <c r="AX42" s="59">
        <f>IFERROR(VLOOKUP($A42,[2]Mssp!$A$5:$BE$1463,AX$4+1,0),0)</f>
        <v>0</v>
      </c>
      <c r="AY42" s="59">
        <f>IFERROR(VLOOKUP($A42,[2]Mssp!$A$5:$BE$1463,AY$4+2,0),0)</f>
        <v>0</v>
      </c>
      <c r="AZ42" s="59">
        <f>IFERROR(VLOOKUP($A42,[2]Mssp!$A$5:$BE$1463,AZ$4+2,0),0)</f>
        <v>0</v>
      </c>
      <c r="BA42" s="60">
        <v>3000</v>
      </c>
      <c r="BB42" s="61" t="s">
        <v>62</v>
      </c>
      <c r="BC42" s="62"/>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row>
    <row r="43" spans="1:94" ht="30" x14ac:dyDescent="0.25">
      <c r="A43" s="50" t="s">
        <v>231</v>
      </c>
      <c r="B43" s="73" t="s">
        <v>232</v>
      </c>
      <c r="C43" s="50">
        <f t="shared" si="0"/>
        <v>4.2399999999999993</v>
      </c>
      <c r="D43" s="57">
        <v>1</v>
      </c>
      <c r="E43" s="58" t="s">
        <v>163</v>
      </c>
      <c r="F43" s="58">
        <v>6</v>
      </c>
      <c r="G43" s="50" t="s">
        <v>184</v>
      </c>
      <c r="H43" s="50">
        <f>VLOOKUP($A43,'[1]ma sp 02'!$A$5:$BD$1101,H$1,0)</f>
        <v>0.2</v>
      </c>
      <c r="I43" s="50">
        <f>VLOOKUP($A43,'[1]ma sp 02'!$A$5:$BD$1101,I$1,0)</f>
        <v>1.53</v>
      </c>
      <c r="J43" s="50">
        <f>VLOOKUP($A43,'[1]ma sp 02'!$A$5:$BD$1101,J$1,0)</f>
        <v>0.15</v>
      </c>
      <c r="K43" s="50">
        <f>VLOOKUP($A43,'[1]ma sp 02'!$A$5:$BD$1101,K$1,0)</f>
        <v>0.51</v>
      </c>
      <c r="L43" s="50">
        <f>VLOOKUP($A43,'[1]ma sp 02'!$A$5:$BD$1101,L$1,0)</f>
        <v>1.23</v>
      </c>
      <c r="M43" s="50">
        <f>VLOOKUP($A43,'[1]ma sp 02'!$A$5:$BD$1101,M$1,0)</f>
        <v>0.61</v>
      </c>
      <c r="N43" s="50">
        <f>VLOOKUP($A43,'[1]ma sp 02'!$A$5:$BD$1101,N$1,0)</f>
        <v>0</v>
      </c>
      <c r="O43" s="50">
        <f>VLOOKUP($A43,'[1]ma sp 02'!$A$5:$BD$1101,O$1,0)</f>
        <v>0</v>
      </c>
      <c r="P43" s="50">
        <f>VLOOKUP($A43,'[1]ma sp 02'!$A$5:$BD$1101,P$1,0)</f>
        <v>0</v>
      </c>
      <c r="Q43" s="50">
        <f>VLOOKUP($A43,'[1]ma sp 02'!$A$5:$BD$1101,Q$1,0)</f>
        <v>0</v>
      </c>
      <c r="R43" s="50">
        <f>VLOOKUP($A43,'[1]ma sp 02'!$A$5:$BD$1101,R$1,0)</f>
        <v>0</v>
      </c>
      <c r="S43" s="50">
        <f>VLOOKUP($A43,'[1]ma sp 02'!$A$5:$BD$1101,S$1,0)</f>
        <v>0.01</v>
      </c>
      <c r="T43" s="50">
        <f>VLOOKUP($A43,'[1]ma sp 02'!$A$5:$BD$1101,T$1,0)</f>
        <v>0</v>
      </c>
      <c r="U43" s="50">
        <f>VLOOKUP($A43,'[1]ma sp 02'!$A$5:$BD$1101,U$1,0)</f>
        <v>0</v>
      </c>
      <c r="V43" s="50">
        <f>VLOOKUP($A43,'[1]ma sp 02'!$A$5:$BD$1101,V$1,0)</f>
        <v>0</v>
      </c>
      <c r="W43" s="50">
        <f>VLOOKUP($A43,'[1]ma sp 02'!$A$5:$BD$1101,W$1,0)</f>
        <v>0</v>
      </c>
      <c r="X43" s="50">
        <f t="shared" si="1"/>
        <v>7</v>
      </c>
      <c r="Y43" s="57"/>
      <c r="Z43" s="57"/>
      <c r="AA43" s="57"/>
      <c r="AB43" s="57"/>
      <c r="AC43" s="57"/>
      <c r="AD43" s="57"/>
      <c r="AE43" s="58" t="s">
        <v>233</v>
      </c>
      <c r="AF43" s="57"/>
      <c r="AG43" s="71">
        <f>(0.02*0.91+0.035*0.91)*0.64</f>
        <v>3.2032000000000005E-2</v>
      </c>
      <c r="AH43" s="63">
        <f>(2/0.75/2)*0.63</f>
        <v>0.84</v>
      </c>
      <c r="AI43" s="57"/>
      <c r="AJ43" s="58">
        <v>9530</v>
      </c>
      <c r="AK43" s="57"/>
      <c r="AL43" s="58">
        <v>2.5000000000000001E-3</v>
      </c>
      <c r="AM43" s="52" t="s">
        <v>74</v>
      </c>
      <c r="AN43" s="57">
        <v>230</v>
      </c>
      <c r="AO43" s="52" t="s">
        <v>234</v>
      </c>
      <c r="AP43" s="59" t="str">
        <f>IFERROR(VLOOKUP($A43,[2]Mssp!$A$5:$BE$1463,AP$4+1,0),0)</f>
        <v>F125899-1</v>
      </c>
      <c r="AQ43" s="59" t="str">
        <f>IFERROR(VLOOKUP($A43,[2]Mssp!$A$5:$BE$1463,AQ$4+1,0),0)</f>
        <v>F105356-2</v>
      </c>
      <c r="AR43" s="59" t="str">
        <f>IFERROR(VLOOKUP($A43,[2]Mssp!$A$5:$BE$1463,AR$4+1,0),0)</f>
        <v>F125899G1-3</v>
      </c>
      <c r="AS43" s="59" t="str">
        <f>IFERROR(VLOOKUP($A43,[2]Mssp!$A$5:$BE$1463,AS$4+1,0),0)</f>
        <v>F105356-4</v>
      </c>
      <c r="AT43" s="59" t="str">
        <f>IFERROR(VLOOKUP($A43,[2]Mssp!$A$5:$BE$1463,AT$4+1,0),0)</f>
        <v>F105356-5</v>
      </c>
      <c r="AU43" s="59" t="str">
        <f>IFERROR(VLOOKUP($A43,[2]Mssp!$A$5:$BE$1463,AU$4+1,0),0)</f>
        <v>F105356-6</v>
      </c>
      <c r="AV43" s="59">
        <f>IFERROR(VLOOKUP($A43,[2]Mssp!$A$5:$BE$1463,AV$4+1,0),0)</f>
        <v>0</v>
      </c>
      <c r="AW43" s="59">
        <f>IFERROR(VLOOKUP($A43,[2]Mssp!$A$5:$BE$1463,AW$4+1,0),0)</f>
        <v>0</v>
      </c>
      <c r="AX43" s="59">
        <f>IFERROR(VLOOKUP($A43,[2]Mssp!$A$5:$BE$1463,AX$4+1,0),0)</f>
        <v>0</v>
      </c>
      <c r="AY43" s="59" t="str">
        <f>IFERROR(VLOOKUP($A43,[2]Mssp!$A$5:$BE$1463,AY$4+2,0),0)</f>
        <v>460x750</v>
      </c>
      <c r="AZ43" s="59" t="str">
        <f>IFERROR(VLOOKUP($A43,[2]Mssp!$A$5:$BE$1463,AZ$4+2,0),0)</f>
        <v>M2</v>
      </c>
      <c r="BA43" s="60"/>
      <c r="BB43" s="61" t="s">
        <v>235</v>
      </c>
      <c r="BC43" s="62"/>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row>
    <row r="44" spans="1:94" ht="45" x14ac:dyDescent="0.25">
      <c r="A44" s="50" t="s">
        <v>236</v>
      </c>
      <c r="B44" s="73" t="s">
        <v>237</v>
      </c>
      <c r="C44" s="50">
        <f t="shared" si="0"/>
        <v>4.2</v>
      </c>
      <c r="D44" s="58">
        <v>2</v>
      </c>
      <c r="E44" s="58" t="s">
        <v>238</v>
      </c>
      <c r="F44" s="58">
        <v>5</v>
      </c>
      <c r="G44" s="50" t="s">
        <v>184</v>
      </c>
      <c r="H44" s="50">
        <f>VLOOKUP($A44,'[1]ma sp 02'!$A$5:$BD$1101,H$1,0)</f>
        <v>0.1</v>
      </c>
      <c r="I44" s="50">
        <f>VLOOKUP($A44,'[1]ma sp 02'!$A$5:$BD$1101,I$1,0)</f>
        <v>1.4</v>
      </c>
      <c r="J44" s="50">
        <f>VLOOKUP($A44,'[1]ma sp 02'!$A$5:$BD$1101,J$1,0)</f>
        <v>0.1</v>
      </c>
      <c r="K44" s="50">
        <f>VLOOKUP($A44,'[1]ma sp 02'!$A$5:$BD$1101,K$1,0)</f>
        <v>0</v>
      </c>
      <c r="L44" s="50">
        <f>VLOOKUP($A44,'[1]ma sp 02'!$A$5:$BD$1101,L$1,0)</f>
        <v>1.3</v>
      </c>
      <c r="M44" s="50">
        <f>VLOOKUP($A44,'[1]ma sp 02'!$A$5:$BD$1101,M$1,0)</f>
        <v>0.7</v>
      </c>
      <c r="N44" s="50">
        <f>VLOOKUP($A44,'[1]ma sp 02'!$A$5:$BD$1101,N$1,0)</f>
        <v>0</v>
      </c>
      <c r="O44" s="50">
        <f>VLOOKUP($A44,'[1]ma sp 02'!$A$5:$BD$1101,O$1,0)</f>
        <v>0</v>
      </c>
      <c r="P44" s="50">
        <f>VLOOKUP($A44,'[1]ma sp 02'!$A$5:$BD$1101,P$1,0)</f>
        <v>0.6</v>
      </c>
      <c r="Q44" s="50">
        <f>VLOOKUP($A44,'[1]ma sp 02'!$A$5:$BD$1101,Q$1,0)</f>
        <v>0</v>
      </c>
      <c r="R44" s="50">
        <f>VLOOKUP($A44,'[1]ma sp 02'!$A$5:$BD$1101,R$1,0)</f>
        <v>0</v>
      </c>
      <c r="S44" s="50">
        <f>VLOOKUP($A44,'[1]ma sp 02'!$A$5:$BD$1101,S$1,0)</f>
        <v>0</v>
      </c>
      <c r="T44" s="50">
        <f>VLOOKUP($A44,'[1]ma sp 02'!$A$5:$BD$1101,T$1,0)</f>
        <v>0</v>
      </c>
      <c r="U44" s="50">
        <f>VLOOKUP($A44,'[1]ma sp 02'!$A$5:$BD$1101,U$1,0)</f>
        <v>0</v>
      </c>
      <c r="V44" s="50">
        <f>VLOOKUP($A44,'[1]ma sp 02'!$A$5:$BD$1101,V$1,0)</f>
        <v>0</v>
      </c>
      <c r="W44" s="50">
        <f>VLOOKUP($A44,'[1]ma sp 02'!$A$5:$BD$1101,W$1,0)</f>
        <v>0</v>
      </c>
      <c r="X44" s="50">
        <f t="shared" si="1"/>
        <v>6</v>
      </c>
      <c r="Y44" s="57"/>
      <c r="Z44" s="57"/>
      <c r="AA44" s="57"/>
      <c r="AB44" s="57"/>
      <c r="AC44" s="57"/>
      <c r="AD44" s="57"/>
      <c r="AE44" s="58" t="s">
        <v>239</v>
      </c>
      <c r="AF44" s="57"/>
      <c r="AG44" s="71">
        <f>(0.02*0.91+0.065*0.925)*0.47</f>
        <v>3.6812749999999998E-2</v>
      </c>
      <c r="AH44" s="63">
        <f>(2/0.75/2)*0.46</f>
        <v>0.61333333333333329</v>
      </c>
      <c r="AI44" s="57"/>
      <c r="AJ44" s="58">
        <v>9530</v>
      </c>
      <c r="AK44" s="57"/>
      <c r="AL44" s="58">
        <v>2E-3</v>
      </c>
      <c r="AM44" s="52" t="s">
        <v>74</v>
      </c>
      <c r="AN44" s="57">
        <v>160</v>
      </c>
      <c r="AO44" s="52" t="s">
        <v>240</v>
      </c>
      <c r="AP44" s="59" t="str">
        <f>IFERROR(VLOOKUP($A44,[2]Mssp!$A$5:$BE$1463,AP$4+1,0),0)</f>
        <v>1412417-1</v>
      </c>
      <c r="AQ44" s="59" t="str">
        <f>IFERROR(VLOOKUP($A44,[2]Mssp!$A$5:$BE$1463,AQ$4+1,0),0)</f>
        <v>1308276-2</v>
      </c>
      <c r="AR44" s="59" t="str">
        <f>IFERROR(VLOOKUP($A44,[2]Mssp!$A$5:$BE$1463,AR$4+1,0),0)</f>
        <v>1308276-3</v>
      </c>
      <c r="AS44" s="59" t="str">
        <f>IFERROR(VLOOKUP($A44,[2]Mssp!$A$5:$BE$1463,AS$4+1,0),0)</f>
        <v>1308276-4</v>
      </c>
      <c r="AT44" s="59" t="str">
        <f>IFERROR(VLOOKUP($A44,[2]Mssp!$A$5:$BE$1463,AT$4+1,0),0)</f>
        <v>18011108-5</v>
      </c>
      <c r="AU44" s="59">
        <f>IFERROR(VLOOKUP($A44,[2]Mssp!$A$5:$BE$1463,AU$4+1,0),0)</f>
        <v>0</v>
      </c>
      <c r="AV44" s="59">
        <f>IFERROR(VLOOKUP($A44,[2]Mssp!$A$5:$BE$1463,AV$4+1,0),0)</f>
        <v>0</v>
      </c>
      <c r="AW44" s="59">
        <f>IFERROR(VLOOKUP($A44,[2]Mssp!$A$5:$BE$1463,AW$4+1,0),0)</f>
        <v>0</v>
      </c>
      <c r="AX44" s="59">
        <f>IFERROR(VLOOKUP($A44,[2]Mssp!$A$5:$BE$1463,AX$4+1,0),0)</f>
        <v>0</v>
      </c>
      <c r="AY44" s="59" t="str">
        <f>IFERROR(VLOOKUP($A44,[2]Mssp!$A$5:$BE$1463,AY$4+2,0),0)</f>
        <v>480x740</v>
      </c>
      <c r="AZ44" s="59" t="str">
        <f>IFERROR(VLOOKUP($A44,[2]Mssp!$A$5:$BE$1463,AZ$4+2,0),0)</f>
        <v>M2</v>
      </c>
      <c r="BA44" s="60">
        <v>10000</v>
      </c>
      <c r="BB44" s="61" t="s">
        <v>62</v>
      </c>
      <c r="BC44" s="62"/>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c r="CP44" s="9"/>
    </row>
    <row r="45" spans="1:94" ht="45" x14ac:dyDescent="0.25">
      <c r="A45" s="50" t="s">
        <v>241</v>
      </c>
      <c r="B45" s="73" t="s">
        <v>242</v>
      </c>
      <c r="C45" s="50">
        <f t="shared" si="0"/>
        <v>8.5499999999999989</v>
      </c>
      <c r="D45" s="58">
        <v>2</v>
      </c>
      <c r="E45" s="58" t="s">
        <v>97</v>
      </c>
      <c r="F45" s="58">
        <v>5</v>
      </c>
      <c r="G45" s="50" t="s">
        <v>56</v>
      </c>
      <c r="H45" s="50">
        <f>VLOOKUP($A45,'[1]ma sp 02'!$A$5:$BD$1101,H$1,0)</f>
        <v>0.39</v>
      </c>
      <c r="I45" s="50">
        <f>VLOOKUP($A45,'[1]ma sp 02'!$A$5:$BD$1101,I$1,0)</f>
        <v>2.95</v>
      </c>
      <c r="J45" s="50">
        <f>VLOOKUP($A45,'[1]ma sp 02'!$A$5:$BD$1101,J$1,0)</f>
        <v>3.18</v>
      </c>
      <c r="K45" s="50">
        <f>VLOOKUP($A45,'[1]ma sp 02'!$A$5:$BD$1101,K$1,0)</f>
        <v>0.31</v>
      </c>
      <c r="L45" s="50">
        <f>VLOOKUP($A45,'[1]ma sp 02'!$A$5:$BD$1101,L$1,0)</f>
        <v>0.01</v>
      </c>
      <c r="M45" s="50">
        <f>VLOOKUP($A45,'[1]ma sp 02'!$A$5:$BD$1101,M$1,0)</f>
        <v>1.0900000000000001</v>
      </c>
      <c r="N45" s="50">
        <f>VLOOKUP($A45,'[1]ma sp 02'!$A$5:$BD$1101,N$1,0)</f>
        <v>0</v>
      </c>
      <c r="O45" s="50">
        <f>VLOOKUP($A45,'[1]ma sp 02'!$A$5:$BD$1101,O$1,0)</f>
        <v>0</v>
      </c>
      <c r="P45" s="50">
        <f>VLOOKUP($A45,'[1]ma sp 02'!$A$5:$BD$1101,P$1,0)</f>
        <v>0.62</v>
      </c>
      <c r="Q45" s="50">
        <f>VLOOKUP($A45,'[1]ma sp 02'!$A$5:$BD$1101,Q$1,0)</f>
        <v>0</v>
      </c>
      <c r="R45" s="50">
        <f>VLOOKUP($A45,'[1]ma sp 02'!$A$5:$BD$1101,R$1,0)</f>
        <v>0</v>
      </c>
      <c r="S45" s="50">
        <f>VLOOKUP($A45,'[1]ma sp 02'!$A$5:$BD$1101,S$1,0)</f>
        <v>0</v>
      </c>
      <c r="T45" s="50">
        <f>VLOOKUP($A45,'[1]ma sp 02'!$A$5:$BD$1101,T$1,0)</f>
        <v>0</v>
      </c>
      <c r="U45" s="50">
        <f>VLOOKUP($A45,'[1]ma sp 02'!$A$5:$BD$1101,U$1,0)</f>
        <v>0</v>
      </c>
      <c r="V45" s="50">
        <f>VLOOKUP($A45,'[1]ma sp 02'!$A$5:$BD$1101,V$1,0)</f>
        <v>0</v>
      </c>
      <c r="W45" s="50">
        <f>VLOOKUP($A45,'[1]ma sp 02'!$A$5:$BD$1101,W$1,0)</f>
        <v>0</v>
      </c>
      <c r="X45" s="50">
        <f t="shared" si="1"/>
        <v>7</v>
      </c>
      <c r="Y45" s="57"/>
      <c r="Z45" s="57"/>
      <c r="AA45" s="57"/>
      <c r="AB45" s="57"/>
      <c r="AC45" s="57"/>
      <c r="AD45" s="57"/>
      <c r="AE45" s="58" t="s">
        <v>243</v>
      </c>
      <c r="AF45" s="57"/>
      <c r="AG45" s="71">
        <f>(0.02*0.91+0.04*0.925)*0.54</f>
        <v>2.9808000000000005E-2</v>
      </c>
      <c r="AH45" s="63">
        <f>(2/0.75/2)*0.53</f>
        <v>0.70666666666666667</v>
      </c>
      <c r="AI45" s="63"/>
      <c r="AJ45" s="58">
        <v>9530</v>
      </c>
      <c r="AK45" s="57"/>
      <c r="AL45" s="58">
        <v>2E-3</v>
      </c>
      <c r="AM45" s="52" t="s">
        <v>74</v>
      </c>
      <c r="AN45" s="57">
        <v>180</v>
      </c>
      <c r="AO45" s="52" t="s">
        <v>244</v>
      </c>
      <c r="AP45" s="59" t="str">
        <f>IFERROR(VLOOKUP($A45,[2]Mssp!$A$5:$BE$1463,AP$4+1,0),0)</f>
        <v>F113905-1</v>
      </c>
      <c r="AQ45" s="59" t="str">
        <f>IFERROR(VLOOKUP($A45,[2]Mssp!$A$5:$BE$1463,AQ$4+1,0),0)</f>
        <v>F305575-2</v>
      </c>
      <c r="AR45" s="59" t="str">
        <f>IFERROR(VLOOKUP($A45,[2]Mssp!$A$5:$BE$1463,AR$4+1,0),0)</f>
        <v>F305575-3</v>
      </c>
      <c r="AS45" s="59" t="str">
        <f>IFERROR(VLOOKUP($A45,[2]Mssp!$A$5:$BE$1463,AS$4+1,0),0)</f>
        <v>F305575-4</v>
      </c>
      <c r="AT45" s="59" t="str">
        <f>IFERROR(VLOOKUP($A45,[2]Mssp!$A$5:$BE$1463,AT$4+1,0),0)</f>
        <v>F305575-5</v>
      </c>
      <c r="AU45" s="59">
        <f>IFERROR(VLOOKUP($A45,[2]Mssp!$A$5:$BE$1463,AU$4+1,0),0)</f>
        <v>0</v>
      </c>
      <c r="AV45" s="59">
        <f>IFERROR(VLOOKUP($A45,[2]Mssp!$A$5:$BE$1463,AV$4+1,0),0)</f>
        <v>0</v>
      </c>
      <c r="AW45" s="59">
        <f>IFERROR(VLOOKUP($A45,[2]Mssp!$A$5:$BE$1463,AW$4+1,0),0)</f>
        <v>0</v>
      </c>
      <c r="AX45" s="59">
        <f>IFERROR(VLOOKUP($A45,[2]Mssp!$A$5:$BE$1463,AX$4+1,0),0)</f>
        <v>0</v>
      </c>
      <c r="AY45" s="59" t="str">
        <f>IFERROR(VLOOKUP($A45,[2]Mssp!$A$5:$BE$1463,AY$4+2,0),0)</f>
        <v>540x750</v>
      </c>
      <c r="AZ45" s="59" t="str">
        <f>IFERROR(VLOOKUP($A45,[2]Mssp!$A$5:$BE$1463,AZ$4+2,0),0)</f>
        <v>M2</v>
      </c>
      <c r="BA45" s="60">
        <v>0</v>
      </c>
      <c r="BB45" s="61" t="s">
        <v>62</v>
      </c>
      <c r="BC45" s="62"/>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row>
    <row r="46" spans="1:94" ht="45" x14ac:dyDescent="0.25">
      <c r="A46" s="50" t="s">
        <v>245</v>
      </c>
      <c r="B46" s="73" t="s">
        <v>246</v>
      </c>
      <c r="C46" s="50">
        <f t="shared" si="0"/>
        <v>0</v>
      </c>
      <c r="D46" s="57">
        <v>6</v>
      </c>
      <c r="E46" s="58" t="s">
        <v>247</v>
      </c>
      <c r="F46" s="58">
        <v>5</v>
      </c>
      <c r="G46" s="50" t="s">
        <v>184</v>
      </c>
      <c r="H46" s="50">
        <f>VLOOKUP($A46,'[1]ma sp 02'!$A$5:$BD$1101,H$1,0)</f>
        <v>0</v>
      </c>
      <c r="I46" s="50">
        <f>VLOOKUP($A46,'[1]ma sp 02'!$A$5:$BD$1101,I$1,0)</f>
        <v>0</v>
      </c>
      <c r="J46" s="50">
        <f>VLOOKUP($A46,'[1]ma sp 02'!$A$5:$BD$1101,J$1,0)</f>
        <v>0</v>
      </c>
      <c r="K46" s="50">
        <f>VLOOKUP($A46,'[1]ma sp 02'!$A$5:$BD$1101,K$1,0)</f>
        <v>0</v>
      </c>
      <c r="L46" s="50">
        <f>VLOOKUP($A46,'[1]ma sp 02'!$A$5:$BD$1101,L$1,0)</f>
        <v>0</v>
      </c>
      <c r="M46" s="50">
        <f>VLOOKUP($A46,'[1]ma sp 02'!$A$5:$BD$1101,M$1,0)</f>
        <v>0</v>
      </c>
      <c r="N46" s="50">
        <f>VLOOKUP($A46,'[1]ma sp 02'!$A$5:$BD$1101,N$1,0)</f>
        <v>0</v>
      </c>
      <c r="O46" s="50">
        <f>VLOOKUP($A46,'[1]ma sp 02'!$A$5:$BD$1101,O$1,0)</f>
        <v>0</v>
      </c>
      <c r="P46" s="50">
        <f>VLOOKUP($A46,'[1]ma sp 02'!$A$5:$BD$1101,P$1,0)</f>
        <v>0</v>
      </c>
      <c r="Q46" s="50">
        <f>VLOOKUP($A46,'[1]ma sp 02'!$A$5:$BD$1101,Q$1,0)</f>
        <v>0</v>
      </c>
      <c r="R46" s="50">
        <f>VLOOKUP($A46,'[1]ma sp 02'!$A$5:$BD$1101,R$1,0)</f>
        <v>0</v>
      </c>
      <c r="S46" s="50">
        <f>VLOOKUP($A46,'[1]ma sp 02'!$A$5:$BD$1101,S$1,0)</f>
        <v>0</v>
      </c>
      <c r="T46" s="50">
        <f>VLOOKUP($A46,'[1]ma sp 02'!$A$5:$BD$1101,T$1,0)</f>
        <v>0</v>
      </c>
      <c r="U46" s="50">
        <f>VLOOKUP($A46,'[1]ma sp 02'!$A$5:$BD$1101,U$1,0)</f>
        <v>0</v>
      </c>
      <c r="V46" s="50">
        <f>VLOOKUP($A46,'[1]ma sp 02'!$A$5:$BD$1101,V$1,0)</f>
        <v>0</v>
      </c>
      <c r="W46" s="50">
        <f>VLOOKUP($A46,'[1]ma sp 02'!$A$5:$BD$1101,W$1,0)</f>
        <v>0</v>
      </c>
      <c r="X46" s="50">
        <f t="shared" si="1"/>
        <v>0</v>
      </c>
      <c r="Y46" s="57"/>
      <c r="Z46" s="57"/>
      <c r="AA46" s="57"/>
      <c r="AB46" s="57"/>
      <c r="AC46" s="57"/>
      <c r="AD46" s="57"/>
      <c r="AE46" s="52" t="s">
        <v>248</v>
      </c>
      <c r="AF46" s="52" t="s">
        <v>249</v>
      </c>
      <c r="AG46" s="53">
        <f>(0.02*0.91+0.012*1.4+0.06*0.925)*0.5</f>
        <v>4.5249999999999999E-2</v>
      </c>
      <c r="AH46" s="70">
        <f>(2.3/0.75/2)*0.49</f>
        <v>0.7513333333333333</v>
      </c>
      <c r="AI46" s="70">
        <f>(3/0.75/2)*0.49</f>
        <v>0.98</v>
      </c>
      <c r="AJ46" s="58">
        <v>9530</v>
      </c>
      <c r="AK46" s="57">
        <v>9530</v>
      </c>
      <c r="AL46" s="72" t="s">
        <v>117</v>
      </c>
      <c r="AM46" s="52" t="s">
        <v>74</v>
      </c>
      <c r="AN46" s="57">
        <v>80</v>
      </c>
      <c r="AO46" s="52" t="s">
        <v>250</v>
      </c>
      <c r="AP46" s="59" t="str">
        <f>IFERROR(VLOOKUP($A46,[2]Mssp!$A$5:$BE$1463,AP$4+1,0),0)</f>
        <v>1312036-1</v>
      </c>
      <c r="AQ46" s="59" t="str">
        <f>IFERROR(VLOOKUP($A46,[2]Mssp!$A$5:$BE$1463,AQ$4+1,0),0)</f>
        <v>1312036-2</v>
      </c>
      <c r="AR46" s="59" t="str">
        <f>IFERROR(VLOOKUP($A46,[2]Mssp!$A$5:$BE$1463,AR$4+1,0),0)</f>
        <v>1312036-3</v>
      </c>
      <c r="AS46" s="59" t="str">
        <f>IFERROR(VLOOKUP($A46,[2]Mssp!$A$5:$BE$1463,AS$4+1,0),0)</f>
        <v>1312036-4</v>
      </c>
      <c r="AT46" s="59" t="str">
        <f>IFERROR(VLOOKUP($A46,[2]Mssp!$A$5:$BE$1463,AT$4+1,0),0)</f>
        <v>1312036-5</v>
      </c>
      <c r="AU46" s="59">
        <f>IFERROR(VLOOKUP($A46,[2]Mssp!$A$5:$BE$1463,AU$4+1,0),0)</f>
        <v>0</v>
      </c>
      <c r="AV46" s="59">
        <f>IFERROR(VLOOKUP($A46,[2]Mssp!$A$5:$BE$1463,AV$4+1,0),0)</f>
        <v>0</v>
      </c>
      <c r="AW46" s="59">
        <f>IFERROR(VLOOKUP($A46,[2]Mssp!$A$5:$BE$1463,AW$4+1,0),0)</f>
        <v>0</v>
      </c>
      <c r="AX46" s="59">
        <f>IFERROR(VLOOKUP($A46,[2]Mssp!$A$5:$BE$1463,AX$4+1,0),0)</f>
        <v>0</v>
      </c>
      <c r="AY46" s="59">
        <f>IFERROR(VLOOKUP($A46,[2]Mssp!$A$5:$BE$1463,AY$4+2,0),0)</f>
        <v>0</v>
      </c>
      <c r="AZ46" s="59" t="str">
        <f>IFERROR(VLOOKUP($A46,[2]Mssp!$A$5:$BE$1463,AZ$4+2,0),0)</f>
        <v>M2</v>
      </c>
      <c r="BA46" s="60">
        <v>0</v>
      </c>
      <c r="BB46" s="61" t="s">
        <v>251</v>
      </c>
      <c r="BC46" s="62"/>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c r="CP46" s="9"/>
    </row>
    <row r="47" spans="1:94" ht="45" x14ac:dyDescent="0.25">
      <c r="A47" s="50" t="s">
        <v>252</v>
      </c>
      <c r="B47" s="73" t="s">
        <v>253</v>
      </c>
      <c r="C47" s="50">
        <f t="shared" si="0"/>
        <v>11.799999999999999</v>
      </c>
      <c r="D47" s="58">
        <v>4</v>
      </c>
      <c r="E47" s="58" t="s">
        <v>212</v>
      </c>
      <c r="F47" s="58">
        <v>4</v>
      </c>
      <c r="G47" s="50" t="s">
        <v>184</v>
      </c>
      <c r="H47" s="50">
        <f>VLOOKUP($A47,'[1]ma sp 02'!$A$5:$BD$1101,H$1,0)</f>
        <v>0.43</v>
      </c>
      <c r="I47" s="50">
        <f>VLOOKUP($A47,'[1]ma sp 02'!$A$5:$BD$1101,I$1,0)</f>
        <v>3.14</v>
      </c>
      <c r="J47" s="50">
        <f>VLOOKUP($A47,'[1]ma sp 02'!$A$5:$BD$1101,J$1,0)</f>
        <v>0</v>
      </c>
      <c r="K47" s="50">
        <f>VLOOKUP($A47,'[1]ma sp 02'!$A$5:$BD$1101,K$1,0)</f>
        <v>0</v>
      </c>
      <c r="L47" s="50">
        <f>VLOOKUP($A47,'[1]ma sp 02'!$A$5:$BD$1101,L$1,0)</f>
        <v>6.06</v>
      </c>
      <c r="M47" s="50">
        <f>VLOOKUP($A47,'[1]ma sp 02'!$A$5:$BD$1101,M$1,0)</f>
        <v>2.17</v>
      </c>
      <c r="N47" s="50">
        <f>VLOOKUP($A47,'[1]ma sp 02'!$A$5:$BD$1101,N$1,0)</f>
        <v>0</v>
      </c>
      <c r="O47" s="50">
        <f>VLOOKUP($A47,'[1]ma sp 02'!$A$5:$BD$1101,O$1,0)</f>
        <v>0</v>
      </c>
      <c r="P47" s="50">
        <f>VLOOKUP($A47,'[1]ma sp 02'!$A$5:$BD$1101,P$1,0)</f>
        <v>0</v>
      </c>
      <c r="Q47" s="50">
        <f>VLOOKUP($A47,'[1]ma sp 02'!$A$5:$BD$1101,Q$1,0)</f>
        <v>0</v>
      </c>
      <c r="R47" s="50">
        <f>VLOOKUP($A47,'[1]ma sp 02'!$A$5:$BD$1101,R$1,0)</f>
        <v>0</v>
      </c>
      <c r="S47" s="50">
        <f>VLOOKUP($A47,'[1]ma sp 02'!$A$5:$BD$1101,S$1,0)</f>
        <v>0</v>
      </c>
      <c r="T47" s="50">
        <f>VLOOKUP($A47,'[1]ma sp 02'!$A$5:$BD$1101,T$1,0)</f>
        <v>0</v>
      </c>
      <c r="U47" s="50">
        <f>VLOOKUP($A47,'[1]ma sp 02'!$A$5:$BD$1101,U$1,0)</f>
        <v>0</v>
      </c>
      <c r="V47" s="50">
        <f>VLOOKUP($A47,'[1]ma sp 02'!$A$5:$BD$1101,V$1,0)</f>
        <v>0</v>
      </c>
      <c r="W47" s="50">
        <f>VLOOKUP($A47,'[1]ma sp 02'!$A$5:$BD$1101,W$1,0)</f>
        <v>0</v>
      </c>
      <c r="X47" s="50">
        <f t="shared" si="1"/>
        <v>4</v>
      </c>
      <c r="Y47" s="57"/>
      <c r="Z47" s="57"/>
      <c r="AA47" s="57"/>
      <c r="AB47" s="57"/>
      <c r="AC47" s="57"/>
      <c r="AD47" s="57"/>
      <c r="AE47" s="58" t="s">
        <v>254</v>
      </c>
      <c r="AF47" s="57"/>
      <c r="AG47" s="71">
        <f>(0.02*0.91+0.025*0.91)*0.62</f>
        <v>2.5388999999999998E-2</v>
      </c>
      <c r="AH47" s="63">
        <f>(1.8/0.75/2)*0.61</f>
        <v>0.73199999999999998</v>
      </c>
      <c r="AI47" s="57"/>
      <c r="AJ47" s="58">
        <v>9530</v>
      </c>
      <c r="AK47" s="57"/>
      <c r="AL47" s="58">
        <v>1.8E-3</v>
      </c>
      <c r="AM47" s="52" t="s">
        <v>74</v>
      </c>
      <c r="AN47" s="58">
        <v>60</v>
      </c>
      <c r="AO47" s="52" t="s">
        <v>250</v>
      </c>
      <c r="AP47" s="59" t="str">
        <f>IFERROR(VLOOKUP($A47,[2]Mssp!$A$5:$BE$1463,AP$4+1,0),0)</f>
        <v>1903314-1</v>
      </c>
      <c r="AQ47" s="59" t="str">
        <f>IFERROR(VLOOKUP($A47,[2]Mssp!$A$5:$BE$1463,AQ$4+1,0),0)</f>
        <v>1903314-2</v>
      </c>
      <c r="AR47" s="59" t="str">
        <f>IFERROR(VLOOKUP($A47,[2]Mssp!$A$5:$BE$1463,AR$4+1,0),0)</f>
        <v>1310473-3</v>
      </c>
      <c r="AS47" s="59" t="str">
        <f>IFERROR(VLOOKUP($A47,[2]Mssp!$A$5:$BE$1463,AS$4+1,0),0)</f>
        <v>1310473-4</v>
      </c>
      <c r="AT47" s="59">
        <f>IFERROR(VLOOKUP($A47,[2]Mssp!$A$5:$BE$1463,AT$4+1,0),0)</f>
        <v>0</v>
      </c>
      <c r="AU47" s="59">
        <f>IFERROR(VLOOKUP($A47,[2]Mssp!$A$5:$BE$1463,AU$4+1,0),0)</f>
        <v>0</v>
      </c>
      <c r="AV47" s="59">
        <f>IFERROR(VLOOKUP($A47,[2]Mssp!$A$5:$BE$1463,AV$4+1,0),0)</f>
        <v>0</v>
      </c>
      <c r="AW47" s="59">
        <f>IFERROR(VLOOKUP($A47,[2]Mssp!$A$5:$BE$1463,AW$4+1,0),0)</f>
        <v>0</v>
      </c>
      <c r="AX47" s="59">
        <f>IFERROR(VLOOKUP($A47,[2]Mssp!$A$5:$BE$1463,AX$4+1,0),0)</f>
        <v>0</v>
      </c>
      <c r="AY47" s="59">
        <f>IFERROR(VLOOKUP($A47,[2]Mssp!$A$5:$BE$1463,AY$4+2,0),0)</f>
        <v>0</v>
      </c>
      <c r="AZ47" s="59" t="str">
        <f>IFERROR(VLOOKUP($A47,[2]Mssp!$A$5:$BE$1463,AZ$4+2,0),0)</f>
        <v>M2</v>
      </c>
      <c r="BA47" s="60">
        <v>76000</v>
      </c>
      <c r="BB47" s="61" t="s">
        <v>62</v>
      </c>
      <c r="BC47" s="62"/>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c r="CP47" s="9"/>
    </row>
    <row r="48" spans="1:94" ht="45" x14ac:dyDescent="0.25">
      <c r="A48" s="50" t="s">
        <v>255</v>
      </c>
      <c r="B48" s="73" t="s">
        <v>256</v>
      </c>
      <c r="C48" s="50">
        <f t="shared" si="0"/>
        <v>9.27</v>
      </c>
      <c r="D48" s="58">
        <v>2</v>
      </c>
      <c r="E48" s="58" t="s">
        <v>257</v>
      </c>
      <c r="F48" s="58">
        <v>4</v>
      </c>
      <c r="G48" s="50" t="s">
        <v>184</v>
      </c>
      <c r="H48" s="50">
        <f>VLOOKUP($A48,'[1]ma sp 02'!$A$5:$BD$1101,H$1,0)</f>
        <v>0.27</v>
      </c>
      <c r="I48" s="50">
        <f>VLOOKUP($A48,'[1]ma sp 02'!$A$5:$BD$1101,I$1,0)</f>
        <v>3.02</v>
      </c>
      <c r="J48" s="50">
        <f>VLOOKUP($A48,'[1]ma sp 02'!$A$5:$BD$1101,J$1,0)</f>
        <v>0.46</v>
      </c>
      <c r="K48" s="50">
        <f>VLOOKUP($A48,'[1]ma sp 02'!$A$5:$BD$1101,K$1,0)</f>
        <v>1.42</v>
      </c>
      <c r="L48" s="50">
        <f>VLOOKUP($A48,'[1]ma sp 02'!$A$5:$BD$1101,L$1,0)</f>
        <v>0</v>
      </c>
      <c r="M48" s="50">
        <f>VLOOKUP($A48,'[1]ma sp 02'!$A$5:$BD$1101,M$1,0)</f>
        <v>0</v>
      </c>
      <c r="N48" s="50">
        <f>VLOOKUP($A48,'[1]ma sp 02'!$A$5:$BD$1101,N$1,0)</f>
        <v>0</v>
      </c>
      <c r="O48" s="50">
        <f>VLOOKUP($A48,'[1]ma sp 02'!$A$5:$BD$1101,O$1,0)</f>
        <v>0</v>
      </c>
      <c r="P48" s="50">
        <f>VLOOKUP($A48,'[1]ma sp 02'!$A$5:$BD$1101,P$1,0)</f>
        <v>2.4</v>
      </c>
      <c r="Q48" s="50">
        <f>VLOOKUP($A48,'[1]ma sp 02'!$A$5:$BD$1101,Q$1,0)</f>
        <v>0.39</v>
      </c>
      <c r="R48" s="50">
        <f>VLOOKUP($A48,'[1]ma sp 02'!$A$5:$BD$1101,R$1,0)</f>
        <v>1.3</v>
      </c>
      <c r="S48" s="50">
        <f>VLOOKUP($A48,'[1]ma sp 02'!$A$5:$BD$1101,S$1,0)</f>
        <v>0</v>
      </c>
      <c r="T48" s="50">
        <f>VLOOKUP($A48,'[1]ma sp 02'!$A$5:$BD$1101,T$1,0)</f>
        <v>0</v>
      </c>
      <c r="U48" s="50">
        <f>VLOOKUP($A48,'[1]ma sp 02'!$A$5:$BD$1101,U$1,0)</f>
        <v>0</v>
      </c>
      <c r="V48" s="50">
        <f>VLOOKUP($A48,'[1]ma sp 02'!$A$5:$BD$1101,V$1,0)</f>
        <v>0.01</v>
      </c>
      <c r="W48" s="50">
        <f>VLOOKUP($A48,'[1]ma sp 02'!$A$5:$BD$1101,W$1,0)</f>
        <v>0</v>
      </c>
      <c r="X48" s="50">
        <f t="shared" si="1"/>
        <v>8</v>
      </c>
      <c r="Y48" s="57"/>
      <c r="Z48" s="57"/>
      <c r="AA48" s="57"/>
      <c r="AB48" s="57"/>
      <c r="AC48" s="57"/>
      <c r="AD48" s="57"/>
      <c r="AE48" s="58" t="s">
        <v>258</v>
      </c>
      <c r="AF48" s="57"/>
      <c r="AG48" s="71">
        <f>(0.02*0.91+0.04*0.925)*0.56</f>
        <v>3.0912000000000005E-2</v>
      </c>
      <c r="AH48" s="63">
        <f>(2/0.75/2)*0.55</f>
        <v>0.73333333333333339</v>
      </c>
      <c r="AI48" s="57"/>
      <c r="AJ48" s="58">
        <v>9530</v>
      </c>
      <c r="AK48" s="57"/>
      <c r="AL48" s="58">
        <v>2E-3</v>
      </c>
      <c r="AM48" s="52" t="s">
        <v>142</v>
      </c>
      <c r="AN48" s="57">
        <v>270</v>
      </c>
      <c r="AO48" s="52" t="s">
        <v>244</v>
      </c>
      <c r="AP48" s="59" t="str">
        <f>IFERROR(VLOOKUP($A48,[2]Mssp!$A$5:$BE$1463,AP$4+1,0),0)</f>
        <v>F113905G1-1</v>
      </c>
      <c r="AQ48" s="59" t="str">
        <f>IFERROR(VLOOKUP($A48,[2]Mssp!$A$5:$BE$1463,AQ$4+1,0),0)</f>
        <v>F108150G3-2</v>
      </c>
      <c r="AR48" s="59" t="str">
        <f>IFERROR(VLOOKUP($A48,[2]Mssp!$A$5:$BE$1463,AR$4+1,0),0)</f>
        <v>F108150-3</v>
      </c>
      <c r="AS48" s="59" t="str">
        <f>IFERROR(VLOOKUP($A48,[2]Mssp!$A$5:$BE$1463,AS$4+1,0),0)</f>
        <v>F108150-4</v>
      </c>
      <c r="AT48" s="59">
        <f>IFERROR(VLOOKUP($A48,[2]Mssp!$A$5:$BE$1463,AT$4+1,0),0)</f>
        <v>0</v>
      </c>
      <c r="AU48" s="59">
        <f>IFERROR(VLOOKUP($A48,[2]Mssp!$A$5:$BE$1463,AU$4+1,0),0)</f>
        <v>0</v>
      </c>
      <c r="AV48" s="59">
        <f>IFERROR(VLOOKUP($A48,[2]Mssp!$A$5:$BE$1463,AV$4+1,0),0)</f>
        <v>0</v>
      </c>
      <c r="AW48" s="59">
        <f>IFERROR(VLOOKUP($A48,[2]Mssp!$A$5:$BE$1463,AW$4+1,0),0)</f>
        <v>0</v>
      </c>
      <c r="AX48" s="59">
        <f>IFERROR(VLOOKUP($A48,[2]Mssp!$A$5:$BE$1463,AX$4+1,0),0)</f>
        <v>0</v>
      </c>
      <c r="AY48" s="59" t="str">
        <f>IFERROR(VLOOKUP($A48,[2]Mssp!$A$5:$BE$1463,AY$4+2,0),0)</f>
        <v>525x750</v>
      </c>
      <c r="AZ48" s="59" t="str">
        <f>IFERROR(VLOOKUP($A48,[2]Mssp!$A$5:$BE$1463,AZ$4+2,0),0)</f>
        <v>M2</v>
      </c>
      <c r="BA48" s="60" t="s">
        <v>106</v>
      </c>
      <c r="BB48" s="61" t="s">
        <v>107</v>
      </c>
      <c r="BC48" s="62"/>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c r="CK48" s="9"/>
      <c r="CL48" s="9"/>
      <c r="CM48" s="9"/>
      <c r="CN48" s="9"/>
      <c r="CO48" s="9"/>
      <c r="CP48" s="9"/>
    </row>
    <row r="49" spans="1:94" ht="45" x14ac:dyDescent="0.25">
      <c r="A49" s="50" t="s">
        <v>259</v>
      </c>
      <c r="B49" s="73" t="s">
        <v>260</v>
      </c>
      <c r="C49" s="50">
        <f t="shared" si="0"/>
        <v>0</v>
      </c>
      <c r="D49" s="57">
        <v>4</v>
      </c>
      <c r="E49" s="58" t="s">
        <v>247</v>
      </c>
      <c r="F49" s="58">
        <v>4</v>
      </c>
      <c r="G49" s="50" t="s">
        <v>184</v>
      </c>
      <c r="H49" s="50">
        <f>VLOOKUP($A49,'[1]ma sp 02'!$A$5:$BD$1101,H$1,0)</f>
        <v>0</v>
      </c>
      <c r="I49" s="50">
        <f>VLOOKUP($A49,'[1]ma sp 02'!$A$5:$BD$1101,I$1,0)</f>
        <v>0</v>
      </c>
      <c r="J49" s="50">
        <f>VLOOKUP($A49,'[1]ma sp 02'!$A$5:$BD$1101,J$1,0)</f>
        <v>0</v>
      </c>
      <c r="K49" s="50">
        <f>VLOOKUP($A49,'[1]ma sp 02'!$A$5:$BD$1101,K$1,0)</f>
        <v>0</v>
      </c>
      <c r="L49" s="50">
        <f>VLOOKUP($A49,'[1]ma sp 02'!$A$5:$BD$1101,L$1,0)</f>
        <v>0</v>
      </c>
      <c r="M49" s="50">
        <f>VLOOKUP($A49,'[1]ma sp 02'!$A$5:$BD$1101,M$1,0)</f>
        <v>0</v>
      </c>
      <c r="N49" s="50">
        <f>VLOOKUP($A49,'[1]ma sp 02'!$A$5:$BD$1101,N$1,0)</f>
        <v>0</v>
      </c>
      <c r="O49" s="50">
        <f>VLOOKUP($A49,'[1]ma sp 02'!$A$5:$BD$1101,O$1,0)</f>
        <v>0</v>
      </c>
      <c r="P49" s="50">
        <f>VLOOKUP($A49,'[1]ma sp 02'!$A$5:$BD$1101,P$1,0)</f>
        <v>0</v>
      </c>
      <c r="Q49" s="50">
        <f>VLOOKUP($A49,'[1]ma sp 02'!$A$5:$BD$1101,Q$1,0)</f>
        <v>0</v>
      </c>
      <c r="R49" s="50">
        <f>VLOOKUP($A49,'[1]ma sp 02'!$A$5:$BD$1101,R$1,0)</f>
        <v>0</v>
      </c>
      <c r="S49" s="50">
        <f>VLOOKUP($A49,'[1]ma sp 02'!$A$5:$BD$1101,S$1,0)</f>
        <v>0</v>
      </c>
      <c r="T49" s="50">
        <f>VLOOKUP($A49,'[1]ma sp 02'!$A$5:$BD$1101,T$1,0)</f>
        <v>0</v>
      </c>
      <c r="U49" s="50">
        <f>VLOOKUP($A49,'[1]ma sp 02'!$A$5:$BD$1101,U$1,0)</f>
        <v>0</v>
      </c>
      <c r="V49" s="50">
        <f>VLOOKUP($A49,'[1]ma sp 02'!$A$5:$BD$1101,V$1,0)</f>
        <v>0</v>
      </c>
      <c r="W49" s="50">
        <f>VLOOKUP($A49,'[1]ma sp 02'!$A$5:$BD$1101,W$1,0)</f>
        <v>0</v>
      </c>
      <c r="X49" s="50">
        <f t="shared" si="1"/>
        <v>0</v>
      </c>
      <c r="Y49" s="57"/>
      <c r="Z49" s="57"/>
      <c r="AA49" s="57"/>
      <c r="AB49" s="57"/>
      <c r="AC49" s="57"/>
      <c r="AD49" s="57"/>
      <c r="AE49" s="57" t="s">
        <v>248</v>
      </c>
      <c r="AF49" s="57" t="s">
        <v>261</v>
      </c>
      <c r="AG49" s="83">
        <f>(0.02*0.91+0.012*1.4+0.065*0.925)*0.5</f>
        <v>4.7562500000000008E-2</v>
      </c>
      <c r="AH49" s="55">
        <f>(2.3/0.75/2)*0.49</f>
        <v>0.7513333333333333</v>
      </c>
      <c r="AI49" s="55">
        <f>(3/0.75/2)*0.49</f>
        <v>0.98</v>
      </c>
      <c r="AJ49" s="57">
        <v>9530</v>
      </c>
      <c r="AK49" s="57">
        <v>9530</v>
      </c>
      <c r="AL49" s="72" t="s">
        <v>117</v>
      </c>
      <c r="AM49" s="52" t="s">
        <v>74</v>
      </c>
      <c r="AN49" s="57">
        <v>80</v>
      </c>
      <c r="AO49" s="52" t="s">
        <v>250</v>
      </c>
      <c r="AP49" s="59">
        <f>IFERROR(VLOOKUP($A49,[2]Mssp!$A$5:$BE$1463,AP$4+1,0),0)</f>
        <v>0</v>
      </c>
      <c r="AQ49" s="59">
        <f>IFERROR(VLOOKUP($A49,[2]Mssp!$A$5:$BE$1463,AQ$4+1,0),0)</f>
        <v>0</v>
      </c>
      <c r="AR49" s="59">
        <f>IFERROR(VLOOKUP($A49,[2]Mssp!$A$5:$BE$1463,AR$4+1,0),0)</f>
        <v>0</v>
      </c>
      <c r="AS49" s="59">
        <f>IFERROR(VLOOKUP($A49,[2]Mssp!$A$5:$BE$1463,AS$4+1,0),0)</f>
        <v>0</v>
      </c>
      <c r="AT49" s="59">
        <f>IFERROR(VLOOKUP($A49,[2]Mssp!$A$5:$BE$1463,AT$4+1,0),0)</f>
        <v>0</v>
      </c>
      <c r="AU49" s="59">
        <f>IFERROR(VLOOKUP($A49,[2]Mssp!$A$5:$BE$1463,AU$4+1,0),0)</f>
        <v>0</v>
      </c>
      <c r="AV49" s="59">
        <f>IFERROR(VLOOKUP($A49,[2]Mssp!$A$5:$BE$1463,AV$4+1,0),0)</f>
        <v>0</v>
      </c>
      <c r="AW49" s="59">
        <f>IFERROR(VLOOKUP($A49,[2]Mssp!$A$5:$BE$1463,AW$4+1,0),0)</f>
        <v>0</v>
      </c>
      <c r="AX49" s="59">
        <f>IFERROR(VLOOKUP($A49,[2]Mssp!$A$5:$BE$1463,AX$4+1,0),0)</f>
        <v>0</v>
      </c>
      <c r="AY49" s="59">
        <f>IFERROR(VLOOKUP($A49,[2]Mssp!$A$5:$BE$1463,AY$4+2,0),0)</f>
        <v>0</v>
      </c>
      <c r="AZ49" s="59">
        <f>IFERROR(VLOOKUP($A49,[2]Mssp!$A$5:$BE$1463,AZ$4+2,0),0)</f>
        <v>0</v>
      </c>
      <c r="BA49" s="60" t="e">
        <v>#N/A</v>
      </c>
      <c r="BB49" s="61" t="s">
        <v>62</v>
      </c>
      <c r="BC49" s="62"/>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c r="CP49" s="9"/>
    </row>
    <row r="50" spans="1:94" ht="60" x14ac:dyDescent="0.25">
      <c r="A50" s="50" t="s">
        <v>262</v>
      </c>
      <c r="B50" s="73" t="s">
        <v>263</v>
      </c>
      <c r="C50" s="50">
        <f t="shared" si="0"/>
        <v>6.8199999999999994</v>
      </c>
      <c r="D50" s="58">
        <v>1</v>
      </c>
      <c r="E50" s="58" t="s">
        <v>86</v>
      </c>
      <c r="F50" s="58">
        <v>5</v>
      </c>
      <c r="G50" s="50" t="s">
        <v>184</v>
      </c>
      <c r="H50" s="50">
        <f>VLOOKUP($A50,'[1]ma sp 02'!$A$5:$BD$1101,H$1,0)</f>
        <v>0.05</v>
      </c>
      <c r="I50" s="50">
        <f>VLOOKUP($A50,'[1]ma sp 02'!$A$5:$BD$1101,I$1,0)</f>
        <v>2.7</v>
      </c>
      <c r="J50" s="50">
        <f>VLOOKUP($A50,'[1]ma sp 02'!$A$5:$BD$1101,J$1,0)</f>
        <v>0</v>
      </c>
      <c r="K50" s="50">
        <f>VLOOKUP($A50,'[1]ma sp 02'!$A$5:$BD$1101,K$1,0)</f>
        <v>0.14000000000000001</v>
      </c>
      <c r="L50" s="50">
        <f>VLOOKUP($A50,'[1]ma sp 02'!$A$5:$BD$1101,L$1,0)</f>
        <v>2.7</v>
      </c>
      <c r="M50" s="50">
        <f>VLOOKUP($A50,'[1]ma sp 02'!$A$5:$BD$1101,M$1,0)</f>
        <v>0.8</v>
      </c>
      <c r="N50" s="50">
        <f>VLOOKUP($A50,'[1]ma sp 02'!$A$5:$BD$1101,N$1,0)</f>
        <v>0</v>
      </c>
      <c r="O50" s="50">
        <f>VLOOKUP($A50,'[1]ma sp 02'!$A$5:$BD$1101,O$1,0)</f>
        <v>0</v>
      </c>
      <c r="P50" s="50">
        <f>VLOOKUP($A50,'[1]ma sp 02'!$A$5:$BD$1101,P$1,0)</f>
        <v>0</v>
      </c>
      <c r="Q50" s="50">
        <f>VLOOKUP($A50,'[1]ma sp 02'!$A$5:$BD$1101,Q$1,0)</f>
        <v>0</v>
      </c>
      <c r="R50" s="50">
        <f>VLOOKUP($A50,'[1]ma sp 02'!$A$5:$BD$1101,R$1,0)</f>
        <v>0</v>
      </c>
      <c r="S50" s="50">
        <f>VLOOKUP($A50,'[1]ma sp 02'!$A$5:$BD$1101,S$1,0)</f>
        <v>0.43</v>
      </c>
      <c r="T50" s="50">
        <f>VLOOKUP($A50,'[1]ma sp 02'!$A$5:$BD$1101,T$1,0)</f>
        <v>0</v>
      </c>
      <c r="U50" s="50">
        <f>VLOOKUP($A50,'[1]ma sp 02'!$A$5:$BD$1101,U$1,0)</f>
        <v>0</v>
      </c>
      <c r="V50" s="50">
        <f>VLOOKUP($A50,'[1]ma sp 02'!$A$5:$BD$1101,V$1,0)</f>
        <v>0</v>
      </c>
      <c r="W50" s="50">
        <f>VLOOKUP($A50,'[1]ma sp 02'!$A$5:$BD$1101,W$1,0)</f>
        <v>0</v>
      </c>
      <c r="X50" s="50">
        <f t="shared" si="1"/>
        <v>6</v>
      </c>
      <c r="Y50" s="57"/>
      <c r="Z50" s="57"/>
      <c r="AA50" s="57"/>
      <c r="AB50" s="57"/>
      <c r="AC50" s="57"/>
      <c r="AD50" s="57"/>
      <c r="AE50" s="58" t="s">
        <v>264</v>
      </c>
      <c r="AF50" s="57"/>
      <c r="AG50" s="71">
        <f>(0.02*0.91+0.043*0.91)*0.44</f>
        <v>2.52252E-2</v>
      </c>
      <c r="AH50" s="63">
        <f>(2.3/0.75/2)*0.45</f>
        <v>0.69</v>
      </c>
      <c r="AI50" s="57"/>
      <c r="AJ50" s="58">
        <v>9530</v>
      </c>
      <c r="AK50" s="57"/>
      <c r="AL50" s="58">
        <v>2.3E-3</v>
      </c>
      <c r="AM50" s="52" t="s">
        <v>265</v>
      </c>
      <c r="AN50" s="57">
        <v>300</v>
      </c>
      <c r="AO50" s="52" t="s">
        <v>266</v>
      </c>
      <c r="AP50" s="59" t="str">
        <f>IFERROR(VLOOKUP($A50,[2]Mssp!$A$5:$BE$1463,AP$4+1,0),0)</f>
        <v>1110357-1</v>
      </c>
      <c r="AQ50" s="59" t="str">
        <f>IFERROR(VLOOKUP($A50,[2]Mssp!$A$5:$BE$1463,AQ$4+1,0),0)</f>
        <v>1110357-2</v>
      </c>
      <c r="AR50" s="59" t="str">
        <f>IFERROR(VLOOKUP($A50,[2]Mssp!$A$5:$BE$1463,AR$4+1,0),0)</f>
        <v>1110357-3</v>
      </c>
      <c r="AS50" s="59" t="str">
        <f>IFERROR(VLOOKUP($A50,[2]Mssp!$A$5:$BE$1463,AS$4+1,0),0)</f>
        <v>1110357-4</v>
      </c>
      <c r="AT50" s="59" t="str">
        <f>IFERROR(VLOOKUP($A50,[2]Mssp!$A$5:$BE$1463,AT$4+1,0),0)</f>
        <v>1110357-5</v>
      </c>
      <c r="AU50" s="59">
        <f>IFERROR(VLOOKUP($A50,[2]Mssp!$A$5:$BE$1463,AU$4+1,0),0)</f>
        <v>0</v>
      </c>
      <c r="AV50" s="59">
        <f>IFERROR(VLOOKUP($A50,[2]Mssp!$A$5:$BE$1463,AV$4+1,0),0)</f>
        <v>0</v>
      </c>
      <c r="AW50" s="59">
        <f>IFERROR(VLOOKUP($A50,[2]Mssp!$A$5:$BE$1463,AW$4+1,0),0)</f>
        <v>0</v>
      </c>
      <c r="AX50" s="59">
        <f>IFERROR(VLOOKUP($A50,[2]Mssp!$A$5:$BE$1463,AX$4+1,0),0)</f>
        <v>0</v>
      </c>
      <c r="AY50" s="59" t="str">
        <f>IFERROR(VLOOKUP($A50,[2]Mssp!$A$5:$BE$1463,AY$4+2,0),0)</f>
        <v>600x750</v>
      </c>
      <c r="AZ50" s="59" t="str">
        <f>IFERROR(VLOOKUP($A50,[2]Mssp!$A$5:$BE$1463,AZ$4+2,0),0)</f>
        <v>M2</v>
      </c>
      <c r="BA50" s="60">
        <v>3000</v>
      </c>
      <c r="BB50" s="61" t="s">
        <v>62</v>
      </c>
      <c r="BC50" s="62"/>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row>
    <row r="51" spans="1:94" ht="45" x14ac:dyDescent="0.25">
      <c r="A51" s="50" t="s">
        <v>267</v>
      </c>
      <c r="B51" s="73" t="s">
        <v>268</v>
      </c>
      <c r="C51" s="50">
        <f t="shared" si="0"/>
        <v>5.919999999999999</v>
      </c>
      <c r="D51" s="58">
        <v>1</v>
      </c>
      <c r="E51" s="58" t="s">
        <v>269</v>
      </c>
      <c r="F51" s="58">
        <v>5</v>
      </c>
      <c r="G51" s="50" t="s">
        <v>184</v>
      </c>
      <c r="H51" s="50">
        <f>VLOOKUP($A51,'[1]ma sp 02'!$A$5:$BD$1101,H$1,0)</f>
        <v>0.09</v>
      </c>
      <c r="I51" s="50">
        <f>VLOOKUP($A51,'[1]ma sp 02'!$A$5:$BD$1101,I$1,0)</f>
        <v>2.0299999999999998</v>
      </c>
      <c r="J51" s="50">
        <f>VLOOKUP($A51,'[1]ma sp 02'!$A$5:$BD$1101,J$1,0)</f>
        <v>0.01</v>
      </c>
      <c r="K51" s="50">
        <f>VLOOKUP($A51,'[1]ma sp 02'!$A$5:$BD$1101,K$1,0)</f>
        <v>0.5</v>
      </c>
      <c r="L51" s="50">
        <f>VLOOKUP($A51,'[1]ma sp 02'!$A$5:$BD$1101,L$1,0)</f>
        <v>2.2799999999999998</v>
      </c>
      <c r="M51" s="50">
        <f>VLOOKUP($A51,'[1]ma sp 02'!$A$5:$BD$1101,M$1,0)</f>
        <v>1.01</v>
      </c>
      <c r="N51" s="50">
        <f>VLOOKUP($A51,'[1]ma sp 02'!$A$5:$BD$1101,N$1,0)</f>
        <v>0</v>
      </c>
      <c r="O51" s="50">
        <f>VLOOKUP($A51,'[1]ma sp 02'!$A$5:$BD$1101,O$1,0)</f>
        <v>0</v>
      </c>
      <c r="P51" s="50">
        <f>VLOOKUP($A51,'[1]ma sp 02'!$A$5:$BD$1101,P$1,0)</f>
        <v>0</v>
      </c>
      <c r="Q51" s="50">
        <f>VLOOKUP($A51,'[1]ma sp 02'!$A$5:$BD$1101,Q$1,0)</f>
        <v>0</v>
      </c>
      <c r="R51" s="50">
        <f>VLOOKUP($A51,'[1]ma sp 02'!$A$5:$BD$1101,R$1,0)</f>
        <v>0</v>
      </c>
      <c r="S51" s="50">
        <f>VLOOKUP($A51,'[1]ma sp 02'!$A$5:$BD$1101,S$1,0)</f>
        <v>0</v>
      </c>
      <c r="T51" s="50">
        <f>VLOOKUP($A51,'[1]ma sp 02'!$A$5:$BD$1101,T$1,0)</f>
        <v>0</v>
      </c>
      <c r="U51" s="50">
        <f>VLOOKUP($A51,'[1]ma sp 02'!$A$5:$BD$1101,U$1,0)</f>
        <v>0</v>
      </c>
      <c r="V51" s="50">
        <f>VLOOKUP($A51,'[1]ma sp 02'!$A$5:$BD$1101,V$1,0)</f>
        <v>0</v>
      </c>
      <c r="W51" s="50">
        <f>VLOOKUP($A51,'[1]ma sp 02'!$A$5:$BD$1101,W$1,0)</f>
        <v>0</v>
      </c>
      <c r="X51" s="50">
        <f t="shared" si="1"/>
        <v>6</v>
      </c>
      <c r="Y51" s="57"/>
      <c r="Z51" s="57"/>
      <c r="AA51" s="57"/>
      <c r="AB51" s="57"/>
      <c r="AC51" s="57"/>
      <c r="AD51" s="57"/>
      <c r="AE51" s="58" t="s">
        <v>270</v>
      </c>
      <c r="AF51" s="57"/>
      <c r="AG51" s="71">
        <f>(0.02*0.91+0.043*0.91)*0.72</f>
        <v>4.1277599999999998E-2</v>
      </c>
      <c r="AH51" s="63">
        <f>(2/0.75/2)*0.71</f>
        <v>0.94666666666666655</v>
      </c>
      <c r="AI51" s="57"/>
      <c r="AJ51" s="58">
        <v>9530</v>
      </c>
      <c r="AK51" s="57"/>
      <c r="AL51" s="58">
        <v>2E-3</v>
      </c>
      <c r="AM51" s="52" t="s">
        <v>74</v>
      </c>
      <c r="AN51" s="57">
        <v>250</v>
      </c>
      <c r="AO51" s="52" t="s">
        <v>266</v>
      </c>
      <c r="AP51" s="59" t="str">
        <f>IFERROR(VLOOKUP($A51,[2]Mssp!$A$5:$BE$1463,AP$4+1,0),0)</f>
        <v>1311778-1</v>
      </c>
      <c r="AQ51" s="59" t="str">
        <f>IFERROR(VLOOKUP($A51,[2]Mssp!$A$5:$BE$1463,AQ$4+1,0),0)</f>
        <v>1312670-2</v>
      </c>
      <c r="AR51" s="59" t="str">
        <f>IFERROR(VLOOKUP($A51,[2]Mssp!$A$5:$BE$1463,AR$4+1,0),0)</f>
        <v>1012033-3</v>
      </c>
      <c r="AS51" s="59" t="str">
        <f>IFERROR(VLOOKUP($A51,[2]Mssp!$A$5:$BE$1463,AS$4+1,0),0)</f>
        <v>1012033-4</v>
      </c>
      <c r="AT51" s="59" t="str">
        <f>IFERROR(VLOOKUP($A51,[2]Mssp!$A$5:$BE$1463,AT$4+1,0),0)</f>
        <v>1510169-5</v>
      </c>
      <c r="AU51" s="59">
        <f>IFERROR(VLOOKUP($A51,[2]Mssp!$A$5:$BE$1463,AU$4+1,0),0)</f>
        <v>0</v>
      </c>
      <c r="AV51" s="59">
        <f>IFERROR(VLOOKUP($A51,[2]Mssp!$A$5:$BE$1463,AV$4+1,0),0)</f>
        <v>0</v>
      </c>
      <c r="AW51" s="59">
        <f>IFERROR(VLOOKUP($A51,[2]Mssp!$A$5:$BE$1463,AW$4+1,0),0)</f>
        <v>0</v>
      </c>
      <c r="AX51" s="59">
        <f>IFERROR(VLOOKUP($A51,[2]Mssp!$A$5:$BE$1463,AX$4+1,0),0)</f>
        <v>0</v>
      </c>
      <c r="AY51" s="59" t="str">
        <f>IFERROR(VLOOKUP($A51,[2]Mssp!$A$5:$BE$1463,AY$4+2,0),0)</f>
        <v>500x800</v>
      </c>
      <c r="AZ51" s="59" t="str">
        <f>IFERROR(VLOOKUP($A51,[2]Mssp!$A$5:$BE$1463,AZ$4+2,0),0)</f>
        <v>M3</v>
      </c>
      <c r="BA51" s="60">
        <v>3000</v>
      </c>
      <c r="BB51" s="61" t="s">
        <v>62</v>
      </c>
      <c r="BC51" s="62"/>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c r="CP51" s="9"/>
    </row>
    <row r="52" spans="1:94" ht="45" x14ac:dyDescent="0.25">
      <c r="A52" s="51" t="s">
        <v>271</v>
      </c>
      <c r="B52" s="73" t="s">
        <v>272</v>
      </c>
      <c r="C52" s="50">
        <f t="shared" si="0"/>
        <v>7.7999999999999989</v>
      </c>
      <c r="D52" s="58">
        <v>1</v>
      </c>
      <c r="E52" s="58" t="s">
        <v>86</v>
      </c>
      <c r="F52" s="58">
        <v>5</v>
      </c>
      <c r="G52" s="50" t="s">
        <v>56</v>
      </c>
      <c r="H52" s="50">
        <f>VLOOKUP($A52,'[1]ma sp 02'!$A$5:$BD$1101,H$1,0)</f>
        <v>0</v>
      </c>
      <c r="I52" s="50">
        <f>VLOOKUP($A52,'[1]ma sp 02'!$A$5:$BD$1101,I$1,0)</f>
        <v>5</v>
      </c>
      <c r="J52" s="50">
        <f>VLOOKUP($A52,'[1]ma sp 02'!$A$5:$BD$1101,J$1,0)</f>
        <v>0</v>
      </c>
      <c r="K52" s="50">
        <f>VLOOKUP($A52,'[1]ma sp 02'!$A$5:$BD$1101,K$1,0)</f>
        <v>0.1</v>
      </c>
      <c r="L52" s="50">
        <f>VLOOKUP($A52,'[1]ma sp 02'!$A$5:$BD$1101,L$1,0)</f>
        <v>2</v>
      </c>
      <c r="M52" s="50">
        <f>VLOOKUP($A52,'[1]ma sp 02'!$A$5:$BD$1101,M$1,0)</f>
        <v>0</v>
      </c>
      <c r="N52" s="50">
        <f>VLOOKUP($A52,'[1]ma sp 02'!$A$5:$BD$1101,N$1,0)</f>
        <v>0</v>
      </c>
      <c r="O52" s="50">
        <f>VLOOKUP($A52,'[1]ma sp 02'!$A$5:$BD$1101,O$1,0)</f>
        <v>0.6</v>
      </c>
      <c r="P52" s="50">
        <f>VLOOKUP($A52,'[1]ma sp 02'!$A$5:$BD$1101,P$1,0)</f>
        <v>0</v>
      </c>
      <c r="Q52" s="50">
        <f>VLOOKUP($A52,'[1]ma sp 02'!$A$5:$BD$1101,Q$1,0)</f>
        <v>0</v>
      </c>
      <c r="R52" s="50">
        <f>VLOOKUP($A52,'[1]ma sp 02'!$A$5:$BD$1101,R$1,0)</f>
        <v>0.1</v>
      </c>
      <c r="S52" s="50">
        <f>VLOOKUP($A52,'[1]ma sp 02'!$A$5:$BD$1101,S$1,0)</f>
        <v>0</v>
      </c>
      <c r="T52" s="50">
        <f>VLOOKUP($A52,'[1]ma sp 02'!$A$5:$BD$1101,T$1,0)</f>
        <v>0</v>
      </c>
      <c r="U52" s="50">
        <f>VLOOKUP($A52,'[1]ma sp 02'!$A$5:$BD$1101,U$1,0)</f>
        <v>0</v>
      </c>
      <c r="V52" s="50">
        <f>VLOOKUP($A52,'[1]ma sp 02'!$A$5:$BD$1101,V$1,0)</f>
        <v>0</v>
      </c>
      <c r="W52" s="50">
        <f>VLOOKUP($A52,'[1]ma sp 02'!$A$5:$BD$1101,W$1,0)</f>
        <v>0</v>
      </c>
      <c r="X52" s="50">
        <f t="shared" si="1"/>
        <v>5</v>
      </c>
      <c r="Y52" s="57"/>
      <c r="Z52" s="57"/>
      <c r="AA52" s="57"/>
      <c r="AB52" s="57"/>
      <c r="AC52" s="57"/>
      <c r="AD52" s="57"/>
      <c r="AE52" s="58" t="s">
        <v>226</v>
      </c>
      <c r="AF52" s="57"/>
      <c r="AG52" s="83">
        <f>(0.02*0.91+0.035*0.91)*0.44</f>
        <v>2.2022000000000003E-2</v>
      </c>
      <c r="AH52" s="55">
        <f>(2/0.75/2)*0.43</f>
        <v>0.57333333333333325</v>
      </c>
      <c r="AI52" s="57"/>
      <c r="AJ52" s="58">
        <v>9530</v>
      </c>
      <c r="AK52" s="57"/>
      <c r="AL52" s="58">
        <v>2E-3</v>
      </c>
      <c r="AM52" s="52" t="s">
        <v>60</v>
      </c>
      <c r="AN52" s="57">
        <v>310</v>
      </c>
      <c r="AO52" s="52" t="s">
        <v>228</v>
      </c>
      <c r="AP52" s="59" t="str">
        <f>IFERROR(VLOOKUP($A52,[2]Mssp!$A$5:$BE$1463,AP$4+1,0),0)</f>
        <v>1305811-1</v>
      </c>
      <c r="AQ52" s="59" t="str">
        <f>IFERROR(VLOOKUP($A52,[2]Mssp!$A$5:$BE$1463,AQ$4+1,0),0)</f>
        <v>1708315-2</v>
      </c>
      <c r="AR52" s="59">
        <f>IFERROR(VLOOKUP($A52,[2]Mssp!$A$5:$BE$1463,AR$4+1,0),0)</f>
        <v>0</v>
      </c>
      <c r="AS52" s="59">
        <f>IFERROR(VLOOKUP($A52,[2]Mssp!$A$5:$BE$1463,AS$4+1,0),0)</f>
        <v>0</v>
      </c>
      <c r="AT52" s="59">
        <f>IFERROR(VLOOKUP($A52,[2]Mssp!$A$5:$BE$1463,AT$4+1,0),0)</f>
        <v>0</v>
      </c>
      <c r="AU52" s="59">
        <f>IFERROR(VLOOKUP($A52,[2]Mssp!$A$5:$BE$1463,AU$4+1,0),0)</f>
        <v>0</v>
      </c>
      <c r="AV52" s="59">
        <f>IFERROR(VLOOKUP($A52,[2]Mssp!$A$5:$BE$1463,AV$4+1,0),0)</f>
        <v>0</v>
      </c>
      <c r="AW52" s="59">
        <f>IFERROR(VLOOKUP($A52,[2]Mssp!$A$5:$BE$1463,AW$4+1,0),0)</f>
        <v>0</v>
      </c>
      <c r="AX52" s="59">
        <f>IFERROR(VLOOKUP($A52,[2]Mssp!$A$5:$BE$1463,AX$4+1,0),0)</f>
        <v>0</v>
      </c>
      <c r="AY52" s="59" t="str">
        <f>IFERROR(VLOOKUP($A52,[2]Mssp!$A$5:$BE$1463,AY$4+2,0),0)</f>
        <v>620x550</v>
      </c>
      <c r="AZ52" s="59" t="str">
        <f>IFERROR(VLOOKUP($A52,[2]Mssp!$A$5:$BE$1463,AZ$4+2,0),0)</f>
        <v>M3</v>
      </c>
      <c r="BA52" s="60">
        <v>3000</v>
      </c>
      <c r="BB52" s="61" t="s">
        <v>62</v>
      </c>
      <c r="BC52" s="62"/>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c r="CK52" s="9"/>
      <c r="CL52" s="9"/>
      <c r="CM52" s="9"/>
      <c r="CN52" s="9"/>
      <c r="CO52" s="9"/>
      <c r="CP52" s="9"/>
    </row>
    <row r="53" spans="1:94" ht="45" x14ac:dyDescent="0.25">
      <c r="A53" s="50" t="s">
        <v>273</v>
      </c>
      <c r="B53" s="57" t="s">
        <v>274</v>
      </c>
      <c r="C53" s="50"/>
      <c r="D53" s="57">
        <v>1</v>
      </c>
      <c r="E53" s="57" t="s">
        <v>86</v>
      </c>
      <c r="F53" s="57">
        <v>5</v>
      </c>
      <c r="G53" s="50" t="s">
        <v>56</v>
      </c>
      <c r="H53" s="50">
        <f>VLOOKUP($A53,'[1]ma sp 02'!$A$5:$BD$1101,H$1,0)</f>
        <v>0</v>
      </c>
      <c r="I53" s="50">
        <f>VLOOKUP($A53,'[1]ma sp 02'!$A$5:$BD$1101,I$1,0)</f>
        <v>0</v>
      </c>
      <c r="J53" s="50">
        <f>VLOOKUP($A53,'[1]ma sp 02'!$A$5:$BD$1101,J$1,0)</f>
        <v>0</v>
      </c>
      <c r="K53" s="50">
        <f>VLOOKUP($A53,'[1]ma sp 02'!$A$5:$BD$1101,K$1,0)</f>
        <v>0</v>
      </c>
      <c r="L53" s="50">
        <f>VLOOKUP($A53,'[1]ma sp 02'!$A$5:$BD$1101,L$1,0)</f>
        <v>0</v>
      </c>
      <c r="M53" s="50">
        <f>VLOOKUP($A53,'[1]ma sp 02'!$A$5:$BD$1101,M$1,0)</f>
        <v>0</v>
      </c>
      <c r="N53" s="50">
        <f>VLOOKUP($A53,'[1]ma sp 02'!$A$5:$BD$1101,N$1,0)</f>
        <v>0</v>
      </c>
      <c r="O53" s="50">
        <f>VLOOKUP($A53,'[1]ma sp 02'!$A$5:$BD$1101,O$1,0)</f>
        <v>0</v>
      </c>
      <c r="P53" s="50">
        <f>VLOOKUP($A53,'[1]ma sp 02'!$A$5:$BD$1101,P$1,0)</f>
        <v>0</v>
      </c>
      <c r="Q53" s="50">
        <f>VLOOKUP($A53,'[1]ma sp 02'!$A$5:$BD$1101,Q$1,0)</f>
        <v>0</v>
      </c>
      <c r="R53" s="50">
        <f>VLOOKUP($A53,'[1]ma sp 02'!$A$5:$BD$1101,R$1,0)</f>
        <v>0</v>
      </c>
      <c r="S53" s="50">
        <f>VLOOKUP($A53,'[1]ma sp 02'!$A$5:$BD$1101,S$1,0)</f>
        <v>0</v>
      </c>
      <c r="T53" s="50">
        <f>VLOOKUP($A53,'[1]ma sp 02'!$A$5:$BD$1101,T$1,0)</f>
        <v>0</v>
      </c>
      <c r="U53" s="50">
        <f>VLOOKUP($A53,'[1]ma sp 02'!$A$5:$BD$1101,U$1,0)</f>
        <v>0</v>
      </c>
      <c r="V53" s="50">
        <f>VLOOKUP($A53,'[1]ma sp 02'!$A$5:$BD$1101,V$1,0)</f>
        <v>0</v>
      </c>
      <c r="W53" s="50">
        <f>VLOOKUP($A53,'[1]ma sp 02'!$A$5:$BD$1101,W$1,0)</f>
        <v>0</v>
      </c>
      <c r="X53" s="50">
        <f t="shared" si="1"/>
        <v>0</v>
      </c>
      <c r="Y53" s="62"/>
      <c r="Z53" s="62"/>
      <c r="AA53" s="62"/>
      <c r="AB53" s="62"/>
      <c r="AC53" s="62"/>
      <c r="AD53" s="62"/>
      <c r="AE53" s="58" t="s">
        <v>226</v>
      </c>
      <c r="AF53" s="57"/>
      <c r="AG53" s="83">
        <f>(0.02*0.91+0.035*0.91)*0.44</f>
        <v>2.2022000000000003E-2</v>
      </c>
      <c r="AH53" s="55">
        <f>(2/0.75/2)*0.43</f>
        <v>0.57333333333333325</v>
      </c>
      <c r="AI53" s="57"/>
      <c r="AJ53" s="58">
        <v>9530</v>
      </c>
      <c r="AK53" s="57"/>
      <c r="AL53" s="58">
        <v>2.3E-3</v>
      </c>
      <c r="AM53" s="52" t="s">
        <v>60</v>
      </c>
      <c r="AN53" s="57">
        <v>310</v>
      </c>
      <c r="AO53" s="52" t="s">
        <v>228</v>
      </c>
      <c r="AP53" s="59">
        <f>IFERROR(VLOOKUP($A53,[2]Mssp!$A$5:$BE$1463,AP$4+1,0),0)</f>
        <v>0</v>
      </c>
      <c r="AQ53" s="59">
        <f>IFERROR(VLOOKUP($A53,[2]Mssp!$A$5:$BE$1463,AQ$4+1,0),0)</f>
        <v>0</v>
      </c>
      <c r="AR53" s="59">
        <f>IFERROR(VLOOKUP($A53,[2]Mssp!$A$5:$BE$1463,AR$4+1,0),0)</f>
        <v>0</v>
      </c>
      <c r="AS53" s="59">
        <f>IFERROR(VLOOKUP($A53,[2]Mssp!$A$5:$BE$1463,AS$4+1,0),0)</f>
        <v>0</v>
      </c>
      <c r="AT53" s="59">
        <f>IFERROR(VLOOKUP($A53,[2]Mssp!$A$5:$BE$1463,AT$4+1,0),0)</f>
        <v>0</v>
      </c>
      <c r="AU53" s="59">
        <f>IFERROR(VLOOKUP($A53,[2]Mssp!$A$5:$BE$1463,AU$4+1,0),0)</f>
        <v>0</v>
      </c>
      <c r="AV53" s="59">
        <f>IFERROR(VLOOKUP($A53,[2]Mssp!$A$5:$BE$1463,AV$4+1,0),0)</f>
        <v>0</v>
      </c>
      <c r="AW53" s="59">
        <f>IFERROR(VLOOKUP($A53,[2]Mssp!$A$5:$BE$1463,AW$4+1,0),0)</f>
        <v>0</v>
      </c>
      <c r="AX53" s="59">
        <f>IFERROR(VLOOKUP($A53,[2]Mssp!$A$5:$BE$1463,AX$4+1,0),0)</f>
        <v>0</v>
      </c>
      <c r="AY53" s="59">
        <f>IFERROR(VLOOKUP($A53,[2]Mssp!$A$5:$BE$1463,AY$4+2,0),0)</f>
        <v>0</v>
      </c>
      <c r="AZ53" s="59">
        <f>IFERROR(VLOOKUP($A53,[2]Mssp!$A$5:$BE$1463,AZ$4+2,0),0)</f>
        <v>0</v>
      </c>
      <c r="BA53" s="60">
        <v>3000</v>
      </c>
      <c r="BB53" s="61" t="s">
        <v>62</v>
      </c>
      <c r="BC53" s="84"/>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c r="CP53" s="9"/>
    </row>
    <row r="54" spans="1:94" ht="45" x14ac:dyDescent="0.25">
      <c r="A54" s="51" t="s">
        <v>275</v>
      </c>
      <c r="B54" s="73" t="s">
        <v>276</v>
      </c>
      <c r="C54" s="50">
        <f t="shared" si="0"/>
        <v>7.6000000000000005</v>
      </c>
      <c r="D54" s="58">
        <v>1</v>
      </c>
      <c r="E54" s="58" t="s">
        <v>65</v>
      </c>
      <c r="F54" s="58">
        <v>7</v>
      </c>
      <c r="G54" s="50" t="s">
        <v>56</v>
      </c>
      <c r="H54" s="50">
        <f>VLOOKUP($A54,'[1]ma sp 02'!$A$5:$BD$1101,H$1,0)</f>
        <v>0.1</v>
      </c>
      <c r="I54" s="50">
        <f>VLOOKUP($A54,'[1]ma sp 02'!$A$5:$BD$1101,I$1,0)</f>
        <v>2.7</v>
      </c>
      <c r="J54" s="50">
        <f>VLOOKUP($A54,'[1]ma sp 02'!$A$5:$BD$1101,J$1,0)</f>
        <v>0.4</v>
      </c>
      <c r="K54" s="50">
        <f>VLOOKUP($A54,'[1]ma sp 02'!$A$5:$BD$1101,K$1,0)</f>
        <v>0.7</v>
      </c>
      <c r="L54" s="50">
        <f>VLOOKUP($A54,'[1]ma sp 02'!$A$5:$BD$1101,L$1,0)</f>
        <v>1.5</v>
      </c>
      <c r="M54" s="50">
        <f>VLOOKUP($A54,'[1]ma sp 02'!$A$5:$BD$1101,M$1,0)</f>
        <v>1</v>
      </c>
      <c r="N54" s="50">
        <f>VLOOKUP($A54,'[1]ma sp 02'!$A$5:$BD$1101,N$1,0)</f>
        <v>0</v>
      </c>
      <c r="O54" s="50">
        <f>VLOOKUP($A54,'[1]ma sp 02'!$A$5:$BD$1101,O$1,0)</f>
        <v>0</v>
      </c>
      <c r="P54" s="50">
        <f>VLOOKUP($A54,'[1]ma sp 02'!$A$5:$BD$1101,P$1,0)</f>
        <v>0.7</v>
      </c>
      <c r="Q54" s="50">
        <f>VLOOKUP($A54,'[1]ma sp 02'!$A$5:$BD$1101,Q$1,0)</f>
        <v>0.1</v>
      </c>
      <c r="R54" s="50">
        <f>VLOOKUP($A54,'[1]ma sp 02'!$A$5:$BD$1101,R$1,0)</f>
        <v>0</v>
      </c>
      <c r="S54" s="50">
        <f>VLOOKUP($A54,'[1]ma sp 02'!$A$5:$BD$1101,S$1,0)</f>
        <v>0</v>
      </c>
      <c r="T54" s="50">
        <f>VLOOKUP($A54,'[1]ma sp 02'!$A$5:$BD$1101,T$1,0)</f>
        <v>0</v>
      </c>
      <c r="U54" s="50">
        <f>VLOOKUP($A54,'[1]ma sp 02'!$A$5:$BD$1101,U$1,0)</f>
        <v>0</v>
      </c>
      <c r="V54" s="50">
        <f>VLOOKUP($A54,'[1]ma sp 02'!$A$5:$BD$1101,V$1,0)</f>
        <v>0.4</v>
      </c>
      <c r="W54" s="50">
        <f>VLOOKUP($A54,'[1]ma sp 02'!$A$5:$BD$1101,W$1,0)</f>
        <v>0</v>
      </c>
      <c r="X54" s="50">
        <f t="shared" si="1"/>
        <v>9</v>
      </c>
      <c r="Y54" s="57"/>
      <c r="Z54" s="57"/>
      <c r="AA54" s="57"/>
      <c r="AB54" s="57"/>
      <c r="AC54" s="57"/>
      <c r="AD54" s="57"/>
      <c r="AE54" s="58" t="s">
        <v>66</v>
      </c>
      <c r="AF54" s="58" t="s">
        <v>67</v>
      </c>
      <c r="AG54" s="83">
        <f>(0.02*0.91+0.012*1.4+0.03*0.925)*0.68</f>
        <v>4.2670000000000007E-2</v>
      </c>
      <c r="AH54" s="55">
        <f>(2.3/0.75/2)*0.67</f>
        <v>1.0273333333333332</v>
      </c>
      <c r="AI54" s="55">
        <f>(0.0025*0.67*3)/(10*0.3)*1000</f>
        <v>1.675</v>
      </c>
      <c r="AJ54" s="58">
        <v>9530</v>
      </c>
      <c r="AK54" s="57">
        <v>9690</v>
      </c>
      <c r="AL54" s="52" t="s">
        <v>59</v>
      </c>
      <c r="AM54" s="52" t="s">
        <v>74</v>
      </c>
      <c r="AN54" s="57">
        <v>280</v>
      </c>
      <c r="AO54" s="52" t="s">
        <v>61</v>
      </c>
      <c r="AP54" s="59">
        <f>IFERROR(VLOOKUP($A54,[2]Mssp!$A$5:$BE$1463,AP$4+1,0),0)</f>
        <v>0</v>
      </c>
      <c r="AQ54" s="59">
        <f>IFERROR(VLOOKUP($A54,[2]Mssp!$A$5:$BE$1463,AQ$4+1,0),0)</f>
        <v>0</v>
      </c>
      <c r="AR54" s="59">
        <f>IFERROR(VLOOKUP($A54,[2]Mssp!$A$5:$BE$1463,AR$4+1,0),0)</f>
        <v>0</v>
      </c>
      <c r="AS54" s="59">
        <f>IFERROR(VLOOKUP($A54,[2]Mssp!$A$5:$BE$1463,AS$4+1,0),0)</f>
        <v>0</v>
      </c>
      <c r="AT54" s="59">
        <f>IFERROR(VLOOKUP($A54,[2]Mssp!$A$5:$BE$1463,AT$4+1,0),0)</f>
        <v>0</v>
      </c>
      <c r="AU54" s="59">
        <f>IFERROR(VLOOKUP($A54,[2]Mssp!$A$5:$BE$1463,AU$4+1,0),0)</f>
        <v>0</v>
      </c>
      <c r="AV54" s="59">
        <f>IFERROR(VLOOKUP($A54,[2]Mssp!$A$5:$BE$1463,AV$4+1,0),0)</f>
        <v>0</v>
      </c>
      <c r="AW54" s="59">
        <f>IFERROR(VLOOKUP($A54,[2]Mssp!$A$5:$BE$1463,AW$4+1,0),0)</f>
        <v>0</v>
      </c>
      <c r="AX54" s="59">
        <f>IFERROR(VLOOKUP($A54,[2]Mssp!$A$5:$BE$1463,AX$4+1,0),0)</f>
        <v>0</v>
      </c>
      <c r="AY54" s="59">
        <f>IFERROR(VLOOKUP($A54,[2]Mssp!$A$5:$BE$1463,AY$4+2,0),0)</f>
        <v>0</v>
      </c>
      <c r="AZ54" s="59">
        <f>IFERROR(VLOOKUP($A54,[2]Mssp!$A$5:$BE$1463,AZ$4+2,0),0)</f>
        <v>0</v>
      </c>
      <c r="BA54" s="60" t="e">
        <v>#N/A</v>
      </c>
      <c r="BB54" s="61" t="s">
        <v>62</v>
      </c>
      <c r="BC54" s="62"/>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row>
    <row r="55" spans="1:94" ht="45" x14ac:dyDescent="0.25">
      <c r="A55" s="51" t="s">
        <v>277</v>
      </c>
      <c r="B55" s="73" t="s">
        <v>278</v>
      </c>
      <c r="C55" s="50">
        <f t="shared" si="0"/>
        <v>2.5099999999999998</v>
      </c>
      <c r="D55" s="58">
        <v>2</v>
      </c>
      <c r="E55" s="58" t="s">
        <v>135</v>
      </c>
      <c r="F55" s="58">
        <v>3</v>
      </c>
      <c r="G55" s="50" t="s">
        <v>184</v>
      </c>
      <c r="H55" s="50">
        <f>VLOOKUP($A55,'[1]ma sp 02'!$A$5:$BD$1101,H$1,0)</f>
        <v>0</v>
      </c>
      <c r="I55" s="50">
        <f>VLOOKUP($A55,'[1]ma sp 02'!$A$5:$BD$1101,I$1,0)</f>
        <v>1.23</v>
      </c>
      <c r="J55" s="50">
        <f>VLOOKUP($A55,'[1]ma sp 02'!$A$5:$BD$1101,J$1,0)</f>
        <v>0</v>
      </c>
      <c r="K55" s="50">
        <f>VLOOKUP($A55,'[1]ma sp 02'!$A$5:$BD$1101,K$1,0)</f>
        <v>0</v>
      </c>
      <c r="L55" s="50">
        <f>VLOOKUP($A55,'[1]ma sp 02'!$A$5:$BD$1101,L$1,0)</f>
        <v>0.94</v>
      </c>
      <c r="M55" s="50">
        <f>VLOOKUP($A55,'[1]ma sp 02'!$A$5:$BD$1101,M$1,0)</f>
        <v>0</v>
      </c>
      <c r="N55" s="50">
        <f>VLOOKUP($A55,'[1]ma sp 02'!$A$5:$BD$1101,N$1,0)</f>
        <v>0</v>
      </c>
      <c r="O55" s="50">
        <f>VLOOKUP($A55,'[1]ma sp 02'!$A$5:$BD$1101,O$1,0)</f>
        <v>0</v>
      </c>
      <c r="P55" s="50">
        <f>VLOOKUP($A55,'[1]ma sp 02'!$A$5:$BD$1101,P$1,0)</f>
        <v>0.01</v>
      </c>
      <c r="Q55" s="50">
        <f>VLOOKUP($A55,'[1]ma sp 02'!$A$5:$BD$1101,Q$1,0)</f>
        <v>0.33</v>
      </c>
      <c r="R55" s="50">
        <f>VLOOKUP($A55,'[1]ma sp 02'!$A$5:$BD$1101,R$1,0)</f>
        <v>0</v>
      </c>
      <c r="S55" s="50">
        <f>VLOOKUP($A55,'[1]ma sp 02'!$A$5:$BD$1101,S$1,0)</f>
        <v>0</v>
      </c>
      <c r="T55" s="50">
        <f>VLOOKUP($A55,'[1]ma sp 02'!$A$5:$BD$1101,T$1,0)</f>
        <v>0</v>
      </c>
      <c r="U55" s="50">
        <f>VLOOKUP($A55,'[1]ma sp 02'!$A$5:$BD$1101,U$1,0)</f>
        <v>0</v>
      </c>
      <c r="V55" s="50">
        <f>VLOOKUP($A55,'[1]ma sp 02'!$A$5:$BD$1101,V$1,0)</f>
        <v>0</v>
      </c>
      <c r="W55" s="50">
        <f>VLOOKUP($A55,'[1]ma sp 02'!$A$5:$BD$1101,W$1,0)</f>
        <v>0</v>
      </c>
      <c r="X55" s="50">
        <f t="shared" si="1"/>
        <v>4</v>
      </c>
      <c r="Y55" s="57"/>
      <c r="Z55" s="57"/>
      <c r="AA55" s="57"/>
      <c r="AB55" s="57"/>
      <c r="AC55" s="57"/>
      <c r="AD55" s="57"/>
      <c r="AE55" s="58" t="s">
        <v>279</v>
      </c>
      <c r="AF55" s="58"/>
      <c r="AG55" s="83">
        <f>(0.02*0.91+0.025*0.925)*0.68</f>
        <v>2.8101000000000001E-2</v>
      </c>
      <c r="AH55" s="55">
        <f>(2.3/0.75/2)*0.67</f>
        <v>1.0273333333333332</v>
      </c>
      <c r="AI55" s="55"/>
      <c r="AJ55" s="58">
        <v>9530</v>
      </c>
      <c r="AK55" s="57"/>
      <c r="AL55" s="52">
        <v>2E-3</v>
      </c>
      <c r="AM55" s="52" t="s">
        <v>60</v>
      </c>
      <c r="AN55" s="57">
        <v>275</v>
      </c>
      <c r="AO55" s="52" t="s">
        <v>99</v>
      </c>
      <c r="AP55" s="59" t="str">
        <f>IFERROR(VLOOKUP($A55,[2]Mssp!$A$5:$BE$1463,AP$4+1,0),0)</f>
        <v>1309145-1</v>
      </c>
      <c r="AQ55" s="59" t="str">
        <f>IFERROR(VLOOKUP($A55,[2]Mssp!$A$5:$BE$1463,AQ$4+1,0),0)</f>
        <v>1309145-2</v>
      </c>
      <c r="AR55" s="59" t="str">
        <f>IFERROR(VLOOKUP($A55,[2]Mssp!$A$5:$BE$1463,AR$4+1,0),0)</f>
        <v>1309145-3</v>
      </c>
      <c r="AS55" s="59">
        <f>IFERROR(VLOOKUP($A55,[2]Mssp!$A$5:$BE$1463,AS$4+1,0),0)</f>
        <v>0</v>
      </c>
      <c r="AT55" s="59">
        <f>IFERROR(VLOOKUP($A55,[2]Mssp!$A$5:$BE$1463,AT$4+1,0),0)</f>
        <v>0</v>
      </c>
      <c r="AU55" s="59">
        <f>IFERROR(VLOOKUP($A55,[2]Mssp!$A$5:$BE$1463,AU$4+1,0),0)</f>
        <v>0</v>
      </c>
      <c r="AV55" s="59">
        <f>IFERROR(VLOOKUP($A55,[2]Mssp!$A$5:$BE$1463,AV$4+1,0),0)</f>
        <v>0</v>
      </c>
      <c r="AW55" s="59">
        <f>IFERROR(VLOOKUP($A55,[2]Mssp!$A$5:$BE$1463,AW$4+1,0),0)</f>
        <v>0</v>
      </c>
      <c r="AX55" s="59">
        <f>IFERROR(VLOOKUP($A55,[2]Mssp!$A$5:$BE$1463,AX$4+1,0),0)</f>
        <v>0</v>
      </c>
      <c r="AY55" s="59" t="str">
        <f>IFERROR(VLOOKUP($A55,[2]Mssp!$A$5:$BE$1463,AY$4+2,0),0)</f>
        <v>550x750</v>
      </c>
      <c r="AZ55" s="59" t="str">
        <f>IFERROR(VLOOKUP($A55,[2]Mssp!$A$5:$BE$1463,AZ$4+2,0),0)</f>
        <v>M3</v>
      </c>
      <c r="BA55" s="60"/>
      <c r="BB55" s="61"/>
      <c r="BC55" s="62"/>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row>
    <row r="56" spans="1:94" ht="45" x14ac:dyDescent="0.25">
      <c r="A56" s="51" t="s">
        <v>280</v>
      </c>
      <c r="B56" s="73" t="s">
        <v>281</v>
      </c>
      <c r="C56" s="50">
        <f t="shared" si="0"/>
        <v>8.49</v>
      </c>
      <c r="D56" s="58">
        <v>2</v>
      </c>
      <c r="E56" s="58" t="s">
        <v>282</v>
      </c>
      <c r="F56" s="58">
        <v>6</v>
      </c>
      <c r="G56" s="50" t="s">
        <v>56</v>
      </c>
      <c r="H56" s="50">
        <f>VLOOKUP($A56,'[1]ma sp 02'!$A$5:$BD$1101,H$1,0)</f>
        <v>0.26</v>
      </c>
      <c r="I56" s="50">
        <f>VLOOKUP($A56,'[1]ma sp 02'!$A$5:$BD$1101,I$1,0)</f>
        <v>3.45</v>
      </c>
      <c r="J56" s="50">
        <f>VLOOKUP($A56,'[1]ma sp 02'!$A$5:$BD$1101,J$1,0)</f>
        <v>0.15</v>
      </c>
      <c r="K56" s="50">
        <f>VLOOKUP($A56,'[1]ma sp 02'!$A$5:$BD$1101,K$1,0)</f>
        <v>0.12</v>
      </c>
      <c r="L56" s="50">
        <f>VLOOKUP($A56,'[1]ma sp 02'!$A$5:$BD$1101,L$1,0)</f>
        <v>2.79</v>
      </c>
      <c r="M56" s="50">
        <f>VLOOKUP($A56,'[1]ma sp 02'!$A$5:$BD$1101,M$1,0)</f>
        <v>1.71</v>
      </c>
      <c r="N56" s="50">
        <f>VLOOKUP($A56,'[1]ma sp 02'!$A$5:$BD$1101,N$1,0)</f>
        <v>0</v>
      </c>
      <c r="O56" s="50">
        <f>VLOOKUP($A56,'[1]ma sp 02'!$A$5:$BD$1101,O$1,0)</f>
        <v>0</v>
      </c>
      <c r="P56" s="50">
        <f>VLOOKUP($A56,'[1]ma sp 02'!$A$5:$BD$1101,P$1,0)</f>
        <v>0.01</v>
      </c>
      <c r="Q56" s="50">
        <f>VLOOKUP($A56,'[1]ma sp 02'!$A$5:$BD$1101,Q$1,0)</f>
        <v>0</v>
      </c>
      <c r="R56" s="50">
        <f>VLOOKUP($A56,'[1]ma sp 02'!$A$5:$BD$1101,R$1,0)</f>
        <v>0</v>
      </c>
      <c r="S56" s="50">
        <f>VLOOKUP($A56,'[1]ma sp 02'!$A$5:$BD$1101,S$1,0)</f>
        <v>0</v>
      </c>
      <c r="T56" s="50">
        <f>VLOOKUP($A56,'[1]ma sp 02'!$A$5:$BD$1101,T$1,0)</f>
        <v>0</v>
      </c>
      <c r="U56" s="50">
        <f>VLOOKUP($A56,'[1]ma sp 02'!$A$5:$BD$1101,U$1,0)</f>
        <v>0</v>
      </c>
      <c r="V56" s="50">
        <f>VLOOKUP($A56,'[1]ma sp 02'!$A$5:$BD$1101,V$1,0)</f>
        <v>0</v>
      </c>
      <c r="W56" s="50">
        <f>VLOOKUP($A56,'[1]ma sp 02'!$A$5:$BD$1101,W$1,0)</f>
        <v>0</v>
      </c>
      <c r="X56" s="50">
        <f t="shared" si="1"/>
        <v>7</v>
      </c>
      <c r="Y56" s="58"/>
      <c r="Z56" s="58"/>
      <c r="AA56" s="58"/>
      <c r="AB56" s="58"/>
      <c r="AC56" s="58"/>
      <c r="AD56" s="58"/>
      <c r="AE56" s="58" t="s">
        <v>283</v>
      </c>
      <c r="AF56" s="58"/>
      <c r="AG56" s="83">
        <f>(0.02*0.91+0.055*0.925)*0.66</f>
        <v>4.5589499999999998E-2</v>
      </c>
      <c r="AH56" s="63">
        <f>(0.0023*0.65*3)/(10*0.3)*1000</f>
        <v>1.4950000000000001</v>
      </c>
      <c r="AI56" s="55"/>
      <c r="AJ56" s="58">
        <v>9690</v>
      </c>
      <c r="AK56" s="57"/>
      <c r="AL56" s="58">
        <v>2.3E-3</v>
      </c>
      <c r="AM56" s="52" t="s">
        <v>60</v>
      </c>
      <c r="AN56" s="57">
        <v>280</v>
      </c>
      <c r="AO56" s="52" t="s">
        <v>61</v>
      </c>
      <c r="AP56" s="59">
        <f>IFERROR(VLOOKUP($A56,[2]Mssp!$A$5:$BE$1463,AP$4+1,0),0)</f>
        <v>0</v>
      </c>
      <c r="AQ56" s="59">
        <f>IFERROR(VLOOKUP($A56,[2]Mssp!$A$5:$BE$1463,AQ$4+1,0),0)</f>
        <v>0</v>
      </c>
      <c r="AR56" s="59">
        <f>IFERROR(VLOOKUP($A56,[2]Mssp!$A$5:$BE$1463,AR$4+1,0),0)</f>
        <v>0</v>
      </c>
      <c r="AS56" s="59">
        <f>IFERROR(VLOOKUP($A56,[2]Mssp!$A$5:$BE$1463,AS$4+1,0),0)</f>
        <v>0</v>
      </c>
      <c r="AT56" s="59">
        <f>IFERROR(VLOOKUP($A56,[2]Mssp!$A$5:$BE$1463,AT$4+1,0),0)</f>
        <v>0</v>
      </c>
      <c r="AU56" s="59">
        <f>IFERROR(VLOOKUP($A56,[2]Mssp!$A$5:$BE$1463,AU$4+1,0),0)</f>
        <v>0</v>
      </c>
      <c r="AV56" s="59">
        <f>IFERROR(VLOOKUP($A56,[2]Mssp!$A$5:$BE$1463,AV$4+1,0),0)</f>
        <v>0</v>
      </c>
      <c r="AW56" s="59">
        <f>IFERROR(VLOOKUP($A56,[2]Mssp!$A$5:$BE$1463,AW$4+1,0),0)</f>
        <v>0</v>
      </c>
      <c r="AX56" s="59">
        <f>IFERROR(VLOOKUP($A56,[2]Mssp!$A$5:$BE$1463,AX$4+1,0),0)</f>
        <v>0</v>
      </c>
      <c r="AY56" s="59">
        <f>IFERROR(VLOOKUP($A56,[2]Mssp!$A$5:$BE$1463,AY$4+2,0),0)</f>
        <v>0</v>
      </c>
      <c r="AZ56" s="59">
        <f>IFERROR(VLOOKUP($A56,[2]Mssp!$A$5:$BE$1463,AZ$4+2,0),0)</f>
        <v>0</v>
      </c>
      <c r="BA56" s="60">
        <v>3000</v>
      </c>
      <c r="BB56" s="61" t="s">
        <v>62</v>
      </c>
      <c r="BC56" s="62"/>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c r="CP56" s="9"/>
    </row>
    <row r="57" spans="1:94" ht="45" x14ac:dyDescent="0.25">
      <c r="A57" s="50" t="s">
        <v>284</v>
      </c>
      <c r="B57" s="73" t="s">
        <v>285</v>
      </c>
      <c r="C57" s="50">
        <f t="shared" si="0"/>
        <v>8.94</v>
      </c>
      <c r="D57" s="58">
        <v>1</v>
      </c>
      <c r="E57" s="58" t="s">
        <v>286</v>
      </c>
      <c r="F57" s="58">
        <v>6</v>
      </c>
      <c r="G57" s="50" t="s">
        <v>56</v>
      </c>
      <c r="H57" s="50">
        <f>VLOOKUP($A57,'[1]ma sp 02'!$A$5:$BD$1101,H$1,0)</f>
        <v>0</v>
      </c>
      <c r="I57" s="50">
        <f>VLOOKUP($A57,'[1]ma sp 02'!$A$5:$BD$1101,I$1,0)</f>
        <v>3.28</v>
      </c>
      <c r="J57" s="50">
        <f>VLOOKUP($A57,'[1]ma sp 02'!$A$5:$BD$1101,J$1,0)</f>
        <v>0.77</v>
      </c>
      <c r="K57" s="50">
        <f>VLOOKUP($A57,'[1]ma sp 02'!$A$5:$BD$1101,K$1,0)</f>
        <v>0.27</v>
      </c>
      <c r="L57" s="50">
        <f>VLOOKUP($A57,'[1]ma sp 02'!$A$5:$BD$1101,L$1,0)</f>
        <v>2.04</v>
      </c>
      <c r="M57" s="50">
        <f>VLOOKUP($A57,'[1]ma sp 02'!$A$5:$BD$1101,M$1,0)</f>
        <v>1.91</v>
      </c>
      <c r="N57" s="50">
        <f>VLOOKUP($A57,'[1]ma sp 02'!$A$5:$BD$1101,N$1,0)</f>
        <v>0.15</v>
      </c>
      <c r="O57" s="50">
        <f>VLOOKUP($A57,'[1]ma sp 02'!$A$5:$BD$1101,O$1,0)</f>
        <v>0</v>
      </c>
      <c r="P57" s="50">
        <f>VLOOKUP($A57,'[1]ma sp 02'!$A$5:$BD$1101,P$1,0)</f>
        <v>0</v>
      </c>
      <c r="Q57" s="50">
        <f>VLOOKUP($A57,'[1]ma sp 02'!$A$5:$BD$1101,Q$1,0)</f>
        <v>0</v>
      </c>
      <c r="R57" s="50">
        <f>VLOOKUP($A57,'[1]ma sp 02'!$A$5:$BD$1101,R$1,0)</f>
        <v>0.51</v>
      </c>
      <c r="S57" s="50">
        <f>VLOOKUP($A57,'[1]ma sp 02'!$A$5:$BD$1101,S$1,0)</f>
        <v>0.01</v>
      </c>
      <c r="T57" s="50">
        <f>VLOOKUP($A57,'[1]ma sp 02'!$A$5:$BD$1101,T$1,0)</f>
        <v>0</v>
      </c>
      <c r="U57" s="50">
        <f>VLOOKUP($A57,'[1]ma sp 02'!$A$5:$BD$1101,U$1,0)</f>
        <v>0</v>
      </c>
      <c r="V57" s="50">
        <f>VLOOKUP($A57,'[1]ma sp 02'!$A$5:$BD$1101,V$1,0)</f>
        <v>0</v>
      </c>
      <c r="W57" s="50">
        <f>VLOOKUP($A57,'[1]ma sp 02'!$A$5:$BD$1101,W$1,0)</f>
        <v>0</v>
      </c>
      <c r="X57" s="50">
        <f t="shared" si="1"/>
        <v>8</v>
      </c>
      <c r="Y57" s="58"/>
      <c r="Z57" s="58"/>
      <c r="AA57" s="58"/>
      <c r="AB57" s="58"/>
      <c r="AC57" s="58"/>
      <c r="AD57" s="58"/>
      <c r="AE57" s="58" t="s">
        <v>287</v>
      </c>
      <c r="AF57" s="58"/>
      <c r="AG57" s="83">
        <f>(0.02*0.91+0.045*0.91)*0.47</f>
        <v>2.7800499999999999E-2</v>
      </c>
      <c r="AH57" s="55">
        <f>(2/0.75/2)*0.46</f>
        <v>0.61333333333333329</v>
      </c>
      <c r="AI57" s="80"/>
      <c r="AJ57" s="58">
        <v>9530</v>
      </c>
      <c r="AK57" s="57"/>
      <c r="AL57" s="58">
        <v>2E-3</v>
      </c>
      <c r="AM57" s="52" t="s">
        <v>60</v>
      </c>
      <c r="AN57" s="57">
        <v>310</v>
      </c>
      <c r="AO57" s="52" t="s">
        <v>266</v>
      </c>
      <c r="AP57" s="59" t="str">
        <f>IFERROR(VLOOKUP($A57,[2]Mssp!$A$5:$BE$1463,AP$4+1,0),0)</f>
        <v>1310341-1</v>
      </c>
      <c r="AQ57" s="59" t="str">
        <f>IFERROR(VLOOKUP($A57,[2]Mssp!$A$5:$BE$1463,AQ$4+1,0),0)</f>
        <v>1707907-2</v>
      </c>
      <c r="AR57" s="59" t="str">
        <f>IFERROR(VLOOKUP($A57,[2]Mssp!$A$5:$BE$1463,AR$4+1,0),0)</f>
        <v>1310341-3</v>
      </c>
      <c r="AS57" s="59" t="str">
        <f>IFERROR(VLOOKUP($A57,[2]Mssp!$A$5:$BE$1463,AS$4+1,0),0)</f>
        <v>1310341-4</v>
      </c>
      <c r="AT57" s="59" t="str">
        <f>IFERROR(VLOOKUP($A57,[2]Mssp!$A$5:$BE$1463,AT$4+1,0),0)</f>
        <v>1310341-5</v>
      </c>
      <c r="AU57" s="59" t="str">
        <f>IFERROR(VLOOKUP($A57,[2]Mssp!$A$5:$BE$1463,AU$4+1,0),0)</f>
        <v>1310341-6</v>
      </c>
      <c r="AV57" s="59">
        <f>IFERROR(VLOOKUP($A57,[2]Mssp!$A$5:$BE$1463,AV$4+1,0),0)</f>
        <v>0</v>
      </c>
      <c r="AW57" s="59">
        <f>IFERROR(VLOOKUP($A57,[2]Mssp!$A$5:$BE$1463,AW$4+1,0),0)</f>
        <v>0</v>
      </c>
      <c r="AX57" s="59">
        <f>IFERROR(VLOOKUP($A57,[2]Mssp!$A$5:$BE$1463,AX$4+1,0),0)</f>
        <v>0</v>
      </c>
      <c r="AY57" s="59" t="str">
        <f>IFERROR(VLOOKUP($A57,[2]Mssp!$A$5:$BE$1463,AY$4+2,0),0)</f>
        <v>620x750</v>
      </c>
      <c r="AZ57" s="59" t="str">
        <f>IFERROR(VLOOKUP($A57,[2]Mssp!$A$5:$BE$1463,AZ$4+2,0),0)</f>
        <v>M3</v>
      </c>
      <c r="BA57" s="60">
        <v>2000</v>
      </c>
      <c r="BB57" s="61" t="s">
        <v>62</v>
      </c>
      <c r="BC57" s="62"/>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c r="CP57" s="9"/>
    </row>
    <row r="58" spans="1:94" ht="45" x14ac:dyDescent="0.25">
      <c r="A58" s="50" t="s">
        <v>288</v>
      </c>
      <c r="B58" s="73" t="s">
        <v>289</v>
      </c>
      <c r="C58" s="50">
        <f t="shared" si="0"/>
        <v>0</v>
      </c>
      <c r="D58" s="58">
        <v>2</v>
      </c>
      <c r="E58" s="58" t="s">
        <v>247</v>
      </c>
      <c r="F58" s="58">
        <v>3</v>
      </c>
      <c r="G58" s="50" t="s">
        <v>56</v>
      </c>
      <c r="H58" s="50">
        <f>VLOOKUP($A58,'[1]ma sp 02'!$A$5:$BD$1101,H$1,0)</f>
        <v>0</v>
      </c>
      <c r="I58" s="50">
        <f>VLOOKUP($A58,'[1]ma sp 02'!$A$5:$BD$1101,I$1,0)</f>
        <v>0</v>
      </c>
      <c r="J58" s="50">
        <f>VLOOKUP($A58,'[1]ma sp 02'!$A$5:$BD$1101,J$1,0)</f>
        <v>0</v>
      </c>
      <c r="K58" s="50">
        <f>VLOOKUP($A58,'[1]ma sp 02'!$A$5:$BD$1101,K$1,0)</f>
        <v>0</v>
      </c>
      <c r="L58" s="50">
        <f>VLOOKUP($A58,'[1]ma sp 02'!$A$5:$BD$1101,L$1,0)</f>
        <v>0</v>
      </c>
      <c r="M58" s="50">
        <f>VLOOKUP($A58,'[1]ma sp 02'!$A$5:$BD$1101,M$1,0)</f>
        <v>0</v>
      </c>
      <c r="N58" s="50">
        <f>VLOOKUP($A58,'[1]ma sp 02'!$A$5:$BD$1101,N$1,0)</f>
        <v>0</v>
      </c>
      <c r="O58" s="50">
        <f>VLOOKUP($A58,'[1]ma sp 02'!$A$5:$BD$1101,O$1,0)</f>
        <v>0</v>
      </c>
      <c r="P58" s="50">
        <f>VLOOKUP($A58,'[1]ma sp 02'!$A$5:$BD$1101,P$1,0)</f>
        <v>0</v>
      </c>
      <c r="Q58" s="50">
        <f>VLOOKUP($A58,'[1]ma sp 02'!$A$5:$BD$1101,Q$1,0)</f>
        <v>0</v>
      </c>
      <c r="R58" s="50">
        <f>VLOOKUP($A58,'[1]ma sp 02'!$A$5:$BD$1101,R$1,0)</f>
        <v>0</v>
      </c>
      <c r="S58" s="50">
        <f>VLOOKUP($A58,'[1]ma sp 02'!$A$5:$BD$1101,S$1,0)</f>
        <v>0</v>
      </c>
      <c r="T58" s="50">
        <f>VLOOKUP($A58,'[1]ma sp 02'!$A$5:$BD$1101,T$1,0)</f>
        <v>0</v>
      </c>
      <c r="U58" s="50">
        <f>VLOOKUP($A58,'[1]ma sp 02'!$A$5:$BD$1101,U$1,0)</f>
        <v>0</v>
      </c>
      <c r="V58" s="50">
        <f>VLOOKUP($A58,'[1]ma sp 02'!$A$5:$BD$1101,V$1,0)</f>
        <v>0</v>
      </c>
      <c r="W58" s="50">
        <f>VLOOKUP($A58,'[1]ma sp 02'!$A$5:$BD$1101,W$1,0)</f>
        <v>0</v>
      </c>
      <c r="X58" s="50">
        <f t="shared" si="1"/>
        <v>0</v>
      </c>
      <c r="Y58" s="58"/>
      <c r="Z58" s="58"/>
      <c r="AA58" s="58"/>
      <c r="AB58" s="58"/>
      <c r="AC58" s="58"/>
      <c r="AD58" s="58"/>
      <c r="AE58" s="58" t="s">
        <v>290</v>
      </c>
      <c r="AF58" s="58"/>
      <c r="AG58" s="85">
        <v>2.7600000000000003E-2</v>
      </c>
      <c r="AH58" s="80">
        <v>0.65333333333333332</v>
      </c>
      <c r="AI58" s="80"/>
      <c r="AJ58" s="58">
        <v>9530</v>
      </c>
      <c r="AK58" s="57"/>
      <c r="AL58" s="58">
        <v>2E-3</v>
      </c>
      <c r="AM58" s="52" t="s">
        <v>142</v>
      </c>
      <c r="AN58" s="57">
        <v>240</v>
      </c>
      <c r="AO58" s="52" t="s">
        <v>244</v>
      </c>
      <c r="AP58" s="59" t="str">
        <f>IFERROR(VLOOKUP($A58,[2]Mssp!$A$5:$BE$1463,AP$4+1,0),0)</f>
        <v>F313267-1</v>
      </c>
      <c r="AQ58" s="59" t="str">
        <f>IFERROR(VLOOKUP($A58,[2]Mssp!$A$5:$BE$1463,AQ$4+1,0),0)</f>
        <v>F313267-2</v>
      </c>
      <c r="AR58" s="59" t="str">
        <f>IFERROR(VLOOKUP($A58,[2]Mssp!$A$5:$BE$1463,AR$4+1,0),0)</f>
        <v>F313267-3</v>
      </c>
      <c r="AS58" s="59">
        <f>IFERROR(VLOOKUP($A58,[2]Mssp!$A$5:$BE$1463,AS$4+1,0),0)</f>
        <v>0</v>
      </c>
      <c r="AT58" s="59">
        <f>IFERROR(VLOOKUP($A58,[2]Mssp!$A$5:$BE$1463,AT$4+1,0),0)</f>
        <v>0</v>
      </c>
      <c r="AU58" s="59">
        <f>IFERROR(VLOOKUP($A58,[2]Mssp!$A$5:$BE$1463,AU$4+1,0),0)</f>
        <v>0</v>
      </c>
      <c r="AV58" s="59">
        <f>IFERROR(VLOOKUP($A58,[2]Mssp!$A$5:$BE$1463,AV$4+1,0),0)</f>
        <v>0</v>
      </c>
      <c r="AW58" s="59">
        <f>IFERROR(VLOOKUP($A58,[2]Mssp!$A$5:$BE$1463,AW$4+1,0),0)</f>
        <v>0</v>
      </c>
      <c r="AX58" s="59">
        <f>IFERROR(VLOOKUP($A58,[2]Mssp!$A$5:$BE$1463,AX$4+1,0),0)</f>
        <v>0</v>
      </c>
      <c r="AY58" s="59" t="str">
        <f>IFERROR(VLOOKUP($A58,[2]Mssp!$A$5:$BE$1463,AY$4+2,0),0)</f>
        <v>480x560</v>
      </c>
      <c r="AZ58" s="59" t="str">
        <f>IFERROR(VLOOKUP($A58,[2]Mssp!$A$5:$BE$1463,AZ$4+2,0),0)</f>
        <v>BHD</v>
      </c>
      <c r="BA58" s="60">
        <v>0</v>
      </c>
      <c r="BB58" s="61" t="s">
        <v>107</v>
      </c>
      <c r="BC58" s="62"/>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row>
    <row r="59" spans="1:94" ht="45" x14ac:dyDescent="0.25">
      <c r="A59" s="50" t="s">
        <v>291</v>
      </c>
      <c r="B59" s="73" t="s">
        <v>292</v>
      </c>
      <c r="C59" s="50">
        <f t="shared" si="0"/>
        <v>4.7999999999999989</v>
      </c>
      <c r="D59" s="58">
        <v>4</v>
      </c>
      <c r="E59" s="58" t="s">
        <v>293</v>
      </c>
      <c r="F59" s="58">
        <v>7</v>
      </c>
      <c r="G59" s="50" t="s">
        <v>56</v>
      </c>
      <c r="H59" s="50">
        <f>VLOOKUP($A59,'[1]ma sp 02'!$A$5:$BD$1101,H$1,0)</f>
        <v>0.11</v>
      </c>
      <c r="I59" s="50">
        <f>VLOOKUP($A59,'[1]ma sp 02'!$A$5:$BD$1101,I$1,0)</f>
        <v>2</v>
      </c>
      <c r="J59" s="50">
        <f>VLOOKUP($A59,'[1]ma sp 02'!$A$5:$BD$1101,J$1,0)</f>
        <v>0.05</v>
      </c>
      <c r="K59" s="50">
        <f>VLOOKUP($A59,'[1]ma sp 02'!$A$5:$BD$1101,K$1,0)</f>
        <v>0.37</v>
      </c>
      <c r="L59" s="50">
        <f>VLOOKUP($A59,'[1]ma sp 02'!$A$5:$BD$1101,L$1,0)</f>
        <v>0.65</v>
      </c>
      <c r="M59" s="50">
        <f>VLOOKUP($A59,'[1]ma sp 02'!$A$5:$BD$1101,M$1,0)</f>
        <v>0.5</v>
      </c>
      <c r="N59" s="50">
        <f>VLOOKUP($A59,'[1]ma sp 02'!$A$5:$BD$1101,N$1,0)</f>
        <v>0</v>
      </c>
      <c r="O59" s="50">
        <f>VLOOKUP($A59,'[1]ma sp 02'!$A$5:$BD$1101,O$1,0)</f>
        <v>0</v>
      </c>
      <c r="P59" s="50">
        <f>VLOOKUP($A59,'[1]ma sp 02'!$A$5:$BD$1101,P$1,0)</f>
        <v>0.72</v>
      </c>
      <c r="Q59" s="50">
        <f>VLOOKUP($A59,'[1]ma sp 02'!$A$5:$BD$1101,Q$1,0)</f>
        <v>0.31</v>
      </c>
      <c r="R59" s="50">
        <f>VLOOKUP($A59,'[1]ma sp 02'!$A$5:$BD$1101,R$1,0)</f>
        <v>0</v>
      </c>
      <c r="S59" s="50">
        <f>VLOOKUP($A59,'[1]ma sp 02'!$A$5:$BD$1101,S$1,0)</f>
        <v>0.09</v>
      </c>
      <c r="T59" s="50">
        <f>VLOOKUP($A59,'[1]ma sp 02'!$A$5:$BD$1101,T$1,0)</f>
        <v>0</v>
      </c>
      <c r="U59" s="50">
        <f>VLOOKUP($A59,'[1]ma sp 02'!$A$5:$BD$1101,U$1,0)</f>
        <v>0</v>
      </c>
      <c r="V59" s="50">
        <f>VLOOKUP($A59,'[1]ma sp 02'!$A$5:$BD$1101,V$1,0)</f>
        <v>0</v>
      </c>
      <c r="W59" s="50">
        <f>VLOOKUP($A59,'[1]ma sp 02'!$A$5:$BD$1101,W$1,0)</f>
        <v>0</v>
      </c>
      <c r="X59" s="50">
        <f t="shared" si="1"/>
        <v>9</v>
      </c>
      <c r="Y59" s="57"/>
      <c r="Z59" s="57"/>
      <c r="AA59" s="57"/>
      <c r="AB59" s="57"/>
      <c r="AC59" s="57"/>
      <c r="AD59" s="57"/>
      <c r="AE59" s="58" t="s">
        <v>294</v>
      </c>
      <c r="AF59" s="57"/>
      <c r="AG59" s="82">
        <v>2.5388999999999998E-2</v>
      </c>
      <c r="AH59" s="54">
        <v>0.89466666666666672</v>
      </c>
      <c r="AI59" s="57"/>
      <c r="AJ59" s="58">
        <v>9530</v>
      </c>
      <c r="AK59" s="57"/>
      <c r="AL59" s="58">
        <v>2E-3</v>
      </c>
      <c r="AM59" s="52" t="s">
        <v>142</v>
      </c>
      <c r="AN59" s="58">
        <v>150</v>
      </c>
      <c r="AO59" s="52" t="s">
        <v>295</v>
      </c>
      <c r="AP59" s="59" t="str">
        <f>IFERROR(VLOOKUP($A59,[2]Mssp!$A$5:$BE$1463,AP$4+1,0),0)</f>
        <v>F121276G4-1</v>
      </c>
      <c r="AQ59" s="59" t="str">
        <f>IFERROR(VLOOKUP($A59,[2]Mssp!$A$5:$BE$1463,AQ$4+1,0),0)</f>
        <v>F105895-2</v>
      </c>
      <c r="AR59" s="59" t="str">
        <f>IFERROR(VLOOKUP($A59,[2]Mssp!$A$5:$BE$1463,AR$4+1,0),0)</f>
        <v>F121276G4-3</v>
      </c>
      <c r="AS59" s="59" t="str">
        <f>IFERROR(VLOOKUP($A59,[2]Mssp!$A$5:$BE$1463,AS$4+1,0),0)</f>
        <v>F105895-4</v>
      </c>
      <c r="AT59" s="59" t="str">
        <f>IFERROR(VLOOKUP($A59,[2]Mssp!$A$5:$BE$1463,AT$4+1,0),0)</f>
        <v>F121276G3-5</v>
      </c>
      <c r="AU59" s="59" t="str">
        <f>IFERROR(VLOOKUP($A59,[2]Mssp!$A$5:$BE$1463,AU$4+1,0),0)</f>
        <v>F105895-6</v>
      </c>
      <c r="AV59" s="59" t="str">
        <f>IFERROR(VLOOKUP($A59,[2]Mssp!$A$5:$BE$1463,AV$4+1,0),0)</f>
        <v>F121276G3-7</v>
      </c>
      <c r="AW59" s="59">
        <f>IFERROR(VLOOKUP($A59,[2]Mssp!$A$5:$BE$1463,AW$4+1,0),0)</f>
        <v>0</v>
      </c>
      <c r="AX59" s="59">
        <f>IFERROR(VLOOKUP($A59,[2]Mssp!$A$5:$BE$1463,AX$4+1,0),0)</f>
        <v>0</v>
      </c>
      <c r="AY59" s="59" t="str">
        <f>IFERROR(VLOOKUP($A59,[2]Mssp!$A$5:$BE$1463,AY$4+2,0),0)</f>
        <v>450x750</v>
      </c>
      <c r="AZ59" s="59" t="str">
        <f>IFERROR(VLOOKUP($A59,[2]Mssp!$A$5:$BE$1463,AZ$4+2,0),0)</f>
        <v>M3</v>
      </c>
      <c r="BA59" s="60" t="s">
        <v>296</v>
      </c>
      <c r="BB59" s="61" t="s">
        <v>107</v>
      </c>
      <c r="BC59" s="62"/>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c r="CP59" s="9"/>
    </row>
    <row r="60" spans="1:94" ht="45" x14ac:dyDescent="0.25">
      <c r="A60" s="50" t="s">
        <v>297</v>
      </c>
      <c r="B60" s="73" t="s">
        <v>298</v>
      </c>
      <c r="C60" s="50">
        <f t="shared" si="0"/>
        <v>6.6499999999999995</v>
      </c>
      <c r="D60" s="58">
        <v>6</v>
      </c>
      <c r="E60" s="58" t="s">
        <v>299</v>
      </c>
      <c r="F60" s="58">
        <v>7</v>
      </c>
      <c r="G60" s="50" t="s">
        <v>56</v>
      </c>
      <c r="H60" s="50">
        <f>VLOOKUP($A60,'[1]ma sp 02'!$A$5:$BD$1101,H$1,0)</f>
        <v>0.1</v>
      </c>
      <c r="I60" s="50">
        <f>VLOOKUP($A60,'[1]ma sp 02'!$A$5:$BD$1101,I$1,0)</f>
        <v>2.15</v>
      </c>
      <c r="J60" s="50">
        <f>VLOOKUP($A60,'[1]ma sp 02'!$A$5:$BD$1101,J$1,0)</f>
        <v>0</v>
      </c>
      <c r="K60" s="50">
        <f>VLOOKUP($A60,'[1]ma sp 02'!$A$5:$BD$1101,K$1,0)</f>
        <v>0.13</v>
      </c>
      <c r="L60" s="50">
        <f>VLOOKUP($A60,'[1]ma sp 02'!$A$5:$BD$1101,L$1,0)</f>
        <v>2.15</v>
      </c>
      <c r="M60" s="50">
        <f>VLOOKUP($A60,'[1]ma sp 02'!$A$5:$BD$1101,M$1,0)</f>
        <v>0.12</v>
      </c>
      <c r="N60" s="50">
        <f>VLOOKUP($A60,'[1]ma sp 02'!$A$5:$BD$1101,N$1,0)</f>
        <v>0</v>
      </c>
      <c r="O60" s="50">
        <f>VLOOKUP($A60,'[1]ma sp 02'!$A$5:$BD$1101,O$1,0)</f>
        <v>0.28999999999999998</v>
      </c>
      <c r="P60" s="50">
        <f>VLOOKUP($A60,'[1]ma sp 02'!$A$5:$BD$1101,P$1,0)</f>
        <v>1.1200000000000001</v>
      </c>
      <c r="Q60" s="50">
        <f>VLOOKUP($A60,'[1]ma sp 02'!$A$5:$BD$1101,Q$1,0)</f>
        <v>0.17</v>
      </c>
      <c r="R60" s="50">
        <f>VLOOKUP($A60,'[1]ma sp 02'!$A$5:$BD$1101,R$1,0)</f>
        <v>0</v>
      </c>
      <c r="S60" s="50">
        <f>VLOOKUP($A60,'[1]ma sp 02'!$A$5:$BD$1101,S$1,0)</f>
        <v>0.42</v>
      </c>
      <c r="T60" s="50">
        <f>VLOOKUP($A60,'[1]ma sp 02'!$A$5:$BD$1101,T$1,0)</f>
        <v>0</v>
      </c>
      <c r="U60" s="50">
        <f>VLOOKUP($A60,'[1]ma sp 02'!$A$5:$BD$1101,U$1,0)</f>
        <v>0</v>
      </c>
      <c r="V60" s="50">
        <f>VLOOKUP($A60,'[1]ma sp 02'!$A$5:$BD$1101,V$1,0)</f>
        <v>0</v>
      </c>
      <c r="W60" s="50">
        <f>VLOOKUP($A60,'[1]ma sp 02'!$A$5:$BD$1101,W$1,0)</f>
        <v>0</v>
      </c>
      <c r="X60" s="50">
        <f t="shared" si="1"/>
        <v>9</v>
      </c>
      <c r="Y60" s="57"/>
      <c r="Z60" s="57"/>
      <c r="AA60" s="57"/>
      <c r="AB60" s="57"/>
      <c r="AC60" s="57"/>
      <c r="AD60" s="57"/>
      <c r="AE60" s="58" t="s">
        <v>300</v>
      </c>
      <c r="AF60" s="57"/>
      <c r="AG60" s="82">
        <v>3.3578999999999998E-2</v>
      </c>
      <c r="AH60" s="54">
        <v>0.97199999999999998</v>
      </c>
      <c r="AI60" s="57"/>
      <c r="AJ60" s="58">
        <v>9530</v>
      </c>
      <c r="AK60" s="57"/>
      <c r="AL60" s="58">
        <v>1.8E-3</v>
      </c>
      <c r="AM60" s="52" t="s">
        <v>142</v>
      </c>
      <c r="AN60" s="57">
        <v>133</v>
      </c>
      <c r="AO60" s="52" t="s">
        <v>295</v>
      </c>
      <c r="AP60" s="59" t="str">
        <f>IFERROR(VLOOKUP($A60,[2]Mssp!$A$5:$BE$1463,AP$4+1,0),0)</f>
        <v>F106531-1</v>
      </c>
      <c r="AQ60" s="59" t="str">
        <f>IFERROR(VLOOKUP($A60,[2]Mssp!$A$5:$BE$1463,AQ$4+1,0),0)</f>
        <v>F106531-2</v>
      </c>
      <c r="AR60" s="59" t="str">
        <f>IFERROR(VLOOKUP($A60,[2]Mssp!$A$5:$BE$1463,AR$4+1,0),0)</f>
        <v>F106531-3</v>
      </c>
      <c r="AS60" s="59" t="str">
        <f>IFERROR(VLOOKUP($A60,[2]Mssp!$A$5:$BE$1463,AS$4+1,0),0)</f>
        <v>F106531-4</v>
      </c>
      <c r="AT60" s="59" t="str">
        <f>IFERROR(VLOOKUP($A60,[2]Mssp!$A$5:$BE$1463,AT$4+1,0),0)</f>
        <v>F106531-5</v>
      </c>
      <c r="AU60" s="59" t="str">
        <f>IFERROR(VLOOKUP($A60,[2]Mssp!$A$5:$BE$1463,AU$4+1,0),0)</f>
        <v>F106531-6</v>
      </c>
      <c r="AV60" s="59" t="str">
        <f>IFERROR(VLOOKUP($A60,[2]Mssp!$A$5:$BE$1463,AV$4+1,0),0)</f>
        <v>F106531-7</v>
      </c>
      <c r="AW60" s="59">
        <f>IFERROR(VLOOKUP($A60,[2]Mssp!$A$5:$BE$1463,AW$4+1,0),0)</f>
        <v>0</v>
      </c>
      <c r="AX60" s="59">
        <f>IFERROR(VLOOKUP($A60,[2]Mssp!$A$5:$BE$1463,AX$4+1,0),0)</f>
        <v>0</v>
      </c>
      <c r="AY60" s="59" t="str">
        <f>IFERROR(VLOOKUP($A60,[2]Mssp!$A$5:$BE$1463,AY$4+2,0),0)</f>
        <v>640x860</v>
      </c>
      <c r="AZ60" s="59" t="str">
        <f>IFERROR(VLOOKUP($A60,[2]Mssp!$A$5:$BE$1463,AZ$4+2,0),0)</f>
        <v>M3</v>
      </c>
      <c r="BA60" s="60">
        <v>0</v>
      </c>
      <c r="BB60" s="61" t="s">
        <v>107</v>
      </c>
      <c r="BC60" s="62"/>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c r="CP60" s="9"/>
    </row>
    <row r="61" spans="1:94" ht="45" x14ac:dyDescent="0.25">
      <c r="A61" s="50" t="s">
        <v>301</v>
      </c>
      <c r="B61" s="73" t="s">
        <v>302</v>
      </c>
      <c r="C61" s="50">
        <f t="shared" si="0"/>
        <v>0</v>
      </c>
      <c r="D61" s="57">
        <v>3</v>
      </c>
      <c r="E61" s="58" t="s">
        <v>135</v>
      </c>
      <c r="F61" s="58">
        <v>7</v>
      </c>
      <c r="G61" s="50" t="s">
        <v>56</v>
      </c>
      <c r="H61" s="50">
        <f>VLOOKUP($A61,'[1]ma sp 02'!$A$5:$BD$1101,H$1,0)</f>
        <v>0</v>
      </c>
      <c r="I61" s="50">
        <f>VLOOKUP($A61,'[1]ma sp 02'!$A$5:$BD$1101,I$1,0)</f>
        <v>0</v>
      </c>
      <c r="J61" s="50">
        <f>VLOOKUP($A61,'[1]ma sp 02'!$A$5:$BD$1101,J$1,0)</f>
        <v>0</v>
      </c>
      <c r="K61" s="50">
        <f>VLOOKUP($A61,'[1]ma sp 02'!$A$5:$BD$1101,K$1,0)</f>
        <v>0</v>
      </c>
      <c r="L61" s="50">
        <f>VLOOKUP($A61,'[1]ma sp 02'!$A$5:$BD$1101,L$1,0)</f>
        <v>0</v>
      </c>
      <c r="M61" s="50">
        <f>VLOOKUP($A61,'[1]ma sp 02'!$A$5:$BD$1101,M$1,0)</f>
        <v>0</v>
      </c>
      <c r="N61" s="50">
        <f>VLOOKUP($A61,'[1]ma sp 02'!$A$5:$BD$1101,N$1,0)</f>
        <v>0</v>
      </c>
      <c r="O61" s="50">
        <f>VLOOKUP($A61,'[1]ma sp 02'!$A$5:$BD$1101,O$1,0)</f>
        <v>0</v>
      </c>
      <c r="P61" s="50">
        <f>VLOOKUP($A61,'[1]ma sp 02'!$A$5:$BD$1101,P$1,0)</f>
        <v>0</v>
      </c>
      <c r="Q61" s="50">
        <f>VLOOKUP($A61,'[1]ma sp 02'!$A$5:$BD$1101,Q$1,0)</f>
        <v>0</v>
      </c>
      <c r="R61" s="50">
        <f>VLOOKUP($A61,'[1]ma sp 02'!$A$5:$BD$1101,R$1,0)</f>
        <v>0</v>
      </c>
      <c r="S61" s="50">
        <f>VLOOKUP($A61,'[1]ma sp 02'!$A$5:$BD$1101,S$1,0)</f>
        <v>0</v>
      </c>
      <c r="T61" s="50">
        <f>VLOOKUP($A61,'[1]ma sp 02'!$A$5:$BD$1101,T$1,0)</f>
        <v>0</v>
      </c>
      <c r="U61" s="50">
        <f>VLOOKUP($A61,'[1]ma sp 02'!$A$5:$BD$1101,U$1,0)</f>
        <v>0</v>
      </c>
      <c r="V61" s="50">
        <f>VLOOKUP($A61,'[1]ma sp 02'!$A$5:$BD$1101,V$1,0)</f>
        <v>0</v>
      </c>
      <c r="W61" s="50">
        <f>VLOOKUP($A61,'[1]ma sp 02'!$A$5:$BD$1101,W$1,0)</f>
        <v>0</v>
      </c>
      <c r="X61" s="50">
        <f t="shared" si="1"/>
        <v>0</v>
      </c>
      <c r="Y61" s="57"/>
      <c r="Z61" s="57"/>
      <c r="AA61" s="57"/>
      <c r="AB61" s="57"/>
      <c r="AC61" s="57"/>
      <c r="AD61" s="57"/>
      <c r="AE61" s="58" t="s">
        <v>303</v>
      </c>
      <c r="AF61" s="57"/>
      <c r="AG61" s="83">
        <f>(0.02*0.91+0.03*0.91)*0.68</f>
        <v>3.0940000000000002E-2</v>
      </c>
      <c r="AH61" s="55">
        <f>(2/0.75/2)*0.67</f>
        <v>0.89333333333333331</v>
      </c>
      <c r="AI61" s="57"/>
      <c r="AJ61" s="58">
        <v>9530</v>
      </c>
      <c r="AK61" s="57"/>
      <c r="AL61" s="58">
        <v>2E-3</v>
      </c>
      <c r="AM61" s="52" t="s">
        <v>142</v>
      </c>
      <c r="AN61" s="57">
        <v>220</v>
      </c>
      <c r="AO61" s="52" t="s">
        <v>244</v>
      </c>
      <c r="AP61" s="59" t="str">
        <f>IFERROR(VLOOKUP($A61,[2]Mssp!$A$5:$BE$1463,AP$4+1,0),0)</f>
        <v>F305616-1</v>
      </c>
      <c r="AQ61" s="59" t="str">
        <f>IFERROR(VLOOKUP($A61,[2]Mssp!$A$5:$BE$1463,AQ$4+1,0),0)</f>
        <v>F305616-2</v>
      </c>
      <c r="AR61" s="59" t="str">
        <f>IFERROR(VLOOKUP($A61,[2]Mssp!$A$5:$BE$1463,AR$4+1,0),0)</f>
        <v>F305616-3</v>
      </c>
      <c r="AS61" s="59" t="str">
        <f>IFERROR(VLOOKUP($A61,[2]Mssp!$A$5:$BE$1463,AS$4+1,0),0)</f>
        <v>F305616-4</v>
      </c>
      <c r="AT61" s="59" t="str">
        <f>IFERROR(VLOOKUP($A61,[2]Mssp!$A$5:$BE$1463,AT$4+1,0),0)</f>
        <v>F305616-5</v>
      </c>
      <c r="AU61" s="59" t="str">
        <f>IFERROR(VLOOKUP($A61,[2]Mssp!$A$5:$BE$1463,AU$4+1,0),0)</f>
        <v>F305616-6</v>
      </c>
      <c r="AV61" s="59" t="str">
        <f>IFERROR(VLOOKUP($A61,[2]Mssp!$A$5:$BE$1463,AV$4+1,0),0)</f>
        <v>F305616-7</v>
      </c>
      <c r="AW61" s="59">
        <f>IFERROR(VLOOKUP($A61,[2]Mssp!$A$5:$BE$1463,AW$4+1,0),0)</f>
        <v>0</v>
      </c>
      <c r="AX61" s="59">
        <f>IFERROR(VLOOKUP($A61,[2]Mssp!$A$5:$BE$1463,AX$4+1,0),0)</f>
        <v>0</v>
      </c>
      <c r="AY61" s="59" t="str">
        <f>IFERROR(VLOOKUP($A61,[2]Mssp!$A$5:$BE$1463,AY$4+2,0),0)</f>
        <v>525x750</v>
      </c>
      <c r="AZ61" s="59" t="str">
        <f>IFERROR(VLOOKUP($A61,[2]Mssp!$A$5:$BE$1463,AZ$4+2,0),0)</f>
        <v>M3</v>
      </c>
      <c r="BA61" s="60">
        <v>0</v>
      </c>
      <c r="BB61" s="61" t="s">
        <v>107</v>
      </c>
      <c r="BC61" s="62"/>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c r="CP61" s="9"/>
    </row>
    <row r="62" spans="1:94" ht="45" x14ac:dyDescent="0.25">
      <c r="A62" s="50" t="s">
        <v>304</v>
      </c>
      <c r="B62" s="73" t="s">
        <v>305</v>
      </c>
      <c r="C62" s="50">
        <f t="shared" si="0"/>
        <v>10.879999999999999</v>
      </c>
      <c r="D62" s="58">
        <v>2</v>
      </c>
      <c r="E62" s="58" t="s">
        <v>247</v>
      </c>
      <c r="F62" s="58">
        <v>6</v>
      </c>
      <c r="G62" s="50" t="s">
        <v>56</v>
      </c>
      <c r="H62" s="50">
        <f>VLOOKUP($A62,'[1]ma sp 02'!$A$5:$BD$1101,H$1,0)</f>
        <v>0.13</v>
      </c>
      <c r="I62" s="50">
        <f>VLOOKUP($A62,'[1]ma sp 02'!$A$5:$BD$1101,I$1,0)</f>
        <v>3.88</v>
      </c>
      <c r="J62" s="50">
        <f>VLOOKUP($A62,'[1]ma sp 02'!$A$5:$BD$1101,J$1,0)</f>
        <v>0.04</v>
      </c>
      <c r="K62" s="50">
        <f>VLOOKUP($A62,'[1]ma sp 02'!$A$5:$BD$1101,K$1,0)</f>
        <v>1.2</v>
      </c>
      <c r="L62" s="50">
        <f>VLOOKUP($A62,'[1]ma sp 02'!$A$5:$BD$1101,L$1,0)</f>
        <v>3.66</v>
      </c>
      <c r="M62" s="50">
        <f>VLOOKUP($A62,'[1]ma sp 02'!$A$5:$BD$1101,M$1,0)</f>
        <v>1.61</v>
      </c>
      <c r="N62" s="50">
        <f>VLOOKUP($A62,'[1]ma sp 02'!$A$5:$BD$1101,N$1,0)</f>
        <v>0</v>
      </c>
      <c r="O62" s="50">
        <f>VLOOKUP($A62,'[1]ma sp 02'!$A$5:$BD$1101,O$1,0)</f>
        <v>0</v>
      </c>
      <c r="P62" s="50">
        <f>VLOOKUP($A62,'[1]ma sp 02'!$A$5:$BD$1101,P$1,0)</f>
        <v>0.36</v>
      </c>
      <c r="Q62" s="50">
        <f>VLOOKUP($A62,'[1]ma sp 02'!$A$5:$BD$1101,Q$1,0)</f>
        <v>0</v>
      </c>
      <c r="R62" s="50">
        <f>VLOOKUP($A62,'[1]ma sp 02'!$A$5:$BD$1101,R$1,0)</f>
        <v>0</v>
      </c>
      <c r="S62" s="50">
        <f>VLOOKUP($A62,'[1]ma sp 02'!$A$5:$BD$1101,S$1,0)</f>
        <v>0</v>
      </c>
      <c r="T62" s="50">
        <f>VLOOKUP($A62,'[1]ma sp 02'!$A$5:$BD$1101,T$1,0)</f>
        <v>0</v>
      </c>
      <c r="U62" s="50">
        <f>VLOOKUP($A62,'[1]ma sp 02'!$A$5:$BD$1101,U$1,0)</f>
        <v>0</v>
      </c>
      <c r="V62" s="50">
        <f>VLOOKUP($A62,'[1]ma sp 02'!$A$5:$BD$1101,V$1,0)</f>
        <v>0</v>
      </c>
      <c r="W62" s="50">
        <f>VLOOKUP($A62,'[1]ma sp 02'!$A$5:$BD$1101,W$1,0)</f>
        <v>0</v>
      </c>
      <c r="X62" s="50">
        <f t="shared" si="1"/>
        <v>7</v>
      </c>
      <c r="Y62" s="57"/>
      <c r="Z62" s="57"/>
      <c r="AA62" s="57"/>
      <c r="AB62" s="57"/>
      <c r="AC62" s="57"/>
      <c r="AD62" s="57"/>
      <c r="AE62" s="58" t="s">
        <v>306</v>
      </c>
      <c r="AF62" s="57"/>
      <c r="AG62" s="83">
        <f>(0.02*0.91+0.04*0.925)*0.5</f>
        <v>2.7600000000000003E-2</v>
      </c>
      <c r="AH62" s="55">
        <f>(2/0.75/2)*0.49</f>
        <v>0.65333333333333332</v>
      </c>
      <c r="AI62" s="57"/>
      <c r="AJ62" s="58">
        <v>9530</v>
      </c>
      <c r="AK62" s="57"/>
      <c r="AL62" s="58">
        <v>2E-3</v>
      </c>
      <c r="AM62" s="52" t="s">
        <v>142</v>
      </c>
      <c r="AN62" s="57">
        <v>240</v>
      </c>
      <c r="AO62" s="52" t="s">
        <v>244</v>
      </c>
      <c r="AP62" s="59" t="str">
        <f>IFERROR(VLOOKUP($A62,[2]Mssp!$A$5:$BE$1463,AP$4+1,0),0)</f>
        <v>F118014-1</v>
      </c>
      <c r="AQ62" s="59" t="str">
        <f>IFERROR(VLOOKUP($A62,[2]Mssp!$A$5:$BE$1463,AQ$4+1,0),0)</f>
        <v>F118014-2</v>
      </c>
      <c r="AR62" s="59" t="str">
        <f>IFERROR(VLOOKUP($A62,[2]Mssp!$A$5:$BE$1463,AR$4+1,0),0)</f>
        <v>F118014-3</v>
      </c>
      <c r="AS62" s="59" t="str">
        <f>IFERROR(VLOOKUP($A62,[2]Mssp!$A$5:$BE$1463,AS$4+1,0),0)</f>
        <v>F118014-4</v>
      </c>
      <c r="AT62" s="59" t="str">
        <f>IFERROR(VLOOKUP($A62,[2]Mssp!$A$5:$BE$1463,AT$4+1,0),0)</f>
        <v>F118014-5</v>
      </c>
      <c r="AU62" s="59" t="str">
        <f>IFERROR(VLOOKUP($A62,[2]Mssp!$A$5:$BE$1463,AU$4+1,0),0)</f>
        <v>F118014-6</v>
      </c>
      <c r="AV62" s="59">
        <f>IFERROR(VLOOKUP($A62,[2]Mssp!$A$5:$BE$1463,AV$4+1,0),0)</f>
        <v>0</v>
      </c>
      <c r="AW62" s="59">
        <f>IFERROR(VLOOKUP($A62,[2]Mssp!$A$5:$BE$1463,AW$4+1,0),0)</f>
        <v>0</v>
      </c>
      <c r="AX62" s="59">
        <f>IFERROR(VLOOKUP($A62,[2]Mssp!$A$5:$BE$1463,AX$4+1,0),0)</f>
        <v>0</v>
      </c>
      <c r="AY62" s="59" t="str">
        <f>IFERROR(VLOOKUP($A62,[2]Mssp!$A$5:$BE$1463,AY$4+2,0),0)</f>
        <v>750x480</v>
      </c>
      <c r="AZ62" s="59" t="str">
        <f>IFERROR(VLOOKUP($A62,[2]Mssp!$A$5:$BE$1463,AZ$4+2,0),0)</f>
        <v>M3</v>
      </c>
      <c r="BA62" s="60">
        <v>0</v>
      </c>
      <c r="BB62" s="61" t="s">
        <v>107</v>
      </c>
      <c r="BC62" s="62"/>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c r="CP62" s="9"/>
    </row>
    <row r="63" spans="1:94" ht="45" x14ac:dyDescent="0.25">
      <c r="A63" s="50" t="s">
        <v>307</v>
      </c>
      <c r="B63" s="73" t="s">
        <v>308</v>
      </c>
      <c r="C63" s="50">
        <f t="shared" si="0"/>
        <v>1.08</v>
      </c>
      <c r="D63" s="58">
        <v>3</v>
      </c>
      <c r="E63" s="58" t="s">
        <v>158</v>
      </c>
      <c r="F63" s="58">
        <v>2</v>
      </c>
      <c r="G63" s="50" t="s">
        <v>56</v>
      </c>
      <c r="H63" s="50">
        <f>VLOOKUP($A63,'[1]ma sp 02'!$A$5:$BD$1101,H$1,0)</f>
        <v>0</v>
      </c>
      <c r="I63" s="50">
        <f>VLOOKUP($A63,'[1]ma sp 02'!$A$5:$BD$1101,I$1,0)</f>
        <v>0.69</v>
      </c>
      <c r="J63" s="50">
        <f>VLOOKUP($A63,'[1]ma sp 02'!$A$5:$BD$1101,J$1,0)</f>
        <v>0</v>
      </c>
      <c r="K63" s="50">
        <f>VLOOKUP($A63,'[1]ma sp 02'!$A$5:$BD$1101,K$1,0)</f>
        <v>0</v>
      </c>
      <c r="L63" s="50">
        <f>VLOOKUP($A63,'[1]ma sp 02'!$A$5:$BD$1101,L$1,0)</f>
        <v>0.16</v>
      </c>
      <c r="M63" s="50">
        <f>VLOOKUP($A63,'[1]ma sp 02'!$A$5:$BD$1101,M$1,0)</f>
        <v>0.03</v>
      </c>
      <c r="N63" s="50">
        <f>VLOOKUP($A63,'[1]ma sp 02'!$A$5:$BD$1101,N$1,0)</f>
        <v>0</v>
      </c>
      <c r="O63" s="50">
        <f>VLOOKUP($A63,'[1]ma sp 02'!$A$5:$BD$1101,O$1,0)</f>
        <v>0</v>
      </c>
      <c r="P63" s="50">
        <f>VLOOKUP($A63,'[1]ma sp 02'!$A$5:$BD$1101,P$1,0)</f>
        <v>0.09</v>
      </c>
      <c r="Q63" s="50">
        <f>VLOOKUP($A63,'[1]ma sp 02'!$A$5:$BD$1101,Q$1,0)</f>
        <v>0.11</v>
      </c>
      <c r="R63" s="50">
        <f>VLOOKUP($A63,'[1]ma sp 02'!$A$5:$BD$1101,R$1,0)</f>
        <v>0</v>
      </c>
      <c r="S63" s="50">
        <f>VLOOKUP($A63,'[1]ma sp 02'!$A$5:$BD$1101,S$1,0)</f>
        <v>0</v>
      </c>
      <c r="T63" s="50">
        <f>VLOOKUP($A63,'[1]ma sp 02'!$A$5:$BD$1101,T$1,0)</f>
        <v>0</v>
      </c>
      <c r="U63" s="50">
        <f>VLOOKUP($A63,'[1]ma sp 02'!$A$5:$BD$1101,U$1,0)</f>
        <v>0</v>
      </c>
      <c r="V63" s="50">
        <f>VLOOKUP($A63,'[1]ma sp 02'!$A$5:$BD$1101,V$1,0)</f>
        <v>0</v>
      </c>
      <c r="W63" s="50">
        <f>VLOOKUP($A63,'[1]ma sp 02'!$A$5:$BD$1101,W$1,0)</f>
        <v>0</v>
      </c>
      <c r="X63" s="50">
        <f t="shared" si="1"/>
        <v>5</v>
      </c>
      <c r="Y63" s="57"/>
      <c r="Z63" s="57"/>
      <c r="AA63" s="57"/>
      <c r="AB63" s="57"/>
      <c r="AC63" s="57"/>
      <c r="AD63" s="57"/>
      <c r="AE63" s="58" t="s">
        <v>309</v>
      </c>
      <c r="AF63" s="58"/>
      <c r="AG63" s="83">
        <f>(0.02*0.91+0.02*0.91)*0.8</f>
        <v>2.9120000000000004E-2</v>
      </c>
      <c r="AH63" s="55">
        <f>(1.8/0.75/2)*0.63</f>
        <v>0.75600000000000001</v>
      </c>
      <c r="AI63" s="80"/>
      <c r="AJ63" s="58">
        <v>9530</v>
      </c>
      <c r="AK63" s="57"/>
      <c r="AL63" s="58">
        <v>1.8E-3</v>
      </c>
      <c r="AM63" s="52" t="s">
        <v>142</v>
      </c>
      <c r="AN63" s="57">
        <v>260</v>
      </c>
      <c r="AO63" s="52" t="s">
        <v>310</v>
      </c>
      <c r="AP63" s="59" t="str">
        <f>IFERROR(VLOOKUP($A63,[2]Mssp!$A$5:$BE$1463,AP$4+1,0),0)</f>
        <v>18091047-1</v>
      </c>
      <c r="AQ63" s="59" t="str">
        <f>IFERROR(VLOOKUP($A63,[2]Mssp!$A$5:$BE$1463,AQ$4+1,0),0)</f>
        <v>18091047-2</v>
      </c>
      <c r="AR63" s="59">
        <f>IFERROR(VLOOKUP($A63,[2]Mssp!$A$5:$BE$1463,AR$4+1,0),0)</f>
        <v>0</v>
      </c>
      <c r="AS63" s="59">
        <f>IFERROR(VLOOKUP($A63,[2]Mssp!$A$5:$BE$1463,AS$4+1,0),0)</f>
        <v>0</v>
      </c>
      <c r="AT63" s="59">
        <f>IFERROR(VLOOKUP($A63,[2]Mssp!$A$5:$BE$1463,AT$4+1,0),0)</f>
        <v>0</v>
      </c>
      <c r="AU63" s="59">
        <f>IFERROR(VLOOKUP($A63,[2]Mssp!$A$5:$BE$1463,AU$4+1,0),0)</f>
        <v>0</v>
      </c>
      <c r="AV63" s="59">
        <f>IFERROR(VLOOKUP($A63,[2]Mssp!$A$5:$BE$1463,AV$4+1,0),0)</f>
        <v>0</v>
      </c>
      <c r="AW63" s="59">
        <f>IFERROR(VLOOKUP($A63,[2]Mssp!$A$5:$BE$1463,AW$4+1,0),0)</f>
        <v>0</v>
      </c>
      <c r="AX63" s="59">
        <f>IFERROR(VLOOKUP($A63,[2]Mssp!$A$5:$BE$1463,AX$4+1,0),0)</f>
        <v>0</v>
      </c>
      <c r="AY63" s="59" t="str">
        <f>IFERROR(VLOOKUP($A63,[2]Mssp!$A$5:$BE$1463,AY$4+2,0),0)</f>
        <v>450x850</v>
      </c>
      <c r="AZ63" s="59" t="str">
        <f>IFERROR(VLOOKUP($A63,[2]Mssp!$A$5:$BE$1463,AZ$4+2,0),0)</f>
        <v>M3</v>
      </c>
      <c r="BA63" s="60">
        <v>0</v>
      </c>
      <c r="BB63" s="61" t="s">
        <v>107</v>
      </c>
      <c r="BC63" s="62"/>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row>
    <row r="64" spans="1:94" ht="45" x14ac:dyDescent="0.25">
      <c r="A64" s="50" t="s">
        <v>311</v>
      </c>
      <c r="B64" s="51" t="s">
        <v>312</v>
      </c>
      <c r="C64" s="50">
        <f t="shared" si="0"/>
        <v>7.7599999999999989</v>
      </c>
      <c r="D64" s="58">
        <v>4</v>
      </c>
      <c r="E64" s="58" t="s">
        <v>192</v>
      </c>
      <c r="F64" s="58">
        <v>6</v>
      </c>
      <c r="G64" s="50" t="s">
        <v>56</v>
      </c>
      <c r="H64" s="50">
        <f>VLOOKUP($A64,'[1]ma sp 02'!$A$5:$BD$1101,H$1,0)</f>
        <v>0.15</v>
      </c>
      <c r="I64" s="50">
        <f>VLOOKUP($A64,'[1]ma sp 02'!$A$5:$BD$1101,I$1,0)</f>
        <v>3.23</v>
      </c>
      <c r="J64" s="50">
        <f>VLOOKUP($A64,'[1]ma sp 02'!$A$5:$BD$1101,J$1,0)</f>
        <v>0.05</v>
      </c>
      <c r="K64" s="50">
        <f>VLOOKUP($A64,'[1]ma sp 02'!$A$5:$BD$1101,K$1,0)</f>
        <v>0.01</v>
      </c>
      <c r="L64" s="50">
        <f>VLOOKUP($A64,'[1]ma sp 02'!$A$5:$BD$1101,L$1,0)</f>
        <v>1.55</v>
      </c>
      <c r="M64" s="50">
        <f>VLOOKUP($A64,'[1]ma sp 02'!$A$5:$BD$1101,M$1,0)</f>
        <v>0.61</v>
      </c>
      <c r="N64" s="50">
        <f>VLOOKUP($A64,'[1]ma sp 02'!$A$5:$BD$1101,N$1,0)</f>
        <v>0</v>
      </c>
      <c r="O64" s="50">
        <f>VLOOKUP($A64,'[1]ma sp 02'!$A$5:$BD$1101,O$1,0)</f>
        <v>0</v>
      </c>
      <c r="P64" s="50">
        <f>VLOOKUP($A64,'[1]ma sp 02'!$A$5:$BD$1101,P$1,0)</f>
        <v>1.27</v>
      </c>
      <c r="Q64" s="50">
        <f>VLOOKUP($A64,'[1]ma sp 02'!$A$5:$BD$1101,Q$1,0)</f>
        <v>0.89</v>
      </c>
      <c r="R64" s="50">
        <f>VLOOKUP($A64,'[1]ma sp 02'!$A$5:$BD$1101,R$1,0)</f>
        <v>0</v>
      </c>
      <c r="S64" s="50">
        <f>VLOOKUP($A64,'[1]ma sp 02'!$A$5:$BD$1101,S$1,0)</f>
        <v>0</v>
      </c>
      <c r="T64" s="50">
        <f>VLOOKUP($A64,'[1]ma sp 02'!$A$5:$BD$1101,T$1,0)</f>
        <v>0</v>
      </c>
      <c r="U64" s="50">
        <f>VLOOKUP($A64,'[1]ma sp 02'!$A$5:$BD$1101,U$1,0)</f>
        <v>0</v>
      </c>
      <c r="V64" s="50">
        <f>VLOOKUP($A64,'[1]ma sp 02'!$A$5:$BD$1101,V$1,0)</f>
        <v>0</v>
      </c>
      <c r="W64" s="50">
        <f>VLOOKUP($A64,'[1]ma sp 02'!$A$5:$BD$1101,W$1,0)</f>
        <v>0</v>
      </c>
      <c r="X64" s="50">
        <f t="shared" si="1"/>
        <v>8</v>
      </c>
      <c r="Y64" s="57"/>
      <c r="Z64" s="57"/>
      <c r="AA64" s="57"/>
      <c r="AB64" s="57"/>
      <c r="AC64" s="57"/>
      <c r="AD64" s="57"/>
      <c r="AE64" s="58" t="s">
        <v>193</v>
      </c>
      <c r="AF64" s="57"/>
      <c r="AG64" s="83">
        <f>(0.03*0.91+0.025*0.91)*0.64</f>
        <v>3.2032000000000005E-2</v>
      </c>
      <c r="AH64" s="55">
        <f>(2/0.75/2)*0.63</f>
        <v>0.84</v>
      </c>
      <c r="AI64" s="57"/>
      <c r="AJ64" s="58">
        <v>9530</v>
      </c>
      <c r="AK64" s="57"/>
      <c r="AL64" s="58">
        <v>2E-3</v>
      </c>
      <c r="AM64" s="52" t="s">
        <v>194</v>
      </c>
      <c r="AN64" s="58">
        <v>155</v>
      </c>
      <c r="AO64" s="52" t="s">
        <v>195</v>
      </c>
      <c r="AP64" s="59" t="str">
        <f>IFERROR(VLOOKUP($A64,[2]Mssp!$A$5:$BE$1463,AP$4+1,0),0)</f>
        <v>1412123-1</v>
      </c>
      <c r="AQ64" s="59" t="str">
        <f>IFERROR(VLOOKUP($A64,[2]Mssp!$A$5:$BE$1463,AQ$4+1,0),0)</f>
        <v>1412123-2</v>
      </c>
      <c r="AR64" s="59" t="str">
        <f>IFERROR(VLOOKUP($A64,[2]Mssp!$A$5:$BE$1463,AR$4+1,0),0)</f>
        <v>1412123-3</v>
      </c>
      <c r="AS64" s="59" t="str">
        <f>IFERROR(VLOOKUP($A64,[2]Mssp!$A$5:$BE$1463,AS$4+1,0),0)</f>
        <v>1412123-4</v>
      </c>
      <c r="AT64" s="59" t="str">
        <f>IFERROR(VLOOKUP($A64,[2]Mssp!$A$5:$BE$1463,AT$4+1,0),0)</f>
        <v>1412123-5</v>
      </c>
      <c r="AU64" s="59" t="str">
        <f>IFERROR(VLOOKUP($A64,[2]Mssp!$A$5:$BE$1463,AU$4+1,0),0)</f>
        <v>20120111-6</v>
      </c>
      <c r="AV64" s="59">
        <f>IFERROR(VLOOKUP($A64,[2]Mssp!$A$5:$BE$1463,AV$4+1,0),0)</f>
        <v>0</v>
      </c>
      <c r="AW64" s="59">
        <f>IFERROR(VLOOKUP($A64,[2]Mssp!$A$5:$BE$1463,AW$4+1,0),0)</f>
        <v>0</v>
      </c>
      <c r="AX64" s="59">
        <f>IFERROR(VLOOKUP($A64,[2]Mssp!$A$5:$BE$1463,AX$4+1,0),0)</f>
        <v>0</v>
      </c>
      <c r="AY64" s="59" t="str">
        <f>IFERROR(VLOOKUP($A64,[2]Mssp!$A$5:$BE$1463,AY$4+2,0),0)</f>
        <v>462x750</v>
      </c>
      <c r="AZ64" s="59" t="str">
        <f>IFERROR(VLOOKUP($A64,[2]Mssp!$A$5:$BE$1463,AZ$4+2,0),0)</f>
        <v>A1</v>
      </c>
      <c r="BA64" s="60">
        <v>0</v>
      </c>
      <c r="BB64" s="61" t="s">
        <v>107</v>
      </c>
      <c r="BC64" s="62"/>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c r="CK64" s="9"/>
      <c r="CL64" s="9"/>
      <c r="CM64" s="9"/>
      <c r="CN64" s="9"/>
      <c r="CO64" s="9"/>
      <c r="CP64" s="9"/>
    </row>
    <row r="65" spans="1:94" ht="45" x14ac:dyDescent="0.25">
      <c r="A65" s="50" t="s">
        <v>313</v>
      </c>
      <c r="B65" s="73" t="s">
        <v>314</v>
      </c>
      <c r="C65" s="50">
        <f t="shared" si="0"/>
        <v>5.4</v>
      </c>
      <c r="D65" s="57"/>
      <c r="E65" s="58" t="s">
        <v>315</v>
      </c>
      <c r="F65" s="58">
        <v>1</v>
      </c>
      <c r="G65" s="50" t="s">
        <v>114</v>
      </c>
      <c r="H65" s="50">
        <f>VLOOKUP($A65,'[1]ma sp 02'!$A$5:$BD$1101,H$1,0)</f>
        <v>0</v>
      </c>
      <c r="I65" s="50">
        <f>VLOOKUP($A65,'[1]ma sp 02'!$A$5:$BD$1101,I$1,0)</f>
        <v>0</v>
      </c>
      <c r="J65" s="50">
        <f>VLOOKUP($A65,'[1]ma sp 02'!$A$5:$BD$1101,J$1,0)</f>
        <v>0</v>
      </c>
      <c r="K65" s="50">
        <f>VLOOKUP($A65,'[1]ma sp 02'!$A$5:$BD$1101,K$1,0)</f>
        <v>0</v>
      </c>
      <c r="L65" s="50">
        <f>VLOOKUP($A65,'[1]ma sp 02'!$A$5:$BD$1101,L$1,0)</f>
        <v>0</v>
      </c>
      <c r="M65" s="50">
        <f>VLOOKUP($A65,'[1]ma sp 02'!$A$5:$BD$1101,M$1,0)</f>
        <v>0</v>
      </c>
      <c r="N65" s="50">
        <f>VLOOKUP($A65,'[1]ma sp 02'!$A$5:$BD$1101,N$1,0)</f>
        <v>5.4</v>
      </c>
      <c r="O65" s="50">
        <f>VLOOKUP($A65,'[1]ma sp 02'!$A$5:$BD$1101,O$1,0)</f>
        <v>0</v>
      </c>
      <c r="P65" s="50">
        <f>VLOOKUP($A65,'[1]ma sp 02'!$A$5:$BD$1101,P$1,0)</f>
        <v>0</v>
      </c>
      <c r="Q65" s="50">
        <f>VLOOKUP($A65,'[1]ma sp 02'!$A$5:$BD$1101,Q$1,0)</f>
        <v>0</v>
      </c>
      <c r="R65" s="50">
        <f>VLOOKUP($A65,'[1]ma sp 02'!$A$5:$BD$1101,R$1,0)</f>
        <v>0</v>
      </c>
      <c r="S65" s="50">
        <f>VLOOKUP($A65,'[1]ma sp 02'!$A$5:$BD$1101,S$1,0)</f>
        <v>0</v>
      </c>
      <c r="T65" s="50">
        <f>VLOOKUP($A65,'[1]ma sp 02'!$A$5:$BD$1101,T$1,0)</f>
        <v>0</v>
      </c>
      <c r="U65" s="50">
        <f>VLOOKUP($A65,'[1]ma sp 02'!$A$5:$BD$1101,U$1,0)</f>
        <v>0</v>
      </c>
      <c r="V65" s="50">
        <f>VLOOKUP($A65,'[1]ma sp 02'!$A$5:$BD$1101,V$1,0)</f>
        <v>0</v>
      </c>
      <c r="W65" s="50">
        <f>VLOOKUP($A65,'[1]ma sp 02'!$A$5:$BD$1101,W$1,0)</f>
        <v>0</v>
      </c>
      <c r="X65" s="50">
        <f t="shared" si="1"/>
        <v>1</v>
      </c>
      <c r="Y65" s="57"/>
      <c r="Z65" s="57"/>
      <c r="AA65" s="57"/>
      <c r="AB65" s="57"/>
      <c r="AC65" s="57"/>
      <c r="AD65" s="57"/>
      <c r="AE65" s="86" t="s">
        <v>316</v>
      </c>
      <c r="AF65" s="58" t="s">
        <v>317</v>
      </c>
      <c r="AG65" s="83">
        <f>(0.012*1.4+0.012*1.4+0.03*0.925)*0.7</f>
        <v>4.2944999999999997E-2</v>
      </c>
      <c r="AH65" s="55">
        <f>(2.3/0.75/2)*0.69</f>
        <v>1.0579999999999998</v>
      </c>
      <c r="AI65" s="55">
        <f>(3/0.75/2)*0.69</f>
        <v>1.38</v>
      </c>
      <c r="AJ65" s="58">
        <v>9530</v>
      </c>
      <c r="AK65" s="57">
        <v>9530</v>
      </c>
      <c r="AL65" s="72" t="s">
        <v>117</v>
      </c>
      <c r="AM65" s="52" t="s">
        <v>60</v>
      </c>
      <c r="AN65" s="57">
        <v>115</v>
      </c>
      <c r="AO65" s="52" t="s">
        <v>118</v>
      </c>
      <c r="AP65" s="59">
        <f>IFERROR(VLOOKUP($A65,[2]Mssp!$A$5:$BE$1463,AP$4+1,0),0)</f>
        <v>0</v>
      </c>
      <c r="AQ65" s="59">
        <f>IFERROR(VLOOKUP($A65,[2]Mssp!$A$5:$BE$1463,AQ$4+1,0),0)</f>
        <v>0</v>
      </c>
      <c r="AR65" s="59">
        <f>IFERROR(VLOOKUP($A65,[2]Mssp!$A$5:$BE$1463,AR$4+1,0),0)</f>
        <v>0</v>
      </c>
      <c r="AS65" s="59">
        <f>IFERROR(VLOOKUP($A65,[2]Mssp!$A$5:$BE$1463,AS$4+1,0),0)</f>
        <v>0</v>
      </c>
      <c r="AT65" s="59">
        <f>IFERROR(VLOOKUP($A65,[2]Mssp!$A$5:$BE$1463,AT$4+1,0),0)</f>
        <v>0</v>
      </c>
      <c r="AU65" s="59">
        <f>IFERROR(VLOOKUP($A65,[2]Mssp!$A$5:$BE$1463,AU$4+1,0),0)</f>
        <v>0</v>
      </c>
      <c r="AV65" s="59">
        <f>IFERROR(VLOOKUP($A65,[2]Mssp!$A$5:$BE$1463,AV$4+1,0),0)</f>
        <v>0</v>
      </c>
      <c r="AW65" s="59">
        <f>IFERROR(VLOOKUP($A65,[2]Mssp!$A$5:$BE$1463,AW$4+1,0),0)</f>
        <v>0</v>
      </c>
      <c r="AX65" s="59">
        <f>IFERROR(VLOOKUP($A65,[2]Mssp!$A$5:$BE$1463,AX$4+1,0),0)</f>
        <v>0</v>
      </c>
      <c r="AY65" s="59">
        <f>IFERROR(VLOOKUP($A65,[2]Mssp!$A$5:$BE$1463,AY$4+2,0),0)</f>
        <v>0</v>
      </c>
      <c r="AZ65" s="59">
        <f>IFERROR(VLOOKUP($A65,[2]Mssp!$A$5:$BE$1463,AZ$4+2,0),0)</f>
        <v>0</v>
      </c>
      <c r="BA65" s="60">
        <v>24000</v>
      </c>
      <c r="BB65" s="61" t="s">
        <v>62</v>
      </c>
      <c r="BC65" s="62"/>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c r="CK65" s="9"/>
      <c r="CL65" s="9"/>
      <c r="CM65" s="9"/>
      <c r="CN65" s="9"/>
      <c r="CO65" s="9"/>
      <c r="CP65" s="9"/>
    </row>
    <row r="66" spans="1:94" ht="45" x14ac:dyDescent="0.25">
      <c r="A66" s="50" t="s">
        <v>318</v>
      </c>
      <c r="B66" s="73" t="s">
        <v>319</v>
      </c>
      <c r="C66" s="50">
        <f t="shared" si="0"/>
        <v>0</v>
      </c>
      <c r="D66" s="57">
        <v>3</v>
      </c>
      <c r="E66" s="58" t="s">
        <v>113</v>
      </c>
      <c r="F66" s="58">
        <v>1</v>
      </c>
      <c r="G66" s="50" t="s">
        <v>114</v>
      </c>
      <c r="H66" s="50">
        <f>VLOOKUP($A66,'[1]ma sp 02'!$A$5:$BD$1101,H$1,0)</f>
        <v>0</v>
      </c>
      <c r="I66" s="50">
        <f>VLOOKUP($A66,'[1]ma sp 02'!$A$5:$BD$1101,I$1,0)</f>
        <v>0</v>
      </c>
      <c r="J66" s="50">
        <f>VLOOKUP($A66,'[1]ma sp 02'!$A$5:$BD$1101,J$1,0)</f>
        <v>0</v>
      </c>
      <c r="K66" s="50">
        <f>VLOOKUP($A66,'[1]ma sp 02'!$A$5:$BD$1101,K$1,0)</f>
        <v>0</v>
      </c>
      <c r="L66" s="50">
        <f>VLOOKUP($A66,'[1]ma sp 02'!$A$5:$BD$1101,L$1,0)</f>
        <v>0</v>
      </c>
      <c r="M66" s="50">
        <f>VLOOKUP($A66,'[1]ma sp 02'!$A$5:$BD$1101,M$1,0)</f>
        <v>0</v>
      </c>
      <c r="N66" s="50">
        <f>VLOOKUP($A66,'[1]ma sp 02'!$A$5:$BD$1101,N$1,0)</f>
        <v>0</v>
      </c>
      <c r="O66" s="50">
        <f>VLOOKUP($A66,'[1]ma sp 02'!$A$5:$BD$1101,O$1,0)</f>
        <v>0</v>
      </c>
      <c r="P66" s="50">
        <f>VLOOKUP($A66,'[1]ma sp 02'!$A$5:$BD$1101,P$1,0)</f>
        <v>0</v>
      </c>
      <c r="Q66" s="50">
        <f>VLOOKUP($A66,'[1]ma sp 02'!$A$5:$BD$1101,Q$1,0)</f>
        <v>0</v>
      </c>
      <c r="R66" s="50">
        <f>VLOOKUP($A66,'[1]ma sp 02'!$A$5:$BD$1101,R$1,0)</f>
        <v>0</v>
      </c>
      <c r="S66" s="50">
        <f>VLOOKUP($A66,'[1]ma sp 02'!$A$5:$BD$1101,S$1,0)</f>
        <v>0</v>
      </c>
      <c r="T66" s="50">
        <f>VLOOKUP($A66,'[1]ma sp 02'!$A$5:$BD$1101,T$1,0)</f>
        <v>0</v>
      </c>
      <c r="U66" s="50">
        <f>VLOOKUP($A66,'[1]ma sp 02'!$A$5:$BD$1101,U$1,0)</f>
        <v>0</v>
      </c>
      <c r="V66" s="50">
        <f>VLOOKUP($A66,'[1]ma sp 02'!$A$5:$BD$1101,V$1,0)</f>
        <v>0</v>
      </c>
      <c r="W66" s="50">
        <f>VLOOKUP($A66,'[1]ma sp 02'!$A$5:$BD$1101,W$1,0)</f>
        <v>0</v>
      </c>
      <c r="X66" s="50">
        <f t="shared" si="1"/>
        <v>0</v>
      </c>
      <c r="Y66" s="57"/>
      <c r="Z66" s="57"/>
      <c r="AA66" s="57"/>
      <c r="AB66" s="57"/>
      <c r="AC66" s="57"/>
      <c r="AD66" s="57"/>
      <c r="AE66" s="86" t="s">
        <v>320</v>
      </c>
      <c r="AF66" s="58" t="s">
        <v>321</v>
      </c>
      <c r="AG66" s="83">
        <f>(0.012*1.4+0.012*1.4+0.075*0.925)*0.74</f>
        <v>7.6201500000000005E-2</v>
      </c>
      <c r="AH66" s="55">
        <f>(2.3/0.75/2)*0.73</f>
        <v>1.1193333333333333</v>
      </c>
      <c r="AI66" s="55">
        <f>(3/0.75/2)*0.73</f>
        <v>1.46</v>
      </c>
      <c r="AJ66" s="58">
        <v>9530</v>
      </c>
      <c r="AK66" s="57">
        <v>9530</v>
      </c>
      <c r="AL66" s="72" t="s">
        <v>117</v>
      </c>
      <c r="AM66" s="52" t="s">
        <v>60</v>
      </c>
      <c r="AN66" s="57">
        <v>270</v>
      </c>
      <c r="AO66" s="52" t="s">
        <v>118</v>
      </c>
      <c r="AP66" s="59">
        <f>IFERROR(VLOOKUP($A66,[2]Mssp!$A$5:$BE$1463,AP$4+1,0),0)</f>
        <v>0</v>
      </c>
      <c r="AQ66" s="59">
        <f>IFERROR(VLOOKUP($A66,[2]Mssp!$A$5:$BE$1463,AQ$4+1,0),0)</f>
        <v>0</v>
      </c>
      <c r="AR66" s="59">
        <f>IFERROR(VLOOKUP($A66,[2]Mssp!$A$5:$BE$1463,AR$4+1,0),0)</f>
        <v>0</v>
      </c>
      <c r="AS66" s="59">
        <f>IFERROR(VLOOKUP($A66,[2]Mssp!$A$5:$BE$1463,AS$4+1,0),0)</f>
        <v>0</v>
      </c>
      <c r="AT66" s="59">
        <f>IFERROR(VLOOKUP($A66,[2]Mssp!$A$5:$BE$1463,AT$4+1,0),0)</f>
        <v>0</v>
      </c>
      <c r="AU66" s="59">
        <f>IFERROR(VLOOKUP($A66,[2]Mssp!$A$5:$BE$1463,AU$4+1,0),0)</f>
        <v>0</v>
      </c>
      <c r="AV66" s="59">
        <f>IFERROR(VLOOKUP($A66,[2]Mssp!$A$5:$BE$1463,AV$4+1,0),0)</f>
        <v>0</v>
      </c>
      <c r="AW66" s="59">
        <f>IFERROR(VLOOKUP($A66,[2]Mssp!$A$5:$BE$1463,AW$4+1,0),0)</f>
        <v>0</v>
      </c>
      <c r="AX66" s="59">
        <f>IFERROR(VLOOKUP($A66,[2]Mssp!$A$5:$BE$1463,AX$4+1,0),0)</f>
        <v>0</v>
      </c>
      <c r="AY66" s="59">
        <f>IFERROR(VLOOKUP($A66,[2]Mssp!$A$5:$BE$1463,AY$4+2,0),0)</f>
        <v>0</v>
      </c>
      <c r="AZ66" s="59">
        <f>IFERROR(VLOOKUP($A66,[2]Mssp!$A$5:$BE$1463,AZ$4+2,0),0)</f>
        <v>0</v>
      </c>
      <c r="BA66" s="60">
        <v>3000</v>
      </c>
      <c r="BB66" s="61" t="s">
        <v>62</v>
      </c>
      <c r="BC66" s="62"/>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c r="CK66" s="9"/>
      <c r="CL66" s="9"/>
      <c r="CM66" s="9"/>
      <c r="CN66" s="9"/>
      <c r="CO66" s="9"/>
      <c r="CP66" s="9"/>
    </row>
    <row r="67" spans="1:94" ht="45" x14ac:dyDescent="0.25">
      <c r="A67" s="50" t="s">
        <v>322</v>
      </c>
      <c r="B67" s="73" t="s">
        <v>323</v>
      </c>
      <c r="C67" s="50">
        <f t="shared" si="0"/>
        <v>0</v>
      </c>
      <c r="D67" s="57">
        <v>3</v>
      </c>
      <c r="E67" s="58" t="s">
        <v>131</v>
      </c>
      <c r="F67" s="58">
        <v>1</v>
      </c>
      <c r="G67" s="50" t="s">
        <v>114</v>
      </c>
      <c r="H67" s="50">
        <f>VLOOKUP($A67,'[1]ma sp 02'!$A$5:$BD$1101,H$1,0)</f>
        <v>0</v>
      </c>
      <c r="I67" s="50">
        <f>VLOOKUP($A67,'[1]ma sp 02'!$A$5:$BD$1101,I$1,0)</f>
        <v>0</v>
      </c>
      <c r="J67" s="50">
        <f>VLOOKUP($A67,'[1]ma sp 02'!$A$5:$BD$1101,J$1,0)</f>
        <v>0</v>
      </c>
      <c r="K67" s="50">
        <f>VLOOKUP($A67,'[1]ma sp 02'!$A$5:$BD$1101,K$1,0)</f>
        <v>0</v>
      </c>
      <c r="L67" s="50">
        <f>VLOOKUP($A67,'[1]ma sp 02'!$A$5:$BD$1101,L$1,0)</f>
        <v>0</v>
      </c>
      <c r="M67" s="50">
        <f>VLOOKUP($A67,'[1]ma sp 02'!$A$5:$BD$1101,M$1,0)</f>
        <v>0</v>
      </c>
      <c r="N67" s="50">
        <f>VLOOKUP($A67,'[1]ma sp 02'!$A$5:$BD$1101,N$1,0)</f>
        <v>0</v>
      </c>
      <c r="O67" s="50">
        <f>VLOOKUP($A67,'[1]ma sp 02'!$A$5:$BD$1101,O$1,0)</f>
        <v>0</v>
      </c>
      <c r="P67" s="50">
        <f>VLOOKUP($A67,'[1]ma sp 02'!$A$5:$BD$1101,P$1,0)</f>
        <v>0</v>
      </c>
      <c r="Q67" s="50">
        <f>VLOOKUP($A67,'[1]ma sp 02'!$A$5:$BD$1101,Q$1,0)</f>
        <v>0</v>
      </c>
      <c r="R67" s="50">
        <f>VLOOKUP($A67,'[1]ma sp 02'!$A$5:$BD$1101,R$1,0)</f>
        <v>0</v>
      </c>
      <c r="S67" s="50">
        <f>VLOOKUP($A67,'[1]ma sp 02'!$A$5:$BD$1101,S$1,0)</f>
        <v>0</v>
      </c>
      <c r="T67" s="50">
        <f>VLOOKUP($A67,'[1]ma sp 02'!$A$5:$BD$1101,T$1,0)</f>
        <v>0</v>
      </c>
      <c r="U67" s="50">
        <f>VLOOKUP($A67,'[1]ma sp 02'!$A$5:$BD$1101,U$1,0)</f>
        <v>0</v>
      </c>
      <c r="V67" s="50">
        <f>VLOOKUP($A67,'[1]ma sp 02'!$A$5:$BD$1101,V$1,0)</f>
        <v>0</v>
      </c>
      <c r="W67" s="50">
        <f>VLOOKUP($A67,'[1]ma sp 02'!$A$5:$BD$1101,W$1,0)</f>
        <v>0</v>
      </c>
      <c r="X67" s="50">
        <f t="shared" si="1"/>
        <v>0</v>
      </c>
      <c r="Y67" s="57"/>
      <c r="Z67" s="57"/>
      <c r="AA67" s="57"/>
      <c r="AB67" s="57"/>
      <c r="AC67" s="57"/>
      <c r="AD67" s="57"/>
      <c r="AE67" s="57" t="s">
        <v>78</v>
      </c>
      <c r="AF67" s="57" t="s">
        <v>324</v>
      </c>
      <c r="AG67" s="83">
        <f>(0.012*1.4+0.012*1.4+0.075*0.925)*0.62</f>
        <v>6.3844500000000012E-2</v>
      </c>
      <c r="AH67" s="55">
        <f>(2.3/0.75/2)*0.61</f>
        <v>0.93533333333333324</v>
      </c>
      <c r="AI67" s="55">
        <f>(3/0.75/2)*0.61</f>
        <v>1.22</v>
      </c>
      <c r="AJ67" s="58">
        <v>9530</v>
      </c>
      <c r="AK67" s="57">
        <v>9530</v>
      </c>
      <c r="AL67" s="72" t="s">
        <v>117</v>
      </c>
      <c r="AM67" s="52" t="s">
        <v>60</v>
      </c>
      <c r="AN67" s="57">
        <v>340</v>
      </c>
      <c r="AO67" s="52" t="s">
        <v>118</v>
      </c>
      <c r="AP67" s="59">
        <f>IFERROR(VLOOKUP($A67,[2]Mssp!$A$5:$BE$1463,AP$4+1,0),0)</f>
        <v>0</v>
      </c>
      <c r="AQ67" s="59">
        <f>IFERROR(VLOOKUP($A67,[2]Mssp!$A$5:$BE$1463,AQ$4+1,0),0)</f>
        <v>0</v>
      </c>
      <c r="AR67" s="59">
        <f>IFERROR(VLOOKUP($A67,[2]Mssp!$A$5:$BE$1463,AR$4+1,0),0)</f>
        <v>0</v>
      </c>
      <c r="AS67" s="59">
        <f>IFERROR(VLOOKUP($A67,[2]Mssp!$A$5:$BE$1463,AS$4+1,0),0)</f>
        <v>0</v>
      </c>
      <c r="AT67" s="59">
        <f>IFERROR(VLOOKUP($A67,[2]Mssp!$A$5:$BE$1463,AT$4+1,0),0)</f>
        <v>0</v>
      </c>
      <c r="AU67" s="59">
        <f>IFERROR(VLOOKUP($A67,[2]Mssp!$A$5:$BE$1463,AU$4+1,0),0)</f>
        <v>0</v>
      </c>
      <c r="AV67" s="59">
        <f>IFERROR(VLOOKUP($A67,[2]Mssp!$A$5:$BE$1463,AV$4+1,0),0)</f>
        <v>0</v>
      </c>
      <c r="AW67" s="59">
        <f>IFERROR(VLOOKUP($A67,[2]Mssp!$A$5:$BE$1463,AW$4+1,0),0)</f>
        <v>0</v>
      </c>
      <c r="AX67" s="59">
        <f>IFERROR(VLOOKUP($A67,[2]Mssp!$A$5:$BE$1463,AX$4+1,0),0)</f>
        <v>0</v>
      </c>
      <c r="AY67" s="59">
        <f>IFERROR(VLOOKUP($A67,[2]Mssp!$A$5:$BE$1463,AY$4+2,0),0)</f>
        <v>0</v>
      </c>
      <c r="AZ67" s="59">
        <f>IFERROR(VLOOKUP($A67,[2]Mssp!$A$5:$BE$1463,AZ$4+2,0),0)</f>
        <v>0</v>
      </c>
      <c r="BA67" s="60">
        <v>2500</v>
      </c>
      <c r="BB67" s="61" t="s">
        <v>62</v>
      </c>
      <c r="BC67" s="62"/>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c r="CK67" s="9"/>
      <c r="CL67" s="9"/>
      <c r="CM67" s="9"/>
      <c r="CN67" s="9"/>
      <c r="CO67" s="9"/>
      <c r="CP67" s="9"/>
    </row>
    <row r="68" spans="1:94" ht="75" x14ac:dyDescent="0.25">
      <c r="A68" s="50" t="s">
        <v>325</v>
      </c>
      <c r="B68" s="73" t="s">
        <v>326</v>
      </c>
      <c r="C68" s="50">
        <f>SUM(H68:W68)</f>
        <v>0</v>
      </c>
      <c r="D68" s="57">
        <v>2</v>
      </c>
      <c r="E68" s="58" t="s">
        <v>113</v>
      </c>
      <c r="F68" s="58">
        <v>1</v>
      </c>
      <c r="G68" s="50" t="s">
        <v>114</v>
      </c>
      <c r="H68" s="50">
        <f>VLOOKUP($A68,'[1]ma sp 02'!$A$5:$BD$1101,H$1,0)</f>
        <v>0</v>
      </c>
      <c r="I68" s="50">
        <f>VLOOKUP($A68,'[1]ma sp 02'!$A$5:$BD$1101,I$1,0)</f>
        <v>0</v>
      </c>
      <c r="J68" s="50">
        <f>VLOOKUP($A68,'[1]ma sp 02'!$A$5:$BD$1101,J$1,0)</f>
        <v>0</v>
      </c>
      <c r="K68" s="50">
        <f>VLOOKUP($A68,'[1]ma sp 02'!$A$5:$BD$1101,K$1,0)</f>
        <v>0</v>
      </c>
      <c r="L68" s="50">
        <f>VLOOKUP($A68,'[1]ma sp 02'!$A$5:$BD$1101,L$1,0)</f>
        <v>0</v>
      </c>
      <c r="M68" s="50">
        <f>VLOOKUP($A68,'[1]ma sp 02'!$A$5:$BD$1101,M$1,0)</f>
        <v>0</v>
      </c>
      <c r="N68" s="50">
        <f>VLOOKUP($A68,'[1]ma sp 02'!$A$5:$BD$1101,N$1,0)</f>
        <v>0</v>
      </c>
      <c r="O68" s="50">
        <f>VLOOKUP($A68,'[1]ma sp 02'!$A$5:$BD$1101,O$1,0)</f>
        <v>0</v>
      </c>
      <c r="P68" s="50">
        <f>VLOOKUP($A68,'[1]ma sp 02'!$A$5:$BD$1101,P$1,0)</f>
        <v>0</v>
      </c>
      <c r="Q68" s="50">
        <f>VLOOKUP($A68,'[1]ma sp 02'!$A$5:$BD$1101,Q$1,0)</f>
        <v>0</v>
      </c>
      <c r="R68" s="50">
        <f>VLOOKUP($A68,'[1]ma sp 02'!$A$5:$BD$1101,R$1,0)</f>
        <v>0</v>
      </c>
      <c r="S68" s="50">
        <f>VLOOKUP($A68,'[1]ma sp 02'!$A$5:$BD$1101,S$1,0)</f>
        <v>0</v>
      </c>
      <c r="T68" s="50">
        <f>VLOOKUP($A68,'[1]ma sp 02'!$A$5:$BD$1101,T$1,0)</f>
        <v>0</v>
      </c>
      <c r="U68" s="50">
        <f>VLOOKUP($A68,'[1]ma sp 02'!$A$5:$BD$1101,U$1,0)</f>
        <v>0</v>
      </c>
      <c r="V68" s="50">
        <f>VLOOKUP($A68,'[1]ma sp 02'!$A$5:$BD$1101,V$1,0)</f>
        <v>0</v>
      </c>
      <c r="W68" s="50">
        <f>VLOOKUP($A68,'[1]ma sp 02'!$A$5:$BD$1101,W$1,0)</f>
        <v>0</v>
      </c>
      <c r="X68" s="50">
        <f t="shared" si="1"/>
        <v>0</v>
      </c>
      <c r="Y68" s="57"/>
      <c r="Z68" s="57"/>
      <c r="AA68" s="57"/>
      <c r="AB68" s="57"/>
      <c r="AC68" s="57"/>
      <c r="AD68" s="57"/>
      <c r="AE68" s="58" t="s">
        <v>320</v>
      </c>
      <c r="AF68" s="58" t="s">
        <v>321</v>
      </c>
      <c r="AG68" s="83">
        <f>(0.012*1.4+0.012*1.4+0.075*0.925)*0.74</f>
        <v>7.6201500000000005E-2</v>
      </c>
      <c r="AH68" s="55">
        <f>(2.3/0.75/2)*0.73</f>
        <v>1.1193333333333333</v>
      </c>
      <c r="AI68" s="55">
        <f>(3/0.75/2)*0.73</f>
        <v>1.46</v>
      </c>
      <c r="AJ68" s="58">
        <v>9530</v>
      </c>
      <c r="AK68" s="57">
        <v>9530</v>
      </c>
      <c r="AL68" s="72" t="s">
        <v>117</v>
      </c>
      <c r="AM68" s="52" t="s">
        <v>60</v>
      </c>
      <c r="AN68" s="57">
        <v>420</v>
      </c>
      <c r="AO68" s="52" t="s">
        <v>118</v>
      </c>
      <c r="AP68" s="59">
        <f>IFERROR(VLOOKUP($A68,[2]Mssp!$A$5:$BE$1463,AP$4+1,0),0)</f>
        <v>0</v>
      </c>
      <c r="AQ68" s="59">
        <f>IFERROR(VLOOKUP($A68,[2]Mssp!$A$5:$BE$1463,AQ$4+1,0),0)</f>
        <v>0</v>
      </c>
      <c r="AR68" s="59">
        <f>IFERROR(VLOOKUP($A68,[2]Mssp!$A$5:$BE$1463,AR$4+1,0),0)</f>
        <v>0</v>
      </c>
      <c r="AS68" s="59">
        <f>IFERROR(VLOOKUP($A68,[2]Mssp!$A$5:$BE$1463,AS$4+1,0),0)</f>
        <v>0</v>
      </c>
      <c r="AT68" s="59">
        <f>IFERROR(VLOOKUP($A68,[2]Mssp!$A$5:$BE$1463,AT$4+1,0),0)</f>
        <v>0</v>
      </c>
      <c r="AU68" s="59">
        <f>IFERROR(VLOOKUP($A68,[2]Mssp!$A$5:$BE$1463,AU$4+1,0),0)</f>
        <v>0</v>
      </c>
      <c r="AV68" s="59">
        <f>IFERROR(VLOOKUP($A68,[2]Mssp!$A$5:$BE$1463,AV$4+1,0),0)</f>
        <v>0</v>
      </c>
      <c r="AW68" s="59">
        <f>IFERROR(VLOOKUP($A68,[2]Mssp!$A$5:$BE$1463,AW$4+1,0),0)</f>
        <v>0</v>
      </c>
      <c r="AX68" s="59">
        <f>IFERROR(VLOOKUP($A68,[2]Mssp!$A$5:$BE$1463,AX$4+1,0),0)</f>
        <v>0</v>
      </c>
      <c r="AY68" s="59">
        <f>IFERROR(VLOOKUP($A68,[2]Mssp!$A$5:$BE$1463,AY$4+2,0),0)</f>
        <v>0</v>
      </c>
      <c r="AZ68" s="59">
        <f>IFERROR(VLOOKUP($A68,[2]Mssp!$A$5:$BE$1463,AZ$4+2,0),0)</f>
        <v>0</v>
      </c>
      <c r="BA68" s="60">
        <v>1500</v>
      </c>
      <c r="BB68" s="61" t="s">
        <v>119</v>
      </c>
      <c r="BC68" s="62"/>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c r="CK68" s="9"/>
      <c r="CL68" s="9"/>
      <c r="CM68" s="9"/>
      <c r="CN68" s="9"/>
      <c r="CO68" s="9"/>
      <c r="CP68" s="9"/>
    </row>
    <row r="69" spans="1:94" ht="45" x14ac:dyDescent="0.25">
      <c r="A69" s="50" t="s">
        <v>327</v>
      </c>
      <c r="B69" s="73" t="s">
        <v>328</v>
      </c>
      <c r="C69" s="50">
        <f t="shared" si="0"/>
        <v>4.7699999999999987</v>
      </c>
      <c r="D69" s="58">
        <v>2</v>
      </c>
      <c r="E69" s="58" t="s">
        <v>178</v>
      </c>
      <c r="F69" s="58">
        <v>7</v>
      </c>
      <c r="G69" s="50" t="s">
        <v>56</v>
      </c>
      <c r="H69" s="50">
        <f>VLOOKUP($A69,'[1]ma sp 02'!$A$5:$BD$1101,H$1,0)</f>
        <v>0.11</v>
      </c>
      <c r="I69" s="50">
        <f>VLOOKUP($A69,'[1]ma sp 02'!$A$5:$BD$1101,I$1,0)</f>
        <v>2.2999999999999998</v>
      </c>
      <c r="J69" s="50">
        <f>VLOOKUP($A69,'[1]ma sp 02'!$A$5:$BD$1101,J$1,0)</f>
        <v>0.32</v>
      </c>
      <c r="K69" s="50">
        <f>VLOOKUP($A69,'[1]ma sp 02'!$A$5:$BD$1101,K$1,0)</f>
        <v>0.26</v>
      </c>
      <c r="L69" s="50">
        <f>VLOOKUP($A69,'[1]ma sp 02'!$A$5:$BD$1101,L$1,0)</f>
        <v>0.46</v>
      </c>
      <c r="M69" s="50">
        <f>VLOOKUP($A69,'[1]ma sp 02'!$A$5:$BD$1101,M$1,0)</f>
        <v>0.11</v>
      </c>
      <c r="N69" s="50">
        <f>VLOOKUP($A69,'[1]ma sp 02'!$A$5:$BD$1101,N$1,0)</f>
        <v>0</v>
      </c>
      <c r="O69" s="50">
        <f>VLOOKUP($A69,'[1]ma sp 02'!$A$5:$BD$1101,O$1,0)</f>
        <v>0</v>
      </c>
      <c r="P69" s="50">
        <f>VLOOKUP($A69,'[1]ma sp 02'!$A$5:$BD$1101,P$1,0)</f>
        <v>0.98</v>
      </c>
      <c r="Q69" s="50">
        <f>VLOOKUP($A69,'[1]ma sp 02'!$A$5:$BD$1101,Q$1,0)</f>
        <v>0</v>
      </c>
      <c r="R69" s="50">
        <f>VLOOKUP($A69,'[1]ma sp 02'!$A$5:$BD$1101,R$1,0)</f>
        <v>0</v>
      </c>
      <c r="S69" s="50">
        <f>VLOOKUP($A69,'[1]ma sp 02'!$A$5:$BD$1101,S$1,0)</f>
        <v>0.09</v>
      </c>
      <c r="T69" s="50">
        <f>VLOOKUP($A69,'[1]ma sp 02'!$A$5:$BD$1101,T$1,0)</f>
        <v>0.14000000000000001</v>
      </c>
      <c r="U69" s="50">
        <f>VLOOKUP($A69,'[1]ma sp 02'!$A$5:$BD$1101,U$1,0)</f>
        <v>0</v>
      </c>
      <c r="V69" s="50">
        <f>VLOOKUP($A69,'[1]ma sp 02'!$A$5:$BD$1101,V$1,0)</f>
        <v>0</v>
      </c>
      <c r="W69" s="50">
        <f>VLOOKUP($A69,'[1]ma sp 02'!$A$5:$BD$1101,W$1,0)</f>
        <v>0</v>
      </c>
      <c r="X69" s="50">
        <f t="shared" si="1"/>
        <v>9</v>
      </c>
      <c r="Y69" s="57"/>
      <c r="Z69" s="57"/>
      <c r="AA69" s="57"/>
      <c r="AB69" s="57"/>
      <c r="AC69" s="57"/>
      <c r="AD69" s="57"/>
      <c r="AE69" s="58" t="s">
        <v>179</v>
      </c>
      <c r="AF69" s="57"/>
      <c r="AG69" s="83">
        <f>(0.02*0.91+0.07*0.925)*0.73</f>
        <v>6.0553500000000017E-2</v>
      </c>
      <c r="AH69" s="55">
        <f>(2.2/0.75/2)*0.72</f>
        <v>1.056</v>
      </c>
      <c r="AI69" s="57"/>
      <c r="AJ69" s="58">
        <v>9530</v>
      </c>
      <c r="AK69" s="58"/>
      <c r="AL69" s="58">
        <v>2.2000000000000001E-3</v>
      </c>
      <c r="AM69" s="52" t="s">
        <v>104</v>
      </c>
      <c r="AN69" s="57">
        <v>355</v>
      </c>
      <c r="AO69" s="52" t="s">
        <v>180</v>
      </c>
      <c r="AP69" s="59" t="str">
        <f>IFERROR(VLOOKUP($A69,[2]Mssp!$A$5:$BE$1463,AP$4+1,0),0)</f>
        <v>18056366-1</v>
      </c>
      <c r="AQ69" s="59" t="str">
        <f>IFERROR(VLOOKUP($A69,[2]Mssp!$A$5:$BE$1463,AQ$4+1,0),0)</f>
        <v>18056366-2</v>
      </c>
      <c r="AR69" s="59" t="str">
        <f>IFERROR(VLOOKUP($A69,[2]Mssp!$A$5:$BE$1463,AR$4+1,0),0)</f>
        <v>1503149-3</v>
      </c>
      <c r="AS69" s="59" t="str">
        <f>IFERROR(VLOOKUP($A69,[2]Mssp!$A$5:$BE$1463,AS$4+1,0),0)</f>
        <v>1503149-4</v>
      </c>
      <c r="AT69" s="59" t="str">
        <f>IFERROR(VLOOKUP($A69,[2]Mssp!$A$5:$BE$1463,AT$4+1,0),0)</f>
        <v>1503149-5</v>
      </c>
      <c r="AU69" s="59" t="str">
        <f>IFERROR(VLOOKUP($A69,[2]Mssp!$A$5:$BE$1463,AU$4+1,0),0)</f>
        <v>1503149-6</v>
      </c>
      <c r="AV69" s="59" t="str">
        <f>IFERROR(VLOOKUP($A69,[2]Mssp!$A$5:$BE$1463,AV$4+1,0),0)</f>
        <v>1503149-7</v>
      </c>
      <c r="AW69" s="59">
        <f>IFERROR(VLOOKUP($A69,[2]Mssp!$A$5:$BE$1463,AW$4+1,0),0)</f>
        <v>0</v>
      </c>
      <c r="AX69" s="59">
        <f>IFERROR(VLOOKUP($A69,[2]Mssp!$A$5:$BE$1463,AX$4+1,0),0)</f>
        <v>0</v>
      </c>
      <c r="AY69" s="59" t="str">
        <f>IFERROR(VLOOKUP($A69,[2]Mssp!$A$5:$BE$1463,AY$4+2,0),0)</f>
        <v>532x850</v>
      </c>
      <c r="AZ69" s="59" t="str">
        <f>IFERROR(VLOOKUP($A69,[2]Mssp!$A$5:$BE$1463,AZ$4+2,0),0)</f>
        <v>V1</v>
      </c>
      <c r="BA69" s="60">
        <v>0</v>
      </c>
      <c r="BB69" s="61" t="s">
        <v>107</v>
      </c>
      <c r="BC69" s="62"/>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c r="CK69" s="9"/>
      <c r="CL69" s="9"/>
      <c r="CM69" s="9"/>
      <c r="CN69" s="9"/>
      <c r="CO69" s="9"/>
      <c r="CP69" s="9"/>
    </row>
    <row r="70" spans="1:94" ht="45" x14ac:dyDescent="0.25">
      <c r="A70" s="50" t="s">
        <v>329</v>
      </c>
      <c r="B70" s="73" t="s">
        <v>330</v>
      </c>
      <c r="C70" s="50">
        <f t="shared" si="0"/>
        <v>0</v>
      </c>
      <c r="D70" s="57">
        <v>4</v>
      </c>
      <c r="E70" s="58" t="s">
        <v>331</v>
      </c>
      <c r="F70" s="58">
        <v>2</v>
      </c>
      <c r="G70" s="50" t="s">
        <v>114</v>
      </c>
      <c r="H70" s="50">
        <f>VLOOKUP($A70,'[1]ma sp 02'!$A$5:$BD$1101,H$1,0)</f>
        <v>0</v>
      </c>
      <c r="I70" s="50">
        <f>VLOOKUP($A70,'[1]ma sp 02'!$A$5:$BD$1101,I$1,0)</f>
        <v>0</v>
      </c>
      <c r="J70" s="50">
        <f>VLOOKUP($A70,'[1]ma sp 02'!$A$5:$BD$1101,J$1,0)</f>
        <v>0</v>
      </c>
      <c r="K70" s="50">
        <f>VLOOKUP($A70,'[1]ma sp 02'!$A$5:$BD$1101,K$1,0)</f>
        <v>0</v>
      </c>
      <c r="L70" s="50">
        <f>VLOOKUP($A70,'[1]ma sp 02'!$A$5:$BD$1101,L$1,0)</f>
        <v>0</v>
      </c>
      <c r="M70" s="50">
        <f>VLOOKUP($A70,'[1]ma sp 02'!$A$5:$BD$1101,M$1,0)</f>
        <v>0</v>
      </c>
      <c r="N70" s="50">
        <f>VLOOKUP($A70,'[1]ma sp 02'!$A$5:$BD$1101,N$1,0)</f>
        <v>0</v>
      </c>
      <c r="O70" s="50">
        <f>VLOOKUP($A70,'[1]ma sp 02'!$A$5:$BD$1101,O$1,0)</f>
        <v>0</v>
      </c>
      <c r="P70" s="50">
        <f>VLOOKUP($A70,'[1]ma sp 02'!$A$5:$BD$1101,P$1,0)</f>
        <v>0</v>
      </c>
      <c r="Q70" s="50">
        <f>VLOOKUP($A70,'[1]ma sp 02'!$A$5:$BD$1101,Q$1,0)</f>
        <v>0</v>
      </c>
      <c r="R70" s="50">
        <f>VLOOKUP($A70,'[1]ma sp 02'!$A$5:$BD$1101,R$1,0)</f>
        <v>0</v>
      </c>
      <c r="S70" s="50">
        <f>VLOOKUP($A70,'[1]ma sp 02'!$A$5:$BD$1101,S$1,0)</f>
        <v>0</v>
      </c>
      <c r="T70" s="50">
        <f>VLOOKUP($A70,'[1]ma sp 02'!$A$5:$BD$1101,T$1,0)</f>
        <v>0</v>
      </c>
      <c r="U70" s="50">
        <f>VLOOKUP($A70,'[1]ma sp 02'!$A$5:$BD$1101,U$1,0)</f>
        <v>0</v>
      </c>
      <c r="V70" s="50">
        <f>VLOOKUP($A70,'[1]ma sp 02'!$A$5:$BD$1101,V$1,0)</f>
        <v>0</v>
      </c>
      <c r="W70" s="50">
        <f>VLOOKUP($A70,'[1]ma sp 02'!$A$5:$BD$1101,W$1,0)</f>
        <v>0</v>
      </c>
      <c r="X70" s="50">
        <f t="shared" si="1"/>
        <v>0</v>
      </c>
      <c r="Y70" s="57"/>
      <c r="Z70" s="57"/>
      <c r="AA70" s="57"/>
      <c r="AB70" s="57"/>
      <c r="AC70" s="57"/>
      <c r="AD70" s="57"/>
      <c r="AE70" s="57" t="s">
        <v>57</v>
      </c>
      <c r="AF70" s="57" t="s">
        <v>58</v>
      </c>
      <c r="AG70" s="83">
        <f>(0.012*1.4+0.012*1.4+0.03*0.925)*0.7</f>
        <v>4.2944999999999997E-2</v>
      </c>
      <c r="AH70" s="55">
        <f>(2.3/0.75/2)*0.69</f>
        <v>1.0579999999999998</v>
      </c>
      <c r="AI70" s="55">
        <f>(3/0.75/2)*0.69</f>
        <v>1.38</v>
      </c>
      <c r="AJ70" s="58">
        <v>9530</v>
      </c>
      <c r="AK70" s="58">
        <v>9530</v>
      </c>
      <c r="AL70" s="52" t="s">
        <v>117</v>
      </c>
      <c r="AM70" s="52" t="s">
        <v>60</v>
      </c>
      <c r="AN70" s="57">
        <v>115</v>
      </c>
      <c r="AO70" s="52" t="s">
        <v>332</v>
      </c>
      <c r="AP70" s="59" t="str">
        <f>IFERROR(VLOOKUP($A70,[2]Mssp!$A$5:$BE$1463,AP$4+1,0),0)</f>
        <v>1503501-1</v>
      </c>
      <c r="AQ70" s="59" t="str">
        <f>IFERROR(VLOOKUP($A70,[2]Mssp!$A$5:$BE$1463,AQ$4+1,0),0)</f>
        <v>1503501-2</v>
      </c>
      <c r="AR70" s="59">
        <f>IFERROR(VLOOKUP($A70,[2]Mssp!$A$5:$BE$1463,AR$4+1,0),0)</f>
        <v>0</v>
      </c>
      <c r="AS70" s="59">
        <f>IFERROR(VLOOKUP($A70,[2]Mssp!$A$5:$BE$1463,AS$4+1,0),0)</f>
        <v>0</v>
      </c>
      <c r="AT70" s="59">
        <f>IFERROR(VLOOKUP($A70,[2]Mssp!$A$5:$BE$1463,AT$4+1,0),0)</f>
        <v>0</v>
      </c>
      <c r="AU70" s="59">
        <f>IFERROR(VLOOKUP($A70,[2]Mssp!$A$5:$BE$1463,AU$4+1,0),0)</f>
        <v>0</v>
      </c>
      <c r="AV70" s="59">
        <f>IFERROR(VLOOKUP($A70,[2]Mssp!$A$5:$BE$1463,AV$4+1,0),0)</f>
        <v>0</v>
      </c>
      <c r="AW70" s="59">
        <f>IFERROR(VLOOKUP($A70,[2]Mssp!$A$5:$BE$1463,AW$4+1,0),0)</f>
        <v>0</v>
      </c>
      <c r="AX70" s="59">
        <f>IFERROR(VLOOKUP($A70,[2]Mssp!$A$5:$BE$1463,AX$4+1,0),0)</f>
        <v>0</v>
      </c>
      <c r="AY70" s="59" t="str">
        <f>IFERROR(VLOOKUP($A70,[2]Mssp!$A$5:$BE$1463,AY$4+2,0),0)</f>
        <v>460x750</v>
      </c>
      <c r="AZ70" s="59" t="str">
        <f>IFERROR(VLOOKUP($A70,[2]Mssp!$A$5:$BE$1463,AZ$4+2,0),0)</f>
        <v>F1</v>
      </c>
      <c r="BA70" s="60">
        <v>24000</v>
      </c>
      <c r="BB70" s="61" t="s">
        <v>62</v>
      </c>
      <c r="BC70" s="62"/>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c r="CP70" s="9"/>
    </row>
    <row r="71" spans="1:94" ht="45" x14ac:dyDescent="0.25">
      <c r="A71" s="50" t="s">
        <v>333</v>
      </c>
      <c r="B71" s="73" t="s">
        <v>334</v>
      </c>
      <c r="C71" s="50">
        <f t="shared" si="0"/>
        <v>6.1</v>
      </c>
      <c r="D71" s="57">
        <v>2</v>
      </c>
      <c r="E71" s="58" t="s">
        <v>178</v>
      </c>
      <c r="F71" s="58">
        <v>4</v>
      </c>
      <c r="G71" s="50" t="s">
        <v>184</v>
      </c>
      <c r="H71" s="50">
        <f>VLOOKUP($A71,'[1]ma sp 02'!$A$5:$BD$1101,H$1,0)</f>
        <v>0</v>
      </c>
      <c r="I71" s="50">
        <f>VLOOKUP($A71,'[1]ma sp 02'!$A$5:$BD$1101,I$1,0)</f>
        <v>3.5</v>
      </c>
      <c r="J71" s="50">
        <f>VLOOKUP($A71,'[1]ma sp 02'!$A$5:$BD$1101,J$1,0)</f>
        <v>0</v>
      </c>
      <c r="K71" s="50">
        <f>VLOOKUP($A71,'[1]ma sp 02'!$A$5:$BD$1101,K$1,0)</f>
        <v>0</v>
      </c>
      <c r="L71" s="50">
        <f>VLOOKUP($A71,'[1]ma sp 02'!$A$5:$BD$1101,L$1,0)</f>
        <v>2.1</v>
      </c>
      <c r="M71" s="50">
        <f>VLOOKUP($A71,'[1]ma sp 02'!$A$5:$BD$1101,M$1,0)</f>
        <v>0</v>
      </c>
      <c r="N71" s="50">
        <f>VLOOKUP($A71,'[1]ma sp 02'!$A$5:$BD$1101,N$1,0)</f>
        <v>0</v>
      </c>
      <c r="O71" s="50">
        <f>VLOOKUP($A71,'[1]ma sp 02'!$A$5:$BD$1101,O$1,0)</f>
        <v>0</v>
      </c>
      <c r="P71" s="50">
        <f>VLOOKUP($A71,'[1]ma sp 02'!$A$5:$BD$1101,P$1,0)</f>
        <v>0.5</v>
      </c>
      <c r="Q71" s="50">
        <f>VLOOKUP($A71,'[1]ma sp 02'!$A$5:$BD$1101,Q$1,0)</f>
        <v>0</v>
      </c>
      <c r="R71" s="50">
        <f>VLOOKUP($A71,'[1]ma sp 02'!$A$5:$BD$1101,R$1,0)</f>
        <v>0</v>
      </c>
      <c r="S71" s="50">
        <f>VLOOKUP($A71,'[1]ma sp 02'!$A$5:$BD$1101,S$1,0)</f>
        <v>0</v>
      </c>
      <c r="T71" s="50">
        <f>VLOOKUP($A71,'[1]ma sp 02'!$A$5:$BD$1101,T$1,0)</f>
        <v>0</v>
      </c>
      <c r="U71" s="50">
        <f>VLOOKUP($A71,'[1]ma sp 02'!$A$5:$BD$1101,U$1,0)</f>
        <v>0</v>
      </c>
      <c r="V71" s="50">
        <f>VLOOKUP($A71,'[1]ma sp 02'!$A$5:$BD$1101,V$1,0)</f>
        <v>0</v>
      </c>
      <c r="W71" s="50">
        <f>VLOOKUP($A71,'[1]ma sp 02'!$A$5:$BD$1101,W$1,0)</f>
        <v>0</v>
      </c>
      <c r="X71" s="50">
        <f t="shared" ref="X71:X135" si="2">COUNTIF(H71:W71, "&gt;0")</f>
        <v>3</v>
      </c>
      <c r="Y71" s="57"/>
      <c r="Z71" s="57"/>
      <c r="AA71" s="57"/>
      <c r="AB71" s="57"/>
      <c r="AC71" s="57"/>
      <c r="AD71" s="57"/>
      <c r="AE71" s="58" t="s">
        <v>335</v>
      </c>
      <c r="AF71" s="57"/>
      <c r="AG71" s="83">
        <f>(0.02*0.91+0.07*0.925)*0.73</f>
        <v>6.0553500000000017E-2</v>
      </c>
      <c r="AH71" s="55">
        <f>(2.2/0.75/2)*0.72</f>
        <v>1.056</v>
      </c>
      <c r="AI71" s="57"/>
      <c r="AJ71" s="58">
        <v>9530</v>
      </c>
      <c r="AK71" s="57"/>
      <c r="AL71" s="58">
        <v>2.2000000000000001E-3</v>
      </c>
      <c r="AM71" s="52" t="s">
        <v>104</v>
      </c>
      <c r="AN71" s="57">
        <v>355</v>
      </c>
      <c r="AO71" s="52" t="s">
        <v>180</v>
      </c>
      <c r="AP71" s="59" t="str">
        <f>IFERROR(VLOOKUP($A71,[2]Mssp!$A$5:$BE$1463,AP$4+1,0),0)</f>
        <v>1312408-1</v>
      </c>
      <c r="AQ71" s="59" t="str">
        <f>IFERROR(VLOOKUP($A71,[2]Mssp!$A$5:$BE$1463,AQ$4+1,0),0)</f>
        <v>1503733-2</v>
      </c>
      <c r="AR71" s="59" t="str">
        <f>IFERROR(VLOOKUP($A71,[2]Mssp!$A$5:$BE$1463,AR$4+1,0),0)</f>
        <v>1312408-3</v>
      </c>
      <c r="AS71" s="59" t="str">
        <f>IFERROR(VLOOKUP($A71,[2]Mssp!$A$5:$BE$1463,AS$4+1,0),0)</f>
        <v>1804180-4</v>
      </c>
      <c r="AT71" s="59">
        <f>IFERROR(VLOOKUP($A71,[2]Mssp!$A$5:$BE$1463,AT$4+1,0),0)</f>
        <v>0</v>
      </c>
      <c r="AU71" s="59">
        <f>IFERROR(VLOOKUP($A71,[2]Mssp!$A$5:$BE$1463,AU$4+1,0),0)</f>
        <v>0</v>
      </c>
      <c r="AV71" s="59">
        <f>IFERROR(VLOOKUP($A71,[2]Mssp!$A$5:$BE$1463,AV$4+1,0),0)</f>
        <v>0</v>
      </c>
      <c r="AW71" s="59">
        <f>IFERROR(VLOOKUP($A71,[2]Mssp!$A$5:$BE$1463,AW$4+1,0),0)</f>
        <v>0</v>
      </c>
      <c r="AX71" s="59">
        <f>IFERROR(VLOOKUP($A71,[2]Mssp!$A$5:$BE$1463,AX$4+1,0),0)</f>
        <v>0</v>
      </c>
      <c r="AY71" s="59" t="str">
        <f>IFERROR(VLOOKUP($A71,[2]Mssp!$A$5:$BE$1463,AY$4+2,0),0)</f>
        <v>532x850</v>
      </c>
      <c r="AZ71" s="59" t="str">
        <f>IFERROR(VLOOKUP($A71,[2]Mssp!$A$5:$BE$1463,AZ$4+2,0),0)</f>
        <v>V1</v>
      </c>
      <c r="BA71" s="60">
        <v>0</v>
      </c>
      <c r="BB71" s="61" t="s">
        <v>107</v>
      </c>
      <c r="BC71" s="62"/>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c r="CK71" s="9"/>
      <c r="CL71" s="9"/>
      <c r="CM71" s="9"/>
      <c r="CN71" s="9"/>
      <c r="CO71" s="9"/>
      <c r="CP71" s="9"/>
    </row>
    <row r="72" spans="1:94" ht="45" x14ac:dyDescent="0.25">
      <c r="A72" s="50" t="s">
        <v>336</v>
      </c>
      <c r="B72" s="73" t="s">
        <v>337</v>
      </c>
      <c r="C72" s="50">
        <f t="shared" si="0"/>
        <v>6.25</v>
      </c>
      <c r="D72" s="57">
        <v>5</v>
      </c>
      <c r="E72" s="58" t="s">
        <v>338</v>
      </c>
      <c r="F72" s="58">
        <v>7</v>
      </c>
      <c r="G72" s="50" t="s">
        <v>184</v>
      </c>
      <c r="H72" s="50">
        <f>VLOOKUP($A72,'[1]ma sp 02'!$A$5:$BD$1101,H$1,0)</f>
        <v>0.1</v>
      </c>
      <c r="I72" s="50">
        <f>VLOOKUP($A72,'[1]ma sp 02'!$A$5:$BD$1101,I$1,0)</f>
        <v>3.5</v>
      </c>
      <c r="J72" s="50">
        <f>VLOOKUP($A72,'[1]ma sp 02'!$A$5:$BD$1101,J$1,0)</f>
        <v>0.35</v>
      </c>
      <c r="K72" s="50">
        <f>VLOOKUP($A72,'[1]ma sp 02'!$A$5:$BD$1101,K$1,0)</f>
        <v>0.1</v>
      </c>
      <c r="L72" s="50">
        <f>VLOOKUP($A72,'[1]ma sp 02'!$A$5:$BD$1101,L$1,0)</f>
        <v>0.5</v>
      </c>
      <c r="M72" s="50">
        <f>VLOOKUP($A72,'[1]ma sp 02'!$A$5:$BD$1101,M$1,0)</f>
        <v>0.7</v>
      </c>
      <c r="N72" s="50">
        <f>VLOOKUP($A72,'[1]ma sp 02'!$A$5:$BD$1101,N$1,0)</f>
        <v>0</v>
      </c>
      <c r="O72" s="50">
        <f>VLOOKUP($A72,'[1]ma sp 02'!$A$5:$BD$1101,O$1,0)</f>
        <v>0</v>
      </c>
      <c r="P72" s="50">
        <f>VLOOKUP($A72,'[1]ma sp 02'!$A$5:$BD$1101,P$1,0)</f>
        <v>0.3</v>
      </c>
      <c r="Q72" s="50">
        <f>VLOOKUP($A72,'[1]ma sp 02'!$A$5:$BD$1101,Q$1,0)</f>
        <v>0.3</v>
      </c>
      <c r="R72" s="50">
        <f>VLOOKUP($A72,'[1]ma sp 02'!$A$5:$BD$1101,R$1,0)</f>
        <v>0.2</v>
      </c>
      <c r="S72" s="50">
        <f>VLOOKUP($A72,'[1]ma sp 02'!$A$5:$BD$1101,S$1,0)</f>
        <v>0</v>
      </c>
      <c r="T72" s="50">
        <f>VLOOKUP($A72,'[1]ma sp 02'!$A$5:$BD$1101,T$1,0)</f>
        <v>0</v>
      </c>
      <c r="U72" s="50">
        <f>VLOOKUP($A72,'[1]ma sp 02'!$A$5:$BD$1101,U$1,0)</f>
        <v>0.2</v>
      </c>
      <c r="V72" s="50">
        <f>VLOOKUP($A72,'[1]ma sp 02'!$A$5:$BD$1101,V$1,0)</f>
        <v>0</v>
      </c>
      <c r="W72" s="50">
        <f>VLOOKUP($A72,'[1]ma sp 02'!$A$5:$BD$1101,W$1,0)</f>
        <v>0</v>
      </c>
      <c r="X72" s="50">
        <f t="shared" si="2"/>
        <v>10</v>
      </c>
      <c r="Y72" s="57"/>
      <c r="Z72" s="57"/>
      <c r="AA72" s="57"/>
      <c r="AB72" s="57"/>
      <c r="AC72" s="57"/>
      <c r="AD72" s="57"/>
      <c r="AE72" s="58" t="s">
        <v>339</v>
      </c>
      <c r="AF72" s="57"/>
      <c r="AG72" s="83">
        <f>(0.02*0.91+0.025*0.91)*0.87</f>
        <v>3.5626499999999998E-2</v>
      </c>
      <c r="AH72" s="55">
        <f>(2.2/0.75/2)*0.86</f>
        <v>1.2613333333333334</v>
      </c>
      <c r="AI72" s="57"/>
      <c r="AJ72" s="58">
        <v>9530</v>
      </c>
      <c r="AK72" s="57"/>
      <c r="AL72" s="58">
        <v>2.2000000000000001E-3</v>
      </c>
      <c r="AM72" s="52" t="s">
        <v>142</v>
      </c>
      <c r="AN72" s="57">
        <v>170</v>
      </c>
      <c r="AO72" s="52" t="s">
        <v>61</v>
      </c>
      <c r="AP72" s="59">
        <f>IFERROR(VLOOKUP($A72,[2]Mssp!$A$5:$BE$1463,AP$4+1,0),0)</f>
        <v>0</v>
      </c>
      <c r="AQ72" s="59">
        <f>IFERROR(VLOOKUP($A72,[2]Mssp!$A$5:$BE$1463,AQ$4+1,0),0)</f>
        <v>0</v>
      </c>
      <c r="AR72" s="59">
        <f>IFERROR(VLOOKUP($A72,[2]Mssp!$A$5:$BE$1463,AR$4+1,0),0)</f>
        <v>0</v>
      </c>
      <c r="AS72" s="59">
        <f>IFERROR(VLOOKUP($A72,[2]Mssp!$A$5:$BE$1463,AS$4+1,0),0)</f>
        <v>0</v>
      </c>
      <c r="AT72" s="59">
        <f>IFERROR(VLOOKUP($A72,[2]Mssp!$A$5:$BE$1463,AT$4+1,0),0)</f>
        <v>0</v>
      </c>
      <c r="AU72" s="59">
        <f>IFERROR(VLOOKUP($A72,[2]Mssp!$A$5:$BE$1463,AU$4+1,0),0)</f>
        <v>0</v>
      </c>
      <c r="AV72" s="59">
        <f>IFERROR(VLOOKUP($A72,[2]Mssp!$A$5:$BE$1463,AV$4+1,0),0)</f>
        <v>0</v>
      </c>
      <c r="AW72" s="59">
        <f>IFERROR(VLOOKUP($A72,[2]Mssp!$A$5:$BE$1463,AW$4+1,0),0)</f>
        <v>0</v>
      </c>
      <c r="AX72" s="59">
        <f>IFERROR(VLOOKUP($A72,[2]Mssp!$A$5:$BE$1463,AX$4+1,0),0)</f>
        <v>0</v>
      </c>
      <c r="AY72" s="59">
        <f>IFERROR(VLOOKUP($A72,[2]Mssp!$A$5:$BE$1463,AY$4+2,0),0)</f>
        <v>0</v>
      </c>
      <c r="AZ72" s="59">
        <f>IFERROR(VLOOKUP($A72,[2]Mssp!$A$5:$BE$1463,AZ$4+2,0),0)</f>
        <v>0</v>
      </c>
      <c r="BA72" s="60" t="s">
        <v>340</v>
      </c>
      <c r="BB72" s="61" t="s">
        <v>341</v>
      </c>
      <c r="BC72" s="62"/>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row>
    <row r="73" spans="1:94" ht="45" x14ac:dyDescent="0.25">
      <c r="A73" s="50" t="s">
        <v>342</v>
      </c>
      <c r="B73" s="73" t="s">
        <v>343</v>
      </c>
      <c r="C73" s="50">
        <f t="shared" si="0"/>
        <v>0</v>
      </c>
      <c r="D73" s="57">
        <v>4</v>
      </c>
      <c r="E73" s="58" t="s">
        <v>344</v>
      </c>
      <c r="F73" s="58">
        <v>7</v>
      </c>
      <c r="G73" s="50" t="s">
        <v>114</v>
      </c>
      <c r="H73" s="50">
        <f>VLOOKUP($A73,'[1]ma sp 02'!$A$5:$BD$1101,H$1,0)</f>
        <v>0</v>
      </c>
      <c r="I73" s="50">
        <f>VLOOKUP($A73,'[1]ma sp 02'!$A$5:$BD$1101,I$1,0)</f>
        <v>0</v>
      </c>
      <c r="J73" s="50">
        <f>VLOOKUP($A73,'[1]ma sp 02'!$A$5:$BD$1101,J$1,0)</f>
        <v>0</v>
      </c>
      <c r="K73" s="50">
        <f>VLOOKUP($A73,'[1]ma sp 02'!$A$5:$BD$1101,K$1,0)</f>
        <v>0</v>
      </c>
      <c r="L73" s="50">
        <f>VLOOKUP($A73,'[1]ma sp 02'!$A$5:$BD$1101,L$1,0)</f>
        <v>0</v>
      </c>
      <c r="M73" s="50">
        <f>VLOOKUP($A73,'[1]ma sp 02'!$A$5:$BD$1101,M$1,0)</f>
        <v>0</v>
      </c>
      <c r="N73" s="50">
        <f>VLOOKUP($A73,'[1]ma sp 02'!$A$5:$BD$1101,N$1,0)</f>
        <v>0</v>
      </c>
      <c r="O73" s="50">
        <f>VLOOKUP($A73,'[1]ma sp 02'!$A$5:$BD$1101,O$1,0)</f>
        <v>0</v>
      </c>
      <c r="P73" s="50">
        <f>VLOOKUP($A73,'[1]ma sp 02'!$A$5:$BD$1101,P$1,0)</f>
        <v>0</v>
      </c>
      <c r="Q73" s="50">
        <f>VLOOKUP($A73,'[1]ma sp 02'!$A$5:$BD$1101,Q$1,0)</f>
        <v>0</v>
      </c>
      <c r="R73" s="50">
        <f>VLOOKUP($A73,'[1]ma sp 02'!$A$5:$BD$1101,R$1,0)</f>
        <v>0</v>
      </c>
      <c r="S73" s="50">
        <f>VLOOKUP($A73,'[1]ma sp 02'!$A$5:$BD$1101,S$1,0)</f>
        <v>0</v>
      </c>
      <c r="T73" s="50">
        <f>VLOOKUP($A73,'[1]ma sp 02'!$A$5:$BD$1101,T$1,0)</f>
        <v>0</v>
      </c>
      <c r="U73" s="50">
        <f>VLOOKUP($A73,'[1]ma sp 02'!$A$5:$BD$1101,U$1,0)</f>
        <v>0</v>
      </c>
      <c r="V73" s="50">
        <f>VLOOKUP($A73,'[1]ma sp 02'!$A$5:$BD$1101,V$1,0)</f>
        <v>0</v>
      </c>
      <c r="W73" s="50">
        <f>VLOOKUP($A73,'[1]ma sp 02'!$A$5:$BD$1101,W$1,0)</f>
        <v>0</v>
      </c>
      <c r="X73" s="50">
        <f t="shared" si="2"/>
        <v>0</v>
      </c>
      <c r="Y73" s="57"/>
      <c r="Z73" s="57"/>
      <c r="AA73" s="57"/>
      <c r="AB73" s="57"/>
      <c r="AC73" s="57"/>
      <c r="AD73" s="57"/>
      <c r="AE73" s="52" t="s">
        <v>345</v>
      </c>
      <c r="AF73" s="52" t="s">
        <v>346</v>
      </c>
      <c r="AG73" s="83">
        <f>(0.012*1.4+0.012*1.4+0.075*0.925)*0.796</f>
        <v>8.1968100000000016E-2</v>
      </c>
      <c r="AH73" s="55">
        <f>(3/0.75/2)*0.786</f>
        <v>1.5720000000000001</v>
      </c>
      <c r="AI73" s="55">
        <f>(3/0.75/2)*0.786</f>
        <v>1.5720000000000001</v>
      </c>
      <c r="AJ73" s="58">
        <v>9530</v>
      </c>
      <c r="AK73" s="58">
        <v>9530</v>
      </c>
      <c r="AL73" s="52" t="s">
        <v>347</v>
      </c>
      <c r="AM73" s="52" t="s">
        <v>74</v>
      </c>
      <c r="AN73" s="57">
        <v>125</v>
      </c>
      <c r="AO73" s="52" t="s">
        <v>348</v>
      </c>
      <c r="AP73" s="59" t="str">
        <f>IFERROR(VLOOKUP($A73,[2]Mssp!$A$5:$BE$1463,AP$4+1,0),0)</f>
        <v>1503599-1</v>
      </c>
      <c r="AQ73" s="59" t="str">
        <f>IFERROR(VLOOKUP($A73,[2]Mssp!$A$5:$BE$1463,AQ$4+1,0),0)</f>
        <v>1503599-2</v>
      </c>
      <c r="AR73" s="59" t="str">
        <f>IFERROR(VLOOKUP($A73,[2]Mssp!$A$5:$BE$1463,AR$4+1,0),0)</f>
        <v>1503599-3</v>
      </c>
      <c r="AS73" s="59" t="str">
        <f>IFERROR(VLOOKUP($A73,[2]Mssp!$A$5:$BE$1463,AS$4+1,0),0)</f>
        <v>1503599-4</v>
      </c>
      <c r="AT73" s="59" t="str">
        <f>IFERROR(VLOOKUP($A73,[2]Mssp!$A$5:$BE$1463,AT$4+1,0),0)</f>
        <v>1503599-5</v>
      </c>
      <c r="AU73" s="59" t="str">
        <f>IFERROR(VLOOKUP($A73,[2]Mssp!$A$5:$BE$1463,AU$4+1,0),0)</f>
        <v>1503599-6</v>
      </c>
      <c r="AV73" s="59" t="str">
        <f>IFERROR(VLOOKUP($A73,[2]Mssp!$A$5:$BE$1463,AV$4+1,0),0)</f>
        <v>1503599-7</v>
      </c>
      <c r="AW73" s="59">
        <f>IFERROR(VLOOKUP($A73,[2]Mssp!$A$5:$BE$1463,AW$4+1,0),0)</f>
        <v>0</v>
      </c>
      <c r="AX73" s="59">
        <f>IFERROR(VLOOKUP($A73,[2]Mssp!$A$5:$BE$1463,AX$4+1,0),0)</f>
        <v>0</v>
      </c>
      <c r="AY73" s="59" t="str">
        <f>IFERROR(VLOOKUP($A73,[2]Mssp!$A$5:$BE$1463,AY$4+2,0),0)</f>
        <v>500x875</v>
      </c>
      <c r="AZ73" s="59" t="str">
        <f>IFERROR(VLOOKUP($A73,[2]Mssp!$A$5:$BE$1463,AZ$4+2,0),0)</f>
        <v>T1</v>
      </c>
      <c r="BA73" s="60">
        <v>0</v>
      </c>
      <c r="BB73" s="61" t="s">
        <v>62</v>
      </c>
      <c r="BC73" s="62"/>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c r="CP73" s="9"/>
    </row>
    <row r="74" spans="1:94" ht="45" x14ac:dyDescent="0.25">
      <c r="A74" s="50" t="s">
        <v>349</v>
      </c>
      <c r="B74" s="73" t="s">
        <v>350</v>
      </c>
      <c r="C74" s="50">
        <f t="shared" ref="C74:C140" si="3">SUM(H74:W74)</f>
        <v>7.4109999999999996</v>
      </c>
      <c r="D74" s="58">
        <v>4</v>
      </c>
      <c r="E74" s="58" t="s">
        <v>351</v>
      </c>
      <c r="F74" s="58">
        <v>6</v>
      </c>
      <c r="G74" s="50" t="s">
        <v>114</v>
      </c>
      <c r="H74" s="50">
        <f>VLOOKUP($A74,'[1]ma sp 02'!$A$5:$BD$1101,H$1,0)</f>
        <v>0.19</v>
      </c>
      <c r="I74" s="50">
        <f>VLOOKUP($A74,'[1]ma sp 02'!$A$5:$BD$1101,I$1,0)</f>
        <v>2.99</v>
      </c>
      <c r="J74" s="50">
        <f>VLOOKUP($A74,'[1]ma sp 02'!$A$5:$BD$1101,J$1,0)</f>
        <v>0.01</v>
      </c>
      <c r="K74" s="50">
        <f>VLOOKUP($A74,'[1]ma sp 02'!$A$5:$BD$1101,K$1,0)</f>
        <v>0.09</v>
      </c>
      <c r="L74" s="50">
        <f>VLOOKUP($A74,'[1]ma sp 02'!$A$5:$BD$1101,L$1,0)</f>
        <v>2.0299999999999998</v>
      </c>
      <c r="M74" s="50">
        <f>VLOOKUP($A74,'[1]ma sp 02'!$A$5:$BD$1101,M$1,0)</f>
        <v>1.681</v>
      </c>
      <c r="N74" s="50">
        <f>VLOOKUP($A74,'[1]ma sp 02'!$A$5:$BD$1101,N$1,0)</f>
        <v>0</v>
      </c>
      <c r="O74" s="50">
        <f>VLOOKUP($A74,'[1]ma sp 02'!$A$5:$BD$1101,O$1,0)</f>
        <v>0.42</v>
      </c>
      <c r="P74" s="50">
        <f>VLOOKUP($A74,'[1]ma sp 02'!$A$5:$BD$1101,P$1,0)</f>
        <v>0</v>
      </c>
      <c r="Q74" s="50">
        <f>VLOOKUP($A74,'[1]ma sp 02'!$A$5:$BD$1101,Q$1,0)</f>
        <v>0</v>
      </c>
      <c r="R74" s="50">
        <f>VLOOKUP($A74,'[1]ma sp 02'!$A$5:$BD$1101,R$1,0)</f>
        <v>0</v>
      </c>
      <c r="S74" s="50">
        <f>VLOOKUP($A74,'[1]ma sp 02'!$A$5:$BD$1101,S$1,0)</f>
        <v>0</v>
      </c>
      <c r="T74" s="50">
        <f>VLOOKUP($A74,'[1]ma sp 02'!$A$5:$BD$1101,T$1,0)</f>
        <v>0</v>
      </c>
      <c r="U74" s="50">
        <f>VLOOKUP($A74,'[1]ma sp 02'!$A$5:$BD$1101,U$1,0)</f>
        <v>0</v>
      </c>
      <c r="V74" s="50">
        <f>VLOOKUP($A74,'[1]ma sp 02'!$A$5:$BD$1101,V$1,0)</f>
        <v>0</v>
      </c>
      <c r="W74" s="50">
        <f>VLOOKUP($A74,'[1]ma sp 02'!$A$5:$BD$1101,W$1,0)</f>
        <v>0</v>
      </c>
      <c r="X74" s="50">
        <f t="shared" si="2"/>
        <v>7</v>
      </c>
      <c r="Y74" s="57"/>
      <c r="Z74" s="57"/>
      <c r="AA74" s="57"/>
      <c r="AB74" s="57"/>
      <c r="AC74" s="57"/>
      <c r="AD74" s="57"/>
      <c r="AE74" s="58" t="s">
        <v>352</v>
      </c>
      <c r="AF74" s="58" t="s">
        <v>353</v>
      </c>
      <c r="AG74" s="83">
        <f>(0.012*1.4+0.012*1.4+0.075*0.925)*0.8</f>
        <v>8.2380000000000009E-2</v>
      </c>
      <c r="AH74" s="55">
        <f>(2.3/0.75/2)*0.79</f>
        <v>1.2113333333333334</v>
      </c>
      <c r="AI74" s="55">
        <f>(2.3/0.75/2)*0.79</f>
        <v>1.2113333333333334</v>
      </c>
      <c r="AJ74" s="58">
        <v>9530</v>
      </c>
      <c r="AK74" s="58">
        <v>9530</v>
      </c>
      <c r="AL74" s="58" t="s">
        <v>354</v>
      </c>
      <c r="AM74" s="52" t="s">
        <v>104</v>
      </c>
      <c r="AN74" s="58">
        <v>194</v>
      </c>
      <c r="AO74" s="52" t="s">
        <v>348</v>
      </c>
      <c r="AP74" s="59" t="str">
        <f>IFERROR(VLOOKUP($A74,[2]Mssp!$A$5:$BE$1463,AP$4+1,0),0)</f>
        <v>19070659-1</v>
      </c>
      <c r="AQ74" s="59" t="str">
        <f>IFERROR(VLOOKUP($A74,[2]Mssp!$A$5:$BE$1463,AQ$4+1,0),0)</f>
        <v>1504564-2</v>
      </c>
      <c r="AR74" s="59" t="str">
        <f>IFERROR(VLOOKUP($A74,[2]Mssp!$A$5:$BE$1463,AR$4+1,0),0)</f>
        <v>1504564-3</v>
      </c>
      <c r="AS74" s="59" t="str">
        <f>IFERROR(VLOOKUP($A74,[2]Mssp!$A$5:$BE$1463,AS$4+1,0),0)</f>
        <v>1504564-4</v>
      </c>
      <c r="AT74" s="59" t="str">
        <f>IFERROR(VLOOKUP($A74,[2]Mssp!$A$5:$BE$1463,AT$4+1,0),0)</f>
        <v>1504564-5</v>
      </c>
      <c r="AU74" s="59" t="str">
        <f>IFERROR(VLOOKUP($A74,[2]Mssp!$A$5:$BE$1463,AU$4+1,0),0)</f>
        <v>1504564-6</v>
      </c>
      <c r="AV74" s="59">
        <f>IFERROR(VLOOKUP($A74,[2]Mssp!$A$5:$BE$1463,AV$4+1,0),0)</f>
        <v>0</v>
      </c>
      <c r="AW74" s="59">
        <f>IFERROR(VLOOKUP($A74,[2]Mssp!$A$5:$BE$1463,AW$4+1,0),0)</f>
        <v>0</v>
      </c>
      <c r="AX74" s="59">
        <f>IFERROR(VLOOKUP($A74,[2]Mssp!$A$5:$BE$1463,AX$4+1,0),0)</f>
        <v>0</v>
      </c>
      <c r="AY74" s="59" t="str">
        <f>IFERROR(VLOOKUP($A74,[2]Mssp!$A$5:$BE$1463,AY$4+2,0),0)</f>
        <v>500x860</v>
      </c>
      <c r="AZ74" s="59" t="str">
        <f>IFERROR(VLOOKUP($A74,[2]Mssp!$A$5:$BE$1463,AZ$4+2,0),0)</f>
        <v>T1</v>
      </c>
      <c r="BA74" s="60">
        <v>0</v>
      </c>
      <c r="BB74" s="61" t="s">
        <v>107</v>
      </c>
      <c r="BC74" s="62"/>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row>
    <row r="75" spans="1:94" ht="45" x14ac:dyDescent="0.25">
      <c r="A75" s="50" t="s">
        <v>355</v>
      </c>
      <c r="B75" s="73" t="s">
        <v>356</v>
      </c>
      <c r="C75" s="50">
        <f t="shared" si="3"/>
        <v>0</v>
      </c>
      <c r="D75" s="57">
        <v>2</v>
      </c>
      <c r="E75" s="58" t="s">
        <v>131</v>
      </c>
      <c r="F75" s="58">
        <v>6</v>
      </c>
      <c r="G75" s="50" t="s">
        <v>114</v>
      </c>
      <c r="H75" s="50">
        <f>VLOOKUP($A75,'[1]ma sp 02'!$A$5:$BD$1101,H$1,0)</f>
        <v>0</v>
      </c>
      <c r="I75" s="50">
        <f>VLOOKUP($A75,'[1]ma sp 02'!$A$5:$BD$1101,I$1,0)</f>
        <v>0</v>
      </c>
      <c r="J75" s="50">
        <f>VLOOKUP($A75,'[1]ma sp 02'!$A$5:$BD$1101,J$1,0)</f>
        <v>0</v>
      </c>
      <c r="K75" s="50">
        <f>VLOOKUP($A75,'[1]ma sp 02'!$A$5:$BD$1101,K$1,0)</f>
        <v>0</v>
      </c>
      <c r="L75" s="50">
        <f>VLOOKUP($A75,'[1]ma sp 02'!$A$5:$BD$1101,L$1,0)</f>
        <v>0</v>
      </c>
      <c r="M75" s="50">
        <f>VLOOKUP($A75,'[1]ma sp 02'!$A$5:$BD$1101,M$1,0)</f>
        <v>0</v>
      </c>
      <c r="N75" s="50">
        <f>VLOOKUP($A75,'[1]ma sp 02'!$A$5:$BD$1101,N$1,0)</f>
        <v>0</v>
      </c>
      <c r="O75" s="50">
        <f>VLOOKUP($A75,'[1]ma sp 02'!$A$5:$BD$1101,O$1,0)</f>
        <v>0</v>
      </c>
      <c r="P75" s="50">
        <f>VLOOKUP($A75,'[1]ma sp 02'!$A$5:$BD$1101,P$1,0)</f>
        <v>0</v>
      </c>
      <c r="Q75" s="50">
        <f>VLOOKUP($A75,'[1]ma sp 02'!$A$5:$BD$1101,Q$1,0)</f>
        <v>0</v>
      </c>
      <c r="R75" s="50">
        <f>VLOOKUP($A75,'[1]ma sp 02'!$A$5:$BD$1101,R$1,0)</f>
        <v>0</v>
      </c>
      <c r="S75" s="50">
        <f>VLOOKUP($A75,'[1]ma sp 02'!$A$5:$BD$1101,S$1,0)</f>
        <v>0</v>
      </c>
      <c r="T75" s="50">
        <f>VLOOKUP($A75,'[1]ma sp 02'!$A$5:$BD$1101,T$1,0)</f>
        <v>0</v>
      </c>
      <c r="U75" s="50">
        <f>VLOOKUP($A75,'[1]ma sp 02'!$A$5:$BD$1101,U$1,0)</f>
        <v>0</v>
      </c>
      <c r="V75" s="50">
        <f>VLOOKUP($A75,'[1]ma sp 02'!$A$5:$BD$1101,V$1,0)</f>
        <v>0</v>
      </c>
      <c r="W75" s="50">
        <f>VLOOKUP($A75,'[1]ma sp 02'!$A$5:$BD$1101,W$1,0)</f>
        <v>0</v>
      </c>
      <c r="X75" s="50">
        <f t="shared" si="2"/>
        <v>0</v>
      </c>
      <c r="Y75" s="57"/>
      <c r="Z75" s="57"/>
      <c r="AA75" s="57"/>
      <c r="AB75" s="57"/>
      <c r="AC75" s="57"/>
      <c r="AD75" s="57"/>
      <c r="AE75" s="52" t="s">
        <v>78</v>
      </c>
      <c r="AF75" s="52" t="s">
        <v>324</v>
      </c>
      <c r="AG75" s="87">
        <f>(0.012*1.4+0.012*1.4+0.075*0.925)*0.62</f>
        <v>6.3844500000000012E-2</v>
      </c>
      <c r="AH75" s="54">
        <f>(2.3/0.75/2)*0.61</f>
        <v>0.93533333333333324</v>
      </c>
      <c r="AI75" s="54">
        <f>(2.3/0.75/2)*0.61</f>
        <v>0.93533333333333324</v>
      </c>
      <c r="AJ75" s="58">
        <v>9530</v>
      </c>
      <c r="AK75" s="57">
        <v>9530</v>
      </c>
      <c r="AL75" s="52" t="s">
        <v>354</v>
      </c>
      <c r="AM75" s="52" t="s">
        <v>74</v>
      </c>
      <c r="AN75" s="57">
        <v>220</v>
      </c>
      <c r="AO75" s="52" t="s">
        <v>348</v>
      </c>
      <c r="AP75" s="59" t="str">
        <f>IFERROR(VLOOKUP($A75,[2]Mssp!$A$5:$BE$1463,AP$4+1,0),0)</f>
        <v>1902155-1</v>
      </c>
      <c r="AQ75" s="59" t="str">
        <f>IFERROR(VLOOKUP($A75,[2]Mssp!$A$5:$BE$1463,AQ$4+1,0),0)</f>
        <v>1504563-2</v>
      </c>
      <c r="AR75" s="59" t="str">
        <f>IFERROR(VLOOKUP($A75,[2]Mssp!$A$5:$BE$1463,AR$4+1,0),0)</f>
        <v>1504563-3</v>
      </c>
      <c r="AS75" s="59" t="str">
        <f>IFERROR(VLOOKUP($A75,[2]Mssp!$A$5:$BE$1463,AS$4+1,0),0)</f>
        <v>1504563-4</v>
      </c>
      <c r="AT75" s="59" t="str">
        <f>IFERROR(VLOOKUP($A75,[2]Mssp!$A$5:$BE$1463,AT$4+1,0),0)</f>
        <v>1504563-5</v>
      </c>
      <c r="AU75" s="59" t="str">
        <f>IFERROR(VLOOKUP($A75,[2]Mssp!$A$5:$BE$1463,AU$4+1,0),0)</f>
        <v>1504563-6</v>
      </c>
      <c r="AV75" s="59" t="str">
        <f>IFERROR(VLOOKUP($A75,[2]Mssp!$A$5:$BE$1463,AV$4+1,0),0)</f>
        <v>1504563-1 cây củ</v>
      </c>
      <c r="AW75" s="59">
        <f>IFERROR(VLOOKUP($A75,[2]Mssp!$A$5:$BE$1463,AW$4+1,0),0)</f>
        <v>0</v>
      </c>
      <c r="AX75" s="59">
        <f>IFERROR(VLOOKUP($A75,[2]Mssp!$A$5:$BE$1463,AX$4+1,0),0)</f>
        <v>0</v>
      </c>
      <c r="AY75" s="59" t="str">
        <f>IFERROR(VLOOKUP($A75,[2]Mssp!$A$5:$BE$1463,AY$4+2,0),0)</f>
        <v>440x750</v>
      </c>
      <c r="AZ75" s="59" t="str">
        <f>IFERROR(VLOOKUP($A75,[2]Mssp!$A$5:$BE$1463,AZ$4+2,0),0)</f>
        <v>T1</v>
      </c>
      <c r="BA75" s="60">
        <v>0</v>
      </c>
      <c r="BB75" s="61" t="s">
        <v>62</v>
      </c>
      <c r="BC75" s="62"/>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c r="CP75" s="9"/>
    </row>
    <row r="76" spans="1:94" ht="45" x14ac:dyDescent="0.25">
      <c r="A76" s="50" t="s">
        <v>357</v>
      </c>
      <c r="B76" s="73" t="s">
        <v>358</v>
      </c>
      <c r="C76" s="50">
        <f t="shared" si="3"/>
        <v>2.5</v>
      </c>
      <c r="D76" s="57">
        <v>4</v>
      </c>
      <c r="E76" s="58" t="s">
        <v>359</v>
      </c>
      <c r="F76" s="58">
        <v>5</v>
      </c>
      <c r="G76" s="50" t="s">
        <v>114</v>
      </c>
      <c r="H76" s="50">
        <f>VLOOKUP($A76,'[1]ma sp 02'!$A$5:$BD$1101,H$1,0)</f>
        <v>0.1</v>
      </c>
      <c r="I76" s="50">
        <f>VLOOKUP($A76,'[1]ma sp 02'!$A$5:$BD$1101,I$1,0)</f>
        <v>1.9</v>
      </c>
      <c r="J76" s="50">
        <f>VLOOKUP($A76,'[1]ma sp 02'!$A$5:$BD$1101,J$1,0)</f>
        <v>0.1</v>
      </c>
      <c r="K76" s="50">
        <f>VLOOKUP($A76,'[1]ma sp 02'!$A$5:$BD$1101,K$1,0)</f>
        <v>0.1</v>
      </c>
      <c r="L76" s="50">
        <f>VLOOKUP($A76,'[1]ma sp 02'!$A$5:$BD$1101,L$1,0)</f>
        <v>0.3</v>
      </c>
      <c r="M76" s="50">
        <f>VLOOKUP($A76,'[1]ma sp 02'!$A$5:$BD$1101,M$1,0)</f>
        <v>0</v>
      </c>
      <c r="N76" s="50">
        <f>VLOOKUP($A76,'[1]ma sp 02'!$A$5:$BD$1101,N$1,0)</f>
        <v>0</v>
      </c>
      <c r="O76" s="50">
        <f>VLOOKUP($A76,'[1]ma sp 02'!$A$5:$BD$1101,O$1,0)</f>
        <v>0</v>
      </c>
      <c r="P76" s="50">
        <f>VLOOKUP($A76,'[1]ma sp 02'!$A$5:$BD$1101,P$1,0)</f>
        <v>0</v>
      </c>
      <c r="Q76" s="50">
        <f>VLOOKUP($A76,'[1]ma sp 02'!$A$5:$BD$1101,Q$1,0)</f>
        <v>0</v>
      </c>
      <c r="R76" s="50">
        <f>VLOOKUP($A76,'[1]ma sp 02'!$A$5:$BD$1101,R$1,0)</f>
        <v>0</v>
      </c>
      <c r="S76" s="50">
        <f>VLOOKUP($A76,'[1]ma sp 02'!$A$5:$BD$1101,S$1,0)</f>
        <v>0</v>
      </c>
      <c r="T76" s="50">
        <f>VLOOKUP($A76,'[1]ma sp 02'!$A$5:$BD$1101,T$1,0)</f>
        <v>0</v>
      </c>
      <c r="U76" s="50">
        <f>VLOOKUP($A76,'[1]ma sp 02'!$A$5:$BD$1101,U$1,0)</f>
        <v>0</v>
      </c>
      <c r="V76" s="50">
        <f>VLOOKUP($A76,'[1]ma sp 02'!$A$5:$BD$1101,V$1,0)</f>
        <v>0</v>
      </c>
      <c r="W76" s="50">
        <f>VLOOKUP($A76,'[1]ma sp 02'!$A$5:$BD$1101,W$1,0)</f>
        <v>0</v>
      </c>
      <c r="X76" s="50">
        <f t="shared" si="2"/>
        <v>5</v>
      </c>
      <c r="Y76" s="57"/>
      <c r="Z76" s="57"/>
      <c r="AA76" s="57"/>
      <c r="AB76" s="57"/>
      <c r="AC76" s="57"/>
      <c r="AD76" s="57"/>
      <c r="AE76" s="52" t="s">
        <v>115</v>
      </c>
      <c r="AF76" s="52" t="s">
        <v>321</v>
      </c>
      <c r="AG76" s="87">
        <f>(0.012*1.4+0.012*1.4+0.075*0.925)*0.74</f>
        <v>7.6201500000000005E-2</v>
      </c>
      <c r="AH76" s="54">
        <f>(2.3/0.75/2)*0.73</f>
        <v>1.1193333333333333</v>
      </c>
      <c r="AI76" s="54">
        <f>(3/0.75/2)*0.73</f>
        <v>1.46</v>
      </c>
      <c r="AJ76" s="58">
        <v>9530</v>
      </c>
      <c r="AK76" s="57">
        <v>9530</v>
      </c>
      <c r="AL76" s="52" t="s">
        <v>354</v>
      </c>
      <c r="AM76" s="52" t="s">
        <v>74</v>
      </c>
      <c r="AN76" s="57">
        <v>120</v>
      </c>
      <c r="AO76" s="52" t="s">
        <v>360</v>
      </c>
      <c r="AP76" s="59">
        <f>IFERROR(VLOOKUP($A76,[2]Mssp!$A$5:$BE$1463,AP$4+1,0),0)</f>
        <v>0</v>
      </c>
      <c r="AQ76" s="59">
        <f>IFERROR(VLOOKUP($A76,[2]Mssp!$A$5:$BE$1463,AQ$4+1,0),0)</f>
        <v>0</v>
      </c>
      <c r="AR76" s="59">
        <f>IFERROR(VLOOKUP($A76,[2]Mssp!$A$5:$BE$1463,AR$4+1,0),0)</f>
        <v>0</v>
      </c>
      <c r="AS76" s="59">
        <f>IFERROR(VLOOKUP($A76,[2]Mssp!$A$5:$BE$1463,AS$4+1,0),0)</f>
        <v>0</v>
      </c>
      <c r="AT76" s="59">
        <f>IFERROR(VLOOKUP($A76,[2]Mssp!$A$5:$BE$1463,AT$4+1,0),0)</f>
        <v>0</v>
      </c>
      <c r="AU76" s="59">
        <f>IFERROR(VLOOKUP($A76,[2]Mssp!$A$5:$BE$1463,AU$4+1,0),0)</f>
        <v>0</v>
      </c>
      <c r="AV76" s="59">
        <f>IFERROR(VLOOKUP($A76,[2]Mssp!$A$5:$BE$1463,AV$4+1,0),0)</f>
        <v>0</v>
      </c>
      <c r="AW76" s="59">
        <f>IFERROR(VLOOKUP($A76,[2]Mssp!$A$5:$BE$1463,AW$4+1,0),0)</f>
        <v>0</v>
      </c>
      <c r="AX76" s="59">
        <f>IFERROR(VLOOKUP($A76,[2]Mssp!$A$5:$BE$1463,AX$4+1,0),0)</f>
        <v>0</v>
      </c>
      <c r="AY76" s="59">
        <f>IFERROR(VLOOKUP($A76,[2]Mssp!$A$5:$BE$1463,AY$4+2,0),0)</f>
        <v>0</v>
      </c>
      <c r="AZ76" s="59">
        <f>IFERROR(VLOOKUP($A76,[2]Mssp!$A$5:$BE$1463,AZ$4+2,0),0)</f>
        <v>0</v>
      </c>
      <c r="BA76" s="60">
        <v>0</v>
      </c>
      <c r="BB76" s="61" t="s">
        <v>62</v>
      </c>
      <c r="BC76" s="62"/>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c r="CP76" s="9"/>
    </row>
    <row r="77" spans="1:94" ht="45" x14ac:dyDescent="0.25">
      <c r="A77" s="50" t="s">
        <v>361</v>
      </c>
      <c r="B77" s="73" t="s">
        <v>362</v>
      </c>
      <c r="C77" s="50">
        <f t="shared" si="3"/>
        <v>6.8999999999999995</v>
      </c>
      <c r="D77" s="58">
        <v>4</v>
      </c>
      <c r="E77" s="58" t="s">
        <v>192</v>
      </c>
      <c r="F77" s="58">
        <v>6</v>
      </c>
      <c r="G77" s="50" t="s">
        <v>184</v>
      </c>
      <c r="H77" s="50">
        <f>VLOOKUP($A77,'[1]ma sp 02'!$A$5:$BD$1101,H$1,0)</f>
        <v>0.3</v>
      </c>
      <c r="I77" s="50">
        <f>VLOOKUP($A77,'[1]ma sp 02'!$A$5:$BD$1101,I$1,0)</f>
        <v>3.23</v>
      </c>
      <c r="J77" s="50">
        <f>VLOOKUP($A77,'[1]ma sp 02'!$A$5:$BD$1101,J$1,0)</f>
        <v>0.17</v>
      </c>
      <c r="K77" s="50">
        <f>VLOOKUP($A77,'[1]ma sp 02'!$A$5:$BD$1101,K$1,0)</f>
        <v>0.81</v>
      </c>
      <c r="L77" s="50">
        <f>VLOOKUP($A77,'[1]ma sp 02'!$A$5:$BD$1101,L$1,0)</f>
        <v>1.51</v>
      </c>
      <c r="M77" s="50">
        <f>VLOOKUP($A77,'[1]ma sp 02'!$A$5:$BD$1101,M$1,0)</f>
        <v>0.55000000000000004</v>
      </c>
      <c r="N77" s="50">
        <f>VLOOKUP($A77,'[1]ma sp 02'!$A$5:$BD$1101,N$1,0)</f>
        <v>0</v>
      </c>
      <c r="O77" s="50">
        <f>VLOOKUP($A77,'[1]ma sp 02'!$A$5:$BD$1101,O$1,0)</f>
        <v>0</v>
      </c>
      <c r="P77" s="50">
        <f>VLOOKUP($A77,'[1]ma sp 02'!$A$5:$BD$1101,P$1,0)</f>
        <v>0.2</v>
      </c>
      <c r="Q77" s="50">
        <f>VLOOKUP($A77,'[1]ma sp 02'!$A$5:$BD$1101,Q$1,0)</f>
        <v>0.05</v>
      </c>
      <c r="R77" s="50">
        <f>VLOOKUP($A77,'[1]ma sp 02'!$A$5:$BD$1101,R$1,0)</f>
        <v>0</v>
      </c>
      <c r="S77" s="50">
        <f>VLOOKUP($A77,'[1]ma sp 02'!$A$5:$BD$1101,S$1,0)</f>
        <v>0</v>
      </c>
      <c r="T77" s="50">
        <f>VLOOKUP($A77,'[1]ma sp 02'!$A$5:$BD$1101,T$1,0)</f>
        <v>7.0000000000000007E-2</v>
      </c>
      <c r="U77" s="50">
        <f>VLOOKUP($A77,'[1]ma sp 02'!$A$5:$BD$1101,U$1,0)</f>
        <v>0</v>
      </c>
      <c r="V77" s="50">
        <f>VLOOKUP($A77,'[1]ma sp 02'!$A$5:$BD$1101,V$1,0)</f>
        <v>0.01</v>
      </c>
      <c r="W77" s="50">
        <f>VLOOKUP($A77,'[1]ma sp 02'!$A$5:$BD$1101,W$1,0)</f>
        <v>0</v>
      </c>
      <c r="X77" s="50">
        <f t="shared" si="2"/>
        <v>10</v>
      </c>
      <c r="Y77" s="57"/>
      <c r="Z77" s="57"/>
      <c r="AA77" s="57"/>
      <c r="AB77" s="57"/>
      <c r="AC77" s="57"/>
      <c r="AD77" s="57"/>
      <c r="AE77" s="58" t="s">
        <v>193</v>
      </c>
      <c r="AF77" s="57"/>
      <c r="AG77" s="83">
        <f>(0.03*0.91+0.025*0.91)*0.64</f>
        <v>3.2032000000000005E-2</v>
      </c>
      <c r="AH77" s="55">
        <f>(2/0.75/2)*0.63</f>
        <v>0.84</v>
      </c>
      <c r="AI77" s="57"/>
      <c r="AJ77" s="58">
        <v>9530</v>
      </c>
      <c r="AK77" s="57"/>
      <c r="AL77" s="58">
        <v>2E-3</v>
      </c>
      <c r="AM77" s="52" t="s">
        <v>194</v>
      </c>
      <c r="AN77" s="57">
        <v>155</v>
      </c>
      <c r="AO77" s="52" t="s">
        <v>195</v>
      </c>
      <c r="AP77" s="59" t="str">
        <f>IFERROR(VLOOKUP($A77,[2]Mssp!$A$5:$BE$1463,AP$4+1,0),0)</f>
        <v>1803378-1</v>
      </c>
      <c r="AQ77" s="59" t="str">
        <f>IFERROR(VLOOKUP($A77,[2]Mssp!$A$5:$BE$1463,AQ$4+1,0),0)</f>
        <v>1908187-2</v>
      </c>
      <c r="AR77" s="59" t="str">
        <f>IFERROR(VLOOKUP($A77,[2]Mssp!$A$5:$BE$1463,AR$4+1,0),0)</f>
        <v>1908187-3</v>
      </c>
      <c r="AS77" s="59" t="str">
        <f>IFERROR(VLOOKUP($A77,[2]Mssp!$A$5:$BE$1463,AS$4+1,0),0)</f>
        <v>1803378-4</v>
      </c>
      <c r="AT77" s="59" t="str">
        <f>IFERROR(VLOOKUP($A77,[2]Mssp!$A$5:$BE$1463,AT$4+1,0),0)</f>
        <v>1803378-5</v>
      </c>
      <c r="AU77" s="59" t="str">
        <f>IFERROR(VLOOKUP($A77,[2]Mssp!$A$5:$BE$1463,AU$4+1,0),0)</f>
        <v>1908217-6</v>
      </c>
      <c r="AV77" s="59">
        <f>IFERROR(VLOOKUP($A77,[2]Mssp!$A$5:$BE$1463,AV$4+1,0),0)</f>
        <v>0</v>
      </c>
      <c r="AW77" s="59">
        <f>IFERROR(VLOOKUP($A77,[2]Mssp!$A$5:$BE$1463,AW$4+1,0),0)</f>
        <v>0</v>
      </c>
      <c r="AX77" s="59">
        <f>IFERROR(VLOOKUP($A77,[2]Mssp!$A$5:$BE$1463,AX$4+1,0),0)</f>
        <v>0</v>
      </c>
      <c r="AY77" s="59" t="str">
        <f>IFERROR(VLOOKUP($A77,[2]Mssp!$A$5:$BE$1463,AY$4+2,0),0)</f>
        <v>462x750</v>
      </c>
      <c r="AZ77" s="59" t="str">
        <f>IFERROR(VLOOKUP($A77,[2]Mssp!$A$5:$BE$1463,AZ$4+2,0),0)</f>
        <v>A1</v>
      </c>
      <c r="BA77" s="60">
        <v>0</v>
      </c>
      <c r="BB77" s="61" t="s">
        <v>107</v>
      </c>
      <c r="BC77" s="62"/>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c r="CP77" s="9"/>
    </row>
    <row r="78" spans="1:94" ht="45" x14ac:dyDescent="0.25">
      <c r="A78" s="50" t="s">
        <v>363</v>
      </c>
      <c r="B78" s="73" t="s">
        <v>364</v>
      </c>
      <c r="C78" s="50">
        <f t="shared" si="3"/>
        <v>8.5</v>
      </c>
      <c r="D78" s="57">
        <v>2</v>
      </c>
      <c r="E78" s="58" t="s">
        <v>97</v>
      </c>
      <c r="F78" s="58">
        <v>6</v>
      </c>
      <c r="G78" s="50" t="s">
        <v>184</v>
      </c>
      <c r="H78" s="50">
        <f>VLOOKUP($A78,'[1]ma sp 02'!$A$5:$BD$1101,H$1,0)</f>
        <v>0.1</v>
      </c>
      <c r="I78" s="50">
        <f>VLOOKUP($A78,'[1]ma sp 02'!$A$5:$BD$1101,I$1,0)</f>
        <v>3.6</v>
      </c>
      <c r="J78" s="50">
        <f>VLOOKUP($A78,'[1]ma sp 02'!$A$5:$BD$1101,J$1,0)</f>
        <v>0.2</v>
      </c>
      <c r="K78" s="50">
        <f>VLOOKUP($A78,'[1]ma sp 02'!$A$5:$BD$1101,K$1,0)</f>
        <v>0.1</v>
      </c>
      <c r="L78" s="50">
        <f>VLOOKUP($A78,'[1]ma sp 02'!$A$5:$BD$1101,L$1,0)</f>
        <v>4.5</v>
      </c>
      <c r="M78" s="50">
        <f>VLOOKUP($A78,'[1]ma sp 02'!$A$5:$BD$1101,M$1,0)</f>
        <v>0</v>
      </c>
      <c r="N78" s="50">
        <f>VLOOKUP($A78,'[1]ma sp 02'!$A$5:$BD$1101,N$1,0)</f>
        <v>0</v>
      </c>
      <c r="O78" s="50">
        <f>VLOOKUP($A78,'[1]ma sp 02'!$A$5:$BD$1101,O$1,0)</f>
        <v>0</v>
      </c>
      <c r="P78" s="50">
        <f>VLOOKUP($A78,'[1]ma sp 02'!$A$5:$BD$1101,P$1,0)</f>
        <v>0</v>
      </c>
      <c r="Q78" s="50">
        <f>VLOOKUP($A78,'[1]ma sp 02'!$A$5:$BD$1101,Q$1,0)</f>
        <v>0</v>
      </c>
      <c r="R78" s="50">
        <f>VLOOKUP($A78,'[1]ma sp 02'!$A$5:$BD$1101,R$1,0)</f>
        <v>0</v>
      </c>
      <c r="S78" s="50">
        <f>VLOOKUP($A78,'[1]ma sp 02'!$A$5:$BD$1101,S$1,0)</f>
        <v>0</v>
      </c>
      <c r="T78" s="50">
        <f>VLOOKUP($A78,'[1]ma sp 02'!$A$5:$BD$1101,T$1,0)</f>
        <v>0</v>
      </c>
      <c r="U78" s="50">
        <f>VLOOKUP($A78,'[1]ma sp 02'!$A$5:$BD$1101,U$1,0)</f>
        <v>0</v>
      </c>
      <c r="V78" s="50">
        <f>VLOOKUP($A78,'[1]ma sp 02'!$A$5:$BD$1101,V$1,0)</f>
        <v>0</v>
      </c>
      <c r="W78" s="50">
        <f>VLOOKUP($A78,'[1]ma sp 02'!$A$5:$BD$1101,W$1,0)</f>
        <v>0</v>
      </c>
      <c r="X78" s="50">
        <f t="shared" si="2"/>
        <v>5</v>
      </c>
      <c r="Y78" s="57"/>
      <c r="Z78" s="57"/>
      <c r="AA78" s="57"/>
      <c r="AB78" s="57"/>
      <c r="AC78" s="57"/>
      <c r="AD78" s="57"/>
      <c r="AE78" s="58" t="s">
        <v>98</v>
      </c>
      <c r="AF78" s="57"/>
      <c r="AG78" s="83">
        <f>(0.02*0.91+0.06*0.925)*0.54</f>
        <v>3.9798E-2</v>
      </c>
      <c r="AH78" s="55">
        <f>(2.5/0.75/2)*0.53</f>
        <v>0.88333333333333341</v>
      </c>
      <c r="AI78" s="57"/>
      <c r="AJ78" s="58">
        <v>9530</v>
      </c>
      <c r="AK78" s="57"/>
      <c r="AL78" s="58">
        <v>2.5000000000000001E-3</v>
      </c>
      <c r="AM78" s="52" t="s">
        <v>74</v>
      </c>
      <c r="AN78" s="57">
        <v>210</v>
      </c>
      <c r="AO78" s="52" t="s">
        <v>310</v>
      </c>
      <c r="AP78" s="59" t="str">
        <f>IFERROR(VLOOKUP($A78,[2]Mssp!$A$5:$BE$1463,AP$4+1,0),0)</f>
        <v>F110953-1</v>
      </c>
      <c r="AQ78" s="59" t="str">
        <f>IFERROR(VLOOKUP($A78,[2]Mssp!$A$5:$BE$1463,AQ$4+1,0),0)</f>
        <v>F110953-2</v>
      </c>
      <c r="AR78" s="59" t="str">
        <f>IFERROR(VLOOKUP($A78,[2]Mssp!$A$5:$BE$1463,AR$4+1,0),0)</f>
        <v>F110953-3</v>
      </c>
      <c r="AS78" s="59" t="str">
        <f>IFERROR(VLOOKUP($A78,[2]Mssp!$A$5:$BE$1463,AS$4+1,0),0)</f>
        <v>F110953-4</v>
      </c>
      <c r="AT78" s="59" t="str">
        <f>IFERROR(VLOOKUP($A78,[2]Mssp!$A$5:$BE$1463,AT$4+1,0),0)</f>
        <v>F110953-5</v>
      </c>
      <c r="AU78" s="59" t="str">
        <f>IFERROR(VLOOKUP($A78,[2]Mssp!$A$5:$BE$1463,AU$4+1,0),0)</f>
        <v>F110953-6</v>
      </c>
      <c r="AV78" s="59">
        <f>IFERROR(VLOOKUP($A78,[2]Mssp!$A$5:$BE$1463,AV$4+1,0),0)</f>
        <v>0</v>
      </c>
      <c r="AW78" s="59">
        <f>IFERROR(VLOOKUP($A78,[2]Mssp!$A$5:$BE$1463,AW$4+1,0),0)</f>
        <v>0</v>
      </c>
      <c r="AX78" s="59">
        <f>IFERROR(VLOOKUP($A78,[2]Mssp!$A$5:$BE$1463,AX$4+1,0),0)</f>
        <v>0</v>
      </c>
      <c r="AY78" s="59" t="str">
        <f>IFERROR(VLOOKUP($A78,[2]Mssp!$A$5:$BE$1463,AY$4+2,0),0)</f>
        <v>420x750</v>
      </c>
      <c r="AZ78" s="59" t="str">
        <f>IFERROR(VLOOKUP($A78,[2]Mssp!$A$5:$BE$1463,AZ$4+2,0),0)</f>
        <v>N1</v>
      </c>
      <c r="BA78" s="60">
        <v>0</v>
      </c>
      <c r="BB78" s="61" t="s">
        <v>62</v>
      </c>
      <c r="BC78" s="62"/>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row>
    <row r="79" spans="1:94" ht="45" x14ac:dyDescent="0.25">
      <c r="A79" s="50" t="s">
        <v>365</v>
      </c>
      <c r="B79" s="73" t="s">
        <v>366</v>
      </c>
      <c r="C79" s="50">
        <f t="shared" si="3"/>
        <v>0</v>
      </c>
      <c r="D79" s="57">
        <v>3</v>
      </c>
      <c r="E79" s="58" t="s">
        <v>359</v>
      </c>
      <c r="F79" s="58">
        <v>2</v>
      </c>
      <c r="G79" s="50" t="s">
        <v>114</v>
      </c>
      <c r="H79" s="50">
        <f>VLOOKUP($A79,'[1]ma sp 02'!$A$5:$BD$1101,H$1,0)</f>
        <v>0</v>
      </c>
      <c r="I79" s="50">
        <f>VLOOKUP($A79,'[1]ma sp 02'!$A$5:$BD$1101,I$1,0)</f>
        <v>0</v>
      </c>
      <c r="J79" s="50">
        <f>VLOOKUP($A79,'[1]ma sp 02'!$A$5:$BD$1101,J$1,0)</f>
        <v>0</v>
      </c>
      <c r="K79" s="50">
        <f>VLOOKUP($A79,'[1]ma sp 02'!$A$5:$BD$1101,K$1,0)</f>
        <v>0</v>
      </c>
      <c r="L79" s="50">
        <f>VLOOKUP($A79,'[1]ma sp 02'!$A$5:$BD$1101,L$1,0)</f>
        <v>0</v>
      </c>
      <c r="M79" s="50">
        <f>VLOOKUP($A79,'[1]ma sp 02'!$A$5:$BD$1101,M$1,0)</f>
        <v>0</v>
      </c>
      <c r="N79" s="50">
        <f>VLOOKUP($A79,'[1]ma sp 02'!$A$5:$BD$1101,N$1,0)</f>
        <v>0</v>
      </c>
      <c r="O79" s="50">
        <f>VLOOKUP($A79,'[1]ma sp 02'!$A$5:$BD$1101,O$1,0)</f>
        <v>0</v>
      </c>
      <c r="P79" s="50">
        <f>VLOOKUP($A79,'[1]ma sp 02'!$A$5:$BD$1101,P$1,0)</f>
        <v>0</v>
      </c>
      <c r="Q79" s="50">
        <f>VLOOKUP($A79,'[1]ma sp 02'!$A$5:$BD$1101,Q$1,0)</f>
        <v>0</v>
      </c>
      <c r="R79" s="50">
        <f>VLOOKUP($A79,'[1]ma sp 02'!$A$5:$BD$1101,R$1,0)</f>
        <v>0</v>
      </c>
      <c r="S79" s="50">
        <f>VLOOKUP($A79,'[1]ma sp 02'!$A$5:$BD$1101,S$1,0)</f>
        <v>0</v>
      </c>
      <c r="T79" s="50">
        <f>VLOOKUP($A79,'[1]ma sp 02'!$A$5:$BD$1101,T$1,0)</f>
        <v>0</v>
      </c>
      <c r="U79" s="50">
        <f>VLOOKUP($A79,'[1]ma sp 02'!$A$5:$BD$1101,U$1,0)</f>
        <v>0</v>
      </c>
      <c r="V79" s="50">
        <f>VLOOKUP($A79,'[1]ma sp 02'!$A$5:$BD$1101,V$1,0)</f>
        <v>0</v>
      </c>
      <c r="W79" s="50">
        <f>VLOOKUP($A79,'[1]ma sp 02'!$A$5:$BD$1101,W$1,0)</f>
        <v>0</v>
      </c>
      <c r="X79" s="50">
        <f t="shared" si="2"/>
        <v>0</v>
      </c>
      <c r="Y79" s="57"/>
      <c r="Z79" s="57"/>
      <c r="AA79" s="57"/>
      <c r="AB79" s="57"/>
      <c r="AC79" s="57"/>
      <c r="AD79" s="57"/>
      <c r="AE79" s="52" t="s">
        <v>115</v>
      </c>
      <c r="AF79" s="52" t="s">
        <v>367</v>
      </c>
      <c r="AG79" s="87">
        <f>(0.012*1.4+0.012*1.4+0.075*0.925)*0.74</f>
        <v>7.6201500000000005E-2</v>
      </c>
      <c r="AH79" s="54">
        <f>(2.3/0.75/2)*0.73</f>
        <v>1.1193333333333333</v>
      </c>
      <c r="AI79" s="54">
        <f>(3/0.75/2)*0.73</f>
        <v>1.46</v>
      </c>
      <c r="AJ79" s="58">
        <v>9530</v>
      </c>
      <c r="AK79" s="57">
        <v>9530</v>
      </c>
      <c r="AL79" s="52" t="s">
        <v>117</v>
      </c>
      <c r="AM79" s="52" t="s">
        <v>60</v>
      </c>
      <c r="AN79" s="57">
        <v>270</v>
      </c>
      <c r="AO79" s="52" t="s">
        <v>332</v>
      </c>
      <c r="AP79" s="59">
        <f>IFERROR(VLOOKUP($A79,[2]Mssp!$A$5:$BE$1463,AP$4+1,0),0)</f>
        <v>0</v>
      </c>
      <c r="AQ79" s="59">
        <f>IFERROR(VLOOKUP($A79,[2]Mssp!$A$5:$BE$1463,AQ$4+1,0),0)</f>
        <v>0</v>
      </c>
      <c r="AR79" s="59">
        <f>IFERROR(VLOOKUP($A79,[2]Mssp!$A$5:$BE$1463,AR$4+1,0),0)</f>
        <v>0</v>
      </c>
      <c r="AS79" s="59">
        <f>IFERROR(VLOOKUP($A79,[2]Mssp!$A$5:$BE$1463,AS$4+1,0),0)</f>
        <v>0</v>
      </c>
      <c r="AT79" s="59">
        <f>IFERROR(VLOOKUP($A79,[2]Mssp!$A$5:$BE$1463,AT$4+1,0),0)</f>
        <v>0</v>
      </c>
      <c r="AU79" s="59">
        <f>IFERROR(VLOOKUP($A79,[2]Mssp!$A$5:$BE$1463,AU$4+1,0),0)</f>
        <v>0</v>
      </c>
      <c r="AV79" s="59">
        <f>IFERROR(VLOOKUP($A79,[2]Mssp!$A$5:$BE$1463,AV$4+1,0),0)</f>
        <v>0</v>
      </c>
      <c r="AW79" s="59">
        <f>IFERROR(VLOOKUP($A79,[2]Mssp!$A$5:$BE$1463,AW$4+1,0),0)</f>
        <v>0</v>
      </c>
      <c r="AX79" s="59">
        <f>IFERROR(VLOOKUP($A79,[2]Mssp!$A$5:$BE$1463,AX$4+1,0),0)</f>
        <v>0</v>
      </c>
      <c r="AY79" s="59">
        <f>IFERROR(VLOOKUP($A79,[2]Mssp!$A$5:$BE$1463,AY$4+2,0),0)</f>
        <v>0</v>
      </c>
      <c r="AZ79" s="59">
        <f>IFERROR(VLOOKUP($A79,[2]Mssp!$A$5:$BE$1463,AZ$4+2,0),0)</f>
        <v>0</v>
      </c>
      <c r="BA79" s="60">
        <v>3000</v>
      </c>
      <c r="BB79" s="61" t="s">
        <v>62</v>
      </c>
      <c r="BC79" s="62"/>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row>
    <row r="80" spans="1:94" ht="45" x14ac:dyDescent="0.25">
      <c r="A80" s="50" t="s">
        <v>368</v>
      </c>
      <c r="B80" s="73" t="s">
        <v>369</v>
      </c>
      <c r="C80" s="50">
        <f t="shared" si="3"/>
        <v>1.23</v>
      </c>
      <c r="D80" s="58">
        <v>3</v>
      </c>
      <c r="E80" s="58" t="s">
        <v>359</v>
      </c>
      <c r="F80" s="58">
        <v>2</v>
      </c>
      <c r="G80" s="50" t="s">
        <v>114</v>
      </c>
      <c r="H80" s="50">
        <f>VLOOKUP($A80,'[1]ma sp 02'!$A$5:$BD$1101,H$1,0)</f>
        <v>0</v>
      </c>
      <c r="I80" s="50">
        <f>VLOOKUP($A80,'[1]ma sp 02'!$A$5:$BD$1101,I$1,0)</f>
        <v>0</v>
      </c>
      <c r="J80" s="50">
        <f>VLOOKUP($A80,'[1]ma sp 02'!$A$5:$BD$1101,J$1,0)</f>
        <v>0</v>
      </c>
      <c r="K80" s="50">
        <f>VLOOKUP($A80,'[1]ma sp 02'!$A$5:$BD$1101,K$1,0)</f>
        <v>0</v>
      </c>
      <c r="L80" s="50">
        <f>VLOOKUP($A80,'[1]ma sp 02'!$A$5:$BD$1101,L$1,0)</f>
        <v>1.1299999999999999</v>
      </c>
      <c r="M80" s="50">
        <f>VLOOKUP($A80,'[1]ma sp 02'!$A$5:$BD$1101,M$1,0)</f>
        <v>0</v>
      </c>
      <c r="N80" s="50">
        <f>VLOOKUP($A80,'[1]ma sp 02'!$A$5:$BD$1101,N$1,0)</f>
        <v>0</v>
      </c>
      <c r="O80" s="50">
        <f>VLOOKUP($A80,'[1]ma sp 02'!$A$5:$BD$1101,O$1,0)</f>
        <v>0.1</v>
      </c>
      <c r="P80" s="50">
        <f>VLOOKUP($A80,'[1]ma sp 02'!$A$5:$BD$1101,P$1,0)</f>
        <v>0</v>
      </c>
      <c r="Q80" s="50">
        <f>VLOOKUP($A80,'[1]ma sp 02'!$A$5:$BD$1101,Q$1,0)</f>
        <v>0</v>
      </c>
      <c r="R80" s="50">
        <f>VLOOKUP($A80,'[1]ma sp 02'!$A$5:$BD$1101,R$1,0)</f>
        <v>0</v>
      </c>
      <c r="S80" s="50">
        <f>VLOOKUP($A80,'[1]ma sp 02'!$A$5:$BD$1101,S$1,0)</f>
        <v>0</v>
      </c>
      <c r="T80" s="50">
        <f>VLOOKUP($A80,'[1]ma sp 02'!$A$5:$BD$1101,T$1,0)</f>
        <v>0</v>
      </c>
      <c r="U80" s="50">
        <f>VLOOKUP($A80,'[1]ma sp 02'!$A$5:$BD$1101,U$1,0)</f>
        <v>0</v>
      </c>
      <c r="V80" s="50">
        <f>VLOOKUP($A80,'[1]ma sp 02'!$A$5:$BD$1101,V$1,0)</f>
        <v>0</v>
      </c>
      <c r="W80" s="50">
        <f>VLOOKUP($A80,'[1]ma sp 02'!$A$5:$BD$1101,W$1,0)</f>
        <v>0</v>
      </c>
      <c r="X80" s="50">
        <f t="shared" si="2"/>
        <v>2</v>
      </c>
      <c r="Y80" s="57"/>
      <c r="Z80" s="57"/>
      <c r="AA80" s="57"/>
      <c r="AB80" s="57"/>
      <c r="AC80" s="57"/>
      <c r="AD80" s="57"/>
      <c r="AE80" s="52" t="s">
        <v>115</v>
      </c>
      <c r="AF80" s="52" t="s">
        <v>367</v>
      </c>
      <c r="AG80" s="87">
        <f>(0.012*1.4+0.012*1.4+0.075*0.925)*0.74</f>
        <v>7.6201500000000005E-2</v>
      </c>
      <c r="AH80" s="54">
        <f>(2.3/0.75/2)*0.73</f>
        <v>1.1193333333333333</v>
      </c>
      <c r="AI80" s="54">
        <f>(3/0.75/2)*0.73</f>
        <v>1.46</v>
      </c>
      <c r="AJ80" s="58">
        <v>9530</v>
      </c>
      <c r="AK80" s="57">
        <v>9530</v>
      </c>
      <c r="AL80" s="52" t="s">
        <v>117</v>
      </c>
      <c r="AM80" s="52" t="s">
        <v>60</v>
      </c>
      <c r="AN80" s="57">
        <v>270</v>
      </c>
      <c r="AO80" s="52" t="s">
        <v>332</v>
      </c>
      <c r="AP80" s="59">
        <f>IFERROR(VLOOKUP($A80,[2]Mssp!$A$5:$BE$1463,AP$4+1,0),0)</f>
        <v>0</v>
      </c>
      <c r="AQ80" s="59">
        <f>IFERROR(VLOOKUP($A80,[2]Mssp!$A$5:$BE$1463,AQ$4+1,0),0)</f>
        <v>0</v>
      </c>
      <c r="AR80" s="59">
        <f>IFERROR(VLOOKUP($A80,[2]Mssp!$A$5:$BE$1463,AR$4+1,0),0)</f>
        <v>0</v>
      </c>
      <c r="AS80" s="59">
        <f>IFERROR(VLOOKUP($A80,[2]Mssp!$A$5:$BE$1463,AS$4+1,0),0)</f>
        <v>0</v>
      </c>
      <c r="AT80" s="59">
        <f>IFERROR(VLOOKUP($A80,[2]Mssp!$A$5:$BE$1463,AT$4+1,0),0)</f>
        <v>0</v>
      </c>
      <c r="AU80" s="59">
        <f>IFERROR(VLOOKUP($A80,[2]Mssp!$A$5:$BE$1463,AU$4+1,0),0)</f>
        <v>0</v>
      </c>
      <c r="AV80" s="59">
        <f>IFERROR(VLOOKUP($A80,[2]Mssp!$A$5:$BE$1463,AV$4+1,0),0)</f>
        <v>0</v>
      </c>
      <c r="AW80" s="59">
        <f>IFERROR(VLOOKUP($A80,[2]Mssp!$A$5:$BE$1463,AW$4+1,0),0)</f>
        <v>0</v>
      </c>
      <c r="AX80" s="59">
        <f>IFERROR(VLOOKUP($A80,[2]Mssp!$A$5:$BE$1463,AX$4+1,0),0)</f>
        <v>0</v>
      </c>
      <c r="AY80" s="59">
        <f>IFERROR(VLOOKUP($A80,[2]Mssp!$A$5:$BE$1463,AY$4+2,0),0)</f>
        <v>0</v>
      </c>
      <c r="AZ80" s="59">
        <f>IFERROR(VLOOKUP($A80,[2]Mssp!$A$5:$BE$1463,AZ$4+2,0),0)</f>
        <v>0</v>
      </c>
      <c r="BA80" s="60">
        <v>3000</v>
      </c>
      <c r="BB80" s="61" t="s">
        <v>62</v>
      </c>
      <c r="BC80" s="62"/>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row>
    <row r="81" spans="1:94" ht="45" x14ac:dyDescent="0.25">
      <c r="A81" s="50" t="s">
        <v>370</v>
      </c>
      <c r="B81" s="73" t="s">
        <v>371</v>
      </c>
      <c r="C81" s="50">
        <f t="shared" si="3"/>
        <v>0</v>
      </c>
      <c r="D81" s="57">
        <v>3</v>
      </c>
      <c r="E81" s="58" t="s">
        <v>372</v>
      </c>
      <c r="F81" s="58">
        <v>2</v>
      </c>
      <c r="G81" s="50" t="s">
        <v>114</v>
      </c>
      <c r="H81" s="50">
        <f>VLOOKUP($A81,'[1]ma sp 02'!$A$5:$BD$1101,H$1,0)</f>
        <v>0</v>
      </c>
      <c r="I81" s="50">
        <f>VLOOKUP($A81,'[1]ma sp 02'!$A$5:$BD$1101,I$1,0)</f>
        <v>0</v>
      </c>
      <c r="J81" s="50">
        <f>VLOOKUP($A81,'[1]ma sp 02'!$A$5:$BD$1101,J$1,0)</f>
        <v>0</v>
      </c>
      <c r="K81" s="50">
        <f>VLOOKUP($A81,'[1]ma sp 02'!$A$5:$BD$1101,K$1,0)</f>
        <v>0</v>
      </c>
      <c r="L81" s="50">
        <f>VLOOKUP($A81,'[1]ma sp 02'!$A$5:$BD$1101,L$1,0)</f>
        <v>0</v>
      </c>
      <c r="M81" s="50">
        <f>VLOOKUP($A81,'[1]ma sp 02'!$A$5:$BD$1101,M$1,0)</f>
        <v>0</v>
      </c>
      <c r="N81" s="50">
        <f>VLOOKUP($A81,'[1]ma sp 02'!$A$5:$BD$1101,N$1,0)</f>
        <v>0</v>
      </c>
      <c r="O81" s="50">
        <f>VLOOKUP($A81,'[1]ma sp 02'!$A$5:$BD$1101,O$1,0)</f>
        <v>0</v>
      </c>
      <c r="P81" s="50">
        <f>VLOOKUP($A81,'[1]ma sp 02'!$A$5:$BD$1101,P$1,0)</f>
        <v>0</v>
      </c>
      <c r="Q81" s="50">
        <f>VLOOKUP($A81,'[1]ma sp 02'!$A$5:$BD$1101,Q$1,0)</f>
        <v>0</v>
      </c>
      <c r="R81" s="50">
        <f>VLOOKUP($A81,'[1]ma sp 02'!$A$5:$BD$1101,R$1,0)</f>
        <v>0</v>
      </c>
      <c r="S81" s="50">
        <f>VLOOKUP($A81,'[1]ma sp 02'!$A$5:$BD$1101,S$1,0)</f>
        <v>0</v>
      </c>
      <c r="T81" s="50">
        <f>VLOOKUP($A81,'[1]ma sp 02'!$A$5:$BD$1101,T$1,0)</f>
        <v>0</v>
      </c>
      <c r="U81" s="50">
        <f>VLOOKUP($A81,'[1]ma sp 02'!$A$5:$BD$1101,U$1,0)</f>
        <v>0</v>
      </c>
      <c r="V81" s="50">
        <f>VLOOKUP($A81,'[1]ma sp 02'!$A$5:$BD$1101,V$1,0)</f>
        <v>0</v>
      </c>
      <c r="W81" s="50">
        <f>VLOOKUP($A81,'[1]ma sp 02'!$A$5:$BD$1101,W$1,0)</f>
        <v>0</v>
      </c>
      <c r="X81" s="50">
        <f t="shared" si="2"/>
        <v>0</v>
      </c>
      <c r="Y81" s="57"/>
      <c r="Z81" s="57"/>
      <c r="AA81" s="57"/>
      <c r="AB81" s="57"/>
      <c r="AC81" s="57"/>
      <c r="AD81" s="57"/>
      <c r="AE81" s="52" t="s">
        <v>373</v>
      </c>
      <c r="AF81" s="52" t="s">
        <v>374</v>
      </c>
      <c r="AG81" s="87">
        <f>(0.012*1.4+0.012*1.4+0.075*0.925)*0.92</f>
        <v>9.4737000000000016E-2</v>
      </c>
      <c r="AH81" s="54">
        <f>(2.3/0.75/2)*0.91</f>
        <v>1.3953333333333333</v>
      </c>
      <c r="AI81" s="54">
        <f>(3/0.75/2)*0.91</f>
        <v>1.82</v>
      </c>
      <c r="AJ81" s="58">
        <v>9530</v>
      </c>
      <c r="AK81" s="57">
        <v>9530</v>
      </c>
      <c r="AL81" s="52" t="s">
        <v>117</v>
      </c>
      <c r="AM81" s="52" t="s">
        <v>60</v>
      </c>
      <c r="AN81" s="57">
        <v>340</v>
      </c>
      <c r="AO81" s="52" t="s">
        <v>332</v>
      </c>
      <c r="AP81" s="59">
        <f>IFERROR(VLOOKUP($A81,[2]Mssp!$A$5:$BE$1463,AP$4+1,0),0)</f>
        <v>0</v>
      </c>
      <c r="AQ81" s="59">
        <f>IFERROR(VLOOKUP($A81,[2]Mssp!$A$5:$BE$1463,AQ$4+1,0),0)</f>
        <v>0</v>
      </c>
      <c r="AR81" s="59">
        <f>IFERROR(VLOOKUP($A81,[2]Mssp!$A$5:$BE$1463,AR$4+1,0),0)</f>
        <v>0</v>
      </c>
      <c r="AS81" s="59">
        <f>IFERROR(VLOOKUP($A81,[2]Mssp!$A$5:$BE$1463,AS$4+1,0),0)</f>
        <v>0</v>
      </c>
      <c r="AT81" s="59">
        <f>IFERROR(VLOOKUP($A81,[2]Mssp!$A$5:$BE$1463,AT$4+1,0),0)</f>
        <v>0</v>
      </c>
      <c r="AU81" s="59">
        <f>IFERROR(VLOOKUP($A81,[2]Mssp!$A$5:$BE$1463,AU$4+1,0),0)</f>
        <v>0</v>
      </c>
      <c r="AV81" s="59">
        <f>IFERROR(VLOOKUP($A81,[2]Mssp!$A$5:$BE$1463,AV$4+1,0),0)</f>
        <v>0</v>
      </c>
      <c r="AW81" s="59">
        <f>IFERROR(VLOOKUP($A81,[2]Mssp!$A$5:$BE$1463,AW$4+1,0),0)</f>
        <v>0</v>
      </c>
      <c r="AX81" s="59">
        <f>IFERROR(VLOOKUP($A81,[2]Mssp!$A$5:$BE$1463,AX$4+1,0),0)</f>
        <v>0</v>
      </c>
      <c r="AY81" s="59">
        <f>IFERROR(VLOOKUP($A81,[2]Mssp!$A$5:$BE$1463,AY$4+2,0),0)</f>
        <v>0</v>
      </c>
      <c r="AZ81" s="59">
        <f>IFERROR(VLOOKUP($A81,[2]Mssp!$A$5:$BE$1463,AZ$4+2,0),0)</f>
        <v>0</v>
      </c>
      <c r="BA81" s="60">
        <v>2500</v>
      </c>
      <c r="BB81" s="61" t="s">
        <v>62</v>
      </c>
      <c r="BC81" s="62"/>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row>
    <row r="82" spans="1:94" ht="45" x14ac:dyDescent="0.25">
      <c r="A82" s="50" t="s">
        <v>375</v>
      </c>
      <c r="B82" s="73" t="s">
        <v>376</v>
      </c>
      <c r="C82" s="50">
        <f t="shared" si="3"/>
        <v>0.55000000000000004</v>
      </c>
      <c r="D82" s="57">
        <v>3</v>
      </c>
      <c r="E82" s="58" t="s">
        <v>372</v>
      </c>
      <c r="F82" s="58">
        <v>2</v>
      </c>
      <c r="G82" s="50" t="s">
        <v>114</v>
      </c>
      <c r="H82" s="50">
        <f>VLOOKUP($A82,'[1]ma sp 02'!$A$5:$BD$1101,H$1,0)</f>
        <v>0</v>
      </c>
      <c r="I82" s="50">
        <f>VLOOKUP($A82,'[1]ma sp 02'!$A$5:$BD$1101,I$1,0)</f>
        <v>0</v>
      </c>
      <c r="J82" s="50">
        <f>VLOOKUP($A82,'[1]ma sp 02'!$A$5:$BD$1101,J$1,0)</f>
        <v>0</v>
      </c>
      <c r="K82" s="50">
        <f>VLOOKUP($A82,'[1]ma sp 02'!$A$5:$BD$1101,K$1,0)</f>
        <v>0</v>
      </c>
      <c r="L82" s="50">
        <f>VLOOKUP($A82,'[1]ma sp 02'!$A$5:$BD$1101,L$1,0)</f>
        <v>0.5</v>
      </c>
      <c r="M82" s="50">
        <f>VLOOKUP($A82,'[1]ma sp 02'!$A$5:$BD$1101,M$1,0)</f>
        <v>0</v>
      </c>
      <c r="N82" s="50">
        <f>VLOOKUP($A82,'[1]ma sp 02'!$A$5:$BD$1101,N$1,0)</f>
        <v>0</v>
      </c>
      <c r="O82" s="50">
        <f>VLOOKUP($A82,'[1]ma sp 02'!$A$5:$BD$1101,O$1,0)</f>
        <v>0.05</v>
      </c>
      <c r="P82" s="50">
        <f>VLOOKUP($A82,'[1]ma sp 02'!$A$5:$BD$1101,P$1,0)</f>
        <v>0</v>
      </c>
      <c r="Q82" s="50">
        <f>VLOOKUP($A82,'[1]ma sp 02'!$A$5:$BD$1101,Q$1,0)</f>
        <v>0</v>
      </c>
      <c r="R82" s="50">
        <f>VLOOKUP($A82,'[1]ma sp 02'!$A$5:$BD$1101,R$1,0)</f>
        <v>0</v>
      </c>
      <c r="S82" s="50">
        <f>VLOOKUP($A82,'[1]ma sp 02'!$A$5:$BD$1101,S$1,0)</f>
        <v>0</v>
      </c>
      <c r="T82" s="50">
        <f>VLOOKUP($A82,'[1]ma sp 02'!$A$5:$BD$1101,T$1,0)</f>
        <v>0</v>
      </c>
      <c r="U82" s="50">
        <f>VLOOKUP($A82,'[1]ma sp 02'!$A$5:$BD$1101,U$1,0)</f>
        <v>0</v>
      </c>
      <c r="V82" s="50">
        <f>VLOOKUP($A82,'[1]ma sp 02'!$A$5:$BD$1101,V$1,0)</f>
        <v>0</v>
      </c>
      <c r="W82" s="50">
        <f>VLOOKUP($A82,'[1]ma sp 02'!$A$5:$BD$1101,W$1,0)</f>
        <v>0</v>
      </c>
      <c r="X82" s="50">
        <f t="shared" si="2"/>
        <v>2</v>
      </c>
      <c r="Y82" s="57"/>
      <c r="Z82" s="57"/>
      <c r="AA82" s="57"/>
      <c r="AB82" s="57"/>
      <c r="AC82" s="57"/>
      <c r="AD82" s="57"/>
      <c r="AE82" s="52" t="s">
        <v>373</v>
      </c>
      <c r="AF82" s="58" t="s">
        <v>374</v>
      </c>
      <c r="AG82" s="87">
        <f>(0.012*1.4+0.012*1.4+0.075*0.925)*0.92</f>
        <v>9.4737000000000016E-2</v>
      </c>
      <c r="AH82" s="54">
        <f>(2.3/0.75/2)*0.91</f>
        <v>1.3953333333333333</v>
      </c>
      <c r="AI82" s="54">
        <f>(3/0.75/2)*0.91</f>
        <v>1.82</v>
      </c>
      <c r="AJ82" s="58">
        <v>9530</v>
      </c>
      <c r="AK82" s="57">
        <v>9530</v>
      </c>
      <c r="AL82" s="52" t="s">
        <v>117</v>
      </c>
      <c r="AM82" s="52" t="s">
        <v>60</v>
      </c>
      <c r="AN82" s="57">
        <v>340</v>
      </c>
      <c r="AO82" s="52" t="s">
        <v>332</v>
      </c>
      <c r="AP82" s="59">
        <f>IFERROR(VLOOKUP($A82,[2]Mssp!$A$5:$BE$1463,AP$4+1,0),0)</f>
        <v>0</v>
      </c>
      <c r="AQ82" s="59">
        <f>IFERROR(VLOOKUP($A82,[2]Mssp!$A$5:$BE$1463,AQ$4+1,0),0)</f>
        <v>0</v>
      </c>
      <c r="AR82" s="59">
        <f>IFERROR(VLOOKUP($A82,[2]Mssp!$A$5:$BE$1463,AR$4+1,0),0)</f>
        <v>0</v>
      </c>
      <c r="AS82" s="59">
        <f>IFERROR(VLOOKUP($A82,[2]Mssp!$A$5:$BE$1463,AS$4+1,0),0)</f>
        <v>0</v>
      </c>
      <c r="AT82" s="59">
        <f>IFERROR(VLOOKUP($A82,[2]Mssp!$A$5:$BE$1463,AT$4+1,0),0)</f>
        <v>0</v>
      </c>
      <c r="AU82" s="59">
        <f>IFERROR(VLOOKUP($A82,[2]Mssp!$A$5:$BE$1463,AU$4+1,0),0)</f>
        <v>0</v>
      </c>
      <c r="AV82" s="59">
        <f>IFERROR(VLOOKUP($A82,[2]Mssp!$A$5:$BE$1463,AV$4+1,0),0)</f>
        <v>0</v>
      </c>
      <c r="AW82" s="59">
        <f>IFERROR(VLOOKUP($A82,[2]Mssp!$A$5:$BE$1463,AW$4+1,0),0)</f>
        <v>0</v>
      </c>
      <c r="AX82" s="59">
        <f>IFERROR(VLOOKUP($A82,[2]Mssp!$A$5:$BE$1463,AX$4+1,0),0)</f>
        <v>0</v>
      </c>
      <c r="AY82" s="59">
        <f>IFERROR(VLOOKUP($A82,[2]Mssp!$A$5:$BE$1463,AY$4+2,0),0)</f>
        <v>0</v>
      </c>
      <c r="AZ82" s="59">
        <f>IFERROR(VLOOKUP($A82,[2]Mssp!$A$5:$BE$1463,AZ$4+2,0),0)</f>
        <v>0</v>
      </c>
      <c r="BA82" s="60">
        <v>2500</v>
      </c>
      <c r="BB82" s="61" t="s">
        <v>62</v>
      </c>
      <c r="BC82" s="62"/>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row>
    <row r="83" spans="1:94" ht="75" x14ac:dyDescent="0.25">
      <c r="A83" s="88" t="s">
        <v>377</v>
      </c>
      <c r="B83" s="73" t="s">
        <v>378</v>
      </c>
      <c r="C83" s="50">
        <f t="shared" si="3"/>
        <v>4.5999999999999996</v>
      </c>
      <c r="D83" s="57">
        <v>2</v>
      </c>
      <c r="E83" s="58" t="s">
        <v>359</v>
      </c>
      <c r="F83" s="58">
        <v>2</v>
      </c>
      <c r="G83" s="50" t="s">
        <v>114</v>
      </c>
      <c r="H83" s="50">
        <f>VLOOKUP($A83,'[1]ma sp 02'!$A$5:$BD$1101,H$1,0)</f>
        <v>0</v>
      </c>
      <c r="I83" s="50">
        <f>VLOOKUP($A83,'[1]ma sp 02'!$A$5:$BD$1101,I$1,0)</f>
        <v>0</v>
      </c>
      <c r="J83" s="50">
        <f>VLOOKUP($A83,'[1]ma sp 02'!$A$5:$BD$1101,J$1,0)</f>
        <v>0</v>
      </c>
      <c r="K83" s="50">
        <f>VLOOKUP($A83,'[1]ma sp 02'!$A$5:$BD$1101,K$1,0)</f>
        <v>0</v>
      </c>
      <c r="L83" s="50">
        <f>VLOOKUP($A83,'[1]ma sp 02'!$A$5:$BD$1101,L$1,0)</f>
        <v>4.5</v>
      </c>
      <c r="M83" s="50">
        <f>VLOOKUP($A83,'[1]ma sp 02'!$A$5:$BD$1101,M$1,0)</f>
        <v>0</v>
      </c>
      <c r="N83" s="50">
        <f>VLOOKUP($A83,'[1]ma sp 02'!$A$5:$BD$1101,N$1,0)</f>
        <v>0</v>
      </c>
      <c r="O83" s="50">
        <f>VLOOKUP($A83,'[1]ma sp 02'!$A$5:$BD$1101,O$1,0)</f>
        <v>0.1</v>
      </c>
      <c r="P83" s="50">
        <f>VLOOKUP($A83,'[1]ma sp 02'!$A$5:$BD$1101,P$1,0)</f>
        <v>0</v>
      </c>
      <c r="Q83" s="50">
        <f>VLOOKUP($A83,'[1]ma sp 02'!$A$5:$BD$1101,Q$1,0)</f>
        <v>0</v>
      </c>
      <c r="R83" s="50">
        <f>VLOOKUP($A83,'[1]ma sp 02'!$A$5:$BD$1101,R$1,0)</f>
        <v>0</v>
      </c>
      <c r="S83" s="50">
        <f>VLOOKUP($A83,'[1]ma sp 02'!$A$5:$BD$1101,S$1,0)</f>
        <v>0</v>
      </c>
      <c r="T83" s="50">
        <f>VLOOKUP($A83,'[1]ma sp 02'!$A$5:$BD$1101,T$1,0)</f>
        <v>0</v>
      </c>
      <c r="U83" s="50">
        <f>VLOOKUP($A83,'[1]ma sp 02'!$A$5:$BD$1101,U$1,0)</f>
        <v>0</v>
      </c>
      <c r="V83" s="50">
        <f>VLOOKUP($A83,'[1]ma sp 02'!$A$5:$BD$1101,V$1,0)</f>
        <v>0</v>
      </c>
      <c r="W83" s="50">
        <f>VLOOKUP($A83,'[1]ma sp 02'!$A$5:$BD$1101,W$1,0)</f>
        <v>0</v>
      </c>
      <c r="X83" s="50">
        <f t="shared" si="2"/>
        <v>2</v>
      </c>
      <c r="Y83" s="57"/>
      <c r="Z83" s="57"/>
      <c r="AA83" s="57"/>
      <c r="AB83" s="57"/>
      <c r="AC83" s="57"/>
      <c r="AD83" s="57"/>
      <c r="AE83" s="52" t="s">
        <v>115</v>
      </c>
      <c r="AF83" s="52" t="s">
        <v>321</v>
      </c>
      <c r="AG83" s="87">
        <f>(0.012*1.4+0.012*1.4+0.075*0.925)*0.74</f>
        <v>7.6201500000000005E-2</v>
      </c>
      <c r="AH83" s="54">
        <f>(2.3/0.75/2)*0.73</f>
        <v>1.1193333333333333</v>
      </c>
      <c r="AI83" s="54">
        <f>(3/0.75/2)*0.73</f>
        <v>1.46</v>
      </c>
      <c r="AJ83" s="58">
        <v>9530</v>
      </c>
      <c r="AK83" s="57">
        <v>9530</v>
      </c>
      <c r="AL83" s="52" t="s">
        <v>117</v>
      </c>
      <c r="AM83" s="52" t="s">
        <v>60</v>
      </c>
      <c r="AN83" s="57">
        <v>420</v>
      </c>
      <c r="AO83" s="52" t="s">
        <v>332</v>
      </c>
      <c r="AP83" s="59">
        <f>IFERROR(VLOOKUP($A83,[2]Mssp!$A$5:$BE$1463,AP$4+1,0),0)</f>
        <v>0</v>
      </c>
      <c r="AQ83" s="59">
        <f>IFERROR(VLOOKUP($A83,[2]Mssp!$A$5:$BE$1463,AQ$4+1,0),0)</f>
        <v>0</v>
      </c>
      <c r="AR83" s="59">
        <f>IFERROR(VLOOKUP($A83,[2]Mssp!$A$5:$BE$1463,AR$4+1,0),0)</f>
        <v>0</v>
      </c>
      <c r="AS83" s="59">
        <f>IFERROR(VLOOKUP($A83,[2]Mssp!$A$5:$BE$1463,AS$4+1,0),0)</f>
        <v>0</v>
      </c>
      <c r="AT83" s="59">
        <f>IFERROR(VLOOKUP($A83,[2]Mssp!$A$5:$BE$1463,AT$4+1,0),0)</f>
        <v>0</v>
      </c>
      <c r="AU83" s="59">
        <f>IFERROR(VLOOKUP($A83,[2]Mssp!$A$5:$BE$1463,AU$4+1,0),0)</f>
        <v>0</v>
      </c>
      <c r="AV83" s="59">
        <f>IFERROR(VLOOKUP($A83,[2]Mssp!$A$5:$BE$1463,AV$4+1,0),0)</f>
        <v>0</v>
      </c>
      <c r="AW83" s="59">
        <f>IFERROR(VLOOKUP($A83,[2]Mssp!$A$5:$BE$1463,AW$4+1,0),0)</f>
        <v>0</v>
      </c>
      <c r="AX83" s="59">
        <f>IFERROR(VLOOKUP($A83,[2]Mssp!$A$5:$BE$1463,AX$4+1,0),0)</f>
        <v>0</v>
      </c>
      <c r="AY83" s="59">
        <f>IFERROR(VLOOKUP($A83,[2]Mssp!$A$5:$BE$1463,AY$4+2,0),0)</f>
        <v>0</v>
      </c>
      <c r="AZ83" s="59">
        <f>IFERROR(VLOOKUP($A83,[2]Mssp!$A$5:$BE$1463,AZ$4+2,0),0)</f>
        <v>0</v>
      </c>
      <c r="BA83" s="60">
        <v>1500</v>
      </c>
      <c r="BB83" s="61" t="s">
        <v>119</v>
      </c>
      <c r="BC83" s="62"/>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row>
    <row r="84" spans="1:94" ht="75" x14ac:dyDescent="0.25">
      <c r="A84" s="88" t="s">
        <v>379</v>
      </c>
      <c r="B84" s="73" t="s">
        <v>380</v>
      </c>
      <c r="C84" s="50">
        <f t="shared" si="3"/>
        <v>3.8000000000000003</v>
      </c>
      <c r="D84" s="57">
        <v>2</v>
      </c>
      <c r="E84" s="58" t="s">
        <v>359</v>
      </c>
      <c r="F84" s="58">
        <v>2</v>
      </c>
      <c r="G84" s="50" t="s">
        <v>114</v>
      </c>
      <c r="H84" s="50">
        <f>VLOOKUP($A84,'[1]ma sp 02'!$A$5:$BD$1101,H$1,0)</f>
        <v>0</v>
      </c>
      <c r="I84" s="50">
        <f>VLOOKUP($A84,'[1]ma sp 02'!$A$5:$BD$1101,I$1,0)</f>
        <v>0</v>
      </c>
      <c r="J84" s="50">
        <f>VLOOKUP($A84,'[1]ma sp 02'!$A$5:$BD$1101,J$1,0)</f>
        <v>0</v>
      </c>
      <c r="K84" s="50">
        <f>VLOOKUP($A84,'[1]ma sp 02'!$A$5:$BD$1101,K$1,0)</f>
        <v>0</v>
      </c>
      <c r="L84" s="50">
        <f>VLOOKUP($A84,'[1]ma sp 02'!$A$5:$BD$1101,L$1,0)</f>
        <v>3.7</v>
      </c>
      <c r="M84" s="50">
        <f>VLOOKUP($A84,'[1]ma sp 02'!$A$5:$BD$1101,M$1,0)</f>
        <v>0</v>
      </c>
      <c r="N84" s="50">
        <f>VLOOKUP($A84,'[1]ma sp 02'!$A$5:$BD$1101,N$1,0)</f>
        <v>0</v>
      </c>
      <c r="O84" s="50">
        <f>VLOOKUP($A84,'[1]ma sp 02'!$A$5:$BD$1101,O$1,0)</f>
        <v>0.1</v>
      </c>
      <c r="P84" s="50">
        <f>VLOOKUP($A84,'[1]ma sp 02'!$A$5:$BD$1101,P$1,0)</f>
        <v>0</v>
      </c>
      <c r="Q84" s="50">
        <f>VLOOKUP($A84,'[1]ma sp 02'!$A$5:$BD$1101,Q$1,0)</f>
        <v>0</v>
      </c>
      <c r="R84" s="50">
        <f>VLOOKUP($A84,'[1]ma sp 02'!$A$5:$BD$1101,R$1,0)</f>
        <v>0</v>
      </c>
      <c r="S84" s="50">
        <f>VLOOKUP($A84,'[1]ma sp 02'!$A$5:$BD$1101,S$1,0)</f>
        <v>0</v>
      </c>
      <c r="T84" s="50">
        <f>VLOOKUP($A84,'[1]ma sp 02'!$A$5:$BD$1101,T$1,0)</f>
        <v>0</v>
      </c>
      <c r="U84" s="50">
        <f>VLOOKUP($A84,'[1]ma sp 02'!$A$5:$BD$1101,U$1,0)</f>
        <v>0</v>
      </c>
      <c r="V84" s="50">
        <f>VLOOKUP($A84,'[1]ma sp 02'!$A$5:$BD$1101,V$1,0)</f>
        <v>0</v>
      </c>
      <c r="W84" s="50">
        <f>VLOOKUP($A84,'[1]ma sp 02'!$A$5:$BD$1101,W$1,0)</f>
        <v>0</v>
      </c>
      <c r="X84" s="50">
        <f t="shared" si="2"/>
        <v>2</v>
      </c>
      <c r="Y84" s="57"/>
      <c r="Z84" s="57"/>
      <c r="AA84" s="57"/>
      <c r="AB84" s="57"/>
      <c r="AC84" s="57"/>
      <c r="AD84" s="57"/>
      <c r="AE84" s="52" t="s">
        <v>115</v>
      </c>
      <c r="AF84" s="52" t="s">
        <v>321</v>
      </c>
      <c r="AG84" s="87">
        <f>(0.012*1.4+0.012*1.4+0.075*0.925)*0.74</f>
        <v>7.6201500000000005E-2</v>
      </c>
      <c r="AH84" s="54">
        <f>(2.3/0.75/2)*0.73</f>
        <v>1.1193333333333333</v>
      </c>
      <c r="AI84" s="54">
        <f>(3/0.75/2)*0.73</f>
        <v>1.46</v>
      </c>
      <c r="AJ84" s="58">
        <v>9530</v>
      </c>
      <c r="AK84" s="57">
        <v>9530</v>
      </c>
      <c r="AL84" s="52" t="s">
        <v>117</v>
      </c>
      <c r="AM84" s="52" t="s">
        <v>60</v>
      </c>
      <c r="AN84" s="57">
        <v>420</v>
      </c>
      <c r="AO84" s="52" t="s">
        <v>332</v>
      </c>
      <c r="AP84" s="59">
        <f>IFERROR(VLOOKUP($A84,[2]Mssp!$A$5:$BE$1463,AP$4+1,0),0)</f>
        <v>0</v>
      </c>
      <c r="AQ84" s="59">
        <f>IFERROR(VLOOKUP($A84,[2]Mssp!$A$5:$BE$1463,AQ$4+1,0),0)</f>
        <v>0</v>
      </c>
      <c r="AR84" s="59">
        <f>IFERROR(VLOOKUP($A84,[2]Mssp!$A$5:$BE$1463,AR$4+1,0),0)</f>
        <v>0</v>
      </c>
      <c r="AS84" s="59">
        <f>IFERROR(VLOOKUP($A84,[2]Mssp!$A$5:$BE$1463,AS$4+1,0),0)</f>
        <v>0</v>
      </c>
      <c r="AT84" s="59">
        <f>IFERROR(VLOOKUP($A84,[2]Mssp!$A$5:$BE$1463,AT$4+1,0),0)</f>
        <v>0</v>
      </c>
      <c r="AU84" s="59">
        <f>IFERROR(VLOOKUP($A84,[2]Mssp!$A$5:$BE$1463,AU$4+1,0),0)</f>
        <v>0</v>
      </c>
      <c r="AV84" s="59">
        <f>IFERROR(VLOOKUP($A84,[2]Mssp!$A$5:$BE$1463,AV$4+1,0),0)</f>
        <v>0</v>
      </c>
      <c r="AW84" s="59">
        <f>IFERROR(VLOOKUP($A84,[2]Mssp!$A$5:$BE$1463,AW$4+1,0),0)</f>
        <v>0</v>
      </c>
      <c r="AX84" s="59">
        <f>IFERROR(VLOOKUP($A84,[2]Mssp!$A$5:$BE$1463,AX$4+1,0),0)</f>
        <v>0</v>
      </c>
      <c r="AY84" s="59">
        <f>IFERROR(VLOOKUP($A84,[2]Mssp!$A$5:$BE$1463,AY$4+2,0),0)</f>
        <v>0</v>
      </c>
      <c r="AZ84" s="59">
        <f>IFERROR(VLOOKUP($A84,[2]Mssp!$A$5:$BE$1463,AZ$4+2,0),0)</f>
        <v>0</v>
      </c>
      <c r="BA84" s="60">
        <v>1500</v>
      </c>
      <c r="BB84" s="61" t="s">
        <v>119</v>
      </c>
      <c r="BC84" s="62"/>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row>
    <row r="85" spans="1:94" ht="45" x14ac:dyDescent="0.25">
      <c r="A85" s="88" t="s">
        <v>381</v>
      </c>
      <c r="B85" s="73" t="s">
        <v>382</v>
      </c>
      <c r="C85" s="50">
        <f t="shared" si="3"/>
        <v>0</v>
      </c>
      <c r="D85" s="57"/>
      <c r="E85" s="57"/>
      <c r="F85" s="58">
        <v>5</v>
      </c>
      <c r="G85" s="50" t="s">
        <v>110</v>
      </c>
      <c r="H85" s="50">
        <f>VLOOKUP($A85,'[1]ma sp 02'!$A$5:$BD$1101,H$1,0)</f>
        <v>0</v>
      </c>
      <c r="I85" s="50">
        <f>VLOOKUP($A85,'[1]ma sp 02'!$A$5:$BD$1101,I$1,0)</f>
        <v>0</v>
      </c>
      <c r="J85" s="50">
        <f>VLOOKUP($A85,'[1]ma sp 02'!$A$5:$BD$1101,J$1,0)</f>
        <v>0</v>
      </c>
      <c r="K85" s="50">
        <f>VLOOKUP($A85,'[1]ma sp 02'!$A$5:$BD$1101,K$1,0)</f>
        <v>0</v>
      </c>
      <c r="L85" s="50">
        <f>VLOOKUP($A85,'[1]ma sp 02'!$A$5:$BD$1101,L$1,0)</f>
        <v>0</v>
      </c>
      <c r="M85" s="50">
        <f>VLOOKUP($A85,'[1]ma sp 02'!$A$5:$BD$1101,M$1,0)</f>
        <v>0</v>
      </c>
      <c r="N85" s="50">
        <f>VLOOKUP($A85,'[1]ma sp 02'!$A$5:$BD$1101,N$1,0)</f>
        <v>0</v>
      </c>
      <c r="O85" s="50">
        <f>VLOOKUP($A85,'[1]ma sp 02'!$A$5:$BD$1101,O$1,0)</f>
        <v>0</v>
      </c>
      <c r="P85" s="50">
        <f>VLOOKUP($A85,'[1]ma sp 02'!$A$5:$BD$1101,P$1,0)</f>
        <v>0</v>
      </c>
      <c r="Q85" s="50">
        <f>VLOOKUP($A85,'[1]ma sp 02'!$A$5:$BD$1101,Q$1,0)</f>
        <v>0</v>
      </c>
      <c r="R85" s="50">
        <f>VLOOKUP($A85,'[1]ma sp 02'!$A$5:$BD$1101,R$1,0)</f>
        <v>0</v>
      </c>
      <c r="S85" s="50">
        <f>VLOOKUP($A85,'[1]ma sp 02'!$A$5:$BD$1101,S$1,0)</f>
        <v>0</v>
      </c>
      <c r="T85" s="50">
        <f>VLOOKUP($A85,'[1]ma sp 02'!$A$5:$BD$1101,T$1,0)</f>
        <v>0</v>
      </c>
      <c r="U85" s="50">
        <f>VLOOKUP($A85,'[1]ma sp 02'!$A$5:$BD$1101,U$1,0)</f>
        <v>0</v>
      </c>
      <c r="V85" s="50">
        <f>VLOOKUP($A85,'[1]ma sp 02'!$A$5:$BD$1101,V$1,0)</f>
        <v>0</v>
      </c>
      <c r="W85" s="50">
        <f>VLOOKUP($A85,'[1]ma sp 02'!$A$5:$BD$1101,W$1,0)</f>
        <v>0</v>
      </c>
      <c r="X85" s="50">
        <f t="shared" si="2"/>
        <v>0</v>
      </c>
      <c r="Y85" s="57"/>
      <c r="Z85" s="57"/>
      <c r="AA85" s="57"/>
      <c r="AB85" s="57"/>
      <c r="AC85" s="57"/>
      <c r="AD85" s="57"/>
      <c r="AE85" s="57"/>
      <c r="AF85" s="57"/>
      <c r="AG85" s="57"/>
      <c r="AH85" s="57"/>
      <c r="AI85" s="57"/>
      <c r="AJ85" s="57"/>
      <c r="AK85" s="57"/>
      <c r="AL85" s="57"/>
      <c r="AM85" s="52">
        <v>0</v>
      </c>
      <c r="AN85" s="57"/>
      <c r="AO85" s="52">
        <v>0</v>
      </c>
      <c r="AP85" s="59" t="str">
        <f>IFERROR(VLOOKUP($A85,[2]Mssp!$A$5:$BE$1463,AP$4+1,0),0)</f>
        <v>1412417-1</v>
      </c>
      <c r="AQ85" s="59" t="str">
        <f>IFERROR(VLOOKUP($A85,[2]Mssp!$A$5:$BE$1463,AQ$4+1,0),0)</f>
        <v>1308276-2</v>
      </c>
      <c r="AR85" s="59" t="str">
        <f>IFERROR(VLOOKUP($A85,[2]Mssp!$A$5:$BE$1463,AR$4+1,0),0)</f>
        <v>1308276-3</v>
      </c>
      <c r="AS85" s="59" t="str">
        <f>IFERROR(VLOOKUP($A85,[2]Mssp!$A$5:$BE$1463,AS$4+1,0),0)</f>
        <v>1308276-4</v>
      </c>
      <c r="AT85" s="59" t="str">
        <f>IFERROR(VLOOKUP($A85,[2]Mssp!$A$5:$BE$1463,AT$4+1,0),0)</f>
        <v>18011108-5</v>
      </c>
      <c r="AU85" s="59">
        <f>IFERROR(VLOOKUP($A85,[2]Mssp!$A$5:$BE$1463,AU$4+1,0),0)</f>
        <v>0</v>
      </c>
      <c r="AV85" s="59">
        <f>IFERROR(VLOOKUP($A85,[2]Mssp!$A$5:$BE$1463,AV$4+1,0),0)</f>
        <v>0</v>
      </c>
      <c r="AW85" s="59">
        <f>IFERROR(VLOOKUP($A85,[2]Mssp!$A$5:$BE$1463,AW$4+1,0),0)</f>
        <v>0</v>
      </c>
      <c r="AX85" s="59">
        <f>IFERROR(VLOOKUP($A85,[2]Mssp!$A$5:$BE$1463,AX$4+1,0),0)</f>
        <v>0</v>
      </c>
      <c r="AY85" s="59" t="str">
        <f>IFERROR(VLOOKUP($A85,[2]Mssp!$A$5:$BE$1463,AY$4+2,0),0)</f>
        <v>480x740</v>
      </c>
      <c r="AZ85" s="59" t="str">
        <f>IFERROR(VLOOKUP($A85,[2]Mssp!$A$5:$BE$1463,AZ$4+2,0),0)</f>
        <v>N1</v>
      </c>
      <c r="BA85" s="60">
        <v>10000</v>
      </c>
      <c r="BB85" s="61" t="s">
        <v>62</v>
      </c>
      <c r="BC85" s="62"/>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row>
    <row r="86" spans="1:94" ht="45" x14ac:dyDescent="0.25">
      <c r="A86" s="88" t="s">
        <v>383</v>
      </c>
      <c r="B86" s="73" t="s">
        <v>384</v>
      </c>
      <c r="C86" s="50">
        <f t="shared" si="3"/>
        <v>5.1099999999999994</v>
      </c>
      <c r="D86" s="58">
        <v>1</v>
      </c>
      <c r="E86" s="58" t="s">
        <v>86</v>
      </c>
      <c r="F86" s="58">
        <v>6</v>
      </c>
      <c r="G86" s="50" t="s">
        <v>184</v>
      </c>
      <c r="H86" s="50">
        <f>VLOOKUP($A86,'[1]ma sp 02'!$A$5:$BD$1101,H$1,0)</f>
        <v>0.11</v>
      </c>
      <c r="I86" s="50">
        <f>VLOOKUP($A86,'[1]ma sp 02'!$A$5:$BD$1101,I$1,0)</f>
        <v>3.25</v>
      </c>
      <c r="J86" s="50">
        <f>VLOOKUP($A86,'[1]ma sp 02'!$A$5:$BD$1101,J$1,0)</f>
        <v>0.25</v>
      </c>
      <c r="K86" s="50">
        <f>VLOOKUP($A86,'[1]ma sp 02'!$A$5:$BD$1101,K$1,0)</f>
        <v>0</v>
      </c>
      <c r="L86" s="50">
        <f>VLOOKUP($A86,'[1]ma sp 02'!$A$5:$BD$1101,L$1,0)</f>
        <v>0.36</v>
      </c>
      <c r="M86" s="50">
        <f>VLOOKUP($A86,'[1]ma sp 02'!$A$5:$BD$1101,M$1,0)</f>
        <v>0</v>
      </c>
      <c r="N86" s="50">
        <f>VLOOKUP($A86,'[1]ma sp 02'!$A$5:$BD$1101,N$1,0)</f>
        <v>0</v>
      </c>
      <c r="O86" s="50">
        <f>VLOOKUP($A86,'[1]ma sp 02'!$A$5:$BD$1101,O$1,0)</f>
        <v>0.05</v>
      </c>
      <c r="P86" s="50">
        <f>VLOOKUP($A86,'[1]ma sp 02'!$A$5:$BD$1101,P$1,0)</f>
        <v>0</v>
      </c>
      <c r="Q86" s="50">
        <f>VLOOKUP($A86,'[1]ma sp 02'!$A$5:$BD$1101,Q$1,0)</f>
        <v>0</v>
      </c>
      <c r="R86" s="50">
        <f>VLOOKUP($A86,'[1]ma sp 02'!$A$5:$BD$1101,R$1,0)</f>
        <v>1.0900000000000001</v>
      </c>
      <c r="S86" s="50">
        <f>VLOOKUP($A86,'[1]ma sp 02'!$A$5:$BD$1101,S$1,0)</f>
        <v>0</v>
      </c>
      <c r="T86" s="50">
        <f>VLOOKUP($A86,'[1]ma sp 02'!$A$5:$BD$1101,T$1,0)</f>
        <v>0</v>
      </c>
      <c r="U86" s="50">
        <f>VLOOKUP($A86,'[1]ma sp 02'!$A$5:$BD$1101,U$1,0)</f>
        <v>0</v>
      </c>
      <c r="V86" s="50">
        <f>VLOOKUP($A86,'[1]ma sp 02'!$A$5:$BD$1101,V$1,0)</f>
        <v>0</v>
      </c>
      <c r="W86" s="50">
        <f>VLOOKUP($A86,'[1]ma sp 02'!$A$5:$BD$1101,W$1,0)</f>
        <v>0</v>
      </c>
      <c r="X86" s="50">
        <f t="shared" si="2"/>
        <v>6</v>
      </c>
      <c r="Y86" s="57"/>
      <c r="Z86" s="57"/>
      <c r="AA86" s="57"/>
      <c r="AB86" s="57"/>
      <c r="AC86" s="57"/>
      <c r="AD86" s="57"/>
      <c r="AE86" s="58" t="s">
        <v>385</v>
      </c>
      <c r="AF86" s="57"/>
      <c r="AG86" s="83">
        <f>(0.02*0.91+0.09*0.925)*0.44</f>
        <v>4.4638000000000004E-2</v>
      </c>
      <c r="AH86" s="55">
        <f>(2.5/0.75/2)*0.43</f>
        <v>0.71666666666666667</v>
      </c>
      <c r="AI86" s="57"/>
      <c r="AJ86" s="58">
        <v>9530</v>
      </c>
      <c r="AK86" s="57"/>
      <c r="AL86" s="58">
        <v>2.3E-3</v>
      </c>
      <c r="AM86" s="52" t="s">
        <v>386</v>
      </c>
      <c r="AN86" s="57">
        <v>300</v>
      </c>
      <c r="AO86" s="52" t="s">
        <v>387</v>
      </c>
      <c r="AP86" s="59" t="str">
        <f>IFERROR(VLOOKUP($A86,[2]Mssp!$A$5:$BE$1463,AP$4+1,0),0)</f>
        <v>18101259-1</v>
      </c>
      <c r="AQ86" s="59" t="str">
        <f>IFERROR(VLOOKUP($A86,[2]Mssp!$A$5:$BE$1463,AQ$4+1,0),0)</f>
        <v>15041067-2</v>
      </c>
      <c r="AR86" s="59" t="str">
        <f>IFERROR(VLOOKUP($A86,[2]Mssp!$A$5:$BE$1463,AR$4+1,0),0)</f>
        <v>15041067-3</v>
      </c>
      <c r="AS86" s="59" t="str">
        <f>IFERROR(VLOOKUP($A86,[2]Mssp!$A$5:$BE$1463,AS$4+1,0),0)</f>
        <v>15041067-4</v>
      </c>
      <c r="AT86" s="59" t="str">
        <f>IFERROR(VLOOKUP($A86,[2]Mssp!$A$5:$BE$1463,AT$4+1,0),0)</f>
        <v>15041067-5</v>
      </c>
      <c r="AU86" s="59" t="str">
        <f>IFERROR(VLOOKUP($A86,[2]Mssp!$A$5:$BE$1463,AU$4+1,0),0)</f>
        <v>15041067-6</v>
      </c>
      <c r="AV86" s="59">
        <f>IFERROR(VLOOKUP($A86,[2]Mssp!$A$5:$BE$1463,AV$4+1,0),0)</f>
        <v>0</v>
      </c>
      <c r="AW86" s="59">
        <f>IFERROR(VLOOKUP($A86,[2]Mssp!$A$5:$BE$1463,AW$4+1,0),0)</f>
        <v>0</v>
      </c>
      <c r="AX86" s="59">
        <f>IFERROR(VLOOKUP($A86,[2]Mssp!$A$5:$BE$1463,AX$4+1,0),0)</f>
        <v>0</v>
      </c>
      <c r="AY86" s="59" t="str">
        <f>IFERROR(VLOOKUP($A86,[2]Mssp!$A$5:$BE$1463,AY$4+2,0),0)</f>
        <v>600x750</v>
      </c>
      <c r="AZ86" s="59" t="str">
        <f>IFERROR(VLOOKUP($A86,[2]Mssp!$A$5:$BE$1463,AZ$4+2,0),0)</f>
        <v>N1</v>
      </c>
      <c r="BA86" s="60">
        <v>3000</v>
      </c>
      <c r="BB86" s="61" t="s">
        <v>62</v>
      </c>
      <c r="BC86" s="62"/>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row>
    <row r="87" spans="1:94" ht="45" x14ac:dyDescent="0.25">
      <c r="A87" s="88" t="s">
        <v>388</v>
      </c>
      <c r="B87" s="73" t="s">
        <v>389</v>
      </c>
      <c r="C87" s="50">
        <f t="shared" si="3"/>
        <v>0</v>
      </c>
      <c r="D87" s="57"/>
      <c r="E87" s="58" t="s">
        <v>282</v>
      </c>
      <c r="F87" s="58">
        <v>0</v>
      </c>
      <c r="G87" s="50" t="s">
        <v>184</v>
      </c>
      <c r="H87" s="50">
        <f>VLOOKUP($A87,'[1]ma sp 02'!$A$5:$BD$1101,H$1,0)</f>
        <v>0</v>
      </c>
      <c r="I87" s="50">
        <f>VLOOKUP($A87,'[1]ma sp 02'!$A$5:$BD$1101,I$1,0)</f>
        <v>0</v>
      </c>
      <c r="J87" s="50">
        <f>VLOOKUP($A87,'[1]ma sp 02'!$A$5:$BD$1101,J$1,0)</f>
        <v>0</v>
      </c>
      <c r="K87" s="50">
        <f>VLOOKUP($A87,'[1]ma sp 02'!$A$5:$BD$1101,K$1,0)</f>
        <v>0</v>
      </c>
      <c r="L87" s="50">
        <f>VLOOKUP($A87,'[1]ma sp 02'!$A$5:$BD$1101,L$1,0)</f>
        <v>0</v>
      </c>
      <c r="M87" s="50">
        <f>VLOOKUP($A87,'[1]ma sp 02'!$A$5:$BD$1101,M$1,0)</f>
        <v>0</v>
      </c>
      <c r="N87" s="50">
        <f>VLOOKUP($A87,'[1]ma sp 02'!$A$5:$BD$1101,N$1,0)</f>
        <v>0</v>
      </c>
      <c r="O87" s="50">
        <f>VLOOKUP($A87,'[1]ma sp 02'!$A$5:$BD$1101,O$1,0)</f>
        <v>0</v>
      </c>
      <c r="P87" s="50">
        <f>VLOOKUP($A87,'[1]ma sp 02'!$A$5:$BD$1101,P$1,0)</f>
        <v>0</v>
      </c>
      <c r="Q87" s="50">
        <f>VLOOKUP($A87,'[1]ma sp 02'!$A$5:$BD$1101,Q$1,0)</f>
        <v>0</v>
      </c>
      <c r="R87" s="50">
        <f>VLOOKUP($A87,'[1]ma sp 02'!$A$5:$BD$1101,R$1,0)</f>
        <v>0</v>
      </c>
      <c r="S87" s="50">
        <f>VLOOKUP($A87,'[1]ma sp 02'!$A$5:$BD$1101,S$1,0)</f>
        <v>0</v>
      </c>
      <c r="T87" s="50">
        <f>VLOOKUP($A87,'[1]ma sp 02'!$A$5:$BD$1101,T$1,0)</f>
        <v>0</v>
      </c>
      <c r="U87" s="50">
        <f>VLOOKUP($A87,'[1]ma sp 02'!$A$5:$BD$1101,U$1,0)</f>
        <v>0</v>
      </c>
      <c r="V87" s="50">
        <f>VLOOKUP($A87,'[1]ma sp 02'!$A$5:$BD$1101,V$1,0)</f>
        <v>0</v>
      </c>
      <c r="W87" s="50">
        <f>VLOOKUP($A87,'[1]ma sp 02'!$A$5:$BD$1101,W$1,0)</f>
        <v>0</v>
      </c>
      <c r="X87" s="50">
        <f t="shared" si="2"/>
        <v>0</v>
      </c>
      <c r="Y87" s="57"/>
      <c r="Z87" s="57"/>
      <c r="AA87" s="57"/>
      <c r="AB87" s="57"/>
      <c r="AC87" s="57"/>
      <c r="AD87" s="57"/>
      <c r="AE87" s="58" t="s">
        <v>390</v>
      </c>
      <c r="AF87" s="57"/>
      <c r="AG87" s="82">
        <f>(0.02*0.91+0.02*0.91)*0.66</f>
        <v>2.4024000000000004E-2</v>
      </c>
      <c r="AH87" s="54">
        <f>(1.8/0.75/2)*0.65</f>
        <v>0.78</v>
      </c>
      <c r="AI87" s="57"/>
      <c r="AJ87" s="58">
        <v>9530</v>
      </c>
      <c r="AK87" s="57"/>
      <c r="AL87" s="58">
        <v>1.8E-3</v>
      </c>
      <c r="AM87" s="52" t="s">
        <v>142</v>
      </c>
      <c r="AN87" s="57">
        <v>320</v>
      </c>
      <c r="AO87" s="52" t="s">
        <v>180</v>
      </c>
      <c r="AP87" s="59">
        <f>IFERROR(VLOOKUP($A87,[2]Mssp!$A$5:$BE$1463,AP$4+1,0),0)</f>
        <v>0</v>
      </c>
      <c r="AQ87" s="59">
        <f>IFERROR(VLOOKUP($A87,[2]Mssp!$A$5:$BE$1463,AQ$4+1,0),0)</f>
        <v>0</v>
      </c>
      <c r="AR87" s="59">
        <f>IFERROR(VLOOKUP($A87,[2]Mssp!$A$5:$BE$1463,AR$4+1,0),0)</f>
        <v>0</v>
      </c>
      <c r="AS87" s="59">
        <f>IFERROR(VLOOKUP($A87,[2]Mssp!$A$5:$BE$1463,AS$4+1,0),0)</f>
        <v>0</v>
      </c>
      <c r="AT87" s="59">
        <f>IFERROR(VLOOKUP($A87,[2]Mssp!$A$5:$BE$1463,AT$4+1,0),0)</f>
        <v>0</v>
      </c>
      <c r="AU87" s="59">
        <f>IFERROR(VLOOKUP($A87,[2]Mssp!$A$5:$BE$1463,AU$4+1,0),0)</f>
        <v>0</v>
      </c>
      <c r="AV87" s="59">
        <f>IFERROR(VLOOKUP($A87,[2]Mssp!$A$5:$BE$1463,AV$4+1,0),0)</f>
        <v>0</v>
      </c>
      <c r="AW87" s="59">
        <f>IFERROR(VLOOKUP($A87,[2]Mssp!$A$5:$BE$1463,AW$4+1,0),0)</f>
        <v>0</v>
      </c>
      <c r="AX87" s="59">
        <f>IFERROR(VLOOKUP($A87,[2]Mssp!$A$5:$BE$1463,AX$4+1,0),0)</f>
        <v>0</v>
      </c>
      <c r="AY87" s="59">
        <f>IFERROR(VLOOKUP($A87,[2]Mssp!$A$5:$BE$1463,AY$4+2,0),0)</f>
        <v>0</v>
      </c>
      <c r="AZ87" s="59">
        <f>IFERROR(VLOOKUP($A87,[2]Mssp!$A$5:$BE$1463,AZ$4+2,0),0)</f>
        <v>0</v>
      </c>
      <c r="BA87" s="60">
        <v>0</v>
      </c>
      <c r="BB87" s="61" t="s">
        <v>107</v>
      </c>
      <c r="BC87" s="62"/>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row>
    <row r="88" spans="1:94" ht="45" x14ac:dyDescent="0.25">
      <c r="A88" s="50" t="s">
        <v>391</v>
      </c>
      <c r="B88" s="73" t="s">
        <v>392</v>
      </c>
      <c r="C88" s="50">
        <f t="shared" si="3"/>
        <v>0</v>
      </c>
      <c r="D88" s="57">
        <v>9</v>
      </c>
      <c r="E88" s="58" t="s">
        <v>393</v>
      </c>
      <c r="F88" s="58">
        <v>5</v>
      </c>
      <c r="G88" s="50" t="s">
        <v>114</v>
      </c>
      <c r="H88" s="50">
        <f>VLOOKUP($A88,'[1]ma sp 02'!$A$5:$BD$1101,H$1,0)</f>
        <v>0</v>
      </c>
      <c r="I88" s="50">
        <f>VLOOKUP($A88,'[1]ma sp 02'!$A$5:$BD$1101,I$1,0)</f>
        <v>0</v>
      </c>
      <c r="J88" s="50">
        <f>VLOOKUP($A88,'[1]ma sp 02'!$A$5:$BD$1101,J$1,0)</f>
        <v>0</v>
      </c>
      <c r="K88" s="50">
        <f>VLOOKUP($A88,'[1]ma sp 02'!$A$5:$BD$1101,K$1,0)</f>
        <v>0</v>
      </c>
      <c r="L88" s="50">
        <f>VLOOKUP($A88,'[1]ma sp 02'!$A$5:$BD$1101,L$1,0)</f>
        <v>0</v>
      </c>
      <c r="M88" s="50">
        <f>VLOOKUP($A88,'[1]ma sp 02'!$A$5:$BD$1101,M$1,0)</f>
        <v>0</v>
      </c>
      <c r="N88" s="50">
        <f>VLOOKUP($A88,'[1]ma sp 02'!$A$5:$BD$1101,N$1,0)</f>
        <v>0</v>
      </c>
      <c r="O88" s="50">
        <f>VLOOKUP($A88,'[1]ma sp 02'!$A$5:$BD$1101,O$1,0)</f>
        <v>0</v>
      </c>
      <c r="P88" s="50">
        <f>VLOOKUP($A88,'[1]ma sp 02'!$A$5:$BD$1101,P$1,0)</f>
        <v>0</v>
      </c>
      <c r="Q88" s="50">
        <f>VLOOKUP($A88,'[1]ma sp 02'!$A$5:$BD$1101,Q$1,0)</f>
        <v>0</v>
      </c>
      <c r="R88" s="50">
        <f>VLOOKUP($A88,'[1]ma sp 02'!$A$5:$BD$1101,R$1,0)</f>
        <v>0</v>
      </c>
      <c r="S88" s="50">
        <f>VLOOKUP($A88,'[1]ma sp 02'!$A$5:$BD$1101,S$1,0)</f>
        <v>0</v>
      </c>
      <c r="T88" s="50">
        <f>VLOOKUP($A88,'[1]ma sp 02'!$A$5:$BD$1101,T$1,0)</f>
        <v>0</v>
      </c>
      <c r="U88" s="50">
        <f>VLOOKUP($A88,'[1]ma sp 02'!$A$5:$BD$1101,U$1,0)</f>
        <v>0</v>
      </c>
      <c r="V88" s="50">
        <f>VLOOKUP($A88,'[1]ma sp 02'!$A$5:$BD$1101,V$1,0)</f>
        <v>0</v>
      </c>
      <c r="W88" s="50">
        <f>VLOOKUP($A88,'[1]ma sp 02'!$A$5:$BD$1101,W$1,0)</f>
        <v>0</v>
      </c>
      <c r="X88" s="50">
        <f t="shared" si="2"/>
        <v>0</v>
      </c>
      <c r="Y88" s="57"/>
      <c r="Z88" s="57"/>
      <c r="AA88" s="57"/>
      <c r="AB88" s="57"/>
      <c r="AC88" s="57"/>
      <c r="AD88" s="57"/>
      <c r="AE88" s="57" t="s">
        <v>394</v>
      </c>
      <c r="AF88" s="57" t="s">
        <v>395</v>
      </c>
      <c r="AG88" s="82">
        <f>(0.012*1.4+0.012*1.4+0.065*0.925)*0.66</f>
        <v>6.1858500000000004E-2</v>
      </c>
      <c r="AH88" s="54">
        <f>(2.3/0.75/2)*0.65</f>
        <v>0.99666666666666659</v>
      </c>
      <c r="AI88" s="54">
        <f>(2.3/0.75/2)*0.65</f>
        <v>0.99666666666666659</v>
      </c>
      <c r="AJ88" s="57">
        <v>9530</v>
      </c>
      <c r="AK88" s="57">
        <v>9530</v>
      </c>
      <c r="AL88" s="52" t="s">
        <v>354</v>
      </c>
      <c r="AM88" s="52" t="s">
        <v>104</v>
      </c>
      <c r="AN88" s="57">
        <v>160</v>
      </c>
      <c r="AO88" s="52" t="s">
        <v>396</v>
      </c>
      <c r="AP88" s="59">
        <f>IFERROR(VLOOKUP($A88,[2]Mssp!$A$5:$BE$1463,AP$4+1,0),0)</f>
        <v>0</v>
      </c>
      <c r="AQ88" s="59">
        <f>IFERROR(VLOOKUP($A88,[2]Mssp!$A$5:$BE$1463,AQ$4+1,0),0)</f>
        <v>0</v>
      </c>
      <c r="AR88" s="59">
        <f>IFERROR(VLOOKUP($A88,[2]Mssp!$A$5:$BE$1463,AR$4+1,0),0)</f>
        <v>0</v>
      </c>
      <c r="AS88" s="59">
        <f>IFERROR(VLOOKUP($A88,[2]Mssp!$A$5:$BE$1463,AS$4+1,0),0)</f>
        <v>0</v>
      </c>
      <c r="AT88" s="59">
        <f>IFERROR(VLOOKUP($A88,[2]Mssp!$A$5:$BE$1463,AT$4+1,0),0)</f>
        <v>0</v>
      </c>
      <c r="AU88" s="59">
        <f>IFERROR(VLOOKUP($A88,[2]Mssp!$A$5:$BE$1463,AU$4+1,0),0)</f>
        <v>0</v>
      </c>
      <c r="AV88" s="59">
        <f>IFERROR(VLOOKUP($A88,[2]Mssp!$A$5:$BE$1463,AV$4+1,0),0)</f>
        <v>0</v>
      </c>
      <c r="AW88" s="59">
        <f>IFERROR(VLOOKUP($A88,[2]Mssp!$A$5:$BE$1463,AW$4+1,0),0)</f>
        <v>0</v>
      </c>
      <c r="AX88" s="59">
        <f>IFERROR(VLOOKUP($A88,[2]Mssp!$A$5:$BE$1463,AX$4+1,0),0)</f>
        <v>0</v>
      </c>
      <c r="AY88" s="59">
        <f>IFERROR(VLOOKUP($A88,[2]Mssp!$A$5:$BE$1463,AY$4+2,0),0)</f>
        <v>0</v>
      </c>
      <c r="AZ88" s="59">
        <f>IFERROR(VLOOKUP($A88,[2]Mssp!$A$5:$BE$1463,AZ$4+2,0),0)</f>
        <v>0</v>
      </c>
      <c r="BA88" s="60">
        <v>0</v>
      </c>
      <c r="BB88" s="61" t="s">
        <v>107</v>
      </c>
      <c r="BC88" s="62"/>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c r="CP88" s="9"/>
    </row>
    <row r="89" spans="1:94" ht="90" x14ac:dyDescent="0.25">
      <c r="A89" s="50" t="s">
        <v>397</v>
      </c>
      <c r="B89" s="73" t="s">
        <v>398</v>
      </c>
      <c r="C89" s="50">
        <f t="shared" si="3"/>
        <v>2.7</v>
      </c>
      <c r="D89" s="58">
        <v>1</v>
      </c>
      <c r="E89" s="58" t="s">
        <v>399</v>
      </c>
      <c r="F89" s="58">
        <v>5</v>
      </c>
      <c r="G89" s="50" t="s">
        <v>56</v>
      </c>
      <c r="H89" s="50">
        <f>VLOOKUP($A89,'[1]ma sp 02'!$A$5:$BD$1101,H$1,0)</f>
        <v>0</v>
      </c>
      <c r="I89" s="50">
        <f>VLOOKUP($A89,'[1]ma sp 02'!$A$5:$BD$1101,I$1,0)</f>
        <v>1.1000000000000001</v>
      </c>
      <c r="J89" s="50">
        <f>VLOOKUP($A89,'[1]ma sp 02'!$A$5:$BD$1101,J$1,0)</f>
        <v>0.1</v>
      </c>
      <c r="K89" s="50">
        <f>VLOOKUP($A89,'[1]ma sp 02'!$A$5:$BD$1101,K$1,0)</f>
        <v>0</v>
      </c>
      <c r="L89" s="50">
        <f>VLOOKUP($A89,'[1]ma sp 02'!$A$5:$BD$1101,L$1,0)</f>
        <v>0.5</v>
      </c>
      <c r="M89" s="50">
        <f>VLOOKUP($A89,'[1]ma sp 02'!$A$5:$BD$1101,M$1,0)</f>
        <v>0</v>
      </c>
      <c r="N89" s="50">
        <f>VLOOKUP($A89,'[1]ma sp 02'!$A$5:$BD$1101,N$1,0)</f>
        <v>0</v>
      </c>
      <c r="O89" s="50">
        <f>VLOOKUP($A89,'[1]ma sp 02'!$A$5:$BD$1101,O$1,0)</f>
        <v>0</v>
      </c>
      <c r="P89" s="50">
        <f>VLOOKUP($A89,'[1]ma sp 02'!$A$5:$BD$1101,P$1,0)</f>
        <v>0.9</v>
      </c>
      <c r="Q89" s="50">
        <f>VLOOKUP($A89,'[1]ma sp 02'!$A$5:$BD$1101,Q$1,0)</f>
        <v>0</v>
      </c>
      <c r="R89" s="50">
        <f>VLOOKUP($A89,'[1]ma sp 02'!$A$5:$BD$1101,R$1,0)</f>
        <v>0</v>
      </c>
      <c r="S89" s="50">
        <f>VLOOKUP($A89,'[1]ma sp 02'!$A$5:$BD$1101,S$1,0)</f>
        <v>0.1</v>
      </c>
      <c r="T89" s="50">
        <f>VLOOKUP($A89,'[1]ma sp 02'!$A$5:$BD$1101,T$1,0)</f>
        <v>0</v>
      </c>
      <c r="U89" s="50">
        <f>VLOOKUP($A89,'[1]ma sp 02'!$A$5:$BD$1101,U$1,0)</f>
        <v>0</v>
      </c>
      <c r="V89" s="50">
        <f>VLOOKUP($A89,'[1]ma sp 02'!$A$5:$BD$1101,V$1,0)</f>
        <v>0</v>
      </c>
      <c r="W89" s="50">
        <f>VLOOKUP($A89,'[1]ma sp 02'!$A$5:$BD$1101,W$1,0)</f>
        <v>0</v>
      </c>
      <c r="X89" s="50">
        <f t="shared" si="2"/>
        <v>5</v>
      </c>
      <c r="Y89" s="58"/>
      <c r="Z89" s="58"/>
      <c r="AA89" s="58"/>
      <c r="AB89" s="58"/>
      <c r="AC89" s="58"/>
      <c r="AD89" s="58"/>
      <c r="AE89" s="58" t="s">
        <v>400</v>
      </c>
      <c r="AF89" s="58"/>
      <c r="AG89" s="89">
        <f>(0.02*0.91+0.03*0.91)*0.5</f>
        <v>2.2749999999999999E-2</v>
      </c>
      <c r="AH89" s="55">
        <f>(2/0.75/2)*0.5</f>
        <v>0.66666666666666663</v>
      </c>
      <c r="AI89" s="80"/>
      <c r="AJ89" s="58">
        <v>9530</v>
      </c>
      <c r="AK89" s="57"/>
      <c r="AL89" s="58">
        <v>2E-3</v>
      </c>
      <c r="AM89" s="52" t="s">
        <v>74</v>
      </c>
      <c r="AN89" s="57">
        <v>490</v>
      </c>
      <c r="AO89" s="52" t="s">
        <v>401</v>
      </c>
      <c r="AP89" s="59" t="str">
        <f>IFERROR(VLOOKUP($A89,[2]Mssp!$A$5:$BE$1463,AP$4+1,0),0)</f>
        <v>1505534-1</v>
      </c>
      <c r="AQ89" s="59" t="str">
        <f>IFERROR(VLOOKUP($A89,[2]Mssp!$A$5:$BE$1463,AQ$4+1,0),0)</f>
        <v>1505534-2</v>
      </c>
      <c r="AR89" s="59" t="str">
        <f>IFERROR(VLOOKUP($A89,[2]Mssp!$A$5:$BE$1463,AR$4+1,0),0)</f>
        <v>1505534-3</v>
      </c>
      <c r="AS89" s="59" t="str">
        <f>IFERROR(VLOOKUP($A89,[2]Mssp!$A$5:$BE$1463,AS$4+1,0),0)</f>
        <v>1505534-4</v>
      </c>
      <c r="AT89" s="59" t="str">
        <f>IFERROR(VLOOKUP($A89,[2]Mssp!$A$5:$BE$1463,AT$4+1,0),0)</f>
        <v>1505534-5</v>
      </c>
      <c r="AU89" s="59">
        <f>IFERROR(VLOOKUP($A89,[2]Mssp!$A$5:$BE$1463,AU$4+1,0),0)</f>
        <v>0</v>
      </c>
      <c r="AV89" s="59">
        <f>IFERROR(VLOOKUP($A89,[2]Mssp!$A$5:$BE$1463,AV$4+1,0),0)</f>
        <v>0</v>
      </c>
      <c r="AW89" s="59">
        <f>IFERROR(VLOOKUP($A89,[2]Mssp!$A$5:$BE$1463,AW$4+1,0),0)</f>
        <v>0</v>
      </c>
      <c r="AX89" s="59">
        <f>IFERROR(VLOOKUP($A89,[2]Mssp!$A$5:$BE$1463,AX$4+1,0),0)</f>
        <v>0</v>
      </c>
      <c r="AY89" s="59" t="str">
        <f>IFERROR(VLOOKUP($A89,[2]Mssp!$A$5:$BE$1463,AY$4+2,0),0)</f>
        <v>490x750</v>
      </c>
      <c r="AZ89" s="59" t="str">
        <f>IFERROR(VLOOKUP($A89,[2]Mssp!$A$5:$BE$1463,AZ$4+2,0),0)</f>
        <v>N1</v>
      </c>
      <c r="BA89" s="60">
        <v>0</v>
      </c>
      <c r="BB89" s="61" t="s">
        <v>402</v>
      </c>
      <c r="BC89" s="62"/>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row>
    <row r="90" spans="1:94" ht="90" x14ac:dyDescent="0.25">
      <c r="A90" s="50" t="s">
        <v>403</v>
      </c>
      <c r="B90" s="73" t="s">
        <v>404</v>
      </c>
      <c r="C90" s="50">
        <f t="shared" si="3"/>
        <v>6.8199999999999994</v>
      </c>
      <c r="D90" s="58">
        <v>4</v>
      </c>
      <c r="E90" s="58" t="s">
        <v>282</v>
      </c>
      <c r="F90" s="58">
        <v>5</v>
      </c>
      <c r="G90" s="50" t="s">
        <v>56</v>
      </c>
      <c r="H90" s="50">
        <f>VLOOKUP($A90,'[1]ma sp 02'!$A$5:$BD$1101,H$1,0)</f>
        <v>0</v>
      </c>
      <c r="I90" s="50">
        <f>VLOOKUP($A90,'[1]ma sp 02'!$A$5:$BD$1101,I$1,0)</f>
        <v>2.25</v>
      </c>
      <c r="J90" s="50">
        <f>VLOOKUP($A90,'[1]ma sp 02'!$A$5:$BD$1101,J$1,0)</f>
        <v>0.21</v>
      </c>
      <c r="K90" s="50">
        <f>VLOOKUP($A90,'[1]ma sp 02'!$A$5:$BD$1101,K$1,0)</f>
        <v>0.87</v>
      </c>
      <c r="L90" s="50">
        <f>VLOOKUP($A90,'[1]ma sp 02'!$A$5:$BD$1101,L$1,0)</f>
        <v>2.38</v>
      </c>
      <c r="M90" s="50">
        <f>VLOOKUP($A90,'[1]ma sp 02'!$A$5:$BD$1101,M$1,0)</f>
        <v>1.06</v>
      </c>
      <c r="N90" s="50">
        <f>VLOOKUP($A90,'[1]ma sp 02'!$A$5:$BD$1101,N$1,0)</f>
        <v>0</v>
      </c>
      <c r="O90" s="50">
        <f>VLOOKUP($A90,'[1]ma sp 02'!$A$5:$BD$1101,O$1,0)</f>
        <v>0</v>
      </c>
      <c r="P90" s="50">
        <f>VLOOKUP($A90,'[1]ma sp 02'!$A$5:$BD$1101,P$1,0)</f>
        <v>0</v>
      </c>
      <c r="Q90" s="50">
        <f>VLOOKUP($A90,'[1]ma sp 02'!$A$5:$BD$1101,Q$1,0)</f>
        <v>0</v>
      </c>
      <c r="R90" s="50">
        <f>VLOOKUP($A90,'[1]ma sp 02'!$A$5:$BD$1101,R$1,0)</f>
        <v>0</v>
      </c>
      <c r="S90" s="50">
        <f>VLOOKUP($A90,'[1]ma sp 02'!$A$5:$BD$1101,S$1,0)</f>
        <v>0.05</v>
      </c>
      <c r="T90" s="50">
        <f>VLOOKUP($A90,'[1]ma sp 02'!$A$5:$BD$1101,T$1,0)</f>
        <v>0</v>
      </c>
      <c r="U90" s="50">
        <f>VLOOKUP($A90,'[1]ma sp 02'!$A$5:$BD$1101,U$1,0)</f>
        <v>0</v>
      </c>
      <c r="V90" s="50">
        <f>VLOOKUP($A90,'[1]ma sp 02'!$A$5:$BD$1101,V$1,0)</f>
        <v>0</v>
      </c>
      <c r="W90" s="50">
        <f>VLOOKUP($A90,'[1]ma sp 02'!$A$5:$BD$1101,W$1,0)</f>
        <v>0</v>
      </c>
      <c r="X90" s="50">
        <f t="shared" si="2"/>
        <v>6</v>
      </c>
      <c r="Y90" s="58"/>
      <c r="Z90" s="58"/>
      <c r="AA90" s="58"/>
      <c r="AB90" s="58"/>
      <c r="AC90" s="58"/>
      <c r="AD90" s="58"/>
      <c r="AE90" s="58" t="s">
        <v>405</v>
      </c>
      <c r="AF90" s="58"/>
      <c r="AG90" s="89">
        <f>(0.02*0.91+0.03*0.925)*0.66</f>
        <v>3.0327000000000003E-2</v>
      </c>
      <c r="AH90" s="55">
        <f>(2/0.75/2)*0.66</f>
        <v>0.88</v>
      </c>
      <c r="AI90" s="80"/>
      <c r="AJ90" s="58">
        <v>9530</v>
      </c>
      <c r="AK90" s="57"/>
      <c r="AL90" s="58">
        <v>2E-3</v>
      </c>
      <c r="AM90" s="52" t="s">
        <v>74</v>
      </c>
      <c r="AN90" s="58">
        <v>460</v>
      </c>
      <c r="AO90" s="52" t="s">
        <v>401</v>
      </c>
      <c r="AP90" s="59">
        <f>IFERROR(VLOOKUP($A90,[2]Mssp!$A$5:$BE$1463,AP$4+1,0),0)</f>
        <v>0</v>
      </c>
      <c r="AQ90" s="59">
        <f>IFERROR(VLOOKUP($A90,[2]Mssp!$A$5:$BE$1463,AQ$4+1,0),0)</f>
        <v>0</v>
      </c>
      <c r="AR90" s="59">
        <f>IFERROR(VLOOKUP($A90,[2]Mssp!$A$5:$BE$1463,AR$4+1,0),0)</f>
        <v>0</v>
      </c>
      <c r="AS90" s="59">
        <f>IFERROR(VLOOKUP($A90,[2]Mssp!$A$5:$BE$1463,AS$4+1,0),0)</f>
        <v>0</v>
      </c>
      <c r="AT90" s="59">
        <f>IFERROR(VLOOKUP($A90,[2]Mssp!$A$5:$BE$1463,AT$4+1,0),0)</f>
        <v>0</v>
      </c>
      <c r="AU90" s="59">
        <f>IFERROR(VLOOKUP($A90,[2]Mssp!$A$5:$BE$1463,AU$4+1,0),0)</f>
        <v>0</v>
      </c>
      <c r="AV90" s="59">
        <f>IFERROR(VLOOKUP($A90,[2]Mssp!$A$5:$BE$1463,AV$4+1,0),0)</f>
        <v>0</v>
      </c>
      <c r="AW90" s="59">
        <f>IFERROR(VLOOKUP($A90,[2]Mssp!$A$5:$BE$1463,AW$4+1,0),0)</f>
        <v>0</v>
      </c>
      <c r="AX90" s="59">
        <f>IFERROR(VLOOKUP($A90,[2]Mssp!$A$5:$BE$1463,AX$4+1,0),0)</f>
        <v>0</v>
      </c>
      <c r="AY90" s="59">
        <f>IFERROR(VLOOKUP($A90,[2]Mssp!$A$5:$BE$1463,AY$4+2,0),0)</f>
        <v>0</v>
      </c>
      <c r="AZ90" s="59">
        <f>IFERROR(VLOOKUP($A90,[2]Mssp!$A$5:$BE$1463,AZ$4+2,0),0)</f>
        <v>0</v>
      </c>
      <c r="BA90" s="60">
        <v>2000</v>
      </c>
      <c r="BB90" s="61" t="s">
        <v>402</v>
      </c>
      <c r="BC90" s="62"/>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row>
    <row r="91" spans="1:94" ht="45" x14ac:dyDescent="0.25">
      <c r="A91" s="50" t="s">
        <v>406</v>
      </c>
      <c r="B91" s="73" t="s">
        <v>407</v>
      </c>
      <c r="C91" s="50">
        <f t="shared" si="3"/>
        <v>3.23</v>
      </c>
      <c r="D91" s="58">
        <v>2</v>
      </c>
      <c r="E91" s="58" t="s">
        <v>90</v>
      </c>
      <c r="F91" s="58">
        <v>5</v>
      </c>
      <c r="G91" s="50" t="s">
        <v>56</v>
      </c>
      <c r="H91" s="50">
        <f>VLOOKUP($A91,'[1]ma sp 02'!$A$5:$BD$1101,H$1,0)</f>
        <v>0.13</v>
      </c>
      <c r="I91" s="50">
        <f>VLOOKUP($A91,'[1]ma sp 02'!$A$5:$BD$1101,I$1,0)</f>
        <v>1.21</v>
      </c>
      <c r="J91" s="50">
        <f>VLOOKUP($A91,'[1]ma sp 02'!$A$5:$BD$1101,J$1,0)</f>
        <v>0.26</v>
      </c>
      <c r="K91" s="50">
        <f>VLOOKUP($A91,'[1]ma sp 02'!$A$5:$BD$1101,K$1,0)</f>
        <v>0.01</v>
      </c>
      <c r="L91" s="50">
        <f>VLOOKUP($A91,'[1]ma sp 02'!$A$5:$BD$1101,L$1,0)</f>
        <v>1.23</v>
      </c>
      <c r="M91" s="50">
        <f>VLOOKUP($A91,'[1]ma sp 02'!$A$5:$BD$1101,M$1,0)</f>
        <v>0</v>
      </c>
      <c r="N91" s="50">
        <f>VLOOKUP($A91,'[1]ma sp 02'!$A$5:$BD$1101,N$1,0)</f>
        <v>0</v>
      </c>
      <c r="O91" s="50">
        <f>VLOOKUP($A91,'[1]ma sp 02'!$A$5:$BD$1101,O$1,0)</f>
        <v>0.23</v>
      </c>
      <c r="P91" s="50">
        <f>VLOOKUP($A91,'[1]ma sp 02'!$A$5:$BD$1101,P$1,0)</f>
        <v>0.08</v>
      </c>
      <c r="Q91" s="50">
        <f>VLOOKUP($A91,'[1]ma sp 02'!$A$5:$BD$1101,Q$1,0)</f>
        <v>0.08</v>
      </c>
      <c r="R91" s="50">
        <f>VLOOKUP($A91,'[1]ma sp 02'!$A$5:$BD$1101,R$1,0)</f>
        <v>0</v>
      </c>
      <c r="S91" s="50">
        <f>VLOOKUP($A91,'[1]ma sp 02'!$A$5:$BD$1101,S$1,0)</f>
        <v>0</v>
      </c>
      <c r="T91" s="50">
        <f>VLOOKUP($A91,'[1]ma sp 02'!$A$5:$BD$1101,T$1,0)</f>
        <v>0</v>
      </c>
      <c r="U91" s="50">
        <f>VLOOKUP($A91,'[1]ma sp 02'!$A$5:$BD$1101,U$1,0)</f>
        <v>0</v>
      </c>
      <c r="V91" s="50">
        <f>VLOOKUP($A91,'[1]ma sp 02'!$A$5:$BD$1101,V$1,0)</f>
        <v>0</v>
      </c>
      <c r="W91" s="50">
        <f>VLOOKUP($A91,'[1]ma sp 02'!$A$5:$BD$1101,W$1,0)</f>
        <v>0</v>
      </c>
      <c r="X91" s="50">
        <f t="shared" si="2"/>
        <v>8</v>
      </c>
      <c r="Y91" s="57"/>
      <c r="Z91" s="57"/>
      <c r="AA91" s="57"/>
      <c r="AB91" s="57"/>
      <c r="AC91" s="57"/>
      <c r="AD91" s="57"/>
      <c r="AE91" s="58" t="s">
        <v>408</v>
      </c>
      <c r="AF91" s="57"/>
      <c r="AG91" s="83">
        <f>(0.02*0.91+0.065*0.925)*0.7</f>
        <v>5.4827500000000001E-2</v>
      </c>
      <c r="AH91" s="55">
        <f>(2.2/0.75/2)*0.69</f>
        <v>1.012</v>
      </c>
      <c r="AI91" s="57"/>
      <c r="AJ91" s="58">
        <v>9530</v>
      </c>
      <c r="AK91" s="57"/>
      <c r="AL91" s="58">
        <v>2E-3</v>
      </c>
      <c r="AM91" s="52" t="s">
        <v>74</v>
      </c>
      <c r="AN91" s="58">
        <v>240</v>
      </c>
      <c r="AO91" s="52" t="s">
        <v>240</v>
      </c>
      <c r="AP91" s="59" t="str">
        <f>IFERROR(VLOOKUP($A91,[2]Mssp!$A$5:$BE$1463,AP$4+1,0),0)</f>
        <v>20100917-1</v>
      </c>
      <c r="AQ91" s="59" t="str">
        <f>IFERROR(VLOOKUP($A91,[2]Mssp!$A$5:$BE$1463,AQ$4+1,0),0)</f>
        <v>20100917-2</v>
      </c>
      <c r="AR91" s="59" t="str">
        <f>IFERROR(VLOOKUP($A91,[2]Mssp!$A$5:$BE$1463,AR$4+1,0),0)</f>
        <v>20100917-3</v>
      </c>
      <c r="AS91" s="59" t="str">
        <f>IFERROR(VLOOKUP($A91,[2]Mssp!$A$5:$BE$1463,AS$4+1,0),0)</f>
        <v>1505663-4</v>
      </c>
      <c r="AT91" s="59" t="str">
        <f>IFERROR(VLOOKUP($A91,[2]Mssp!$A$5:$BE$1463,AT$4+1,0),0)</f>
        <v>1805776-5</v>
      </c>
      <c r="AU91" s="59">
        <f>IFERROR(VLOOKUP($A91,[2]Mssp!$A$5:$BE$1463,AU$4+1,0),0)</f>
        <v>0</v>
      </c>
      <c r="AV91" s="59">
        <f>IFERROR(VLOOKUP($A91,[2]Mssp!$A$5:$BE$1463,AV$4+1,0),0)</f>
        <v>0</v>
      </c>
      <c r="AW91" s="59">
        <f>IFERROR(VLOOKUP($A91,[2]Mssp!$A$5:$BE$1463,AW$4+1,0),0)</f>
        <v>0</v>
      </c>
      <c r="AX91" s="59">
        <f>IFERROR(VLOOKUP($A91,[2]Mssp!$A$5:$BE$1463,AX$4+1,0),0)</f>
        <v>0</v>
      </c>
      <c r="AY91" s="59" t="str">
        <f>IFERROR(VLOOKUP($A91,[2]Mssp!$A$5:$BE$1463,AY$4+2,0),0)</f>
        <v>480x850</v>
      </c>
      <c r="AZ91" s="59" t="str">
        <f>IFERROR(VLOOKUP($A91,[2]Mssp!$A$5:$BE$1463,AZ$4+2,0),0)</f>
        <v>N1</v>
      </c>
      <c r="BA91" s="60">
        <v>5000</v>
      </c>
      <c r="BB91" s="61" t="s">
        <v>62</v>
      </c>
      <c r="BC91" s="62"/>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c r="CP91" s="9"/>
    </row>
    <row r="92" spans="1:94" ht="45" x14ac:dyDescent="0.25">
      <c r="A92" s="50" t="s">
        <v>409</v>
      </c>
      <c r="B92" s="73" t="s">
        <v>410</v>
      </c>
      <c r="C92" s="50">
        <f t="shared" si="3"/>
        <v>6.4520000000000008</v>
      </c>
      <c r="D92" s="58">
        <v>3</v>
      </c>
      <c r="E92" s="58" t="s">
        <v>411</v>
      </c>
      <c r="F92" s="58">
        <v>5</v>
      </c>
      <c r="G92" s="50" t="s">
        <v>114</v>
      </c>
      <c r="H92" s="50">
        <f>VLOOKUP($A92,'[1]ma sp 02'!$A$5:$BD$1101,H$1,0)</f>
        <v>0.19</v>
      </c>
      <c r="I92" s="50">
        <f>VLOOKUP($A92,'[1]ma sp 02'!$A$5:$BD$1101,I$1,0)</f>
        <v>3.6</v>
      </c>
      <c r="J92" s="50">
        <f>VLOOKUP($A92,'[1]ma sp 02'!$A$5:$BD$1101,J$1,0)</f>
        <v>0.43</v>
      </c>
      <c r="K92" s="50">
        <f>VLOOKUP($A92,'[1]ma sp 02'!$A$5:$BD$1101,K$1,0)</f>
        <v>0.4</v>
      </c>
      <c r="L92" s="50">
        <f>VLOOKUP($A92,'[1]ma sp 02'!$A$5:$BD$1101,L$1,0)</f>
        <v>0.9</v>
      </c>
      <c r="M92" s="50">
        <f>VLOOKUP($A92,'[1]ma sp 02'!$A$5:$BD$1101,M$1,0)</f>
        <v>0.93200000000000005</v>
      </c>
      <c r="N92" s="50">
        <f>VLOOKUP($A92,'[1]ma sp 02'!$A$5:$BD$1101,N$1,0)</f>
        <v>0</v>
      </c>
      <c r="O92" s="50">
        <f>VLOOKUP($A92,'[1]ma sp 02'!$A$5:$BD$1101,O$1,0)</f>
        <v>0</v>
      </c>
      <c r="P92" s="50">
        <f>VLOOKUP($A92,'[1]ma sp 02'!$A$5:$BD$1101,P$1,0)</f>
        <v>0</v>
      </c>
      <c r="Q92" s="50">
        <f>VLOOKUP($A92,'[1]ma sp 02'!$A$5:$BD$1101,Q$1,0)</f>
        <v>0</v>
      </c>
      <c r="R92" s="50">
        <f>VLOOKUP($A92,'[1]ma sp 02'!$A$5:$BD$1101,R$1,0)</f>
        <v>0</v>
      </c>
      <c r="S92" s="50">
        <f>VLOOKUP($A92,'[1]ma sp 02'!$A$5:$BD$1101,S$1,0)</f>
        <v>0</v>
      </c>
      <c r="T92" s="50">
        <f>VLOOKUP($A92,'[1]ma sp 02'!$A$5:$BD$1101,T$1,0)</f>
        <v>0</v>
      </c>
      <c r="U92" s="50">
        <f>VLOOKUP($A92,'[1]ma sp 02'!$A$5:$BD$1101,U$1,0)</f>
        <v>0</v>
      </c>
      <c r="V92" s="50">
        <f>VLOOKUP($A92,'[1]ma sp 02'!$A$5:$BD$1101,V$1,0)</f>
        <v>0</v>
      </c>
      <c r="W92" s="50">
        <f>VLOOKUP($A92,'[1]ma sp 02'!$A$5:$BD$1101,W$1,0)</f>
        <v>0</v>
      </c>
      <c r="X92" s="50">
        <f t="shared" si="2"/>
        <v>6</v>
      </c>
      <c r="Y92" s="57"/>
      <c r="Z92" s="57"/>
      <c r="AA92" s="57"/>
      <c r="AB92" s="57"/>
      <c r="AC92" s="57"/>
      <c r="AD92" s="57"/>
      <c r="AE92" s="58" t="s">
        <v>66</v>
      </c>
      <c r="AF92" s="58" t="s">
        <v>412</v>
      </c>
      <c r="AG92" s="65">
        <f>(0.012*1.4+0.012*1.4+0.075*0.925)*0.68</f>
        <v>7.0023000000000016E-2</v>
      </c>
      <c r="AH92" s="55">
        <f>(2.3/0.75/2)*0.67</f>
        <v>1.0273333333333332</v>
      </c>
      <c r="AI92" s="54">
        <v>1.0273333333333332</v>
      </c>
      <c r="AJ92" s="58">
        <v>9530</v>
      </c>
      <c r="AK92" s="57">
        <v>9530</v>
      </c>
      <c r="AL92" s="52" t="s">
        <v>354</v>
      </c>
      <c r="AM92" s="52" t="s">
        <v>104</v>
      </c>
      <c r="AN92" s="58">
        <v>220</v>
      </c>
      <c r="AO92" s="52" t="s">
        <v>360</v>
      </c>
      <c r="AP92" s="59">
        <f>IFERROR(VLOOKUP($A92,[2]Mssp!$A$5:$BE$1463,AP$4+1,0),0)</f>
        <v>0</v>
      </c>
      <c r="AQ92" s="59">
        <f>IFERROR(VLOOKUP($A92,[2]Mssp!$A$5:$BE$1463,AQ$4+1,0),0)</f>
        <v>0</v>
      </c>
      <c r="AR92" s="59">
        <f>IFERROR(VLOOKUP($A92,[2]Mssp!$A$5:$BE$1463,AR$4+1,0),0)</f>
        <v>0</v>
      </c>
      <c r="AS92" s="59">
        <f>IFERROR(VLOOKUP($A92,[2]Mssp!$A$5:$BE$1463,AS$4+1,0),0)</f>
        <v>0</v>
      </c>
      <c r="AT92" s="59">
        <f>IFERROR(VLOOKUP($A92,[2]Mssp!$A$5:$BE$1463,AT$4+1,0),0)</f>
        <v>0</v>
      </c>
      <c r="AU92" s="59">
        <f>IFERROR(VLOOKUP($A92,[2]Mssp!$A$5:$BE$1463,AU$4+1,0),0)</f>
        <v>0</v>
      </c>
      <c r="AV92" s="59">
        <f>IFERROR(VLOOKUP($A92,[2]Mssp!$A$5:$BE$1463,AV$4+1,0),0)</f>
        <v>0</v>
      </c>
      <c r="AW92" s="59">
        <f>IFERROR(VLOOKUP($A92,[2]Mssp!$A$5:$BE$1463,AW$4+1,0),0)</f>
        <v>0</v>
      </c>
      <c r="AX92" s="59">
        <f>IFERROR(VLOOKUP($A92,[2]Mssp!$A$5:$BE$1463,AX$4+1,0),0)</f>
        <v>0</v>
      </c>
      <c r="AY92" s="59">
        <f>IFERROR(VLOOKUP($A92,[2]Mssp!$A$5:$BE$1463,AY$4+2,0),0)</f>
        <v>0</v>
      </c>
      <c r="AZ92" s="59">
        <f>IFERROR(VLOOKUP($A92,[2]Mssp!$A$5:$BE$1463,AZ$4+2,0),0)</f>
        <v>0</v>
      </c>
      <c r="BA92" s="60">
        <v>0</v>
      </c>
      <c r="BB92" s="61" t="s">
        <v>107</v>
      </c>
      <c r="BC92" s="62"/>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row>
    <row r="93" spans="1:94" ht="45" x14ac:dyDescent="0.25">
      <c r="A93" s="50" t="s">
        <v>413</v>
      </c>
      <c r="B93" s="73" t="s">
        <v>414</v>
      </c>
      <c r="C93" s="50">
        <f t="shared" si="3"/>
        <v>5.7</v>
      </c>
      <c r="D93" s="58">
        <v>3</v>
      </c>
      <c r="E93" s="58" t="s">
        <v>415</v>
      </c>
      <c r="F93" s="58">
        <v>5</v>
      </c>
      <c r="G93" s="50" t="s">
        <v>114</v>
      </c>
      <c r="H93" s="50">
        <f>VLOOKUP($A93,'[1]ma sp 02'!$A$5:$BD$1101,H$1,0)</f>
        <v>0.2</v>
      </c>
      <c r="I93" s="50">
        <f>VLOOKUP($A93,'[1]ma sp 02'!$A$5:$BD$1101,I$1,0)</f>
        <v>3</v>
      </c>
      <c r="J93" s="50">
        <f>VLOOKUP($A93,'[1]ma sp 02'!$A$5:$BD$1101,J$1,0)</f>
        <v>0.8</v>
      </c>
      <c r="K93" s="50">
        <f>VLOOKUP($A93,'[1]ma sp 02'!$A$5:$BD$1101,K$1,0)</f>
        <v>0.1</v>
      </c>
      <c r="L93" s="50">
        <f>VLOOKUP($A93,'[1]ma sp 02'!$A$5:$BD$1101,L$1,0)</f>
        <v>0.7</v>
      </c>
      <c r="M93" s="50">
        <f>VLOOKUP($A93,'[1]ma sp 02'!$A$5:$BD$1101,M$1,0)</f>
        <v>0.9</v>
      </c>
      <c r="N93" s="50">
        <f>VLOOKUP($A93,'[1]ma sp 02'!$A$5:$BD$1101,N$1,0)</f>
        <v>0</v>
      </c>
      <c r="O93" s="50">
        <f>VLOOKUP($A93,'[1]ma sp 02'!$A$5:$BD$1101,O$1,0)</f>
        <v>0</v>
      </c>
      <c r="P93" s="50">
        <f>VLOOKUP($A93,'[1]ma sp 02'!$A$5:$BD$1101,P$1,0)</f>
        <v>0</v>
      </c>
      <c r="Q93" s="50">
        <f>VLOOKUP($A93,'[1]ma sp 02'!$A$5:$BD$1101,Q$1,0)</f>
        <v>0</v>
      </c>
      <c r="R93" s="50">
        <f>VLOOKUP($A93,'[1]ma sp 02'!$A$5:$BD$1101,R$1,0)</f>
        <v>0</v>
      </c>
      <c r="S93" s="50">
        <f>VLOOKUP($A93,'[1]ma sp 02'!$A$5:$BD$1101,S$1,0)</f>
        <v>0</v>
      </c>
      <c r="T93" s="50">
        <f>VLOOKUP($A93,'[1]ma sp 02'!$A$5:$BD$1101,T$1,0)</f>
        <v>0</v>
      </c>
      <c r="U93" s="50">
        <f>VLOOKUP($A93,'[1]ma sp 02'!$A$5:$BD$1101,U$1,0)</f>
        <v>0</v>
      </c>
      <c r="V93" s="50">
        <f>VLOOKUP($A93,'[1]ma sp 02'!$A$5:$BD$1101,V$1,0)</f>
        <v>0</v>
      </c>
      <c r="W93" s="50">
        <f>VLOOKUP($A93,'[1]ma sp 02'!$A$5:$BD$1101,W$1,0)</f>
        <v>0</v>
      </c>
      <c r="X93" s="50">
        <f t="shared" si="2"/>
        <v>6</v>
      </c>
      <c r="Y93" s="58"/>
      <c r="Z93" s="58"/>
      <c r="AA93" s="58"/>
      <c r="AB93" s="58"/>
      <c r="AC93" s="58"/>
      <c r="AD93" s="58"/>
      <c r="AE93" s="58" t="s">
        <v>78</v>
      </c>
      <c r="AF93" s="58" t="s">
        <v>324</v>
      </c>
      <c r="AG93" s="65">
        <f>(0.012*1.4+0.012*1.4+0.075*0.925)*0.62</f>
        <v>6.3844500000000012E-2</v>
      </c>
      <c r="AH93" s="55">
        <f>(2.3/0.75/2)*0.61</f>
        <v>0.93533333333333324</v>
      </c>
      <c r="AI93" s="80">
        <v>1.22</v>
      </c>
      <c r="AJ93" s="58">
        <v>9530</v>
      </c>
      <c r="AK93" s="57">
        <v>9530</v>
      </c>
      <c r="AL93" s="52" t="s">
        <v>117</v>
      </c>
      <c r="AM93" s="52" t="s">
        <v>104</v>
      </c>
      <c r="AN93" s="57">
        <v>200</v>
      </c>
      <c r="AO93" s="52" t="s">
        <v>360</v>
      </c>
      <c r="AP93" s="59">
        <f>IFERROR(VLOOKUP($A93,[2]Mssp!$A$5:$BE$1463,AP$4+1,0),0)</f>
        <v>0</v>
      </c>
      <c r="AQ93" s="59">
        <f>IFERROR(VLOOKUP($A93,[2]Mssp!$A$5:$BE$1463,AQ$4+1,0),0)</f>
        <v>0</v>
      </c>
      <c r="AR93" s="59">
        <f>IFERROR(VLOOKUP($A93,[2]Mssp!$A$5:$BE$1463,AR$4+1,0),0)</f>
        <v>0</v>
      </c>
      <c r="AS93" s="59">
        <f>IFERROR(VLOOKUP($A93,[2]Mssp!$A$5:$BE$1463,AS$4+1,0),0)</f>
        <v>0</v>
      </c>
      <c r="AT93" s="59">
        <f>IFERROR(VLOOKUP($A93,[2]Mssp!$A$5:$BE$1463,AT$4+1,0),0)</f>
        <v>0</v>
      </c>
      <c r="AU93" s="59">
        <f>IFERROR(VLOOKUP($A93,[2]Mssp!$A$5:$BE$1463,AU$4+1,0),0)</f>
        <v>0</v>
      </c>
      <c r="AV93" s="59">
        <f>IFERROR(VLOOKUP($A93,[2]Mssp!$A$5:$BE$1463,AV$4+1,0),0)</f>
        <v>0</v>
      </c>
      <c r="AW93" s="59">
        <f>IFERROR(VLOOKUP($A93,[2]Mssp!$A$5:$BE$1463,AW$4+1,0),0)</f>
        <v>0</v>
      </c>
      <c r="AX93" s="59">
        <f>IFERROR(VLOOKUP($A93,[2]Mssp!$A$5:$BE$1463,AX$4+1,0),0)</f>
        <v>0</v>
      </c>
      <c r="AY93" s="59">
        <f>IFERROR(VLOOKUP($A93,[2]Mssp!$A$5:$BE$1463,AY$4+2,0),0)</f>
        <v>0</v>
      </c>
      <c r="AZ93" s="59">
        <f>IFERROR(VLOOKUP($A93,[2]Mssp!$A$5:$BE$1463,AZ$4+2,0),0)</f>
        <v>0</v>
      </c>
      <c r="BA93" s="60">
        <v>0</v>
      </c>
      <c r="BB93" s="61" t="s">
        <v>107</v>
      </c>
      <c r="BC93" s="62"/>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row>
    <row r="94" spans="1:94" ht="45" x14ac:dyDescent="0.25">
      <c r="A94" s="50" t="s">
        <v>416</v>
      </c>
      <c r="B94" s="73" t="s">
        <v>417</v>
      </c>
      <c r="C94" s="50">
        <f t="shared" si="3"/>
        <v>0</v>
      </c>
      <c r="D94" s="58">
        <v>12</v>
      </c>
      <c r="E94" s="58" t="s">
        <v>418</v>
      </c>
      <c r="F94" s="58">
        <v>1</v>
      </c>
      <c r="G94" s="50" t="s">
        <v>56</v>
      </c>
      <c r="H94" s="50">
        <f>VLOOKUP($A94,'[1]ma sp 02'!$A$5:$BD$1101,H$1,0)</f>
        <v>0</v>
      </c>
      <c r="I94" s="50">
        <f>VLOOKUP($A94,'[1]ma sp 02'!$A$5:$BD$1101,I$1,0)</f>
        <v>0</v>
      </c>
      <c r="J94" s="50">
        <f>VLOOKUP($A94,'[1]ma sp 02'!$A$5:$BD$1101,J$1,0)</f>
        <v>0</v>
      </c>
      <c r="K94" s="50">
        <f>VLOOKUP($A94,'[1]ma sp 02'!$A$5:$BD$1101,K$1,0)</f>
        <v>0</v>
      </c>
      <c r="L94" s="50">
        <f>VLOOKUP($A94,'[1]ma sp 02'!$A$5:$BD$1101,L$1,0)</f>
        <v>0</v>
      </c>
      <c r="M94" s="50">
        <f>VLOOKUP($A94,'[1]ma sp 02'!$A$5:$BD$1101,M$1,0)</f>
        <v>0</v>
      </c>
      <c r="N94" s="50">
        <f>VLOOKUP($A94,'[1]ma sp 02'!$A$5:$BD$1101,N$1,0)</f>
        <v>0</v>
      </c>
      <c r="O94" s="50">
        <f>VLOOKUP($A94,'[1]ma sp 02'!$A$5:$BD$1101,O$1,0)</f>
        <v>0</v>
      </c>
      <c r="P94" s="50">
        <f>VLOOKUP($A94,'[1]ma sp 02'!$A$5:$BD$1101,P$1,0)</f>
        <v>0</v>
      </c>
      <c r="Q94" s="50">
        <f>VLOOKUP($A94,'[1]ma sp 02'!$A$5:$BD$1101,Q$1,0)</f>
        <v>0</v>
      </c>
      <c r="R94" s="50">
        <f>VLOOKUP($A94,'[1]ma sp 02'!$A$5:$BD$1101,R$1,0)</f>
        <v>0</v>
      </c>
      <c r="S94" s="50">
        <f>VLOOKUP($A94,'[1]ma sp 02'!$A$5:$BD$1101,S$1,0)</f>
        <v>0</v>
      </c>
      <c r="T94" s="50">
        <f>VLOOKUP($A94,'[1]ma sp 02'!$A$5:$BD$1101,T$1,0)</f>
        <v>0</v>
      </c>
      <c r="U94" s="50">
        <f>VLOOKUP($A94,'[1]ma sp 02'!$A$5:$BD$1101,U$1,0)</f>
        <v>0</v>
      </c>
      <c r="V94" s="50">
        <f>VLOOKUP($A94,'[1]ma sp 02'!$A$5:$BD$1101,V$1,0)</f>
        <v>0</v>
      </c>
      <c r="W94" s="50">
        <f>VLOOKUP($A94,'[1]ma sp 02'!$A$5:$BD$1101,W$1,0)</f>
        <v>0</v>
      </c>
      <c r="X94" s="50">
        <f t="shared" si="2"/>
        <v>0</v>
      </c>
      <c r="Y94" s="58"/>
      <c r="Z94" s="58"/>
      <c r="AA94" s="58"/>
      <c r="AB94" s="58"/>
      <c r="AC94" s="58"/>
      <c r="AD94" s="58"/>
      <c r="AE94" s="58" t="s">
        <v>419</v>
      </c>
      <c r="AF94" s="58" t="s">
        <v>420</v>
      </c>
      <c r="AG94" s="89">
        <f>(0.02*0.91+0.006*2.71+0.07*0.925)*0.7</f>
        <v>6.9447000000000009E-2</v>
      </c>
      <c r="AH94" s="55">
        <f>(2.3/0.75/2)*0.69</f>
        <v>1.0579999999999998</v>
      </c>
      <c r="AI94" s="54">
        <f>(3/0.75/2)*0.69</f>
        <v>1.38</v>
      </c>
      <c r="AJ94" s="58">
        <v>9530</v>
      </c>
      <c r="AK94" s="57">
        <v>9530</v>
      </c>
      <c r="AL94" s="52" t="s">
        <v>117</v>
      </c>
      <c r="AM94" s="52" t="s">
        <v>74</v>
      </c>
      <c r="AN94" s="57">
        <v>150</v>
      </c>
      <c r="AO94" s="52" t="s">
        <v>75</v>
      </c>
      <c r="AP94" s="59" t="str">
        <f>IFERROR(VLOOKUP($A94,[2]Mssp!$A$5:$BE$1463,AP$4+1,0),0)</f>
        <v>1505773-1</v>
      </c>
      <c r="AQ94" s="59">
        <f>IFERROR(VLOOKUP($A94,[2]Mssp!$A$5:$BE$1463,AQ$4+1,0),0)</f>
        <v>0</v>
      </c>
      <c r="AR94" s="59">
        <f>IFERROR(VLOOKUP($A94,[2]Mssp!$A$5:$BE$1463,AR$4+1,0),0)</f>
        <v>0</v>
      </c>
      <c r="AS94" s="59">
        <f>IFERROR(VLOOKUP($A94,[2]Mssp!$A$5:$BE$1463,AS$4+1,0),0)</f>
        <v>0</v>
      </c>
      <c r="AT94" s="59">
        <f>IFERROR(VLOOKUP($A94,[2]Mssp!$A$5:$BE$1463,AT$4+1,0),0)</f>
        <v>0</v>
      </c>
      <c r="AU94" s="59">
        <f>IFERROR(VLOOKUP($A94,[2]Mssp!$A$5:$BE$1463,AU$4+1,0),0)</f>
        <v>0</v>
      </c>
      <c r="AV94" s="59">
        <f>IFERROR(VLOOKUP($A94,[2]Mssp!$A$5:$BE$1463,AV$4+1,0),0)</f>
        <v>0</v>
      </c>
      <c r="AW94" s="59">
        <f>IFERROR(VLOOKUP($A94,[2]Mssp!$A$5:$BE$1463,AW$4+1,0),0)</f>
        <v>0</v>
      </c>
      <c r="AX94" s="59">
        <f>IFERROR(VLOOKUP($A94,[2]Mssp!$A$5:$BE$1463,AX$4+1,0),0)</f>
        <v>0</v>
      </c>
      <c r="AY94" s="59" t="str">
        <f>IFERROR(VLOOKUP($A94,[2]Mssp!$A$5:$BE$1463,AY$4+2,0),0)</f>
        <v>480x850</v>
      </c>
      <c r="AZ94" s="59" t="str">
        <f>IFERROR(VLOOKUP($A94,[2]Mssp!$A$5:$BE$1463,AZ$4+2,0),0)</f>
        <v>N1</v>
      </c>
      <c r="BA94" s="60">
        <v>0</v>
      </c>
      <c r="BB94" s="61" t="s">
        <v>62</v>
      </c>
      <c r="BC94" s="62"/>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row>
    <row r="95" spans="1:94" ht="45" x14ac:dyDescent="0.25">
      <c r="A95" s="50" t="s">
        <v>421</v>
      </c>
      <c r="B95" s="73" t="s">
        <v>422</v>
      </c>
      <c r="C95" s="50">
        <f t="shared" si="3"/>
        <v>0</v>
      </c>
      <c r="D95" s="58">
        <v>4</v>
      </c>
      <c r="E95" s="58" t="s">
        <v>418</v>
      </c>
      <c r="F95" s="58">
        <v>2</v>
      </c>
      <c r="G95" s="50" t="s">
        <v>56</v>
      </c>
      <c r="H95" s="50">
        <f>VLOOKUP($A95,'[1]ma sp 02'!$A$5:$BD$1101,H$1,0)</f>
        <v>0</v>
      </c>
      <c r="I95" s="50">
        <f>VLOOKUP($A95,'[1]ma sp 02'!$A$5:$BD$1101,I$1,0)</f>
        <v>0</v>
      </c>
      <c r="J95" s="50">
        <f>VLOOKUP($A95,'[1]ma sp 02'!$A$5:$BD$1101,J$1,0)</f>
        <v>0</v>
      </c>
      <c r="K95" s="50">
        <f>VLOOKUP($A95,'[1]ma sp 02'!$A$5:$BD$1101,K$1,0)</f>
        <v>0</v>
      </c>
      <c r="L95" s="50">
        <f>VLOOKUP($A95,'[1]ma sp 02'!$A$5:$BD$1101,L$1,0)</f>
        <v>0</v>
      </c>
      <c r="M95" s="50">
        <f>VLOOKUP($A95,'[1]ma sp 02'!$A$5:$BD$1101,M$1,0)</f>
        <v>0</v>
      </c>
      <c r="N95" s="50">
        <f>VLOOKUP($A95,'[1]ma sp 02'!$A$5:$BD$1101,N$1,0)</f>
        <v>0</v>
      </c>
      <c r="O95" s="50">
        <f>VLOOKUP($A95,'[1]ma sp 02'!$A$5:$BD$1101,O$1,0)</f>
        <v>0</v>
      </c>
      <c r="P95" s="50">
        <f>VLOOKUP($A95,'[1]ma sp 02'!$A$5:$BD$1101,P$1,0)</f>
        <v>0</v>
      </c>
      <c r="Q95" s="50">
        <f>VLOOKUP($A95,'[1]ma sp 02'!$A$5:$BD$1101,Q$1,0)</f>
        <v>0</v>
      </c>
      <c r="R95" s="50">
        <f>VLOOKUP($A95,'[1]ma sp 02'!$A$5:$BD$1101,R$1,0)</f>
        <v>0</v>
      </c>
      <c r="S95" s="50">
        <f>VLOOKUP($A95,'[1]ma sp 02'!$A$5:$BD$1101,S$1,0)</f>
        <v>0</v>
      </c>
      <c r="T95" s="50">
        <f>VLOOKUP($A95,'[1]ma sp 02'!$A$5:$BD$1101,T$1,0)</f>
        <v>0</v>
      </c>
      <c r="U95" s="50">
        <f>VLOOKUP($A95,'[1]ma sp 02'!$A$5:$BD$1101,U$1,0)</f>
        <v>0</v>
      </c>
      <c r="V95" s="50">
        <f>VLOOKUP($A95,'[1]ma sp 02'!$A$5:$BD$1101,V$1,0)</f>
        <v>0</v>
      </c>
      <c r="W95" s="50">
        <f>VLOOKUP($A95,'[1]ma sp 02'!$A$5:$BD$1101,W$1,0)</f>
        <v>0</v>
      </c>
      <c r="X95" s="50">
        <f t="shared" si="2"/>
        <v>0</v>
      </c>
      <c r="Y95" s="58"/>
      <c r="Z95" s="58"/>
      <c r="AA95" s="58"/>
      <c r="AB95" s="58"/>
      <c r="AC95" s="58"/>
      <c r="AD95" s="58"/>
      <c r="AE95" s="58" t="s">
        <v>419</v>
      </c>
      <c r="AF95" s="58" t="s">
        <v>420</v>
      </c>
      <c r="AG95" s="85">
        <f>(0.02*0.91+0.006*2.7+0.07*0.925)*0.7</f>
        <v>6.9405000000000008E-2</v>
      </c>
      <c r="AH95" s="54">
        <f>(2.3/0.75/2)*0.69</f>
        <v>1.0579999999999998</v>
      </c>
      <c r="AI95" s="54">
        <f>(3/0.75/2)*0.69</f>
        <v>1.38</v>
      </c>
      <c r="AJ95" s="58">
        <v>9530</v>
      </c>
      <c r="AK95" s="57">
        <v>9530</v>
      </c>
      <c r="AL95" s="52" t="s">
        <v>117</v>
      </c>
      <c r="AM95" s="52" t="s">
        <v>104</v>
      </c>
      <c r="AN95" s="57">
        <v>170</v>
      </c>
      <c r="AO95" s="52" t="s">
        <v>75</v>
      </c>
      <c r="AP95" s="59" t="str">
        <f>IFERROR(VLOOKUP($A95,[2]Mssp!$A$5:$BE$1463,AP$4+1,0),0)</f>
        <v>1505772-1</v>
      </c>
      <c r="AQ95" s="59" t="str">
        <f>IFERROR(VLOOKUP($A95,[2]Mssp!$A$5:$BE$1463,AQ$4+1,0),0)</f>
        <v>1505772-2</v>
      </c>
      <c r="AR95" s="59">
        <f>IFERROR(VLOOKUP($A95,[2]Mssp!$A$5:$BE$1463,AR$4+1,0),0)</f>
        <v>0</v>
      </c>
      <c r="AS95" s="59">
        <f>IFERROR(VLOOKUP($A95,[2]Mssp!$A$5:$BE$1463,AS$4+1,0),0)</f>
        <v>0</v>
      </c>
      <c r="AT95" s="59">
        <f>IFERROR(VLOOKUP($A95,[2]Mssp!$A$5:$BE$1463,AT$4+1,0),0)</f>
        <v>0</v>
      </c>
      <c r="AU95" s="59">
        <f>IFERROR(VLOOKUP($A95,[2]Mssp!$A$5:$BE$1463,AU$4+1,0),0)</f>
        <v>0</v>
      </c>
      <c r="AV95" s="59">
        <f>IFERROR(VLOOKUP($A95,[2]Mssp!$A$5:$BE$1463,AV$4+1,0),0)</f>
        <v>0</v>
      </c>
      <c r="AW95" s="59">
        <f>IFERROR(VLOOKUP($A95,[2]Mssp!$A$5:$BE$1463,AW$4+1,0),0)</f>
        <v>0</v>
      </c>
      <c r="AX95" s="59">
        <f>IFERROR(VLOOKUP($A95,[2]Mssp!$A$5:$BE$1463,AX$4+1,0),0)</f>
        <v>0</v>
      </c>
      <c r="AY95" s="59" t="str">
        <f>IFERROR(VLOOKUP($A95,[2]Mssp!$A$5:$BE$1463,AY$4+2,0),0)</f>
        <v>480x850</v>
      </c>
      <c r="AZ95" s="59" t="str">
        <f>IFERROR(VLOOKUP($A95,[2]Mssp!$A$5:$BE$1463,AZ$4+2,0),0)</f>
        <v>N1</v>
      </c>
      <c r="BA95" s="60">
        <v>0</v>
      </c>
      <c r="BB95" s="61" t="s">
        <v>107</v>
      </c>
      <c r="BC95" s="62"/>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row>
    <row r="96" spans="1:94" ht="45" x14ac:dyDescent="0.25">
      <c r="A96" s="50" t="s">
        <v>423</v>
      </c>
      <c r="B96" s="73" t="s">
        <v>424</v>
      </c>
      <c r="C96" s="50">
        <f t="shared" si="3"/>
        <v>6.5100000000000016</v>
      </c>
      <c r="D96" s="58">
        <v>2</v>
      </c>
      <c r="E96" s="58" t="s">
        <v>173</v>
      </c>
      <c r="F96" s="58">
        <v>3</v>
      </c>
      <c r="G96" s="50" t="s">
        <v>56</v>
      </c>
      <c r="H96" s="50">
        <f>VLOOKUP($A96,'[1]ma sp 02'!$A$5:$BD$1101,H$1,0)</f>
        <v>0.23</v>
      </c>
      <c r="I96" s="50">
        <f>VLOOKUP($A96,'[1]ma sp 02'!$A$5:$BD$1101,I$1,0)</f>
        <v>4.49</v>
      </c>
      <c r="J96" s="50">
        <f>VLOOKUP($A96,'[1]ma sp 02'!$A$5:$BD$1101,J$1,0)</f>
        <v>0</v>
      </c>
      <c r="K96" s="50">
        <f>VLOOKUP($A96,'[1]ma sp 02'!$A$5:$BD$1101,K$1,0)</f>
        <v>0</v>
      </c>
      <c r="L96" s="50">
        <f>VLOOKUP($A96,'[1]ma sp 02'!$A$5:$BD$1101,L$1,0)</f>
        <v>0</v>
      </c>
      <c r="M96" s="50">
        <f>VLOOKUP($A96,'[1]ma sp 02'!$A$5:$BD$1101,M$1,0)</f>
        <v>0</v>
      </c>
      <c r="N96" s="50">
        <f>VLOOKUP($A96,'[1]ma sp 02'!$A$5:$BD$1101,N$1,0)</f>
        <v>0</v>
      </c>
      <c r="O96" s="50">
        <f>VLOOKUP($A96,'[1]ma sp 02'!$A$5:$BD$1101,O$1,0)</f>
        <v>0</v>
      </c>
      <c r="P96" s="50">
        <f>VLOOKUP($A96,'[1]ma sp 02'!$A$5:$BD$1101,P$1,0)</f>
        <v>0.81</v>
      </c>
      <c r="Q96" s="50">
        <f>VLOOKUP($A96,'[1]ma sp 02'!$A$5:$BD$1101,Q$1,0)</f>
        <v>0</v>
      </c>
      <c r="R96" s="50">
        <f>VLOOKUP($A96,'[1]ma sp 02'!$A$5:$BD$1101,R$1,0)</f>
        <v>0.98</v>
      </c>
      <c r="S96" s="50">
        <f>VLOOKUP($A96,'[1]ma sp 02'!$A$5:$BD$1101,S$1,0)</f>
        <v>0</v>
      </c>
      <c r="T96" s="50">
        <f>VLOOKUP($A96,'[1]ma sp 02'!$A$5:$BD$1101,T$1,0)</f>
        <v>0</v>
      </c>
      <c r="U96" s="50">
        <f>VLOOKUP($A96,'[1]ma sp 02'!$A$5:$BD$1101,U$1,0)</f>
        <v>0</v>
      </c>
      <c r="V96" s="50">
        <f>VLOOKUP($A96,'[1]ma sp 02'!$A$5:$BD$1101,V$1,0)</f>
        <v>0</v>
      </c>
      <c r="W96" s="50">
        <f>VLOOKUP($A96,'[1]ma sp 02'!$A$5:$BD$1101,W$1,0)</f>
        <v>0</v>
      </c>
      <c r="X96" s="50">
        <f t="shared" si="2"/>
        <v>4</v>
      </c>
      <c r="Y96" s="57"/>
      <c r="Z96" s="57"/>
      <c r="AA96" s="57"/>
      <c r="AB96" s="57"/>
      <c r="AC96" s="57"/>
      <c r="AD96" s="57"/>
      <c r="AE96" s="58" t="s">
        <v>425</v>
      </c>
      <c r="AF96" s="58" t="s">
        <v>426</v>
      </c>
      <c r="AG96" s="85">
        <f>(0.02*0.91+0.012*1.4+0.065*0.925)*0.78</f>
        <v>7.4197500000000013E-2</v>
      </c>
      <c r="AH96" s="54">
        <f>(2.3/0.75/2)*0.77</f>
        <v>1.1806666666666665</v>
      </c>
      <c r="AI96" s="54">
        <f>(3/0.75/2)*0.77</f>
        <v>1.54</v>
      </c>
      <c r="AJ96" s="58">
        <v>9530</v>
      </c>
      <c r="AK96" s="57">
        <v>9530</v>
      </c>
      <c r="AL96" s="52" t="s">
        <v>354</v>
      </c>
      <c r="AM96" s="52" t="s">
        <v>74</v>
      </c>
      <c r="AN96" s="57">
        <v>220</v>
      </c>
      <c r="AO96" s="52" t="s">
        <v>75</v>
      </c>
      <c r="AP96" s="59" t="str">
        <f>IFERROR(VLOOKUP($A96,[2]Mssp!$A$5:$BE$1463,AP$4+1,0),0)</f>
        <v>20080781-1</v>
      </c>
      <c r="AQ96" s="59" t="str">
        <f>IFERROR(VLOOKUP($A96,[2]Mssp!$A$5:$BE$1463,AQ$4+1,0),0)</f>
        <v>20080781-2</v>
      </c>
      <c r="AR96" s="59" t="str">
        <f>IFERROR(VLOOKUP($A96,[2]Mssp!$A$5:$BE$1463,AR$4+1,0),0)</f>
        <v>1506198-3</v>
      </c>
      <c r="AS96" s="59">
        <f>IFERROR(VLOOKUP($A96,[2]Mssp!$A$5:$BE$1463,AS$4+1,0),0)</f>
        <v>0</v>
      </c>
      <c r="AT96" s="59">
        <f>IFERROR(VLOOKUP($A96,[2]Mssp!$A$5:$BE$1463,AT$4+1,0),0)</f>
        <v>0</v>
      </c>
      <c r="AU96" s="59">
        <f>IFERROR(VLOOKUP($A96,[2]Mssp!$A$5:$BE$1463,AU$4+1,0),0)</f>
        <v>0</v>
      </c>
      <c r="AV96" s="59">
        <f>IFERROR(VLOOKUP($A96,[2]Mssp!$A$5:$BE$1463,AV$4+1,0),0)</f>
        <v>0</v>
      </c>
      <c r="AW96" s="59">
        <f>IFERROR(VLOOKUP($A96,[2]Mssp!$A$5:$BE$1463,AW$4+1,0),0)</f>
        <v>0</v>
      </c>
      <c r="AX96" s="59">
        <f>IFERROR(VLOOKUP($A96,[2]Mssp!$A$5:$BE$1463,AX$4+1,0),0)</f>
        <v>0</v>
      </c>
      <c r="AY96" s="59" t="str">
        <f>IFERROR(VLOOKUP($A96,[2]Mssp!$A$5:$BE$1463,AY$4+2,0),0)</f>
        <v>440x870</v>
      </c>
      <c r="AZ96" s="59" t="str">
        <f>IFERROR(VLOOKUP($A96,[2]Mssp!$A$5:$BE$1463,AZ$4+2,0),0)</f>
        <v>N1</v>
      </c>
      <c r="BA96" s="60">
        <v>4000</v>
      </c>
      <c r="BB96" s="61" t="s">
        <v>251</v>
      </c>
      <c r="BC96" s="62"/>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row>
    <row r="97" spans="1:94" ht="45" x14ac:dyDescent="0.25">
      <c r="A97" s="50" t="s">
        <v>427</v>
      </c>
      <c r="B97" s="73" t="s">
        <v>424</v>
      </c>
      <c r="C97" s="50">
        <f t="shared" si="3"/>
        <v>8.41</v>
      </c>
      <c r="D97" s="58">
        <v>2</v>
      </c>
      <c r="E97" s="58" t="s">
        <v>428</v>
      </c>
      <c r="F97" s="58">
        <v>3</v>
      </c>
      <c r="G97" s="50" t="s">
        <v>56</v>
      </c>
      <c r="H97" s="50">
        <f>VLOOKUP($A97,'[1]ma sp 02'!$A$5:$BD$1101,H$1,0)</f>
        <v>0.437</v>
      </c>
      <c r="I97" s="50">
        <f>VLOOKUP($A97,'[1]ma sp 02'!$A$5:$BD$1101,I$1,0)</f>
        <v>4.915</v>
      </c>
      <c r="J97" s="50">
        <f>VLOOKUP($A97,'[1]ma sp 02'!$A$5:$BD$1101,J$1,0)</f>
        <v>0</v>
      </c>
      <c r="K97" s="50">
        <f>VLOOKUP($A97,'[1]ma sp 02'!$A$5:$BD$1101,K$1,0)</f>
        <v>0</v>
      </c>
      <c r="L97" s="50">
        <f>VLOOKUP($A97,'[1]ma sp 02'!$A$5:$BD$1101,L$1,0)</f>
        <v>0.65500000000000003</v>
      </c>
      <c r="M97" s="50">
        <f>VLOOKUP($A97,'[1]ma sp 02'!$A$5:$BD$1101,M$1,0)</f>
        <v>0</v>
      </c>
      <c r="N97" s="50">
        <f>VLOOKUP($A97,'[1]ma sp 02'!$A$5:$BD$1101,N$1,0)</f>
        <v>0</v>
      </c>
      <c r="O97" s="50">
        <f>VLOOKUP($A97,'[1]ma sp 02'!$A$5:$BD$1101,O$1,0)</f>
        <v>0</v>
      </c>
      <c r="P97" s="50">
        <f>VLOOKUP($A97,'[1]ma sp 02'!$A$5:$BD$1101,P$1,0)</f>
        <v>0.98299999999999998</v>
      </c>
      <c r="Q97" s="50">
        <f>VLOOKUP($A97,'[1]ma sp 02'!$A$5:$BD$1101,Q$1,0)</f>
        <v>0.874</v>
      </c>
      <c r="R97" s="50">
        <f>VLOOKUP($A97,'[1]ma sp 02'!$A$5:$BD$1101,R$1,0)</f>
        <v>0.54600000000000004</v>
      </c>
      <c r="S97" s="50">
        <f>VLOOKUP($A97,'[1]ma sp 02'!$A$5:$BD$1101,S$1,0)</f>
        <v>0</v>
      </c>
      <c r="T97" s="50">
        <f>VLOOKUP($A97,'[1]ma sp 02'!$A$5:$BD$1101,T$1,0)</f>
        <v>0</v>
      </c>
      <c r="U97" s="50">
        <f>VLOOKUP($A97,'[1]ma sp 02'!$A$5:$BD$1101,U$1,0)</f>
        <v>0</v>
      </c>
      <c r="V97" s="50">
        <f>VLOOKUP($A97,'[1]ma sp 02'!$A$5:$BD$1101,V$1,0)</f>
        <v>0</v>
      </c>
      <c r="W97" s="50">
        <f>VLOOKUP($A97,'[1]ma sp 02'!$A$5:$BD$1101,W$1,0)</f>
        <v>0</v>
      </c>
      <c r="X97" s="50">
        <f t="shared" si="2"/>
        <v>6</v>
      </c>
      <c r="Y97" s="57"/>
      <c r="Z97" s="57"/>
      <c r="AA97" s="57"/>
      <c r="AB97" s="57"/>
      <c r="AC97" s="57"/>
      <c r="AD97" s="57"/>
      <c r="AE97" s="58" t="s">
        <v>425</v>
      </c>
      <c r="AF97" s="58" t="s">
        <v>429</v>
      </c>
      <c r="AG97" s="85">
        <f>(0.012*1.4+0.012*1.4+0.07*0.925)*0.78</f>
        <v>7.6713000000000017E-2</v>
      </c>
      <c r="AH97" s="54">
        <f>(2.3/0.75/2)*0.77</f>
        <v>1.1806666666666665</v>
      </c>
      <c r="AI97" s="54">
        <f>(3/0.75/2)*0.77</f>
        <v>1.54</v>
      </c>
      <c r="AJ97" s="58">
        <v>9530</v>
      </c>
      <c r="AK97" s="57">
        <v>9530</v>
      </c>
      <c r="AL97" s="52" t="s">
        <v>430</v>
      </c>
      <c r="AM97" s="52" t="s">
        <v>74</v>
      </c>
      <c r="AN97" s="57">
        <v>220</v>
      </c>
      <c r="AO97" s="52" t="s">
        <v>75</v>
      </c>
      <c r="AP97" s="59">
        <f>IFERROR(VLOOKUP($A97,[2]Mssp!$A$5:$BE$1463,AP$4+1,0),0)</f>
        <v>0</v>
      </c>
      <c r="AQ97" s="59">
        <f>IFERROR(VLOOKUP($A97,[2]Mssp!$A$5:$BE$1463,AQ$4+1,0),0)</f>
        <v>0</v>
      </c>
      <c r="AR97" s="59">
        <f>IFERROR(VLOOKUP($A97,[2]Mssp!$A$5:$BE$1463,AR$4+1,0),0)</f>
        <v>0</v>
      </c>
      <c r="AS97" s="59">
        <f>IFERROR(VLOOKUP($A97,[2]Mssp!$A$5:$BE$1463,AS$4+1,0),0)</f>
        <v>0</v>
      </c>
      <c r="AT97" s="59">
        <f>IFERROR(VLOOKUP($A97,[2]Mssp!$A$5:$BE$1463,AT$4+1,0),0)</f>
        <v>0</v>
      </c>
      <c r="AU97" s="59">
        <f>IFERROR(VLOOKUP($A97,[2]Mssp!$A$5:$BE$1463,AU$4+1,0),0)</f>
        <v>0</v>
      </c>
      <c r="AV97" s="59">
        <f>IFERROR(VLOOKUP($A97,[2]Mssp!$A$5:$BE$1463,AV$4+1,0),0)</f>
        <v>0</v>
      </c>
      <c r="AW97" s="59">
        <f>IFERROR(VLOOKUP($A97,[2]Mssp!$A$5:$BE$1463,AW$4+1,0),0)</f>
        <v>0</v>
      </c>
      <c r="AX97" s="59">
        <f>IFERROR(VLOOKUP($A97,[2]Mssp!$A$5:$BE$1463,AX$4+1,0),0)</f>
        <v>0</v>
      </c>
      <c r="AY97" s="59">
        <f>IFERROR(VLOOKUP($A97,[2]Mssp!$A$5:$BE$1463,AY$4+2,0),0)</f>
        <v>0</v>
      </c>
      <c r="AZ97" s="59">
        <f>IFERROR(VLOOKUP($A97,[2]Mssp!$A$5:$BE$1463,AZ$4+2,0),0)</f>
        <v>0</v>
      </c>
      <c r="BA97" s="60">
        <v>4000</v>
      </c>
      <c r="BB97" s="61" t="s">
        <v>251</v>
      </c>
      <c r="BC97" s="62"/>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row>
    <row r="98" spans="1:94" ht="45" x14ac:dyDescent="0.25">
      <c r="A98" s="50" t="s">
        <v>431</v>
      </c>
      <c r="B98" s="73" t="s">
        <v>432</v>
      </c>
      <c r="C98" s="50">
        <f t="shared" si="3"/>
        <v>4.5</v>
      </c>
      <c r="D98" s="58">
        <v>4</v>
      </c>
      <c r="E98" s="58" t="s">
        <v>113</v>
      </c>
      <c r="F98" s="58">
        <v>5</v>
      </c>
      <c r="G98" s="50" t="s">
        <v>114</v>
      </c>
      <c r="H98" s="50">
        <f>VLOOKUP($A98,'[1]ma sp 02'!$A$5:$BD$1101,H$1,0)</f>
        <v>0.3</v>
      </c>
      <c r="I98" s="50">
        <f>VLOOKUP($A98,'[1]ma sp 02'!$A$5:$BD$1101,I$1,0)</f>
        <v>3.2</v>
      </c>
      <c r="J98" s="50">
        <f>VLOOKUP($A98,'[1]ma sp 02'!$A$5:$BD$1101,J$1,0)</f>
        <v>0.1</v>
      </c>
      <c r="K98" s="50">
        <f>VLOOKUP($A98,'[1]ma sp 02'!$A$5:$BD$1101,K$1,0)</f>
        <v>0.1</v>
      </c>
      <c r="L98" s="50">
        <f>VLOOKUP($A98,'[1]ma sp 02'!$A$5:$BD$1101,L$1,0)</f>
        <v>0.1</v>
      </c>
      <c r="M98" s="50">
        <f>VLOOKUP($A98,'[1]ma sp 02'!$A$5:$BD$1101,M$1,0)</f>
        <v>0.7</v>
      </c>
      <c r="N98" s="50">
        <f>VLOOKUP($A98,'[1]ma sp 02'!$A$5:$BD$1101,N$1,0)</f>
        <v>0</v>
      </c>
      <c r="O98" s="50">
        <f>VLOOKUP($A98,'[1]ma sp 02'!$A$5:$BD$1101,O$1,0)</f>
        <v>0</v>
      </c>
      <c r="P98" s="50">
        <f>VLOOKUP($A98,'[1]ma sp 02'!$A$5:$BD$1101,P$1,0)</f>
        <v>0</v>
      </c>
      <c r="Q98" s="50">
        <f>VLOOKUP($A98,'[1]ma sp 02'!$A$5:$BD$1101,Q$1,0)</f>
        <v>0</v>
      </c>
      <c r="R98" s="50">
        <f>VLOOKUP($A98,'[1]ma sp 02'!$A$5:$BD$1101,R$1,0)</f>
        <v>0</v>
      </c>
      <c r="S98" s="50">
        <f>VLOOKUP($A98,'[1]ma sp 02'!$A$5:$BD$1101,S$1,0)</f>
        <v>0</v>
      </c>
      <c r="T98" s="50">
        <f>VLOOKUP($A98,'[1]ma sp 02'!$A$5:$BD$1101,T$1,0)</f>
        <v>0</v>
      </c>
      <c r="U98" s="50">
        <f>VLOOKUP($A98,'[1]ma sp 02'!$A$5:$BD$1101,U$1,0)</f>
        <v>0</v>
      </c>
      <c r="V98" s="50">
        <f>VLOOKUP($A98,'[1]ma sp 02'!$A$5:$BD$1101,V$1,0)</f>
        <v>0</v>
      </c>
      <c r="W98" s="50">
        <f>VLOOKUP($A98,'[1]ma sp 02'!$A$5:$BD$1101,W$1,0)</f>
        <v>0</v>
      </c>
      <c r="X98" s="50">
        <f t="shared" si="2"/>
        <v>6</v>
      </c>
      <c r="Y98" s="57"/>
      <c r="Z98" s="57"/>
      <c r="AA98" s="57"/>
      <c r="AB98" s="57"/>
      <c r="AC98" s="57"/>
      <c r="AD98" s="57"/>
      <c r="AE98" s="58" t="s">
        <v>115</v>
      </c>
      <c r="AF98" s="58" t="s">
        <v>321</v>
      </c>
      <c r="AG98" s="65">
        <f>(0.012*1.4+0.012*1.4+0.075*0.925)*0.74</f>
        <v>7.6201500000000005E-2</v>
      </c>
      <c r="AH98" s="55">
        <f>(2.3/0.75/2)*0.73</f>
        <v>1.1193333333333333</v>
      </c>
      <c r="AI98" s="55">
        <f>(2.3/0.75/2)*0.73</f>
        <v>1.1193333333333333</v>
      </c>
      <c r="AJ98" s="58">
        <v>9530</v>
      </c>
      <c r="AK98" s="57"/>
      <c r="AL98" s="52" t="s">
        <v>117</v>
      </c>
      <c r="AM98" s="52" t="s">
        <v>104</v>
      </c>
      <c r="AN98" s="57">
        <v>180</v>
      </c>
      <c r="AO98" s="52" t="s">
        <v>360</v>
      </c>
      <c r="AP98" s="59">
        <f>IFERROR(VLOOKUP($A98,[2]Mssp!$A$5:$BE$1463,AP$4+1,0),0)</f>
        <v>0</v>
      </c>
      <c r="AQ98" s="59">
        <f>IFERROR(VLOOKUP($A98,[2]Mssp!$A$5:$BE$1463,AQ$4+1,0),0)</f>
        <v>0</v>
      </c>
      <c r="AR98" s="59">
        <f>IFERROR(VLOOKUP($A98,[2]Mssp!$A$5:$BE$1463,AR$4+1,0),0)</f>
        <v>0</v>
      </c>
      <c r="AS98" s="59">
        <f>IFERROR(VLOOKUP($A98,[2]Mssp!$A$5:$BE$1463,AS$4+1,0),0)</f>
        <v>0</v>
      </c>
      <c r="AT98" s="59">
        <f>IFERROR(VLOOKUP($A98,[2]Mssp!$A$5:$BE$1463,AT$4+1,0),0)</f>
        <v>0</v>
      </c>
      <c r="AU98" s="59">
        <f>IFERROR(VLOOKUP($A98,[2]Mssp!$A$5:$BE$1463,AU$4+1,0),0)</f>
        <v>0</v>
      </c>
      <c r="AV98" s="59">
        <f>IFERROR(VLOOKUP($A98,[2]Mssp!$A$5:$BE$1463,AV$4+1,0),0)</f>
        <v>0</v>
      </c>
      <c r="AW98" s="59">
        <f>IFERROR(VLOOKUP($A98,[2]Mssp!$A$5:$BE$1463,AW$4+1,0),0)</f>
        <v>0</v>
      </c>
      <c r="AX98" s="59">
        <f>IFERROR(VLOOKUP($A98,[2]Mssp!$A$5:$BE$1463,AX$4+1,0),0)</f>
        <v>0</v>
      </c>
      <c r="AY98" s="59">
        <f>IFERROR(VLOOKUP($A98,[2]Mssp!$A$5:$BE$1463,AY$4+2,0),0)</f>
        <v>0</v>
      </c>
      <c r="AZ98" s="59">
        <f>IFERROR(VLOOKUP($A98,[2]Mssp!$A$5:$BE$1463,AZ$4+2,0),0)</f>
        <v>0</v>
      </c>
      <c r="BA98" s="60">
        <v>0</v>
      </c>
      <c r="BB98" s="61" t="s">
        <v>107</v>
      </c>
      <c r="BC98" s="62"/>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row>
    <row r="99" spans="1:94" ht="45" x14ac:dyDescent="0.25">
      <c r="A99" s="50" t="s">
        <v>433</v>
      </c>
      <c r="B99" s="73" t="s">
        <v>434</v>
      </c>
      <c r="C99" s="50">
        <f t="shared" si="3"/>
        <v>2.71</v>
      </c>
      <c r="D99" s="58">
        <v>2</v>
      </c>
      <c r="E99" s="58" t="s">
        <v>163</v>
      </c>
      <c r="F99" s="58">
        <v>5</v>
      </c>
      <c r="G99" s="50" t="s">
        <v>56</v>
      </c>
      <c r="H99" s="50">
        <f>VLOOKUP($A99,'[1]ma sp 02'!$A$5:$BD$1101,H$1,0)</f>
        <v>0.05</v>
      </c>
      <c r="I99" s="50">
        <f>VLOOKUP($A99,'[1]ma sp 02'!$A$5:$BD$1101,I$1,0)</f>
        <v>1.04</v>
      </c>
      <c r="J99" s="50">
        <f>VLOOKUP($A99,'[1]ma sp 02'!$A$5:$BD$1101,J$1,0)</f>
        <v>0.91</v>
      </c>
      <c r="K99" s="50">
        <f>VLOOKUP($A99,'[1]ma sp 02'!$A$5:$BD$1101,K$1,0)</f>
        <v>0</v>
      </c>
      <c r="L99" s="50">
        <f>VLOOKUP($A99,'[1]ma sp 02'!$A$5:$BD$1101,L$1,0)</f>
        <v>0.45</v>
      </c>
      <c r="M99" s="50">
        <f>VLOOKUP($A99,'[1]ma sp 02'!$A$5:$BD$1101,M$1,0)</f>
        <v>0.25</v>
      </c>
      <c r="N99" s="50">
        <f>VLOOKUP($A99,'[1]ma sp 02'!$A$5:$BD$1101,N$1,0)</f>
        <v>0</v>
      </c>
      <c r="O99" s="50">
        <f>VLOOKUP($A99,'[1]ma sp 02'!$A$5:$BD$1101,O$1,0)</f>
        <v>0</v>
      </c>
      <c r="P99" s="50">
        <f>VLOOKUP($A99,'[1]ma sp 02'!$A$5:$BD$1101,P$1,0)</f>
        <v>0.01</v>
      </c>
      <c r="Q99" s="50">
        <f>VLOOKUP($A99,'[1]ma sp 02'!$A$5:$BD$1101,Q$1,0)</f>
        <v>0</v>
      </c>
      <c r="R99" s="50">
        <f>VLOOKUP($A99,'[1]ma sp 02'!$A$5:$BD$1101,R$1,0)</f>
        <v>0</v>
      </c>
      <c r="S99" s="50">
        <f>VLOOKUP($A99,'[1]ma sp 02'!$A$5:$BD$1101,S$1,0)</f>
        <v>0</v>
      </c>
      <c r="T99" s="50">
        <f>VLOOKUP($A99,'[1]ma sp 02'!$A$5:$BD$1101,T$1,0)</f>
        <v>0</v>
      </c>
      <c r="U99" s="50">
        <f>VLOOKUP($A99,'[1]ma sp 02'!$A$5:$BD$1101,U$1,0)</f>
        <v>0</v>
      </c>
      <c r="V99" s="50">
        <f>VLOOKUP($A99,'[1]ma sp 02'!$A$5:$BD$1101,V$1,0)</f>
        <v>0</v>
      </c>
      <c r="W99" s="50">
        <f>VLOOKUP($A99,'[1]ma sp 02'!$A$5:$BD$1101,W$1,0)</f>
        <v>0</v>
      </c>
      <c r="X99" s="50">
        <f t="shared" si="2"/>
        <v>6</v>
      </c>
      <c r="Y99" s="57"/>
      <c r="Z99" s="57"/>
      <c r="AA99" s="57"/>
      <c r="AB99" s="57"/>
      <c r="AC99" s="57"/>
      <c r="AD99" s="57"/>
      <c r="AE99" s="58" t="s">
        <v>164</v>
      </c>
      <c r="AF99" s="57"/>
      <c r="AG99" s="83">
        <f>(0.02*0.91+0.065*0.925)*0.64</f>
        <v>5.0128000000000006E-2</v>
      </c>
      <c r="AH99" s="55">
        <f>(2.5/0.75/2)*0.63</f>
        <v>1.05</v>
      </c>
      <c r="AI99" s="57"/>
      <c r="AJ99" s="58">
        <v>9530</v>
      </c>
      <c r="AK99" s="57"/>
      <c r="AL99" s="52">
        <v>2E-3</v>
      </c>
      <c r="AM99" s="52" t="s">
        <v>74</v>
      </c>
      <c r="AN99" s="57">
        <v>215</v>
      </c>
      <c r="AO99" s="52" t="s">
        <v>240</v>
      </c>
      <c r="AP99" s="59" t="str">
        <f>IFERROR(VLOOKUP($A99,[2]Mssp!$A$5:$BE$1463,AP$4+1,0),0)</f>
        <v>20100916-1</v>
      </c>
      <c r="AQ99" s="59" t="str">
        <f>IFERROR(VLOOKUP($A99,[2]Mssp!$A$5:$BE$1463,AQ$4+1,0),0)</f>
        <v>20100916-2</v>
      </c>
      <c r="AR99" s="59" t="str">
        <f>IFERROR(VLOOKUP($A99,[2]Mssp!$A$5:$BE$1463,AR$4+1,0),0)</f>
        <v>1909397-3</v>
      </c>
      <c r="AS99" s="59" t="str">
        <f>IFERROR(VLOOKUP($A99,[2]Mssp!$A$5:$BE$1463,AS$4+1,0),0)</f>
        <v>1909397-4</v>
      </c>
      <c r="AT99" s="59" t="str">
        <f>IFERROR(VLOOKUP($A99,[2]Mssp!$A$5:$BE$1463,AT$4+1,0),0)</f>
        <v>21040352-5</v>
      </c>
      <c r="AU99" s="59">
        <f>IFERROR(VLOOKUP($A99,[2]Mssp!$A$5:$BE$1463,AU$4+1,0),0)</f>
        <v>0</v>
      </c>
      <c r="AV99" s="59">
        <f>IFERROR(VLOOKUP($A99,[2]Mssp!$A$5:$BE$1463,AV$4+1,0),0)</f>
        <v>0</v>
      </c>
      <c r="AW99" s="59">
        <f>IFERROR(VLOOKUP($A99,[2]Mssp!$A$5:$BE$1463,AW$4+1,0),0)</f>
        <v>0</v>
      </c>
      <c r="AX99" s="59">
        <f>IFERROR(VLOOKUP($A99,[2]Mssp!$A$5:$BE$1463,AX$4+1,0),0)</f>
        <v>0</v>
      </c>
      <c r="AY99" s="59" t="str">
        <f>IFERROR(VLOOKUP($A99,[2]Mssp!$A$5:$BE$1463,AY$4+2,0),0)</f>
        <v>430x750</v>
      </c>
      <c r="AZ99" s="59" t="str">
        <f>IFERROR(VLOOKUP($A99,[2]Mssp!$A$5:$BE$1463,AZ$4+2,0),0)</f>
        <v>N1</v>
      </c>
      <c r="BA99" s="60">
        <v>6000</v>
      </c>
      <c r="BB99" s="61" t="s">
        <v>62</v>
      </c>
      <c r="BC99" s="62"/>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row>
    <row r="100" spans="1:94" ht="45" x14ac:dyDescent="0.25">
      <c r="A100" s="50" t="s">
        <v>435</v>
      </c>
      <c r="B100" s="51" t="s">
        <v>436</v>
      </c>
      <c r="C100" s="50">
        <f t="shared" si="3"/>
        <v>3.9000000000000004</v>
      </c>
      <c r="D100" s="57">
        <v>3</v>
      </c>
      <c r="E100" s="58" t="s">
        <v>437</v>
      </c>
      <c r="F100" s="58">
        <v>5</v>
      </c>
      <c r="G100" s="50" t="s">
        <v>114</v>
      </c>
      <c r="H100" s="50">
        <f>VLOOKUP($A100,'[1]ma sp 02'!$A$5:$BD$1101,H$1,0)</f>
        <v>0.1</v>
      </c>
      <c r="I100" s="50">
        <f>VLOOKUP($A100,'[1]ma sp 02'!$A$5:$BD$1101,I$1,0)</f>
        <v>2.2000000000000002</v>
      </c>
      <c r="J100" s="50">
        <f>VLOOKUP($A100,'[1]ma sp 02'!$A$5:$BD$1101,J$1,0)</f>
        <v>0.2</v>
      </c>
      <c r="K100" s="50">
        <f>VLOOKUP($A100,'[1]ma sp 02'!$A$5:$BD$1101,K$1,0)</f>
        <v>0.5</v>
      </c>
      <c r="L100" s="50">
        <f>VLOOKUP($A100,'[1]ma sp 02'!$A$5:$BD$1101,L$1,0)</f>
        <v>0.2</v>
      </c>
      <c r="M100" s="50">
        <f>VLOOKUP($A100,'[1]ma sp 02'!$A$5:$BD$1101,M$1,0)</f>
        <v>0.7</v>
      </c>
      <c r="N100" s="50">
        <f>VLOOKUP($A100,'[1]ma sp 02'!$A$5:$BD$1101,N$1,0)</f>
        <v>0</v>
      </c>
      <c r="O100" s="50">
        <f>VLOOKUP($A100,'[1]ma sp 02'!$A$5:$BD$1101,O$1,0)</f>
        <v>0</v>
      </c>
      <c r="P100" s="50">
        <f>VLOOKUP($A100,'[1]ma sp 02'!$A$5:$BD$1101,P$1,0)</f>
        <v>0</v>
      </c>
      <c r="Q100" s="50">
        <f>VLOOKUP($A100,'[1]ma sp 02'!$A$5:$BD$1101,Q$1,0)</f>
        <v>0</v>
      </c>
      <c r="R100" s="50">
        <f>VLOOKUP($A100,'[1]ma sp 02'!$A$5:$BD$1101,R$1,0)</f>
        <v>0</v>
      </c>
      <c r="S100" s="50">
        <f>VLOOKUP($A100,'[1]ma sp 02'!$A$5:$BD$1101,S$1,0)</f>
        <v>0</v>
      </c>
      <c r="T100" s="50">
        <f>VLOOKUP($A100,'[1]ma sp 02'!$A$5:$BD$1101,T$1,0)</f>
        <v>0</v>
      </c>
      <c r="U100" s="50">
        <f>VLOOKUP($A100,'[1]ma sp 02'!$A$5:$BD$1101,U$1,0)</f>
        <v>0</v>
      </c>
      <c r="V100" s="50">
        <f>VLOOKUP($A100,'[1]ma sp 02'!$A$5:$BD$1101,V$1,0)</f>
        <v>0</v>
      </c>
      <c r="W100" s="50">
        <f>VLOOKUP($A100,'[1]ma sp 02'!$A$5:$BD$1101,W$1,0)</f>
        <v>0</v>
      </c>
      <c r="X100" s="50">
        <f t="shared" si="2"/>
        <v>6</v>
      </c>
      <c r="Y100" s="57"/>
      <c r="Z100" s="57"/>
      <c r="AA100" s="57"/>
      <c r="AB100" s="57"/>
      <c r="AC100" s="57"/>
      <c r="AD100" s="57"/>
      <c r="AE100" s="52" t="s">
        <v>66</v>
      </c>
      <c r="AF100" s="52" t="s">
        <v>438</v>
      </c>
      <c r="AG100" s="65">
        <f>(0.012*1.4+0.012*1.4+0.07*0.925)*0.68</f>
        <v>6.6878000000000021E-2</v>
      </c>
      <c r="AH100" s="55">
        <f>(2.3/0.75/2)*0.67</f>
        <v>1.0273333333333332</v>
      </c>
      <c r="AI100" s="55">
        <f>(2.3/0.75/2)*0.67</f>
        <v>1.0273333333333332</v>
      </c>
      <c r="AJ100" s="58">
        <v>9530</v>
      </c>
      <c r="AK100" s="58">
        <v>9530</v>
      </c>
      <c r="AL100" s="58" t="s">
        <v>354</v>
      </c>
      <c r="AM100" s="52" t="s">
        <v>104</v>
      </c>
      <c r="AN100" s="57">
        <v>220</v>
      </c>
      <c r="AO100" s="52" t="s">
        <v>439</v>
      </c>
      <c r="AP100" s="59">
        <f>IFERROR(VLOOKUP($A100,[2]Mssp!$A$5:$BE$1463,AP$4+1,0),0)</f>
        <v>0</v>
      </c>
      <c r="AQ100" s="59">
        <f>IFERROR(VLOOKUP($A100,[2]Mssp!$A$5:$BE$1463,AQ$4+1,0),0)</f>
        <v>0</v>
      </c>
      <c r="AR100" s="59">
        <f>IFERROR(VLOOKUP($A100,[2]Mssp!$A$5:$BE$1463,AR$4+1,0),0)</f>
        <v>0</v>
      </c>
      <c r="AS100" s="59">
        <f>IFERROR(VLOOKUP($A100,[2]Mssp!$A$5:$BE$1463,AS$4+1,0),0)</f>
        <v>0</v>
      </c>
      <c r="AT100" s="59">
        <f>IFERROR(VLOOKUP($A100,[2]Mssp!$A$5:$BE$1463,AT$4+1,0),0)</f>
        <v>0</v>
      </c>
      <c r="AU100" s="59">
        <f>IFERROR(VLOOKUP($A100,[2]Mssp!$A$5:$BE$1463,AU$4+1,0),0)</f>
        <v>0</v>
      </c>
      <c r="AV100" s="59">
        <f>IFERROR(VLOOKUP($A100,[2]Mssp!$A$5:$BE$1463,AV$4+1,0),0)</f>
        <v>0</v>
      </c>
      <c r="AW100" s="59">
        <f>IFERROR(VLOOKUP($A100,[2]Mssp!$A$5:$BE$1463,AW$4+1,0),0)</f>
        <v>0</v>
      </c>
      <c r="AX100" s="59">
        <f>IFERROR(VLOOKUP($A100,[2]Mssp!$A$5:$BE$1463,AX$4+1,0),0)</f>
        <v>0</v>
      </c>
      <c r="AY100" s="59">
        <f>IFERROR(VLOOKUP($A100,[2]Mssp!$A$5:$BE$1463,AY$4+2,0),0)</f>
        <v>0</v>
      </c>
      <c r="AZ100" s="59">
        <f>IFERROR(VLOOKUP($A100,[2]Mssp!$A$5:$BE$1463,AZ$4+2,0),0)</f>
        <v>0</v>
      </c>
      <c r="BA100" s="60" t="s">
        <v>144</v>
      </c>
      <c r="BB100" s="61" t="s">
        <v>107</v>
      </c>
      <c r="BC100" s="62"/>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row>
    <row r="101" spans="1:94" ht="45" x14ac:dyDescent="0.25">
      <c r="A101" s="50" t="s">
        <v>440</v>
      </c>
      <c r="B101" s="51" t="s">
        <v>441</v>
      </c>
      <c r="C101" s="50">
        <f t="shared" si="3"/>
        <v>4.0299999999999994</v>
      </c>
      <c r="D101" s="57">
        <v>2</v>
      </c>
      <c r="E101" s="58" t="s">
        <v>178</v>
      </c>
      <c r="F101" s="58">
        <v>7</v>
      </c>
      <c r="G101" s="50" t="s">
        <v>56</v>
      </c>
      <c r="H101" s="50">
        <f>VLOOKUP($A101,'[1]ma sp 02'!$A$5:$BD$1101,H$1,0)</f>
        <v>0.01</v>
      </c>
      <c r="I101" s="50">
        <f>VLOOKUP($A101,'[1]ma sp 02'!$A$5:$BD$1101,I$1,0)</f>
        <v>2.33</v>
      </c>
      <c r="J101" s="50">
        <f>VLOOKUP($A101,'[1]ma sp 02'!$A$5:$BD$1101,J$1,0)</f>
        <v>0.01</v>
      </c>
      <c r="K101" s="50">
        <f>VLOOKUP($A101,'[1]ma sp 02'!$A$5:$BD$1101,K$1,0)</f>
        <v>0.21</v>
      </c>
      <c r="L101" s="50">
        <f>VLOOKUP($A101,'[1]ma sp 02'!$A$5:$BD$1101,L$1,0)</f>
        <v>1.17</v>
      </c>
      <c r="M101" s="50">
        <f>VLOOKUP($A101,'[1]ma sp 02'!$A$5:$BD$1101,M$1,0)</f>
        <v>0.25</v>
      </c>
      <c r="N101" s="50">
        <f>VLOOKUP($A101,'[1]ma sp 02'!$A$5:$BD$1101,N$1,0)</f>
        <v>0</v>
      </c>
      <c r="O101" s="50">
        <f>VLOOKUP($A101,'[1]ma sp 02'!$A$5:$BD$1101,O$1,0)</f>
        <v>0.01</v>
      </c>
      <c r="P101" s="50">
        <f>VLOOKUP($A101,'[1]ma sp 02'!$A$5:$BD$1101,P$1,0)</f>
        <v>0</v>
      </c>
      <c r="Q101" s="50">
        <f>VLOOKUP($A101,'[1]ma sp 02'!$A$5:$BD$1101,Q$1,0)</f>
        <v>0.03</v>
      </c>
      <c r="R101" s="50">
        <f>VLOOKUP($A101,'[1]ma sp 02'!$A$5:$BD$1101,R$1,0)</f>
        <v>0</v>
      </c>
      <c r="S101" s="50">
        <f>VLOOKUP($A101,'[1]ma sp 02'!$A$5:$BD$1101,S$1,0)</f>
        <v>0.01</v>
      </c>
      <c r="T101" s="50">
        <f>VLOOKUP($A101,'[1]ma sp 02'!$A$5:$BD$1101,T$1,0)</f>
        <v>0</v>
      </c>
      <c r="U101" s="50">
        <f>VLOOKUP($A101,'[1]ma sp 02'!$A$5:$BD$1101,U$1,0)</f>
        <v>0</v>
      </c>
      <c r="V101" s="50">
        <f>VLOOKUP($A101,'[1]ma sp 02'!$A$5:$BD$1101,V$1,0)</f>
        <v>0</v>
      </c>
      <c r="W101" s="50">
        <f>VLOOKUP($A101,'[1]ma sp 02'!$A$5:$BD$1101,W$1,0)</f>
        <v>0</v>
      </c>
      <c r="X101" s="50">
        <f t="shared" si="2"/>
        <v>9</v>
      </c>
      <c r="Y101" s="57"/>
      <c r="Z101" s="57"/>
      <c r="AA101" s="57"/>
      <c r="AB101" s="57"/>
      <c r="AC101" s="57"/>
      <c r="AD101" s="57"/>
      <c r="AE101" s="58" t="s">
        <v>179</v>
      </c>
      <c r="AF101" s="57"/>
      <c r="AG101" s="83">
        <f>(0.02*0.91+0.07*0.925)*0.73</f>
        <v>6.0553500000000017E-2</v>
      </c>
      <c r="AH101" s="55">
        <f>(2.2/0.75/2)*0.72</f>
        <v>1.056</v>
      </c>
      <c r="AI101" s="57"/>
      <c r="AJ101" s="58">
        <v>9530</v>
      </c>
      <c r="AK101" s="57"/>
      <c r="AL101" s="58">
        <v>2E-3</v>
      </c>
      <c r="AM101" s="52" t="s">
        <v>104</v>
      </c>
      <c r="AN101" s="58">
        <v>355</v>
      </c>
      <c r="AO101" s="52" t="s">
        <v>180</v>
      </c>
      <c r="AP101" s="59" t="str">
        <f>IFERROR(VLOOKUP($A101,[2]Mssp!$A$5:$BE$1463,AP$4+1,0),0)</f>
        <v>18121025-1</v>
      </c>
      <c r="AQ101" s="59" t="str">
        <f>IFERROR(VLOOKUP($A101,[2]Mssp!$A$5:$BE$1463,AQ$4+1,0),0)</f>
        <v>1609451-2</v>
      </c>
      <c r="AR101" s="59" t="str">
        <f>IFERROR(VLOOKUP($A101,[2]Mssp!$A$5:$BE$1463,AR$4+1,0),0)</f>
        <v>18121025-3</v>
      </c>
      <c r="AS101" s="59" t="str">
        <f>IFERROR(VLOOKUP($A101,[2]Mssp!$A$5:$BE$1463,AS$4+1,0),0)</f>
        <v>19120780-4</v>
      </c>
      <c r="AT101" s="59" t="str">
        <f>IFERROR(VLOOKUP($A101,[2]Mssp!$A$5:$BE$1463,AT$4+1,0),0)</f>
        <v>1503114-5</v>
      </c>
      <c r="AU101" s="59" t="str">
        <f>IFERROR(VLOOKUP($A101,[2]Mssp!$A$5:$BE$1463,AU$4+1,0),0)</f>
        <v>17121266-6</v>
      </c>
      <c r="AV101" s="59" t="str">
        <f>IFERROR(VLOOKUP($A101,[2]Mssp!$A$5:$BE$1463,AV$4+1,0),0)</f>
        <v>1611472-7</v>
      </c>
      <c r="AW101" s="59">
        <f>IFERROR(VLOOKUP($A101,[2]Mssp!$A$5:$BE$1463,AW$4+1,0),0)</f>
        <v>0</v>
      </c>
      <c r="AX101" s="59">
        <f>IFERROR(VLOOKUP($A101,[2]Mssp!$A$5:$BE$1463,AX$4+1,0),0)</f>
        <v>0</v>
      </c>
      <c r="AY101" s="59" t="str">
        <f>IFERROR(VLOOKUP($A101,[2]Mssp!$A$5:$BE$1463,AY$4+2,0),0)</f>
        <v>536x1000</v>
      </c>
      <c r="AZ101" s="59" t="str">
        <f>IFERROR(VLOOKUP($A101,[2]Mssp!$A$5:$BE$1463,AZ$4+2,0),0)</f>
        <v>V1</v>
      </c>
      <c r="BA101" s="60" t="s">
        <v>106</v>
      </c>
      <c r="BB101" s="61" t="s">
        <v>107</v>
      </c>
      <c r="BC101" s="62"/>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row>
    <row r="102" spans="1:94" ht="45" x14ac:dyDescent="0.25">
      <c r="A102" s="50" t="s">
        <v>442</v>
      </c>
      <c r="B102" s="51" t="s">
        <v>443</v>
      </c>
      <c r="C102" s="50">
        <f t="shared" si="3"/>
        <v>5.0600000000000005</v>
      </c>
      <c r="D102" s="57">
        <v>2</v>
      </c>
      <c r="E102" s="58" t="s">
        <v>178</v>
      </c>
      <c r="F102" s="58">
        <v>6</v>
      </c>
      <c r="G102" s="50" t="s">
        <v>56</v>
      </c>
      <c r="H102" s="50">
        <f>VLOOKUP($A102,'[1]ma sp 02'!$A$5:$BD$1101,H$1,0)</f>
        <v>0.02</v>
      </c>
      <c r="I102" s="50">
        <f>VLOOKUP($A102,'[1]ma sp 02'!$A$5:$BD$1101,I$1,0)</f>
        <v>2.99</v>
      </c>
      <c r="J102" s="50">
        <f>VLOOKUP($A102,'[1]ma sp 02'!$A$5:$BD$1101,J$1,0)</f>
        <v>0.15</v>
      </c>
      <c r="K102" s="50">
        <f>VLOOKUP($A102,'[1]ma sp 02'!$A$5:$BD$1101,K$1,0)</f>
        <v>0.67</v>
      </c>
      <c r="L102" s="50">
        <f>VLOOKUP($A102,'[1]ma sp 02'!$A$5:$BD$1101,L$1,0)</f>
        <v>0.01</v>
      </c>
      <c r="M102" s="50">
        <f>VLOOKUP($A102,'[1]ma sp 02'!$A$5:$BD$1101,M$1,0)</f>
        <v>0.91</v>
      </c>
      <c r="N102" s="50">
        <f>VLOOKUP($A102,'[1]ma sp 02'!$A$5:$BD$1101,N$1,0)</f>
        <v>0</v>
      </c>
      <c r="O102" s="50">
        <f>VLOOKUP($A102,'[1]ma sp 02'!$A$5:$BD$1101,O$1,0)</f>
        <v>0</v>
      </c>
      <c r="P102" s="50">
        <f>VLOOKUP($A102,'[1]ma sp 02'!$A$5:$BD$1101,P$1,0)</f>
        <v>0.15</v>
      </c>
      <c r="Q102" s="50">
        <f>VLOOKUP($A102,'[1]ma sp 02'!$A$5:$BD$1101,Q$1,0)</f>
        <v>0</v>
      </c>
      <c r="R102" s="50">
        <f>VLOOKUP($A102,'[1]ma sp 02'!$A$5:$BD$1101,R$1,0)</f>
        <v>0</v>
      </c>
      <c r="S102" s="50">
        <f>VLOOKUP($A102,'[1]ma sp 02'!$A$5:$BD$1101,S$1,0)</f>
        <v>0</v>
      </c>
      <c r="T102" s="50">
        <f>VLOOKUP($A102,'[1]ma sp 02'!$A$5:$BD$1101,T$1,0)</f>
        <v>0</v>
      </c>
      <c r="U102" s="50">
        <f>VLOOKUP($A102,'[1]ma sp 02'!$A$5:$BD$1101,U$1,0)</f>
        <v>0</v>
      </c>
      <c r="V102" s="50">
        <f>VLOOKUP($A102,'[1]ma sp 02'!$A$5:$BD$1101,V$1,0)</f>
        <v>0.16</v>
      </c>
      <c r="W102" s="50">
        <f>VLOOKUP($A102,'[1]ma sp 02'!$A$5:$BD$1101,W$1,0)</f>
        <v>0</v>
      </c>
      <c r="X102" s="50">
        <f t="shared" si="2"/>
        <v>8</v>
      </c>
      <c r="Y102" s="57"/>
      <c r="Z102" s="57"/>
      <c r="AA102" s="57"/>
      <c r="AB102" s="57"/>
      <c r="AC102" s="57"/>
      <c r="AD102" s="57"/>
      <c r="AE102" s="58" t="s">
        <v>179</v>
      </c>
      <c r="AF102" s="57"/>
      <c r="AG102" s="83">
        <f>(0.02*0.91+0.07*0.925)*0.73</f>
        <v>6.0553500000000017E-2</v>
      </c>
      <c r="AH102" s="55">
        <f>(2.2/0.75/2)*0.72</f>
        <v>1.056</v>
      </c>
      <c r="AI102" s="57"/>
      <c r="AJ102" s="58">
        <v>9530</v>
      </c>
      <c r="AK102" s="57"/>
      <c r="AL102" s="58">
        <v>2E-3</v>
      </c>
      <c r="AM102" s="52" t="s">
        <v>104</v>
      </c>
      <c r="AN102" s="58">
        <v>355</v>
      </c>
      <c r="AO102" s="52" t="s">
        <v>180</v>
      </c>
      <c r="AP102" s="59" t="str">
        <f>IFERROR(VLOOKUP($A102,[2]Mssp!$A$5:$BE$1463,AP$4+1,0),0)</f>
        <v>21030934-1</v>
      </c>
      <c r="AQ102" s="59" t="str">
        <f>IFERROR(VLOOKUP($A102,[2]Mssp!$A$5:$BE$1463,AQ$4+1,0),0)</f>
        <v>21030934-2</v>
      </c>
      <c r="AR102" s="59" t="str">
        <f>IFERROR(VLOOKUP($A102,[2]Mssp!$A$5:$BE$1463,AR$4+1,0),0)</f>
        <v>20081393-3</v>
      </c>
      <c r="AS102" s="59" t="str">
        <f>IFERROR(VLOOKUP($A102,[2]Mssp!$A$5:$BE$1463,AS$4+1,0),0)</f>
        <v>1508114-4</v>
      </c>
      <c r="AT102" s="59" t="str">
        <f>IFERROR(VLOOKUP($A102,[2]Mssp!$A$5:$BE$1463,AT$4+1,0),0)</f>
        <v>1209324-5</v>
      </c>
      <c r="AU102" s="59" t="str">
        <f>IFERROR(VLOOKUP($A102,[2]Mssp!$A$5:$BE$1463,AU$4+1,0),0)</f>
        <v>1412194-6</v>
      </c>
      <c r="AV102" s="59">
        <f>IFERROR(VLOOKUP($A102,[2]Mssp!$A$5:$BE$1463,AV$4+1,0),0)</f>
        <v>0</v>
      </c>
      <c r="AW102" s="59">
        <f>IFERROR(VLOOKUP($A102,[2]Mssp!$A$5:$BE$1463,AW$4+1,0),0)</f>
        <v>0</v>
      </c>
      <c r="AX102" s="59">
        <f>IFERROR(VLOOKUP($A102,[2]Mssp!$A$5:$BE$1463,AX$4+1,0),0)</f>
        <v>0</v>
      </c>
      <c r="AY102" s="59" t="str">
        <f>IFERROR(VLOOKUP($A102,[2]Mssp!$A$5:$BE$1463,AY$4+2,0),0)</f>
        <v>532x1000</v>
      </c>
      <c r="AZ102" s="59" t="str">
        <f>IFERROR(VLOOKUP($A102,[2]Mssp!$A$5:$BE$1463,AZ$4+2,0),0)</f>
        <v>V1</v>
      </c>
      <c r="BA102" s="60" t="s">
        <v>106</v>
      </c>
      <c r="BB102" s="61" t="s">
        <v>107</v>
      </c>
      <c r="BC102" s="62"/>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row>
    <row r="103" spans="1:94" ht="45" x14ac:dyDescent="0.25">
      <c r="A103" s="50" t="s">
        <v>444</v>
      </c>
      <c r="B103" s="51" t="s">
        <v>445</v>
      </c>
      <c r="C103" s="50">
        <f t="shared" si="3"/>
        <v>6.74</v>
      </c>
      <c r="D103" s="57">
        <v>2</v>
      </c>
      <c r="E103" s="58" t="s">
        <v>178</v>
      </c>
      <c r="F103" s="58">
        <v>7</v>
      </c>
      <c r="G103" s="50" t="s">
        <v>56</v>
      </c>
      <c r="H103" s="50">
        <f>VLOOKUP($A103,'[1]ma sp 02'!$A$5:$BD$1101,H$1,0)</f>
        <v>0.12</v>
      </c>
      <c r="I103" s="50">
        <f>VLOOKUP($A103,'[1]ma sp 02'!$A$5:$BD$1101,I$1,0)</f>
        <v>3.37</v>
      </c>
      <c r="J103" s="50">
        <f>VLOOKUP($A103,'[1]ma sp 02'!$A$5:$BD$1101,J$1,0)</f>
        <v>0.12</v>
      </c>
      <c r="K103" s="50">
        <f>VLOOKUP($A103,'[1]ma sp 02'!$A$5:$BD$1101,K$1,0)</f>
        <v>0.72</v>
      </c>
      <c r="L103" s="50">
        <f>VLOOKUP($A103,'[1]ma sp 02'!$A$5:$BD$1101,L$1,0)</f>
        <v>0.12</v>
      </c>
      <c r="M103" s="50">
        <f>VLOOKUP($A103,'[1]ma sp 02'!$A$5:$BD$1101,M$1,0)</f>
        <v>1.08</v>
      </c>
      <c r="N103" s="50">
        <f>VLOOKUP($A103,'[1]ma sp 02'!$A$5:$BD$1101,N$1,0)</f>
        <v>0</v>
      </c>
      <c r="O103" s="50">
        <f>VLOOKUP($A103,'[1]ma sp 02'!$A$5:$BD$1101,O$1,0)</f>
        <v>0</v>
      </c>
      <c r="P103" s="50">
        <f>VLOOKUP($A103,'[1]ma sp 02'!$A$5:$BD$1101,P$1,0)</f>
        <v>0.96</v>
      </c>
      <c r="Q103" s="50">
        <f>VLOOKUP($A103,'[1]ma sp 02'!$A$5:$BD$1101,Q$1,0)</f>
        <v>0.24</v>
      </c>
      <c r="R103" s="50">
        <f>VLOOKUP($A103,'[1]ma sp 02'!$A$5:$BD$1101,R$1,0)</f>
        <v>0</v>
      </c>
      <c r="S103" s="50">
        <f>VLOOKUP($A103,'[1]ma sp 02'!$A$5:$BD$1101,S$1,0)</f>
        <v>0</v>
      </c>
      <c r="T103" s="50">
        <f>VLOOKUP($A103,'[1]ma sp 02'!$A$5:$BD$1101,T$1,0)</f>
        <v>0.01</v>
      </c>
      <c r="U103" s="50">
        <f>VLOOKUP($A103,'[1]ma sp 02'!$A$5:$BD$1101,U$1,0)</f>
        <v>0</v>
      </c>
      <c r="V103" s="50">
        <f>VLOOKUP($A103,'[1]ma sp 02'!$A$5:$BD$1101,V$1,0)</f>
        <v>0</v>
      </c>
      <c r="W103" s="50">
        <f>VLOOKUP($A103,'[1]ma sp 02'!$A$5:$BD$1101,W$1,0)</f>
        <v>0</v>
      </c>
      <c r="X103" s="50">
        <f t="shared" si="2"/>
        <v>9</v>
      </c>
      <c r="Y103" s="57"/>
      <c r="Z103" s="57"/>
      <c r="AA103" s="57"/>
      <c r="AB103" s="57"/>
      <c r="AC103" s="57"/>
      <c r="AD103" s="57"/>
      <c r="AE103" s="58" t="s">
        <v>179</v>
      </c>
      <c r="AF103" s="57"/>
      <c r="AG103" s="83">
        <f>(0.02*0.91+0.07*0.925)*0.73</f>
        <v>6.0553500000000017E-2</v>
      </c>
      <c r="AH103" s="55">
        <f>(2.2/0.75/2)*0.72</f>
        <v>1.056</v>
      </c>
      <c r="AI103" s="57"/>
      <c r="AJ103" s="58">
        <v>9530</v>
      </c>
      <c r="AK103" s="57"/>
      <c r="AL103" s="58">
        <v>2E-3</v>
      </c>
      <c r="AM103" s="52" t="s">
        <v>104</v>
      </c>
      <c r="AN103" s="58">
        <v>355</v>
      </c>
      <c r="AO103" s="52" t="s">
        <v>180</v>
      </c>
      <c r="AP103" s="59" t="str">
        <f>IFERROR(VLOOKUP($A103,[2]Mssp!$A$5:$BE$1463,AP$4+1,0),0)</f>
        <v>1804075-1</v>
      </c>
      <c r="AQ103" s="59" t="str">
        <f>IFERROR(VLOOKUP($A103,[2]Mssp!$A$5:$BE$1463,AQ$4+1,0),0)</f>
        <v>1804075-2</v>
      </c>
      <c r="AR103" s="59" t="str">
        <f>IFERROR(VLOOKUP($A103,[2]Mssp!$A$5:$BE$1463,AR$4+1,0),0)</f>
        <v>20081391-3</v>
      </c>
      <c r="AS103" s="59" t="str">
        <f>IFERROR(VLOOKUP($A103,[2]Mssp!$A$5:$BE$1463,AS$4+1,0),0)</f>
        <v>1406289-4</v>
      </c>
      <c r="AT103" s="59" t="str">
        <f>IFERROR(VLOOKUP($A103,[2]Mssp!$A$5:$BE$1463,AT$4+1,0),0)</f>
        <v>1510074-5</v>
      </c>
      <c r="AU103" s="59" t="str">
        <f>IFERROR(VLOOKUP($A103,[2]Mssp!$A$5:$BE$1463,AU$4+1,0),0)</f>
        <v>1412799-6</v>
      </c>
      <c r="AV103" s="59" t="str">
        <f>IFERROR(VLOOKUP($A103,[2]Mssp!$A$5:$BE$1463,AV$4+1,0),0)</f>
        <v>1711334-7</v>
      </c>
      <c r="AW103" s="59">
        <f>IFERROR(VLOOKUP($A103,[2]Mssp!$A$5:$BE$1463,AW$4+1,0),0)</f>
        <v>0</v>
      </c>
      <c r="AX103" s="59">
        <f>IFERROR(VLOOKUP($A103,[2]Mssp!$A$5:$BE$1463,AX$4+1,0),0)</f>
        <v>0</v>
      </c>
      <c r="AY103" s="59" t="str">
        <f>IFERROR(VLOOKUP($A103,[2]Mssp!$A$5:$BE$1463,AY$4+2,0),0)</f>
        <v>462x1000</v>
      </c>
      <c r="AZ103" s="59" t="str">
        <f>IFERROR(VLOOKUP($A103,[2]Mssp!$A$5:$BE$1463,AZ$4+2,0),0)</f>
        <v>V1</v>
      </c>
      <c r="BA103" s="60" t="s">
        <v>106</v>
      </c>
      <c r="BB103" s="61" t="s">
        <v>107</v>
      </c>
      <c r="BC103" s="62"/>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row>
    <row r="104" spans="1:94" ht="45" x14ac:dyDescent="0.25">
      <c r="A104" s="50" t="s">
        <v>446</v>
      </c>
      <c r="B104" s="51" t="s">
        <v>447</v>
      </c>
      <c r="C104" s="50">
        <f t="shared" si="3"/>
        <v>6.629999999999999</v>
      </c>
      <c r="D104" s="57">
        <v>2</v>
      </c>
      <c r="E104" s="58" t="s">
        <v>178</v>
      </c>
      <c r="F104" s="58">
        <v>6</v>
      </c>
      <c r="G104" s="50" t="s">
        <v>56</v>
      </c>
      <c r="H104" s="50">
        <f>VLOOKUP($A104,'[1]ma sp 02'!$A$5:$BD$1101,H$1,0)</f>
        <v>0.19</v>
      </c>
      <c r="I104" s="50">
        <f>VLOOKUP($A104,'[1]ma sp 02'!$A$5:$BD$1101,I$1,0)</f>
        <v>3.58</v>
      </c>
      <c r="J104" s="50">
        <f>VLOOKUP($A104,'[1]ma sp 02'!$A$5:$BD$1101,J$1,0)</f>
        <v>0.01</v>
      </c>
      <c r="K104" s="50">
        <f>VLOOKUP($A104,'[1]ma sp 02'!$A$5:$BD$1101,K$1,0)</f>
        <v>0.01</v>
      </c>
      <c r="L104" s="50">
        <f>VLOOKUP($A104,'[1]ma sp 02'!$A$5:$BD$1101,L$1,0)</f>
        <v>2.16</v>
      </c>
      <c r="M104" s="50">
        <f>VLOOKUP($A104,'[1]ma sp 02'!$A$5:$BD$1101,M$1,0)</f>
        <v>0.56999999999999995</v>
      </c>
      <c r="N104" s="50">
        <f>VLOOKUP($A104,'[1]ma sp 02'!$A$5:$BD$1101,N$1,0)</f>
        <v>0</v>
      </c>
      <c r="O104" s="50">
        <f>VLOOKUP($A104,'[1]ma sp 02'!$A$5:$BD$1101,O$1,0)</f>
        <v>0</v>
      </c>
      <c r="P104" s="50">
        <f>VLOOKUP($A104,'[1]ma sp 02'!$A$5:$BD$1101,P$1,0)</f>
        <v>0.1</v>
      </c>
      <c r="Q104" s="50">
        <f>VLOOKUP($A104,'[1]ma sp 02'!$A$5:$BD$1101,Q$1,0)</f>
        <v>0.01</v>
      </c>
      <c r="R104" s="50">
        <f>VLOOKUP($A104,'[1]ma sp 02'!$A$5:$BD$1101,R$1,0)</f>
        <v>0</v>
      </c>
      <c r="S104" s="50">
        <f>VLOOKUP($A104,'[1]ma sp 02'!$A$5:$BD$1101,S$1,0)</f>
        <v>0</v>
      </c>
      <c r="T104" s="50" t="str">
        <f>VLOOKUP($A104,'[1]ma sp 02'!$A$5:$BD$1101,T$1,0)</f>
        <v xml:space="preserve"> </v>
      </c>
      <c r="U104" s="50">
        <f>VLOOKUP($A104,'[1]ma sp 02'!$A$5:$BD$1101,U$1,0)</f>
        <v>0</v>
      </c>
      <c r="V104" s="50">
        <f>VLOOKUP($A104,'[1]ma sp 02'!$A$5:$BD$1101,V$1,0)</f>
        <v>0</v>
      </c>
      <c r="W104" s="50">
        <f>VLOOKUP($A104,'[1]ma sp 02'!$A$5:$BD$1101,W$1,0)</f>
        <v>0</v>
      </c>
      <c r="X104" s="50">
        <f t="shared" si="2"/>
        <v>8</v>
      </c>
      <c r="Y104" s="57"/>
      <c r="Z104" s="57"/>
      <c r="AA104" s="57"/>
      <c r="AB104" s="57"/>
      <c r="AC104" s="57"/>
      <c r="AD104" s="57"/>
      <c r="AE104" s="58" t="s">
        <v>179</v>
      </c>
      <c r="AF104" s="57"/>
      <c r="AG104" s="83">
        <f>(0.02*0.91+0.07*0.925)*0.73</f>
        <v>6.0553500000000017E-2</v>
      </c>
      <c r="AH104" s="55">
        <f>(2.2/0.75/2)*0.72</f>
        <v>1.056</v>
      </c>
      <c r="AI104" s="57"/>
      <c r="AJ104" s="58">
        <v>9530</v>
      </c>
      <c r="AK104" s="57"/>
      <c r="AL104" s="58">
        <v>2E-3</v>
      </c>
      <c r="AM104" s="52" t="s">
        <v>104</v>
      </c>
      <c r="AN104" s="58">
        <v>355</v>
      </c>
      <c r="AO104" s="52" t="s">
        <v>180</v>
      </c>
      <c r="AP104" s="59" t="str">
        <f>IFERROR(VLOOKUP($A104,[2]Mssp!$A$5:$BE$1463,AP$4+1,0),0)</f>
        <v>18071153-1</v>
      </c>
      <c r="AQ104" s="59" t="str">
        <f>IFERROR(VLOOKUP($A104,[2]Mssp!$A$5:$BE$1463,AQ$4+1,0),0)</f>
        <v>18071153-2</v>
      </c>
      <c r="AR104" s="59" t="str">
        <f>IFERROR(VLOOKUP($A104,[2]Mssp!$A$5:$BE$1463,AR$4+1,0),0)</f>
        <v>20081392-3</v>
      </c>
      <c r="AS104" s="59" t="str">
        <f>IFERROR(VLOOKUP($A104,[2]Mssp!$A$5:$BE$1463,AS$4+1,0),0)</f>
        <v>20121252-4</v>
      </c>
      <c r="AT104" s="59" t="str">
        <f>IFERROR(VLOOKUP($A104,[2]Mssp!$A$5:$BE$1463,AT$4+1,0),0)</f>
        <v>20121252-5</v>
      </c>
      <c r="AU104" s="59" t="str">
        <f>IFERROR(VLOOKUP($A104,[2]Mssp!$A$5:$BE$1463,AU$4+1,0),0)</f>
        <v>18071153-6</v>
      </c>
      <c r="AV104" s="59">
        <f>IFERROR(VLOOKUP($A104,[2]Mssp!$A$5:$BE$1463,AV$4+1,0),0)</f>
        <v>0</v>
      </c>
      <c r="AW104" s="59">
        <f>IFERROR(VLOOKUP($A104,[2]Mssp!$A$5:$BE$1463,AW$4+1,0),0)</f>
        <v>0</v>
      </c>
      <c r="AX104" s="59">
        <f>IFERROR(VLOOKUP($A104,[2]Mssp!$A$5:$BE$1463,AX$4+1,0),0)</f>
        <v>0</v>
      </c>
      <c r="AY104" s="59" t="str">
        <f>IFERROR(VLOOKUP($A104,[2]Mssp!$A$5:$BE$1463,AY$4+2,0),0)</f>
        <v>536x1000</v>
      </c>
      <c r="AZ104" s="59" t="str">
        <f>IFERROR(VLOOKUP($A104,[2]Mssp!$A$5:$BE$1463,AZ$4+2,0),0)</f>
        <v>V1</v>
      </c>
      <c r="BA104" s="60" t="s">
        <v>106</v>
      </c>
      <c r="BB104" s="61" t="s">
        <v>107</v>
      </c>
      <c r="BC104" s="62"/>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row>
    <row r="105" spans="1:94" ht="45" x14ac:dyDescent="0.25">
      <c r="A105" s="50" t="s">
        <v>448</v>
      </c>
      <c r="B105" s="51" t="s">
        <v>449</v>
      </c>
      <c r="C105" s="50">
        <f t="shared" si="3"/>
        <v>4.7</v>
      </c>
      <c r="D105" s="58">
        <v>3</v>
      </c>
      <c r="E105" s="58" t="s">
        <v>450</v>
      </c>
      <c r="F105" s="58">
        <v>6</v>
      </c>
      <c r="G105" s="50" t="s">
        <v>114</v>
      </c>
      <c r="H105" s="50">
        <f>VLOOKUP($A105,'[1]ma sp 02'!$A$5:$BD$1101,H$1,0)</f>
        <v>0.3</v>
      </c>
      <c r="I105" s="50">
        <f>VLOOKUP($A105,'[1]ma sp 02'!$A$5:$BD$1101,I$1,0)</f>
        <v>2</v>
      </c>
      <c r="J105" s="50">
        <f>VLOOKUP($A105,'[1]ma sp 02'!$A$5:$BD$1101,J$1,0)</f>
        <v>0.1</v>
      </c>
      <c r="K105" s="50">
        <f>VLOOKUP($A105,'[1]ma sp 02'!$A$5:$BD$1101,K$1,0)</f>
        <v>0.2</v>
      </c>
      <c r="L105" s="50">
        <f>VLOOKUP($A105,'[1]ma sp 02'!$A$5:$BD$1101,L$1,0)</f>
        <v>0.1</v>
      </c>
      <c r="M105" s="50">
        <f>VLOOKUP($A105,'[1]ma sp 02'!$A$5:$BD$1101,M$1,0)</f>
        <v>0.5</v>
      </c>
      <c r="N105" s="50">
        <f>VLOOKUP($A105,'[1]ma sp 02'!$A$5:$BD$1101,N$1,0)</f>
        <v>0</v>
      </c>
      <c r="O105" s="50">
        <f>VLOOKUP($A105,'[1]ma sp 02'!$A$5:$BD$1101,O$1,0)</f>
        <v>1.5</v>
      </c>
      <c r="P105" s="50">
        <f>VLOOKUP($A105,'[1]ma sp 02'!$A$5:$BD$1101,P$1,0)</f>
        <v>0</v>
      </c>
      <c r="Q105" s="50">
        <f>VLOOKUP($A105,'[1]ma sp 02'!$A$5:$BD$1101,Q$1,0)</f>
        <v>0</v>
      </c>
      <c r="R105" s="50">
        <f>VLOOKUP($A105,'[1]ma sp 02'!$A$5:$BD$1101,R$1,0)</f>
        <v>0</v>
      </c>
      <c r="S105" s="50">
        <f>VLOOKUP($A105,'[1]ma sp 02'!$A$5:$BD$1101,S$1,0)</f>
        <v>0</v>
      </c>
      <c r="T105" s="50">
        <f>VLOOKUP($A105,'[1]ma sp 02'!$A$5:$BD$1101,T$1,0)</f>
        <v>0</v>
      </c>
      <c r="U105" s="50">
        <f>VLOOKUP($A105,'[1]ma sp 02'!$A$5:$BD$1101,U$1,0)</f>
        <v>0</v>
      </c>
      <c r="V105" s="50">
        <f>VLOOKUP($A105,'[1]ma sp 02'!$A$5:$BD$1101,V$1,0)</f>
        <v>0</v>
      </c>
      <c r="W105" s="50">
        <f>VLOOKUP($A105,'[1]ma sp 02'!$A$5:$BD$1101,W$1,0)</f>
        <v>0</v>
      </c>
      <c r="X105" s="50">
        <f t="shared" si="2"/>
        <v>7</v>
      </c>
      <c r="Y105" s="57"/>
      <c r="Z105" s="57"/>
      <c r="AA105" s="57"/>
      <c r="AB105" s="57"/>
      <c r="AC105" s="57"/>
      <c r="AD105" s="57"/>
      <c r="AE105" s="52" t="s">
        <v>451</v>
      </c>
      <c r="AF105" s="52" t="s">
        <v>452</v>
      </c>
      <c r="AG105" s="65">
        <f>(0.012*1.4+0.012*1.4+0.07*0.925)*0.638</f>
        <v>6.274730000000002E-2</v>
      </c>
      <c r="AH105" s="55">
        <f>(2.3/0.75/2)*0.628</f>
        <v>0.96293333333333331</v>
      </c>
      <c r="AI105" s="54">
        <f>(2.3/0.75/2)*0.628</f>
        <v>0.96293333333333331</v>
      </c>
      <c r="AJ105" s="58">
        <v>9530</v>
      </c>
      <c r="AK105" s="58">
        <v>9530</v>
      </c>
      <c r="AL105" s="58" t="s">
        <v>354</v>
      </c>
      <c r="AM105" s="52" t="s">
        <v>104</v>
      </c>
      <c r="AN105" s="57">
        <v>206</v>
      </c>
      <c r="AO105" s="52" t="s">
        <v>439</v>
      </c>
      <c r="AP105" s="59" t="str">
        <f>IFERROR(VLOOKUP($A105,[2]Mssp!$A$5:$BE$1463,AP$4+1,0),0)</f>
        <v>F415073-1</v>
      </c>
      <c r="AQ105" s="59" t="str">
        <f>IFERROR(VLOOKUP($A105,[2]Mssp!$A$5:$BE$1463,AQ$4+1,0),0)</f>
        <v>F415073-2</v>
      </c>
      <c r="AR105" s="59" t="str">
        <f>IFERROR(VLOOKUP($A105,[2]Mssp!$A$5:$BE$1463,AR$4+1,0),0)</f>
        <v>F415073-3</v>
      </c>
      <c r="AS105" s="59" t="str">
        <f>IFERROR(VLOOKUP($A105,[2]Mssp!$A$5:$BE$1463,AS$4+1,0),0)</f>
        <v>F415073-4</v>
      </c>
      <c r="AT105" s="59" t="str">
        <f>IFERROR(VLOOKUP($A105,[2]Mssp!$A$5:$BE$1463,AT$4+1,0),0)</f>
        <v>F415073-5</v>
      </c>
      <c r="AU105" s="59" t="str">
        <f>IFERROR(VLOOKUP($A105,[2]Mssp!$A$5:$BE$1463,AU$4+1,0),0)</f>
        <v>F415073-6</v>
      </c>
      <c r="AV105" s="59">
        <f>IFERROR(VLOOKUP($A105,[2]Mssp!$A$5:$BE$1463,AV$4+1,0),0)</f>
        <v>0</v>
      </c>
      <c r="AW105" s="59">
        <f>IFERROR(VLOOKUP($A105,[2]Mssp!$A$5:$BE$1463,AW$4+1,0),0)</f>
        <v>0</v>
      </c>
      <c r="AX105" s="59">
        <f>IFERROR(VLOOKUP($A105,[2]Mssp!$A$5:$BE$1463,AX$4+1,0),0)</f>
        <v>0</v>
      </c>
      <c r="AY105" s="59" t="str">
        <f>IFERROR(VLOOKUP($A105,[2]Mssp!$A$5:$BE$1463,AY$4+2,0),0)</f>
        <v>750x417</v>
      </c>
      <c r="AZ105" s="59" t="str">
        <f>IFERROR(VLOOKUP($A105,[2]Mssp!$A$5:$BE$1463,AZ$4+2,0),0)</f>
        <v>N2</v>
      </c>
      <c r="BA105" s="60"/>
      <c r="BB105" s="61" t="s">
        <v>107</v>
      </c>
      <c r="BC105" s="62"/>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row>
    <row r="106" spans="1:94" ht="45" x14ac:dyDescent="0.25">
      <c r="A106" s="77" t="s">
        <v>453</v>
      </c>
      <c r="B106" s="81" t="s">
        <v>454</v>
      </c>
      <c r="C106" s="50">
        <f t="shared" si="3"/>
        <v>5.5349999999999993</v>
      </c>
      <c r="D106" s="58">
        <v>5</v>
      </c>
      <c r="E106" s="58" t="s">
        <v>455</v>
      </c>
      <c r="F106" s="58">
        <v>7</v>
      </c>
      <c r="G106" s="50" t="s">
        <v>114</v>
      </c>
      <c r="H106" s="50">
        <f>VLOOKUP($A106,'[1]ma sp 02'!$A$5:$BD$1101,H$1,0)</f>
        <v>0.15</v>
      </c>
      <c r="I106" s="50">
        <f>VLOOKUP($A106,'[1]ma sp 02'!$A$5:$BD$1101,I$1,0)</f>
        <v>2.85</v>
      </c>
      <c r="J106" s="50">
        <f>VLOOKUP($A106,'[1]ma sp 02'!$A$5:$BD$1101,J$1,0)</f>
        <v>0.01</v>
      </c>
      <c r="K106" s="50">
        <f>VLOOKUP($A106,'[1]ma sp 02'!$A$5:$BD$1101,K$1,0)</f>
        <v>0.01</v>
      </c>
      <c r="L106" s="50">
        <f>VLOOKUP($A106,'[1]ma sp 02'!$A$5:$BD$1101,L$1,0)</f>
        <v>0.8</v>
      </c>
      <c r="M106" s="50">
        <f>VLOOKUP($A106,'[1]ma sp 02'!$A$5:$BD$1101,M$1,0)</f>
        <v>1.2350000000000001</v>
      </c>
      <c r="N106" s="50">
        <f>VLOOKUP($A106,'[1]ma sp 02'!$A$5:$BD$1101,N$1,0)</f>
        <v>0</v>
      </c>
      <c r="O106" s="50">
        <f>VLOOKUP($A106,'[1]ma sp 02'!$A$5:$BD$1101,O$1,0)</f>
        <v>0</v>
      </c>
      <c r="P106" s="50">
        <f>VLOOKUP($A106,'[1]ma sp 02'!$A$5:$BD$1101,P$1,0)</f>
        <v>0.27</v>
      </c>
      <c r="Q106" s="50">
        <f>VLOOKUP($A106,'[1]ma sp 02'!$A$5:$BD$1101,Q$1,0)</f>
        <v>0</v>
      </c>
      <c r="R106" s="50">
        <f>VLOOKUP($A106,'[1]ma sp 02'!$A$5:$BD$1101,R$1,0)</f>
        <v>0.21</v>
      </c>
      <c r="S106" s="50">
        <f>VLOOKUP($A106,'[1]ma sp 02'!$A$5:$BD$1101,S$1,0)</f>
        <v>0</v>
      </c>
      <c r="T106" s="50">
        <f>VLOOKUP($A106,'[1]ma sp 02'!$A$5:$BD$1101,T$1,0)</f>
        <v>0</v>
      </c>
      <c r="U106" s="50">
        <f>VLOOKUP($A106,'[1]ma sp 02'!$A$5:$BD$1101,U$1,0)</f>
        <v>0</v>
      </c>
      <c r="V106" s="50">
        <f>VLOOKUP($A106,'[1]ma sp 02'!$A$5:$BD$1101,V$1,0)</f>
        <v>0</v>
      </c>
      <c r="W106" s="50">
        <f>VLOOKUP($A106,'[1]ma sp 02'!$A$5:$BD$1101,W$1,0)</f>
        <v>0</v>
      </c>
      <c r="X106" s="50">
        <f t="shared" si="2"/>
        <v>8</v>
      </c>
      <c r="Y106" s="57"/>
      <c r="Z106" s="57"/>
      <c r="AA106" s="57"/>
      <c r="AB106" s="57"/>
      <c r="AC106" s="57"/>
      <c r="AD106" s="57"/>
      <c r="AE106" s="52" t="s">
        <v>456</v>
      </c>
      <c r="AF106" s="52" t="s">
        <v>457</v>
      </c>
      <c r="AG106" s="87">
        <f>(0.012*1.4+0.012*1.4+0.075*0.925)*0.77</f>
        <v>7.9290750000000007E-2</v>
      </c>
      <c r="AH106" s="54">
        <f>(2.3/0.75/2)*0.76</f>
        <v>1.1653333333333333</v>
      </c>
      <c r="AI106" s="54">
        <f>(2.3/0.75/2)*0.76</f>
        <v>1.1653333333333333</v>
      </c>
      <c r="AJ106" s="58">
        <v>9530</v>
      </c>
      <c r="AK106" s="58">
        <v>9530</v>
      </c>
      <c r="AL106" s="58" t="s">
        <v>354</v>
      </c>
      <c r="AM106" s="52" t="s">
        <v>104</v>
      </c>
      <c r="AN106" s="57">
        <v>150</v>
      </c>
      <c r="AO106" s="52" t="s">
        <v>458</v>
      </c>
      <c r="AP106" s="59" t="str">
        <f>IFERROR(VLOOKUP($A106,[2]Mssp!$A$5:$BE$1463,AP$4+1,0),0)</f>
        <v>1507601-1</v>
      </c>
      <c r="AQ106" s="59" t="str">
        <f>IFERROR(VLOOKUP($A106,[2]Mssp!$A$5:$BE$1463,AQ$4+1,0),0)</f>
        <v>1507601-2</v>
      </c>
      <c r="AR106" s="59" t="str">
        <f>IFERROR(VLOOKUP($A106,[2]Mssp!$A$5:$BE$1463,AR$4+1,0),0)</f>
        <v>1507601-3</v>
      </c>
      <c r="AS106" s="59" t="str">
        <f>IFERROR(VLOOKUP($A106,[2]Mssp!$A$5:$BE$1463,AS$4+1,0),0)</f>
        <v>1507601-4</v>
      </c>
      <c r="AT106" s="59" t="str">
        <f>IFERROR(VLOOKUP($A106,[2]Mssp!$A$5:$BE$1463,AT$4+1,0),0)</f>
        <v>1507601-5</v>
      </c>
      <c r="AU106" s="59" t="str">
        <f>IFERROR(VLOOKUP($A106,[2]Mssp!$A$5:$BE$1463,AU$4+1,0),0)</f>
        <v>1507601-6</v>
      </c>
      <c r="AV106" s="59" t="str">
        <f>IFERROR(VLOOKUP($A106,[2]Mssp!$A$5:$BE$1463,AV$4+1,0),0)</f>
        <v>1507601-7</v>
      </c>
      <c r="AW106" s="59">
        <f>IFERROR(VLOOKUP($A106,[2]Mssp!$A$5:$BE$1463,AW$4+1,0),0)</f>
        <v>0</v>
      </c>
      <c r="AX106" s="59">
        <f>IFERROR(VLOOKUP($A106,[2]Mssp!$A$5:$BE$1463,AX$4+1,0),0)</f>
        <v>0</v>
      </c>
      <c r="AY106" s="59" t="str">
        <f>IFERROR(VLOOKUP($A106,[2]Mssp!$A$5:$BE$1463,AY$4+2,0),0)</f>
        <v>480x850</v>
      </c>
      <c r="AZ106" s="59" t="str">
        <f>IFERROR(VLOOKUP($A106,[2]Mssp!$A$5:$BE$1463,AZ$4+2,0),0)</f>
        <v>N2</v>
      </c>
      <c r="BA106" s="60" t="s">
        <v>175</v>
      </c>
      <c r="BB106" s="61" t="s">
        <v>107</v>
      </c>
      <c r="BC106" s="62"/>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row>
    <row r="107" spans="1:94" ht="45" x14ac:dyDescent="0.25">
      <c r="A107" s="50" t="s">
        <v>459</v>
      </c>
      <c r="B107" s="73" t="s">
        <v>460</v>
      </c>
      <c r="C107" s="50">
        <f t="shared" si="3"/>
        <v>0</v>
      </c>
      <c r="D107" s="57">
        <v>10</v>
      </c>
      <c r="E107" s="58" t="s">
        <v>113</v>
      </c>
      <c r="F107" s="58">
        <v>7</v>
      </c>
      <c r="G107" s="50" t="s">
        <v>114</v>
      </c>
      <c r="H107" s="50">
        <f>VLOOKUP($A107,'[1]ma sp 02'!$A$5:$BD$1101,H$1,0)</f>
        <v>0</v>
      </c>
      <c r="I107" s="50">
        <f>VLOOKUP($A107,'[1]ma sp 02'!$A$5:$BD$1101,I$1,0)</f>
        <v>0</v>
      </c>
      <c r="J107" s="50">
        <f>VLOOKUP($A107,'[1]ma sp 02'!$A$5:$BD$1101,J$1,0)</f>
        <v>0</v>
      </c>
      <c r="K107" s="50">
        <f>VLOOKUP($A107,'[1]ma sp 02'!$A$5:$BD$1101,K$1,0)</f>
        <v>0</v>
      </c>
      <c r="L107" s="50">
        <f>VLOOKUP($A107,'[1]ma sp 02'!$A$5:$BD$1101,L$1,0)</f>
        <v>0</v>
      </c>
      <c r="M107" s="50">
        <f>VLOOKUP($A107,'[1]ma sp 02'!$A$5:$BD$1101,M$1,0)</f>
        <v>0</v>
      </c>
      <c r="N107" s="50">
        <f>VLOOKUP($A107,'[1]ma sp 02'!$A$5:$BD$1101,N$1,0)</f>
        <v>0</v>
      </c>
      <c r="O107" s="50">
        <f>VLOOKUP($A107,'[1]ma sp 02'!$A$5:$BD$1101,O$1,0)</f>
        <v>0</v>
      </c>
      <c r="P107" s="50">
        <f>VLOOKUP($A107,'[1]ma sp 02'!$A$5:$BD$1101,P$1,0)</f>
        <v>0</v>
      </c>
      <c r="Q107" s="50">
        <f>VLOOKUP($A107,'[1]ma sp 02'!$A$5:$BD$1101,Q$1,0)</f>
        <v>0</v>
      </c>
      <c r="R107" s="50">
        <f>VLOOKUP($A107,'[1]ma sp 02'!$A$5:$BD$1101,R$1,0)</f>
        <v>0</v>
      </c>
      <c r="S107" s="50">
        <f>VLOOKUP($A107,'[1]ma sp 02'!$A$5:$BD$1101,S$1,0)</f>
        <v>0</v>
      </c>
      <c r="T107" s="50">
        <f>VLOOKUP($A107,'[1]ma sp 02'!$A$5:$BD$1101,T$1,0)</f>
        <v>0</v>
      </c>
      <c r="U107" s="50">
        <f>VLOOKUP($A107,'[1]ma sp 02'!$A$5:$BD$1101,U$1,0)</f>
        <v>0</v>
      </c>
      <c r="V107" s="50">
        <f>VLOOKUP($A107,'[1]ma sp 02'!$A$5:$BD$1101,V$1,0)</f>
        <v>0</v>
      </c>
      <c r="W107" s="50">
        <f>VLOOKUP($A107,'[1]ma sp 02'!$A$5:$BD$1101,W$1,0)</f>
        <v>0</v>
      </c>
      <c r="X107" s="50">
        <f t="shared" si="2"/>
        <v>0</v>
      </c>
      <c r="Y107" s="57"/>
      <c r="Z107" s="57"/>
      <c r="AA107" s="57"/>
      <c r="AB107" s="57"/>
      <c r="AC107" s="57"/>
      <c r="AD107" s="57"/>
      <c r="AE107" s="52" t="s">
        <v>115</v>
      </c>
      <c r="AF107" s="52" t="s">
        <v>321</v>
      </c>
      <c r="AG107" s="87">
        <f>(0.012*1.4+0.012*1.4+0.075*0.925)*0.74</f>
        <v>7.6201500000000005E-2</v>
      </c>
      <c r="AH107" s="54">
        <f>(2.3/0.75/2)*0.73</f>
        <v>1.1193333333333333</v>
      </c>
      <c r="AI107" s="54">
        <f>(2.3/0.75/2)*0.73</f>
        <v>1.1193333333333333</v>
      </c>
      <c r="AJ107" s="58">
        <v>9530</v>
      </c>
      <c r="AK107" s="58">
        <v>9530</v>
      </c>
      <c r="AL107" s="58" t="s">
        <v>354</v>
      </c>
      <c r="AM107" s="52" t="s">
        <v>74</v>
      </c>
      <c r="AN107" s="57">
        <v>135</v>
      </c>
      <c r="AO107" s="52" t="s">
        <v>461</v>
      </c>
      <c r="AP107" s="59" t="str">
        <f>IFERROR(VLOOKUP($A107,[2]Mssp!$A$5:$BE$1463,AP$4+1,0),0)</f>
        <v>1507713-1</v>
      </c>
      <c r="AQ107" s="59" t="str">
        <f>IFERROR(VLOOKUP($A107,[2]Mssp!$A$5:$BE$1463,AQ$4+1,0),0)</f>
        <v>1507713-2</v>
      </c>
      <c r="AR107" s="59" t="str">
        <f>IFERROR(VLOOKUP($A107,[2]Mssp!$A$5:$BE$1463,AR$4+1,0),0)</f>
        <v>1507713-3</v>
      </c>
      <c r="AS107" s="59" t="str">
        <f>IFERROR(VLOOKUP($A107,[2]Mssp!$A$5:$BE$1463,AS$4+1,0),0)</f>
        <v>1507713-4</v>
      </c>
      <c r="AT107" s="59" t="str">
        <f>IFERROR(VLOOKUP($A107,[2]Mssp!$A$5:$BE$1463,AT$4+1,0),0)</f>
        <v>1507713-5</v>
      </c>
      <c r="AU107" s="59" t="str">
        <f>IFERROR(VLOOKUP($A107,[2]Mssp!$A$5:$BE$1463,AU$4+1,0),0)</f>
        <v>1507713-6</v>
      </c>
      <c r="AV107" s="59" t="str">
        <f>IFERROR(VLOOKUP($A107,[2]Mssp!$A$5:$BE$1463,AV$4+1,0),0)</f>
        <v>1507713-7</v>
      </c>
      <c r="AW107" s="59">
        <f>IFERROR(VLOOKUP($A107,[2]Mssp!$A$5:$BE$1463,AW$4+1,0),0)</f>
        <v>0</v>
      </c>
      <c r="AX107" s="59">
        <f>IFERROR(VLOOKUP($A107,[2]Mssp!$A$5:$BE$1463,AX$4+1,0),0)</f>
        <v>0</v>
      </c>
      <c r="AY107" s="59" t="str">
        <f>IFERROR(VLOOKUP($A107,[2]Mssp!$A$5:$BE$1463,AY$4+2,0),0)</f>
        <v>540x850</v>
      </c>
      <c r="AZ107" s="59" t="str">
        <f>IFERROR(VLOOKUP($A107,[2]Mssp!$A$5:$BE$1463,AZ$4+2,0),0)</f>
        <v>T1</v>
      </c>
      <c r="BA107" s="60"/>
      <c r="BB107" s="61" t="s">
        <v>62</v>
      </c>
      <c r="BC107" s="62"/>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row>
    <row r="108" spans="1:94" ht="45" x14ac:dyDescent="0.25">
      <c r="A108" s="50" t="s">
        <v>462</v>
      </c>
      <c r="B108" s="73" t="s">
        <v>463</v>
      </c>
      <c r="C108" s="50">
        <f t="shared" si="3"/>
        <v>0</v>
      </c>
      <c r="D108" s="57">
        <v>3</v>
      </c>
      <c r="E108" s="58" t="s">
        <v>411</v>
      </c>
      <c r="F108" s="58">
        <v>7</v>
      </c>
      <c r="G108" s="50" t="s">
        <v>114</v>
      </c>
      <c r="H108" s="50">
        <f>VLOOKUP($A108,'[1]ma sp 02'!$A$5:$BD$1101,H$1,0)</f>
        <v>0</v>
      </c>
      <c r="I108" s="50">
        <f>VLOOKUP($A108,'[1]ma sp 02'!$A$5:$BD$1101,I$1,0)</f>
        <v>0</v>
      </c>
      <c r="J108" s="50">
        <f>VLOOKUP($A108,'[1]ma sp 02'!$A$5:$BD$1101,J$1,0)</f>
        <v>0</v>
      </c>
      <c r="K108" s="50">
        <f>VLOOKUP($A108,'[1]ma sp 02'!$A$5:$BD$1101,K$1,0)</f>
        <v>0</v>
      </c>
      <c r="L108" s="50">
        <f>VLOOKUP($A108,'[1]ma sp 02'!$A$5:$BD$1101,L$1,0)</f>
        <v>0</v>
      </c>
      <c r="M108" s="50">
        <f>VLOOKUP($A108,'[1]ma sp 02'!$A$5:$BD$1101,M$1,0)</f>
        <v>0</v>
      </c>
      <c r="N108" s="50">
        <f>VLOOKUP($A108,'[1]ma sp 02'!$A$5:$BD$1101,N$1,0)</f>
        <v>0</v>
      </c>
      <c r="O108" s="50">
        <f>VLOOKUP($A108,'[1]ma sp 02'!$A$5:$BD$1101,O$1,0)</f>
        <v>0</v>
      </c>
      <c r="P108" s="50">
        <f>VLOOKUP($A108,'[1]ma sp 02'!$A$5:$BD$1101,P$1,0)</f>
        <v>0</v>
      </c>
      <c r="Q108" s="50">
        <f>VLOOKUP($A108,'[1]ma sp 02'!$A$5:$BD$1101,Q$1,0)</f>
        <v>0</v>
      </c>
      <c r="R108" s="50">
        <f>VLOOKUP($A108,'[1]ma sp 02'!$A$5:$BD$1101,R$1,0)</f>
        <v>0</v>
      </c>
      <c r="S108" s="50">
        <f>VLOOKUP($A108,'[1]ma sp 02'!$A$5:$BD$1101,S$1,0)</f>
        <v>0</v>
      </c>
      <c r="T108" s="50">
        <f>VLOOKUP($A108,'[1]ma sp 02'!$A$5:$BD$1101,T$1,0)</f>
        <v>0</v>
      </c>
      <c r="U108" s="50">
        <f>VLOOKUP($A108,'[1]ma sp 02'!$A$5:$BD$1101,U$1,0)</f>
        <v>0</v>
      </c>
      <c r="V108" s="50">
        <f>VLOOKUP($A108,'[1]ma sp 02'!$A$5:$BD$1101,V$1,0)</f>
        <v>0</v>
      </c>
      <c r="W108" s="50">
        <f>VLOOKUP($A108,'[1]ma sp 02'!$A$5:$BD$1101,W$1,0)</f>
        <v>0</v>
      </c>
      <c r="X108" s="50">
        <f t="shared" si="2"/>
        <v>0</v>
      </c>
      <c r="Y108" s="57"/>
      <c r="Z108" s="57"/>
      <c r="AA108" s="57"/>
      <c r="AB108" s="57"/>
      <c r="AC108" s="57"/>
      <c r="AD108" s="57"/>
      <c r="AE108" s="52" t="s">
        <v>66</v>
      </c>
      <c r="AF108" s="52" t="s">
        <v>412</v>
      </c>
      <c r="AG108" s="87">
        <f>(0.012*1.4+0.012*1.4+0.075*0.925)*0.68</f>
        <v>7.0023000000000016E-2</v>
      </c>
      <c r="AH108" s="54">
        <f>(2.3/0.75/2)*0.67</f>
        <v>1.0273333333333332</v>
      </c>
      <c r="AI108" s="54">
        <f>(2.3/0.75/2)*0.67</f>
        <v>1.0273333333333332</v>
      </c>
      <c r="AJ108" s="58">
        <v>9530</v>
      </c>
      <c r="AK108" s="58">
        <v>9530</v>
      </c>
      <c r="AL108" s="58" t="s">
        <v>354</v>
      </c>
      <c r="AM108" s="52" t="s">
        <v>74</v>
      </c>
      <c r="AN108" s="57">
        <v>145</v>
      </c>
      <c r="AO108" s="52" t="s">
        <v>464</v>
      </c>
      <c r="AP108" s="59" t="str">
        <f>IFERROR(VLOOKUP($A108,[2]Mssp!$A$5:$BE$1463,AP$4+1,0),0)</f>
        <v>1503625-1</v>
      </c>
      <c r="AQ108" s="59" t="str">
        <f>IFERROR(VLOOKUP($A108,[2]Mssp!$A$5:$BE$1463,AQ$4+1,0),0)</f>
        <v>1503625-2</v>
      </c>
      <c r="AR108" s="59" t="str">
        <f>IFERROR(VLOOKUP($A108,[2]Mssp!$A$5:$BE$1463,AR$4+1,0),0)</f>
        <v>1503625-3</v>
      </c>
      <c r="AS108" s="59" t="str">
        <f>IFERROR(VLOOKUP($A108,[2]Mssp!$A$5:$BE$1463,AS$4+1,0),0)</f>
        <v>1503625-4</v>
      </c>
      <c r="AT108" s="59" t="str">
        <f>IFERROR(VLOOKUP($A108,[2]Mssp!$A$5:$BE$1463,AT$4+1,0),0)</f>
        <v>1503625-5</v>
      </c>
      <c r="AU108" s="59" t="str">
        <f>IFERROR(VLOOKUP($A108,[2]Mssp!$A$5:$BE$1463,AU$4+1,0),0)</f>
        <v>1503625-6</v>
      </c>
      <c r="AV108" s="59" t="str">
        <f>IFERROR(VLOOKUP($A108,[2]Mssp!$A$5:$BE$1463,AV$4+1,0),0)</f>
        <v>1503625-7</v>
      </c>
      <c r="AW108" s="59">
        <f>IFERROR(VLOOKUP($A108,[2]Mssp!$A$5:$BE$1463,AW$4+1,0),0)</f>
        <v>0</v>
      </c>
      <c r="AX108" s="59">
        <f>IFERROR(VLOOKUP($A108,[2]Mssp!$A$5:$BE$1463,AX$4+1,0),0)</f>
        <v>0</v>
      </c>
      <c r="AY108" s="59" t="str">
        <f>IFERROR(VLOOKUP($A108,[2]Mssp!$A$5:$BE$1463,AY$4+2,0),0)</f>
        <v>435x750</v>
      </c>
      <c r="AZ108" s="59" t="str">
        <f>IFERROR(VLOOKUP($A108,[2]Mssp!$A$5:$BE$1463,AZ$4+2,0),0)</f>
        <v>N2</v>
      </c>
      <c r="BA108" s="60"/>
      <c r="BB108" s="61" t="s">
        <v>62</v>
      </c>
      <c r="BC108" s="62"/>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row>
    <row r="109" spans="1:94" ht="45" x14ac:dyDescent="0.25">
      <c r="A109" s="50" t="s">
        <v>465</v>
      </c>
      <c r="B109" s="73" t="s">
        <v>466</v>
      </c>
      <c r="C109" s="50">
        <f t="shared" si="3"/>
        <v>10.6</v>
      </c>
      <c r="D109" s="58">
        <v>2</v>
      </c>
      <c r="E109" s="58" t="s">
        <v>135</v>
      </c>
      <c r="F109" s="58">
        <v>7</v>
      </c>
      <c r="G109" s="50" t="s">
        <v>56</v>
      </c>
      <c r="H109" s="50">
        <f>VLOOKUP($A109,'[1]ma sp 02'!$A$5:$BD$1101,H$1,0)</f>
        <v>0.2</v>
      </c>
      <c r="I109" s="50">
        <f>VLOOKUP($A109,'[1]ma sp 02'!$A$5:$BD$1101,I$1,0)</f>
        <v>2.5</v>
      </c>
      <c r="J109" s="50">
        <f>VLOOKUP($A109,'[1]ma sp 02'!$A$5:$BD$1101,J$1,0)</f>
        <v>0.1</v>
      </c>
      <c r="K109" s="50">
        <f>VLOOKUP($A109,'[1]ma sp 02'!$A$5:$BD$1101,K$1,0)</f>
        <v>0.9</v>
      </c>
      <c r="L109" s="50">
        <f>VLOOKUP($A109,'[1]ma sp 02'!$A$5:$BD$1101,L$1,0)</f>
        <v>3.2</v>
      </c>
      <c r="M109" s="50">
        <f>VLOOKUP($A109,'[1]ma sp 02'!$A$5:$BD$1101,M$1,0)</f>
        <v>3.4</v>
      </c>
      <c r="N109" s="50">
        <f>VLOOKUP($A109,'[1]ma sp 02'!$A$5:$BD$1101,N$1,0)</f>
        <v>0</v>
      </c>
      <c r="O109" s="50">
        <f>VLOOKUP($A109,'[1]ma sp 02'!$A$5:$BD$1101,O$1,0)</f>
        <v>0</v>
      </c>
      <c r="P109" s="50">
        <f>VLOOKUP($A109,'[1]ma sp 02'!$A$5:$BD$1101,P$1,0)</f>
        <v>0.2</v>
      </c>
      <c r="Q109" s="50">
        <f>VLOOKUP($A109,'[1]ma sp 02'!$A$5:$BD$1101,Q$1,0)</f>
        <v>0</v>
      </c>
      <c r="R109" s="50">
        <f>VLOOKUP($A109,'[1]ma sp 02'!$A$5:$BD$1101,R$1,0)</f>
        <v>0.1</v>
      </c>
      <c r="S109" s="50">
        <f>VLOOKUP($A109,'[1]ma sp 02'!$A$5:$BD$1101,S$1,0)</f>
        <v>0</v>
      </c>
      <c r="T109" s="50">
        <f>VLOOKUP($A109,'[1]ma sp 02'!$A$5:$BD$1101,T$1,0)</f>
        <v>0</v>
      </c>
      <c r="U109" s="50">
        <f>VLOOKUP($A109,'[1]ma sp 02'!$A$5:$BD$1101,U$1,0)</f>
        <v>0</v>
      </c>
      <c r="V109" s="50">
        <f>VLOOKUP($A109,'[1]ma sp 02'!$A$5:$BD$1101,V$1,0)</f>
        <v>0</v>
      </c>
      <c r="W109" s="50">
        <f>VLOOKUP($A109,'[1]ma sp 02'!$A$5:$BD$1101,W$1,0)</f>
        <v>0</v>
      </c>
      <c r="X109" s="50">
        <f t="shared" si="2"/>
        <v>8</v>
      </c>
      <c r="Y109" s="57"/>
      <c r="Z109" s="57"/>
      <c r="AA109" s="57"/>
      <c r="AB109" s="57"/>
      <c r="AC109" s="57"/>
      <c r="AD109" s="57"/>
      <c r="AE109" s="58" t="s">
        <v>66</v>
      </c>
      <c r="AF109" s="58" t="s">
        <v>467</v>
      </c>
      <c r="AG109" s="82">
        <f>(0.02*0.91+0.012*1.4+0.03*0.91)*0.68</f>
        <v>4.2364000000000006E-2</v>
      </c>
      <c r="AH109" s="54">
        <f>(2.3/0.75/2)*0.67</f>
        <v>1.0273333333333332</v>
      </c>
      <c r="AI109" s="55">
        <f>(0.0023*0.67*3)/(10*0.3)*1000</f>
        <v>1.5410000000000001</v>
      </c>
      <c r="AJ109" s="58">
        <v>9530</v>
      </c>
      <c r="AK109" s="57">
        <v>9690</v>
      </c>
      <c r="AL109" s="52" t="s">
        <v>59</v>
      </c>
      <c r="AM109" s="52" t="s">
        <v>60</v>
      </c>
      <c r="AN109" s="58">
        <v>260</v>
      </c>
      <c r="AO109" s="52" t="s">
        <v>61</v>
      </c>
      <c r="AP109" s="59">
        <f>IFERROR(VLOOKUP($A109,[2]Mssp!$A$5:$BE$1463,AP$4+1,0),0)</f>
        <v>0</v>
      </c>
      <c r="AQ109" s="59">
        <f>IFERROR(VLOOKUP($A109,[2]Mssp!$A$5:$BE$1463,AQ$4+1,0),0)</f>
        <v>0</v>
      </c>
      <c r="AR109" s="59">
        <f>IFERROR(VLOOKUP($A109,[2]Mssp!$A$5:$BE$1463,AR$4+1,0),0)</f>
        <v>0</v>
      </c>
      <c r="AS109" s="59">
        <f>IFERROR(VLOOKUP($A109,[2]Mssp!$A$5:$BE$1463,AS$4+1,0),0)</f>
        <v>0</v>
      </c>
      <c r="AT109" s="59">
        <f>IFERROR(VLOOKUP($A109,[2]Mssp!$A$5:$BE$1463,AT$4+1,0),0)</f>
        <v>0</v>
      </c>
      <c r="AU109" s="59">
        <f>IFERROR(VLOOKUP($A109,[2]Mssp!$A$5:$BE$1463,AU$4+1,0),0)</f>
        <v>0</v>
      </c>
      <c r="AV109" s="59">
        <f>IFERROR(VLOOKUP($A109,[2]Mssp!$A$5:$BE$1463,AV$4+1,0),0)</f>
        <v>0</v>
      </c>
      <c r="AW109" s="59">
        <f>IFERROR(VLOOKUP($A109,[2]Mssp!$A$5:$BE$1463,AW$4+1,0),0)</f>
        <v>0</v>
      </c>
      <c r="AX109" s="59">
        <f>IFERROR(VLOOKUP($A109,[2]Mssp!$A$5:$BE$1463,AX$4+1,0),0)</f>
        <v>0</v>
      </c>
      <c r="AY109" s="59">
        <f>IFERROR(VLOOKUP($A109,[2]Mssp!$A$5:$BE$1463,AY$4+2,0),0)</f>
        <v>0</v>
      </c>
      <c r="AZ109" s="59">
        <f>IFERROR(VLOOKUP($A109,[2]Mssp!$A$5:$BE$1463,AZ$4+2,0),0)</f>
        <v>0</v>
      </c>
      <c r="BA109" s="60">
        <v>4000</v>
      </c>
      <c r="BB109" s="61" t="s">
        <v>62</v>
      </c>
      <c r="BC109" s="62"/>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row>
    <row r="110" spans="1:94" ht="45" x14ac:dyDescent="0.25">
      <c r="A110" s="50" t="s">
        <v>468</v>
      </c>
      <c r="B110" s="73" t="s">
        <v>469</v>
      </c>
      <c r="C110" s="50">
        <f t="shared" si="3"/>
        <v>1.4400000000000002</v>
      </c>
      <c r="D110" s="58">
        <v>2</v>
      </c>
      <c r="E110" s="58" t="s">
        <v>470</v>
      </c>
      <c r="F110" s="58">
        <v>1</v>
      </c>
      <c r="G110" s="50" t="s">
        <v>471</v>
      </c>
      <c r="H110" s="50">
        <f>VLOOKUP($A110,'[1]ma sp 02'!$A$5:$BD$1101,H$1,0)</f>
        <v>0.22</v>
      </c>
      <c r="I110" s="50">
        <f>VLOOKUP($A110,'[1]ma sp 02'!$A$5:$BD$1101,I$1,0)</f>
        <v>0</v>
      </c>
      <c r="J110" s="50">
        <f>VLOOKUP($A110,'[1]ma sp 02'!$A$5:$BD$1101,J$1,0)</f>
        <v>0.32</v>
      </c>
      <c r="K110" s="50">
        <f>VLOOKUP($A110,'[1]ma sp 02'!$A$5:$BD$1101,K$1,0)</f>
        <v>0</v>
      </c>
      <c r="L110" s="50">
        <f>VLOOKUP($A110,'[1]ma sp 02'!$A$5:$BD$1101,L$1,0)</f>
        <v>0.89</v>
      </c>
      <c r="M110" s="50">
        <f>VLOOKUP($A110,'[1]ma sp 02'!$A$5:$BD$1101,M$1,0)</f>
        <v>0</v>
      </c>
      <c r="N110" s="50">
        <f>VLOOKUP($A110,'[1]ma sp 02'!$A$5:$BD$1101,N$1,0)</f>
        <v>0</v>
      </c>
      <c r="O110" s="50">
        <f>VLOOKUP($A110,'[1]ma sp 02'!$A$5:$BD$1101,O$1,0)</f>
        <v>0.01</v>
      </c>
      <c r="P110" s="50">
        <f>VLOOKUP($A110,'[1]ma sp 02'!$A$5:$BD$1101,P$1,0)</f>
        <v>0</v>
      </c>
      <c r="Q110" s="50">
        <f>VLOOKUP($A110,'[1]ma sp 02'!$A$5:$BD$1101,Q$1,0)</f>
        <v>0</v>
      </c>
      <c r="R110" s="50">
        <f>VLOOKUP($A110,'[1]ma sp 02'!$A$5:$BD$1101,R$1,0)</f>
        <v>0</v>
      </c>
      <c r="S110" s="50">
        <f>VLOOKUP($A110,'[1]ma sp 02'!$A$5:$BD$1101,S$1,0)</f>
        <v>0</v>
      </c>
      <c r="T110" s="50">
        <f>VLOOKUP($A110,'[1]ma sp 02'!$A$5:$BD$1101,T$1,0)</f>
        <v>0</v>
      </c>
      <c r="U110" s="50">
        <f>VLOOKUP($A110,'[1]ma sp 02'!$A$5:$BD$1101,U$1,0)</f>
        <v>0</v>
      </c>
      <c r="V110" s="50">
        <f>VLOOKUP($A110,'[1]ma sp 02'!$A$5:$BD$1101,V$1,0)</f>
        <v>0</v>
      </c>
      <c r="W110" s="50">
        <f>VLOOKUP($A110,'[1]ma sp 02'!$A$5:$BD$1101,W$1,0)</f>
        <v>0</v>
      </c>
      <c r="X110" s="50">
        <f t="shared" si="2"/>
        <v>4</v>
      </c>
      <c r="Y110" s="57"/>
      <c r="Z110" s="57"/>
      <c r="AA110" s="57"/>
      <c r="AB110" s="57"/>
      <c r="AC110" s="57"/>
      <c r="AD110" s="57"/>
      <c r="AE110" s="58" t="s">
        <v>472</v>
      </c>
      <c r="AF110" s="57"/>
      <c r="AG110" s="82">
        <f>(0.03*0.91+0.025*0.91)*0.58</f>
        <v>2.9028999999999999E-2</v>
      </c>
      <c r="AH110" s="54">
        <f>(2/0.75/2)*0.57</f>
        <v>0.7599999999999999</v>
      </c>
      <c r="AI110" s="57"/>
      <c r="AJ110" s="58">
        <v>9530</v>
      </c>
      <c r="AK110" s="57"/>
      <c r="AL110" s="58">
        <v>2E-3</v>
      </c>
      <c r="AM110" s="52" t="s">
        <v>74</v>
      </c>
      <c r="AN110" s="57">
        <v>100</v>
      </c>
      <c r="AO110" s="52" t="s">
        <v>473</v>
      </c>
      <c r="AP110" s="59" t="str">
        <f>IFERROR(VLOOKUP($A110,[2]Mssp!$A$5:$BE$1463,AP$4+1,0),0)</f>
        <v>F111915G2-1</v>
      </c>
      <c r="AQ110" s="59">
        <f>IFERROR(VLOOKUP($A110,[2]Mssp!$A$5:$BE$1463,AQ$4+1,0),0)</f>
        <v>0</v>
      </c>
      <c r="AR110" s="59">
        <f>IFERROR(VLOOKUP($A110,[2]Mssp!$A$5:$BE$1463,AR$4+1,0),0)</f>
        <v>0</v>
      </c>
      <c r="AS110" s="59">
        <f>IFERROR(VLOOKUP($A110,[2]Mssp!$A$5:$BE$1463,AS$4+1,0),0)</f>
        <v>0</v>
      </c>
      <c r="AT110" s="59">
        <f>IFERROR(VLOOKUP($A110,[2]Mssp!$A$5:$BE$1463,AT$4+1,0),0)</f>
        <v>0</v>
      </c>
      <c r="AU110" s="59">
        <f>IFERROR(VLOOKUP($A110,[2]Mssp!$A$5:$BE$1463,AU$4+1,0),0)</f>
        <v>0</v>
      </c>
      <c r="AV110" s="59">
        <f>IFERROR(VLOOKUP($A110,[2]Mssp!$A$5:$BE$1463,AV$4+1,0),0)</f>
        <v>0</v>
      </c>
      <c r="AW110" s="59">
        <f>IFERROR(VLOOKUP($A110,[2]Mssp!$A$5:$BE$1463,AW$4+1,0),0)</f>
        <v>0</v>
      </c>
      <c r="AX110" s="59">
        <f>IFERROR(VLOOKUP($A110,[2]Mssp!$A$5:$BE$1463,AX$4+1,0),0)</f>
        <v>0</v>
      </c>
      <c r="AY110" s="59" t="str">
        <f>IFERROR(VLOOKUP($A110,[2]Mssp!$A$5:$BE$1463,AY$4+2,0),0)</f>
        <v>400x750</v>
      </c>
      <c r="AZ110" s="59" t="str">
        <f>IFERROR(VLOOKUP($A110,[2]Mssp!$A$5:$BE$1463,AZ$4+2,0),0)</f>
        <v>N2</v>
      </c>
      <c r="BA110" s="60">
        <v>18000</v>
      </c>
      <c r="BB110" s="61" t="s">
        <v>62</v>
      </c>
      <c r="BC110" s="62"/>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row>
    <row r="111" spans="1:94" ht="45" x14ac:dyDescent="0.25">
      <c r="A111" s="50" t="s">
        <v>474</v>
      </c>
      <c r="B111" s="73" t="s">
        <v>475</v>
      </c>
      <c r="C111" s="50">
        <f t="shared" si="3"/>
        <v>4.9800000000000004</v>
      </c>
      <c r="D111" s="58">
        <v>3</v>
      </c>
      <c r="E111" s="58" t="s">
        <v>113</v>
      </c>
      <c r="F111" s="58">
        <v>6</v>
      </c>
      <c r="G111" s="50" t="s">
        <v>114</v>
      </c>
      <c r="H111" s="50">
        <f>VLOOKUP($A111,'[1]ma sp 02'!$A$5:$BD$1101,H$1,0)</f>
        <v>0.1</v>
      </c>
      <c r="I111" s="50">
        <f>VLOOKUP($A111,'[1]ma sp 02'!$A$5:$BD$1101,I$1,0)</f>
        <v>1.5</v>
      </c>
      <c r="J111" s="50">
        <f>VLOOKUP($A111,'[1]ma sp 02'!$A$5:$BD$1101,J$1,0)</f>
        <v>0.4</v>
      </c>
      <c r="K111" s="50">
        <f>VLOOKUP($A111,'[1]ma sp 02'!$A$5:$BD$1101,K$1,0)</f>
        <v>0.28000000000000003</v>
      </c>
      <c r="L111" s="50">
        <f>VLOOKUP($A111,'[1]ma sp 02'!$A$5:$BD$1101,L$1,0)</f>
        <v>2.7</v>
      </c>
      <c r="M111" s="50">
        <f>VLOOKUP($A111,'[1]ma sp 02'!$A$5:$BD$1101,M$1,0)</f>
        <v>0</v>
      </c>
      <c r="N111" s="50">
        <f>VLOOKUP($A111,'[1]ma sp 02'!$A$5:$BD$1101,N$1,0)</f>
        <v>0</v>
      </c>
      <c r="O111" s="50">
        <f>VLOOKUP($A111,'[1]ma sp 02'!$A$5:$BD$1101,O$1,0)</f>
        <v>0</v>
      </c>
      <c r="P111" s="50">
        <f>VLOOKUP($A111,'[1]ma sp 02'!$A$5:$BD$1101,P$1,0)</f>
        <v>0</v>
      </c>
      <c r="Q111" s="50">
        <f>VLOOKUP($A111,'[1]ma sp 02'!$A$5:$BD$1101,Q$1,0)</f>
        <v>0</v>
      </c>
      <c r="R111" s="50">
        <f>VLOOKUP($A111,'[1]ma sp 02'!$A$5:$BD$1101,R$1,0)</f>
        <v>0</v>
      </c>
      <c r="S111" s="50">
        <f>VLOOKUP($A111,'[1]ma sp 02'!$A$5:$BD$1101,S$1,0)</f>
        <v>0</v>
      </c>
      <c r="T111" s="50">
        <f>VLOOKUP($A111,'[1]ma sp 02'!$A$5:$BD$1101,T$1,0)</f>
        <v>0</v>
      </c>
      <c r="U111" s="50">
        <f>VLOOKUP($A111,'[1]ma sp 02'!$A$5:$BD$1101,U$1,0)</f>
        <v>0</v>
      </c>
      <c r="V111" s="50">
        <f>VLOOKUP($A111,'[1]ma sp 02'!$A$5:$BD$1101,V$1,0)</f>
        <v>0</v>
      </c>
      <c r="W111" s="50">
        <f>VLOOKUP($A111,'[1]ma sp 02'!$A$5:$BD$1101,W$1,0)</f>
        <v>0</v>
      </c>
      <c r="X111" s="50">
        <f t="shared" si="2"/>
        <v>5</v>
      </c>
      <c r="Y111" s="57"/>
      <c r="Z111" s="57"/>
      <c r="AA111" s="57"/>
      <c r="AB111" s="57"/>
      <c r="AC111" s="57"/>
      <c r="AD111" s="57"/>
      <c r="AE111" s="52" t="s">
        <v>115</v>
      </c>
      <c r="AF111" s="52" t="s">
        <v>321</v>
      </c>
      <c r="AG111" s="87">
        <f>(0.012*1.4+0.012*1.4+0.075*0.925)*0.74</f>
        <v>7.6201500000000005E-2</v>
      </c>
      <c r="AH111" s="54">
        <f>(2.3/0.75/2)*0.73</f>
        <v>1.1193333333333333</v>
      </c>
      <c r="AI111" s="54">
        <f>(3/0.75/2)*0.73</f>
        <v>1.46</v>
      </c>
      <c r="AJ111" s="58">
        <v>9530</v>
      </c>
      <c r="AK111" s="58">
        <v>9530</v>
      </c>
      <c r="AL111" s="72" t="s">
        <v>117</v>
      </c>
      <c r="AM111" s="52" t="s">
        <v>60</v>
      </c>
      <c r="AN111" s="57">
        <v>270</v>
      </c>
      <c r="AO111" s="52" t="s">
        <v>118</v>
      </c>
      <c r="AP111" s="59">
        <f>IFERROR(VLOOKUP($A111,[2]Mssp!$A$5:$BE$1463,AP$4+1,0),0)</f>
        <v>0</v>
      </c>
      <c r="AQ111" s="59">
        <f>IFERROR(VLOOKUP($A111,[2]Mssp!$A$5:$BE$1463,AQ$4+1,0),0)</f>
        <v>0</v>
      </c>
      <c r="AR111" s="59">
        <f>IFERROR(VLOOKUP($A111,[2]Mssp!$A$5:$BE$1463,AR$4+1,0),0)</f>
        <v>0</v>
      </c>
      <c r="AS111" s="59">
        <f>IFERROR(VLOOKUP($A111,[2]Mssp!$A$5:$BE$1463,AS$4+1,0),0)</f>
        <v>0</v>
      </c>
      <c r="AT111" s="59">
        <f>IFERROR(VLOOKUP($A111,[2]Mssp!$A$5:$BE$1463,AT$4+1,0),0)</f>
        <v>0</v>
      </c>
      <c r="AU111" s="59">
        <f>IFERROR(VLOOKUP($A111,[2]Mssp!$A$5:$BE$1463,AU$4+1,0),0)</f>
        <v>0</v>
      </c>
      <c r="AV111" s="59">
        <f>IFERROR(VLOOKUP($A111,[2]Mssp!$A$5:$BE$1463,AV$4+1,0),0)</f>
        <v>0</v>
      </c>
      <c r="AW111" s="59">
        <f>IFERROR(VLOOKUP($A111,[2]Mssp!$A$5:$BE$1463,AW$4+1,0),0)</f>
        <v>0</v>
      </c>
      <c r="AX111" s="59">
        <f>IFERROR(VLOOKUP($A111,[2]Mssp!$A$5:$BE$1463,AX$4+1,0),0)</f>
        <v>0</v>
      </c>
      <c r="AY111" s="59">
        <f>IFERROR(VLOOKUP($A111,[2]Mssp!$A$5:$BE$1463,AY$4+2,0),0)</f>
        <v>0</v>
      </c>
      <c r="AZ111" s="59">
        <f>IFERROR(VLOOKUP($A111,[2]Mssp!$A$5:$BE$1463,AZ$4+2,0),0)</f>
        <v>0</v>
      </c>
      <c r="BA111" s="60">
        <v>3000</v>
      </c>
      <c r="BB111" s="61" t="s">
        <v>62</v>
      </c>
      <c r="BC111" s="62"/>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row>
    <row r="112" spans="1:94" ht="45" x14ac:dyDescent="0.25">
      <c r="A112" s="50" t="s">
        <v>476</v>
      </c>
      <c r="B112" s="73" t="s">
        <v>477</v>
      </c>
      <c r="C112" s="50">
        <f t="shared" si="3"/>
        <v>5.4</v>
      </c>
      <c r="D112" s="58">
        <v>3</v>
      </c>
      <c r="E112" s="58" t="s">
        <v>113</v>
      </c>
      <c r="F112" s="58">
        <v>6</v>
      </c>
      <c r="G112" s="50" t="s">
        <v>114</v>
      </c>
      <c r="H112" s="50">
        <f>VLOOKUP($A112,'[1]ma sp 02'!$A$5:$BD$1101,H$1,0)</f>
        <v>0.1</v>
      </c>
      <c r="I112" s="50">
        <f>VLOOKUP($A112,'[1]ma sp 02'!$A$5:$BD$1101,I$1,0)</f>
        <v>1.5</v>
      </c>
      <c r="J112" s="50">
        <f>VLOOKUP($A112,'[1]ma sp 02'!$A$5:$BD$1101,J$1,0)</f>
        <v>0.4</v>
      </c>
      <c r="K112" s="50">
        <f>VLOOKUP($A112,'[1]ma sp 02'!$A$5:$BD$1101,K$1,0)</f>
        <v>0.2</v>
      </c>
      <c r="L112" s="50">
        <f>VLOOKUP($A112,'[1]ma sp 02'!$A$5:$BD$1101,L$1,0)</f>
        <v>3.2</v>
      </c>
      <c r="M112" s="50">
        <f>VLOOKUP($A112,'[1]ma sp 02'!$A$5:$BD$1101,M$1,0)</f>
        <v>0</v>
      </c>
      <c r="N112" s="50">
        <f>VLOOKUP($A112,'[1]ma sp 02'!$A$5:$BD$1101,N$1,0)</f>
        <v>0</v>
      </c>
      <c r="O112" s="50">
        <f>VLOOKUP($A112,'[1]ma sp 02'!$A$5:$BD$1101,O$1,0)</f>
        <v>0</v>
      </c>
      <c r="P112" s="50">
        <f>VLOOKUP($A112,'[1]ma sp 02'!$A$5:$BD$1101,P$1,0)</f>
        <v>0</v>
      </c>
      <c r="Q112" s="50">
        <f>VLOOKUP($A112,'[1]ma sp 02'!$A$5:$BD$1101,Q$1,0)</f>
        <v>0</v>
      </c>
      <c r="R112" s="50">
        <f>VLOOKUP($A112,'[1]ma sp 02'!$A$5:$BD$1101,R$1,0)</f>
        <v>0</v>
      </c>
      <c r="S112" s="50">
        <f>VLOOKUP($A112,'[1]ma sp 02'!$A$5:$BD$1101,S$1,0)</f>
        <v>0</v>
      </c>
      <c r="T112" s="50">
        <f>VLOOKUP($A112,'[1]ma sp 02'!$A$5:$BD$1101,T$1,0)</f>
        <v>0</v>
      </c>
      <c r="U112" s="50">
        <f>VLOOKUP($A112,'[1]ma sp 02'!$A$5:$BD$1101,U$1,0)</f>
        <v>0</v>
      </c>
      <c r="V112" s="50">
        <f>VLOOKUP($A112,'[1]ma sp 02'!$A$5:$BD$1101,V$1,0)</f>
        <v>0</v>
      </c>
      <c r="W112" s="50">
        <f>VLOOKUP($A112,'[1]ma sp 02'!$A$5:$BD$1101,W$1,0)</f>
        <v>0</v>
      </c>
      <c r="X112" s="50">
        <f t="shared" si="2"/>
        <v>5</v>
      </c>
      <c r="Y112" s="57"/>
      <c r="Z112" s="57"/>
      <c r="AA112" s="57"/>
      <c r="AB112" s="57"/>
      <c r="AC112" s="57"/>
      <c r="AD112" s="57"/>
      <c r="AE112" s="52" t="s">
        <v>115</v>
      </c>
      <c r="AF112" s="52" t="s">
        <v>321</v>
      </c>
      <c r="AG112" s="87">
        <f>(0.012*1.4+0.012*1.4+0.075*0.925)*0.74</f>
        <v>7.6201500000000005E-2</v>
      </c>
      <c r="AH112" s="54">
        <f>(2.3/0.75/2)*0.73</f>
        <v>1.1193333333333333</v>
      </c>
      <c r="AI112" s="54">
        <f>(3/0.75/2)*0.73</f>
        <v>1.46</v>
      </c>
      <c r="AJ112" s="58">
        <v>9530</v>
      </c>
      <c r="AK112" s="58">
        <v>9530</v>
      </c>
      <c r="AL112" s="72" t="s">
        <v>117</v>
      </c>
      <c r="AM112" s="52" t="s">
        <v>60</v>
      </c>
      <c r="AN112" s="57">
        <v>270</v>
      </c>
      <c r="AO112" s="52" t="s">
        <v>118</v>
      </c>
      <c r="AP112" s="59">
        <f>IFERROR(VLOOKUP($A112,[2]Mssp!$A$5:$BE$1463,AP$4+1,0),0)</f>
        <v>0</v>
      </c>
      <c r="AQ112" s="59">
        <f>IFERROR(VLOOKUP($A112,[2]Mssp!$A$5:$BE$1463,AQ$4+1,0),0)</f>
        <v>0</v>
      </c>
      <c r="AR112" s="59">
        <f>IFERROR(VLOOKUP($A112,[2]Mssp!$A$5:$BE$1463,AR$4+1,0),0)</f>
        <v>0</v>
      </c>
      <c r="AS112" s="59">
        <f>IFERROR(VLOOKUP($A112,[2]Mssp!$A$5:$BE$1463,AS$4+1,0),0)</f>
        <v>0</v>
      </c>
      <c r="AT112" s="59">
        <f>IFERROR(VLOOKUP($A112,[2]Mssp!$A$5:$BE$1463,AT$4+1,0),0)</f>
        <v>0</v>
      </c>
      <c r="AU112" s="59">
        <f>IFERROR(VLOOKUP($A112,[2]Mssp!$A$5:$BE$1463,AU$4+1,0),0)</f>
        <v>0</v>
      </c>
      <c r="AV112" s="59">
        <f>IFERROR(VLOOKUP($A112,[2]Mssp!$A$5:$BE$1463,AV$4+1,0),0)</f>
        <v>0</v>
      </c>
      <c r="AW112" s="59">
        <f>IFERROR(VLOOKUP($A112,[2]Mssp!$A$5:$BE$1463,AW$4+1,0),0)</f>
        <v>0</v>
      </c>
      <c r="AX112" s="59">
        <f>IFERROR(VLOOKUP($A112,[2]Mssp!$A$5:$BE$1463,AX$4+1,0),0)</f>
        <v>0</v>
      </c>
      <c r="AY112" s="59">
        <f>IFERROR(VLOOKUP($A112,[2]Mssp!$A$5:$BE$1463,AY$4+2,0),0)</f>
        <v>0</v>
      </c>
      <c r="AZ112" s="59">
        <f>IFERROR(VLOOKUP($A112,[2]Mssp!$A$5:$BE$1463,AZ$4+2,0),0)</f>
        <v>0</v>
      </c>
      <c r="BA112" s="60">
        <v>3000</v>
      </c>
      <c r="BB112" s="61" t="s">
        <v>62</v>
      </c>
      <c r="BC112" s="62"/>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row>
    <row r="113" spans="1:94" ht="45" x14ac:dyDescent="0.25">
      <c r="A113" s="50" t="s">
        <v>478</v>
      </c>
      <c r="B113" s="73" t="s">
        <v>479</v>
      </c>
      <c r="C113" s="50">
        <f t="shared" si="3"/>
        <v>6</v>
      </c>
      <c r="D113" s="58">
        <v>2</v>
      </c>
      <c r="E113" s="58" t="s">
        <v>131</v>
      </c>
      <c r="F113" s="58">
        <v>6</v>
      </c>
      <c r="G113" s="50" t="s">
        <v>114</v>
      </c>
      <c r="H113" s="50">
        <f>VLOOKUP($A113,'[1]ma sp 02'!$A$5:$BD$1101,H$1,0)</f>
        <v>0.1</v>
      </c>
      <c r="I113" s="50">
        <f>VLOOKUP($A113,'[1]ma sp 02'!$A$5:$BD$1101,I$1,0)</f>
        <v>3</v>
      </c>
      <c r="J113" s="50">
        <f>VLOOKUP($A113,'[1]ma sp 02'!$A$5:$BD$1101,J$1,0)</f>
        <v>0.1</v>
      </c>
      <c r="K113" s="50">
        <f>VLOOKUP($A113,'[1]ma sp 02'!$A$5:$BD$1101,K$1,0)</f>
        <v>0.1</v>
      </c>
      <c r="L113" s="50">
        <f>VLOOKUP($A113,'[1]ma sp 02'!$A$5:$BD$1101,L$1,0)</f>
        <v>2.7</v>
      </c>
      <c r="M113" s="50">
        <f>VLOOKUP($A113,'[1]ma sp 02'!$A$5:$BD$1101,M$1,0)</f>
        <v>0</v>
      </c>
      <c r="N113" s="50">
        <f>VLOOKUP($A113,'[1]ma sp 02'!$A$5:$BD$1101,N$1,0)</f>
        <v>0</v>
      </c>
      <c r="O113" s="50">
        <f>VLOOKUP($A113,'[1]ma sp 02'!$A$5:$BD$1101,O$1,0)</f>
        <v>0</v>
      </c>
      <c r="P113" s="50">
        <f>VLOOKUP($A113,'[1]ma sp 02'!$A$5:$BD$1101,P$1,0)</f>
        <v>0</v>
      </c>
      <c r="Q113" s="50">
        <f>VLOOKUP($A113,'[1]ma sp 02'!$A$5:$BD$1101,Q$1,0)</f>
        <v>0</v>
      </c>
      <c r="R113" s="50">
        <f>VLOOKUP($A113,'[1]ma sp 02'!$A$5:$BD$1101,R$1,0)</f>
        <v>0</v>
      </c>
      <c r="S113" s="50">
        <f>VLOOKUP($A113,'[1]ma sp 02'!$A$5:$BD$1101,S$1,0)</f>
        <v>0</v>
      </c>
      <c r="T113" s="50">
        <f>VLOOKUP($A113,'[1]ma sp 02'!$A$5:$BD$1101,T$1,0)</f>
        <v>0</v>
      </c>
      <c r="U113" s="50">
        <f>VLOOKUP($A113,'[1]ma sp 02'!$A$5:$BD$1101,U$1,0)</f>
        <v>0</v>
      </c>
      <c r="V113" s="50">
        <f>VLOOKUP($A113,'[1]ma sp 02'!$A$5:$BD$1101,V$1,0)</f>
        <v>0</v>
      </c>
      <c r="W113" s="50">
        <f>VLOOKUP($A113,'[1]ma sp 02'!$A$5:$BD$1101,W$1,0)</f>
        <v>0</v>
      </c>
      <c r="X113" s="50">
        <f t="shared" si="2"/>
        <v>5</v>
      </c>
      <c r="Y113" s="57"/>
      <c r="Z113" s="57"/>
      <c r="AA113" s="57"/>
      <c r="AB113" s="57"/>
      <c r="AC113" s="57"/>
      <c r="AD113" s="57"/>
      <c r="AE113" s="52" t="s">
        <v>78</v>
      </c>
      <c r="AF113" s="52" t="s">
        <v>324</v>
      </c>
      <c r="AG113" s="87">
        <f>(0.012*1.4+0.012*1.4+0.075*0.925)*0.62</f>
        <v>6.3844500000000012E-2</v>
      </c>
      <c r="AH113" s="54">
        <f>(2.3/0.75/2)*0.61</f>
        <v>0.93533333333333324</v>
      </c>
      <c r="AI113" s="54">
        <f>(3/0.75/2)*0.61</f>
        <v>1.22</v>
      </c>
      <c r="AJ113" s="58">
        <v>9530</v>
      </c>
      <c r="AK113" s="58">
        <v>9530</v>
      </c>
      <c r="AL113" s="72" t="s">
        <v>117</v>
      </c>
      <c r="AM113" s="52" t="s">
        <v>60</v>
      </c>
      <c r="AN113" s="57">
        <v>340</v>
      </c>
      <c r="AO113" s="52" t="s">
        <v>118</v>
      </c>
      <c r="AP113" s="59">
        <f>IFERROR(VLOOKUP($A113,[2]Mssp!$A$5:$BE$1463,AP$4+1,0),0)</f>
        <v>0</v>
      </c>
      <c r="AQ113" s="59">
        <f>IFERROR(VLOOKUP($A113,[2]Mssp!$A$5:$BE$1463,AQ$4+1,0),0)</f>
        <v>0</v>
      </c>
      <c r="AR113" s="59">
        <f>IFERROR(VLOOKUP($A113,[2]Mssp!$A$5:$BE$1463,AR$4+1,0),0)</f>
        <v>0</v>
      </c>
      <c r="AS113" s="59">
        <f>IFERROR(VLOOKUP($A113,[2]Mssp!$A$5:$BE$1463,AS$4+1,0),0)</f>
        <v>0</v>
      </c>
      <c r="AT113" s="59">
        <f>IFERROR(VLOOKUP($A113,[2]Mssp!$A$5:$BE$1463,AT$4+1,0),0)</f>
        <v>0</v>
      </c>
      <c r="AU113" s="59">
        <f>IFERROR(VLOOKUP($A113,[2]Mssp!$A$5:$BE$1463,AU$4+1,0),0)</f>
        <v>0</v>
      </c>
      <c r="AV113" s="59">
        <f>IFERROR(VLOOKUP($A113,[2]Mssp!$A$5:$BE$1463,AV$4+1,0),0)</f>
        <v>0</v>
      </c>
      <c r="AW113" s="59">
        <f>IFERROR(VLOOKUP($A113,[2]Mssp!$A$5:$BE$1463,AW$4+1,0),0)</f>
        <v>0</v>
      </c>
      <c r="AX113" s="59">
        <f>IFERROR(VLOOKUP($A113,[2]Mssp!$A$5:$BE$1463,AX$4+1,0),0)</f>
        <v>0</v>
      </c>
      <c r="AY113" s="59">
        <f>IFERROR(VLOOKUP($A113,[2]Mssp!$A$5:$BE$1463,AY$4+2,0),0)</f>
        <v>0</v>
      </c>
      <c r="AZ113" s="59">
        <f>IFERROR(VLOOKUP($A113,[2]Mssp!$A$5:$BE$1463,AZ$4+2,0),0)</f>
        <v>0</v>
      </c>
      <c r="BA113" s="60">
        <v>2500</v>
      </c>
      <c r="BB113" s="61" t="s">
        <v>62</v>
      </c>
      <c r="BC113" s="62"/>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row>
    <row r="114" spans="1:94" ht="45" x14ac:dyDescent="0.25">
      <c r="A114" s="50" t="s">
        <v>480</v>
      </c>
      <c r="B114" s="73" t="s">
        <v>481</v>
      </c>
      <c r="C114" s="50">
        <f t="shared" si="3"/>
        <v>6</v>
      </c>
      <c r="D114" s="58">
        <v>2</v>
      </c>
      <c r="E114" s="58" t="s">
        <v>131</v>
      </c>
      <c r="F114" s="58">
        <v>6</v>
      </c>
      <c r="G114" s="50" t="s">
        <v>114</v>
      </c>
      <c r="H114" s="50">
        <f>VLOOKUP($A114,'[1]ma sp 02'!$A$5:$BD$1101,H$1,0)</f>
        <v>0.1</v>
      </c>
      <c r="I114" s="50">
        <f>VLOOKUP($A114,'[1]ma sp 02'!$A$5:$BD$1101,I$1,0)</f>
        <v>3</v>
      </c>
      <c r="J114" s="50">
        <f>VLOOKUP($A114,'[1]ma sp 02'!$A$5:$BD$1101,J$1,0)</f>
        <v>0.1</v>
      </c>
      <c r="K114" s="50">
        <f>VLOOKUP($A114,'[1]ma sp 02'!$A$5:$BD$1101,K$1,0)</f>
        <v>0.1</v>
      </c>
      <c r="L114" s="50">
        <f>VLOOKUP($A114,'[1]ma sp 02'!$A$5:$BD$1101,L$1,0)</f>
        <v>2.7</v>
      </c>
      <c r="M114" s="50">
        <f>VLOOKUP($A114,'[1]ma sp 02'!$A$5:$BD$1101,M$1,0)</f>
        <v>0</v>
      </c>
      <c r="N114" s="50">
        <f>VLOOKUP($A114,'[1]ma sp 02'!$A$5:$BD$1101,N$1,0)</f>
        <v>0</v>
      </c>
      <c r="O114" s="50">
        <f>VLOOKUP($A114,'[1]ma sp 02'!$A$5:$BD$1101,O$1,0)</f>
        <v>0</v>
      </c>
      <c r="P114" s="50">
        <f>VLOOKUP($A114,'[1]ma sp 02'!$A$5:$BD$1101,P$1,0)</f>
        <v>0</v>
      </c>
      <c r="Q114" s="50">
        <f>VLOOKUP($A114,'[1]ma sp 02'!$A$5:$BD$1101,Q$1,0)</f>
        <v>0</v>
      </c>
      <c r="R114" s="50">
        <f>VLOOKUP($A114,'[1]ma sp 02'!$A$5:$BD$1101,R$1,0)</f>
        <v>0</v>
      </c>
      <c r="S114" s="50">
        <f>VLOOKUP($A114,'[1]ma sp 02'!$A$5:$BD$1101,S$1,0)</f>
        <v>0</v>
      </c>
      <c r="T114" s="50">
        <f>VLOOKUP($A114,'[1]ma sp 02'!$A$5:$BD$1101,T$1,0)</f>
        <v>0</v>
      </c>
      <c r="U114" s="50">
        <f>VLOOKUP($A114,'[1]ma sp 02'!$A$5:$BD$1101,U$1,0)</f>
        <v>0</v>
      </c>
      <c r="V114" s="50">
        <f>VLOOKUP($A114,'[1]ma sp 02'!$A$5:$BD$1101,V$1,0)</f>
        <v>0</v>
      </c>
      <c r="W114" s="50">
        <f>VLOOKUP($A114,'[1]ma sp 02'!$A$5:$BD$1101,W$1,0)</f>
        <v>0</v>
      </c>
      <c r="X114" s="50">
        <f t="shared" si="2"/>
        <v>5</v>
      </c>
      <c r="Y114" s="57"/>
      <c r="Z114" s="57"/>
      <c r="AA114" s="57"/>
      <c r="AB114" s="57"/>
      <c r="AC114" s="57"/>
      <c r="AD114" s="57"/>
      <c r="AE114" s="52" t="s">
        <v>78</v>
      </c>
      <c r="AF114" s="52" t="s">
        <v>324</v>
      </c>
      <c r="AG114" s="87">
        <f>(0.012*1.4+0.012*1.4+0.075*0.925)*0.62</f>
        <v>6.3844500000000012E-2</v>
      </c>
      <c r="AH114" s="54">
        <f>(2.3/0.75/2)*0.61</f>
        <v>0.93533333333333324</v>
      </c>
      <c r="AI114" s="54">
        <f>(3/0.75/2)*0.61</f>
        <v>1.22</v>
      </c>
      <c r="AJ114" s="58">
        <v>9530</v>
      </c>
      <c r="AK114" s="58">
        <v>9530</v>
      </c>
      <c r="AL114" s="72" t="s">
        <v>117</v>
      </c>
      <c r="AM114" s="52" t="s">
        <v>60</v>
      </c>
      <c r="AN114" s="57">
        <v>340</v>
      </c>
      <c r="AO114" s="52" t="s">
        <v>118</v>
      </c>
      <c r="AP114" s="59">
        <f>IFERROR(VLOOKUP($A114,[2]Mssp!$A$5:$BE$1463,AP$4+1,0),0)</f>
        <v>0</v>
      </c>
      <c r="AQ114" s="59">
        <f>IFERROR(VLOOKUP($A114,[2]Mssp!$A$5:$BE$1463,AQ$4+1,0),0)</f>
        <v>0</v>
      </c>
      <c r="AR114" s="59">
        <f>IFERROR(VLOOKUP($A114,[2]Mssp!$A$5:$BE$1463,AR$4+1,0),0)</f>
        <v>0</v>
      </c>
      <c r="AS114" s="59">
        <f>IFERROR(VLOOKUP($A114,[2]Mssp!$A$5:$BE$1463,AS$4+1,0),0)</f>
        <v>0</v>
      </c>
      <c r="AT114" s="59">
        <f>IFERROR(VLOOKUP($A114,[2]Mssp!$A$5:$BE$1463,AT$4+1,0),0)</f>
        <v>0</v>
      </c>
      <c r="AU114" s="59">
        <f>IFERROR(VLOOKUP($A114,[2]Mssp!$A$5:$BE$1463,AU$4+1,0),0)</f>
        <v>0</v>
      </c>
      <c r="AV114" s="59">
        <f>IFERROR(VLOOKUP($A114,[2]Mssp!$A$5:$BE$1463,AV$4+1,0),0)</f>
        <v>0</v>
      </c>
      <c r="AW114" s="59">
        <f>IFERROR(VLOOKUP($A114,[2]Mssp!$A$5:$BE$1463,AW$4+1,0),0)</f>
        <v>0</v>
      </c>
      <c r="AX114" s="59">
        <f>IFERROR(VLOOKUP($A114,[2]Mssp!$A$5:$BE$1463,AX$4+1,0),0)</f>
        <v>0</v>
      </c>
      <c r="AY114" s="59">
        <f>IFERROR(VLOOKUP($A114,[2]Mssp!$A$5:$BE$1463,AY$4+2,0),0)</f>
        <v>0</v>
      </c>
      <c r="AZ114" s="59">
        <f>IFERROR(VLOOKUP($A114,[2]Mssp!$A$5:$BE$1463,AZ$4+2,0),0)</f>
        <v>0</v>
      </c>
      <c r="BA114" s="60">
        <v>2500</v>
      </c>
      <c r="BB114" s="61" t="s">
        <v>62</v>
      </c>
      <c r="BC114" s="62"/>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row>
    <row r="115" spans="1:94" ht="75" x14ac:dyDescent="0.25">
      <c r="A115" s="50" t="s">
        <v>482</v>
      </c>
      <c r="B115" s="73" t="s">
        <v>483</v>
      </c>
      <c r="C115" s="50">
        <f t="shared" si="3"/>
        <v>5.3999999999999995</v>
      </c>
      <c r="D115" s="58">
        <v>2</v>
      </c>
      <c r="E115" s="58" t="s">
        <v>484</v>
      </c>
      <c r="F115" s="58">
        <v>6</v>
      </c>
      <c r="G115" s="50" t="s">
        <v>114</v>
      </c>
      <c r="H115" s="50">
        <f>VLOOKUP($A115,'[1]ma sp 02'!$A$5:$BD$1101,H$1,0)</f>
        <v>0.2</v>
      </c>
      <c r="I115" s="50">
        <f>VLOOKUP($A115,'[1]ma sp 02'!$A$5:$BD$1101,I$1,0)</f>
        <v>1.2</v>
      </c>
      <c r="J115" s="50">
        <f>VLOOKUP($A115,'[1]ma sp 02'!$A$5:$BD$1101,J$1,0)</f>
        <v>0.6</v>
      </c>
      <c r="K115" s="50">
        <f>VLOOKUP($A115,'[1]ma sp 02'!$A$5:$BD$1101,K$1,0)</f>
        <v>0.1</v>
      </c>
      <c r="L115" s="50">
        <f>VLOOKUP($A115,'[1]ma sp 02'!$A$5:$BD$1101,L$1,0)</f>
        <v>3</v>
      </c>
      <c r="M115" s="50">
        <f>VLOOKUP($A115,'[1]ma sp 02'!$A$5:$BD$1101,M$1,0)</f>
        <v>0.3</v>
      </c>
      <c r="N115" s="50">
        <f>VLOOKUP($A115,'[1]ma sp 02'!$A$5:$BD$1101,N$1,0)</f>
        <v>0</v>
      </c>
      <c r="O115" s="50">
        <f>VLOOKUP($A115,'[1]ma sp 02'!$A$5:$BD$1101,O$1,0)</f>
        <v>0</v>
      </c>
      <c r="P115" s="50">
        <f>VLOOKUP($A115,'[1]ma sp 02'!$A$5:$BD$1101,P$1,0)</f>
        <v>0</v>
      </c>
      <c r="Q115" s="50">
        <f>VLOOKUP($A115,'[1]ma sp 02'!$A$5:$BD$1101,Q$1,0)</f>
        <v>0</v>
      </c>
      <c r="R115" s="50">
        <f>VLOOKUP($A115,'[1]ma sp 02'!$A$5:$BD$1101,R$1,0)</f>
        <v>0</v>
      </c>
      <c r="S115" s="50">
        <f>VLOOKUP($A115,'[1]ma sp 02'!$A$5:$BD$1101,S$1,0)</f>
        <v>0</v>
      </c>
      <c r="T115" s="50">
        <f>VLOOKUP($A115,'[1]ma sp 02'!$A$5:$BD$1101,T$1,0)</f>
        <v>0</v>
      </c>
      <c r="U115" s="50">
        <f>VLOOKUP($A115,'[1]ma sp 02'!$A$5:$BD$1101,U$1,0)</f>
        <v>0</v>
      </c>
      <c r="V115" s="50">
        <f>VLOOKUP($A115,'[1]ma sp 02'!$A$5:$BD$1101,V$1,0)</f>
        <v>0</v>
      </c>
      <c r="W115" s="50">
        <f>VLOOKUP($A115,'[1]ma sp 02'!$A$5:$BD$1101,W$1,0)</f>
        <v>0</v>
      </c>
      <c r="X115" s="50">
        <f t="shared" si="2"/>
        <v>6</v>
      </c>
      <c r="Y115" s="57"/>
      <c r="Z115" s="57"/>
      <c r="AA115" s="57"/>
      <c r="AB115" s="57"/>
      <c r="AC115" s="57"/>
      <c r="AD115" s="57"/>
      <c r="AE115" s="52" t="s">
        <v>485</v>
      </c>
      <c r="AF115" s="52" t="s">
        <v>486</v>
      </c>
      <c r="AG115" s="87">
        <f>(0.012*1.4+0.012*1.4+0.075*0.925)*0.76</f>
        <v>7.8261000000000011E-2</v>
      </c>
      <c r="AH115" s="54">
        <f>(2.3/0.75/2)*0.75</f>
        <v>1.1499999999999999</v>
      </c>
      <c r="AI115" s="54">
        <f>(3/0.75/2)*0.75</f>
        <v>1.5</v>
      </c>
      <c r="AJ115" s="58">
        <v>9530</v>
      </c>
      <c r="AK115" s="58">
        <v>9530</v>
      </c>
      <c r="AL115" s="72" t="s">
        <v>117</v>
      </c>
      <c r="AM115" s="52" t="s">
        <v>60</v>
      </c>
      <c r="AN115" s="57">
        <v>420</v>
      </c>
      <c r="AO115" s="52" t="s">
        <v>118</v>
      </c>
      <c r="AP115" s="59">
        <f>IFERROR(VLOOKUP($A115,[2]Mssp!$A$5:$BE$1463,AP$4+1,0),0)</f>
        <v>0</v>
      </c>
      <c r="AQ115" s="59">
        <f>IFERROR(VLOOKUP($A115,[2]Mssp!$A$5:$BE$1463,AQ$4+1,0),0)</f>
        <v>0</v>
      </c>
      <c r="AR115" s="59">
        <f>IFERROR(VLOOKUP($A115,[2]Mssp!$A$5:$BE$1463,AR$4+1,0),0)</f>
        <v>0</v>
      </c>
      <c r="AS115" s="59">
        <f>IFERROR(VLOOKUP($A115,[2]Mssp!$A$5:$BE$1463,AS$4+1,0),0)</f>
        <v>0</v>
      </c>
      <c r="AT115" s="59">
        <f>IFERROR(VLOOKUP($A115,[2]Mssp!$A$5:$BE$1463,AT$4+1,0),0)</f>
        <v>0</v>
      </c>
      <c r="AU115" s="59">
        <f>IFERROR(VLOOKUP($A115,[2]Mssp!$A$5:$BE$1463,AU$4+1,0),0)</f>
        <v>0</v>
      </c>
      <c r="AV115" s="59">
        <f>IFERROR(VLOOKUP($A115,[2]Mssp!$A$5:$BE$1463,AV$4+1,0),0)</f>
        <v>0</v>
      </c>
      <c r="AW115" s="59">
        <f>IFERROR(VLOOKUP($A115,[2]Mssp!$A$5:$BE$1463,AW$4+1,0),0)</f>
        <v>0</v>
      </c>
      <c r="AX115" s="59">
        <f>IFERROR(VLOOKUP($A115,[2]Mssp!$A$5:$BE$1463,AX$4+1,0),0)</f>
        <v>0</v>
      </c>
      <c r="AY115" s="59">
        <f>IFERROR(VLOOKUP($A115,[2]Mssp!$A$5:$BE$1463,AY$4+2,0),0)</f>
        <v>0</v>
      </c>
      <c r="AZ115" s="59">
        <f>IFERROR(VLOOKUP($A115,[2]Mssp!$A$5:$BE$1463,AZ$4+2,0),0)</f>
        <v>0</v>
      </c>
      <c r="BA115" s="60">
        <v>1500</v>
      </c>
      <c r="BB115" s="61" t="s">
        <v>119</v>
      </c>
      <c r="BC115" s="62"/>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row>
    <row r="116" spans="1:94" ht="75" x14ac:dyDescent="0.25">
      <c r="A116" s="50" t="s">
        <v>487</v>
      </c>
      <c r="B116" s="73" t="s">
        <v>488</v>
      </c>
      <c r="C116" s="50">
        <f t="shared" si="3"/>
        <v>4.9000000000000004</v>
      </c>
      <c r="D116" s="58">
        <v>2</v>
      </c>
      <c r="E116" s="58" t="s">
        <v>484</v>
      </c>
      <c r="F116" s="58">
        <v>6</v>
      </c>
      <c r="G116" s="50" t="s">
        <v>114</v>
      </c>
      <c r="H116" s="50">
        <f>VLOOKUP($A116,'[1]ma sp 02'!$A$5:$BD$1101,H$1,0)</f>
        <v>0.2</v>
      </c>
      <c r="I116" s="50">
        <f>VLOOKUP($A116,'[1]ma sp 02'!$A$5:$BD$1101,I$1,0)</f>
        <v>1.2</v>
      </c>
      <c r="J116" s="50">
        <f>VLOOKUP($A116,'[1]ma sp 02'!$A$5:$BD$1101,J$1,0)</f>
        <v>0.6</v>
      </c>
      <c r="K116" s="50">
        <f>VLOOKUP($A116,'[1]ma sp 02'!$A$5:$BD$1101,K$1,0)</f>
        <v>0.1</v>
      </c>
      <c r="L116" s="50">
        <f>VLOOKUP($A116,'[1]ma sp 02'!$A$5:$BD$1101,L$1,0)</f>
        <v>2.8</v>
      </c>
      <c r="M116" s="50">
        <f>VLOOKUP($A116,'[1]ma sp 02'!$A$5:$BD$1101,M$1,0)</f>
        <v>0</v>
      </c>
      <c r="N116" s="50">
        <f>VLOOKUP($A116,'[1]ma sp 02'!$A$5:$BD$1101,N$1,0)</f>
        <v>0</v>
      </c>
      <c r="O116" s="50">
        <f>VLOOKUP($A116,'[1]ma sp 02'!$A$5:$BD$1101,O$1,0)</f>
        <v>0</v>
      </c>
      <c r="P116" s="50">
        <f>VLOOKUP($A116,'[1]ma sp 02'!$A$5:$BD$1101,P$1,0)</f>
        <v>0</v>
      </c>
      <c r="Q116" s="50">
        <f>VLOOKUP($A116,'[1]ma sp 02'!$A$5:$BD$1101,Q$1,0)</f>
        <v>0</v>
      </c>
      <c r="R116" s="50">
        <f>VLOOKUP($A116,'[1]ma sp 02'!$A$5:$BD$1101,R$1,0)</f>
        <v>0</v>
      </c>
      <c r="S116" s="50">
        <f>VLOOKUP($A116,'[1]ma sp 02'!$A$5:$BD$1101,S$1,0)</f>
        <v>0</v>
      </c>
      <c r="T116" s="50">
        <f>VLOOKUP($A116,'[1]ma sp 02'!$A$5:$BD$1101,T$1,0)</f>
        <v>0</v>
      </c>
      <c r="U116" s="50">
        <f>VLOOKUP($A116,'[1]ma sp 02'!$A$5:$BD$1101,U$1,0)</f>
        <v>0</v>
      </c>
      <c r="V116" s="50">
        <f>VLOOKUP($A116,'[1]ma sp 02'!$A$5:$BD$1101,V$1,0)</f>
        <v>0</v>
      </c>
      <c r="W116" s="50">
        <f>VLOOKUP($A116,'[1]ma sp 02'!$A$5:$BD$1101,W$1,0)</f>
        <v>0</v>
      </c>
      <c r="X116" s="50">
        <f t="shared" si="2"/>
        <v>5</v>
      </c>
      <c r="Y116" s="57"/>
      <c r="Z116" s="57"/>
      <c r="AA116" s="57"/>
      <c r="AB116" s="57"/>
      <c r="AC116" s="57"/>
      <c r="AD116" s="57"/>
      <c r="AE116" s="52" t="s">
        <v>485</v>
      </c>
      <c r="AF116" s="52" t="s">
        <v>486</v>
      </c>
      <c r="AG116" s="87">
        <f>(0.012*1.4+0.012*1.4+0.075*0.925)*0.76</f>
        <v>7.8261000000000011E-2</v>
      </c>
      <c r="AH116" s="54">
        <f>(2.3/0.75/2)*0.75</f>
        <v>1.1499999999999999</v>
      </c>
      <c r="AI116" s="54">
        <f>(3/0.75/2)*0.75</f>
        <v>1.5</v>
      </c>
      <c r="AJ116" s="58">
        <v>9530</v>
      </c>
      <c r="AK116" s="58">
        <v>9530</v>
      </c>
      <c r="AL116" s="72" t="s">
        <v>117</v>
      </c>
      <c r="AM116" s="52" t="s">
        <v>60</v>
      </c>
      <c r="AN116" s="57">
        <v>420</v>
      </c>
      <c r="AO116" s="52" t="s">
        <v>118</v>
      </c>
      <c r="AP116" s="59">
        <f>IFERROR(VLOOKUP($A116,[2]Mssp!$A$5:$BE$1463,AP$4+1,0),0)</f>
        <v>0</v>
      </c>
      <c r="AQ116" s="59">
        <f>IFERROR(VLOOKUP($A116,[2]Mssp!$A$5:$BE$1463,AQ$4+1,0),0)</f>
        <v>0</v>
      </c>
      <c r="AR116" s="59">
        <f>IFERROR(VLOOKUP($A116,[2]Mssp!$A$5:$BE$1463,AR$4+1,0),0)</f>
        <v>0</v>
      </c>
      <c r="AS116" s="59">
        <f>IFERROR(VLOOKUP($A116,[2]Mssp!$A$5:$BE$1463,AS$4+1,0),0)</f>
        <v>0</v>
      </c>
      <c r="AT116" s="59">
        <f>IFERROR(VLOOKUP($A116,[2]Mssp!$A$5:$BE$1463,AT$4+1,0),0)</f>
        <v>0</v>
      </c>
      <c r="AU116" s="59">
        <f>IFERROR(VLOOKUP($A116,[2]Mssp!$A$5:$BE$1463,AU$4+1,0),0)</f>
        <v>0</v>
      </c>
      <c r="AV116" s="59">
        <f>IFERROR(VLOOKUP($A116,[2]Mssp!$A$5:$BE$1463,AV$4+1,0),0)</f>
        <v>0</v>
      </c>
      <c r="AW116" s="59">
        <f>IFERROR(VLOOKUP($A116,[2]Mssp!$A$5:$BE$1463,AW$4+1,0),0)</f>
        <v>0</v>
      </c>
      <c r="AX116" s="59">
        <f>IFERROR(VLOOKUP($A116,[2]Mssp!$A$5:$BE$1463,AX$4+1,0),0)</f>
        <v>0</v>
      </c>
      <c r="AY116" s="59">
        <f>IFERROR(VLOOKUP($A116,[2]Mssp!$A$5:$BE$1463,AY$4+2,0),0)</f>
        <v>0</v>
      </c>
      <c r="AZ116" s="59">
        <f>IFERROR(VLOOKUP($A116,[2]Mssp!$A$5:$BE$1463,AZ$4+2,0),0)</f>
        <v>0</v>
      </c>
      <c r="BA116" s="60">
        <v>1500</v>
      </c>
      <c r="BB116" s="61" t="s">
        <v>119</v>
      </c>
      <c r="BC116" s="62"/>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row>
    <row r="117" spans="1:94" ht="30" x14ac:dyDescent="0.25">
      <c r="A117" s="50" t="s">
        <v>489</v>
      </c>
      <c r="B117" s="73" t="s">
        <v>490</v>
      </c>
      <c r="C117" s="50">
        <f t="shared" si="3"/>
        <v>0</v>
      </c>
      <c r="D117" s="57">
        <v>5</v>
      </c>
      <c r="E117" s="58" t="s">
        <v>131</v>
      </c>
      <c r="F117" s="58">
        <v>6</v>
      </c>
      <c r="G117" s="50" t="s">
        <v>114</v>
      </c>
      <c r="H117" s="50">
        <f>VLOOKUP($A117,'[1]ma sp 02'!$A$5:$BD$1101,H$1,0)</f>
        <v>0</v>
      </c>
      <c r="I117" s="50">
        <f>VLOOKUP($A117,'[1]ma sp 02'!$A$5:$BD$1101,I$1,0)</f>
        <v>0</v>
      </c>
      <c r="J117" s="50">
        <f>VLOOKUP($A117,'[1]ma sp 02'!$A$5:$BD$1101,J$1,0)</f>
        <v>0</v>
      </c>
      <c r="K117" s="50">
        <f>VLOOKUP($A117,'[1]ma sp 02'!$A$5:$BD$1101,K$1,0)</f>
        <v>0</v>
      </c>
      <c r="L117" s="50">
        <f>VLOOKUP($A117,'[1]ma sp 02'!$A$5:$BD$1101,L$1,0)</f>
        <v>0</v>
      </c>
      <c r="M117" s="50">
        <f>VLOOKUP($A117,'[1]ma sp 02'!$A$5:$BD$1101,M$1,0)</f>
        <v>0</v>
      </c>
      <c r="N117" s="50">
        <f>VLOOKUP($A117,'[1]ma sp 02'!$A$5:$BD$1101,N$1,0)</f>
        <v>0</v>
      </c>
      <c r="O117" s="50">
        <f>VLOOKUP($A117,'[1]ma sp 02'!$A$5:$BD$1101,O$1,0)</f>
        <v>0</v>
      </c>
      <c r="P117" s="50">
        <f>VLOOKUP($A117,'[1]ma sp 02'!$A$5:$BD$1101,P$1,0)</f>
        <v>0</v>
      </c>
      <c r="Q117" s="50">
        <f>VLOOKUP($A117,'[1]ma sp 02'!$A$5:$BD$1101,Q$1,0)</f>
        <v>0</v>
      </c>
      <c r="R117" s="50">
        <f>VLOOKUP($A117,'[1]ma sp 02'!$A$5:$BD$1101,R$1,0)</f>
        <v>0</v>
      </c>
      <c r="S117" s="50">
        <f>VLOOKUP($A117,'[1]ma sp 02'!$A$5:$BD$1101,S$1,0)</f>
        <v>0</v>
      </c>
      <c r="T117" s="50">
        <f>VLOOKUP($A117,'[1]ma sp 02'!$A$5:$BD$1101,T$1,0)</f>
        <v>0</v>
      </c>
      <c r="U117" s="50">
        <f>VLOOKUP($A117,'[1]ma sp 02'!$A$5:$BD$1101,U$1,0)</f>
        <v>0</v>
      </c>
      <c r="V117" s="50">
        <f>VLOOKUP($A117,'[1]ma sp 02'!$A$5:$BD$1101,V$1,0)</f>
        <v>0</v>
      </c>
      <c r="W117" s="50">
        <f>VLOOKUP($A117,'[1]ma sp 02'!$A$5:$BD$1101,W$1,0)</f>
        <v>0</v>
      </c>
      <c r="X117" s="50">
        <f t="shared" si="2"/>
        <v>0</v>
      </c>
      <c r="Y117" s="57"/>
      <c r="Z117" s="57"/>
      <c r="AA117" s="57"/>
      <c r="AB117" s="57"/>
      <c r="AC117" s="57"/>
      <c r="AD117" s="57"/>
      <c r="AE117" s="52" t="s">
        <v>78</v>
      </c>
      <c r="AF117" s="52" t="s">
        <v>324</v>
      </c>
      <c r="AG117" s="87">
        <f>(0.012*1.4+0.012*1.4+0.075*0.925)*0.62</f>
        <v>6.3844500000000012E-2</v>
      </c>
      <c r="AH117" s="54">
        <f>(2.3/0.75/2)*0.61</f>
        <v>0.93533333333333324</v>
      </c>
      <c r="AI117" s="54">
        <f>(2.3/0.75/2)*0.61</f>
        <v>0.93533333333333324</v>
      </c>
      <c r="AJ117" s="58">
        <v>9530</v>
      </c>
      <c r="AK117" s="58">
        <v>9530</v>
      </c>
      <c r="AL117" s="58" t="s">
        <v>354</v>
      </c>
      <c r="AM117" s="52" t="s">
        <v>74</v>
      </c>
      <c r="AN117" s="57">
        <v>118</v>
      </c>
      <c r="AO117" s="52" t="s">
        <v>461</v>
      </c>
      <c r="AP117" s="59">
        <f>IFERROR(VLOOKUP($A117,[2]Mssp!$A$5:$BE$1463,AP$4+1,0),0)</f>
        <v>0</v>
      </c>
      <c r="AQ117" s="59">
        <f>IFERROR(VLOOKUP($A117,[2]Mssp!$A$5:$BE$1463,AQ$4+1,0),0)</f>
        <v>0</v>
      </c>
      <c r="AR117" s="59">
        <f>IFERROR(VLOOKUP($A117,[2]Mssp!$A$5:$BE$1463,AR$4+1,0),0)</f>
        <v>0</v>
      </c>
      <c r="AS117" s="59">
        <f>IFERROR(VLOOKUP($A117,[2]Mssp!$A$5:$BE$1463,AS$4+1,0),0)</f>
        <v>0</v>
      </c>
      <c r="AT117" s="59">
        <f>IFERROR(VLOOKUP($A117,[2]Mssp!$A$5:$BE$1463,AT$4+1,0),0)</f>
        <v>0</v>
      </c>
      <c r="AU117" s="59">
        <f>IFERROR(VLOOKUP($A117,[2]Mssp!$A$5:$BE$1463,AU$4+1,0),0)</f>
        <v>0</v>
      </c>
      <c r="AV117" s="59">
        <f>IFERROR(VLOOKUP($A117,[2]Mssp!$A$5:$BE$1463,AV$4+1,0),0)</f>
        <v>0</v>
      </c>
      <c r="AW117" s="59">
        <f>IFERROR(VLOOKUP($A117,[2]Mssp!$A$5:$BE$1463,AW$4+1,0),0)</f>
        <v>0</v>
      </c>
      <c r="AX117" s="59">
        <f>IFERROR(VLOOKUP($A117,[2]Mssp!$A$5:$BE$1463,AX$4+1,0),0)</f>
        <v>0</v>
      </c>
      <c r="AY117" s="59">
        <f>IFERROR(VLOOKUP($A117,[2]Mssp!$A$5:$BE$1463,AY$4+2,0),0)</f>
        <v>0</v>
      </c>
      <c r="AZ117" s="59">
        <f>IFERROR(VLOOKUP($A117,[2]Mssp!$A$5:$BE$1463,AZ$4+2,0),0)</f>
        <v>0</v>
      </c>
      <c r="BA117" s="60"/>
      <c r="BB117" s="61" t="s">
        <v>251</v>
      </c>
      <c r="BC117" s="62"/>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row>
    <row r="118" spans="1:94" ht="45" x14ac:dyDescent="0.25">
      <c r="A118" s="50" t="s">
        <v>491</v>
      </c>
      <c r="B118" s="73" t="s">
        <v>492</v>
      </c>
      <c r="C118" s="50">
        <f t="shared" si="3"/>
        <v>5</v>
      </c>
      <c r="D118" s="58">
        <v>2</v>
      </c>
      <c r="E118" s="58" t="s">
        <v>238</v>
      </c>
      <c r="F118" s="58">
        <v>5</v>
      </c>
      <c r="G118" s="50" t="s">
        <v>56</v>
      </c>
      <c r="H118" s="50">
        <f>VLOOKUP($A118,'[1]ma sp 02'!$A$5:$BD$1101,H$1,0)</f>
        <v>0.1</v>
      </c>
      <c r="I118" s="50">
        <f>VLOOKUP($A118,'[1]ma sp 02'!$A$5:$BD$1101,I$1,0)</f>
        <v>1.3</v>
      </c>
      <c r="J118" s="50">
        <f>VLOOKUP($A118,'[1]ma sp 02'!$A$5:$BD$1101,J$1,0)</f>
        <v>0.3</v>
      </c>
      <c r="K118" s="50">
        <f>VLOOKUP($A118,'[1]ma sp 02'!$A$5:$BD$1101,K$1,0)</f>
        <v>0.1</v>
      </c>
      <c r="L118" s="50">
        <f>VLOOKUP($A118,'[1]ma sp 02'!$A$5:$BD$1101,L$1,0)</f>
        <v>1.9</v>
      </c>
      <c r="M118" s="50">
        <f>VLOOKUP($A118,'[1]ma sp 02'!$A$5:$BD$1101,M$1,0)</f>
        <v>1.2</v>
      </c>
      <c r="N118" s="50">
        <f>VLOOKUP($A118,'[1]ma sp 02'!$A$5:$BD$1101,N$1,0)</f>
        <v>0</v>
      </c>
      <c r="O118" s="50">
        <f>VLOOKUP($A118,'[1]ma sp 02'!$A$5:$BD$1101,O$1,0)</f>
        <v>0</v>
      </c>
      <c r="P118" s="50">
        <f>VLOOKUP($A118,'[1]ma sp 02'!$A$5:$BD$1101,P$1,0)</f>
        <v>0.1</v>
      </c>
      <c r="Q118" s="50">
        <f>VLOOKUP($A118,'[1]ma sp 02'!$A$5:$BD$1101,Q$1,0)</f>
        <v>0</v>
      </c>
      <c r="R118" s="50">
        <f>VLOOKUP($A118,'[1]ma sp 02'!$A$5:$BD$1101,R$1,0)</f>
        <v>0</v>
      </c>
      <c r="S118" s="50">
        <f>VLOOKUP($A118,'[1]ma sp 02'!$A$5:$BD$1101,S$1,0)</f>
        <v>0</v>
      </c>
      <c r="T118" s="50">
        <f>VLOOKUP($A118,'[1]ma sp 02'!$A$5:$BD$1101,T$1,0)</f>
        <v>0</v>
      </c>
      <c r="U118" s="50">
        <f>VLOOKUP($A118,'[1]ma sp 02'!$A$5:$BD$1101,U$1,0)</f>
        <v>0</v>
      </c>
      <c r="V118" s="50">
        <f>VLOOKUP($A118,'[1]ma sp 02'!$A$5:$BD$1101,V$1,0)</f>
        <v>0</v>
      </c>
      <c r="W118" s="50">
        <f>VLOOKUP($A118,'[1]ma sp 02'!$A$5:$BD$1101,W$1,0)</f>
        <v>0</v>
      </c>
      <c r="X118" s="50">
        <f t="shared" si="2"/>
        <v>7</v>
      </c>
      <c r="Y118" s="57"/>
      <c r="Z118" s="57"/>
      <c r="AA118" s="57"/>
      <c r="AB118" s="57"/>
      <c r="AC118" s="57"/>
      <c r="AD118" s="57"/>
      <c r="AE118" s="58" t="s">
        <v>239</v>
      </c>
      <c r="AF118" s="57"/>
      <c r="AG118" s="82">
        <f>(0.02*0.91+0.065*0.925)*0.47</f>
        <v>3.6812749999999998E-2</v>
      </c>
      <c r="AH118" s="54">
        <f>(2/0.75/2)*0.46</f>
        <v>0.61333333333333329</v>
      </c>
      <c r="AI118" s="57"/>
      <c r="AJ118" s="58">
        <v>9530</v>
      </c>
      <c r="AK118" s="57"/>
      <c r="AL118" s="58">
        <v>2E-3</v>
      </c>
      <c r="AM118" s="52" t="s">
        <v>74</v>
      </c>
      <c r="AN118" s="57">
        <v>160</v>
      </c>
      <c r="AO118" s="52" t="s">
        <v>240</v>
      </c>
      <c r="AP118" s="59" t="str">
        <f>IFERROR(VLOOKUP($A118,[2]Mssp!$A$5:$BE$1463,AP$4+1,0),0)</f>
        <v>1711194-1</v>
      </c>
      <c r="AQ118" s="59" t="str">
        <f>IFERROR(VLOOKUP($A118,[2]Mssp!$A$5:$BE$1463,AQ$4+1,0),0)</f>
        <v>1308276-2</v>
      </c>
      <c r="AR118" s="59" t="str">
        <f>IFERROR(VLOOKUP($A118,[2]Mssp!$A$5:$BE$1463,AR$4+1,0),0)</f>
        <v>1505019-3</v>
      </c>
      <c r="AS118" s="59" t="str">
        <f>IFERROR(VLOOKUP($A118,[2]Mssp!$A$5:$BE$1463,AS$4+1,0),0)</f>
        <v>1308276-4</v>
      </c>
      <c r="AT118" s="59" t="str">
        <f>IFERROR(VLOOKUP($A118,[2]Mssp!$A$5:$BE$1463,AT$4+1,0),0)</f>
        <v>1308276-5</v>
      </c>
      <c r="AU118" s="59">
        <f>IFERROR(VLOOKUP($A118,[2]Mssp!$A$5:$BE$1463,AU$4+1,0),0)</f>
        <v>0</v>
      </c>
      <c r="AV118" s="59">
        <f>IFERROR(VLOOKUP($A118,[2]Mssp!$A$5:$BE$1463,AV$4+1,0),0)</f>
        <v>0</v>
      </c>
      <c r="AW118" s="59">
        <f>IFERROR(VLOOKUP($A118,[2]Mssp!$A$5:$BE$1463,AW$4+1,0),0)</f>
        <v>0</v>
      </c>
      <c r="AX118" s="59">
        <f>IFERROR(VLOOKUP($A118,[2]Mssp!$A$5:$BE$1463,AX$4+1,0),0)</f>
        <v>0</v>
      </c>
      <c r="AY118" s="59" t="str">
        <f>IFERROR(VLOOKUP($A118,[2]Mssp!$A$5:$BE$1463,AY$4+2,0),0)</f>
        <v>480x740</v>
      </c>
      <c r="AZ118" s="59" t="str">
        <f>IFERROR(VLOOKUP($A118,[2]Mssp!$A$5:$BE$1463,AZ$4+2,0),0)</f>
        <v>N2</v>
      </c>
      <c r="BA118" s="60">
        <v>10000</v>
      </c>
      <c r="BB118" s="61" t="s">
        <v>62</v>
      </c>
      <c r="BC118" s="62"/>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row>
    <row r="119" spans="1:94" ht="45" x14ac:dyDescent="0.25">
      <c r="A119" s="77" t="s">
        <v>493</v>
      </c>
      <c r="B119" s="81" t="s">
        <v>494</v>
      </c>
      <c r="C119" s="50">
        <f t="shared" si="3"/>
        <v>0.67</v>
      </c>
      <c r="D119" s="58">
        <v>2</v>
      </c>
      <c r="E119" s="58" t="s">
        <v>495</v>
      </c>
      <c r="F119" s="58">
        <v>2</v>
      </c>
      <c r="G119" s="50" t="s">
        <v>56</v>
      </c>
      <c r="H119" s="50">
        <f>VLOOKUP($A119,'[1]ma sp 02'!$A$5:$BD$1101,H$1,0)</f>
        <v>0</v>
      </c>
      <c r="I119" s="50">
        <f>VLOOKUP($A119,'[1]ma sp 02'!$A$5:$BD$1101,I$1,0)</f>
        <v>0.1</v>
      </c>
      <c r="J119" s="50">
        <f>VLOOKUP($A119,'[1]ma sp 02'!$A$5:$BD$1101,J$1,0)</f>
        <v>0.01</v>
      </c>
      <c r="K119" s="50">
        <f>VLOOKUP($A119,'[1]ma sp 02'!$A$5:$BD$1101,K$1,0)</f>
        <v>0</v>
      </c>
      <c r="L119" s="50">
        <f>VLOOKUP($A119,'[1]ma sp 02'!$A$5:$BD$1101,L$1,0)</f>
        <v>0.51</v>
      </c>
      <c r="M119" s="50">
        <f>VLOOKUP($A119,'[1]ma sp 02'!$A$5:$BD$1101,M$1,0)</f>
        <v>0.03</v>
      </c>
      <c r="N119" s="50">
        <f>VLOOKUP($A119,'[1]ma sp 02'!$A$5:$BD$1101,N$1,0)</f>
        <v>0</v>
      </c>
      <c r="O119" s="50">
        <f>VLOOKUP($A119,'[1]ma sp 02'!$A$5:$BD$1101,O$1,0)</f>
        <v>0.01</v>
      </c>
      <c r="P119" s="50">
        <f>VLOOKUP($A119,'[1]ma sp 02'!$A$5:$BD$1101,P$1,0)</f>
        <v>0</v>
      </c>
      <c r="Q119" s="50">
        <f>VLOOKUP($A119,'[1]ma sp 02'!$A$5:$BD$1101,Q$1,0)</f>
        <v>0.01</v>
      </c>
      <c r="R119" s="50">
        <f>VLOOKUP($A119,'[1]ma sp 02'!$A$5:$BD$1101,R$1,0)</f>
        <v>0</v>
      </c>
      <c r="S119" s="50">
        <f>VLOOKUP($A119,'[1]ma sp 02'!$A$5:$BD$1101,S$1,0)</f>
        <v>0</v>
      </c>
      <c r="T119" s="50">
        <f>VLOOKUP($A119,'[1]ma sp 02'!$A$5:$BD$1101,T$1,0)</f>
        <v>0</v>
      </c>
      <c r="U119" s="50">
        <f>VLOOKUP($A119,'[1]ma sp 02'!$A$5:$BD$1101,U$1,0)</f>
        <v>0</v>
      </c>
      <c r="V119" s="50">
        <f>VLOOKUP($A119,'[1]ma sp 02'!$A$5:$BD$1101,V$1,0)</f>
        <v>0</v>
      </c>
      <c r="W119" s="50">
        <f>VLOOKUP($A119,'[1]ma sp 02'!$A$5:$BD$1101,W$1,0)</f>
        <v>0</v>
      </c>
      <c r="X119" s="50">
        <f t="shared" si="2"/>
        <v>6</v>
      </c>
      <c r="Y119" s="57"/>
      <c r="Z119" s="57"/>
      <c r="AA119" s="57"/>
      <c r="AB119" s="57"/>
      <c r="AC119" s="57"/>
      <c r="AD119" s="57"/>
      <c r="AE119" s="58" t="s">
        <v>496</v>
      </c>
      <c r="AF119" s="57"/>
      <c r="AG119" s="82">
        <f>(0.02*0.91+0.02*0.91)*0.66</f>
        <v>2.4024000000000004E-2</v>
      </c>
      <c r="AH119" s="54">
        <f>(1.8/0.75/2)*0.65</f>
        <v>0.78</v>
      </c>
      <c r="AI119" s="57"/>
      <c r="AJ119" s="58">
        <v>9530</v>
      </c>
      <c r="AK119" s="57"/>
      <c r="AL119" s="58">
        <v>1.8E-3</v>
      </c>
      <c r="AM119" s="52" t="s">
        <v>142</v>
      </c>
      <c r="AN119" s="58">
        <v>320</v>
      </c>
      <c r="AO119" s="52" t="s">
        <v>180</v>
      </c>
      <c r="AP119" s="59" t="str">
        <f>IFERROR(VLOOKUP($A119,[2]Mssp!$A$5:$BE$1463,AP$4+1,0),0)</f>
        <v>20091172-1</v>
      </c>
      <c r="AQ119" s="59" t="str">
        <f>IFERROR(VLOOKUP($A119,[2]Mssp!$A$5:$BE$1463,AQ$4+1,0),0)</f>
        <v>1902298-2</v>
      </c>
      <c r="AR119" s="59">
        <f>IFERROR(VLOOKUP($A119,[2]Mssp!$A$5:$BE$1463,AR$4+1,0),0)</f>
        <v>0</v>
      </c>
      <c r="AS119" s="59">
        <f>IFERROR(VLOOKUP($A119,[2]Mssp!$A$5:$BE$1463,AS$4+1,0),0)</f>
        <v>0</v>
      </c>
      <c r="AT119" s="59">
        <f>IFERROR(VLOOKUP($A119,[2]Mssp!$A$5:$BE$1463,AT$4+1,0),0)</f>
        <v>0</v>
      </c>
      <c r="AU119" s="59">
        <f>IFERROR(VLOOKUP($A119,[2]Mssp!$A$5:$BE$1463,AU$4+1,0),0)</f>
        <v>0</v>
      </c>
      <c r="AV119" s="59">
        <f>IFERROR(VLOOKUP($A119,[2]Mssp!$A$5:$BE$1463,AV$4+1,0),0)</f>
        <v>0</v>
      </c>
      <c r="AW119" s="59">
        <f>IFERROR(VLOOKUP($A119,[2]Mssp!$A$5:$BE$1463,AW$4+1,0),0)</f>
        <v>0</v>
      </c>
      <c r="AX119" s="59">
        <f>IFERROR(VLOOKUP($A119,[2]Mssp!$A$5:$BE$1463,AX$4+1,0),0)</f>
        <v>0</v>
      </c>
      <c r="AY119" s="59" t="str">
        <f>IFERROR(VLOOKUP($A119,[2]Mssp!$A$5:$BE$1463,AY$4+2,0),0)</f>
        <v>400x750</v>
      </c>
      <c r="AZ119" s="59" t="str">
        <f>IFERROR(VLOOKUP($A119,[2]Mssp!$A$5:$BE$1463,AZ$4+2,0),0)</f>
        <v>V1</v>
      </c>
      <c r="BA119" s="60" t="s">
        <v>106</v>
      </c>
      <c r="BB119" s="61" t="s">
        <v>107</v>
      </c>
      <c r="BC119" s="62"/>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row>
    <row r="120" spans="1:94" ht="45" x14ac:dyDescent="0.25">
      <c r="A120" s="50" t="s">
        <v>497</v>
      </c>
      <c r="B120" s="73" t="s">
        <v>498</v>
      </c>
      <c r="C120" s="50">
        <f t="shared" si="3"/>
        <v>5.2</v>
      </c>
      <c r="D120" s="58">
        <v>6</v>
      </c>
      <c r="E120" s="58" t="s">
        <v>351</v>
      </c>
      <c r="F120" s="58">
        <v>7</v>
      </c>
      <c r="G120" s="50" t="s">
        <v>114</v>
      </c>
      <c r="H120" s="50">
        <f>VLOOKUP($A120,'[1]ma sp 02'!$A$5:$BD$1101,H$1,0)</f>
        <v>0.3</v>
      </c>
      <c r="I120" s="50">
        <f>VLOOKUP($A120,'[1]ma sp 02'!$A$5:$BD$1101,I$1,0)</f>
        <v>1.8</v>
      </c>
      <c r="J120" s="50">
        <f>VLOOKUP($A120,'[1]ma sp 02'!$A$5:$BD$1101,J$1,0)</f>
        <v>0.1</v>
      </c>
      <c r="K120" s="50">
        <f>VLOOKUP($A120,'[1]ma sp 02'!$A$5:$BD$1101,K$1,0)</f>
        <v>0.6</v>
      </c>
      <c r="L120" s="50">
        <f>VLOOKUP($A120,'[1]ma sp 02'!$A$5:$BD$1101,L$1,0)</f>
        <v>0.5</v>
      </c>
      <c r="M120" s="50">
        <f>VLOOKUP($A120,'[1]ma sp 02'!$A$5:$BD$1101,M$1,0)</f>
        <v>0.5</v>
      </c>
      <c r="N120" s="50">
        <f>VLOOKUP($A120,'[1]ma sp 02'!$A$5:$BD$1101,N$1,0)</f>
        <v>0</v>
      </c>
      <c r="O120" s="50">
        <f>VLOOKUP($A120,'[1]ma sp 02'!$A$5:$BD$1101,O$1,0)</f>
        <v>0</v>
      </c>
      <c r="P120" s="50">
        <f>VLOOKUP($A120,'[1]ma sp 02'!$A$5:$BD$1101,P$1,0)</f>
        <v>0.1</v>
      </c>
      <c r="Q120" s="50">
        <f>VLOOKUP($A120,'[1]ma sp 02'!$A$5:$BD$1101,Q$1,0)</f>
        <v>1.2</v>
      </c>
      <c r="R120" s="50">
        <f>VLOOKUP($A120,'[1]ma sp 02'!$A$5:$BD$1101,R$1,0)</f>
        <v>0.1</v>
      </c>
      <c r="S120" s="50">
        <f>VLOOKUP($A120,'[1]ma sp 02'!$A$5:$BD$1101,S$1,0)</f>
        <v>0</v>
      </c>
      <c r="T120" s="50">
        <f>VLOOKUP($A120,'[1]ma sp 02'!$A$5:$BD$1101,T$1,0)</f>
        <v>0</v>
      </c>
      <c r="U120" s="50">
        <f>VLOOKUP($A120,'[1]ma sp 02'!$A$5:$BD$1101,U$1,0)</f>
        <v>0</v>
      </c>
      <c r="V120" s="50">
        <f>VLOOKUP($A120,'[1]ma sp 02'!$A$5:$BD$1101,V$1,0)</f>
        <v>0</v>
      </c>
      <c r="W120" s="50">
        <f>VLOOKUP($A120,'[1]ma sp 02'!$A$5:$BD$1101,W$1,0)</f>
        <v>0</v>
      </c>
      <c r="X120" s="50">
        <f t="shared" si="2"/>
        <v>9</v>
      </c>
      <c r="Y120" s="57"/>
      <c r="Z120" s="57"/>
      <c r="AA120" s="57"/>
      <c r="AB120" s="57"/>
      <c r="AC120" s="57"/>
      <c r="AD120" s="57"/>
      <c r="AE120" s="52" t="s">
        <v>499</v>
      </c>
      <c r="AF120" s="52" t="s">
        <v>500</v>
      </c>
      <c r="AG120" s="87">
        <f>(0.012*1.4+0.006*2.71+0.06*0.925)*0.8</f>
        <v>7.0848000000000008E-2</v>
      </c>
      <c r="AH120" s="54">
        <f>(2.5/0.75/2)*0.79</f>
        <v>1.3166666666666669</v>
      </c>
      <c r="AI120" s="54">
        <f>(3/0.75/2)*0.79</f>
        <v>1.58</v>
      </c>
      <c r="AJ120" s="58">
        <v>9530</v>
      </c>
      <c r="AK120" s="58">
        <v>9530</v>
      </c>
      <c r="AL120" s="52" t="s">
        <v>501</v>
      </c>
      <c r="AM120" s="52" t="s">
        <v>142</v>
      </c>
      <c r="AN120" s="57">
        <v>130</v>
      </c>
      <c r="AO120" s="52" t="s">
        <v>92</v>
      </c>
      <c r="AP120" s="59">
        <f>IFERROR(VLOOKUP($A120,[2]Mssp!$A$5:$BE$1463,AP$4+1,0),0)</f>
        <v>0</v>
      </c>
      <c r="AQ120" s="59">
        <f>IFERROR(VLOOKUP($A120,[2]Mssp!$A$5:$BE$1463,AQ$4+1,0),0)</f>
        <v>0</v>
      </c>
      <c r="AR120" s="59">
        <f>IFERROR(VLOOKUP($A120,[2]Mssp!$A$5:$BE$1463,AR$4+1,0),0)</f>
        <v>0</v>
      </c>
      <c r="AS120" s="59">
        <f>IFERROR(VLOOKUP($A120,[2]Mssp!$A$5:$BE$1463,AS$4+1,0),0)</f>
        <v>0</v>
      </c>
      <c r="AT120" s="59">
        <f>IFERROR(VLOOKUP($A120,[2]Mssp!$A$5:$BE$1463,AT$4+1,0),0)</f>
        <v>0</v>
      </c>
      <c r="AU120" s="59">
        <f>IFERROR(VLOOKUP($A120,[2]Mssp!$A$5:$BE$1463,AU$4+1,0),0)</f>
        <v>0</v>
      </c>
      <c r="AV120" s="59">
        <f>IFERROR(VLOOKUP($A120,[2]Mssp!$A$5:$BE$1463,AV$4+1,0),0)</f>
        <v>0</v>
      </c>
      <c r="AW120" s="59">
        <f>IFERROR(VLOOKUP($A120,[2]Mssp!$A$5:$BE$1463,AW$4+1,0),0)</f>
        <v>0</v>
      </c>
      <c r="AX120" s="59">
        <f>IFERROR(VLOOKUP($A120,[2]Mssp!$A$5:$BE$1463,AX$4+1,0),0)</f>
        <v>0</v>
      </c>
      <c r="AY120" s="59">
        <f>IFERROR(VLOOKUP($A120,[2]Mssp!$A$5:$BE$1463,AY$4+2,0),0)</f>
        <v>0</v>
      </c>
      <c r="AZ120" s="59">
        <f>IFERROR(VLOOKUP($A120,[2]Mssp!$A$5:$BE$1463,AZ$4+2,0),0)</f>
        <v>0</v>
      </c>
      <c r="BA120" s="60"/>
      <c r="BB120" s="61" t="s">
        <v>107</v>
      </c>
      <c r="BC120" s="62"/>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row>
    <row r="121" spans="1:94" ht="45" x14ac:dyDescent="0.25">
      <c r="A121" s="50" t="s">
        <v>502</v>
      </c>
      <c r="B121" s="73" t="s">
        <v>503</v>
      </c>
      <c r="C121" s="50">
        <f t="shared" si="3"/>
        <v>4.3</v>
      </c>
      <c r="D121" s="58">
        <v>6</v>
      </c>
      <c r="E121" s="58" t="s">
        <v>351</v>
      </c>
      <c r="F121" s="58">
        <v>7</v>
      </c>
      <c r="G121" s="50" t="s">
        <v>114</v>
      </c>
      <c r="H121" s="50">
        <f>VLOOKUP($A121,'[1]ma sp 02'!$A$5:$BD$1101,H$1,0)</f>
        <v>0.1</v>
      </c>
      <c r="I121" s="50">
        <f>VLOOKUP($A121,'[1]ma sp 02'!$A$5:$BD$1101,I$1,0)</f>
        <v>2</v>
      </c>
      <c r="J121" s="50">
        <f>VLOOKUP($A121,'[1]ma sp 02'!$A$5:$BD$1101,J$1,0)</f>
        <v>0.1</v>
      </c>
      <c r="K121" s="50">
        <f>VLOOKUP($A121,'[1]ma sp 02'!$A$5:$BD$1101,K$1,0)</f>
        <v>0.1</v>
      </c>
      <c r="L121" s="50">
        <f>VLOOKUP($A121,'[1]ma sp 02'!$A$5:$BD$1101,L$1,0)</f>
        <v>0.5</v>
      </c>
      <c r="M121" s="50">
        <f>VLOOKUP($A121,'[1]ma sp 02'!$A$5:$BD$1101,M$1,0)</f>
        <v>0.5</v>
      </c>
      <c r="N121" s="50">
        <f>VLOOKUP($A121,'[1]ma sp 02'!$A$5:$BD$1101,N$1,0)</f>
        <v>0</v>
      </c>
      <c r="O121" s="50">
        <f>VLOOKUP($A121,'[1]ma sp 02'!$A$5:$BD$1101,O$1,0)</f>
        <v>0.9</v>
      </c>
      <c r="P121" s="50">
        <f>VLOOKUP($A121,'[1]ma sp 02'!$A$5:$BD$1101,P$1,0)</f>
        <v>0</v>
      </c>
      <c r="Q121" s="50">
        <f>VLOOKUP($A121,'[1]ma sp 02'!$A$5:$BD$1101,Q$1,0)</f>
        <v>0</v>
      </c>
      <c r="R121" s="50">
        <f>VLOOKUP($A121,'[1]ma sp 02'!$A$5:$BD$1101,R$1,0)</f>
        <v>0.1</v>
      </c>
      <c r="S121" s="50">
        <f>VLOOKUP($A121,'[1]ma sp 02'!$A$5:$BD$1101,S$1,0)</f>
        <v>0</v>
      </c>
      <c r="T121" s="50">
        <f>VLOOKUP($A121,'[1]ma sp 02'!$A$5:$BD$1101,T$1,0)</f>
        <v>0</v>
      </c>
      <c r="U121" s="50">
        <f>VLOOKUP($A121,'[1]ma sp 02'!$A$5:$BD$1101,U$1,0)</f>
        <v>0</v>
      </c>
      <c r="V121" s="50">
        <f>VLOOKUP($A121,'[1]ma sp 02'!$A$5:$BD$1101,V$1,0)</f>
        <v>0</v>
      </c>
      <c r="W121" s="50">
        <f>VLOOKUP($A121,'[1]ma sp 02'!$A$5:$BD$1101,W$1,0)</f>
        <v>0</v>
      </c>
      <c r="X121" s="50">
        <f t="shared" si="2"/>
        <v>8</v>
      </c>
      <c r="Y121" s="57"/>
      <c r="Z121" s="57"/>
      <c r="AA121" s="57"/>
      <c r="AB121" s="57"/>
      <c r="AC121" s="57"/>
      <c r="AD121" s="57"/>
      <c r="AE121" s="52" t="s">
        <v>499</v>
      </c>
      <c r="AF121" s="52" t="s">
        <v>500</v>
      </c>
      <c r="AG121" s="87">
        <f>(0.012*1.4+0.006*2.71+0.06*0.925)*0.8</f>
        <v>7.0848000000000008E-2</v>
      </c>
      <c r="AH121" s="54">
        <f>(2.5/0.75/2)*0.79</f>
        <v>1.3166666666666669</v>
      </c>
      <c r="AI121" s="54">
        <f>(3/0.75/2)*0.79</f>
        <v>1.58</v>
      </c>
      <c r="AJ121" s="58">
        <v>9530</v>
      </c>
      <c r="AK121" s="58">
        <v>9530</v>
      </c>
      <c r="AL121" s="52" t="s">
        <v>501</v>
      </c>
      <c r="AM121" s="52" t="s">
        <v>142</v>
      </c>
      <c r="AN121" s="57">
        <v>130</v>
      </c>
      <c r="AO121" s="52" t="s">
        <v>92</v>
      </c>
      <c r="AP121" s="59">
        <f>IFERROR(VLOOKUP($A121,[2]Mssp!$A$5:$BE$1463,AP$4+1,0),0)</f>
        <v>0</v>
      </c>
      <c r="AQ121" s="59">
        <f>IFERROR(VLOOKUP($A121,[2]Mssp!$A$5:$BE$1463,AQ$4+1,0),0)</f>
        <v>0</v>
      </c>
      <c r="AR121" s="59">
        <f>IFERROR(VLOOKUP($A121,[2]Mssp!$A$5:$BE$1463,AR$4+1,0),0)</f>
        <v>0</v>
      </c>
      <c r="AS121" s="59">
        <f>IFERROR(VLOOKUP($A121,[2]Mssp!$A$5:$BE$1463,AS$4+1,0),0)</f>
        <v>0</v>
      </c>
      <c r="AT121" s="59">
        <f>IFERROR(VLOOKUP($A121,[2]Mssp!$A$5:$BE$1463,AT$4+1,0),0)</f>
        <v>0</v>
      </c>
      <c r="AU121" s="59">
        <f>IFERROR(VLOOKUP($A121,[2]Mssp!$A$5:$BE$1463,AU$4+1,0),0)</f>
        <v>0</v>
      </c>
      <c r="AV121" s="59">
        <f>IFERROR(VLOOKUP($A121,[2]Mssp!$A$5:$BE$1463,AV$4+1,0),0)</f>
        <v>0</v>
      </c>
      <c r="AW121" s="59">
        <f>IFERROR(VLOOKUP($A121,[2]Mssp!$A$5:$BE$1463,AW$4+1,0),0)</f>
        <v>0</v>
      </c>
      <c r="AX121" s="59">
        <f>IFERROR(VLOOKUP($A121,[2]Mssp!$A$5:$BE$1463,AX$4+1,0),0)</f>
        <v>0</v>
      </c>
      <c r="AY121" s="59">
        <f>IFERROR(VLOOKUP($A121,[2]Mssp!$A$5:$BE$1463,AY$4+2,0),0)</f>
        <v>0</v>
      </c>
      <c r="AZ121" s="59">
        <f>IFERROR(VLOOKUP($A121,[2]Mssp!$A$5:$BE$1463,AZ$4+2,0),0)</f>
        <v>0</v>
      </c>
      <c r="BA121" s="60"/>
      <c r="BB121" s="61" t="s">
        <v>107</v>
      </c>
      <c r="BC121" s="62"/>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row>
    <row r="122" spans="1:94" ht="45" x14ac:dyDescent="0.25">
      <c r="A122" s="50" t="s">
        <v>504</v>
      </c>
      <c r="B122" s="73" t="s">
        <v>505</v>
      </c>
      <c r="C122" s="50">
        <f t="shared" si="3"/>
        <v>7.6100000000000012</v>
      </c>
      <c r="D122" s="58">
        <v>3</v>
      </c>
      <c r="E122" s="58" t="s">
        <v>506</v>
      </c>
      <c r="F122" s="58">
        <v>5</v>
      </c>
      <c r="G122" s="50" t="s">
        <v>56</v>
      </c>
      <c r="H122" s="50">
        <f>VLOOKUP($A122,'[1]ma sp 02'!$A$5:$BD$1101,H$1,0)</f>
        <v>0.44</v>
      </c>
      <c r="I122" s="50">
        <f>VLOOKUP($A122,'[1]ma sp 02'!$A$5:$BD$1101,I$1,0)</f>
        <v>4.1900000000000004</v>
      </c>
      <c r="J122" s="50">
        <f>VLOOKUP($A122,'[1]ma sp 02'!$A$5:$BD$1101,J$1,0)</f>
        <v>0.46</v>
      </c>
      <c r="K122" s="50">
        <f>VLOOKUP($A122,'[1]ma sp 02'!$A$5:$BD$1101,K$1,0)</f>
        <v>0.06</v>
      </c>
      <c r="L122" s="50">
        <f>VLOOKUP($A122,'[1]ma sp 02'!$A$5:$BD$1101,L$1,0)</f>
        <v>0.82</v>
      </c>
      <c r="M122" s="50">
        <f>VLOOKUP($A122,'[1]ma sp 02'!$A$5:$BD$1101,M$1,0)</f>
        <v>0.48</v>
      </c>
      <c r="N122" s="50">
        <f>VLOOKUP($A122,'[1]ma sp 02'!$A$5:$BD$1101,N$1,0)</f>
        <v>0</v>
      </c>
      <c r="O122" s="50">
        <f>VLOOKUP($A122,'[1]ma sp 02'!$A$5:$BD$1101,O$1,0)</f>
        <v>0.01</v>
      </c>
      <c r="P122" s="50">
        <f>VLOOKUP($A122,'[1]ma sp 02'!$A$5:$BD$1101,P$1,0)</f>
        <v>0.24</v>
      </c>
      <c r="Q122" s="50">
        <f>VLOOKUP($A122,'[1]ma sp 02'!$A$5:$BD$1101,Q$1,0)</f>
        <v>0.88</v>
      </c>
      <c r="R122" s="50">
        <f>VLOOKUP($A122,'[1]ma sp 02'!$A$5:$BD$1101,R$1,0)</f>
        <v>0.03</v>
      </c>
      <c r="S122" s="50">
        <f>VLOOKUP($A122,'[1]ma sp 02'!$A$5:$BD$1101,S$1,0)</f>
        <v>0</v>
      </c>
      <c r="T122" s="50">
        <f>VLOOKUP($A122,'[1]ma sp 02'!$A$5:$BD$1101,T$1,0)</f>
        <v>0</v>
      </c>
      <c r="U122" s="50">
        <f>VLOOKUP($A122,'[1]ma sp 02'!$A$5:$BD$1101,U$1,0)</f>
        <v>0</v>
      </c>
      <c r="V122" s="50">
        <f>VLOOKUP($A122,'[1]ma sp 02'!$A$5:$BD$1101,V$1,0)</f>
        <v>0</v>
      </c>
      <c r="W122" s="50">
        <f>VLOOKUP($A122,'[1]ma sp 02'!$A$5:$BD$1101,W$1,0)</f>
        <v>0</v>
      </c>
      <c r="X122" s="50">
        <f t="shared" si="2"/>
        <v>10</v>
      </c>
      <c r="Y122" s="57"/>
      <c r="Z122" s="57"/>
      <c r="AA122" s="57"/>
      <c r="AB122" s="57"/>
      <c r="AC122" s="57"/>
      <c r="AD122" s="57"/>
      <c r="AE122" s="52" t="s">
        <v>507</v>
      </c>
      <c r="AF122" s="52" t="s">
        <v>508</v>
      </c>
      <c r="AG122" s="90">
        <f>+(0.02*0.91+0.045*0.91)*0.76+(0.012*1.4+0.012*1.4)*0.38</f>
        <v>5.7722000000000002E-2</v>
      </c>
      <c r="AH122" s="54">
        <f>(2.3/0.75/2)*0.75</f>
        <v>1.1499999999999999</v>
      </c>
      <c r="AI122" s="54">
        <f>(3/0.75/2)*0.75</f>
        <v>1.5</v>
      </c>
      <c r="AJ122" s="58">
        <v>9530</v>
      </c>
      <c r="AK122" s="58">
        <v>9530</v>
      </c>
      <c r="AL122" s="52" t="s">
        <v>354</v>
      </c>
      <c r="AM122" s="52" t="s">
        <v>509</v>
      </c>
      <c r="AN122" s="58">
        <v>95</v>
      </c>
      <c r="AO122" s="52" t="s">
        <v>473</v>
      </c>
      <c r="AP122" s="59" t="str">
        <f>IFERROR(VLOOKUP($A122,[2]Mssp!$A$5:$BE$1463,AP$4+1,0),0)</f>
        <v>F114068G3-1</v>
      </c>
      <c r="AQ122" s="59" t="str">
        <f>IFERROR(VLOOKUP($A122,[2]Mssp!$A$5:$BE$1463,AQ$4+1,0),0)</f>
        <v>F114068G1-2</v>
      </c>
      <c r="AR122" s="59" t="str">
        <f>IFERROR(VLOOKUP($A122,[2]Mssp!$A$5:$BE$1463,AR$4+1,0),0)</f>
        <v>F114068-3</v>
      </c>
      <c r="AS122" s="59" t="str">
        <f>IFERROR(VLOOKUP($A122,[2]Mssp!$A$5:$BE$1463,AS$4+1,0),0)</f>
        <v>F114068-4</v>
      </c>
      <c r="AT122" s="59" t="str">
        <f>IFERROR(VLOOKUP($A122,[2]Mssp!$A$5:$BE$1463,AT$4+1,0),0)</f>
        <v>F11468-5</v>
      </c>
      <c r="AU122" s="59">
        <f>IFERROR(VLOOKUP($A122,[2]Mssp!$A$5:$BE$1463,AU$4+1,0),0)</f>
        <v>0</v>
      </c>
      <c r="AV122" s="59">
        <f>IFERROR(VLOOKUP($A122,[2]Mssp!$A$5:$BE$1463,AV$4+1,0),0)</f>
        <v>0</v>
      </c>
      <c r="AW122" s="59">
        <f>IFERROR(VLOOKUP($A122,[2]Mssp!$A$5:$BE$1463,AW$4+1,0),0)</f>
        <v>0</v>
      </c>
      <c r="AX122" s="59">
        <f>IFERROR(VLOOKUP($A122,[2]Mssp!$A$5:$BE$1463,AX$4+1,0),0)</f>
        <v>0</v>
      </c>
      <c r="AY122" s="59" t="str">
        <f>IFERROR(VLOOKUP($A122,[2]Mssp!$A$5:$BE$1463,AY$4+2,0),0)</f>
        <v>475x840</v>
      </c>
      <c r="AZ122" s="59" t="str">
        <f>IFERROR(VLOOKUP($A122,[2]Mssp!$A$5:$BE$1463,AZ$4+2,0),0)</f>
        <v>N2</v>
      </c>
      <c r="BA122" s="60">
        <v>28800</v>
      </c>
      <c r="BB122" s="61" t="s">
        <v>251</v>
      </c>
      <c r="BC122" s="62"/>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row>
    <row r="123" spans="1:94" ht="45" x14ac:dyDescent="0.25">
      <c r="A123" s="50" t="s">
        <v>510</v>
      </c>
      <c r="B123" s="51" t="s">
        <v>511</v>
      </c>
      <c r="C123" s="50">
        <f t="shared" si="3"/>
        <v>4.620000000000001</v>
      </c>
      <c r="D123" s="50">
        <v>3</v>
      </c>
      <c r="E123" s="50" t="s">
        <v>495</v>
      </c>
      <c r="F123" s="50">
        <v>5</v>
      </c>
      <c r="G123" s="50" t="s">
        <v>56</v>
      </c>
      <c r="H123" s="50">
        <f>VLOOKUP($A123,'[1]ma sp 02'!$A$5:$BD$1101,H$1,0)</f>
        <v>0</v>
      </c>
      <c r="I123" s="50">
        <f>VLOOKUP($A123,'[1]ma sp 02'!$A$5:$BD$1101,I$1,0)</f>
        <v>2.6</v>
      </c>
      <c r="J123" s="50">
        <f>VLOOKUP($A123,'[1]ma sp 02'!$A$5:$BD$1101,J$1,0)</f>
        <v>0.48</v>
      </c>
      <c r="K123" s="50">
        <f>VLOOKUP($A123,'[1]ma sp 02'!$A$5:$BD$1101,K$1,0)</f>
        <v>0</v>
      </c>
      <c r="L123" s="50">
        <f>VLOOKUP($A123,'[1]ma sp 02'!$A$5:$BD$1101,L$1,0)</f>
        <v>0.53</v>
      </c>
      <c r="M123" s="50">
        <f>VLOOKUP($A123,'[1]ma sp 02'!$A$5:$BD$1101,M$1,0)</f>
        <v>0</v>
      </c>
      <c r="N123" s="50">
        <f>VLOOKUP($A123,'[1]ma sp 02'!$A$5:$BD$1101,N$1,0)</f>
        <v>0</v>
      </c>
      <c r="O123" s="50">
        <f>VLOOKUP($A123,'[1]ma sp 02'!$A$5:$BD$1101,O$1,0)</f>
        <v>0.24</v>
      </c>
      <c r="P123" s="50">
        <f>VLOOKUP($A123,'[1]ma sp 02'!$A$5:$BD$1101,P$1,0)</f>
        <v>0.19</v>
      </c>
      <c r="Q123" s="50">
        <f>VLOOKUP($A123,'[1]ma sp 02'!$A$5:$BD$1101,Q$1,0)</f>
        <v>0.48</v>
      </c>
      <c r="R123" s="50">
        <f>VLOOKUP($A123,'[1]ma sp 02'!$A$5:$BD$1101,R$1,0)</f>
        <v>0.1</v>
      </c>
      <c r="S123" s="50">
        <f>VLOOKUP($A123,'[1]ma sp 02'!$A$5:$BD$1101,S$1,0)</f>
        <v>0</v>
      </c>
      <c r="T123" s="50">
        <f>VLOOKUP($A123,'[1]ma sp 02'!$A$5:$BD$1101,T$1,0)</f>
        <v>0</v>
      </c>
      <c r="U123" s="50">
        <f>VLOOKUP($A123,'[1]ma sp 02'!$A$5:$BD$1101,U$1,0)</f>
        <v>0</v>
      </c>
      <c r="V123" s="50">
        <f>VLOOKUP($A123,'[1]ma sp 02'!$A$5:$BD$1101,V$1,0)</f>
        <v>0</v>
      </c>
      <c r="W123" s="50">
        <f>VLOOKUP($A123,'[1]ma sp 02'!$A$5:$BD$1101,W$1,0)</f>
        <v>0</v>
      </c>
      <c r="X123" s="50">
        <f t="shared" si="2"/>
        <v>7</v>
      </c>
      <c r="Y123" s="50"/>
      <c r="Z123" s="50"/>
      <c r="AA123" s="50"/>
      <c r="AB123" s="50"/>
      <c r="AC123" s="50"/>
      <c r="AD123" s="50"/>
      <c r="AE123" s="72" t="s">
        <v>512</v>
      </c>
      <c r="AF123" s="72" t="s">
        <v>513</v>
      </c>
      <c r="AG123" s="90">
        <f>+(0.02*0.91+0.045*0.91)*0.66+(0.012*1.4+0.012*1.4)*0.33</f>
        <v>5.0127000000000005E-2</v>
      </c>
      <c r="AH123" s="54">
        <f>(2.3/0.75/2)*0.65</f>
        <v>0.99666666666666659</v>
      </c>
      <c r="AI123" s="54">
        <f>(3/0.75/2)*0.65</f>
        <v>1.3</v>
      </c>
      <c r="AJ123" s="50">
        <v>9530</v>
      </c>
      <c r="AK123" s="58">
        <v>9530</v>
      </c>
      <c r="AL123" s="72" t="s">
        <v>354</v>
      </c>
      <c r="AM123" s="52" t="s">
        <v>74</v>
      </c>
      <c r="AN123" s="58">
        <v>145</v>
      </c>
      <c r="AO123" s="52" t="s">
        <v>473</v>
      </c>
      <c r="AP123" s="59" t="str">
        <f>IFERROR(VLOOKUP($A123,[2]Mssp!$A$5:$BE$1463,AP$4+1,0),0)</f>
        <v>F112128G3-1</v>
      </c>
      <c r="AQ123" s="59" t="str">
        <f>IFERROR(VLOOKUP($A123,[2]Mssp!$A$5:$BE$1463,AQ$4+1,0),0)</f>
        <v>F112128-2</v>
      </c>
      <c r="AR123" s="59" t="str">
        <f>IFERROR(VLOOKUP($A123,[2]Mssp!$A$5:$BE$1463,AR$4+1,0),0)</f>
        <v>F112128-3</v>
      </c>
      <c r="AS123" s="59" t="str">
        <f>IFERROR(VLOOKUP($A123,[2]Mssp!$A$5:$BE$1463,AS$4+1,0),0)</f>
        <v>F112128-4</v>
      </c>
      <c r="AT123" s="59" t="str">
        <f>IFERROR(VLOOKUP($A123,[2]Mssp!$A$5:$BE$1463,AT$4+1,0),0)</f>
        <v>F112128-5</v>
      </c>
      <c r="AU123" s="59">
        <f>IFERROR(VLOOKUP($A123,[2]Mssp!$A$5:$BE$1463,AU$4+1,0),0)</f>
        <v>0</v>
      </c>
      <c r="AV123" s="59">
        <f>IFERROR(VLOOKUP($A123,[2]Mssp!$A$5:$BE$1463,AV$4+1,0),0)</f>
        <v>0</v>
      </c>
      <c r="AW123" s="59">
        <f>IFERROR(VLOOKUP($A123,[2]Mssp!$A$5:$BE$1463,AW$4+1,0),0)</f>
        <v>0</v>
      </c>
      <c r="AX123" s="59">
        <f>IFERROR(VLOOKUP($A123,[2]Mssp!$A$5:$BE$1463,AX$4+1,0),0)</f>
        <v>0</v>
      </c>
      <c r="AY123" s="59" t="str">
        <f>IFERROR(VLOOKUP($A123,[2]Mssp!$A$5:$BE$1463,AY$4+2,0),0)</f>
        <v>440x750</v>
      </c>
      <c r="AZ123" s="59" t="str">
        <f>IFERROR(VLOOKUP($A123,[2]Mssp!$A$5:$BE$1463,AZ$4+2,0),0)</f>
        <v>N2</v>
      </c>
      <c r="BA123" s="60"/>
      <c r="BB123" s="61" t="s">
        <v>251</v>
      </c>
      <c r="BC123" s="62"/>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row>
    <row r="124" spans="1:94" ht="45" x14ac:dyDescent="0.25">
      <c r="A124" s="50" t="s">
        <v>514</v>
      </c>
      <c r="B124" s="73" t="s">
        <v>515</v>
      </c>
      <c r="C124" s="50">
        <f t="shared" si="3"/>
        <v>4.9000000000000004</v>
      </c>
      <c r="D124" s="58">
        <v>5</v>
      </c>
      <c r="E124" s="58" t="s">
        <v>269</v>
      </c>
      <c r="F124" s="58">
        <v>6</v>
      </c>
      <c r="G124" s="50" t="s">
        <v>56</v>
      </c>
      <c r="H124" s="50">
        <f>VLOOKUP($A124,'[1]ma sp 02'!$A$5:$BD$1101,H$1,0)</f>
        <v>0.2</v>
      </c>
      <c r="I124" s="50">
        <f>VLOOKUP($A124,'[1]ma sp 02'!$A$5:$BD$1101,I$1,0)</f>
        <v>1.8</v>
      </c>
      <c r="J124" s="50">
        <f>VLOOKUP($A124,'[1]ma sp 02'!$A$5:$BD$1101,J$1,0)</f>
        <v>0.2</v>
      </c>
      <c r="K124" s="50">
        <f>VLOOKUP($A124,'[1]ma sp 02'!$A$5:$BD$1101,K$1,0)</f>
        <v>0.5</v>
      </c>
      <c r="L124" s="50">
        <f>VLOOKUP($A124,'[1]ma sp 02'!$A$5:$BD$1101,L$1,0)</f>
        <v>1</v>
      </c>
      <c r="M124" s="50">
        <f>VLOOKUP($A124,'[1]ma sp 02'!$A$5:$BD$1101,M$1,0)</f>
        <v>0.9</v>
      </c>
      <c r="N124" s="50">
        <f>VLOOKUP($A124,'[1]ma sp 02'!$A$5:$BD$1101,N$1,0)</f>
        <v>0</v>
      </c>
      <c r="O124" s="50">
        <f>VLOOKUP($A124,'[1]ma sp 02'!$A$5:$BD$1101,O$1,0)</f>
        <v>0</v>
      </c>
      <c r="P124" s="50">
        <f>VLOOKUP($A124,'[1]ma sp 02'!$A$5:$BD$1101,P$1,0)</f>
        <v>0</v>
      </c>
      <c r="Q124" s="50">
        <f>VLOOKUP($A124,'[1]ma sp 02'!$A$5:$BD$1101,Q$1,0)</f>
        <v>0.3</v>
      </c>
      <c r="R124" s="50">
        <f>VLOOKUP($A124,'[1]ma sp 02'!$A$5:$BD$1101,R$1,0)</f>
        <v>0</v>
      </c>
      <c r="S124" s="50">
        <f>VLOOKUP($A124,'[1]ma sp 02'!$A$5:$BD$1101,S$1,0)</f>
        <v>0</v>
      </c>
      <c r="T124" s="50">
        <f>VLOOKUP($A124,'[1]ma sp 02'!$A$5:$BD$1101,T$1,0)</f>
        <v>0</v>
      </c>
      <c r="U124" s="50">
        <f>VLOOKUP($A124,'[1]ma sp 02'!$A$5:$BD$1101,U$1,0)</f>
        <v>0</v>
      </c>
      <c r="V124" s="50">
        <f>VLOOKUP($A124,'[1]ma sp 02'!$A$5:$BD$1101,V$1,0)</f>
        <v>0</v>
      </c>
      <c r="W124" s="50">
        <f>VLOOKUP($A124,'[1]ma sp 02'!$A$5:$BD$1101,W$1,0)</f>
        <v>0</v>
      </c>
      <c r="X124" s="50">
        <f t="shared" si="2"/>
        <v>7</v>
      </c>
      <c r="Y124" s="57"/>
      <c r="Z124" s="57"/>
      <c r="AA124" s="57"/>
      <c r="AB124" s="57"/>
      <c r="AC124" s="57"/>
      <c r="AD124" s="57"/>
      <c r="AE124" s="58" t="s">
        <v>516</v>
      </c>
      <c r="AF124" s="57"/>
      <c r="AG124" s="82">
        <f>(0.02*0.91+0.025*0.91)*0.72</f>
        <v>2.9484E-2</v>
      </c>
      <c r="AH124" s="54">
        <f>(1.8/0.75/2)*0.71</f>
        <v>0.85199999999999998</v>
      </c>
      <c r="AI124" s="57"/>
      <c r="AJ124" s="58">
        <v>9530</v>
      </c>
      <c r="AK124" s="57"/>
      <c r="AL124" s="58">
        <v>1.8E-3</v>
      </c>
      <c r="AM124" s="52" t="s">
        <v>142</v>
      </c>
      <c r="AN124" s="57">
        <v>140</v>
      </c>
      <c r="AO124" s="52" t="s">
        <v>266</v>
      </c>
      <c r="AP124" s="59" t="str">
        <f>IFERROR(VLOOKUP($A124,[2]Mssp!$A$5:$BE$1463,AP$4+1,0),0)</f>
        <v>F112125-1</v>
      </c>
      <c r="AQ124" s="59" t="str">
        <f>IFERROR(VLOOKUP($A124,[2]Mssp!$A$5:$BE$1463,AQ$4+1,0),0)</f>
        <v>F112125-2</v>
      </c>
      <c r="AR124" s="59" t="str">
        <f>IFERROR(VLOOKUP($A124,[2]Mssp!$A$5:$BE$1463,AR$4+1,0),0)</f>
        <v>F112125-3</v>
      </c>
      <c r="AS124" s="59" t="str">
        <f>IFERROR(VLOOKUP($A124,[2]Mssp!$A$5:$BE$1463,AS$4+1,0),0)</f>
        <v>F112125-4</v>
      </c>
      <c r="AT124" s="59" t="str">
        <f>IFERROR(VLOOKUP($A124,[2]Mssp!$A$5:$BE$1463,AT$4+1,0),0)</f>
        <v>F112125-5</v>
      </c>
      <c r="AU124" s="59" t="str">
        <f>IFERROR(VLOOKUP($A124,[2]Mssp!$A$5:$BE$1463,AU$4+1,0),0)</f>
        <v>F112125-6</v>
      </c>
      <c r="AV124" s="59">
        <f>IFERROR(VLOOKUP($A124,[2]Mssp!$A$5:$BE$1463,AV$4+1,0),0)</f>
        <v>0</v>
      </c>
      <c r="AW124" s="59">
        <f>IFERROR(VLOOKUP($A124,[2]Mssp!$A$5:$BE$1463,AW$4+1,0),0)</f>
        <v>0</v>
      </c>
      <c r="AX124" s="59">
        <f>IFERROR(VLOOKUP($A124,[2]Mssp!$A$5:$BE$1463,AX$4+1,0),0)</f>
        <v>0</v>
      </c>
      <c r="AY124" s="59" t="str">
        <f>IFERROR(VLOOKUP($A124,[2]Mssp!$A$5:$BE$1463,AY$4+2,0),0)</f>
        <v>840x450</v>
      </c>
      <c r="AZ124" s="59" t="str">
        <f>IFERROR(VLOOKUP($A124,[2]Mssp!$A$5:$BE$1463,AZ$4+2,0),0)</f>
        <v>N2</v>
      </c>
      <c r="BA124" s="60" t="s">
        <v>517</v>
      </c>
      <c r="BB124" s="61" t="s">
        <v>107</v>
      </c>
      <c r="BC124" s="62"/>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row>
    <row r="125" spans="1:94" ht="60" x14ac:dyDescent="0.25">
      <c r="A125" s="50" t="s">
        <v>518</v>
      </c>
      <c r="B125" s="73" t="s">
        <v>519</v>
      </c>
      <c r="C125" s="50">
        <f t="shared" si="3"/>
        <v>0</v>
      </c>
      <c r="D125" s="57">
        <v>2</v>
      </c>
      <c r="E125" s="58" t="s">
        <v>484</v>
      </c>
      <c r="F125" s="58">
        <v>7</v>
      </c>
      <c r="G125" s="50" t="s">
        <v>114</v>
      </c>
      <c r="H125" s="50">
        <f>VLOOKUP($A125,'[1]ma sp 02'!$A$5:$BD$1101,H$1,0)</f>
        <v>0</v>
      </c>
      <c r="I125" s="50">
        <f>VLOOKUP($A125,'[1]ma sp 02'!$A$5:$BD$1101,I$1,0)</f>
        <v>0</v>
      </c>
      <c r="J125" s="50">
        <f>VLOOKUP($A125,'[1]ma sp 02'!$A$5:$BD$1101,J$1,0)</f>
        <v>0</v>
      </c>
      <c r="K125" s="50">
        <f>VLOOKUP($A125,'[1]ma sp 02'!$A$5:$BD$1101,K$1,0)</f>
        <v>0</v>
      </c>
      <c r="L125" s="50">
        <f>VLOOKUP($A125,'[1]ma sp 02'!$A$5:$BD$1101,L$1,0)</f>
        <v>0</v>
      </c>
      <c r="M125" s="50">
        <f>VLOOKUP($A125,'[1]ma sp 02'!$A$5:$BD$1101,M$1,0)</f>
        <v>0</v>
      </c>
      <c r="N125" s="50">
        <f>VLOOKUP($A125,'[1]ma sp 02'!$A$5:$BD$1101,N$1,0)</f>
        <v>0</v>
      </c>
      <c r="O125" s="50">
        <f>VLOOKUP($A125,'[1]ma sp 02'!$A$5:$BD$1101,O$1,0)</f>
        <v>0</v>
      </c>
      <c r="P125" s="50">
        <f>VLOOKUP($A125,'[1]ma sp 02'!$A$5:$BD$1101,P$1,0)</f>
        <v>0</v>
      </c>
      <c r="Q125" s="50">
        <f>VLOOKUP($A125,'[1]ma sp 02'!$A$5:$BD$1101,Q$1,0)</f>
        <v>0</v>
      </c>
      <c r="R125" s="50">
        <f>VLOOKUP($A125,'[1]ma sp 02'!$A$5:$BD$1101,R$1,0)</f>
        <v>0</v>
      </c>
      <c r="S125" s="50">
        <f>VLOOKUP($A125,'[1]ma sp 02'!$A$5:$BD$1101,S$1,0)</f>
        <v>0</v>
      </c>
      <c r="T125" s="50">
        <f>VLOOKUP($A125,'[1]ma sp 02'!$A$5:$BD$1101,T$1,0)</f>
        <v>0</v>
      </c>
      <c r="U125" s="50">
        <f>VLOOKUP($A125,'[1]ma sp 02'!$A$5:$BD$1101,U$1,0)</f>
        <v>0</v>
      </c>
      <c r="V125" s="50">
        <f>VLOOKUP($A125,'[1]ma sp 02'!$A$5:$BD$1101,V$1,0)</f>
        <v>0</v>
      </c>
      <c r="W125" s="50">
        <f>VLOOKUP($A125,'[1]ma sp 02'!$A$5:$BD$1101,W$1,0)</f>
        <v>0</v>
      </c>
      <c r="X125" s="50">
        <f t="shared" si="2"/>
        <v>0</v>
      </c>
      <c r="Y125" s="57"/>
      <c r="Z125" s="57"/>
      <c r="AA125" s="57"/>
      <c r="AB125" s="57"/>
      <c r="AC125" s="57"/>
      <c r="AD125" s="57"/>
      <c r="AE125" s="52" t="s">
        <v>485</v>
      </c>
      <c r="AF125" s="52" t="s">
        <v>520</v>
      </c>
      <c r="AG125" s="87">
        <f>(0.012*1.4+0.012*1.4+0.1*0.925)*0.76</f>
        <v>9.5836000000000018E-2</v>
      </c>
      <c r="AH125" s="91">
        <f>(2.3/0.75/2)*0.75</f>
        <v>1.1499999999999999</v>
      </c>
      <c r="AI125" s="66">
        <f>(0.004*0.1*10)/(21*0.321)*1000</f>
        <v>0.59338377095386441</v>
      </c>
      <c r="AJ125" s="58">
        <v>9530</v>
      </c>
      <c r="AK125" s="57" t="s">
        <v>521</v>
      </c>
      <c r="AL125" s="52" t="s">
        <v>522</v>
      </c>
      <c r="AM125" s="52" t="s">
        <v>74</v>
      </c>
      <c r="AN125" s="57">
        <v>255</v>
      </c>
      <c r="AO125" s="52" t="s">
        <v>464</v>
      </c>
      <c r="AP125" s="59" t="str">
        <f>IFERROR(VLOOKUP($A125,[2]Mssp!$A$5:$BE$1463,AP$4+1,0),0)</f>
        <v>1510103-1</v>
      </c>
      <c r="AQ125" s="59" t="str">
        <f>IFERROR(VLOOKUP($A125,[2]Mssp!$A$5:$BE$1463,AQ$4+1,0),0)</f>
        <v>1510103-2</v>
      </c>
      <c r="AR125" s="59" t="str">
        <f>IFERROR(VLOOKUP($A125,[2]Mssp!$A$5:$BE$1463,AR$4+1,0),0)</f>
        <v>1510103-3</v>
      </c>
      <c r="AS125" s="59" t="str">
        <f>IFERROR(VLOOKUP($A125,[2]Mssp!$A$5:$BE$1463,AS$4+1,0),0)</f>
        <v>1510103-4</v>
      </c>
      <c r="AT125" s="59" t="str">
        <f>IFERROR(VLOOKUP($A125,[2]Mssp!$A$5:$BE$1463,AT$4+1,0),0)</f>
        <v>1510103-5</v>
      </c>
      <c r="AU125" s="59" t="str">
        <f>IFERROR(VLOOKUP($A125,[2]Mssp!$A$5:$BE$1463,AU$4+1,0),0)</f>
        <v>1510103-6</v>
      </c>
      <c r="AV125" s="59" t="str">
        <f>IFERROR(VLOOKUP($A125,[2]Mssp!$A$5:$BE$1463,AV$4+1,0),0)</f>
        <v>1510103-7</v>
      </c>
      <c r="AW125" s="59">
        <f>IFERROR(VLOOKUP($A125,[2]Mssp!$A$5:$BE$1463,AW$4+1,0),0)</f>
        <v>0</v>
      </c>
      <c r="AX125" s="59">
        <f>IFERROR(VLOOKUP($A125,[2]Mssp!$A$5:$BE$1463,AX$4+1,0),0)</f>
        <v>0</v>
      </c>
      <c r="AY125" s="59" t="str">
        <f>IFERROR(VLOOKUP($A125,[2]Mssp!$A$5:$BE$1463,AY$4+2,0),0)</f>
        <v>510x820</v>
      </c>
      <c r="AZ125" s="59" t="str">
        <f>IFERROR(VLOOKUP($A125,[2]Mssp!$A$5:$BE$1463,AZ$4+2,0),0)</f>
        <v>N2</v>
      </c>
      <c r="BA125" s="60"/>
      <c r="BB125" s="61" t="s">
        <v>251</v>
      </c>
      <c r="BC125" s="62"/>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row>
    <row r="126" spans="1:94" ht="45" x14ac:dyDescent="0.25">
      <c r="A126" s="50" t="s">
        <v>523</v>
      </c>
      <c r="B126" s="73" t="s">
        <v>524</v>
      </c>
      <c r="C126" s="50"/>
      <c r="D126" s="57">
        <v>2</v>
      </c>
      <c r="E126" s="58" t="s">
        <v>315</v>
      </c>
      <c r="F126" s="58">
        <v>7</v>
      </c>
      <c r="G126" s="50" t="s">
        <v>114</v>
      </c>
      <c r="H126" s="50">
        <f>VLOOKUP($A126,'[1]ma sp 02'!$A$5:$BD$1101,H$1,0)</f>
        <v>0.01</v>
      </c>
      <c r="I126" s="50">
        <f>VLOOKUP($A126,'[1]ma sp 02'!$A$5:$BD$1101,I$1,0)</f>
        <v>2</v>
      </c>
      <c r="J126" s="50">
        <f>VLOOKUP($A126,'[1]ma sp 02'!$A$5:$BD$1101,J$1,0)</f>
        <v>0.01</v>
      </c>
      <c r="K126" s="50">
        <f>VLOOKUP($A126,'[1]ma sp 02'!$A$5:$BD$1101,K$1,0)</f>
        <v>0.01</v>
      </c>
      <c r="L126" s="50">
        <f>VLOOKUP($A126,'[1]ma sp 02'!$A$5:$BD$1101,L$1,0)</f>
        <v>1.67</v>
      </c>
      <c r="M126" s="50">
        <f>VLOOKUP($A126,'[1]ma sp 02'!$A$5:$BD$1101,M$1,0)</f>
        <v>2.8</v>
      </c>
      <c r="N126" s="50">
        <f>VLOOKUP($A126,'[1]ma sp 02'!$A$5:$BD$1101,N$1,0)</f>
        <v>0</v>
      </c>
      <c r="O126" s="50">
        <f>VLOOKUP($A126,'[1]ma sp 02'!$A$5:$BD$1101,O$1,0)</f>
        <v>0.11</v>
      </c>
      <c r="P126" s="50">
        <f>VLOOKUP($A126,'[1]ma sp 02'!$A$5:$BD$1101,P$1,0)</f>
        <v>0.22</v>
      </c>
      <c r="Q126" s="50">
        <f>VLOOKUP($A126,'[1]ma sp 02'!$A$5:$BD$1101,Q$1,0)</f>
        <v>1.06</v>
      </c>
      <c r="R126" s="50">
        <f>VLOOKUP($A126,'[1]ma sp 02'!$A$5:$BD$1101,R$1,0)</f>
        <v>0</v>
      </c>
      <c r="S126" s="50">
        <f>VLOOKUP($A126,'[1]ma sp 02'!$A$5:$BD$1101,S$1,0)</f>
        <v>0</v>
      </c>
      <c r="T126" s="50">
        <f>VLOOKUP($A126,'[1]ma sp 02'!$A$5:$BD$1101,T$1,0)</f>
        <v>0.01</v>
      </c>
      <c r="U126" s="50">
        <f>VLOOKUP($A126,'[1]ma sp 02'!$A$5:$BD$1101,U$1,0)</f>
        <v>0</v>
      </c>
      <c r="V126" s="50">
        <f>VLOOKUP($A126,'[1]ma sp 02'!$A$5:$BD$1101,V$1,0)</f>
        <v>0</v>
      </c>
      <c r="W126" s="50">
        <f>VLOOKUP($A126,'[1]ma sp 02'!$A$5:$BD$1101,W$1,0)</f>
        <v>0</v>
      </c>
      <c r="X126" s="50">
        <f t="shared" si="2"/>
        <v>10</v>
      </c>
      <c r="Y126" s="57"/>
      <c r="Z126" s="57"/>
      <c r="AA126" s="57"/>
      <c r="AB126" s="57"/>
      <c r="AC126" s="57"/>
      <c r="AD126" s="57"/>
      <c r="AE126" s="52" t="s">
        <v>525</v>
      </c>
      <c r="AF126" s="52" t="s">
        <v>526</v>
      </c>
      <c r="AG126" s="87">
        <f>(0.012*1.4+0.012*1.4+0.085*0.925)*0.82</f>
        <v>9.2024500000000009E-2</v>
      </c>
      <c r="AH126" s="91">
        <f>(2.3/0.75/2)*0.84</f>
        <v>1.2879999999999998</v>
      </c>
      <c r="AI126" s="54">
        <f>(2.3/0.75/2)*0.81</f>
        <v>1.242</v>
      </c>
      <c r="AJ126" s="58">
        <v>9530</v>
      </c>
      <c r="AK126" s="58">
        <v>9530</v>
      </c>
      <c r="AL126" s="52" t="s">
        <v>354</v>
      </c>
      <c r="AM126" s="52" t="s">
        <v>74</v>
      </c>
      <c r="AN126" s="57">
        <v>285</v>
      </c>
      <c r="AO126" s="52" t="s">
        <v>527</v>
      </c>
      <c r="AP126" s="59" t="str">
        <f>IFERROR(VLOOKUP($A126,[2]Mssp!$A$5:$BE$1463,AP$4+1,0),0)</f>
        <v>1710093-1</v>
      </c>
      <c r="AQ126" s="59" t="str">
        <f>IFERROR(VLOOKUP($A126,[2]Mssp!$A$5:$BE$1463,AQ$4+1,0),0)</f>
        <v>1710093-2</v>
      </c>
      <c r="AR126" s="59" t="str">
        <f>IFERROR(VLOOKUP($A126,[2]Mssp!$A$5:$BE$1463,AR$4+1,0),0)</f>
        <v>1710093-3</v>
      </c>
      <c r="AS126" s="59" t="str">
        <f>IFERROR(VLOOKUP($A126,[2]Mssp!$A$5:$BE$1463,AS$4+1,0),0)</f>
        <v>1710093-4</v>
      </c>
      <c r="AT126" s="59" t="str">
        <f>IFERROR(VLOOKUP($A126,[2]Mssp!$A$5:$BE$1463,AT$4+1,0),0)</f>
        <v>1903481-5</v>
      </c>
      <c r="AU126" s="59" t="str">
        <f>IFERROR(VLOOKUP($A126,[2]Mssp!$A$5:$BE$1463,AU$4+1,0),0)</f>
        <v>1903481-6</v>
      </c>
      <c r="AV126" s="59" t="str">
        <f>IFERROR(VLOOKUP($A126,[2]Mssp!$A$5:$BE$1463,AV$4+1,0),0)</f>
        <v>1710093-7</v>
      </c>
      <c r="AW126" s="59" t="str">
        <f>IFERROR(VLOOKUP($A126,[2]Mssp!$A$5:$BE$1463,AW$4+1,0),0)</f>
        <v>1710093-8</v>
      </c>
      <c r="AX126" s="59">
        <f>IFERROR(VLOOKUP($A126,[2]Mssp!$A$5:$BE$1463,AX$4+1,0),0)</f>
        <v>0</v>
      </c>
      <c r="AY126" s="59" t="str">
        <f>IFERROR(VLOOKUP($A126,[2]Mssp!$A$5:$BE$1463,AY$4+2,0),0)</f>
        <v>670x870</v>
      </c>
      <c r="AZ126" s="59" t="str">
        <f>IFERROR(VLOOKUP($A126,[2]Mssp!$A$5:$BE$1463,AZ$4+2,0),0)</f>
        <v>I1</v>
      </c>
      <c r="BA126" s="60"/>
      <c r="BB126" s="61" t="s">
        <v>223</v>
      </c>
      <c r="BC126" s="62"/>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row>
    <row r="127" spans="1:94" x14ac:dyDescent="0.25">
      <c r="A127" s="50" t="s">
        <v>528</v>
      </c>
      <c r="B127" s="73" t="s">
        <v>529</v>
      </c>
      <c r="C127" s="50"/>
      <c r="D127" s="57">
        <v>1</v>
      </c>
      <c r="E127" s="58" t="s">
        <v>207</v>
      </c>
      <c r="F127" s="58">
        <v>7</v>
      </c>
      <c r="G127" s="50" t="s">
        <v>530</v>
      </c>
      <c r="H127" s="50">
        <f>VLOOKUP($A127,'[1]ma sp 02'!$A$5:$BD$1101,H$1,0)</f>
        <v>0</v>
      </c>
      <c r="I127" s="50">
        <f>VLOOKUP($A127,'[1]ma sp 02'!$A$5:$BD$1101,I$1,0)</f>
        <v>0</v>
      </c>
      <c r="J127" s="50">
        <f>VLOOKUP($A127,'[1]ma sp 02'!$A$5:$BD$1101,J$1,0)</f>
        <v>7.0000000000000007E-2</v>
      </c>
      <c r="K127" s="50">
        <f>VLOOKUP($A127,'[1]ma sp 02'!$A$5:$BD$1101,K$1,0)</f>
        <v>0.01</v>
      </c>
      <c r="L127" s="50">
        <f>VLOOKUP($A127,'[1]ma sp 02'!$A$5:$BD$1101,L$1,0)</f>
        <v>2.94</v>
      </c>
      <c r="M127" s="50">
        <f>VLOOKUP($A127,'[1]ma sp 02'!$A$5:$BD$1101,M$1,0)</f>
        <v>1.78</v>
      </c>
      <c r="N127" s="50">
        <f>VLOOKUP($A127,'[1]ma sp 02'!$A$5:$BD$1101,N$1,0)</f>
        <v>0</v>
      </c>
      <c r="O127" s="50">
        <f>VLOOKUP($A127,'[1]ma sp 02'!$A$5:$BD$1101,O$1,0)</f>
        <v>1.02</v>
      </c>
      <c r="P127" s="50">
        <f>VLOOKUP($A127,'[1]ma sp 02'!$A$5:$BD$1101,P$1,0)</f>
        <v>0</v>
      </c>
      <c r="Q127" s="50">
        <f>VLOOKUP($A127,'[1]ma sp 02'!$A$5:$BD$1101,Q$1,0)</f>
        <v>0.68</v>
      </c>
      <c r="R127" s="50">
        <f>VLOOKUP($A127,'[1]ma sp 02'!$A$5:$BD$1101,R$1,0)</f>
        <v>0</v>
      </c>
      <c r="S127" s="50">
        <f>VLOOKUP($A127,'[1]ma sp 02'!$A$5:$BD$1101,S$1,0)</f>
        <v>0</v>
      </c>
      <c r="T127" s="50">
        <f>VLOOKUP($A127,'[1]ma sp 02'!$A$5:$BD$1101,T$1,0)</f>
        <v>0.01</v>
      </c>
      <c r="U127" s="50">
        <f>VLOOKUP($A127,'[1]ma sp 02'!$A$5:$BD$1101,U$1,0)</f>
        <v>0</v>
      </c>
      <c r="V127" s="50">
        <f>VLOOKUP($A127,'[1]ma sp 02'!$A$5:$BD$1101,V$1,0)</f>
        <v>0</v>
      </c>
      <c r="W127" s="50">
        <f>VLOOKUP($A127,'[1]ma sp 02'!$A$5:$BD$1101,W$1,0)</f>
        <v>0</v>
      </c>
      <c r="X127" s="50">
        <f t="shared" si="2"/>
        <v>7</v>
      </c>
      <c r="Y127" s="57"/>
      <c r="Z127" s="57"/>
      <c r="AA127" s="57"/>
      <c r="AB127" s="57"/>
      <c r="AC127" s="57"/>
      <c r="AD127" s="57"/>
      <c r="AE127" s="52"/>
      <c r="AF127" s="52"/>
      <c r="AG127" s="87"/>
      <c r="AH127" s="91"/>
      <c r="AI127" s="54"/>
      <c r="AJ127" s="58"/>
      <c r="AK127" s="58"/>
      <c r="AL127" s="52"/>
      <c r="AM127" s="52"/>
      <c r="AN127" s="57">
        <v>770</v>
      </c>
      <c r="AO127" s="52" t="s">
        <v>527</v>
      </c>
      <c r="AP127" s="59" t="str">
        <f>IFERROR(VLOOKUP($A127,[2]Mssp!$A$5:$BE$1463,AP$4+1,0),0)</f>
        <v>1903480-1</v>
      </c>
      <c r="AQ127" s="59" t="str">
        <f>IFERROR(VLOOKUP($A127,[2]Mssp!$A$5:$BE$1463,AQ$4+1,0),0)</f>
        <v>1903480-2</v>
      </c>
      <c r="AR127" s="59" t="str">
        <f>IFERROR(VLOOKUP($A127,[2]Mssp!$A$5:$BE$1463,AR$4+1,0),0)</f>
        <v>1903480-3</v>
      </c>
      <c r="AS127" s="59" t="str">
        <f>IFERROR(VLOOKUP($A127,[2]Mssp!$A$5:$BE$1463,AS$4+1,0),0)</f>
        <v>1603346-4</v>
      </c>
      <c r="AT127" s="59" t="str">
        <f>IFERROR(VLOOKUP($A127,[2]Mssp!$A$5:$BE$1463,AT$4+1,0),0)</f>
        <v>1903480-5</v>
      </c>
      <c r="AU127" s="59" t="str">
        <f>IFERROR(VLOOKUP($A127,[2]Mssp!$A$5:$BE$1463,AU$4+1,0),0)</f>
        <v>1903480-6</v>
      </c>
      <c r="AV127" s="59" t="str">
        <f>IFERROR(VLOOKUP($A127,[2]Mssp!$A$5:$BE$1463,AV$4+1,0),0)</f>
        <v>1510425-7</v>
      </c>
      <c r="AW127" s="59">
        <f>IFERROR(VLOOKUP($A127,[2]Mssp!$A$5:$BE$1463,AW$4+1,0),0)</f>
        <v>0</v>
      </c>
      <c r="AX127" s="59">
        <f>IFERROR(VLOOKUP($A127,[2]Mssp!$A$5:$BE$1463,AX$4+1,0),0)</f>
        <v>0</v>
      </c>
      <c r="AY127" s="59" t="str">
        <f>IFERROR(VLOOKUP($A127,[2]Mssp!$A$5:$BE$1463,AY$4+2,0),0)</f>
        <v>770x750</v>
      </c>
      <c r="AZ127" s="59" t="str">
        <f>IFERROR(VLOOKUP($A127,[2]Mssp!$A$5:$BE$1463,AZ$4+2,0),0)</f>
        <v>J1</v>
      </c>
      <c r="BA127" s="60"/>
      <c r="BB127" s="61"/>
      <c r="BC127" s="62"/>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row>
    <row r="128" spans="1:94" ht="45" x14ac:dyDescent="0.25">
      <c r="A128" s="50" t="s">
        <v>531</v>
      </c>
      <c r="B128" s="73" t="s">
        <v>532</v>
      </c>
      <c r="C128" s="50">
        <f t="shared" si="3"/>
        <v>0</v>
      </c>
      <c r="D128" s="57"/>
      <c r="E128" s="58" t="s">
        <v>437</v>
      </c>
      <c r="F128" s="58">
        <v>1</v>
      </c>
      <c r="G128" s="50" t="s">
        <v>114</v>
      </c>
      <c r="H128" s="50">
        <f>VLOOKUP($A128,'[1]ma sp 02'!$A$5:$BD$1101,H$1,0)</f>
        <v>0</v>
      </c>
      <c r="I128" s="50">
        <f>VLOOKUP($A128,'[1]ma sp 02'!$A$5:$BD$1101,I$1,0)</f>
        <v>0</v>
      </c>
      <c r="J128" s="50">
        <f>VLOOKUP($A128,'[1]ma sp 02'!$A$5:$BD$1101,J$1,0)</f>
        <v>0</v>
      </c>
      <c r="K128" s="50">
        <f>VLOOKUP($A128,'[1]ma sp 02'!$A$5:$BD$1101,K$1,0)</f>
        <v>0</v>
      </c>
      <c r="L128" s="50">
        <f>VLOOKUP($A128,'[1]ma sp 02'!$A$5:$BD$1101,L$1,0)</f>
        <v>0</v>
      </c>
      <c r="M128" s="50">
        <f>VLOOKUP($A128,'[1]ma sp 02'!$A$5:$BD$1101,M$1,0)</f>
        <v>0</v>
      </c>
      <c r="N128" s="50">
        <f>VLOOKUP($A128,'[1]ma sp 02'!$A$5:$BD$1101,N$1,0)</f>
        <v>0</v>
      </c>
      <c r="O128" s="50">
        <f>VLOOKUP($A128,'[1]ma sp 02'!$A$5:$BD$1101,O$1,0)</f>
        <v>0</v>
      </c>
      <c r="P128" s="50">
        <f>VLOOKUP($A128,'[1]ma sp 02'!$A$5:$BD$1101,P$1,0)</f>
        <v>0</v>
      </c>
      <c r="Q128" s="50">
        <f>VLOOKUP($A128,'[1]ma sp 02'!$A$5:$BD$1101,Q$1,0)</f>
        <v>0</v>
      </c>
      <c r="R128" s="50">
        <f>VLOOKUP($A128,'[1]ma sp 02'!$A$5:$BD$1101,R$1,0)</f>
        <v>0</v>
      </c>
      <c r="S128" s="50">
        <f>VLOOKUP($A128,'[1]ma sp 02'!$A$5:$BD$1101,S$1,0)</f>
        <v>0</v>
      </c>
      <c r="T128" s="50">
        <f>VLOOKUP($A128,'[1]ma sp 02'!$A$5:$BD$1101,T$1,0)</f>
        <v>0</v>
      </c>
      <c r="U128" s="50">
        <f>VLOOKUP($A128,'[1]ma sp 02'!$A$5:$BD$1101,U$1,0)</f>
        <v>0</v>
      </c>
      <c r="V128" s="50">
        <f>VLOOKUP($A128,'[1]ma sp 02'!$A$5:$BD$1101,V$1,0)</f>
        <v>0</v>
      </c>
      <c r="W128" s="50">
        <f>VLOOKUP($A128,'[1]ma sp 02'!$A$5:$BD$1101,W$1,0)</f>
        <v>0</v>
      </c>
      <c r="X128" s="50">
        <f t="shared" si="2"/>
        <v>0</v>
      </c>
      <c r="Y128" s="57"/>
      <c r="Z128" s="57"/>
      <c r="AA128" s="57"/>
      <c r="AB128" s="57"/>
      <c r="AC128" s="57"/>
      <c r="AD128" s="57"/>
      <c r="AE128" s="52" t="s">
        <v>66</v>
      </c>
      <c r="AF128" s="52" t="s">
        <v>303</v>
      </c>
      <c r="AG128" s="87">
        <f>(0.012*1.4+0.012*1.4+0.04*0.925)*0.68</f>
        <v>4.8008000000000002E-2</v>
      </c>
      <c r="AH128" s="91">
        <f>(2.3/0.75/2)*0.67</f>
        <v>1.0273333333333332</v>
      </c>
      <c r="AI128" s="91">
        <f>(3/0.75/2)*0.67</f>
        <v>1.34</v>
      </c>
      <c r="AJ128" s="58">
        <v>9530</v>
      </c>
      <c r="AK128" s="58">
        <v>9530</v>
      </c>
      <c r="AL128" s="52" t="s">
        <v>117</v>
      </c>
      <c r="AM128" s="52" t="s">
        <v>60</v>
      </c>
      <c r="AN128" s="57">
        <v>180</v>
      </c>
      <c r="AO128" s="52" t="s">
        <v>118</v>
      </c>
      <c r="AP128" s="59">
        <f>IFERROR(VLOOKUP($A128,[2]Mssp!$A$5:$BE$1463,AP$4+1,0),0)</f>
        <v>0</v>
      </c>
      <c r="AQ128" s="59">
        <f>IFERROR(VLOOKUP($A128,[2]Mssp!$A$5:$BE$1463,AQ$4+1,0),0)</f>
        <v>0</v>
      </c>
      <c r="AR128" s="59">
        <f>IFERROR(VLOOKUP($A128,[2]Mssp!$A$5:$BE$1463,AR$4+1,0),0)</f>
        <v>0</v>
      </c>
      <c r="AS128" s="59">
        <f>IFERROR(VLOOKUP($A128,[2]Mssp!$A$5:$BE$1463,AS$4+1,0),0)</f>
        <v>0</v>
      </c>
      <c r="AT128" s="59">
        <f>IFERROR(VLOOKUP($A128,[2]Mssp!$A$5:$BE$1463,AT$4+1,0),0)</f>
        <v>0</v>
      </c>
      <c r="AU128" s="59">
        <f>IFERROR(VLOOKUP($A128,[2]Mssp!$A$5:$BE$1463,AU$4+1,0),0)</f>
        <v>0</v>
      </c>
      <c r="AV128" s="59">
        <f>IFERROR(VLOOKUP($A128,[2]Mssp!$A$5:$BE$1463,AV$4+1,0),0)</f>
        <v>0</v>
      </c>
      <c r="AW128" s="59">
        <f>IFERROR(VLOOKUP($A128,[2]Mssp!$A$5:$BE$1463,AW$4+1,0),0)</f>
        <v>0</v>
      </c>
      <c r="AX128" s="59">
        <f>IFERROR(VLOOKUP($A128,[2]Mssp!$A$5:$BE$1463,AX$4+1,0),0)</f>
        <v>0</v>
      </c>
      <c r="AY128" s="59">
        <f>IFERROR(VLOOKUP($A128,[2]Mssp!$A$5:$BE$1463,AY$4+2,0),0)</f>
        <v>0</v>
      </c>
      <c r="AZ128" s="59">
        <f>IFERROR(VLOOKUP($A128,[2]Mssp!$A$5:$BE$1463,AZ$4+2,0),0)</f>
        <v>0</v>
      </c>
      <c r="BA128" s="60"/>
      <c r="BB128" s="61" t="s">
        <v>62</v>
      </c>
      <c r="BC128" s="62"/>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row>
    <row r="129" spans="1:94" ht="60" x14ac:dyDescent="0.25">
      <c r="A129" s="50" t="s">
        <v>533</v>
      </c>
      <c r="B129" s="73" t="s">
        <v>534</v>
      </c>
      <c r="C129" s="50">
        <f t="shared" si="3"/>
        <v>0</v>
      </c>
      <c r="D129" s="57">
        <v>4</v>
      </c>
      <c r="E129" s="58" t="s">
        <v>113</v>
      </c>
      <c r="F129" s="58">
        <v>5</v>
      </c>
      <c r="G129" s="50" t="s">
        <v>114</v>
      </c>
      <c r="H129" s="50">
        <f>VLOOKUP($A129,'[1]ma sp 02'!$A$5:$BD$1101,H$1,0)</f>
        <v>0</v>
      </c>
      <c r="I129" s="50">
        <f>VLOOKUP($A129,'[1]ma sp 02'!$A$5:$BD$1101,I$1,0)</f>
        <v>0</v>
      </c>
      <c r="J129" s="50">
        <f>VLOOKUP($A129,'[1]ma sp 02'!$A$5:$BD$1101,J$1,0)</f>
        <v>0</v>
      </c>
      <c r="K129" s="50">
        <f>VLOOKUP($A129,'[1]ma sp 02'!$A$5:$BD$1101,K$1,0)</f>
        <v>0</v>
      </c>
      <c r="L129" s="50">
        <f>VLOOKUP($A129,'[1]ma sp 02'!$A$5:$BD$1101,L$1,0)</f>
        <v>0</v>
      </c>
      <c r="M129" s="50">
        <f>VLOOKUP($A129,'[1]ma sp 02'!$A$5:$BD$1101,M$1,0)</f>
        <v>0</v>
      </c>
      <c r="N129" s="50">
        <f>VLOOKUP($A129,'[1]ma sp 02'!$A$5:$BD$1101,N$1,0)</f>
        <v>0</v>
      </c>
      <c r="O129" s="50">
        <f>VLOOKUP($A129,'[1]ma sp 02'!$A$5:$BD$1101,O$1,0)</f>
        <v>0</v>
      </c>
      <c r="P129" s="50">
        <f>VLOOKUP($A129,'[1]ma sp 02'!$A$5:$BD$1101,P$1,0)</f>
        <v>0</v>
      </c>
      <c r="Q129" s="50">
        <f>VLOOKUP($A129,'[1]ma sp 02'!$A$5:$BD$1101,Q$1,0)</f>
        <v>0</v>
      </c>
      <c r="R129" s="50">
        <f>VLOOKUP($A129,'[1]ma sp 02'!$A$5:$BD$1101,R$1,0)</f>
        <v>0</v>
      </c>
      <c r="S129" s="50">
        <f>VLOOKUP($A129,'[1]ma sp 02'!$A$5:$BD$1101,S$1,0)</f>
        <v>0</v>
      </c>
      <c r="T129" s="50">
        <f>VLOOKUP($A129,'[1]ma sp 02'!$A$5:$BD$1101,T$1,0)</f>
        <v>0</v>
      </c>
      <c r="U129" s="50">
        <f>VLOOKUP($A129,'[1]ma sp 02'!$A$5:$BD$1101,U$1,0)</f>
        <v>0</v>
      </c>
      <c r="V129" s="50">
        <f>VLOOKUP($A129,'[1]ma sp 02'!$A$5:$BD$1101,V$1,0)</f>
        <v>0</v>
      </c>
      <c r="W129" s="50">
        <f>VLOOKUP($A129,'[1]ma sp 02'!$A$5:$BD$1101,W$1,0)</f>
        <v>0</v>
      </c>
      <c r="X129" s="50">
        <f t="shared" si="2"/>
        <v>0</v>
      </c>
      <c r="Y129" s="57"/>
      <c r="Z129" s="57"/>
      <c r="AA129" s="57"/>
      <c r="AB129" s="57"/>
      <c r="AC129" s="57"/>
      <c r="AD129" s="57"/>
      <c r="AE129" s="52" t="s">
        <v>115</v>
      </c>
      <c r="AF129" s="52" t="s">
        <v>535</v>
      </c>
      <c r="AG129" s="87">
        <f>(0.012*1.4+0.012*1.4+0.075*0.925)*0.74</f>
        <v>7.6201500000000005E-2</v>
      </c>
      <c r="AH129" s="91">
        <f>(2.3/0.75/2)*0.73</f>
        <v>1.1193333333333333</v>
      </c>
      <c r="AI129" s="66">
        <f>(0.004*0.73*10)/(21*0.321)*1000</f>
        <v>4.331701527963209</v>
      </c>
      <c r="AJ129" s="58">
        <v>9530</v>
      </c>
      <c r="AK129" s="57" t="s">
        <v>521</v>
      </c>
      <c r="AL129" s="52" t="s">
        <v>536</v>
      </c>
      <c r="AM129" s="52" t="s">
        <v>104</v>
      </c>
      <c r="AN129" s="57">
        <v>180</v>
      </c>
      <c r="AO129" s="52" t="s">
        <v>439</v>
      </c>
      <c r="AP129" s="59">
        <f>IFERROR(VLOOKUP($A129,[2]Mssp!$A$5:$BE$1463,AP$4+1,0),0)</f>
        <v>0</v>
      </c>
      <c r="AQ129" s="59">
        <f>IFERROR(VLOOKUP($A129,[2]Mssp!$A$5:$BE$1463,AQ$4+1,0),0)</f>
        <v>0</v>
      </c>
      <c r="AR129" s="59">
        <f>IFERROR(VLOOKUP($A129,[2]Mssp!$A$5:$BE$1463,AR$4+1,0),0)</f>
        <v>0</v>
      </c>
      <c r="AS129" s="59">
        <f>IFERROR(VLOOKUP($A129,[2]Mssp!$A$5:$BE$1463,AS$4+1,0),0)</f>
        <v>0</v>
      </c>
      <c r="AT129" s="59">
        <f>IFERROR(VLOOKUP($A129,[2]Mssp!$A$5:$BE$1463,AT$4+1,0),0)</f>
        <v>0</v>
      </c>
      <c r="AU129" s="59">
        <f>IFERROR(VLOOKUP($A129,[2]Mssp!$A$5:$BE$1463,AU$4+1,0),0)</f>
        <v>0</v>
      </c>
      <c r="AV129" s="59">
        <f>IFERROR(VLOOKUP($A129,[2]Mssp!$A$5:$BE$1463,AV$4+1,0),0)</f>
        <v>0</v>
      </c>
      <c r="AW129" s="59">
        <f>IFERROR(VLOOKUP($A129,[2]Mssp!$A$5:$BE$1463,AW$4+1,0),0)</f>
        <v>0</v>
      </c>
      <c r="AX129" s="59">
        <f>IFERROR(VLOOKUP($A129,[2]Mssp!$A$5:$BE$1463,AX$4+1,0),0)</f>
        <v>0</v>
      </c>
      <c r="AY129" s="59">
        <f>IFERROR(VLOOKUP($A129,[2]Mssp!$A$5:$BE$1463,AY$4+2,0),0)</f>
        <v>0</v>
      </c>
      <c r="AZ129" s="59">
        <f>IFERROR(VLOOKUP($A129,[2]Mssp!$A$5:$BE$1463,AZ$4+2,0),0)</f>
        <v>0</v>
      </c>
      <c r="BA129" s="60"/>
      <c r="BB129" s="61" t="s">
        <v>251</v>
      </c>
      <c r="BC129" s="62"/>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row>
    <row r="130" spans="1:94" ht="75" x14ac:dyDescent="0.25">
      <c r="A130" s="50" t="s">
        <v>537</v>
      </c>
      <c r="B130" s="73" t="s">
        <v>538</v>
      </c>
      <c r="C130" s="50">
        <f t="shared" si="3"/>
        <v>6.4</v>
      </c>
      <c r="D130" s="58">
        <v>1</v>
      </c>
      <c r="E130" s="58" t="s">
        <v>539</v>
      </c>
      <c r="F130" s="58">
        <v>6</v>
      </c>
      <c r="G130" s="50" t="s">
        <v>114</v>
      </c>
      <c r="H130" s="50">
        <f>VLOOKUP($A130,'[1]ma sp 02'!$A$5:$BD$1101,H$1,0)</f>
        <v>0.4</v>
      </c>
      <c r="I130" s="50">
        <f>VLOOKUP($A130,'[1]ma sp 02'!$A$5:$BD$1101,I$1,0)</f>
        <v>4.5</v>
      </c>
      <c r="J130" s="50">
        <f>VLOOKUP($A130,'[1]ma sp 02'!$A$5:$BD$1101,J$1,0)</f>
        <v>0</v>
      </c>
      <c r="K130" s="50">
        <f>VLOOKUP($A130,'[1]ma sp 02'!$A$5:$BD$1101,K$1,0)</f>
        <v>0.4</v>
      </c>
      <c r="L130" s="50">
        <f>VLOOKUP($A130,'[1]ma sp 02'!$A$5:$BD$1101,L$1,0)</f>
        <v>1</v>
      </c>
      <c r="M130" s="50">
        <f>VLOOKUP($A130,'[1]ma sp 02'!$A$5:$BD$1101,M$1,0)</f>
        <v>0</v>
      </c>
      <c r="N130" s="50">
        <f>VLOOKUP($A130,'[1]ma sp 02'!$A$5:$BD$1101,N$1,0)</f>
        <v>0</v>
      </c>
      <c r="O130" s="50">
        <f>VLOOKUP($A130,'[1]ma sp 02'!$A$5:$BD$1101,O$1,0)</f>
        <v>0</v>
      </c>
      <c r="P130" s="50">
        <f>VLOOKUP($A130,'[1]ma sp 02'!$A$5:$BD$1101,P$1,0)</f>
        <v>0</v>
      </c>
      <c r="Q130" s="50">
        <f>VLOOKUP($A130,'[1]ma sp 02'!$A$5:$BD$1101,Q$1,0)</f>
        <v>0</v>
      </c>
      <c r="R130" s="50">
        <f>VLOOKUP($A130,'[1]ma sp 02'!$A$5:$BD$1101,R$1,0)</f>
        <v>0</v>
      </c>
      <c r="S130" s="50">
        <f>VLOOKUP($A130,'[1]ma sp 02'!$A$5:$BD$1101,S$1,0)</f>
        <v>0.1</v>
      </c>
      <c r="T130" s="50">
        <f>VLOOKUP($A130,'[1]ma sp 02'!$A$5:$BD$1101,T$1,0)</f>
        <v>0</v>
      </c>
      <c r="U130" s="50">
        <f>VLOOKUP($A130,'[1]ma sp 02'!$A$5:$BD$1101,U$1,0)</f>
        <v>0</v>
      </c>
      <c r="V130" s="50">
        <f>VLOOKUP($A130,'[1]ma sp 02'!$A$5:$BD$1101,V$1,0)</f>
        <v>0</v>
      </c>
      <c r="W130" s="50">
        <f>VLOOKUP($A130,'[1]ma sp 02'!$A$5:$BD$1101,W$1,0)</f>
        <v>0</v>
      </c>
      <c r="X130" s="50">
        <f t="shared" si="2"/>
        <v>5</v>
      </c>
      <c r="Y130" s="57"/>
      <c r="Z130" s="57"/>
      <c r="AA130" s="57"/>
      <c r="AB130" s="57"/>
      <c r="AC130" s="57"/>
      <c r="AD130" s="57"/>
      <c r="AE130" s="52" t="s">
        <v>540</v>
      </c>
      <c r="AF130" s="52" t="s">
        <v>541</v>
      </c>
      <c r="AG130" s="87">
        <f>(0.012*1.4+0.012*1.4+0.075*0.925)*0.57</f>
        <v>5.8695749999999998E-2</v>
      </c>
      <c r="AH130" s="91">
        <f>(2.3/0.75/2)*0.56</f>
        <v>0.85866666666666669</v>
      </c>
      <c r="AI130" s="91">
        <f>(3/0.75/2)*0.56</f>
        <v>1.1200000000000001</v>
      </c>
      <c r="AJ130" s="58">
        <v>9530</v>
      </c>
      <c r="AK130" s="58">
        <v>9530</v>
      </c>
      <c r="AL130" s="52" t="s">
        <v>117</v>
      </c>
      <c r="AM130" s="52" t="s">
        <v>542</v>
      </c>
      <c r="AN130" s="57">
        <v>160</v>
      </c>
      <c r="AO130" s="52" t="s">
        <v>543</v>
      </c>
      <c r="AP130" s="59">
        <f>IFERROR(VLOOKUP($A130,[2]Mssp!$A$5:$BE$1463,AP$4+1,0),0)</f>
        <v>0</v>
      </c>
      <c r="AQ130" s="59">
        <f>IFERROR(VLOOKUP($A130,[2]Mssp!$A$5:$BE$1463,AQ$4+1,0),0)</f>
        <v>0</v>
      </c>
      <c r="AR130" s="59">
        <f>IFERROR(VLOOKUP($A130,[2]Mssp!$A$5:$BE$1463,AR$4+1,0),0)</f>
        <v>0</v>
      </c>
      <c r="AS130" s="59">
        <f>IFERROR(VLOOKUP($A130,[2]Mssp!$A$5:$BE$1463,AS$4+1,0),0)</f>
        <v>0</v>
      </c>
      <c r="AT130" s="59">
        <f>IFERROR(VLOOKUP($A130,[2]Mssp!$A$5:$BE$1463,AT$4+1,0),0)</f>
        <v>0</v>
      </c>
      <c r="AU130" s="59">
        <f>IFERROR(VLOOKUP($A130,[2]Mssp!$A$5:$BE$1463,AU$4+1,0),0)</f>
        <v>0</v>
      </c>
      <c r="AV130" s="59">
        <f>IFERROR(VLOOKUP($A130,[2]Mssp!$A$5:$BE$1463,AV$4+1,0),0)</f>
        <v>0</v>
      </c>
      <c r="AW130" s="59">
        <f>IFERROR(VLOOKUP($A130,[2]Mssp!$A$5:$BE$1463,AW$4+1,0),0)</f>
        <v>0</v>
      </c>
      <c r="AX130" s="59">
        <f>IFERROR(VLOOKUP($A130,[2]Mssp!$A$5:$BE$1463,AX$4+1,0),0)</f>
        <v>0</v>
      </c>
      <c r="AY130" s="59">
        <f>IFERROR(VLOOKUP($A130,[2]Mssp!$A$5:$BE$1463,AY$4+2,0),0)</f>
        <v>0</v>
      </c>
      <c r="AZ130" s="59">
        <f>IFERROR(VLOOKUP($A130,[2]Mssp!$A$5:$BE$1463,AZ$4+2,0),0)</f>
        <v>0</v>
      </c>
      <c r="BA130" s="60"/>
      <c r="BB130" s="61" t="s">
        <v>544</v>
      </c>
      <c r="BC130" s="62"/>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row>
    <row r="131" spans="1:94" ht="75" x14ac:dyDescent="0.25">
      <c r="A131" s="50" t="s">
        <v>545</v>
      </c>
      <c r="B131" s="73" t="s">
        <v>546</v>
      </c>
      <c r="C131" s="50">
        <f t="shared" si="3"/>
        <v>6.7</v>
      </c>
      <c r="D131" s="58">
        <v>3</v>
      </c>
      <c r="E131" s="58" t="s">
        <v>547</v>
      </c>
      <c r="F131" s="58">
        <v>6</v>
      </c>
      <c r="G131" s="50" t="s">
        <v>114</v>
      </c>
      <c r="H131" s="50">
        <f>VLOOKUP($A131,'[1]ma sp 02'!$A$5:$BD$1101,H$1,0)</f>
        <v>0.6</v>
      </c>
      <c r="I131" s="50">
        <f>VLOOKUP($A131,'[1]ma sp 02'!$A$5:$BD$1101,I$1,0)</f>
        <v>2.9</v>
      </c>
      <c r="J131" s="50">
        <f>VLOOKUP($A131,'[1]ma sp 02'!$A$5:$BD$1101,J$1,0)</f>
        <v>0.1</v>
      </c>
      <c r="K131" s="50">
        <f>VLOOKUP($A131,'[1]ma sp 02'!$A$5:$BD$1101,K$1,0)</f>
        <v>0.1</v>
      </c>
      <c r="L131" s="50">
        <f>VLOOKUP($A131,'[1]ma sp 02'!$A$5:$BD$1101,L$1,0)</f>
        <v>2</v>
      </c>
      <c r="M131" s="50">
        <f>VLOOKUP($A131,'[1]ma sp 02'!$A$5:$BD$1101,M$1,0)</f>
        <v>0.9</v>
      </c>
      <c r="N131" s="50">
        <f>VLOOKUP($A131,'[1]ma sp 02'!$A$5:$BD$1101,N$1,0)</f>
        <v>0</v>
      </c>
      <c r="O131" s="50">
        <f>VLOOKUP($A131,'[1]ma sp 02'!$A$5:$BD$1101,O$1,0)</f>
        <v>0.1</v>
      </c>
      <c r="P131" s="50">
        <f>VLOOKUP($A131,'[1]ma sp 02'!$A$5:$BD$1101,P$1,0)</f>
        <v>0</v>
      </c>
      <c r="Q131" s="50">
        <f>VLOOKUP($A131,'[1]ma sp 02'!$A$5:$BD$1101,Q$1,0)</f>
        <v>0</v>
      </c>
      <c r="R131" s="50">
        <f>VLOOKUP($A131,'[1]ma sp 02'!$A$5:$BD$1101,R$1,0)</f>
        <v>0</v>
      </c>
      <c r="S131" s="50">
        <f>VLOOKUP($A131,'[1]ma sp 02'!$A$5:$BD$1101,S$1,0)</f>
        <v>0</v>
      </c>
      <c r="T131" s="50">
        <f>VLOOKUP($A131,'[1]ma sp 02'!$A$5:$BD$1101,T$1,0)</f>
        <v>0</v>
      </c>
      <c r="U131" s="50">
        <f>VLOOKUP($A131,'[1]ma sp 02'!$A$5:$BD$1101,U$1,0)</f>
        <v>0</v>
      </c>
      <c r="V131" s="50">
        <f>VLOOKUP($A131,'[1]ma sp 02'!$A$5:$BD$1101,V$1,0)</f>
        <v>0</v>
      </c>
      <c r="W131" s="50">
        <f>VLOOKUP($A131,'[1]ma sp 02'!$A$5:$BD$1101,W$1,0)</f>
        <v>0</v>
      </c>
      <c r="X131" s="50">
        <f t="shared" si="2"/>
        <v>7</v>
      </c>
      <c r="Y131" s="57"/>
      <c r="Z131" s="57"/>
      <c r="AA131" s="57"/>
      <c r="AB131" s="57"/>
      <c r="AC131" s="57"/>
      <c r="AD131" s="57"/>
      <c r="AE131" s="52" t="s">
        <v>548</v>
      </c>
      <c r="AF131" s="52" t="s">
        <v>549</v>
      </c>
      <c r="AG131" s="87">
        <f>(0.012*1.4+0.012*1.4+0.075*0.925)*0.71</f>
        <v>7.3112250000000004E-2</v>
      </c>
      <c r="AH131" s="91">
        <f>(2.3/0.75/2)*0.7</f>
        <v>1.0733333333333333</v>
      </c>
      <c r="AI131" s="91">
        <f>(2.3/0.75/2)*0.7</f>
        <v>1.0733333333333333</v>
      </c>
      <c r="AJ131" s="58">
        <v>9530</v>
      </c>
      <c r="AK131" s="58">
        <v>9530</v>
      </c>
      <c r="AL131" s="58" t="s">
        <v>354</v>
      </c>
      <c r="AM131" s="52" t="s">
        <v>74</v>
      </c>
      <c r="AN131" s="57">
        <v>170</v>
      </c>
      <c r="AO131" s="52" t="s">
        <v>550</v>
      </c>
      <c r="AP131" s="59" t="str">
        <f>IFERROR(VLOOKUP($A131,[2]Mssp!$A$5:$BE$1463,AP$4+1,0),0)</f>
        <v>1511021-1</v>
      </c>
      <c r="AQ131" s="59" t="str">
        <f>IFERROR(VLOOKUP($A131,[2]Mssp!$A$5:$BE$1463,AQ$4+1,0),0)</f>
        <v>1511021-2</v>
      </c>
      <c r="AR131" s="59" t="str">
        <f>IFERROR(VLOOKUP($A131,[2]Mssp!$A$5:$BE$1463,AR$4+1,0),0)</f>
        <v>1511021-3</v>
      </c>
      <c r="AS131" s="59" t="str">
        <f>IFERROR(VLOOKUP($A131,[2]Mssp!$A$5:$BE$1463,AS$4+1,0),0)</f>
        <v>1511021-4</v>
      </c>
      <c r="AT131" s="59" t="str">
        <f>IFERROR(VLOOKUP($A131,[2]Mssp!$A$5:$BE$1463,AT$4+1,0),0)</f>
        <v>1511021-5</v>
      </c>
      <c r="AU131" s="59" t="str">
        <f>IFERROR(VLOOKUP($A131,[2]Mssp!$A$5:$BE$1463,AU$4+1,0),0)</f>
        <v>1511021-6</v>
      </c>
      <c r="AV131" s="59">
        <f>IFERROR(VLOOKUP($A131,[2]Mssp!$A$5:$BE$1463,AV$4+1,0),0)</f>
        <v>0</v>
      </c>
      <c r="AW131" s="59">
        <f>IFERROR(VLOOKUP($A131,[2]Mssp!$A$5:$BE$1463,AW$4+1,0),0)</f>
        <v>0</v>
      </c>
      <c r="AX131" s="59">
        <f>IFERROR(VLOOKUP($A131,[2]Mssp!$A$5:$BE$1463,AX$4+1,0),0)</f>
        <v>0</v>
      </c>
      <c r="AY131" s="59" t="str">
        <f>IFERROR(VLOOKUP($A131,[2]Mssp!$A$5:$BE$1463,AY$4+2,0),0)</f>
        <v>500x860</v>
      </c>
      <c r="AZ131" s="59" t="str">
        <f>IFERROR(VLOOKUP($A131,[2]Mssp!$A$5:$BE$1463,AZ$4+2,0),0)</f>
        <v>N2</v>
      </c>
      <c r="BA131" s="60"/>
      <c r="BB131" s="61" t="s">
        <v>544</v>
      </c>
      <c r="BC131" s="62"/>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row>
    <row r="132" spans="1:94" ht="45" x14ac:dyDescent="0.25">
      <c r="A132" s="50" t="s">
        <v>551</v>
      </c>
      <c r="B132" s="73" t="s">
        <v>552</v>
      </c>
      <c r="C132" s="50">
        <f t="shared" si="3"/>
        <v>6.1499999999999995</v>
      </c>
      <c r="D132" s="58">
        <v>3</v>
      </c>
      <c r="E132" s="58" t="s">
        <v>131</v>
      </c>
      <c r="F132" s="58">
        <v>7</v>
      </c>
      <c r="G132" s="50" t="s">
        <v>114</v>
      </c>
      <c r="H132" s="50">
        <f>VLOOKUP($A132,'[1]ma sp 02'!$A$5:$BD$1101,H$1,0)</f>
        <v>0.3</v>
      </c>
      <c r="I132" s="50">
        <f>VLOOKUP($A132,'[1]ma sp 02'!$A$5:$BD$1101,I$1,0)</f>
        <v>3</v>
      </c>
      <c r="J132" s="50">
        <f>VLOOKUP($A132,'[1]ma sp 02'!$A$5:$BD$1101,J$1,0)</f>
        <v>0.2</v>
      </c>
      <c r="K132" s="50">
        <f>VLOOKUP($A132,'[1]ma sp 02'!$A$5:$BD$1101,K$1,0)</f>
        <v>0.7</v>
      </c>
      <c r="L132" s="50">
        <f>VLOOKUP($A132,'[1]ma sp 02'!$A$5:$BD$1101,L$1,0)</f>
        <v>1.75</v>
      </c>
      <c r="M132" s="50">
        <f>VLOOKUP($A132,'[1]ma sp 02'!$A$5:$BD$1101,M$1,0)</f>
        <v>0</v>
      </c>
      <c r="N132" s="50">
        <f>VLOOKUP($A132,'[1]ma sp 02'!$A$5:$BD$1101,N$1,0)</f>
        <v>0</v>
      </c>
      <c r="O132" s="50">
        <f>VLOOKUP($A132,'[1]ma sp 02'!$A$5:$BD$1101,O$1,0)</f>
        <v>0</v>
      </c>
      <c r="P132" s="50">
        <f>VLOOKUP($A132,'[1]ma sp 02'!$A$5:$BD$1101,P$1,0)</f>
        <v>0.1</v>
      </c>
      <c r="Q132" s="50">
        <f>VLOOKUP($A132,'[1]ma sp 02'!$A$5:$BD$1101,Q$1,0)</f>
        <v>0</v>
      </c>
      <c r="R132" s="50">
        <f>VLOOKUP($A132,'[1]ma sp 02'!$A$5:$BD$1101,R$1,0)</f>
        <v>0.1</v>
      </c>
      <c r="S132" s="50">
        <f>VLOOKUP($A132,'[1]ma sp 02'!$A$5:$BD$1101,S$1,0)</f>
        <v>0</v>
      </c>
      <c r="T132" s="50">
        <f>VLOOKUP($A132,'[1]ma sp 02'!$A$5:$BD$1101,T$1,0)</f>
        <v>0</v>
      </c>
      <c r="U132" s="50">
        <f>VLOOKUP($A132,'[1]ma sp 02'!$A$5:$BD$1101,U$1,0)</f>
        <v>0</v>
      </c>
      <c r="V132" s="50">
        <f>VLOOKUP($A132,'[1]ma sp 02'!$A$5:$BD$1101,V$1,0)</f>
        <v>0</v>
      </c>
      <c r="W132" s="50">
        <f>VLOOKUP($A132,'[1]ma sp 02'!$A$5:$BD$1101,W$1,0)</f>
        <v>0</v>
      </c>
      <c r="X132" s="50">
        <f t="shared" si="2"/>
        <v>7</v>
      </c>
      <c r="Y132" s="57"/>
      <c r="Z132" s="57"/>
      <c r="AA132" s="57"/>
      <c r="AB132" s="57"/>
      <c r="AC132" s="57"/>
      <c r="AD132" s="57"/>
      <c r="AE132" s="52" t="s">
        <v>78</v>
      </c>
      <c r="AF132" s="52" t="s">
        <v>324</v>
      </c>
      <c r="AG132" s="87">
        <f>(0.012*1.4+0.012*1.4+0.075*0.925)*0.62</f>
        <v>6.3844500000000012E-2</v>
      </c>
      <c r="AH132" s="91">
        <f>(2.3/0.75/2)*0.61</f>
        <v>0.93533333333333324</v>
      </c>
      <c r="AI132" s="91">
        <f>(2.3/0.75/2)*0.61</f>
        <v>0.93533333333333324</v>
      </c>
      <c r="AJ132" s="58">
        <v>9530</v>
      </c>
      <c r="AK132" s="58">
        <v>9530</v>
      </c>
      <c r="AL132" s="58" t="s">
        <v>354</v>
      </c>
      <c r="AM132" s="52" t="s">
        <v>104</v>
      </c>
      <c r="AN132" s="57">
        <v>200</v>
      </c>
      <c r="AO132" s="52" t="s">
        <v>553</v>
      </c>
      <c r="AP132" s="59" t="str">
        <f>IFERROR(VLOOKUP($A132,[2]Mssp!$A$5:$BE$1463,AP$4+1,0),0)</f>
        <v>18091249-1</v>
      </c>
      <c r="AQ132" s="59" t="str">
        <f>IFERROR(VLOOKUP($A132,[2]Mssp!$A$5:$BE$1463,AQ$4+1,0),0)</f>
        <v>1512088-2</v>
      </c>
      <c r="AR132" s="59" t="str">
        <f>IFERROR(VLOOKUP($A132,[2]Mssp!$A$5:$BE$1463,AR$4+1,0),0)</f>
        <v>1512088-3</v>
      </c>
      <c r="AS132" s="59" t="str">
        <f>IFERROR(VLOOKUP($A132,[2]Mssp!$A$5:$BE$1463,AS$4+1,0),0)</f>
        <v>1512088-4</v>
      </c>
      <c r="AT132" s="59" t="str">
        <f>IFERROR(VLOOKUP($A132,[2]Mssp!$A$5:$BE$1463,AT$4+1,0),0)</f>
        <v>18091249-5</v>
      </c>
      <c r="AU132" s="59" t="str">
        <f>IFERROR(VLOOKUP($A132,[2]Mssp!$A$5:$BE$1463,AU$4+1,0),0)</f>
        <v>1512088-6</v>
      </c>
      <c r="AV132" s="59" t="str">
        <f>IFERROR(VLOOKUP($A132,[2]Mssp!$A$5:$BE$1463,AV$4+1,0),0)</f>
        <v>1512088-7</v>
      </c>
      <c r="AW132" s="59">
        <f>IFERROR(VLOOKUP($A132,[2]Mssp!$A$5:$BE$1463,AW$4+1,0),0)</f>
        <v>0</v>
      </c>
      <c r="AX132" s="59">
        <f>IFERROR(VLOOKUP($A132,[2]Mssp!$A$5:$BE$1463,AX$4+1,0),0)</f>
        <v>0</v>
      </c>
      <c r="AY132" s="59" t="str">
        <f>IFERROR(VLOOKUP($A132,[2]Mssp!$A$5:$BE$1463,AY$4+2,0),0)</f>
        <v>405x750</v>
      </c>
      <c r="AZ132" s="59" t="str">
        <f>IFERROR(VLOOKUP($A132,[2]Mssp!$A$5:$BE$1463,AZ$4+2,0),0)</f>
        <v>N3</v>
      </c>
      <c r="BA132" s="60" t="s">
        <v>144</v>
      </c>
      <c r="BB132" s="61" t="s">
        <v>251</v>
      </c>
      <c r="BC132" s="62"/>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row>
    <row r="133" spans="1:94" ht="75" x14ac:dyDescent="0.25">
      <c r="A133" s="50" t="s">
        <v>554</v>
      </c>
      <c r="B133" s="73" t="s">
        <v>555</v>
      </c>
      <c r="C133" s="50">
        <f t="shared" si="3"/>
        <v>0</v>
      </c>
      <c r="D133" s="57">
        <v>2</v>
      </c>
      <c r="E133" s="58" t="s">
        <v>484</v>
      </c>
      <c r="F133" s="58">
        <v>1</v>
      </c>
      <c r="G133" s="50" t="s">
        <v>114</v>
      </c>
      <c r="H133" s="50">
        <f>VLOOKUP($A133,'[1]ma sp 02'!$A$5:$BD$1101,H$1,0)</f>
        <v>0</v>
      </c>
      <c r="I133" s="50">
        <f>VLOOKUP($A133,'[1]ma sp 02'!$A$5:$BD$1101,I$1,0)</f>
        <v>0</v>
      </c>
      <c r="J133" s="50">
        <f>VLOOKUP($A133,'[1]ma sp 02'!$A$5:$BD$1101,J$1,0)</f>
        <v>0</v>
      </c>
      <c r="K133" s="50">
        <f>VLOOKUP($A133,'[1]ma sp 02'!$A$5:$BD$1101,K$1,0)</f>
        <v>0</v>
      </c>
      <c r="L133" s="50">
        <f>VLOOKUP($A133,'[1]ma sp 02'!$A$5:$BD$1101,L$1,0)</f>
        <v>0</v>
      </c>
      <c r="M133" s="50">
        <f>VLOOKUP($A133,'[1]ma sp 02'!$A$5:$BD$1101,M$1,0)</f>
        <v>0</v>
      </c>
      <c r="N133" s="50">
        <f>VLOOKUP($A133,'[1]ma sp 02'!$A$5:$BD$1101,N$1,0)</f>
        <v>0</v>
      </c>
      <c r="O133" s="50">
        <f>VLOOKUP($A133,'[1]ma sp 02'!$A$5:$BD$1101,O$1,0)</f>
        <v>0</v>
      </c>
      <c r="P133" s="50">
        <f>VLOOKUP($A133,'[1]ma sp 02'!$A$5:$BD$1101,P$1,0)</f>
        <v>0</v>
      </c>
      <c r="Q133" s="50">
        <f>VLOOKUP($A133,'[1]ma sp 02'!$A$5:$BD$1101,Q$1,0)</f>
        <v>0</v>
      </c>
      <c r="R133" s="50">
        <f>VLOOKUP($A133,'[1]ma sp 02'!$A$5:$BD$1101,R$1,0)</f>
        <v>0</v>
      </c>
      <c r="S133" s="50">
        <f>VLOOKUP($A133,'[1]ma sp 02'!$A$5:$BD$1101,S$1,0)</f>
        <v>0</v>
      </c>
      <c r="T133" s="50">
        <f>VLOOKUP($A133,'[1]ma sp 02'!$A$5:$BD$1101,T$1,0)</f>
        <v>0</v>
      </c>
      <c r="U133" s="50">
        <f>VLOOKUP($A133,'[1]ma sp 02'!$A$5:$BD$1101,U$1,0)</f>
        <v>0</v>
      </c>
      <c r="V133" s="50">
        <f>VLOOKUP($A133,'[1]ma sp 02'!$A$5:$BD$1101,V$1,0)</f>
        <v>0</v>
      </c>
      <c r="W133" s="50">
        <f>VLOOKUP($A133,'[1]ma sp 02'!$A$5:$BD$1101,W$1,0)</f>
        <v>0</v>
      </c>
      <c r="X133" s="50">
        <f t="shared" si="2"/>
        <v>0</v>
      </c>
      <c r="Y133" s="57"/>
      <c r="Z133" s="57"/>
      <c r="AA133" s="57"/>
      <c r="AB133" s="57"/>
      <c r="AC133" s="57"/>
      <c r="AD133" s="57"/>
      <c r="AE133" s="52" t="s">
        <v>485</v>
      </c>
      <c r="AF133" s="52" t="s">
        <v>486</v>
      </c>
      <c r="AG133" s="87">
        <f>(0.012*1.4+0.012*1.4+0.075*0.925)*0.76</f>
        <v>7.8261000000000011E-2</v>
      </c>
      <c r="AH133" s="91">
        <f>(2.3/0.75/2)*0.75</f>
        <v>1.1499999999999999</v>
      </c>
      <c r="AI133" s="91">
        <f>(3/0.75/2)*0.75</f>
        <v>1.5</v>
      </c>
      <c r="AJ133" s="58">
        <v>9530</v>
      </c>
      <c r="AK133" s="58">
        <v>9530</v>
      </c>
      <c r="AL133" s="52" t="s">
        <v>117</v>
      </c>
      <c r="AM133" s="52" t="s">
        <v>60</v>
      </c>
      <c r="AN133" s="57">
        <v>420</v>
      </c>
      <c r="AO133" s="52" t="s">
        <v>118</v>
      </c>
      <c r="AP133" s="59">
        <f>IFERROR(VLOOKUP($A133,[2]Mssp!$A$5:$BE$1463,AP$4+1,0),0)</f>
        <v>0</v>
      </c>
      <c r="AQ133" s="59">
        <f>IFERROR(VLOOKUP($A133,[2]Mssp!$A$5:$BE$1463,AQ$4+1,0),0)</f>
        <v>0</v>
      </c>
      <c r="AR133" s="59">
        <f>IFERROR(VLOOKUP($A133,[2]Mssp!$A$5:$BE$1463,AR$4+1,0),0)</f>
        <v>0</v>
      </c>
      <c r="AS133" s="59">
        <f>IFERROR(VLOOKUP($A133,[2]Mssp!$A$5:$BE$1463,AS$4+1,0),0)</f>
        <v>0</v>
      </c>
      <c r="AT133" s="59">
        <f>IFERROR(VLOOKUP($A133,[2]Mssp!$A$5:$BE$1463,AT$4+1,0),0)</f>
        <v>0</v>
      </c>
      <c r="AU133" s="59">
        <f>IFERROR(VLOOKUP($A133,[2]Mssp!$A$5:$BE$1463,AU$4+1,0),0)</f>
        <v>0</v>
      </c>
      <c r="AV133" s="59">
        <f>IFERROR(VLOOKUP($A133,[2]Mssp!$A$5:$BE$1463,AV$4+1,0),0)</f>
        <v>0</v>
      </c>
      <c r="AW133" s="59">
        <f>IFERROR(VLOOKUP($A133,[2]Mssp!$A$5:$BE$1463,AW$4+1,0),0)</f>
        <v>0</v>
      </c>
      <c r="AX133" s="59">
        <f>IFERROR(VLOOKUP($A133,[2]Mssp!$A$5:$BE$1463,AX$4+1,0),0)</f>
        <v>0</v>
      </c>
      <c r="AY133" s="59">
        <f>IFERROR(VLOOKUP($A133,[2]Mssp!$A$5:$BE$1463,AY$4+2,0),0)</f>
        <v>0</v>
      </c>
      <c r="AZ133" s="59">
        <f>IFERROR(VLOOKUP($A133,[2]Mssp!$A$5:$BE$1463,AZ$4+2,0),0)</f>
        <v>0</v>
      </c>
      <c r="BA133" s="60">
        <v>1500</v>
      </c>
      <c r="BB133" s="61" t="s">
        <v>119</v>
      </c>
      <c r="BC133" s="62"/>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c r="CP133" s="9"/>
    </row>
    <row r="134" spans="1:94" ht="45" x14ac:dyDescent="0.25">
      <c r="A134" s="50" t="s">
        <v>556</v>
      </c>
      <c r="B134" s="73" t="s">
        <v>557</v>
      </c>
      <c r="C134" s="50">
        <f t="shared" si="3"/>
        <v>2</v>
      </c>
      <c r="D134" s="58">
        <v>1</v>
      </c>
      <c r="E134" s="58" t="s">
        <v>558</v>
      </c>
      <c r="F134" s="58">
        <v>5</v>
      </c>
      <c r="G134" s="50" t="s">
        <v>559</v>
      </c>
      <c r="H134" s="50">
        <f>VLOOKUP($A134,'[1]ma sp 02'!$A$5:$BD$1101,H$1,0)</f>
        <v>0</v>
      </c>
      <c r="I134" s="50">
        <f>VLOOKUP($A134,'[1]ma sp 02'!$A$5:$BD$1101,I$1,0)</f>
        <v>2</v>
      </c>
      <c r="J134" s="50">
        <f>VLOOKUP($A134,'[1]ma sp 02'!$A$5:$BD$1101,J$1,0)</f>
        <v>0</v>
      </c>
      <c r="K134" s="50">
        <f>VLOOKUP($A134,'[1]ma sp 02'!$A$5:$BD$1101,K$1,0)</f>
        <v>0</v>
      </c>
      <c r="L134" s="50">
        <f>VLOOKUP($A134,'[1]ma sp 02'!$A$5:$BD$1101,L$1,0)</f>
        <v>0</v>
      </c>
      <c r="M134" s="50">
        <f>VLOOKUP($A134,'[1]ma sp 02'!$A$5:$BD$1101,M$1,0)</f>
        <v>0</v>
      </c>
      <c r="N134" s="50">
        <f>VLOOKUP($A134,'[1]ma sp 02'!$A$5:$BD$1101,N$1,0)</f>
        <v>0</v>
      </c>
      <c r="O134" s="50">
        <f>VLOOKUP($A134,'[1]ma sp 02'!$A$5:$BD$1101,O$1,0)</f>
        <v>0</v>
      </c>
      <c r="P134" s="50">
        <f>VLOOKUP($A134,'[1]ma sp 02'!$A$5:$BD$1101,P$1,0)</f>
        <v>0</v>
      </c>
      <c r="Q134" s="50">
        <f>VLOOKUP($A134,'[1]ma sp 02'!$A$5:$BD$1101,Q$1,0)</f>
        <v>0</v>
      </c>
      <c r="R134" s="50">
        <f>VLOOKUP($A134,'[1]ma sp 02'!$A$5:$BD$1101,R$1,0)</f>
        <v>0</v>
      </c>
      <c r="S134" s="50">
        <f>VLOOKUP($A134,'[1]ma sp 02'!$A$5:$BD$1101,S$1,0)</f>
        <v>0</v>
      </c>
      <c r="T134" s="50">
        <f>VLOOKUP($A134,'[1]ma sp 02'!$A$5:$BD$1101,T$1,0)</f>
        <v>0</v>
      </c>
      <c r="U134" s="50">
        <f>VLOOKUP($A134,'[1]ma sp 02'!$A$5:$BD$1101,U$1,0)</f>
        <v>0</v>
      </c>
      <c r="V134" s="50">
        <f>VLOOKUP($A134,'[1]ma sp 02'!$A$5:$BD$1101,V$1,0)</f>
        <v>0</v>
      </c>
      <c r="W134" s="50">
        <f>VLOOKUP($A134,'[1]ma sp 02'!$A$5:$BD$1101,W$1,0)</f>
        <v>0</v>
      </c>
      <c r="X134" s="50">
        <f t="shared" si="2"/>
        <v>1</v>
      </c>
      <c r="Y134" s="57"/>
      <c r="Z134" s="57"/>
      <c r="AA134" s="57"/>
      <c r="AB134" s="57"/>
      <c r="AC134" s="57"/>
      <c r="AD134" s="57"/>
      <c r="AE134" s="58" t="s">
        <v>560</v>
      </c>
      <c r="AF134" s="57"/>
      <c r="AG134" s="82">
        <f>(0.015*1.15+0.08*0.925)*0.54</f>
        <v>4.9275000000000006E-2</v>
      </c>
      <c r="AH134" s="54">
        <f>(3/0.75/2)*0.53</f>
        <v>1.06</v>
      </c>
      <c r="AI134" s="57"/>
      <c r="AJ134" s="58">
        <v>9530</v>
      </c>
      <c r="AK134" s="58">
        <v>9530</v>
      </c>
      <c r="AL134" s="58">
        <v>3.0000000000000001E-3</v>
      </c>
      <c r="AM134" s="52" t="s">
        <v>60</v>
      </c>
      <c r="AN134" s="57">
        <v>550</v>
      </c>
      <c r="AO134" s="52" t="s">
        <v>561</v>
      </c>
      <c r="AP134" s="59" t="str">
        <f>IFERROR(VLOOKUP($A134,[2]Mssp!$A$5:$BE$1463,AP$4+1,0),0)</f>
        <v>1701143-1</v>
      </c>
      <c r="AQ134" s="59" t="str">
        <f>IFERROR(VLOOKUP($A134,[2]Mssp!$A$5:$BE$1463,AQ$4+1,0),0)</f>
        <v>1701143-2</v>
      </c>
      <c r="AR134" s="59" t="str">
        <f>IFERROR(VLOOKUP($A134,[2]Mssp!$A$5:$BE$1463,AR$4+1,0),0)</f>
        <v>1701143-3</v>
      </c>
      <c r="AS134" s="59" t="str">
        <f>IFERROR(VLOOKUP($A134,[2]Mssp!$A$5:$BE$1463,AS$4+1,0),0)</f>
        <v>1701143-4</v>
      </c>
      <c r="AT134" s="59" t="str">
        <f>IFERROR(VLOOKUP($A134,[2]Mssp!$A$5:$BE$1463,AT$4+1,0),0)</f>
        <v>1701143-5</v>
      </c>
      <c r="AU134" s="59" t="str">
        <f>IFERROR(VLOOKUP($A134,[2]Mssp!$A$5:$BE$1463,AU$4+1,0),0)</f>
        <v>1701143-6</v>
      </c>
      <c r="AV134" s="59">
        <f>IFERROR(VLOOKUP($A134,[2]Mssp!$A$5:$BE$1463,AV$4+1,0),0)</f>
        <v>0</v>
      </c>
      <c r="AW134" s="59">
        <f>IFERROR(VLOOKUP($A134,[2]Mssp!$A$5:$BE$1463,AW$4+1,0),0)</f>
        <v>0</v>
      </c>
      <c r="AX134" s="59">
        <f>IFERROR(VLOOKUP($A134,[2]Mssp!$A$5:$BE$1463,AX$4+1,0),0)</f>
        <v>0</v>
      </c>
      <c r="AY134" s="59" t="str">
        <f>IFERROR(VLOOKUP($A134,[2]Mssp!$A$5:$BE$1463,AY$4+2,0),0)</f>
        <v>550x750</v>
      </c>
      <c r="AZ134" s="59" t="str">
        <f>IFERROR(VLOOKUP($A134,[2]Mssp!$A$5:$BE$1463,AZ$4+2,0),0)</f>
        <v>N3</v>
      </c>
      <c r="BA134" s="60"/>
      <c r="BB134" s="61" t="s">
        <v>562</v>
      </c>
      <c r="BC134" s="62"/>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c r="CP134" s="9"/>
    </row>
    <row r="135" spans="1:94" ht="45" x14ac:dyDescent="0.25">
      <c r="A135" s="50" t="s">
        <v>563</v>
      </c>
      <c r="B135" s="73" t="s">
        <v>564</v>
      </c>
      <c r="C135" s="50">
        <f t="shared" si="3"/>
        <v>6.02</v>
      </c>
      <c r="D135" s="58">
        <v>1</v>
      </c>
      <c r="E135" s="58" t="s">
        <v>506</v>
      </c>
      <c r="F135" s="58">
        <v>1</v>
      </c>
      <c r="G135" s="50" t="s">
        <v>56</v>
      </c>
      <c r="H135" s="50">
        <f>VLOOKUP($A135,'[1]ma sp 02'!$A$5:$BD$1101,H$1,0)</f>
        <v>0</v>
      </c>
      <c r="I135" s="50">
        <f>VLOOKUP($A135,'[1]ma sp 02'!$A$5:$BD$1101,I$1,0)</f>
        <v>0</v>
      </c>
      <c r="J135" s="50">
        <f>VLOOKUP($A135,'[1]ma sp 02'!$A$5:$BD$1101,J$1,0)</f>
        <v>0.03</v>
      </c>
      <c r="K135" s="50">
        <f>VLOOKUP($A135,'[1]ma sp 02'!$A$5:$BD$1101,K$1,0)</f>
        <v>0</v>
      </c>
      <c r="L135" s="50">
        <f>VLOOKUP($A135,'[1]ma sp 02'!$A$5:$BD$1101,L$1,0)</f>
        <v>5.85</v>
      </c>
      <c r="M135" s="50">
        <f>VLOOKUP($A135,'[1]ma sp 02'!$A$5:$BD$1101,M$1,0)</f>
        <v>0</v>
      </c>
      <c r="N135" s="50">
        <f>VLOOKUP($A135,'[1]ma sp 02'!$A$5:$BD$1101,N$1,0)</f>
        <v>0</v>
      </c>
      <c r="O135" s="50">
        <f>VLOOKUP($A135,'[1]ma sp 02'!$A$5:$BD$1101,O$1,0)</f>
        <v>0.01</v>
      </c>
      <c r="P135" s="50">
        <f>VLOOKUP($A135,'[1]ma sp 02'!$A$5:$BD$1101,P$1,0)</f>
        <v>0</v>
      </c>
      <c r="Q135" s="50">
        <f>VLOOKUP($A135,'[1]ma sp 02'!$A$5:$BD$1101,Q$1,0)</f>
        <v>0.13</v>
      </c>
      <c r="R135" s="50">
        <f>VLOOKUP($A135,'[1]ma sp 02'!$A$5:$BD$1101,R$1,0)</f>
        <v>0</v>
      </c>
      <c r="S135" s="50">
        <f>VLOOKUP($A135,'[1]ma sp 02'!$A$5:$BD$1101,S$1,0)</f>
        <v>0</v>
      </c>
      <c r="T135" s="50">
        <f>VLOOKUP($A135,'[1]ma sp 02'!$A$5:$BD$1101,T$1,0)</f>
        <v>0</v>
      </c>
      <c r="U135" s="50">
        <f>VLOOKUP($A135,'[1]ma sp 02'!$A$5:$BD$1101,U$1,0)</f>
        <v>0</v>
      </c>
      <c r="V135" s="50">
        <f>VLOOKUP($A135,'[1]ma sp 02'!$A$5:$BD$1101,V$1,0)</f>
        <v>0</v>
      </c>
      <c r="W135" s="50">
        <f>VLOOKUP($A135,'[1]ma sp 02'!$A$5:$BD$1101,W$1,0)</f>
        <v>0</v>
      </c>
      <c r="X135" s="50">
        <f t="shared" si="2"/>
        <v>4</v>
      </c>
      <c r="Y135" s="57"/>
      <c r="Z135" s="57"/>
      <c r="AA135" s="57"/>
      <c r="AB135" s="57"/>
      <c r="AC135" s="57"/>
      <c r="AD135" s="57"/>
      <c r="AE135" s="52" t="s">
        <v>485</v>
      </c>
      <c r="AF135" s="52" t="s">
        <v>565</v>
      </c>
      <c r="AG135" s="87">
        <f>(0.02*0.91+0.012*1.4+0.065*0.925)*0.76</f>
        <v>7.2295000000000012E-2</v>
      </c>
      <c r="AH135" s="91">
        <f>(2.3/0.75/2)*0.75</f>
        <v>1.1499999999999999</v>
      </c>
      <c r="AI135" s="91">
        <f>(3/0.75/2)*0.75</f>
        <v>1.5</v>
      </c>
      <c r="AJ135" s="58">
        <v>9530</v>
      </c>
      <c r="AK135" s="58">
        <v>9530</v>
      </c>
      <c r="AL135" s="52" t="s">
        <v>117</v>
      </c>
      <c r="AM135" s="52" t="s">
        <v>60</v>
      </c>
      <c r="AN135" s="57">
        <v>595</v>
      </c>
      <c r="AO135" s="52" t="s">
        <v>92</v>
      </c>
      <c r="AP135" s="59">
        <f>IFERROR(VLOOKUP($A135,[2]Mssp!$A$5:$BE$1463,AP$4+1,0),0)</f>
        <v>0</v>
      </c>
      <c r="AQ135" s="59">
        <f>IFERROR(VLOOKUP($A135,[2]Mssp!$A$5:$BE$1463,AQ$4+1,0),0)</f>
        <v>0</v>
      </c>
      <c r="AR135" s="59" t="str">
        <f>IFERROR(VLOOKUP($A135,[2]Mssp!$A$5:$BE$1463,AR$4+1,0),0)</f>
        <v>1506198-3</v>
      </c>
      <c r="AS135" s="59">
        <f>IFERROR(VLOOKUP($A135,[2]Mssp!$A$5:$BE$1463,AS$4+1,0),0)</f>
        <v>0</v>
      </c>
      <c r="AT135" s="59">
        <f>IFERROR(VLOOKUP($A135,[2]Mssp!$A$5:$BE$1463,AT$4+1,0),0)</f>
        <v>0</v>
      </c>
      <c r="AU135" s="59">
        <f>IFERROR(VLOOKUP($A135,[2]Mssp!$A$5:$BE$1463,AU$4+1,0),0)</f>
        <v>0</v>
      </c>
      <c r="AV135" s="59">
        <f>IFERROR(VLOOKUP($A135,[2]Mssp!$A$5:$BE$1463,AV$4+1,0),0)</f>
        <v>0</v>
      </c>
      <c r="AW135" s="59">
        <f>IFERROR(VLOOKUP($A135,[2]Mssp!$A$5:$BE$1463,AW$4+1,0),0)</f>
        <v>0</v>
      </c>
      <c r="AX135" s="59">
        <f>IFERROR(VLOOKUP($A135,[2]Mssp!$A$5:$BE$1463,AX$4+1,0),0)</f>
        <v>0</v>
      </c>
      <c r="AY135" s="59" t="str">
        <f>IFERROR(VLOOKUP($A135,[2]Mssp!$A$5:$BE$1463,AY$4+2,0),0)</f>
        <v>440x870</v>
      </c>
      <c r="AZ135" s="59" t="str">
        <f>IFERROR(VLOOKUP($A135,[2]Mssp!$A$5:$BE$1463,AZ$4+2,0),0)</f>
        <v>N1</v>
      </c>
      <c r="BA135" s="60">
        <v>800</v>
      </c>
      <c r="BB135" s="61" t="s">
        <v>251</v>
      </c>
      <c r="BC135" s="62"/>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c r="CP135" s="9"/>
    </row>
    <row r="136" spans="1:94" ht="45" x14ac:dyDescent="0.25">
      <c r="A136" s="50" t="s">
        <v>566</v>
      </c>
      <c r="B136" s="73" t="s">
        <v>567</v>
      </c>
      <c r="C136" s="50">
        <f t="shared" si="3"/>
        <v>7.1</v>
      </c>
      <c r="D136" s="58">
        <v>1</v>
      </c>
      <c r="E136" s="58" t="s">
        <v>568</v>
      </c>
      <c r="F136" s="58">
        <v>8</v>
      </c>
      <c r="G136" s="50" t="s">
        <v>56</v>
      </c>
      <c r="H136" s="50">
        <f>VLOOKUP($A136,'[1]ma sp 02'!$A$5:$BD$1101,H$1,0)</f>
        <v>0.04</v>
      </c>
      <c r="I136" s="50">
        <f>VLOOKUP($A136,'[1]ma sp 02'!$A$5:$BD$1101,I$1,0)</f>
        <v>2.91</v>
      </c>
      <c r="J136" s="50">
        <f>VLOOKUP($A136,'[1]ma sp 02'!$A$5:$BD$1101,J$1,0)</f>
        <v>0.03</v>
      </c>
      <c r="K136" s="50">
        <f>VLOOKUP($A136,'[1]ma sp 02'!$A$5:$BD$1101,K$1,0)</f>
        <v>0.47</v>
      </c>
      <c r="L136" s="50">
        <f>VLOOKUP($A136,'[1]ma sp 02'!$A$5:$BD$1101,L$1,0)</f>
        <v>2.97</v>
      </c>
      <c r="M136" s="50">
        <f>VLOOKUP($A136,'[1]ma sp 02'!$A$5:$BD$1101,M$1,0)</f>
        <v>0.66</v>
      </c>
      <c r="N136" s="50">
        <f>VLOOKUP($A136,'[1]ma sp 02'!$A$5:$BD$1101,N$1,0)</f>
        <v>0</v>
      </c>
      <c r="O136" s="50">
        <f>VLOOKUP($A136,'[1]ma sp 02'!$A$5:$BD$1101,O$1,0)</f>
        <v>0</v>
      </c>
      <c r="P136" s="50">
        <f>VLOOKUP($A136,'[1]ma sp 02'!$A$5:$BD$1101,P$1,0)</f>
        <v>0</v>
      </c>
      <c r="Q136" s="50">
        <f>VLOOKUP($A136,'[1]ma sp 02'!$A$5:$BD$1101,Q$1,0)</f>
        <v>0.01</v>
      </c>
      <c r="R136" s="50">
        <f>VLOOKUP($A136,'[1]ma sp 02'!$A$5:$BD$1101,R$1,0)</f>
        <v>0.01</v>
      </c>
      <c r="S136" s="50">
        <f>VLOOKUP($A136,'[1]ma sp 02'!$A$5:$BD$1101,S$1,0)</f>
        <v>0</v>
      </c>
      <c r="T136" s="50">
        <f>VLOOKUP($A136,'[1]ma sp 02'!$A$5:$BD$1101,T$1,0)</f>
        <v>0</v>
      </c>
      <c r="U136" s="50">
        <f>VLOOKUP($A136,'[1]ma sp 02'!$A$5:$BD$1101,U$1,0)</f>
        <v>0</v>
      </c>
      <c r="V136" s="50">
        <f>VLOOKUP($A136,'[1]ma sp 02'!$A$5:$BD$1101,V$1,0)</f>
        <v>0</v>
      </c>
      <c r="W136" s="50">
        <f>VLOOKUP($A136,'[1]ma sp 02'!$A$5:$BD$1101,W$1,0)</f>
        <v>0</v>
      </c>
      <c r="X136" s="50">
        <f t="shared" ref="X136:X199" si="4">COUNTIF(H136:W136, "&gt;0")</f>
        <v>8</v>
      </c>
      <c r="Y136" s="57"/>
      <c r="Z136" s="57"/>
      <c r="AA136" s="57"/>
      <c r="AB136" s="57"/>
      <c r="AC136" s="57"/>
      <c r="AD136" s="57"/>
      <c r="AE136" s="58" t="s">
        <v>569</v>
      </c>
      <c r="AF136" s="57"/>
      <c r="AG136" s="82">
        <f>+(0.02*0.91+0.055*0.925)*0.55</f>
        <v>3.7991250000000004E-2</v>
      </c>
      <c r="AH136" s="55">
        <f>(0.0023*0.54*3)/(10*0.3)*1000</f>
        <v>1.242</v>
      </c>
      <c r="AI136" s="57"/>
      <c r="AJ136" s="58">
        <v>9530</v>
      </c>
      <c r="AK136" s="58"/>
      <c r="AL136" s="58">
        <v>2.3E-2</v>
      </c>
      <c r="AM136" s="52" t="s">
        <v>74</v>
      </c>
      <c r="AN136" s="58">
        <v>300</v>
      </c>
      <c r="AO136" s="52" t="s">
        <v>61</v>
      </c>
      <c r="AP136" s="59" t="str">
        <f>IFERROR(VLOOKUP($A136,[2]Mssp!$A$5:$BE$1463,AP$4+1,0),0)</f>
        <v>20110743-1</v>
      </c>
      <c r="AQ136" s="59" t="str">
        <f>IFERROR(VLOOKUP($A136,[2]Mssp!$A$5:$BE$1463,AQ$4+1,0),0)</f>
        <v>21040239-2</v>
      </c>
      <c r="AR136" s="59" t="str">
        <f>IFERROR(VLOOKUP($A136,[2]Mssp!$A$5:$BE$1463,AR$4+1,0),0)</f>
        <v>1905795-3</v>
      </c>
      <c r="AS136" s="59" t="str">
        <f>IFERROR(VLOOKUP($A136,[2]Mssp!$A$5:$BE$1463,AS$4+1,0),0)</f>
        <v>20110743-4</v>
      </c>
      <c r="AT136" s="59" t="str">
        <f>IFERROR(VLOOKUP($A136,[2]Mssp!$A$5:$BE$1463,AT$4+1,0),0)</f>
        <v>1902138-5</v>
      </c>
      <c r="AU136" s="59" t="str">
        <f>IFERROR(VLOOKUP($A136,[2]Mssp!$A$5:$BE$1463,AU$4+1,0),0)</f>
        <v>1902138-6</v>
      </c>
      <c r="AV136" s="59" t="str">
        <f>IFERROR(VLOOKUP($A136,[2]Mssp!$A$5:$BE$1463,AV$4+1,0),0)</f>
        <v>21090187-7</v>
      </c>
      <c r="AW136" s="59">
        <f>IFERROR(VLOOKUP($A136,[2]Mssp!$A$5:$BE$1463,AW$4+1,0),0)</f>
        <v>0</v>
      </c>
      <c r="AX136" s="59">
        <f>IFERROR(VLOOKUP($A136,[2]Mssp!$A$5:$BE$1463,AX$4+1,0),0)</f>
        <v>0</v>
      </c>
      <c r="AY136" s="59" t="str">
        <f>IFERROR(VLOOKUP($A136,[2]Mssp!$A$5:$BE$1463,AY$4+2,0),0)</f>
        <v>600x750</v>
      </c>
      <c r="AZ136" s="59" t="str">
        <f>IFERROR(VLOOKUP($A136,[2]Mssp!$A$5:$BE$1463,AZ$4+2,0),0)</f>
        <v>C1</v>
      </c>
      <c r="BA136" s="60">
        <v>2500</v>
      </c>
      <c r="BB136" s="61" t="s">
        <v>62</v>
      </c>
      <c r="BC136" s="62"/>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c r="CP136" s="9"/>
    </row>
    <row r="137" spans="1:94" ht="45" x14ac:dyDescent="0.25">
      <c r="A137" s="50" t="s">
        <v>570</v>
      </c>
      <c r="B137" s="73" t="s">
        <v>571</v>
      </c>
      <c r="C137" s="50">
        <f t="shared" si="3"/>
        <v>0</v>
      </c>
      <c r="D137" s="57">
        <v>2</v>
      </c>
      <c r="E137" s="58" t="s">
        <v>331</v>
      </c>
      <c r="F137" s="58">
        <v>7</v>
      </c>
      <c r="G137" s="50" t="s">
        <v>114</v>
      </c>
      <c r="H137" s="50">
        <f>VLOOKUP($A137,'[1]ma sp 02'!$A$5:$BD$1101,H$1,0)</f>
        <v>0</v>
      </c>
      <c r="I137" s="50">
        <f>VLOOKUP($A137,'[1]ma sp 02'!$A$5:$BD$1101,I$1,0)</f>
        <v>0</v>
      </c>
      <c r="J137" s="50">
        <f>VLOOKUP($A137,'[1]ma sp 02'!$A$5:$BD$1101,J$1,0)</f>
        <v>0</v>
      </c>
      <c r="K137" s="50">
        <f>VLOOKUP($A137,'[1]ma sp 02'!$A$5:$BD$1101,K$1,0)</f>
        <v>0</v>
      </c>
      <c r="L137" s="50">
        <f>VLOOKUP($A137,'[1]ma sp 02'!$A$5:$BD$1101,L$1,0)</f>
        <v>0</v>
      </c>
      <c r="M137" s="50">
        <f>VLOOKUP($A137,'[1]ma sp 02'!$A$5:$BD$1101,M$1,0)</f>
        <v>0</v>
      </c>
      <c r="N137" s="50">
        <f>VLOOKUP($A137,'[1]ma sp 02'!$A$5:$BD$1101,N$1,0)</f>
        <v>0</v>
      </c>
      <c r="O137" s="50">
        <f>VLOOKUP($A137,'[1]ma sp 02'!$A$5:$BD$1101,O$1,0)</f>
        <v>0</v>
      </c>
      <c r="P137" s="50">
        <f>VLOOKUP($A137,'[1]ma sp 02'!$A$5:$BD$1101,P$1,0)</f>
        <v>0</v>
      </c>
      <c r="Q137" s="50">
        <f>VLOOKUP($A137,'[1]ma sp 02'!$A$5:$BD$1101,Q$1,0)</f>
        <v>0</v>
      </c>
      <c r="R137" s="50">
        <f>VLOOKUP($A137,'[1]ma sp 02'!$A$5:$BD$1101,R$1,0)</f>
        <v>0</v>
      </c>
      <c r="S137" s="50">
        <f>VLOOKUP($A137,'[1]ma sp 02'!$A$5:$BD$1101,S$1,0)</f>
        <v>0</v>
      </c>
      <c r="T137" s="50">
        <f>VLOOKUP($A137,'[1]ma sp 02'!$A$5:$BD$1101,T$1,0)</f>
        <v>0</v>
      </c>
      <c r="U137" s="50">
        <f>VLOOKUP($A137,'[1]ma sp 02'!$A$5:$BD$1101,U$1,0)</f>
        <v>0</v>
      </c>
      <c r="V137" s="50">
        <f>VLOOKUP($A137,'[1]ma sp 02'!$A$5:$BD$1101,V$1,0)</f>
        <v>0</v>
      </c>
      <c r="W137" s="50">
        <f>VLOOKUP($A137,'[1]ma sp 02'!$A$5:$BD$1101,W$1,0)</f>
        <v>0</v>
      </c>
      <c r="X137" s="50">
        <f t="shared" si="4"/>
        <v>0</v>
      </c>
      <c r="Y137" s="57"/>
      <c r="Z137" s="57"/>
      <c r="AA137" s="57"/>
      <c r="AB137" s="57"/>
      <c r="AC137" s="57"/>
      <c r="AD137" s="57"/>
      <c r="AE137" s="52" t="s">
        <v>57</v>
      </c>
      <c r="AF137" s="52" t="s">
        <v>572</v>
      </c>
      <c r="AG137" s="87">
        <f>(0.012*1.4+0.012*1.4+0.075*0.925)*0.7</f>
        <v>7.2082500000000008E-2</v>
      </c>
      <c r="AH137" s="91">
        <f>(2.3/0.75/2)*0.69</f>
        <v>1.0579999999999998</v>
      </c>
      <c r="AI137" s="91">
        <f>(2.3/0.75/2)*0.69</f>
        <v>1.0579999999999998</v>
      </c>
      <c r="AJ137" s="58">
        <v>9530</v>
      </c>
      <c r="AK137" s="58">
        <v>9530</v>
      </c>
      <c r="AL137" s="58" t="s">
        <v>354</v>
      </c>
      <c r="AM137" s="52" t="s">
        <v>74</v>
      </c>
      <c r="AN137" s="57">
        <v>120</v>
      </c>
      <c r="AO137" s="52" t="s">
        <v>464</v>
      </c>
      <c r="AP137" s="59" t="str">
        <f>IFERROR(VLOOKUP($A137,[2]Mssp!$A$5:$BE$1463,AP$4+1,0),0)</f>
        <v>1601834-1</v>
      </c>
      <c r="AQ137" s="59" t="str">
        <f>IFERROR(VLOOKUP($A137,[2]Mssp!$A$5:$BE$1463,AQ$4+1,0),0)</f>
        <v>1601834-2</v>
      </c>
      <c r="AR137" s="59" t="str">
        <f>IFERROR(VLOOKUP($A137,[2]Mssp!$A$5:$BE$1463,AR$4+1,0),0)</f>
        <v>1601834-3</v>
      </c>
      <c r="AS137" s="59" t="str">
        <f>IFERROR(VLOOKUP($A137,[2]Mssp!$A$5:$BE$1463,AS$4+1,0),0)</f>
        <v>1601834-4</v>
      </c>
      <c r="AT137" s="59" t="str">
        <f>IFERROR(VLOOKUP($A137,[2]Mssp!$A$5:$BE$1463,AT$4+1,0),0)</f>
        <v>1601834-5</v>
      </c>
      <c r="AU137" s="59" t="str">
        <f>IFERROR(VLOOKUP($A137,[2]Mssp!$A$5:$BE$1463,AU$4+1,0),0)</f>
        <v>1601834-6</v>
      </c>
      <c r="AV137" s="59" t="str">
        <f>IFERROR(VLOOKUP($A137,[2]Mssp!$A$5:$BE$1463,AV$4+1,0),0)</f>
        <v>1601834-7</v>
      </c>
      <c r="AW137" s="59">
        <f>IFERROR(VLOOKUP($A137,[2]Mssp!$A$5:$BE$1463,AW$4+1,0),0)</f>
        <v>0</v>
      </c>
      <c r="AX137" s="59">
        <f>IFERROR(VLOOKUP($A137,[2]Mssp!$A$5:$BE$1463,AX$4+1,0),0)</f>
        <v>0</v>
      </c>
      <c r="AY137" s="59">
        <f>IFERROR(VLOOKUP($A137,[2]Mssp!$A$5:$BE$1463,AY$4+2,0),0)</f>
        <v>0</v>
      </c>
      <c r="AZ137" s="59" t="str">
        <f>IFERROR(VLOOKUP($A137,[2]Mssp!$A$5:$BE$1463,AZ$4+2,0),0)</f>
        <v>N3</v>
      </c>
      <c r="BA137" s="60"/>
      <c r="BB137" s="61" t="s">
        <v>62</v>
      </c>
      <c r="BC137" s="62"/>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row>
    <row r="138" spans="1:94" ht="45" x14ac:dyDescent="0.25">
      <c r="A138" s="50" t="s">
        <v>573</v>
      </c>
      <c r="B138" s="73" t="s">
        <v>574</v>
      </c>
      <c r="C138" s="50">
        <f t="shared" si="3"/>
        <v>9.1999999999999993</v>
      </c>
      <c r="D138" s="58">
        <v>2</v>
      </c>
      <c r="E138" s="58" t="s">
        <v>135</v>
      </c>
      <c r="F138" s="58">
        <v>3</v>
      </c>
      <c r="G138" s="50" t="s">
        <v>184</v>
      </c>
      <c r="H138" s="50">
        <f>VLOOKUP($A138,'[1]ma sp 02'!$A$5:$BD$1101,H$1,0)</f>
        <v>0.25</v>
      </c>
      <c r="I138" s="50">
        <f>VLOOKUP($A138,'[1]ma sp 02'!$A$5:$BD$1101,I$1,0)</f>
        <v>0</v>
      </c>
      <c r="J138" s="50">
        <f>VLOOKUP($A138,'[1]ma sp 02'!$A$5:$BD$1101,J$1,0)</f>
        <v>0</v>
      </c>
      <c r="K138" s="50">
        <f>VLOOKUP($A138,'[1]ma sp 02'!$A$5:$BD$1101,K$1,0)</f>
        <v>0</v>
      </c>
      <c r="L138" s="50">
        <f>VLOOKUP($A138,'[1]ma sp 02'!$A$5:$BD$1101,L$1,0)</f>
        <v>5</v>
      </c>
      <c r="M138" s="50">
        <f>VLOOKUP($A138,'[1]ma sp 02'!$A$5:$BD$1101,M$1,0)</f>
        <v>2</v>
      </c>
      <c r="N138" s="50">
        <f>VLOOKUP($A138,'[1]ma sp 02'!$A$5:$BD$1101,N$1,0)</f>
        <v>0</v>
      </c>
      <c r="O138" s="50">
        <f>VLOOKUP($A138,'[1]ma sp 02'!$A$5:$BD$1101,O$1,0)</f>
        <v>0</v>
      </c>
      <c r="P138" s="50">
        <f>VLOOKUP($A138,'[1]ma sp 02'!$A$5:$BD$1101,P$1,0)</f>
        <v>1.94</v>
      </c>
      <c r="Q138" s="50">
        <f>VLOOKUP($A138,'[1]ma sp 02'!$A$5:$BD$1101,Q$1,0)</f>
        <v>0.01</v>
      </c>
      <c r="R138" s="50">
        <f>VLOOKUP($A138,'[1]ma sp 02'!$A$5:$BD$1101,R$1,0)</f>
        <v>0</v>
      </c>
      <c r="S138" s="50">
        <f>VLOOKUP($A138,'[1]ma sp 02'!$A$5:$BD$1101,S$1,0)</f>
        <v>0</v>
      </c>
      <c r="T138" s="50">
        <f>VLOOKUP($A138,'[1]ma sp 02'!$A$5:$BD$1101,T$1,0)</f>
        <v>0</v>
      </c>
      <c r="U138" s="50">
        <f>VLOOKUP($A138,'[1]ma sp 02'!$A$5:$BD$1101,U$1,0)</f>
        <v>0</v>
      </c>
      <c r="V138" s="50">
        <f>VLOOKUP($A138,'[1]ma sp 02'!$A$5:$BD$1101,V$1,0)</f>
        <v>0</v>
      </c>
      <c r="W138" s="50">
        <f>VLOOKUP($A138,'[1]ma sp 02'!$A$5:$BD$1101,W$1,0)</f>
        <v>0</v>
      </c>
      <c r="X138" s="50">
        <f t="shared" si="4"/>
        <v>5</v>
      </c>
      <c r="Y138" s="57"/>
      <c r="Z138" s="57"/>
      <c r="AA138" s="57"/>
      <c r="AB138" s="57"/>
      <c r="AC138" s="57"/>
      <c r="AD138" s="57"/>
      <c r="AE138" s="52" t="s">
        <v>575</v>
      </c>
      <c r="AF138" s="52" t="s">
        <v>576</v>
      </c>
      <c r="AG138" s="87">
        <f>(0.02*0.91+0.006*2.71+0.075*0.925)*0.68</f>
        <v>7.0607800000000012E-2</v>
      </c>
      <c r="AH138" s="91">
        <f>(2.3/0.75/2)*0.67</f>
        <v>1.0273333333333332</v>
      </c>
      <c r="AI138" s="91">
        <f>(2.3/0.75/2)*0.67</f>
        <v>1.0273333333333332</v>
      </c>
      <c r="AJ138" s="58">
        <v>9530</v>
      </c>
      <c r="AK138" s="58">
        <v>9530</v>
      </c>
      <c r="AL138" s="58" t="s">
        <v>354</v>
      </c>
      <c r="AM138" s="52" t="s">
        <v>74</v>
      </c>
      <c r="AN138" s="57">
        <v>130</v>
      </c>
      <c r="AO138" s="52" t="s">
        <v>75</v>
      </c>
      <c r="AP138" s="59" t="str">
        <f>IFERROR(VLOOKUP($A138,[2]Mssp!$A$5:$BE$1463,AP$4+1,0),0)</f>
        <v>1602031-1</v>
      </c>
      <c r="AQ138" s="59" t="str">
        <f>IFERROR(VLOOKUP($A138,[2]Mssp!$A$5:$BE$1463,AQ$4+1,0),0)</f>
        <v>1602031-2</v>
      </c>
      <c r="AR138" s="59" t="str">
        <f>IFERROR(VLOOKUP($A138,[2]Mssp!$A$5:$BE$1463,AR$4+1,0),0)</f>
        <v>1602031-3</v>
      </c>
      <c r="AS138" s="59">
        <f>IFERROR(VLOOKUP($A138,[2]Mssp!$A$5:$BE$1463,AS$4+1,0),0)</f>
        <v>0</v>
      </c>
      <c r="AT138" s="59">
        <f>IFERROR(VLOOKUP($A138,[2]Mssp!$A$5:$BE$1463,AT$4+1,0),0)</f>
        <v>0</v>
      </c>
      <c r="AU138" s="59">
        <f>IFERROR(VLOOKUP($A138,[2]Mssp!$A$5:$BE$1463,AU$4+1,0),0)</f>
        <v>0</v>
      </c>
      <c r="AV138" s="59">
        <f>IFERROR(VLOOKUP($A138,[2]Mssp!$A$5:$BE$1463,AV$4+1,0),0)</f>
        <v>0</v>
      </c>
      <c r="AW138" s="59">
        <f>IFERROR(VLOOKUP($A138,[2]Mssp!$A$5:$BE$1463,AW$4+1,0),0)</f>
        <v>0</v>
      </c>
      <c r="AX138" s="59">
        <f>IFERROR(VLOOKUP($A138,[2]Mssp!$A$5:$BE$1463,AX$4+1,0),0)</f>
        <v>0</v>
      </c>
      <c r="AY138" s="59" t="str">
        <f>IFERROR(VLOOKUP($A138,[2]Mssp!$A$5:$BE$1463,AY$4+2,0),0)</f>
        <v>520x750</v>
      </c>
      <c r="AZ138" s="59" t="str">
        <f>IFERROR(VLOOKUP($A138,[2]Mssp!$A$5:$BE$1463,AZ$4+2,0),0)</f>
        <v>N3</v>
      </c>
      <c r="BA138" s="60"/>
      <c r="BB138" s="61" t="s">
        <v>62</v>
      </c>
      <c r="BC138" s="62"/>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c r="CP138" s="9"/>
    </row>
    <row r="139" spans="1:94" ht="75" x14ac:dyDescent="0.25">
      <c r="A139" s="50" t="s">
        <v>577</v>
      </c>
      <c r="B139" s="73" t="s">
        <v>578</v>
      </c>
      <c r="C139" s="50">
        <f t="shared" si="3"/>
        <v>5.0999999999999996</v>
      </c>
      <c r="D139" s="58">
        <v>2</v>
      </c>
      <c r="E139" s="58" t="s">
        <v>269</v>
      </c>
      <c r="F139" s="58">
        <v>3</v>
      </c>
      <c r="G139" s="50" t="s">
        <v>184</v>
      </c>
      <c r="H139" s="50">
        <f>VLOOKUP($A139,'[1]ma sp 02'!$A$5:$BD$1101,H$1,0)</f>
        <v>0</v>
      </c>
      <c r="I139" s="50">
        <f>VLOOKUP($A139,'[1]ma sp 02'!$A$5:$BD$1101,I$1,0)</f>
        <v>3.4</v>
      </c>
      <c r="J139" s="50">
        <f>VLOOKUP($A139,'[1]ma sp 02'!$A$5:$BD$1101,J$1,0)</f>
        <v>0</v>
      </c>
      <c r="K139" s="50">
        <f>VLOOKUP($A139,'[1]ma sp 02'!$A$5:$BD$1101,K$1,0)</f>
        <v>0</v>
      </c>
      <c r="L139" s="50">
        <f>VLOOKUP($A139,'[1]ma sp 02'!$A$5:$BD$1101,L$1,0)</f>
        <v>0.9</v>
      </c>
      <c r="M139" s="50">
        <f>VLOOKUP($A139,'[1]ma sp 02'!$A$5:$BD$1101,M$1,0)</f>
        <v>0</v>
      </c>
      <c r="N139" s="50">
        <f>VLOOKUP($A139,'[1]ma sp 02'!$A$5:$BD$1101,N$1,0)</f>
        <v>0</v>
      </c>
      <c r="O139" s="50">
        <f>VLOOKUP($A139,'[1]ma sp 02'!$A$5:$BD$1101,O$1,0)</f>
        <v>0</v>
      </c>
      <c r="P139" s="50">
        <f>VLOOKUP($A139,'[1]ma sp 02'!$A$5:$BD$1101,P$1,0)</f>
        <v>0</v>
      </c>
      <c r="Q139" s="50">
        <f>VLOOKUP($A139,'[1]ma sp 02'!$A$5:$BD$1101,Q$1,0)</f>
        <v>0.1</v>
      </c>
      <c r="R139" s="50">
        <f>VLOOKUP($A139,'[1]ma sp 02'!$A$5:$BD$1101,R$1,0)</f>
        <v>0.7</v>
      </c>
      <c r="S139" s="50">
        <f>VLOOKUP($A139,'[1]ma sp 02'!$A$5:$BD$1101,S$1,0)</f>
        <v>0</v>
      </c>
      <c r="T139" s="50">
        <f>VLOOKUP($A139,'[1]ma sp 02'!$A$5:$BD$1101,T$1,0)</f>
        <v>0</v>
      </c>
      <c r="U139" s="50">
        <f>VLOOKUP($A139,'[1]ma sp 02'!$A$5:$BD$1101,U$1,0)</f>
        <v>0</v>
      </c>
      <c r="V139" s="50">
        <f>VLOOKUP($A139,'[1]ma sp 02'!$A$5:$BD$1101,V$1,0)</f>
        <v>0</v>
      </c>
      <c r="W139" s="50">
        <f>VLOOKUP($A139,'[1]ma sp 02'!$A$5:$BD$1101,W$1,0)</f>
        <v>0</v>
      </c>
      <c r="X139" s="50">
        <f t="shared" si="4"/>
        <v>4</v>
      </c>
      <c r="Y139" s="57"/>
      <c r="Z139" s="57"/>
      <c r="AA139" s="57"/>
      <c r="AB139" s="57"/>
      <c r="AC139" s="57"/>
      <c r="AD139" s="57"/>
      <c r="AE139" s="52" t="s">
        <v>579</v>
      </c>
      <c r="AF139" s="52" t="s">
        <v>580</v>
      </c>
      <c r="AG139" s="87">
        <f>(0.02*0.91+0.006*2.71+0.075*0.925)*0.72</f>
        <v>7.47612E-2</v>
      </c>
      <c r="AH139" s="91">
        <f>(2.3/0.75/2)*0.71</f>
        <v>1.0886666666666664</v>
      </c>
      <c r="AI139" s="91">
        <f>(2.3/0.75/2)*0.71</f>
        <v>1.0886666666666664</v>
      </c>
      <c r="AJ139" s="58">
        <v>9530</v>
      </c>
      <c r="AK139" s="58">
        <v>9530</v>
      </c>
      <c r="AL139" s="58" t="s">
        <v>354</v>
      </c>
      <c r="AM139" s="52" t="s">
        <v>74</v>
      </c>
      <c r="AN139" s="57">
        <v>150</v>
      </c>
      <c r="AO139" s="52" t="s">
        <v>75</v>
      </c>
      <c r="AP139" s="59">
        <f>IFERROR(VLOOKUP($A139,[2]Mssp!$A$5:$BE$1463,AP$4+1,0),0)</f>
        <v>0</v>
      </c>
      <c r="AQ139" s="59">
        <f>IFERROR(VLOOKUP($A139,[2]Mssp!$A$5:$BE$1463,AQ$4+1,0),0)</f>
        <v>0</v>
      </c>
      <c r="AR139" s="59">
        <f>IFERROR(VLOOKUP($A139,[2]Mssp!$A$5:$BE$1463,AR$4+1,0),0)</f>
        <v>0</v>
      </c>
      <c r="AS139" s="59">
        <f>IFERROR(VLOOKUP($A139,[2]Mssp!$A$5:$BE$1463,AS$4+1,0),0)</f>
        <v>0</v>
      </c>
      <c r="AT139" s="59">
        <f>IFERROR(VLOOKUP($A139,[2]Mssp!$A$5:$BE$1463,AT$4+1,0),0)</f>
        <v>0</v>
      </c>
      <c r="AU139" s="59">
        <f>IFERROR(VLOOKUP($A139,[2]Mssp!$A$5:$BE$1463,AU$4+1,0),0)</f>
        <v>0</v>
      </c>
      <c r="AV139" s="59">
        <f>IFERROR(VLOOKUP($A139,[2]Mssp!$A$5:$BE$1463,AV$4+1,0),0)</f>
        <v>0</v>
      </c>
      <c r="AW139" s="59">
        <f>IFERROR(VLOOKUP($A139,[2]Mssp!$A$5:$BE$1463,AW$4+1,0),0)</f>
        <v>0</v>
      </c>
      <c r="AX139" s="59">
        <f>IFERROR(VLOOKUP($A139,[2]Mssp!$A$5:$BE$1463,AX$4+1,0),0)</f>
        <v>0</v>
      </c>
      <c r="AY139" s="59">
        <f>IFERROR(VLOOKUP($A139,[2]Mssp!$A$5:$BE$1463,AY$4+2,0),0)</f>
        <v>0</v>
      </c>
      <c r="AZ139" s="59">
        <f>IFERROR(VLOOKUP($A139,[2]Mssp!$A$5:$BE$1463,AZ$4+2,0),0)</f>
        <v>0</v>
      </c>
      <c r="BA139" s="60">
        <v>7000</v>
      </c>
      <c r="BB139" s="61" t="s">
        <v>544</v>
      </c>
      <c r="BC139" s="62"/>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c r="CK139" s="9"/>
      <c r="CL139" s="9"/>
      <c r="CM139" s="9"/>
      <c r="CN139" s="9"/>
      <c r="CO139" s="9"/>
      <c r="CP139" s="9"/>
    </row>
    <row r="140" spans="1:94" ht="60" x14ac:dyDescent="0.25">
      <c r="A140" s="50" t="s">
        <v>581</v>
      </c>
      <c r="B140" s="73" t="s">
        <v>582</v>
      </c>
      <c r="C140" s="50">
        <f t="shared" si="3"/>
        <v>2.2000000000000002</v>
      </c>
      <c r="D140" s="58">
        <v>4</v>
      </c>
      <c r="E140" s="58" t="s">
        <v>90</v>
      </c>
      <c r="F140" s="58">
        <v>2</v>
      </c>
      <c r="G140" s="50" t="s">
        <v>184</v>
      </c>
      <c r="H140" s="50">
        <f>VLOOKUP($A140,'[1]ma sp 02'!$A$5:$BD$1101,H$1,0)</f>
        <v>0</v>
      </c>
      <c r="I140" s="50">
        <f>VLOOKUP($A140,'[1]ma sp 02'!$A$5:$BD$1101,I$1,0)</f>
        <v>0</v>
      </c>
      <c r="J140" s="50">
        <f>VLOOKUP($A140,'[1]ma sp 02'!$A$5:$BD$1101,J$1,0)</f>
        <v>0</v>
      </c>
      <c r="K140" s="50">
        <f>VLOOKUP($A140,'[1]ma sp 02'!$A$5:$BD$1101,K$1,0)</f>
        <v>0</v>
      </c>
      <c r="L140" s="50">
        <f>VLOOKUP($A140,'[1]ma sp 02'!$A$5:$BD$1101,L$1,0)</f>
        <v>0</v>
      </c>
      <c r="M140" s="50">
        <f>VLOOKUP($A140,'[1]ma sp 02'!$A$5:$BD$1101,M$1,0)</f>
        <v>0</v>
      </c>
      <c r="N140" s="50">
        <f>VLOOKUP($A140,'[1]ma sp 02'!$A$5:$BD$1101,N$1,0)</f>
        <v>0</v>
      </c>
      <c r="O140" s="50">
        <f>VLOOKUP($A140,'[1]ma sp 02'!$A$5:$BD$1101,O$1,0)</f>
        <v>0</v>
      </c>
      <c r="P140" s="50">
        <f>VLOOKUP($A140,'[1]ma sp 02'!$A$5:$BD$1101,P$1,0)</f>
        <v>1.1000000000000001</v>
      </c>
      <c r="Q140" s="50">
        <f>VLOOKUP($A140,'[1]ma sp 02'!$A$5:$BD$1101,Q$1,0)</f>
        <v>0</v>
      </c>
      <c r="R140" s="50">
        <f>VLOOKUP($A140,'[1]ma sp 02'!$A$5:$BD$1101,R$1,0)</f>
        <v>1.1000000000000001</v>
      </c>
      <c r="S140" s="50">
        <f>VLOOKUP($A140,'[1]ma sp 02'!$A$5:$BD$1101,S$1,0)</f>
        <v>0</v>
      </c>
      <c r="T140" s="50">
        <f>VLOOKUP($A140,'[1]ma sp 02'!$A$5:$BD$1101,T$1,0)</f>
        <v>0</v>
      </c>
      <c r="U140" s="50">
        <f>VLOOKUP($A140,'[1]ma sp 02'!$A$5:$BD$1101,U$1,0)</f>
        <v>0</v>
      </c>
      <c r="V140" s="50">
        <f>VLOOKUP($A140,'[1]ma sp 02'!$A$5:$BD$1101,V$1,0)</f>
        <v>0</v>
      </c>
      <c r="W140" s="50">
        <f>VLOOKUP($A140,'[1]ma sp 02'!$A$5:$BD$1101,W$1,0)</f>
        <v>0</v>
      </c>
      <c r="X140" s="50">
        <f t="shared" si="4"/>
        <v>2</v>
      </c>
      <c r="Y140" s="57"/>
      <c r="Z140" s="57"/>
      <c r="AA140" s="57"/>
      <c r="AB140" s="57"/>
      <c r="AC140" s="57"/>
      <c r="AD140" s="57"/>
      <c r="AE140" s="52" t="s">
        <v>583</v>
      </c>
      <c r="AF140" s="52" t="s">
        <v>584</v>
      </c>
      <c r="AG140" s="87">
        <f>(0.02*0.91+0.006*2.71+0.075*0.925)*0.7</f>
        <v>7.2684499999999999E-2</v>
      </c>
      <c r="AH140" s="91">
        <f>(2.3/0.75/2)*0.69</f>
        <v>1.0579999999999998</v>
      </c>
      <c r="AI140" s="91">
        <f>(2.3/0.75/2)*0.69</f>
        <v>1.0579999999999998</v>
      </c>
      <c r="AJ140" s="58">
        <v>9530</v>
      </c>
      <c r="AK140" s="58">
        <v>9530</v>
      </c>
      <c r="AL140" s="58" t="s">
        <v>354</v>
      </c>
      <c r="AM140" s="52" t="s">
        <v>104</v>
      </c>
      <c r="AN140" s="58">
        <v>170</v>
      </c>
      <c r="AO140" s="52" t="s">
        <v>75</v>
      </c>
      <c r="AP140" s="59">
        <f>IFERROR(VLOOKUP($A140,[2]Mssp!$A$5:$BE$1463,AP$4+1,0),0)</f>
        <v>0</v>
      </c>
      <c r="AQ140" s="59">
        <f>IFERROR(VLOOKUP($A140,[2]Mssp!$A$5:$BE$1463,AQ$4+1,0),0)</f>
        <v>0</v>
      </c>
      <c r="AR140" s="59">
        <f>IFERROR(VLOOKUP($A140,[2]Mssp!$A$5:$BE$1463,AR$4+1,0),0)</f>
        <v>0</v>
      </c>
      <c r="AS140" s="59">
        <f>IFERROR(VLOOKUP($A140,[2]Mssp!$A$5:$BE$1463,AS$4+1,0),0)</f>
        <v>0</v>
      </c>
      <c r="AT140" s="59">
        <f>IFERROR(VLOOKUP($A140,[2]Mssp!$A$5:$BE$1463,AT$4+1,0),0)</f>
        <v>0</v>
      </c>
      <c r="AU140" s="59">
        <f>IFERROR(VLOOKUP($A140,[2]Mssp!$A$5:$BE$1463,AU$4+1,0),0)</f>
        <v>0</v>
      </c>
      <c r="AV140" s="59">
        <f>IFERROR(VLOOKUP($A140,[2]Mssp!$A$5:$BE$1463,AV$4+1,0),0)</f>
        <v>0</v>
      </c>
      <c r="AW140" s="59">
        <f>IFERROR(VLOOKUP($A140,[2]Mssp!$A$5:$BE$1463,AW$4+1,0),0)</f>
        <v>0</v>
      </c>
      <c r="AX140" s="59">
        <f>IFERROR(VLOOKUP($A140,[2]Mssp!$A$5:$BE$1463,AX$4+1,0),0)</f>
        <v>0</v>
      </c>
      <c r="AY140" s="59">
        <f>IFERROR(VLOOKUP($A140,[2]Mssp!$A$5:$BE$1463,AY$4+2,0),0)</f>
        <v>0</v>
      </c>
      <c r="AZ140" s="59">
        <f>IFERROR(VLOOKUP($A140,[2]Mssp!$A$5:$BE$1463,AZ$4+2,0),0)</f>
        <v>0</v>
      </c>
      <c r="BA140" s="60"/>
      <c r="BB140" s="61" t="s">
        <v>585</v>
      </c>
      <c r="BC140" s="62"/>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c r="CK140" s="9"/>
      <c r="CL140" s="9"/>
      <c r="CM140" s="9"/>
      <c r="CN140" s="9"/>
      <c r="CO140" s="9"/>
      <c r="CP140" s="9"/>
    </row>
    <row r="141" spans="1:94" ht="45" x14ac:dyDescent="0.25">
      <c r="A141" s="50" t="s">
        <v>586</v>
      </c>
      <c r="B141" s="73" t="s">
        <v>587</v>
      </c>
      <c r="C141" s="50">
        <f t="shared" ref="C141:C204" si="5">SUM(H141:W141)</f>
        <v>1.9</v>
      </c>
      <c r="D141" s="58">
        <v>2</v>
      </c>
      <c r="E141" s="58" t="s">
        <v>588</v>
      </c>
      <c r="F141" s="58">
        <v>1</v>
      </c>
      <c r="G141" s="50" t="s">
        <v>184</v>
      </c>
      <c r="H141" s="50">
        <f>VLOOKUP($A141,'[1]ma sp 02'!$A$5:$BD$1101,H$1,0)</f>
        <v>0</v>
      </c>
      <c r="I141" s="50">
        <f>VLOOKUP($A141,'[1]ma sp 02'!$A$5:$BD$1101,I$1,0)</f>
        <v>1.9</v>
      </c>
      <c r="J141" s="50">
        <f>VLOOKUP($A141,'[1]ma sp 02'!$A$5:$BD$1101,J$1,0)</f>
        <v>0</v>
      </c>
      <c r="K141" s="50">
        <f>VLOOKUP($A141,'[1]ma sp 02'!$A$5:$BD$1101,K$1,0)</f>
        <v>0</v>
      </c>
      <c r="L141" s="50">
        <f>VLOOKUP($A141,'[1]ma sp 02'!$A$5:$BD$1101,L$1,0)</f>
        <v>0</v>
      </c>
      <c r="M141" s="50">
        <f>VLOOKUP($A141,'[1]ma sp 02'!$A$5:$BD$1101,M$1,0)</f>
        <v>0</v>
      </c>
      <c r="N141" s="50">
        <f>VLOOKUP($A141,'[1]ma sp 02'!$A$5:$BD$1101,N$1,0)</f>
        <v>0</v>
      </c>
      <c r="O141" s="50">
        <f>VLOOKUP($A141,'[1]ma sp 02'!$A$5:$BD$1101,O$1,0)</f>
        <v>0</v>
      </c>
      <c r="P141" s="50">
        <f>VLOOKUP($A141,'[1]ma sp 02'!$A$5:$BD$1101,P$1,0)</f>
        <v>0</v>
      </c>
      <c r="Q141" s="50">
        <f>VLOOKUP($A141,'[1]ma sp 02'!$A$5:$BD$1101,Q$1,0)</f>
        <v>0</v>
      </c>
      <c r="R141" s="50">
        <f>VLOOKUP($A141,'[1]ma sp 02'!$A$5:$BD$1101,R$1,0)</f>
        <v>0</v>
      </c>
      <c r="S141" s="50">
        <f>VLOOKUP($A141,'[1]ma sp 02'!$A$5:$BD$1101,S$1,0)</f>
        <v>0</v>
      </c>
      <c r="T141" s="50">
        <f>VLOOKUP($A141,'[1]ma sp 02'!$A$5:$BD$1101,T$1,0)</f>
        <v>0</v>
      </c>
      <c r="U141" s="50">
        <f>VLOOKUP($A141,'[1]ma sp 02'!$A$5:$BD$1101,U$1,0)</f>
        <v>0</v>
      </c>
      <c r="V141" s="50">
        <f>VLOOKUP($A141,'[1]ma sp 02'!$A$5:$BD$1101,V$1,0)</f>
        <v>0</v>
      </c>
      <c r="W141" s="50">
        <f>VLOOKUP($A141,'[1]ma sp 02'!$A$5:$BD$1101,W$1,0)</f>
        <v>0</v>
      </c>
      <c r="X141" s="50">
        <f t="shared" si="4"/>
        <v>1</v>
      </c>
      <c r="Y141" s="57"/>
      <c r="Z141" s="57"/>
      <c r="AA141" s="57"/>
      <c r="AB141" s="57"/>
      <c r="AC141" s="57"/>
      <c r="AD141" s="57"/>
      <c r="AE141" s="58" t="s">
        <v>589</v>
      </c>
      <c r="AF141" s="57"/>
      <c r="AG141" s="82">
        <f>(0.02*0.91+0.02*0.91)*0.6</f>
        <v>2.1840000000000002E-2</v>
      </c>
      <c r="AH141" s="54">
        <f>(2/0.75/2)*0.59</f>
        <v>0.78666666666666663</v>
      </c>
      <c r="AI141" s="57"/>
      <c r="AJ141" s="58">
        <v>9530</v>
      </c>
      <c r="AK141" s="58"/>
      <c r="AL141" s="58">
        <v>2E-3</v>
      </c>
      <c r="AM141" s="52" t="s">
        <v>142</v>
      </c>
      <c r="AN141" s="57">
        <v>290</v>
      </c>
      <c r="AO141" s="52" t="s">
        <v>180</v>
      </c>
      <c r="AP141" s="59" t="str">
        <f>IFERROR(VLOOKUP($A141,[2]Mssp!$A$5:$BE$1463,AP$4+1,0),0)</f>
        <v>1603030-1</v>
      </c>
      <c r="AQ141" s="59">
        <f>IFERROR(VLOOKUP($A141,[2]Mssp!$A$5:$BE$1463,AQ$4+1,0),0)</f>
        <v>0</v>
      </c>
      <c r="AR141" s="59">
        <f>IFERROR(VLOOKUP($A141,[2]Mssp!$A$5:$BE$1463,AR$4+1,0),0)</f>
        <v>0</v>
      </c>
      <c r="AS141" s="59">
        <f>IFERROR(VLOOKUP($A141,[2]Mssp!$A$5:$BE$1463,AS$4+1,0),0)</f>
        <v>0</v>
      </c>
      <c r="AT141" s="59">
        <f>IFERROR(VLOOKUP($A141,[2]Mssp!$A$5:$BE$1463,AT$4+1,0),0)</f>
        <v>0</v>
      </c>
      <c r="AU141" s="59">
        <f>IFERROR(VLOOKUP($A141,[2]Mssp!$A$5:$BE$1463,AU$4+1,0),0)</f>
        <v>0</v>
      </c>
      <c r="AV141" s="59">
        <f>IFERROR(VLOOKUP($A141,[2]Mssp!$A$5:$BE$1463,AV$4+1,0),0)</f>
        <v>0</v>
      </c>
      <c r="AW141" s="59">
        <f>IFERROR(VLOOKUP($A141,[2]Mssp!$A$5:$BE$1463,AW$4+1,0),0)</f>
        <v>0</v>
      </c>
      <c r="AX141" s="59">
        <f>IFERROR(VLOOKUP($A141,[2]Mssp!$A$5:$BE$1463,AX$4+1,0),0)</f>
        <v>0</v>
      </c>
      <c r="AY141" s="59" t="str">
        <f>IFERROR(VLOOKUP($A141,[2]Mssp!$A$5:$BE$1463,AY$4+2,0),0)</f>
        <v>525x750</v>
      </c>
      <c r="AZ141" s="59" t="str">
        <f>IFERROR(VLOOKUP($A141,[2]Mssp!$A$5:$BE$1463,AZ$4+2,0),0)</f>
        <v>V1</v>
      </c>
      <c r="BA141" s="60" t="s">
        <v>144</v>
      </c>
      <c r="BB141" s="61" t="s">
        <v>107</v>
      </c>
      <c r="BC141" s="62"/>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c r="CK141" s="9"/>
      <c r="CL141" s="9"/>
      <c r="CM141" s="9"/>
      <c r="CN141" s="9"/>
      <c r="CO141" s="9"/>
      <c r="CP141" s="9"/>
    </row>
    <row r="142" spans="1:94" ht="45" x14ac:dyDescent="0.25">
      <c r="A142" s="50" t="s">
        <v>590</v>
      </c>
      <c r="B142" s="73" t="s">
        <v>591</v>
      </c>
      <c r="C142" s="50">
        <f t="shared" si="5"/>
        <v>8.1999999999999993</v>
      </c>
      <c r="D142" s="58">
        <v>2</v>
      </c>
      <c r="E142" s="58" t="s">
        <v>592</v>
      </c>
      <c r="F142" s="58">
        <v>7</v>
      </c>
      <c r="G142" s="50" t="s">
        <v>114</v>
      </c>
      <c r="H142" s="50">
        <f>VLOOKUP($A142,'[1]ma sp 02'!$A$5:$BD$1101,H$1,0)</f>
        <v>0.1</v>
      </c>
      <c r="I142" s="50">
        <f>VLOOKUP($A142,'[1]ma sp 02'!$A$5:$BD$1101,I$1,0)</f>
        <v>3.5</v>
      </c>
      <c r="J142" s="50">
        <f>VLOOKUP($A142,'[1]ma sp 02'!$A$5:$BD$1101,J$1,0)</f>
        <v>0.1</v>
      </c>
      <c r="K142" s="50">
        <f>VLOOKUP($A142,'[1]ma sp 02'!$A$5:$BD$1101,K$1,0)</f>
        <v>0.3</v>
      </c>
      <c r="L142" s="50">
        <f>VLOOKUP($A142,'[1]ma sp 02'!$A$5:$BD$1101,L$1,0)</f>
        <v>3.5</v>
      </c>
      <c r="M142" s="50">
        <f>VLOOKUP($A142,'[1]ma sp 02'!$A$5:$BD$1101,M$1,0)</f>
        <v>0.5</v>
      </c>
      <c r="N142" s="50">
        <f>VLOOKUP($A142,'[1]ma sp 02'!$A$5:$BD$1101,N$1,0)</f>
        <v>0</v>
      </c>
      <c r="O142" s="50">
        <f>VLOOKUP($A142,'[1]ma sp 02'!$A$5:$BD$1101,O$1,0)</f>
        <v>0.1</v>
      </c>
      <c r="P142" s="50">
        <f>VLOOKUP($A142,'[1]ma sp 02'!$A$5:$BD$1101,P$1,0)</f>
        <v>0.1</v>
      </c>
      <c r="Q142" s="50">
        <f>VLOOKUP($A142,'[1]ma sp 02'!$A$5:$BD$1101,Q$1,0)</f>
        <v>0</v>
      </c>
      <c r="R142" s="50">
        <f>VLOOKUP($A142,'[1]ma sp 02'!$A$5:$BD$1101,R$1,0)</f>
        <v>0</v>
      </c>
      <c r="S142" s="50">
        <f>VLOOKUP($A142,'[1]ma sp 02'!$A$5:$BD$1101,S$1,0)</f>
        <v>0</v>
      </c>
      <c r="T142" s="50">
        <f>VLOOKUP($A142,'[1]ma sp 02'!$A$5:$BD$1101,T$1,0)</f>
        <v>0</v>
      </c>
      <c r="U142" s="50">
        <f>VLOOKUP($A142,'[1]ma sp 02'!$A$5:$BD$1101,U$1,0)</f>
        <v>0</v>
      </c>
      <c r="V142" s="50">
        <f>VLOOKUP($A142,'[1]ma sp 02'!$A$5:$BD$1101,V$1,0)</f>
        <v>0</v>
      </c>
      <c r="W142" s="50">
        <f>VLOOKUP($A142,'[1]ma sp 02'!$A$5:$BD$1101,W$1,0)</f>
        <v>0</v>
      </c>
      <c r="X142" s="50">
        <f t="shared" si="4"/>
        <v>8</v>
      </c>
      <c r="Y142" s="57"/>
      <c r="Z142" s="57"/>
      <c r="AA142" s="57"/>
      <c r="AB142" s="57"/>
      <c r="AC142" s="57"/>
      <c r="AD142" s="57"/>
      <c r="AE142" s="52" t="s">
        <v>593</v>
      </c>
      <c r="AF142" s="52" t="s">
        <v>594</v>
      </c>
      <c r="AG142" s="87">
        <f>(0.012*1.4+0.012*1.4+0.075*0.925)*0.64</f>
        <v>6.5904000000000004E-2</v>
      </c>
      <c r="AH142" s="91">
        <f>(2.3/0.75/2)*0.63</f>
        <v>0.96599999999999997</v>
      </c>
      <c r="AI142" s="91">
        <f>(2.3/0.75/2)*0.63</f>
        <v>0.96599999999999997</v>
      </c>
      <c r="AJ142" s="58">
        <v>9530</v>
      </c>
      <c r="AK142" s="58">
        <v>9530</v>
      </c>
      <c r="AL142" s="58" t="s">
        <v>354</v>
      </c>
      <c r="AM142" s="52" t="s">
        <v>74</v>
      </c>
      <c r="AN142" s="58">
        <v>225</v>
      </c>
      <c r="AO142" s="52" t="s">
        <v>464</v>
      </c>
      <c r="AP142" s="59">
        <f>IFERROR(VLOOKUP($A142,[2]Mssp!$A$5:$BE$1463,AP$4+1,0),0)</f>
        <v>0</v>
      </c>
      <c r="AQ142" s="59">
        <f>IFERROR(VLOOKUP($A142,[2]Mssp!$A$5:$BE$1463,AQ$4+1,0),0)</f>
        <v>0</v>
      </c>
      <c r="AR142" s="59">
        <f>IFERROR(VLOOKUP($A142,[2]Mssp!$A$5:$BE$1463,AR$4+1,0),0)</f>
        <v>0</v>
      </c>
      <c r="AS142" s="59">
        <f>IFERROR(VLOOKUP($A142,[2]Mssp!$A$5:$BE$1463,AS$4+1,0),0)</f>
        <v>0</v>
      </c>
      <c r="AT142" s="59">
        <f>IFERROR(VLOOKUP($A142,[2]Mssp!$A$5:$BE$1463,AT$4+1,0),0)</f>
        <v>0</v>
      </c>
      <c r="AU142" s="59">
        <f>IFERROR(VLOOKUP($A142,[2]Mssp!$A$5:$BE$1463,AU$4+1,0),0)</f>
        <v>0</v>
      </c>
      <c r="AV142" s="59">
        <f>IFERROR(VLOOKUP($A142,[2]Mssp!$A$5:$BE$1463,AV$4+1,0),0)</f>
        <v>0</v>
      </c>
      <c r="AW142" s="59">
        <f>IFERROR(VLOOKUP($A142,[2]Mssp!$A$5:$BE$1463,AW$4+1,0),0)</f>
        <v>0</v>
      </c>
      <c r="AX142" s="59">
        <f>IFERROR(VLOOKUP($A142,[2]Mssp!$A$5:$BE$1463,AX$4+1,0),0)</f>
        <v>0</v>
      </c>
      <c r="AY142" s="59">
        <f>IFERROR(VLOOKUP($A142,[2]Mssp!$A$5:$BE$1463,AY$4+2,0),0)</f>
        <v>0</v>
      </c>
      <c r="AZ142" s="59">
        <f>IFERROR(VLOOKUP($A142,[2]Mssp!$A$5:$BE$1463,AZ$4+2,0),0)</f>
        <v>0</v>
      </c>
      <c r="BA142" s="60">
        <v>5000</v>
      </c>
      <c r="BB142" s="61" t="s">
        <v>62</v>
      </c>
      <c r="BC142" s="62"/>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c r="CP142" s="9"/>
    </row>
    <row r="143" spans="1:94" ht="60" x14ac:dyDescent="0.25">
      <c r="A143" s="50" t="s">
        <v>595</v>
      </c>
      <c r="B143" s="73" t="s">
        <v>596</v>
      </c>
      <c r="C143" s="50">
        <f t="shared" si="5"/>
        <v>0</v>
      </c>
      <c r="D143" s="57">
        <v>5</v>
      </c>
      <c r="E143" s="58" t="s">
        <v>597</v>
      </c>
      <c r="F143" s="58">
        <v>7</v>
      </c>
      <c r="G143" s="50" t="s">
        <v>114</v>
      </c>
      <c r="H143" s="50">
        <f>VLOOKUP($A143,'[1]ma sp 02'!$A$5:$BD$1101,H$1,0)</f>
        <v>0</v>
      </c>
      <c r="I143" s="50">
        <f>VLOOKUP($A143,'[1]ma sp 02'!$A$5:$BD$1101,I$1,0)</f>
        <v>0</v>
      </c>
      <c r="J143" s="50">
        <f>VLOOKUP($A143,'[1]ma sp 02'!$A$5:$BD$1101,J$1,0)</f>
        <v>0</v>
      </c>
      <c r="K143" s="50">
        <f>VLOOKUP($A143,'[1]ma sp 02'!$A$5:$BD$1101,K$1,0)</f>
        <v>0</v>
      </c>
      <c r="L143" s="50">
        <f>VLOOKUP($A143,'[1]ma sp 02'!$A$5:$BD$1101,L$1,0)</f>
        <v>0</v>
      </c>
      <c r="M143" s="50">
        <f>VLOOKUP($A143,'[1]ma sp 02'!$A$5:$BD$1101,M$1,0)</f>
        <v>0</v>
      </c>
      <c r="N143" s="50">
        <f>VLOOKUP($A143,'[1]ma sp 02'!$A$5:$BD$1101,N$1,0)</f>
        <v>0</v>
      </c>
      <c r="O143" s="50">
        <f>VLOOKUP($A143,'[1]ma sp 02'!$A$5:$BD$1101,O$1,0)</f>
        <v>0</v>
      </c>
      <c r="P143" s="50">
        <f>VLOOKUP($A143,'[1]ma sp 02'!$A$5:$BD$1101,P$1,0)</f>
        <v>0</v>
      </c>
      <c r="Q143" s="50">
        <f>VLOOKUP($A143,'[1]ma sp 02'!$A$5:$BD$1101,Q$1,0)</f>
        <v>0</v>
      </c>
      <c r="R143" s="50">
        <f>VLOOKUP($A143,'[1]ma sp 02'!$A$5:$BD$1101,R$1,0)</f>
        <v>0</v>
      </c>
      <c r="S143" s="50">
        <f>VLOOKUP($A143,'[1]ma sp 02'!$A$5:$BD$1101,S$1,0)</f>
        <v>0</v>
      </c>
      <c r="T143" s="50">
        <f>VLOOKUP($A143,'[1]ma sp 02'!$A$5:$BD$1101,T$1,0)</f>
        <v>0</v>
      </c>
      <c r="U143" s="50">
        <f>VLOOKUP($A143,'[1]ma sp 02'!$A$5:$BD$1101,U$1,0)</f>
        <v>0</v>
      </c>
      <c r="V143" s="50">
        <f>VLOOKUP($A143,'[1]ma sp 02'!$A$5:$BD$1101,V$1,0)</f>
        <v>0</v>
      </c>
      <c r="W143" s="50">
        <f>VLOOKUP($A143,'[1]ma sp 02'!$A$5:$BD$1101,W$1,0)</f>
        <v>0</v>
      </c>
      <c r="X143" s="50">
        <f t="shared" si="4"/>
        <v>0</v>
      </c>
      <c r="Y143" s="57"/>
      <c r="Z143" s="57"/>
      <c r="AA143" s="57"/>
      <c r="AB143" s="57"/>
      <c r="AC143" s="57"/>
      <c r="AD143" s="57"/>
      <c r="AE143" s="52" t="s">
        <v>598</v>
      </c>
      <c r="AF143" s="52" t="s">
        <v>599</v>
      </c>
      <c r="AG143" s="87">
        <f>(0.012*1.4+0.012*1.4+0.07*0.925)*0.73</f>
        <v>7.1795500000000012E-2</v>
      </c>
      <c r="AH143" s="91">
        <f>(2.3/0.75/2)*0.72</f>
        <v>1.1039999999999999</v>
      </c>
      <c r="AI143" s="66">
        <f>(0.004*0.72*10)/(21*0.321)*1000</f>
        <v>4.2723631508678226</v>
      </c>
      <c r="AJ143" s="52">
        <v>9530</v>
      </c>
      <c r="AK143" s="57" t="s">
        <v>521</v>
      </c>
      <c r="AL143" s="52" t="s">
        <v>536</v>
      </c>
      <c r="AM143" s="52" t="s">
        <v>104</v>
      </c>
      <c r="AN143" s="57">
        <v>142</v>
      </c>
      <c r="AO143" s="52" t="s">
        <v>464</v>
      </c>
      <c r="AP143" s="59">
        <f>IFERROR(VLOOKUP($A143,[2]Mssp!$A$5:$BE$1463,AP$4+1,0),0)</f>
        <v>0</v>
      </c>
      <c r="AQ143" s="59">
        <f>IFERROR(VLOOKUP($A143,[2]Mssp!$A$5:$BE$1463,AQ$4+1,0),0)</f>
        <v>0</v>
      </c>
      <c r="AR143" s="59">
        <f>IFERROR(VLOOKUP($A143,[2]Mssp!$A$5:$BE$1463,AR$4+1,0),0)</f>
        <v>0</v>
      </c>
      <c r="AS143" s="59">
        <f>IFERROR(VLOOKUP($A143,[2]Mssp!$A$5:$BE$1463,AS$4+1,0),0)</f>
        <v>0</v>
      </c>
      <c r="AT143" s="59">
        <f>IFERROR(VLOOKUP($A143,[2]Mssp!$A$5:$BE$1463,AT$4+1,0),0)</f>
        <v>0</v>
      </c>
      <c r="AU143" s="59">
        <f>IFERROR(VLOOKUP($A143,[2]Mssp!$A$5:$BE$1463,AU$4+1,0),0)</f>
        <v>0</v>
      </c>
      <c r="AV143" s="59">
        <f>IFERROR(VLOOKUP($A143,[2]Mssp!$A$5:$BE$1463,AV$4+1,0),0)</f>
        <v>0</v>
      </c>
      <c r="AW143" s="59">
        <f>IFERROR(VLOOKUP($A143,[2]Mssp!$A$5:$BE$1463,AW$4+1,0),0)</f>
        <v>0</v>
      </c>
      <c r="AX143" s="59">
        <f>IFERROR(VLOOKUP($A143,[2]Mssp!$A$5:$BE$1463,AX$4+1,0),0)</f>
        <v>0</v>
      </c>
      <c r="AY143" s="59">
        <f>IFERROR(VLOOKUP($A143,[2]Mssp!$A$5:$BE$1463,AY$4+2,0),0)</f>
        <v>0</v>
      </c>
      <c r="AZ143" s="59">
        <f>IFERROR(VLOOKUP($A143,[2]Mssp!$A$5:$BE$1463,AZ$4+2,0),0)</f>
        <v>0</v>
      </c>
      <c r="BA143" s="60"/>
      <c r="BB143" s="61" t="s">
        <v>251</v>
      </c>
      <c r="BC143" s="62"/>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c r="CK143" s="9"/>
      <c r="CL143" s="9"/>
      <c r="CM143" s="9"/>
      <c r="CN143" s="9"/>
      <c r="CO143" s="9"/>
      <c r="CP143" s="9"/>
    </row>
    <row r="144" spans="1:94" ht="45" x14ac:dyDescent="0.25">
      <c r="A144" s="50" t="s">
        <v>600</v>
      </c>
      <c r="B144" s="73" t="s">
        <v>601</v>
      </c>
      <c r="C144" s="50">
        <f t="shared" si="5"/>
        <v>10.129999999999999</v>
      </c>
      <c r="D144" s="58">
        <v>2</v>
      </c>
      <c r="E144" s="58" t="s">
        <v>97</v>
      </c>
      <c r="F144" s="58">
        <v>5</v>
      </c>
      <c r="G144" s="50" t="s">
        <v>184</v>
      </c>
      <c r="H144" s="50">
        <f>VLOOKUP($A144,'[1]ma sp 02'!$A$5:$BD$1101,H$1,0)</f>
        <v>0</v>
      </c>
      <c r="I144" s="50">
        <f>VLOOKUP($A144,'[1]ma sp 02'!$A$5:$BD$1101,I$1,0)</f>
        <v>2.86</v>
      </c>
      <c r="J144" s="50">
        <f>VLOOKUP($A144,'[1]ma sp 02'!$A$5:$BD$1101,J$1,0)</f>
        <v>0.52</v>
      </c>
      <c r="K144" s="50">
        <f>VLOOKUP($A144,'[1]ma sp 02'!$A$5:$BD$1101,K$1,0)</f>
        <v>0.26</v>
      </c>
      <c r="L144" s="50">
        <f>VLOOKUP($A144,'[1]ma sp 02'!$A$5:$BD$1101,L$1,0)</f>
        <v>2.86</v>
      </c>
      <c r="M144" s="50">
        <f>VLOOKUP($A144,'[1]ma sp 02'!$A$5:$BD$1101,M$1,0)</f>
        <v>3.63</v>
      </c>
      <c r="N144" s="50">
        <f>VLOOKUP($A144,'[1]ma sp 02'!$A$5:$BD$1101,N$1,0)</f>
        <v>0</v>
      </c>
      <c r="O144" s="50">
        <f>VLOOKUP($A144,'[1]ma sp 02'!$A$5:$BD$1101,O$1,0)</f>
        <v>0</v>
      </c>
      <c r="P144" s="50">
        <f>VLOOKUP($A144,'[1]ma sp 02'!$A$5:$BD$1101,P$1,0)</f>
        <v>0</v>
      </c>
      <c r="Q144" s="50">
        <f>VLOOKUP($A144,'[1]ma sp 02'!$A$5:$BD$1101,Q$1,0)</f>
        <v>0</v>
      </c>
      <c r="R144" s="50">
        <f>VLOOKUP($A144,'[1]ma sp 02'!$A$5:$BD$1101,R$1,0)</f>
        <v>0</v>
      </c>
      <c r="S144" s="50">
        <f>VLOOKUP($A144,'[1]ma sp 02'!$A$5:$BD$1101,S$1,0)</f>
        <v>0</v>
      </c>
      <c r="T144" s="50">
        <f>VLOOKUP($A144,'[1]ma sp 02'!$A$5:$BD$1101,T$1,0)</f>
        <v>0</v>
      </c>
      <c r="U144" s="50">
        <f>VLOOKUP($A144,'[1]ma sp 02'!$A$5:$BD$1101,U$1,0)</f>
        <v>0</v>
      </c>
      <c r="V144" s="50">
        <f>VLOOKUP($A144,'[1]ma sp 02'!$A$5:$BD$1101,V$1,0)</f>
        <v>0</v>
      </c>
      <c r="W144" s="50">
        <f>VLOOKUP($A144,'[1]ma sp 02'!$A$5:$BD$1101,W$1,0)</f>
        <v>0</v>
      </c>
      <c r="X144" s="50">
        <f t="shared" si="4"/>
        <v>5</v>
      </c>
      <c r="Y144" s="57"/>
      <c r="Z144" s="57"/>
      <c r="AA144" s="57"/>
      <c r="AB144" s="57"/>
      <c r="AC144" s="57"/>
      <c r="AD144" s="57"/>
      <c r="AE144" s="92" t="s">
        <v>602</v>
      </c>
      <c r="AF144" s="57"/>
      <c r="AG144" s="82">
        <f>(0.02*0.91+0.03*0.91)*0.54</f>
        <v>2.4570000000000002E-2</v>
      </c>
      <c r="AH144" s="54">
        <f>(2/0.75/2)*0.54</f>
        <v>0.72</v>
      </c>
      <c r="AI144" s="57"/>
      <c r="AJ144" s="58">
        <v>9530</v>
      </c>
      <c r="AK144" s="57"/>
      <c r="AL144" s="58">
        <v>2E-3</v>
      </c>
      <c r="AM144" s="52" t="s">
        <v>227</v>
      </c>
      <c r="AN144" s="58">
        <v>215</v>
      </c>
      <c r="AO144" s="52" t="s">
        <v>603</v>
      </c>
      <c r="AP144" s="59" t="str">
        <f>IFERROR(VLOOKUP($A144,[2]Mssp!$A$5:$BE$1463,AP$4+1,0),0)</f>
        <v>1604095-1</v>
      </c>
      <c r="AQ144" s="59" t="str">
        <f>IFERROR(VLOOKUP($A144,[2]Mssp!$A$5:$BE$1463,AQ$4+1,0),0)</f>
        <v>1604095-2</v>
      </c>
      <c r="AR144" s="59" t="str">
        <f>IFERROR(VLOOKUP($A144,[2]Mssp!$A$5:$BE$1463,AR$4+1,0),0)</f>
        <v>1604095-3</v>
      </c>
      <c r="AS144" s="59" t="str">
        <f>IFERROR(VLOOKUP($A144,[2]Mssp!$A$5:$BE$1463,AS$4+1,0),0)</f>
        <v>1604095-4</v>
      </c>
      <c r="AT144" s="59" t="str">
        <f>IFERROR(VLOOKUP($A144,[2]Mssp!$A$5:$BE$1463,AT$4+1,0),0)</f>
        <v>1604095-5</v>
      </c>
      <c r="AU144" s="59">
        <f>IFERROR(VLOOKUP($A144,[2]Mssp!$A$5:$BE$1463,AU$4+1,0),0)</f>
        <v>0</v>
      </c>
      <c r="AV144" s="59">
        <f>IFERROR(VLOOKUP($A144,[2]Mssp!$A$5:$BE$1463,AV$4+1,0),0)</f>
        <v>0</v>
      </c>
      <c r="AW144" s="59">
        <f>IFERROR(VLOOKUP($A144,[2]Mssp!$A$5:$BE$1463,AW$4+1,0),0)</f>
        <v>0</v>
      </c>
      <c r="AX144" s="59">
        <f>IFERROR(VLOOKUP($A144,[2]Mssp!$A$5:$BE$1463,AX$4+1,0),0)</f>
        <v>0</v>
      </c>
      <c r="AY144" s="59" t="str">
        <f>IFERROR(VLOOKUP($A144,[2]Mssp!$A$5:$BE$1463,AY$4+2,0),0)</f>
        <v>430x750</v>
      </c>
      <c r="AZ144" s="59" t="str">
        <f>IFERROR(VLOOKUP($A144,[2]Mssp!$A$5:$BE$1463,AZ$4+2,0),0)</f>
        <v>N3</v>
      </c>
      <c r="BA144" s="60">
        <v>5000</v>
      </c>
      <c r="BB144" s="61" t="s">
        <v>62</v>
      </c>
      <c r="BC144" s="62"/>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c r="CP144" s="9"/>
    </row>
    <row r="145" spans="1:94" ht="30" x14ac:dyDescent="0.25">
      <c r="A145" s="50" t="s">
        <v>604</v>
      </c>
      <c r="B145" s="73" t="s">
        <v>605</v>
      </c>
      <c r="C145" s="50">
        <f t="shared" si="5"/>
        <v>3.1799999999999997</v>
      </c>
      <c r="D145" s="58">
        <v>1</v>
      </c>
      <c r="E145" s="58" t="s">
        <v>247</v>
      </c>
      <c r="F145" s="58">
        <v>2</v>
      </c>
      <c r="G145" s="50" t="s">
        <v>184</v>
      </c>
      <c r="H145" s="50">
        <f>VLOOKUP($A145,'[1]ma sp 02'!$A$5:$BD$1101,H$1,0)</f>
        <v>0</v>
      </c>
      <c r="I145" s="50">
        <f>VLOOKUP($A145,'[1]ma sp 02'!$A$5:$BD$1101,I$1,0)</f>
        <v>0</v>
      </c>
      <c r="J145" s="50">
        <f>VLOOKUP($A145,'[1]ma sp 02'!$A$5:$BD$1101,J$1,0)</f>
        <v>0</v>
      </c>
      <c r="K145" s="50">
        <f>VLOOKUP($A145,'[1]ma sp 02'!$A$5:$BD$1101,K$1,0)</f>
        <v>0</v>
      </c>
      <c r="L145" s="50">
        <f>VLOOKUP($A145,'[1]ma sp 02'!$A$5:$BD$1101,L$1,0)</f>
        <v>0.7</v>
      </c>
      <c r="M145" s="50">
        <f>VLOOKUP($A145,'[1]ma sp 02'!$A$5:$BD$1101,M$1,0)</f>
        <v>1.27</v>
      </c>
      <c r="N145" s="50">
        <f>VLOOKUP($A145,'[1]ma sp 02'!$A$5:$BD$1101,N$1,0)</f>
        <v>0</v>
      </c>
      <c r="O145" s="50">
        <f>VLOOKUP($A145,'[1]ma sp 02'!$A$5:$BD$1101,O$1,0)</f>
        <v>0</v>
      </c>
      <c r="P145" s="50">
        <f>VLOOKUP($A145,'[1]ma sp 02'!$A$5:$BD$1101,P$1,0)</f>
        <v>1.08</v>
      </c>
      <c r="Q145" s="50">
        <f>VLOOKUP($A145,'[1]ma sp 02'!$A$5:$BD$1101,Q$1,0)</f>
        <v>0.13</v>
      </c>
      <c r="R145" s="50">
        <f>VLOOKUP($A145,'[1]ma sp 02'!$A$5:$BD$1101,R$1,0)</f>
        <v>0</v>
      </c>
      <c r="S145" s="50">
        <f>VLOOKUP($A145,'[1]ma sp 02'!$A$5:$BD$1101,S$1,0)</f>
        <v>0</v>
      </c>
      <c r="T145" s="50">
        <f>VLOOKUP($A145,'[1]ma sp 02'!$A$5:$BD$1101,T$1,0)</f>
        <v>0</v>
      </c>
      <c r="U145" s="50">
        <f>VLOOKUP($A145,'[1]ma sp 02'!$A$5:$BD$1101,U$1,0)</f>
        <v>0</v>
      </c>
      <c r="V145" s="50">
        <f>VLOOKUP($A145,'[1]ma sp 02'!$A$5:$BD$1101,V$1,0)</f>
        <v>0</v>
      </c>
      <c r="W145" s="50">
        <f>VLOOKUP($A145,'[1]ma sp 02'!$A$5:$BD$1101,W$1,0)</f>
        <v>0</v>
      </c>
      <c r="X145" s="50">
        <f t="shared" si="4"/>
        <v>4</v>
      </c>
      <c r="Y145" s="57"/>
      <c r="Z145" s="57"/>
      <c r="AA145" s="57"/>
      <c r="AB145" s="57"/>
      <c r="AC145" s="57"/>
      <c r="AD145" s="57"/>
      <c r="AE145" s="58" t="s">
        <v>290</v>
      </c>
      <c r="AF145" s="57"/>
      <c r="AG145" s="82">
        <f>(0.02*0.91+0.03*0.91)*0.5</f>
        <v>2.2749999999999999E-2</v>
      </c>
      <c r="AH145" s="54">
        <f>(2/0.75/2)*0.49</f>
        <v>0.65333333333333332</v>
      </c>
      <c r="AI145" s="57"/>
      <c r="AJ145" s="58">
        <v>9530</v>
      </c>
      <c r="AK145" s="57"/>
      <c r="AL145" s="58">
        <v>2E-3</v>
      </c>
      <c r="AM145" s="52" t="s">
        <v>74</v>
      </c>
      <c r="AN145" s="57">
        <v>490</v>
      </c>
      <c r="AO145" s="52" t="s">
        <v>401</v>
      </c>
      <c r="AP145" s="59" t="str">
        <f>IFERROR(VLOOKUP($A145,[2]Mssp!$A$5:$BE$1463,AP$4+1,0),0)</f>
        <v>1604778-1</v>
      </c>
      <c r="AQ145" s="59" t="str">
        <f>IFERROR(VLOOKUP($A145,[2]Mssp!$A$5:$BE$1463,AQ$4+1,0),0)</f>
        <v>1604778-2</v>
      </c>
      <c r="AR145" s="59">
        <f>IFERROR(VLOOKUP($A145,[2]Mssp!$A$5:$BE$1463,AR$4+1,0),0)</f>
        <v>0</v>
      </c>
      <c r="AS145" s="59">
        <f>IFERROR(VLOOKUP($A145,[2]Mssp!$A$5:$BE$1463,AS$4+1,0),0)</f>
        <v>0</v>
      </c>
      <c r="AT145" s="59">
        <f>IFERROR(VLOOKUP($A145,[2]Mssp!$A$5:$BE$1463,AT$4+1,0),0)</f>
        <v>0</v>
      </c>
      <c r="AU145" s="59">
        <f>IFERROR(VLOOKUP($A145,[2]Mssp!$A$5:$BE$1463,AU$4+1,0),0)</f>
        <v>0</v>
      </c>
      <c r="AV145" s="59">
        <f>IFERROR(VLOOKUP($A145,[2]Mssp!$A$5:$BE$1463,AV$4+1,0),0)</f>
        <v>0</v>
      </c>
      <c r="AW145" s="59">
        <f>IFERROR(VLOOKUP($A145,[2]Mssp!$A$5:$BE$1463,AW$4+1,0),0)</f>
        <v>0</v>
      </c>
      <c r="AX145" s="59">
        <f>IFERROR(VLOOKUP($A145,[2]Mssp!$A$5:$BE$1463,AX$4+1,0),0)</f>
        <v>0</v>
      </c>
      <c r="AY145" s="59" t="str">
        <f>IFERROR(VLOOKUP($A145,[2]Mssp!$A$5:$BE$1463,AY$4+2,0),0)</f>
        <v>490x750</v>
      </c>
      <c r="AZ145" s="59" t="str">
        <f>IFERROR(VLOOKUP($A145,[2]Mssp!$A$5:$BE$1463,AZ$4+2,0),0)</f>
        <v>N3</v>
      </c>
      <c r="BA145" s="60"/>
      <c r="BB145" s="61" t="s">
        <v>251</v>
      </c>
      <c r="BC145" s="62"/>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c r="CP145" s="9"/>
    </row>
    <row r="146" spans="1:94" ht="60" x14ac:dyDescent="0.25">
      <c r="A146" s="50" t="s">
        <v>606</v>
      </c>
      <c r="B146" s="73" t="s">
        <v>607</v>
      </c>
      <c r="C146" s="50">
        <f t="shared" si="5"/>
        <v>0</v>
      </c>
      <c r="D146" s="57">
        <v>4</v>
      </c>
      <c r="E146" s="58" t="s">
        <v>113</v>
      </c>
      <c r="F146" s="58">
        <v>6</v>
      </c>
      <c r="G146" s="50" t="s">
        <v>114</v>
      </c>
      <c r="H146" s="50">
        <f>VLOOKUP($A146,'[1]ma sp 02'!$A$5:$BD$1101,H$1,0)</f>
        <v>0</v>
      </c>
      <c r="I146" s="50">
        <f>VLOOKUP($A146,'[1]ma sp 02'!$A$5:$BD$1101,I$1,0)</f>
        <v>0</v>
      </c>
      <c r="J146" s="50">
        <f>VLOOKUP($A146,'[1]ma sp 02'!$A$5:$BD$1101,J$1,0)</f>
        <v>0</v>
      </c>
      <c r="K146" s="50">
        <f>VLOOKUP($A146,'[1]ma sp 02'!$A$5:$BD$1101,K$1,0)</f>
        <v>0</v>
      </c>
      <c r="L146" s="50">
        <f>VLOOKUP($A146,'[1]ma sp 02'!$A$5:$BD$1101,L$1,0)</f>
        <v>0</v>
      </c>
      <c r="M146" s="50">
        <f>VLOOKUP($A146,'[1]ma sp 02'!$A$5:$BD$1101,M$1,0)</f>
        <v>0</v>
      </c>
      <c r="N146" s="50">
        <f>VLOOKUP($A146,'[1]ma sp 02'!$A$5:$BD$1101,N$1,0)</f>
        <v>0</v>
      </c>
      <c r="O146" s="50">
        <f>VLOOKUP($A146,'[1]ma sp 02'!$A$5:$BD$1101,O$1,0)</f>
        <v>0</v>
      </c>
      <c r="P146" s="50">
        <f>VLOOKUP($A146,'[1]ma sp 02'!$A$5:$BD$1101,P$1,0)</f>
        <v>0</v>
      </c>
      <c r="Q146" s="50">
        <f>VLOOKUP($A146,'[1]ma sp 02'!$A$5:$BD$1101,Q$1,0)</f>
        <v>0</v>
      </c>
      <c r="R146" s="50">
        <f>VLOOKUP($A146,'[1]ma sp 02'!$A$5:$BD$1101,R$1,0)</f>
        <v>0</v>
      </c>
      <c r="S146" s="50">
        <f>VLOOKUP($A146,'[1]ma sp 02'!$A$5:$BD$1101,S$1,0)</f>
        <v>0</v>
      </c>
      <c r="T146" s="50">
        <f>VLOOKUP($A146,'[1]ma sp 02'!$A$5:$BD$1101,T$1,0)</f>
        <v>0</v>
      </c>
      <c r="U146" s="50">
        <f>VLOOKUP($A146,'[1]ma sp 02'!$A$5:$BD$1101,U$1,0)</f>
        <v>0</v>
      </c>
      <c r="V146" s="50">
        <f>VLOOKUP($A146,'[1]ma sp 02'!$A$5:$BD$1101,V$1,0)</f>
        <v>0</v>
      </c>
      <c r="W146" s="50">
        <f>VLOOKUP($A146,'[1]ma sp 02'!$A$5:$BD$1101,W$1,0)</f>
        <v>0</v>
      </c>
      <c r="X146" s="50">
        <f t="shared" si="4"/>
        <v>0</v>
      </c>
      <c r="Y146" s="57"/>
      <c r="Z146" s="57"/>
      <c r="AA146" s="57"/>
      <c r="AB146" s="57"/>
      <c r="AC146" s="57"/>
      <c r="AD146" s="57"/>
      <c r="AE146" s="52" t="s">
        <v>115</v>
      </c>
      <c r="AF146" s="52" t="s">
        <v>535</v>
      </c>
      <c r="AG146" s="87">
        <f>(0.012*1.4+0.012*1.4+0.07*0.925)*0.74</f>
        <v>7.277900000000001E-2</v>
      </c>
      <c r="AH146" s="91">
        <f>(2.3/0.75/2)*0.73</f>
        <v>1.1193333333333333</v>
      </c>
      <c r="AI146" s="66">
        <f>(0.004*0.73*10)/(21*0.321)*1000</f>
        <v>4.331701527963209</v>
      </c>
      <c r="AJ146" s="52">
        <v>9530</v>
      </c>
      <c r="AK146" s="57" t="s">
        <v>521</v>
      </c>
      <c r="AL146" s="52" t="s">
        <v>536</v>
      </c>
      <c r="AM146" s="52" t="s">
        <v>104</v>
      </c>
      <c r="AN146" s="57">
        <v>180</v>
      </c>
      <c r="AO146" s="52" t="s">
        <v>439</v>
      </c>
      <c r="AP146" s="59">
        <f>IFERROR(VLOOKUP($A146,[2]Mssp!$A$5:$BE$1463,AP$4+1,0),0)</f>
        <v>0</v>
      </c>
      <c r="AQ146" s="59">
        <f>IFERROR(VLOOKUP($A146,[2]Mssp!$A$5:$BE$1463,AQ$4+1,0),0)</f>
        <v>0</v>
      </c>
      <c r="AR146" s="59">
        <f>IFERROR(VLOOKUP($A146,[2]Mssp!$A$5:$BE$1463,AR$4+1,0),0)</f>
        <v>0</v>
      </c>
      <c r="AS146" s="59">
        <f>IFERROR(VLOOKUP($A146,[2]Mssp!$A$5:$BE$1463,AS$4+1,0),0)</f>
        <v>0</v>
      </c>
      <c r="AT146" s="59">
        <f>IFERROR(VLOOKUP($A146,[2]Mssp!$A$5:$BE$1463,AT$4+1,0),0)</f>
        <v>0</v>
      </c>
      <c r="AU146" s="59">
        <f>IFERROR(VLOOKUP($A146,[2]Mssp!$A$5:$BE$1463,AU$4+1,0),0)</f>
        <v>0</v>
      </c>
      <c r="AV146" s="59">
        <f>IFERROR(VLOOKUP($A146,[2]Mssp!$A$5:$BE$1463,AV$4+1,0),0)</f>
        <v>0</v>
      </c>
      <c r="AW146" s="59">
        <f>IFERROR(VLOOKUP($A146,[2]Mssp!$A$5:$BE$1463,AW$4+1,0),0)</f>
        <v>0</v>
      </c>
      <c r="AX146" s="59">
        <f>IFERROR(VLOOKUP($A146,[2]Mssp!$A$5:$BE$1463,AX$4+1,0),0)</f>
        <v>0</v>
      </c>
      <c r="AY146" s="59">
        <f>IFERROR(VLOOKUP($A146,[2]Mssp!$A$5:$BE$1463,AY$4+2,0),0)</f>
        <v>0</v>
      </c>
      <c r="AZ146" s="59">
        <f>IFERROR(VLOOKUP($A146,[2]Mssp!$A$5:$BE$1463,AZ$4+2,0),0)</f>
        <v>0</v>
      </c>
      <c r="BA146" s="60"/>
      <c r="BB146" s="61" t="s">
        <v>107</v>
      </c>
      <c r="BC146" s="62"/>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c r="CP146" s="9"/>
    </row>
    <row r="147" spans="1:94" ht="45" x14ac:dyDescent="0.25">
      <c r="A147" s="50" t="s">
        <v>608</v>
      </c>
      <c r="B147" s="73" t="s">
        <v>609</v>
      </c>
      <c r="C147" s="50">
        <f t="shared" si="5"/>
        <v>3.504</v>
      </c>
      <c r="D147" s="58">
        <v>3</v>
      </c>
      <c r="E147" s="58" t="s">
        <v>351</v>
      </c>
      <c r="F147" s="58">
        <v>8</v>
      </c>
      <c r="G147" s="50" t="s">
        <v>114</v>
      </c>
      <c r="H147" s="50">
        <f>VLOOKUP($A147,'[1]ma sp 02'!$A$5:$BD$1101,H$1,0)</f>
        <v>0.11</v>
      </c>
      <c r="I147" s="50">
        <f>VLOOKUP($A147,'[1]ma sp 02'!$A$5:$BD$1101,I$1,0)</f>
        <v>1.8</v>
      </c>
      <c r="J147" s="50">
        <f>VLOOKUP($A147,'[1]ma sp 02'!$A$5:$BD$1101,J$1,0)</f>
        <v>0.43</v>
      </c>
      <c r="K147" s="50">
        <f>VLOOKUP($A147,'[1]ma sp 02'!$A$5:$BD$1101,K$1,0)</f>
        <v>0.04</v>
      </c>
      <c r="L147" s="50">
        <f>VLOOKUP($A147,'[1]ma sp 02'!$A$5:$BD$1101,L$1,0)</f>
        <v>0.52</v>
      </c>
      <c r="M147" s="50">
        <f>VLOOKUP($A147,'[1]ma sp 02'!$A$5:$BD$1101,M$1,0)</f>
        <v>0.46400000000000002</v>
      </c>
      <c r="N147" s="50">
        <f>VLOOKUP($A147,'[1]ma sp 02'!$A$5:$BD$1101,N$1,0)</f>
        <v>0</v>
      </c>
      <c r="O147" s="50">
        <f>VLOOKUP($A147,'[1]ma sp 02'!$A$5:$BD$1101,O$1,0)</f>
        <v>0</v>
      </c>
      <c r="P147" s="50">
        <f>VLOOKUP($A147,'[1]ma sp 02'!$A$5:$BD$1101,P$1,0)</f>
        <v>0.13</v>
      </c>
      <c r="Q147" s="50">
        <f>VLOOKUP($A147,'[1]ma sp 02'!$A$5:$BD$1101,Q$1,0)</f>
        <v>0</v>
      </c>
      <c r="R147" s="50">
        <f>VLOOKUP($A147,'[1]ma sp 02'!$A$5:$BD$1101,R$1,0)</f>
        <v>0.01</v>
      </c>
      <c r="S147" s="50">
        <f>VLOOKUP($A147,'[1]ma sp 02'!$A$5:$BD$1101,S$1,0)</f>
        <v>0</v>
      </c>
      <c r="T147" s="50">
        <f>VLOOKUP($A147,'[1]ma sp 02'!$A$5:$BD$1101,T$1,0)</f>
        <v>0</v>
      </c>
      <c r="U147" s="50">
        <f>VLOOKUP($A147,'[1]ma sp 02'!$A$5:$BD$1101,U$1,0)</f>
        <v>0</v>
      </c>
      <c r="V147" s="50">
        <f>VLOOKUP($A147,'[1]ma sp 02'!$A$5:$BD$1101,V$1,0)</f>
        <v>0</v>
      </c>
      <c r="W147" s="50">
        <f>VLOOKUP($A147,'[1]ma sp 02'!$A$5:$BD$1101,W$1,0)</f>
        <v>0</v>
      </c>
      <c r="X147" s="50">
        <f t="shared" si="4"/>
        <v>8</v>
      </c>
      <c r="Y147" s="57"/>
      <c r="Z147" s="57"/>
      <c r="AA147" s="57"/>
      <c r="AB147" s="57"/>
      <c r="AC147" s="57"/>
      <c r="AD147" s="57"/>
      <c r="AE147" s="58" t="s">
        <v>499</v>
      </c>
      <c r="AF147" s="58" t="s">
        <v>610</v>
      </c>
      <c r="AG147" s="71">
        <f>(0.012*1.4+0.006*2.71+0.075*0.925)*0.8</f>
        <v>8.1948000000000007E-2</v>
      </c>
      <c r="AH147" s="63">
        <f>(2.3/0.75/2)*0.79</f>
        <v>1.2113333333333334</v>
      </c>
      <c r="AI147" s="63">
        <f>(2.3/0.75/2)*0.79</f>
        <v>1.2113333333333334</v>
      </c>
      <c r="AJ147" s="58">
        <v>9530</v>
      </c>
      <c r="AK147" s="58">
        <v>9530</v>
      </c>
      <c r="AL147" s="58" t="s">
        <v>354</v>
      </c>
      <c r="AM147" s="52" t="s">
        <v>611</v>
      </c>
      <c r="AN147" s="58">
        <v>260</v>
      </c>
      <c r="AO147" s="52" t="s">
        <v>612</v>
      </c>
      <c r="AP147" s="59" t="str">
        <f>IFERROR(VLOOKUP($A147,[2]Mssp!$A$5:$BE$1463,AP$4+1,0),0)</f>
        <v>1606159-1</v>
      </c>
      <c r="AQ147" s="59" t="str">
        <f>IFERROR(VLOOKUP($A147,[2]Mssp!$A$5:$BE$1463,AQ$4+1,0),0)</f>
        <v>17111056-2</v>
      </c>
      <c r="AR147" s="59" t="str">
        <f>IFERROR(VLOOKUP($A147,[2]Mssp!$A$5:$BE$1463,AR$4+1,0),0)</f>
        <v>19101151-3</v>
      </c>
      <c r="AS147" s="59" t="str">
        <f>IFERROR(VLOOKUP($A147,[2]Mssp!$A$5:$BE$1463,AS$4+1,0),0)</f>
        <v>1606159-4</v>
      </c>
      <c r="AT147" s="59" t="str">
        <f>IFERROR(VLOOKUP($A147,[2]Mssp!$A$5:$BE$1463,AT$4+1,0),0)</f>
        <v>1606159-5</v>
      </c>
      <c r="AU147" s="59" t="str">
        <f>IFERROR(VLOOKUP($A147,[2]Mssp!$A$5:$BE$1463,AU$4+1,0),0)</f>
        <v>1606159-6</v>
      </c>
      <c r="AV147" s="59" t="str">
        <f>IFERROR(VLOOKUP($A147,[2]Mssp!$A$5:$BE$1463,AV$4+1,0),0)</f>
        <v>1606159-7</v>
      </c>
      <c r="AW147" s="59" t="str">
        <f>IFERROR(VLOOKUP($A147,[2]Mssp!$A$5:$BE$1463,AW$4+1,0),0)</f>
        <v>1606159-8</v>
      </c>
      <c r="AX147" s="59">
        <f>IFERROR(VLOOKUP($A147,[2]Mssp!$A$5:$BE$1463,AX$4+1,0),0)</f>
        <v>0</v>
      </c>
      <c r="AY147" s="59" t="str">
        <f>IFERROR(VLOOKUP($A147,[2]Mssp!$A$5:$BE$1463,AY$4+2,0),0)</f>
        <v>450x850</v>
      </c>
      <c r="AZ147" s="59" t="str">
        <f>IFERROR(VLOOKUP($A147,[2]Mssp!$A$5:$BE$1463,AZ$4+2,0),0)</f>
        <v>D1</v>
      </c>
      <c r="BA147" s="60"/>
      <c r="BB147" s="61" t="s">
        <v>62</v>
      </c>
      <c r="BC147" s="62"/>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c r="CK147" s="9"/>
      <c r="CL147" s="9"/>
      <c r="CM147" s="9"/>
      <c r="CN147" s="9"/>
      <c r="CO147" s="9"/>
      <c r="CP147" s="9"/>
    </row>
    <row r="148" spans="1:94" ht="45" x14ac:dyDescent="0.25">
      <c r="A148" s="50" t="s">
        <v>613</v>
      </c>
      <c r="B148" s="73" t="s">
        <v>614</v>
      </c>
      <c r="C148" s="50">
        <f t="shared" si="5"/>
        <v>7.0790000000000015</v>
      </c>
      <c r="D148" s="58">
        <v>1</v>
      </c>
      <c r="E148" s="58" t="s">
        <v>484</v>
      </c>
      <c r="F148" s="58">
        <v>6</v>
      </c>
      <c r="G148" s="50" t="s">
        <v>114</v>
      </c>
      <c r="H148" s="50">
        <f>VLOOKUP($A148,'[1]ma sp 02'!$A$5:$BD$1101,H$1,0)</f>
        <v>0.53</v>
      </c>
      <c r="I148" s="50">
        <f>VLOOKUP($A148,'[1]ma sp 02'!$A$5:$BD$1101,I$1,0)</f>
        <v>3.8</v>
      </c>
      <c r="J148" s="50">
        <f>VLOOKUP($A148,'[1]ma sp 02'!$A$5:$BD$1101,J$1,0)</f>
        <v>0.53</v>
      </c>
      <c r="K148" s="50">
        <f>VLOOKUP($A148,'[1]ma sp 02'!$A$5:$BD$1101,K$1,0)</f>
        <v>0.23</v>
      </c>
      <c r="L148" s="50">
        <f>VLOOKUP($A148,'[1]ma sp 02'!$A$5:$BD$1101,L$1,0)</f>
        <v>0.7</v>
      </c>
      <c r="M148" s="50">
        <f>VLOOKUP($A148,'[1]ma sp 02'!$A$5:$BD$1101,M$1,0)</f>
        <v>1.169</v>
      </c>
      <c r="N148" s="50">
        <f>VLOOKUP($A148,'[1]ma sp 02'!$A$5:$BD$1101,N$1,0)</f>
        <v>0</v>
      </c>
      <c r="O148" s="50">
        <f>VLOOKUP($A148,'[1]ma sp 02'!$A$5:$BD$1101,O$1,0)</f>
        <v>0</v>
      </c>
      <c r="P148" s="50">
        <f>VLOOKUP($A148,'[1]ma sp 02'!$A$5:$BD$1101,P$1,0)</f>
        <v>0</v>
      </c>
      <c r="Q148" s="50">
        <f>VLOOKUP($A148,'[1]ma sp 02'!$A$5:$BD$1101,Q$1,0)</f>
        <v>0</v>
      </c>
      <c r="R148" s="50">
        <f>VLOOKUP($A148,'[1]ma sp 02'!$A$5:$BD$1101,R$1,0)</f>
        <v>0.12</v>
      </c>
      <c r="S148" s="50">
        <f>VLOOKUP($A148,'[1]ma sp 02'!$A$5:$BD$1101,S$1,0)</f>
        <v>0</v>
      </c>
      <c r="T148" s="50">
        <f>VLOOKUP($A148,'[1]ma sp 02'!$A$5:$BD$1101,T$1,0)</f>
        <v>0</v>
      </c>
      <c r="U148" s="50">
        <f>VLOOKUP($A148,'[1]ma sp 02'!$A$5:$BD$1101,U$1,0)</f>
        <v>0</v>
      </c>
      <c r="V148" s="50">
        <f>VLOOKUP($A148,'[1]ma sp 02'!$A$5:$BD$1101,V$1,0)</f>
        <v>0</v>
      </c>
      <c r="W148" s="50">
        <f>VLOOKUP($A148,'[1]ma sp 02'!$A$5:$BD$1101,W$1,0)</f>
        <v>0</v>
      </c>
      <c r="X148" s="50">
        <f t="shared" si="4"/>
        <v>7</v>
      </c>
      <c r="Y148" s="57"/>
      <c r="Z148" s="57"/>
      <c r="AA148" s="57"/>
      <c r="AB148" s="57"/>
      <c r="AC148" s="57"/>
      <c r="AD148" s="57"/>
      <c r="AE148" s="58" t="s">
        <v>615</v>
      </c>
      <c r="AF148" s="58" t="s">
        <v>616</v>
      </c>
      <c r="AG148" s="71">
        <f>(0.012*1.4+0.006*2.71+0.08*0.925)*0.76</f>
        <v>8.136560000000001E-2</v>
      </c>
      <c r="AH148" s="63">
        <f>(2.5/0.75/2)*0.75</f>
        <v>1.25</v>
      </c>
      <c r="AI148" s="63">
        <f>(3.5/0.75/2)*0.75</f>
        <v>1.75</v>
      </c>
      <c r="AJ148" s="58">
        <v>9530</v>
      </c>
      <c r="AK148" s="57"/>
      <c r="AL148" s="58" t="s">
        <v>617</v>
      </c>
      <c r="AM148" s="52" t="s">
        <v>74</v>
      </c>
      <c r="AN148" s="58">
        <v>275</v>
      </c>
      <c r="AO148" s="52" t="s">
        <v>612</v>
      </c>
      <c r="AP148" s="59" t="str">
        <f>IFERROR(VLOOKUP($A148,[2]Mssp!$A$5:$BE$1463,AP$4+1,0),0)</f>
        <v>21050949-1</v>
      </c>
      <c r="AQ148" s="59" t="str">
        <f>IFERROR(VLOOKUP($A148,[2]Mssp!$A$5:$BE$1463,AQ$4+1,0),0)</f>
        <v>1803821-2</v>
      </c>
      <c r="AR148" s="59" t="str">
        <f>IFERROR(VLOOKUP($A148,[2]Mssp!$A$5:$BE$1463,AR$4+1,0),0)</f>
        <v>21050949-3</v>
      </c>
      <c r="AS148" s="59" t="str">
        <f>IFERROR(VLOOKUP($A148,[2]Mssp!$A$5:$BE$1463,AS$4+1,0),0)</f>
        <v>21050949-4</v>
      </c>
      <c r="AT148" s="59" t="str">
        <f>IFERROR(VLOOKUP($A148,[2]Mssp!$A$5:$BE$1463,AT$4+1,0),0)</f>
        <v>21050949-5</v>
      </c>
      <c r="AU148" s="59" t="str">
        <f>IFERROR(VLOOKUP($A148,[2]Mssp!$A$5:$BE$1463,AU$4+1,0),0)</f>
        <v>1606574-6</v>
      </c>
      <c r="AV148" s="59">
        <f>IFERROR(VLOOKUP($A148,[2]Mssp!$A$5:$BE$1463,AV$4+1,0),0)</f>
        <v>0</v>
      </c>
      <c r="AW148" s="59">
        <f>IFERROR(VLOOKUP($A148,[2]Mssp!$A$5:$BE$1463,AW$4+1,0),0)</f>
        <v>0</v>
      </c>
      <c r="AX148" s="59">
        <f>IFERROR(VLOOKUP($A148,[2]Mssp!$A$5:$BE$1463,AX$4+1,0),0)</f>
        <v>0</v>
      </c>
      <c r="AY148" s="59" t="str">
        <f>IFERROR(VLOOKUP($A148,[2]Mssp!$A$5:$BE$1463,AY$4+2,0),0)</f>
        <v>550x850</v>
      </c>
      <c r="AZ148" s="59" t="str">
        <f>IFERROR(VLOOKUP($A148,[2]Mssp!$A$5:$BE$1463,AZ$4+2,0),0)</f>
        <v>D1</v>
      </c>
      <c r="BA148" s="60"/>
      <c r="BB148" s="61" t="s">
        <v>62</v>
      </c>
      <c r="BC148" s="62"/>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9"/>
      <c r="CK148" s="9"/>
      <c r="CL148" s="9"/>
      <c r="CM148" s="9"/>
      <c r="CN148" s="9"/>
      <c r="CO148" s="9"/>
      <c r="CP148" s="9"/>
    </row>
    <row r="149" spans="1:94" ht="45" x14ac:dyDescent="0.25">
      <c r="A149" s="50" t="s">
        <v>618</v>
      </c>
      <c r="B149" s="73" t="s">
        <v>619</v>
      </c>
      <c r="C149" s="50">
        <f t="shared" si="5"/>
        <v>2.7</v>
      </c>
      <c r="D149" s="58">
        <v>1</v>
      </c>
      <c r="E149" s="58" t="s">
        <v>484</v>
      </c>
      <c r="F149" s="58">
        <v>6</v>
      </c>
      <c r="G149" s="50" t="s">
        <v>114</v>
      </c>
      <c r="H149" s="50">
        <f>VLOOKUP($A149,'[1]ma sp 02'!$A$5:$BD$1101,H$1,0)</f>
        <v>0.2</v>
      </c>
      <c r="I149" s="50">
        <f>VLOOKUP($A149,'[1]ma sp 02'!$A$5:$BD$1101,I$1,0)</f>
        <v>1.2</v>
      </c>
      <c r="J149" s="50">
        <f>VLOOKUP($A149,'[1]ma sp 02'!$A$5:$BD$1101,J$1,0)</f>
        <v>0.4</v>
      </c>
      <c r="K149" s="50">
        <f>VLOOKUP($A149,'[1]ma sp 02'!$A$5:$BD$1101,K$1,0)</f>
        <v>0.2</v>
      </c>
      <c r="L149" s="50">
        <f>VLOOKUP($A149,'[1]ma sp 02'!$A$5:$BD$1101,L$1,0)</f>
        <v>0.5</v>
      </c>
      <c r="M149" s="50">
        <f>VLOOKUP($A149,'[1]ma sp 02'!$A$5:$BD$1101,M$1,0)</f>
        <v>0</v>
      </c>
      <c r="N149" s="50">
        <f>VLOOKUP($A149,'[1]ma sp 02'!$A$5:$BD$1101,N$1,0)</f>
        <v>0</v>
      </c>
      <c r="O149" s="50">
        <f>VLOOKUP($A149,'[1]ma sp 02'!$A$5:$BD$1101,O$1,0)</f>
        <v>0</v>
      </c>
      <c r="P149" s="50">
        <f>VLOOKUP($A149,'[1]ma sp 02'!$A$5:$BD$1101,P$1,0)</f>
        <v>0</v>
      </c>
      <c r="Q149" s="50">
        <f>VLOOKUP($A149,'[1]ma sp 02'!$A$5:$BD$1101,Q$1,0)</f>
        <v>0</v>
      </c>
      <c r="R149" s="50">
        <f>VLOOKUP($A149,'[1]ma sp 02'!$A$5:$BD$1101,R$1,0)</f>
        <v>0.2</v>
      </c>
      <c r="S149" s="50">
        <f>VLOOKUP($A149,'[1]ma sp 02'!$A$5:$BD$1101,S$1,0)</f>
        <v>0</v>
      </c>
      <c r="T149" s="50">
        <f>VLOOKUP($A149,'[1]ma sp 02'!$A$5:$BD$1101,T$1,0)</f>
        <v>0</v>
      </c>
      <c r="U149" s="50">
        <f>VLOOKUP($A149,'[1]ma sp 02'!$A$5:$BD$1101,U$1,0)</f>
        <v>0</v>
      </c>
      <c r="V149" s="50">
        <f>VLOOKUP($A149,'[1]ma sp 02'!$A$5:$BD$1101,V$1,0)</f>
        <v>0</v>
      </c>
      <c r="W149" s="50">
        <f>VLOOKUP($A149,'[1]ma sp 02'!$A$5:$BD$1101,W$1,0)</f>
        <v>0</v>
      </c>
      <c r="X149" s="50">
        <f t="shared" si="4"/>
        <v>6</v>
      </c>
      <c r="Y149" s="57"/>
      <c r="Z149" s="57"/>
      <c r="AA149" s="57"/>
      <c r="AB149" s="57"/>
      <c r="AC149" s="57"/>
      <c r="AD149" s="57"/>
      <c r="AE149" s="58" t="s">
        <v>615</v>
      </c>
      <c r="AF149" s="58" t="s">
        <v>620</v>
      </c>
      <c r="AG149" s="71">
        <f>(0.012*1.4+0.006*2.71+0.08*0.925)*0.76</f>
        <v>8.136560000000001E-2</v>
      </c>
      <c r="AH149" s="63">
        <f>(2.5/0.75/2)*0.75</f>
        <v>1.25</v>
      </c>
      <c r="AI149" s="63">
        <f>(3.5/0.75/2)*0.75</f>
        <v>1.75</v>
      </c>
      <c r="AJ149" s="58">
        <v>9530</v>
      </c>
      <c r="AK149" s="57"/>
      <c r="AL149" s="58" t="s">
        <v>617</v>
      </c>
      <c r="AM149" s="52" t="s">
        <v>74</v>
      </c>
      <c r="AN149" s="58">
        <v>275</v>
      </c>
      <c r="AO149" s="52" t="s">
        <v>612</v>
      </c>
      <c r="AP149" s="59" t="str">
        <f>IFERROR(VLOOKUP($A149,[2]Mssp!$A$5:$BE$1463,AP$4+1,0),0)</f>
        <v>1803821-1</v>
      </c>
      <c r="AQ149" s="59" t="str">
        <f>IFERROR(VLOOKUP($A149,[2]Mssp!$A$5:$BE$1463,AQ$4+1,0),0)</f>
        <v>1803821-2</v>
      </c>
      <c r="AR149" s="59" t="str">
        <f>IFERROR(VLOOKUP($A149,[2]Mssp!$A$5:$BE$1463,AR$4+1,0),0)</f>
        <v>1803821-3</v>
      </c>
      <c r="AS149" s="59" t="str">
        <f>IFERROR(VLOOKUP($A149,[2]Mssp!$A$5:$BE$1463,AS$4+1,0),0)</f>
        <v>1606575-4</v>
      </c>
      <c r="AT149" s="59" t="str">
        <f>IFERROR(VLOOKUP($A149,[2]Mssp!$A$5:$BE$1463,AT$4+1,0),0)</f>
        <v>1803821-5</v>
      </c>
      <c r="AU149" s="59" t="str">
        <f>IFERROR(VLOOKUP($A149,[2]Mssp!$A$5:$BE$1463,AU$4+1,0),0)</f>
        <v>1606574-6</v>
      </c>
      <c r="AV149" s="59">
        <f>IFERROR(VLOOKUP($A149,[2]Mssp!$A$5:$BE$1463,AV$4+1,0),0)</f>
        <v>0</v>
      </c>
      <c r="AW149" s="59">
        <f>IFERROR(VLOOKUP($A149,[2]Mssp!$A$5:$BE$1463,AW$4+1,0),0)</f>
        <v>0</v>
      </c>
      <c r="AX149" s="59">
        <f>IFERROR(VLOOKUP($A149,[2]Mssp!$A$5:$BE$1463,AX$4+1,0),0)</f>
        <v>0</v>
      </c>
      <c r="AY149" s="59" t="str">
        <f>IFERROR(VLOOKUP($A149,[2]Mssp!$A$5:$BE$1463,AY$4+2,0),0)</f>
        <v>550x850</v>
      </c>
      <c r="AZ149" s="59" t="str">
        <f>IFERROR(VLOOKUP($A149,[2]Mssp!$A$5:$BE$1463,AZ$4+2,0),0)</f>
        <v>D1</v>
      </c>
      <c r="BA149" s="60"/>
      <c r="BB149" s="61" t="s">
        <v>62</v>
      </c>
      <c r="BC149" s="62"/>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c r="CP149" s="9"/>
    </row>
    <row r="150" spans="1:94" ht="45" x14ac:dyDescent="0.25">
      <c r="A150" s="50" t="s">
        <v>621</v>
      </c>
      <c r="B150" s="51" t="s">
        <v>622</v>
      </c>
      <c r="C150" s="50">
        <f t="shared" si="5"/>
        <v>3.9</v>
      </c>
      <c r="D150" s="50">
        <v>7</v>
      </c>
      <c r="E150" s="50" t="s">
        <v>623</v>
      </c>
      <c r="F150" s="50">
        <v>6</v>
      </c>
      <c r="G150" s="50" t="s">
        <v>114</v>
      </c>
      <c r="H150" s="50">
        <f>VLOOKUP($A150,'[1]ma sp 02'!$A$5:$BD$1101,H$1,0)</f>
        <v>0.1</v>
      </c>
      <c r="I150" s="50">
        <f>VLOOKUP($A150,'[1]ma sp 02'!$A$5:$BD$1101,I$1,0)</f>
        <v>1.7</v>
      </c>
      <c r="J150" s="50">
        <f>VLOOKUP($A150,'[1]ma sp 02'!$A$5:$BD$1101,J$1,0)</f>
        <v>0.3</v>
      </c>
      <c r="K150" s="50">
        <f>VLOOKUP($A150,'[1]ma sp 02'!$A$5:$BD$1101,K$1,0)</f>
        <v>0.3</v>
      </c>
      <c r="L150" s="50">
        <f>VLOOKUP($A150,'[1]ma sp 02'!$A$5:$BD$1101,L$1,0)</f>
        <v>0.2</v>
      </c>
      <c r="M150" s="50">
        <f>VLOOKUP($A150,'[1]ma sp 02'!$A$5:$BD$1101,M$1,0)</f>
        <v>1.2</v>
      </c>
      <c r="N150" s="50">
        <f>VLOOKUP($A150,'[1]ma sp 02'!$A$5:$BD$1101,N$1,0)</f>
        <v>0</v>
      </c>
      <c r="O150" s="50">
        <f>VLOOKUP($A150,'[1]ma sp 02'!$A$5:$BD$1101,O$1,0)</f>
        <v>0.1</v>
      </c>
      <c r="P150" s="50">
        <f>VLOOKUP($A150,'[1]ma sp 02'!$A$5:$BD$1101,P$1,0)</f>
        <v>0</v>
      </c>
      <c r="Q150" s="50">
        <f>VLOOKUP($A150,'[1]ma sp 02'!$A$5:$BD$1101,Q$1,0)</f>
        <v>0</v>
      </c>
      <c r="R150" s="50">
        <f>VLOOKUP($A150,'[1]ma sp 02'!$A$5:$BD$1101,R$1,0)</f>
        <v>0</v>
      </c>
      <c r="S150" s="50">
        <f>VLOOKUP($A150,'[1]ma sp 02'!$A$5:$BD$1101,S$1,0)</f>
        <v>0</v>
      </c>
      <c r="T150" s="50">
        <f>VLOOKUP($A150,'[1]ma sp 02'!$A$5:$BD$1101,T$1,0)</f>
        <v>0</v>
      </c>
      <c r="U150" s="50">
        <f>VLOOKUP($A150,'[1]ma sp 02'!$A$5:$BD$1101,U$1,0)</f>
        <v>0</v>
      </c>
      <c r="V150" s="50">
        <f>VLOOKUP($A150,'[1]ma sp 02'!$A$5:$BD$1101,V$1,0)</f>
        <v>0</v>
      </c>
      <c r="W150" s="50">
        <f>VLOOKUP($A150,'[1]ma sp 02'!$A$5:$BD$1101,W$1,0)</f>
        <v>0</v>
      </c>
      <c r="X150" s="50">
        <f t="shared" si="4"/>
        <v>7</v>
      </c>
      <c r="Y150" s="50"/>
      <c r="Z150" s="50"/>
      <c r="AA150" s="50"/>
      <c r="AB150" s="50"/>
      <c r="AC150" s="50"/>
      <c r="AD150" s="50"/>
      <c r="AE150" s="50" t="s">
        <v>624</v>
      </c>
      <c r="AF150" s="50" t="s">
        <v>625</v>
      </c>
      <c r="AG150" s="93">
        <f>(0.012*1.4+0.006*2.71+0.075*0.925)*0.69</f>
        <v>7.0680149999999997E-2</v>
      </c>
      <c r="AH150" s="75">
        <f>(2.3/0.75/2)*0.68</f>
        <v>1.0426666666666666</v>
      </c>
      <c r="AI150" s="75">
        <f>(2.3/0.75/2)*0.68</f>
        <v>1.0426666666666666</v>
      </c>
      <c r="AJ150" s="50">
        <v>9530</v>
      </c>
      <c r="AK150" s="50"/>
      <c r="AL150" s="50" t="s">
        <v>354</v>
      </c>
      <c r="AM150" s="52" t="s">
        <v>611</v>
      </c>
      <c r="AN150" s="58">
        <v>96</v>
      </c>
      <c r="AO150" s="52" t="s">
        <v>612</v>
      </c>
      <c r="AP150" s="59">
        <f>IFERROR(VLOOKUP($A150,[2]Mssp!$A$5:$BE$1463,AP$4+1,0),0)</f>
        <v>0</v>
      </c>
      <c r="AQ150" s="59">
        <f>IFERROR(VLOOKUP($A150,[2]Mssp!$A$5:$BE$1463,AQ$4+1,0),0)</f>
        <v>0</v>
      </c>
      <c r="AR150" s="59">
        <f>IFERROR(VLOOKUP($A150,[2]Mssp!$A$5:$BE$1463,AR$4+1,0),0)</f>
        <v>0</v>
      </c>
      <c r="AS150" s="59">
        <f>IFERROR(VLOOKUP($A150,[2]Mssp!$A$5:$BE$1463,AS$4+1,0),0)</f>
        <v>0</v>
      </c>
      <c r="AT150" s="59">
        <f>IFERROR(VLOOKUP($A150,[2]Mssp!$A$5:$BE$1463,AT$4+1,0),0)</f>
        <v>0</v>
      </c>
      <c r="AU150" s="59">
        <f>IFERROR(VLOOKUP($A150,[2]Mssp!$A$5:$BE$1463,AU$4+1,0),0)</f>
        <v>0</v>
      </c>
      <c r="AV150" s="59">
        <f>IFERROR(VLOOKUP($A150,[2]Mssp!$A$5:$BE$1463,AV$4+1,0),0)</f>
        <v>0</v>
      </c>
      <c r="AW150" s="59">
        <f>IFERROR(VLOOKUP($A150,[2]Mssp!$A$5:$BE$1463,AW$4+1,0),0)</f>
        <v>0</v>
      </c>
      <c r="AX150" s="59">
        <f>IFERROR(VLOOKUP($A150,[2]Mssp!$A$5:$BE$1463,AX$4+1,0),0)</f>
        <v>0</v>
      </c>
      <c r="AY150" s="59">
        <f>IFERROR(VLOOKUP($A150,[2]Mssp!$A$5:$BE$1463,AY$4+2,0),0)</f>
        <v>0</v>
      </c>
      <c r="AZ150" s="59">
        <f>IFERROR(VLOOKUP($A150,[2]Mssp!$A$5:$BE$1463,AZ$4+2,0),0)</f>
        <v>0</v>
      </c>
      <c r="BA150" s="60"/>
      <c r="BB150" s="61" t="s">
        <v>107</v>
      </c>
      <c r="BC150" s="62"/>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9"/>
      <c r="CK150" s="9"/>
      <c r="CL150" s="9"/>
      <c r="CM150" s="9"/>
      <c r="CN150" s="9"/>
      <c r="CO150" s="9"/>
      <c r="CP150" s="9"/>
    </row>
    <row r="151" spans="1:94" ht="45" x14ac:dyDescent="0.25">
      <c r="A151" s="50" t="s">
        <v>626</v>
      </c>
      <c r="B151" s="73" t="s">
        <v>627</v>
      </c>
      <c r="C151" s="50">
        <f t="shared" si="5"/>
        <v>4.2699999999999996</v>
      </c>
      <c r="D151" s="58">
        <v>4</v>
      </c>
      <c r="E151" s="58" t="s">
        <v>113</v>
      </c>
      <c r="F151" s="58">
        <v>7</v>
      </c>
      <c r="G151" s="50" t="s">
        <v>114</v>
      </c>
      <c r="H151" s="50">
        <f>VLOOKUP($A151,'[1]ma sp 02'!$A$5:$BD$1101,H$1,0)</f>
        <v>0.21</v>
      </c>
      <c r="I151" s="50">
        <f>VLOOKUP($A151,'[1]ma sp 02'!$A$5:$BD$1101,I$1,0)</f>
        <v>2.6</v>
      </c>
      <c r="J151" s="50">
        <f>VLOOKUP($A151,'[1]ma sp 02'!$A$5:$BD$1101,J$1,0)</f>
        <v>0.17</v>
      </c>
      <c r="K151" s="50">
        <f>VLOOKUP($A151,'[1]ma sp 02'!$A$5:$BD$1101,K$1,0)</f>
        <v>0.17</v>
      </c>
      <c r="L151" s="50">
        <f>VLOOKUP($A151,'[1]ma sp 02'!$A$5:$BD$1101,L$1,0)</f>
        <v>0.32</v>
      </c>
      <c r="M151" s="50">
        <f>VLOOKUP($A151,'[1]ma sp 02'!$A$5:$BD$1101,M$1,0)</f>
        <v>0.3</v>
      </c>
      <c r="N151" s="50">
        <f>VLOOKUP($A151,'[1]ma sp 02'!$A$5:$BD$1101,N$1,0)</f>
        <v>0</v>
      </c>
      <c r="O151" s="50">
        <f>VLOOKUP($A151,'[1]ma sp 02'!$A$5:$BD$1101,O$1,0)</f>
        <v>0</v>
      </c>
      <c r="P151" s="50">
        <f>VLOOKUP($A151,'[1]ma sp 02'!$A$5:$BD$1101,P$1,0)</f>
        <v>0.27</v>
      </c>
      <c r="Q151" s="50">
        <f>VLOOKUP($A151,'[1]ma sp 02'!$A$5:$BD$1101,Q$1,0)</f>
        <v>0</v>
      </c>
      <c r="R151" s="50">
        <f>VLOOKUP($A151,'[1]ma sp 02'!$A$5:$BD$1101,R$1,0)</f>
        <v>0.23</v>
      </c>
      <c r="S151" s="50">
        <f>VLOOKUP($A151,'[1]ma sp 02'!$A$5:$BD$1101,S$1,0)</f>
        <v>0</v>
      </c>
      <c r="T151" s="50">
        <f>VLOOKUP($A151,'[1]ma sp 02'!$A$5:$BD$1101,T$1,0)</f>
        <v>0</v>
      </c>
      <c r="U151" s="50">
        <f>VLOOKUP($A151,'[1]ma sp 02'!$A$5:$BD$1101,U$1,0)</f>
        <v>0</v>
      </c>
      <c r="V151" s="50">
        <f>VLOOKUP($A151,'[1]ma sp 02'!$A$5:$BD$1101,V$1,0)</f>
        <v>0</v>
      </c>
      <c r="W151" s="50">
        <f>VLOOKUP($A151,'[1]ma sp 02'!$A$5:$BD$1101,W$1,0)</f>
        <v>0</v>
      </c>
      <c r="X151" s="50">
        <f t="shared" si="4"/>
        <v>8</v>
      </c>
      <c r="Y151" s="57"/>
      <c r="Z151" s="57"/>
      <c r="AA151" s="57"/>
      <c r="AB151" s="57"/>
      <c r="AC151" s="57"/>
      <c r="AD151" s="57"/>
      <c r="AE151" s="58" t="s">
        <v>628</v>
      </c>
      <c r="AF151" s="58" t="s">
        <v>629</v>
      </c>
      <c r="AG151" s="71">
        <f>(0.012*1.4+0.006*2.71+0.075*0.925)*0.74</f>
        <v>7.5801899999999992E-2</v>
      </c>
      <c r="AH151" s="63">
        <f>(2.3/0.75/2)*0.73</f>
        <v>1.1193333333333333</v>
      </c>
      <c r="AI151" s="63">
        <f>(2.3/0.75/2)*0.73</f>
        <v>1.1193333333333333</v>
      </c>
      <c r="AJ151" s="58">
        <v>9530</v>
      </c>
      <c r="AK151" s="58">
        <v>9530</v>
      </c>
      <c r="AL151" s="58" t="s">
        <v>354</v>
      </c>
      <c r="AM151" s="52" t="s">
        <v>611</v>
      </c>
      <c r="AN151" s="58">
        <v>180</v>
      </c>
      <c r="AO151" s="52" t="s">
        <v>612</v>
      </c>
      <c r="AP151" s="59" t="str">
        <f>IFERROR(VLOOKUP($A151,[2]Mssp!$A$5:$BE$1463,AP$4+1,0),0)</f>
        <v>F114487G7-1</v>
      </c>
      <c r="AQ151" s="59" t="str">
        <f>IFERROR(VLOOKUP($A151,[2]Mssp!$A$5:$BE$1463,AQ$4+1,0),0)</f>
        <v>F114487-2</v>
      </c>
      <c r="AR151" s="59" t="str">
        <f>IFERROR(VLOOKUP($A151,[2]Mssp!$A$5:$BE$1463,AR$4+1,0),0)</f>
        <v>F114487-3</v>
      </c>
      <c r="AS151" s="59" t="str">
        <f>IFERROR(VLOOKUP($A151,[2]Mssp!$A$5:$BE$1463,AS$4+1,0),0)</f>
        <v>F114487G8-4</v>
      </c>
      <c r="AT151" s="59" t="str">
        <f>IFERROR(VLOOKUP($A151,[2]Mssp!$A$5:$BE$1463,AT$4+1,0),0)</f>
        <v>F114487-5</v>
      </c>
      <c r="AU151" s="59" t="str">
        <f>IFERROR(VLOOKUP($A151,[2]Mssp!$A$5:$BE$1463,AU$4+1,0),0)</f>
        <v>F114487-6</v>
      </c>
      <c r="AV151" s="59" t="str">
        <f>IFERROR(VLOOKUP($A151,[2]Mssp!$A$5:$BE$1463,AV$4+1,0),0)</f>
        <v>F114487-7</v>
      </c>
      <c r="AW151" s="59">
        <f>IFERROR(VLOOKUP($A151,[2]Mssp!$A$5:$BE$1463,AW$4+1,0),0)</f>
        <v>0</v>
      </c>
      <c r="AX151" s="59">
        <f>IFERROR(VLOOKUP($A151,[2]Mssp!$A$5:$BE$1463,AX$4+1,0),0)</f>
        <v>0</v>
      </c>
      <c r="AY151" s="59" t="str">
        <f>IFERROR(VLOOKUP($A151,[2]Mssp!$A$5:$BE$1463,AY$4+2,0),0)</f>
        <v>456x840</v>
      </c>
      <c r="AZ151" s="59" t="str">
        <f>IFERROR(VLOOKUP($A151,[2]Mssp!$A$5:$BE$1463,AZ$4+2,0),0)</f>
        <v>D1</v>
      </c>
      <c r="BA151" s="60"/>
      <c r="BB151" s="61" t="s">
        <v>107</v>
      </c>
      <c r="BC151" s="62"/>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c r="CK151" s="9"/>
      <c r="CL151" s="9"/>
      <c r="CM151" s="9"/>
      <c r="CN151" s="9"/>
      <c r="CO151" s="9"/>
      <c r="CP151" s="9"/>
    </row>
    <row r="152" spans="1:94" ht="45" x14ac:dyDescent="0.25">
      <c r="A152" s="50" t="s">
        <v>630</v>
      </c>
      <c r="B152" s="73" t="s">
        <v>631</v>
      </c>
      <c r="C152" s="50">
        <f t="shared" si="5"/>
        <v>3.1169999999999995</v>
      </c>
      <c r="D152" s="58">
        <v>7</v>
      </c>
      <c r="E152" s="58" t="s">
        <v>623</v>
      </c>
      <c r="F152" s="58">
        <v>6</v>
      </c>
      <c r="G152" s="50" t="s">
        <v>114</v>
      </c>
      <c r="H152" s="50">
        <f>VLOOKUP($A152,'[1]ma sp 02'!$A$5:$BD$1101,H$1,0)</f>
        <v>0.14000000000000001</v>
      </c>
      <c r="I152" s="50">
        <f>VLOOKUP($A152,'[1]ma sp 02'!$A$5:$BD$1101,I$1,0)</f>
        <v>1.84</v>
      </c>
      <c r="J152" s="50">
        <f>VLOOKUP($A152,'[1]ma sp 02'!$A$5:$BD$1101,J$1,0)</f>
        <v>0.38</v>
      </c>
      <c r="K152" s="50">
        <f>VLOOKUP($A152,'[1]ma sp 02'!$A$5:$BD$1101,K$1,0)</f>
        <v>0.01</v>
      </c>
      <c r="L152" s="50">
        <f>VLOOKUP($A152,'[1]ma sp 02'!$A$5:$BD$1101,L$1,0)</f>
        <v>0.31</v>
      </c>
      <c r="M152" s="50">
        <f>VLOOKUP($A152,'[1]ma sp 02'!$A$5:$BD$1101,M$1,0)</f>
        <v>0.20699999999999999</v>
      </c>
      <c r="N152" s="50">
        <f>VLOOKUP($A152,'[1]ma sp 02'!$A$5:$BD$1101,N$1,0)</f>
        <v>0</v>
      </c>
      <c r="O152" s="50">
        <f>VLOOKUP($A152,'[1]ma sp 02'!$A$5:$BD$1101,O$1,0)</f>
        <v>0.23</v>
      </c>
      <c r="P152" s="50">
        <f>VLOOKUP($A152,'[1]ma sp 02'!$A$5:$BD$1101,P$1,0)</f>
        <v>0</v>
      </c>
      <c r="Q152" s="50">
        <f>VLOOKUP($A152,'[1]ma sp 02'!$A$5:$BD$1101,Q$1,0)</f>
        <v>0</v>
      </c>
      <c r="R152" s="50">
        <f>VLOOKUP($A152,'[1]ma sp 02'!$A$5:$BD$1101,R$1,0)</f>
        <v>0</v>
      </c>
      <c r="S152" s="50">
        <f>VLOOKUP($A152,'[1]ma sp 02'!$A$5:$BD$1101,S$1,0)</f>
        <v>0</v>
      </c>
      <c r="T152" s="50">
        <f>VLOOKUP($A152,'[1]ma sp 02'!$A$5:$BD$1101,T$1,0)</f>
        <v>0</v>
      </c>
      <c r="U152" s="50">
        <f>VLOOKUP($A152,'[1]ma sp 02'!$A$5:$BD$1101,U$1,0)</f>
        <v>0</v>
      </c>
      <c r="V152" s="50">
        <f>VLOOKUP($A152,'[1]ma sp 02'!$A$5:$BD$1101,V$1,0)</f>
        <v>0</v>
      </c>
      <c r="W152" s="50">
        <f>VLOOKUP($A152,'[1]ma sp 02'!$A$5:$BD$1101,W$1,0)</f>
        <v>0</v>
      </c>
      <c r="X152" s="50">
        <f t="shared" si="4"/>
        <v>7</v>
      </c>
      <c r="Y152" s="57"/>
      <c r="Z152" s="57"/>
      <c r="AA152" s="57"/>
      <c r="AB152" s="57"/>
      <c r="AC152" s="57"/>
      <c r="AD152" s="57"/>
      <c r="AE152" s="58" t="s">
        <v>624</v>
      </c>
      <c r="AF152" s="50" t="s">
        <v>625</v>
      </c>
      <c r="AG152" s="71">
        <f>(0.012*1.4+0.006*2.71+0.075*0.92)*0.69</f>
        <v>7.0421400000000009E-2</v>
      </c>
      <c r="AH152" s="63">
        <f>(2.3/0.75/2)*0.68</f>
        <v>1.0426666666666666</v>
      </c>
      <c r="AI152" s="63">
        <f>(2.3/0.75/2)*0.68</f>
        <v>1.0426666666666666</v>
      </c>
      <c r="AJ152" s="58">
        <v>9530</v>
      </c>
      <c r="AK152" s="58">
        <v>9530</v>
      </c>
      <c r="AL152" s="58" t="s">
        <v>354</v>
      </c>
      <c r="AM152" s="52" t="s">
        <v>611</v>
      </c>
      <c r="AN152" s="58">
        <v>96</v>
      </c>
      <c r="AO152" s="52" t="s">
        <v>612</v>
      </c>
      <c r="AP152" s="59">
        <f>IFERROR(VLOOKUP($A152,[2]Mssp!$A$5:$BE$1463,AP$4+1,0),0)</f>
        <v>0</v>
      </c>
      <c r="AQ152" s="59">
        <f>IFERROR(VLOOKUP($A152,[2]Mssp!$A$5:$BE$1463,AQ$4+1,0),0)</f>
        <v>0</v>
      </c>
      <c r="AR152" s="59">
        <f>IFERROR(VLOOKUP($A152,[2]Mssp!$A$5:$BE$1463,AR$4+1,0),0)</f>
        <v>0</v>
      </c>
      <c r="AS152" s="59">
        <f>IFERROR(VLOOKUP($A152,[2]Mssp!$A$5:$BE$1463,AS$4+1,0),0)</f>
        <v>0</v>
      </c>
      <c r="AT152" s="59">
        <f>IFERROR(VLOOKUP($A152,[2]Mssp!$A$5:$BE$1463,AT$4+1,0),0)</f>
        <v>0</v>
      </c>
      <c r="AU152" s="59">
        <f>IFERROR(VLOOKUP($A152,[2]Mssp!$A$5:$BE$1463,AU$4+1,0),0)</f>
        <v>0</v>
      </c>
      <c r="AV152" s="59">
        <f>IFERROR(VLOOKUP($A152,[2]Mssp!$A$5:$BE$1463,AV$4+1,0),0)</f>
        <v>0</v>
      </c>
      <c r="AW152" s="59">
        <f>IFERROR(VLOOKUP($A152,[2]Mssp!$A$5:$BE$1463,AW$4+1,0),0)</f>
        <v>0</v>
      </c>
      <c r="AX152" s="59">
        <f>IFERROR(VLOOKUP($A152,[2]Mssp!$A$5:$BE$1463,AX$4+1,0),0)</f>
        <v>0</v>
      </c>
      <c r="AY152" s="59">
        <f>IFERROR(VLOOKUP($A152,[2]Mssp!$A$5:$BE$1463,AY$4+2,0),0)</f>
        <v>0</v>
      </c>
      <c r="AZ152" s="59">
        <f>IFERROR(VLOOKUP($A152,[2]Mssp!$A$5:$BE$1463,AZ$4+2,0),0)</f>
        <v>0</v>
      </c>
      <c r="BA152" s="60"/>
      <c r="BB152" s="61" t="s">
        <v>107</v>
      </c>
      <c r="BC152" s="62"/>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9"/>
      <c r="CK152" s="9"/>
      <c r="CL152" s="9"/>
      <c r="CM152" s="9"/>
      <c r="CN152" s="9"/>
      <c r="CO152" s="9"/>
      <c r="CP152" s="9"/>
    </row>
    <row r="153" spans="1:94" ht="45" x14ac:dyDescent="0.25">
      <c r="A153" s="50" t="s">
        <v>632</v>
      </c>
      <c r="B153" s="73" t="s">
        <v>633</v>
      </c>
      <c r="C153" s="50">
        <f t="shared" si="5"/>
        <v>4.0649999999999995</v>
      </c>
      <c r="D153" s="58">
        <v>7</v>
      </c>
      <c r="E153" s="58" t="s">
        <v>623</v>
      </c>
      <c r="F153" s="58">
        <v>6</v>
      </c>
      <c r="G153" s="50" t="s">
        <v>114</v>
      </c>
      <c r="H153" s="50">
        <f>VLOOKUP($A153,'[1]ma sp 02'!$A$5:$BD$1101,H$1,0)</f>
        <v>0.11</v>
      </c>
      <c r="I153" s="50">
        <f>VLOOKUP($A153,'[1]ma sp 02'!$A$5:$BD$1101,I$1,0)</f>
        <v>1.59</v>
      </c>
      <c r="J153" s="50">
        <f>VLOOKUP($A153,'[1]ma sp 02'!$A$5:$BD$1101,J$1,0)</f>
        <v>0.51</v>
      </c>
      <c r="K153" s="50">
        <f>VLOOKUP($A153,'[1]ma sp 02'!$A$5:$BD$1101,K$1,0)</f>
        <v>0.34</v>
      </c>
      <c r="L153" s="50">
        <f>VLOOKUP($A153,'[1]ma sp 02'!$A$5:$BD$1101,L$1,0)</f>
        <v>1.01</v>
      </c>
      <c r="M153" s="50">
        <f>VLOOKUP($A153,'[1]ma sp 02'!$A$5:$BD$1101,M$1,0)</f>
        <v>0.495</v>
      </c>
      <c r="N153" s="50">
        <f>VLOOKUP($A153,'[1]ma sp 02'!$A$5:$BD$1101,N$1,0)</f>
        <v>0</v>
      </c>
      <c r="O153" s="50">
        <f>VLOOKUP($A153,'[1]ma sp 02'!$A$5:$BD$1101,O$1,0)</f>
        <v>0.01</v>
      </c>
      <c r="P153" s="50">
        <f>VLOOKUP($A153,'[1]ma sp 02'!$A$5:$BD$1101,P$1,0)</f>
        <v>0</v>
      </c>
      <c r="Q153" s="50">
        <f>VLOOKUP($A153,'[1]ma sp 02'!$A$5:$BD$1101,Q$1,0)</f>
        <v>0</v>
      </c>
      <c r="R153" s="50">
        <f>VLOOKUP($A153,'[1]ma sp 02'!$A$5:$BD$1101,R$1,0)</f>
        <v>0</v>
      </c>
      <c r="S153" s="50">
        <f>VLOOKUP($A153,'[1]ma sp 02'!$A$5:$BD$1101,S$1,0)</f>
        <v>0</v>
      </c>
      <c r="T153" s="50">
        <f>VLOOKUP($A153,'[1]ma sp 02'!$A$5:$BD$1101,T$1,0)</f>
        <v>0</v>
      </c>
      <c r="U153" s="50">
        <f>VLOOKUP($A153,'[1]ma sp 02'!$A$5:$BD$1101,U$1,0)</f>
        <v>0</v>
      </c>
      <c r="V153" s="50">
        <f>VLOOKUP($A153,'[1]ma sp 02'!$A$5:$BD$1101,V$1,0)</f>
        <v>0</v>
      </c>
      <c r="W153" s="50">
        <f>VLOOKUP($A153,'[1]ma sp 02'!$A$5:$BD$1101,W$1,0)</f>
        <v>0</v>
      </c>
      <c r="X153" s="50">
        <f t="shared" si="4"/>
        <v>7</v>
      </c>
      <c r="Y153" s="57"/>
      <c r="Z153" s="57"/>
      <c r="AA153" s="57"/>
      <c r="AB153" s="57"/>
      <c r="AC153" s="57"/>
      <c r="AD153" s="57"/>
      <c r="AE153" s="58" t="s">
        <v>624</v>
      </c>
      <c r="AF153" s="50" t="s">
        <v>625</v>
      </c>
      <c r="AG153" s="71">
        <f>(0.012*1.4+0.006*2.71+0.075*0.92)*0.69</f>
        <v>7.0421400000000009E-2</v>
      </c>
      <c r="AH153" s="63">
        <f>(2.3/0.75/2)*0.68</f>
        <v>1.0426666666666666</v>
      </c>
      <c r="AI153" s="63">
        <f>(2.3/0.75/2)*0.68</f>
        <v>1.0426666666666666</v>
      </c>
      <c r="AJ153" s="58">
        <v>9530</v>
      </c>
      <c r="AK153" s="58">
        <v>9530</v>
      </c>
      <c r="AL153" s="58" t="s">
        <v>354</v>
      </c>
      <c r="AM153" s="52" t="s">
        <v>611</v>
      </c>
      <c r="AN153" s="58">
        <v>96</v>
      </c>
      <c r="AO153" s="52" t="s">
        <v>612</v>
      </c>
      <c r="AP153" s="59">
        <f>IFERROR(VLOOKUP($A153,[2]Mssp!$A$5:$BE$1463,AP$4+1,0),0)</f>
        <v>0</v>
      </c>
      <c r="AQ153" s="59">
        <f>IFERROR(VLOOKUP($A153,[2]Mssp!$A$5:$BE$1463,AQ$4+1,0),0)</f>
        <v>0</v>
      </c>
      <c r="AR153" s="59">
        <f>IFERROR(VLOOKUP($A153,[2]Mssp!$A$5:$BE$1463,AR$4+1,0),0)</f>
        <v>0</v>
      </c>
      <c r="AS153" s="59">
        <f>IFERROR(VLOOKUP($A153,[2]Mssp!$A$5:$BE$1463,AS$4+1,0),0)</f>
        <v>0</v>
      </c>
      <c r="AT153" s="59">
        <f>IFERROR(VLOOKUP($A153,[2]Mssp!$A$5:$BE$1463,AT$4+1,0),0)</f>
        <v>0</v>
      </c>
      <c r="AU153" s="59">
        <f>IFERROR(VLOOKUP($A153,[2]Mssp!$A$5:$BE$1463,AU$4+1,0),0)</f>
        <v>0</v>
      </c>
      <c r="AV153" s="59">
        <f>IFERROR(VLOOKUP($A153,[2]Mssp!$A$5:$BE$1463,AV$4+1,0),0)</f>
        <v>0</v>
      </c>
      <c r="AW153" s="59">
        <f>IFERROR(VLOOKUP($A153,[2]Mssp!$A$5:$BE$1463,AW$4+1,0),0)</f>
        <v>0</v>
      </c>
      <c r="AX153" s="59">
        <f>IFERROR(VLOOKUP($A153,[2]Mssp!$A$5:$BE$1463,AX$4+1,0),0)</f>
        <v>0</v>
      </c>
      <c r="AY153" s="59">
        <f>IFERROR(VLOOKUP($A153,[2]Mssp!$A$5:$BE$1463,AY$4+2,0),0)</f>
        <v>0</v>
      </c>
      <c r="AZ153" s="59">
        <f>IFERROR(VLOOKUP($A153,[2]Mssp!$A$5:$BE$1463,AZ$4+2,0),0)</f>
        <v>0</v>
      </c>
      <c r="BA153" s="60"/>
      <c r="BB153" s="61" t="s">
        <v>107</v>
      </c>
      <c r="BC153" s="62"/>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c r="CK153" s="9"/>
      <c r="CL153" s="9"/>
      <c r="CM153" s="9"/>
      <c r="CN153" s="9"/>
      <c r="CO153" s="9"/>
      <c r="CP153" s="9"/>
    </row>
    <row r="154" spans="1:94" ht="45" x14ac:dyDescent="0.25">
      <c r="A154" s="50" t="s">
        <v>634</v>
      </c>
      <c r="B154" s="73" t="s">
        <v>635</v>
      </c>
      <c r="C154" s="50">
        <f t="shared" si="5"/>
        <v>0.1</v>
      </c>
      <c r="D154" s="58">
        <v>3</v>
      </c>
      <c r="E154" s="57" t="s">
        <v>636</v>
      </c>
      <c r="F154" s="58">
        <v>1</v>
      </c>
      <c r="G154" s="50" t="s">
        <v>530</v>
      </c>
      <c r="H154" s="50">
        <f>VLOOKUP($A154,'[1]ma sp 02'!$A$5:$BD$1101,H$1,0)</f>
        <v>0.1</v>
      </c>
      <c r="I154" s="50">
        <f>VLOOKUP($A154,'[1]ma sp 02'!$A$5:$BD$1101,I$1,0)</f>
        <v>0</v>
      </c>
      <c r="J154" s="50">
        <f>VLOOKUP($A154,'[1]ma sp 02'!$A$5:$BD$1101,J$1,0)</f>
        <v>0</v>
      </c>
      <c r="K154" s="50">
        <f>VLOOKUP($A154,'[1]ma sp 02'!$A$5:$BD$1101,K$1,0)</f>
        <v>0</v>
      </c>
      <c r="L154" s="50">
        <f>VLOOKUP($A154,'[1]ma sp 02'!$A$5:$BD$1101,L$1,0)</f>
        <v>0</v>
      </c>
      <c r="M154" s="50">
        <f>VLOOKUP($A154,'[1]ma sp 02'!$A$5:$BD$1101,M$1,0)</f>
        <v>0</v>
      </c>
      <c r="N154" s="50">
        <f>VLOOKUP($A154,'[1]ma sp 02'!$A$5:$BD$1101,N$1,0)</f>
        <v>0</v>
      </c>
      <c r="O154" s="50">
        <f>VLOOKUP($A154,'[1]ma sp 02'!$A$5:$BD$1101,O$1,0)</f>
        <v>0</v>
      </c>
      <c r="P154" s="50">
        <f>VLOOKUP($A154,'[1]ma sp 02'!$A$5:$BD$1101,P$1,0)</f>
        <v>0</v>
      </c>
      <c r="Q154" s="50">
        <f>VLOOKUP($A154,'[1]ma sp 02'!$A$5:$BD$1101,Q$1,0)</f>
        <v>0</v>
      </c>
      <c r="R154" s="50">
        <f>VLOOKUP($A154,'[1]ma sp 02'!$A$5:$BD$1101,R$1,0)</f>
        <v>0</v>
      </c>
      <c r="S154" s="50">
        <f>VLOOKUP($A154,'[1]ma sp 02'!$A$5:$BD$1101,S$1,0)</f>
        <v>0</v>
      </c>
      <c r="T154" s="50">
        <f>VLOOKUP($A154,'[1]ma sp 02'!$A$5:$BD$1101,T$1,0)</f>
        <v>0</v>
      </c>
      <c r="U154" s="50">
        <f>VLOOKUP($A154,'[1]ma sp 02'!$A$5:$BD$1101,U$1,0)</f>
        <v>0</v>
      </c>
      <c r="V154" s="50">
        <f>VLOOKUP($A154,'[1]ma sp 02'!$A$5:$BD$1101,V$1,0)</f>
        <v>0</v>
      </c>
      <c r="W154" s="50">
        <f>VLOOKUP($A154,'[1]ma sp 02'!$A$5:$BD$1101,W$1,0)</f>
        <v>0</v>
      </c>
      <c r="X154" s="50">
        <f t="shared" si="4"/>
        <v>1</v>
      </c>
      <c r="Y154" s="57"/>
      <c r="Z154" s="57"/>
      <c r="AA154" s="57"/>
      <c r="AB154" s="57"/>
      <c r="AC154" s="57"/>
      <c r="AD154" s="57"/>
      <c r="AE154" s="58" t="s">
        <v>115</v>
      </c>
      <c r="AF154" s="58" t="s">
        <v>321</v>
      </c>
      <c r="AG154" s="71">
        <f>(0.012*1.4+0.012*1.4+0.075*0.925)*0.74</f>
        <v>7.6201500000000005E-2</v>
      </c>
      <c r="AH154" s="63">
        <f>(2.5/0.75/2)*0.73</f>
        <v>1.2166666666666668</v>
      </c>
      <c r="AI154" s="63">
        <f>(3/0.75/2)*0.73</f>
        <v>1.46</v>
      </c>
      <c r="AJ154" s="58">
        <v>9530</v>
      </c>
      <c r="AK154" s="58">
        <v>9530</v>
      </c>
      <c r="AL154" s="58" t="s">
        <v>117</v>
      </c>
      <c r="AM154" s="52" t="s">
        <v>60</v>
      </c>
      <c r="AN154" s="58">
        <v>270</v>
      </c>
      <c r="AO154" s="52" t="s">
        <v>118</v>
      </c>
      <c r="AP154" s="59">
        <f>IFERROR(VLOOKUP($A154,[2]Mssp!$A$5:$BE$1463,AP$4+1,0),0)</f>
        <v>0</v>
      </c>
      <c r="AQ154" s="59">
        <f>IFERROR(VLOOKUP($A154,[2]Mssp!$A$5:$BE$1463,AQ$4+1,0),0)</f>
        <v>0</v>
      </c>
      <c r="AR154" s="59">
        <f>IFERROR(VLOOKUP($A154,[2]Mssp!$A$5:$BE$1463,AR$4+1,0),0)</f>
        <v>0</v>
      </c>
      <c r="AS154" s="59">
        <f>IFERROR(VLOOKUP($A154,[2]Mssp!$A$5:$BE$1463,AS$4+1,0),0)</f>
        <v>0</v>
      </c>
      <c r="AT154" s="59">
        <f>IFERROR(VLOOKUP($A154,[2]Mssp!$A$5:$BE$1463,AT$4+1,0),0)</f>
        <v>0</v>
      </c>
      <c r="AU154" s="59">
        <f>IFERROR(VLOOKUP($A154,[2]Mssp!$A$5:$BE$1463,AU$4+1,0),0)</f>
        <v>0</v>
      </c>
      <c r="AV154" s="59">
        <f>IFERROR(VLOOKUP($A154,[2]Mssp!$A$5:$BE$1463,AV$4+1,0),0)</f>
        <v>0</v>
      </c>
      <c r="AW154" s="59">
        <f>IFERROR(VLOOKUP($A154,[2]Mssp!$A$5:$BE$1463,AW$4+1,0),0)</f>
        <v>0</v>
      </c>
      <c r="AX154" s="59">
        <f>IFERROR(VLOOKUP($A154,[2]Mssp!$A$5:$BE$1463,AX$4+1,0),0)</f>
        <v>0</v>
      </c>
      <c r="AY154" s="59">
        <f>IFERROR(VLOOKUP($A154,[2]Mssp!$A$5:$BE$1463,AY$4+2,0),0)</f>
        <v>0</v>
      </c>
      <c r="AZ154" s="59">
        <f>IFERROR(VLOOKUP($A154,[2]Mssp!$A$5:$BE$1463,AZ$4+2,0),0)</f>
        <v>0</v>
      </c>
      <c r="BA154" s="60">
        <v>3000</v>
      </c>
      <c r="BB154" s="61" t="s">
        <v>62</v>
      </c>
      <c r="BC154" s="62"/>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9"/>
      <c r="CK154" s="9"/>
      <c r="CL154" s="9"/>
      <c r="CM154" s="9"/>
      <c r="CN154" s="9"/>
      <c r="CO154" s="9"/>
      <c r="CP154" s="9"/>
    </row>
    <row r="155" spans="1:94" ht="45" x14ac:dyDescent="0.25">
      <c r="A155" s="50" t="s">
        <v>637</v>
      </c>
      <c r="B155" s="73" t="s">
        <v>638</v>
      </c>
      <c r="C155" s="50">
        <f t="shared" si="5"/>
        <v>4.5999999999999996</v>
      </c>
      <c r="D155" s="58">
        <v>3</v>
      </c>
      <c r="E155" s="58" t="s">
        <v>437</v>
      </c>
      <c r="F155" s="58">
        <v>7</v>
      </c>
      <c r="G155" s="50" t="s">
        <v>114</v>
      </c>
      <c r="H155" s="50">
        <f>VLOOKUP($A155,'[1]ma sp 02'!$A$5:$BD$1101,H$1,0)</f>
        <v>0.1</v>
      </c>
      <c r="I155" s="50">
        <f>VLOOKUP($A155,'[1]ma sp 02'!$A$5:$BD$1101,I$1,0)</f>
        <v>3.5</v>
      </c>
      <c r="J155" s="50">
        <f>VLOOKUP($A155,'[1]ma sp 02'!$A$5:$BD$1101,J$1,0)</f>
        <v>0.1</v>
      </c>
      <c r="K155" s="50">
        <f>VLOOKUP($A155,'[1]ma sp 02'!$A$5:$BD$1101,K$1,0)</f>
        <v>0.1</v>
      </c>
      <c r="L155" s="50">
        <f>VLOOKUP($A155,'[1]ma sp 02'!$A$5:$BD$1101,L$1,0)</f>
        <v>0.2</v>
      </c>
      <c r="M155" s="50">
        <f>VLOOKUP($A155,'[1]ma sp 02'!$A$5:$BD$1101,M$1,0)</f>
        <v>0.5</v>
      </c>
      <c r="N155" s="50">
        <f>VLOOKUP($A155,'[1]ma sp 02'!$A$5:$BD$1101,N$1,0)</f>
        <v>0</v>
      </c>
      <c r="O155" s="50">
        <f>VLOOKUP($A155,'[1]ma sp 02'!$A$5:$BD$1101,O$1,0)</f>
        <v>0</v>
      </c>
      <c r="P155" s="50">
        <f>VLOOKUP($A155,'[1]ma sp 02'!$A$5:$BD$1101,P$1,0)</f>
        <v>0.1</v>
      </c>
      <c r="Q155" s="50">
        <f>VLOOKUP($A155,'[1]ma sp 02'!$A$5:$BD$1101,Q$1,0)</f>
        <v>0</v>
      </c>
      <c r="R155" s="50">
        <f>VLOOKUP($A155,'[1]ma sp 02'!$A$5:$BD$1101,R$1,0)</f>
        <v>0</v>
      </c>
      <c r="S155" s="50">
        <f>VLOOKUP($A155,'[1]ma sp 02'!$A$5:$BD$1101,S$1,0)</f>
        <v>0</v>
      </c>
      <c r="T155" s="50">
        <f>VLOOKUP($A155,'[1]ma sp 02'!$A$5:$BD$1101,T$1,0)</f>
        <v>0</v>
      </c>
      <c r="U155" s="50">
        <f>VLOOKUP($A155,'[1]ma sp 02'!$A$5:$BD$1101,U$1,0)</f>
        <v>0</v>
      </c>
      <c r="V155" s="50">
        <f>VLOOKUP($A155,'[1]ma sp 02'!$A$5:$BD$1101,V$1,0)</f>
        <v>0</v>
      </c>
      <c r="W155" s="50">
        <f>VLOOKUP($A155,'[1]ma sp 02'!$A$5:$BD$1101,W$1,0)</f>
        <v>0</v>
      </c>
      <c r="X155" s="50">
        <f t="shared" si="4"/>
        <v>7</v>
      </c>
      <c r="Y155" s="57"/>
      <c r="Z155" s="57"/>
      <c r="AA155" s="57"/>
      <c r="AB155" s="57"/>
      <c r="AC155" s="57"/>
      <c r="AD155" s="57"/>
      <c r="AE155" s="58" t="s">
        <v>66</v>
      </c>
      <c r="AF155" s="58" t="s">
        <v>412</v>
      </c>
      <c r="AG155" s="71">
        <f>(0.012*1.4+0.012*1.4+0.075*0.925)*0.68</f>
        <v>7.0023000000000016E-2</v>
      </c>
      <c r="AH155" s="63">
        <f>(2.3/0.75/2)*0.67</f>
        <v>1.0273333333333332</v>
      </c>
      <c r="AI155" s="63">
        <f>(2.3/0.75/2)*0.67</f>
        <v>1.0273333333333332</v>
      </c>
      <c r="AJ155" s="58">
        <v>9530</v>
      </c>
      <c r="AK155" s="58">
        <v>9530</v>
      </c>
      <c r="AL155" s="58" t="s">
        <v>354</v>
      </c>
      <c r="AM155" s="52" t="s">
        <v>74</v>
      </c>
      <c r="AN155" s="58">
        <v>145</v>
      </c>
      <c r="AO155" s="52" t="s">
        <v>464</v>
      </c>
      <c r="AP155" s="59">
        <f>IFERROR(VLOOKUP($A155,[2]Mssp!$A$5:$BE$1463,AP$4+1,0),0)</f>
        <v>0</v>
      </c>
      <c r="AQ155" s="59">
        <f>IFERROR(VLOOKUP($A155,[2]Mssp!$A$5:$BE$1463,AQ$4+1,0),0)</f>
        <v>0</v>
      </c>
      <c r="AR155" s="59">
        <f>IFERROR(VLOOKUP($A155,[2]Mssp!$A$5:$BE$1463,AR$4+1,0),0)</f>
        <v>0</v>
      </c>
      <c r="AS155" s="59">
        <f>IFERROR(VLOOKUP($A155,[2]Mssp!$A$5:$BE$1463,AS$4+1,0),0)</f>
        <v>0</v>
      </c>
      <c r="AT155" s="59">
        <f>IFERROR(VLOOKUP($A155,[2]Mssp!$A$5:$BE$1463,AT$4+1,0),0)</f>
        <v>0</v>
      </c>
      <c r="AU155" s="59">
        <f>IFERROR(VLOOKUP($A155,[2]Mssp!$A$5:$BE$1463,AU$4+1,0),0)</f>
        <v>0</v>
      </c>
      <c r="AV155" s="59">
        <f>IFERROR(VLOOKUP($A155,[2]Mssp!$A$5:$BE$1463,AV$4+1,0),0)</f>
        <v>0</v>
      </c>
      <c r="AW155" s="59">
        <f>IFERROR(VLOOKUP($A155,[2]Mssp!$A$5:$BE$1463,AW$4+1,0),0)</f>
        <v>0</v>
      </c>
      <c r="AX155" s="59">
        <f>IFERROR(VLOOKUP($A155,[2]Mssp!$A$5:$BE$1463,AX$4+1,0),0)</f>
        <v>0</v>
      </c>
      <c r="AY155" s="59">
        <f>IFERROR(VLOOKUP($A155,[2]Mssp!$A$5:$BE$1463,AY$4+2,0),0)</f>
        <v>0</v>
      </c>
      <c r="AZ155" s="59">
        <f>IFERROR(VLOOKUP($A155,[2]Mssp!$A$5:$BE$1463,AZ$4+2,0),0)</f>
        <v>0</v>
      </c>
      <c r="BA155" s="60"/>
      <c r="BB155" s="61" t="s">
        <v>62</v>
      </c>
      <c r="BC155" s="62"/>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c r="CK155" s="9"/>
      <c r="CL155" s="9"/>
      <c r="CM155" s="9"/>
      <c r="CN155" s="9"/>
      <c r="CO155" s="9"/>
      <c r="CP155" s="9"/>
    </row>
    <row r="156" spans="1:94" ht="45" x14ac:dyDescent="0.25">
      <c r="A156" s="50" t="s">
        <v>639</v>
      </c>
      <c r="B156" s="94" t="s">
        <v>640</v>
      </c>
      <c r="C156" s="50">
        <f t="shared" si="5"/>
        <v>7.79</v>
      </c>
      <c r="D156" s="58">
        <v>3</v>
      </c>
      <c r="E156" s="58" t="s">
        <v>641</v>
      </c>
      <c r="F156" s="58">
        <v>7</v>
      </c>
      <c r="G156" s="50" t="s">
        <v>56</v>
      </c>
      <c r="H156" s="50">
        <f>VLOOKUP($A156,'[1]ma sp 02'!$A$5:$BD$1101,H$1,0)</f>
        <v>0</v>
      </c>
      <c r="I156" s="50">
        <f>VLOOKUP($A156,'[1]ma sp 02'!$A$5:$BD$1101,I$1,0)</f>
        <v>4.51</v>
      </c>
      <c r="J156" s="50">
        <f>VLOOKUP($A156,'[1]ma sp 02'!$A$5:$BD$1101,J$1,0)</f>
        <v>0.33</v>
      </c>
      <c r="K156" s="50">
        <f>VLOOKUP($A156,'[1]ma sp 02'!$A$5:$BD$1101,K$1,0)</f>
        <v>0.01</v>
      </c>
      <c r="L156" s="50">
        <f>VLOOKUP($A156,'[1]ma sp 02'!$A$5:$BD$1101,L$1,0)</f>
        <v>2.0699999999999998</v>
      </c>
      <c r="M156" s="50">
        <f>VLOOKUP($A156,'[1]ma sp 02'!$A$5:$BD$1101,M$1,0)</f>
        <v>0.63</v>
      </c>
      <c r="N156" s="50">
        <f>VLOOKUP($A156,'[1]ma sp 02'!$A$5:$BD$1101,N$1,0)</f>
        <v>0</v>
      </c>
      <c r="O156" s="50">
        <f>VLOOKUP($A156,'[1]ma sp 02'!$A$5:$BD$1101,O$1,0)</f>
        <v>0</v>
      </c>
      <c r="P156" s="50">
        <f>VLOOKUP($A156,'[1]ma sp 02'!$A$5:$BD$1101,P$1,0)</f>
        <v>0.09</v>
      </c>
      <c r="Q156" s="50">
        <f>VLOOKUP($A156,'[1]ma sp 02'!$A$5:$BD$1101,Q$1,0)</f>
        <v>0</v>
      </c>
      <c r="R156" s="50">
        <f>VLOOKUP($A156,'[1]ma sp 02'!$A$5:$BD$1101,R$1,0)</f>
        <v>0</v>
      </c>
      <c r="S156" s="50">
        <f>VLOOKUP($A156,'[1]ma sp 02'!$A$5:$BD$1101,S$1,0)</f>
        <v>0.15</v>
      </c>
      <c r="T156" s="50">
        <f>VLOOKUP($A156,'[1]ma sp 02'!$A$5:$BD$1101,T$1,0)</f>
        <v>0</v>
      </c>
      <c r="U156" s="50">
        <f>VLOOKUP($A156,'[1]ma sp 02'!$A$5:$BD$1101,U$1,0)</f>
        <v>0</v>
      </c>
      <c r="V156" s="50">
        <f>VLOOKUP($A156,'[1]ma sp 02'!$A$5:$BD$1101,V$1,0)</f>
        <v>0</v>
      </c>
      <c r="W156" s="50">
        <f>VLOOKUP($A156,'[1]ma sp 02'!$A$5:$BD$1101,W$1,0)</f>
        <v>0</v>
      </c>
      <c r="X156" s="50">
        <f t="shared" si="4"/>
        <v>7</v>
      </c>
      <c r="Y156" s="57"/>
      <c r="Z156" s="57"/>
      <c r="AA156" s="57"/>
      <c r="AB156" s="57"/>
      <c r="AC156" s="57"/>
      <c r="AD156" s="57"/>
      <c r="AE156" s="58" t="s">
        <v>115</v>
      </c>
      <c r="AF156" s="58" t="s">
        <v>642</v>
      </c>
      <c r="AG156" s="71">
        <f>(0.02*0.91+0.012*1.4+0.075*0.925)*0.74</f>
        <v>7.7237500000000001E-2</v>
      </c>
      <c r="AH156" s="63">
        <f>(2.5/0.75/2)*0.73</f>
        <v>1.2166666666666668</v>
      </c>
      <c r="AI156" s="63">
        <f>(3/0.75/2)*0.73</f>
        <v>1.46</v>
      </c>
      <c r="AJ156" s="58">
        <v>9530</v>
      </c>
      <c r="AK156" s="58">
        <v>9530</v>
      </c>
      <c r="AL156" s="58" t="s">
        <v>117</v>
      </c>
      <c r="AM156" s="52" t="s">
        <v>60</v>
      </c>
      <c r="AN156" s="58">
        <v>270</v>
      </c>
      <c r="AO156" s="52" t="s">
        <v>118</v>
      </c>
      <c r="AP156" s="59" t="str">
        <f>IFERROR(VLOOKUP($A156,[2]Mssp!$A$5:$BE$1463,AP$4+1,0),0)</f>
        <v>1607495-1</v>
      </c>
      <c r="AQ156" s="59" t="str">
        <f>IFERROR(VLOOKUP($A156,[2]Mssp!$A$5:$BE$1463,AQ$4+1,0),0)</f>
        <v>1812617-2-2</v>
      </c>
      <c r="AR156" s="59" t="str">
        <f>IFERROR(VLOOKUP($A156,[2]Mssp!$A$5:$BE$1463,AR$4+1,0),0)</f>
        <v>1607495-3</v>
      </c>
      <c r="AS156" s="59" t="str">
        <f>IFERROR(VLOOKUP($A156,[2]Mssp!$A$5:$BE$1463,AS$4+1,0),0)</f>
        <v>1607495-4</v>
      </c>
      <c r="AT156" s="59" t="str">
        <f>IFERROR(VLOOKUP($A156,[2]Mssp!$A$5:$BE$1463,AT$4+1,0),0)</f>
        <v>1607495-5</v>
      </c>
      <c r="AU156" s="59" t="str">
        <f>IFERROR(VLOOKUP($A156,[2]Mssp!$A$5:$BE$1463,AU$4+1,0),0)</f>
        <v>1607495-6</v>
      </c>
      <c r="AV156" s="59" t="str">
        <f>IFERROR(VLOOKUP($A156,[2]Mssp!$A$5:$BE$1463,AV$4+1,0),0)</f>
        <v>1607495-7</v>
      </c>
      <c r="AW156" s="59">
        <f>IFERROR(VLOOKUP($A156,[2]Mssp!$A$5:$BE$1463,AW$4+1,0),0)</f>
        <v>0</v>
      </c>
      <c r="AX156" s="59">
        <f>IFERROR(VLOOKUP($A156,[2]Mssp!$A$5:$BE$1463,AX$4+1,0),0)</f>
        <v>0</v>
      </c>
      <c r="AY156" s="59" t="str">
        <f>IFERROR(VLOOKUP($A156,[2]Mssp!$A$5:$BE$1463,AY$4+2,0),0)</f>
        <v>540x850</v>
      </c>
      <c r="AZ156" s="59" t="str">
        <f>IFERROR(VLOOKUP($A156,[2]Mssp!$A$5:$BE$1463,AZ$4+2,0),0)</f>
        <v>F1</v>
      </c>
      <c r="BA156" s="60">
        <v>3000</v>
      </c>
      <c r="BB156" s="61" t="s">
        <v>62</v>
      </c>
      <c r="BC156" s="62"/>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9"/>
      <c r="CK156" s="9"/>
      <c r="CL156" s="9"/>
      <c r="CM156" s="9"/>
      <c r="CN156" s="9"/>
      <c r="CO156" s="9"/>
      <c r="CP156" s="9"/>
    </row>
    <row r="157" spans="1:94" ht="45" x14ac:dyDescent="0.25">
      <c r="A157" s="50" t="s">
        <v>643</v>
      </c>
      <c r="B157" s="94" t="s">
        <v>644</v>
      </c>
      <c r="C157" s="50">
        <f t="shared" si="5"/>
        <v>6.6</v>
      </c>
      <c r="D157" s="58">
        <v>3</v>
      </c>
      <c r="E157" s="58" t="s">
        <v>645</v>
      </c>
      <c r="F157" s="58">
        <v>7</v>
      </c>
      <c r="G157" s="50" t="s">
        <v>56</v>
      </c>
      <c r="H157" s="50">
        <f>VLOOKUP($A157,'[1]ma sp 02'!$A$5:$BD$1101,H$1,0)</f>
        <v>0</v>
      </c>
      <c r="I157" s="50">
        <f>VLOOKUP($A157,'[1]ma sp 02'!$A$5:$BD$1101,I$1,0)</f>
        <v>2.78</v>
      </c>
      <c r="J157" s="50">
        <f>VLOOKUP($A157,'[1]ma sp 02'!$A$5:$BD$1101,J$1,0)</f>
        <v>0.36</v>
      </c>
      <c r="K157" s="50">
        <f>VLOOKUP($A157,'[1]ma sp 02'!$A$5:$BD$1101,K$1,0)</f>
        <v>0.02</v>
      </c>
      <c r="L157" s="50">
        <f>VLOOKUP($A157,'[1]ma sp 02'!$A$5:$BD$1101,L$1,0)</f>
        <v>2.98</v>
      </c>
      <c r="M157" s="50">
        <f>VLOOKUP($A157,'[1]ma sp 02'!$A$5:$BD$1101,M$1,0)</f>
        <v>0.42</v>
      </c>
      <c r="N157" s="50">
        <f>VLOOKUP($A157,'[1]ma sp 02'!$A$5:$BD$1101,N$1,0)</f>
        <v>0</v>
      </c>
      <c r="O157" s="50">
        <f>VLOOKUP($A157,'[1]ma sp 02'!$A$5:$BD$1101,O$1,0)</f>
        <v>0</v>
      </c>
      <c r="P157" s="50">
        <f>VLOOKUP($A157,'[1]ma sp 02'!$A$5:$BD$1101,P$1,0)</f>
        <v>0</v>
      </c>
      <c r="Q157" s="50">
        <f>VLOOKUP($A157,'[1]ma sp 02'!$A$5:$BD$1101,Q$1,0)</f>
        <v>0</v>
      </c>
      <c r="R157" s="50">
        <f>VLOOKUP($A157,'[1]ma sp 02'!$A$5:$BD$1101,R$1,0)</f>
        <v>0</v>
      </c>
      <c r="S157" s="50">
        <f>VLOOKUP($A157,'[1]ma sp 02'!$A$5:$BD$1101,S$1,0)</f>
        <v>0.04</v>
      </c>
      <c r="T157" s="50">
        <f>VLOOKUP($A157,'[1]ma sp 02'!$A$5:$BD$1101,T$1,0)</f>
        <v>0</v>
      </c>
      <c r="U157" s="50">
        <f>VLOOKUP($A157,'[1]ma sp 02'!$A$5:$BD$1101,U$1,0)</f>
        <v>0</v>
      </c>
      <c r="V157" s="50">
        <f>VLOOKUP($A157,'[1]ma sp 02'!$A$5:$BD$1101,V$1,0)</f>
        <v>0</v>
      </c>
      <c r="W157" s="50">
        <f>VLOOKUP($A157,'[1]ma sp 02'!$A$5:$BD$1101,W$1,0)</f>
        <v>0</v>
      </c>
      <c r="X157" s="50">
        <f t="shared" si="4"/>
        <v>6</v>
      </c>
      <c r="Y157" s="57"/>
      <c r="Z157" s="57"/>
      <c r="AA157" s="57"/>
      <c r="AB157" s="57"/>
      <c r="AC157" s="57"/>
      <c r="AD157" s="57"/>
      <c r="AE157" s="58" t="s">
        <v>373</v>
      </c>
      <c r="AF157" s="58" t="s">
        <v>646</v>
      </c>
      <c r="AG157" s="71">
        <f>(0.02*0.91+0.012*1.4+0.075*0.925)*0.92</f>
        <v>9.6025000000000013E-2</v>
      </c>
      <c r="AH157" s="63">
        <f>(2.3/0.75/2)*0.91</f>
        <v>1.3953333333333333</v>
      </c>
      <c r="AI157" s="63">
        <f>(3/0.75/2)*0.91</f>
        <v>1.82</v>
      </c>
      <c r="AJ157" s="58">
        <v>9530</v>
      </c>
      <c r="AK157" s="58">
        <v>9530</v>
      </c>
      <c r="AL157" s="58" t="s">
        <v>117</v>
      </c>
      <c r="AM157" s="52" t="s">
        <v>60</v>
      </c>
      <c r="AN157" s="58">
        <v>340</v>
      </c>
      <c r="AO157" s="52" t="s">
        <v>118</v>
      </c>
      <c r="AP157" s="59" t="str">
        <f>IFERROR(VLOOKUP($A157,[2]Mssp!$A$5:$BE$1463,AP$4+1,0),0)</f>
        <v>1607496-1</v>
      </c>
      <c r="AQ157" s="59" t="str">
        <f>IFERROR(VLOOKUP($A157,[2]Mssp!$A$5:$BE$1463,AQ$4+1,0),0)</f>
        <v>1607496-2</v>
      </c>
      <c r="AR157" s="59" t="str">
        <f>IFERROR(VLOOKUP($A157,[2]Mssp!$A$5:$BE$1463,AR$4+1,0),0)</f>
        <v>1607496-3</v>
      </c>
      <c r="AS157" s="59" t="str">
        <f>IFERROR(VLOOKUP($A157,[2]Mssp!$A$5:$BE$1463,AS$4+1,0),0)</f>
        <v>1607496-4</v>
      </c>
      <c r="AT157" s="59" t="str">
        <f>IFERROR(VLOOKUP($A157,[2]Mssp!$A$5:$BE$1463,AT$4+1,0),0)</f>
        <v>1607496-5</v>
      </c>
      <c r="AU157" s="59" t="str">
        <f>IFERROR(VLOOKUP($A157,[2]Mssp!$A$5:$BE$1463,AU$4+1,0),0)</f>
        <v>1607496-6</v>
      </c>
      <c r="AV157" s="59" t="str">
        <f>IFERROR(VLOOKUP($A157,[2]Mssp!$A$5:$BE$1463,AV$4+1,0),0)</f>
        <v>1607496-7</v>
      </c>
      <c r="AW157" s="59">
        <f>IFERROR(VLOOKUP($A157,[2]Mssp!$A$5:$BE$1463,AW$4+1,0),0)</f>
        <v>0</v>
      </c>
      <c r="AX157" s="59">
        <f>IFERROR(VLOOKUP($A157,[2]Mssp!$A$5:$BE$1463,AX$4+1,0),0)</f>
        <v>0</v>
      </c>
      <c r="AY157" s="59" t="str">
        <f>IFERROR(VLOOKUP($A157,[2]Mssp!$A$5:$BE$1463,AY$4+2,0),0)</f>
        <v>680x1100</v>
      </c>
      <c r="AZ157" s="59" t="str">
        <f>IFERROR(VLOOKUP($A157,[2]Mssp!$A$5:$BE$1463,AZ$4+2,0),0)</f>
        <v>F1</v>
      </c>
      <c r="BA157" s="60">
        <v>1500</v>
      </c>
      <c r="BB157" s="61" t="s">
        <v>62</v>
      </c>
      <c r="BC157" s="62"/>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c r="CK157" s="9"/>
      <c r="CL157" s="9"/>
      <c r="CM157" s="9"/>
      <c r="CN157" s="9"/>
      <c r="CO157" s="9"/>
      <c r="CP157" s="9"/>
    </row>
    <row r="158" spans="1:94" ht="75" x14ac:dyDescent="0.25">
      <c r="A158" s="50" t="s">
        <v>647</v>
      </c>
      <c r="B158" s="94" t="s">
        <v>648</v>
      </c>
      <c r="C158" s="50">
        <f t="shared" si="5"/>
        <v>7.6899999999999986</v>
      </c>
      <c r="D158" s="58">
        <v>2</v>
      </c>
      <c r="E158" s="58" t="s">
        <v>649</v>
      </c>
      <c r="F158" s="58">
        <v>7</v>
      </c>
      <c r="G158" s="50" t="s">
        <v>56</v>
      </c>
      <c r="H158" s="50">
        <f>VLOOKUP($A158,'[1]ma sp 02'!$A$5:$BD$1101,H$1,0)</f>
        <v>0.01</v>
      </c>
      <c r="I158" s="50">
        <f>VLOOKUP($A158,'[1]ma sp 02'!$A$5:$BD$1101,I$1,0)</f>
        <v>3.31</v>
      </c>
      <c r="J158" s="50">
        <f>VLOOKUP($A158,'[1]ma sp 02'!$A$5:$BD$1101,J$1,0)</f>
        <v>0.69</v>
      </c>
      <c r="K158" s="50">
        <f>VLOOKUP($A158,'[1]ma sp 02'!$A$5:$BD$1101,K$1,0)</f>
        <v>0</v>
      </c>
      <c r="L158" s="50">
        <f>VLOOKUP($A158,'[1]ma sp 02'!$A$5:$BD$1101,L$1,0)</f>
        <v>2.77</v>
      </c>
      <c r="M158" s="50">
        <f>VLOOKUP($A158,'[1]ma sp 02'!$A$5:$BD$1101,M$1,0)</f>
        <v>0.69</v>
      </c>
      <c r="N158" s="50">
        <f>VLOOKUP($A158,'[1]ma sp 02'!$A$5:$BD$1101,N$1,0)</f>
        <v>0</v>
      </c>
      <c r="O158" s="50">
        <f>VLOOKUP($A158,'[1]ma sp 02'!$A$5:$BD$1101,O$1,0)</f>
        <v>0</v>
      </c>
      <c r="P158" s="50">
        <f>VLOOKUP($A158,'[1]ma sp 02'!$A$5:$BD$1101,P$1,0)</f>
        <v>0</v>
      </c>
      <c r="Q158" s="50">
        <f>VLOOKUP($A158,'[1]ma sp 02'!$A$5:$BD$1101,Q$1,0)</f>
        <v>0</v>
      </c>
      <c r="R158" s="50">
        <f>VLOOKUP($A158,'[1]ma sp 02'!$A$5:$BD$1101,R$1,0)</f>
        <v>0</v>
      </c>
      <c r="S158" s="50">
        <f>VLOOKUP($A158,'[1]ma sp 02'!$A$5:$BD$1101,S$1,0)</f>
        <v>0.22</v>
      </c>
      <c r="T158" s="50">
        <f>VLOOKUP($A158,'[1]ma sp 02'!$A$5:$BD$1101,T$1,0)</f>
        <v>0</v>
      </c>
      <c r="U158" s="50">
        <f>VLOOKUP($A158,'[1]ma sp 02'!$A$5:$BD$1101,U$1,0)</f>
        <v>0</v>
      </c>
      <c r="V158" s="50">
        <f>VLOOKUP($A158,'[1]ma sp 02'!$A$5:$BD$1101,V$1,0)</f>
        <v>0</v>
      </c>
      <c r="W158" s="50">
        <f>VLOOKUP($A158,'[1]ma sp 02'!$A$5:$BD$1101,W$1,0)</f>
        <v>0</v>
      </c>
      <c r="X158" s="50">
        <f t="shared" si="4"/>
        <v>6</v>
      </c>
      <c r="Y158" s="57"/>
      <c r="Z158" s="57"/>
      <c r="AA158" s="57"/>
      <c r="AB158" s="57"/>
      <c r="AC158" s="57"/>
      <c r="AD158" s="57"/>
      <c r="AE158" s="58" t="s">
        <v>485</v>
      </c>
      <c r="AF158" s="58" t="s">
        <v>650</v>
      </c>
      <c r="AG158" s="71">
        <f>(0.02*0.91+0.012*1.4+0.075*0.925)*0.76</f>
        <v>7.9325000000000007E-2</v>
      </c>
      <c r="AH158" s="63">
        <f>(2.3/0.75/2)*0.75</f>
        <v>1.1499999999999999</v>
      </c>
      <c r="AI158" s="63">
        <f>(3/0.75/2)*0.75</f>
        <v>1.5</v>
      </c>
      <c r="AJ158" s="58">
        <v>9530</v>
      </c>
      <c r="AK158" s="58">
        <v>9530</v>
      </c>
      <c r="AL158" s="58" t="s">
        <v>117</v>
      </c>
      <c r="AM158" s="52" t="s">
        <v>60</v>
      </c>
      <c r="AN158" s="58">
        <v>420</v>
      </c>
      <c r="AO158" s="52" t="s">
        <v>118</v>
      </c>
      <c r="AP158" s="59" t="str">
        <f>IFERROR(VLOOKUP($A158,[2]Mssp!$A$5:$BE$1463,AP$4+1,0),0)</f>
        <v>1801664-1</v>
      </c>
      <c r="AQ158" s="59" t="str">
        <f>IFERROR(VLOOKUP($A158,[2]Mssp!$A$5:$BE$1463,AQ$4+1,0),0)</f>
        <v>1801664-2</v>
      </c>
      <c r="AR158" s="59" t="str">
        <f>IFERROR(VLOOKUP($A158,[2]Mssp!$A$5:$BE$1463,AR$4+1,0),0)</f>
        <v>1607497-3</v>
      </c>
      <c r="AS158" s="59" t="str">
        <f>IFERROR(VLOOKUP($A158,[2]Mssp!$A$5:$BE$1463,AS$4+1,0),0)</f>
        <v>1801664-4</v>
      </c>
      <c r="AT158" s="59" t="str">
        <f>IFERROR(VLOOKUP($A158,[2]Mssp!$A$5:$BE$1463,AT$4+1,0),0)</f>
        <v>1607497-5</v>
      </c>
      <c r="AU158" s="59" t="str">
        <f>IFERROR(VLOOKUP($A158,[2]Mssp!$A$5:$BE$1463,AU$4+1,0),0)</f>
        <v>1607497-6</v>
      </c>
      <c r="AV158" s="59" t="str">
        <f>IFERROR(VLOOKUP($A158,[2]Mssp!$A$5:$BE$1463,AV$4+1,0),0)</f>
        <v>1607497-7</v>
      </c>
      <c r="AW158" s="59">
        <f>IFERROR(VLOOKUP($A158,[2]Mssp!$A$5:$BE$1463,AW$4+1,0),0)</f>
        <v>0</v>
      </c>
      <c r="AX158" s="59">
        <f>IFERROR(VLOOKUP($A158,[2]Mssp!$A$5:$BE$1463,AX$4+1,0),0)</f>
        <v>0</v>
      </c>
      <c r="AY158" s="59" t="str">
        <f>IFERROR(VLOOKUP($A158,[2]Mssp!$A$5:$BE$1463,AY$4+2,0),0)</f>
        <v>420x850</v>
      </c>
      <c r="AZ158" s="59" t="str">
        <f>IFERROR(VLOOKUP($A158,[2]Mssp!$A$5:$BE$1463,AZ$4+2,0),0)</f>
        <v>F1</v>
      </c>
      <c r="BA158" s="60">
        <v>1500</v>
      </c>
      <c r="BB158" s="61" t="s">
        <v>119</v>
      </c>
      <c r="BC158" s="62"/>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c r="CO158" s="9"/>
      <c r="CP158" s="9"/>
    </row>
    <row r="159" spans="1:94" ht="45" x14ac:dyDescent="0.25">
      <c r="A159" s="50" t="s">
        <v>651</v>
      </c>
      <c r="B159" s="94" t="s">
        <v>652</v>
      </c>
      <c r="C159" s="50">
        <f t="shared" si="5"/>
        <v>0</v>
      </c>
      <c r="D159" s="58">
        <v>2</v>
      </c>
      <c r="E159" s="58" t="s">
        <v>131</v>
      </c>
      <c r="F159" s="58">
        <v>0</v>
      </c>
      <c r="G159" s="50" t="s">
        <v>114</v>
      </c>
      <c r="H159" s="50">
        <f>VLOOKUP($A159,'[1]ma sp 02'!$A$5:$BD$1101,H$1,0)</f>
        <v>0</v>
      </c>
      <c r="I159" s="50">
        <f>VLOOKUP($A159,'[1]ma sp 02'!$A$5:$BD$1101,I$1,0)</f>
        <v>0</v>
      </c>
      <c r="J159" s="50">
        <f>VLOOKUP($A159,'[1]ma sp 02'!$A$5:$BD$1101,J$1,0)</f>
        <v>0</v>
      </c>
      <c r="K159" s="50">
        <f>VLOOKUP($A159,'[1]ma sp 02'!$A$5:$BD$1101,K$1,0)</f>
        <v>0</v>
      </c>
      <c r="L159" s="50">
        <f>VLOOKUP($A159,'[1]ma sp 02'!$A$5:$BD$1101,L$1,0)</f>
        <v>0</v>
      </c>
      <c r="M159" s="50">
        <f>VLOOKUP($A159,'[1]ma sp 02'!$A$5:$BD$1101,M$1,0)</f>
        <v>0</v>
      </c>
      <c r="N159" s="50">
        <f>VLOOKUP($A159,'[1]ma sp 02'!$A$5:$BD$1101,N$1,0)</f>
        <v>0</v>
      </c>
      <c r="O159" s="50">
        <f>VLOOKUP($A159,'[1]ma sp 02'!$A$5:$BD$1101,O$1,0)</f>
        <v>0</v>
      </c>
      <c r="P159" s="50">
        <f>VLOOKUP($A159,'[1]ma sp 02'!$A$5:$BD$1101,P$1,0)</f>
        <v>0</v>
      </c>
      <c r="Q159" s="50">
        <f>VLOOKUP($A159,'[1]ma sp 02'!$A$5:$BD$1101,Q$1,0)</f>
        <v>0</v>
      </c>
      <c r="R159" s="50">
        <f>VLOOKUP($A159,'[1]ma sp 02'!$A$5:$BD$1101,R$1,0)</f>
        <v>0</v>
      </c>
      <c r="S159" s="50">
        <f>VLOOKUP($A159,'[1]ma sp 02'!$A$5:$BD$1101,S$1,0)</f>
        <v>0</v>
      </c>
      <c r="T159" s="50">
        <f>VLOOKUP($A159,'[1]ma sp 02'!$A$5:$BD$1101,T$1,0)</f>
        <v>0</v>
      </c>
      <c r="U159" s="50">
        <f>VLOOKUP($A159,'[1]ma sp 02'!$A$5:$BD$1101,U$1,0)</f>
        <v>0</v>
      </c>
      <c r="V159" s="50">
        <f>VLOOKUP($A159,'[1]ma sp 02'!$A$5:$BD$1101,V$1,0)</f>
        <v>0</v>
      </c>
      <c r="W159" s="50">
        <f>VLOOKUP($A159,'[1]ma sp 02'!$A$5:$BD$1101,W$1,0)</f>
        <v>0</v>
      </c>
      <c r="X159" s="50">
        <f t="shared" si="4"/>
        <v>0</v>
      </c>
      <c r="Y159" s="57"/>
      <c r="Z159" s="57"/>
      <c r="AA159" s="57"/>
      <c r="AB159" s="57"/>
      <c r="AC159" s="57"/>
      <c r="AD159" s="57"/>
      <c r="AE159" s="58" t="s">
        <v>78</v>
      </c>
      <c r="AF159" s="58" t="s">
        <v>324</v>
      </c>
      <c r="AG159" s="71">
        <f>(0.012*1.4+0.012*1.4+0.075*0.925)*0.62</f>
        <v>6.3844500000000012E-2</v>
      </c>
      <c r="AH159" s="63">
        <f>(2.3/0.75/2)*0.61</f>
        <v>0.93533333333333324</v>
      </c>
      <c r="AI159" s="63">
        <f>(3/0.75/2)*0.61</f>
        <v>1.22</v>
      </c>
      <c r="AJ159" s="58">
        <v>9530</v>
      </c>
      <c r="AK159" s="58">
        <v>9530</v>
      </c>
      <c r="AL159" s="58" t="s">
        <v>117</v>
      </c>
      <c r="AM159" s="52" t="s">
        <v>60</v>
      </c>
      <c r="AN159" s="58">
        <v>250</v>
      </c>
      <c r="AO159" s="52" t="s">
        <v>92</v>
      </c>
      <c r="AP159" s="59">
        <f>IFERROR(VLOOKUP($A159,[2]Mssp!$A$5:$BE$1463,AP$4+1,0),0)</f>
        <v>0</v>
      </c>
      <c r="AQ159" s="59">
        <f>IFERROR(VLOOKUP($A159,[2]Mssp!$A$5:$BE$1463,AQ$4+1,0),0)</f>
        <v>0</v>
      </c>
      <c r="AR159" s="59">
        <f>IFERROR(VLOOKUP($A159,[2]Mssp!$A$5:$BE$1463,AR$4+1,0),0)</f>
        <v>0</v>
      </c>
      <c r="AS159" s="59">
        <f>IFERROR(VLOOKUP($A159,[2]Mssp!$A$5:$BE$1463,AS$4+1,0),0)</f>
        <v>0</v>
      </c>
      <c r="AT159" s="59">
        <f>IFERROR(VLOOKUP($A159,[2]Mssp!$A$5:$BE$1463,AT$4+1,0),0)</f>
        <v>0</v>
      </c>
      <c r="AU159" s="59">
        <f>IFERROR(VLOOKUP($A159,[2]Mssp!$A$5:$BE$1463,AU$4+1,0),0)</f>
        <v>0</v>
      </c>
      <c r="AV159" s="59">
        <f>IFERROR(VLOOKUP($A159,[2]Mssp!$A$5:$BE$1463,AV$4+1,0),0)</f>
        <v>0</v>
      </c>
      <c r="AW159" s="59">
        <f>IFERROR(VLOOKUP($A159,[2]Mssp!$A$5:$BE$1463,AW$4+1,0),0)</f>
        <v>0</v>
      </c>
      <c r="AX159" s="59">
        <f>IFERROR(VLOOKUP($A159,[2]Mssp!$A$5:$BE$1463,AX$4+1,0),0)</f>
        <v>0</v>
      </c>
      <c r="AY159" s="59">
        <f>IFERROR(VLOOKUP($A159,[2]Mssp!$A$5:$BE$1463,AY$4+2,0),0)</f>
        <v>0</v>
      </c>
      <c r="AZ159" s="59">
        <f>IFERROR(VLOOKUP($A159,[2]Mssp!$A$5:$BE$1463,AZ$4+2,0),0)</f>
        <v>0</v>
      </c>
      <c r="BA159" s="60">
        <v>1500</v>
      </c>
      <c r="BB159" s="61" t="s">
        <v>62</v>
      </c>
      <c r="BC159" s="62"/>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c r="CO159" s="9"/>
      <c r="CP159" s="9"/>
    </row>
    <row r="160" spans="1:94" ht="45" x14ac:dyDescent="0.25">
      <c r="A160" s="50" t="s">
        <v>653</v>
      </c>
      <c r="B160" s="73" t="s">
        <v>654</v>
      </c>
      <c r="C160" s="50">
        <f t="shared" si="5"/>
        <v>3.0000000000000004</v>
      </c>
      <c r="D160" s="58">
        <v>2</v>
      </c>
      <c r="E160" s="58" t="s">
        <v>655</v>
      </c>
      <c r="F160" s="58">
        <v>6</v>
      </c>
      <c r="G160" s="50" t="s">
        <v>559</v>
      </c>
      <c r="H160" s="50">
        <f>VLOOKUP($A160,'[1]ma sp 02'!$A$5:$BD$1101,H$1,0)</f>
        <v>0.1</v>
      </c>
      <c r="I160" s="50">
        <f>VLOOKUP($A160,'[1]ma sp 02'!$A$5:$BD$1101,I$1,0)</f>
        <v>0</v>
      </c>
      <c r="J160" s="50">
        <f>VLOOKUP($A160,'[1]ma sp 02'!$A$5:$BD$1101,J$1,0)</f>
        <v>0.1</v>
      </c>
      <c r="K160" s="50">
        <f>VLOOKUP($A160,'[1]ma sp 02'!$A$5:$BD$1101,K$1,0)</f>
        <v>0.3</v>
      </c>
      <c r="L160" s="50">
        <f>VLOOKUP($A160,'[1]ma sp 02'!$A$5:$BD$1101,L$1,0)</f>
        <v>0.2</v>
      </c>
      <c r="M160" s="50">
        <f>VLOOKUP($A160,'[1]ma sp 02'!$A$5:$BD$1101,M$1,0)</f>
        <v>2</v>
      </c>
      <c r="N160" s="50">
        <f>VLOOKUP($A160,'[1]ma sp 02'!$A$5:$BD$1101,N$1,0)</f>
        <v>0</v>
      </c>
      <c r="O160" s="50">
        <f>VLOOKUP($A160,'[1]ma sp 02'!$A$5:$BD$1101,O$1,0)</f>
        <v>0.2</v>
      </c>
      <c r="P160" s="50">
        <f>VLOOKUP($A160,'[1]ma sp 02'!$A$5:$BD$1101,P$1,0)</f>
        <v>0</v>
      </c>
      <c r="Q160" s="50">
        <f>VLOOKUP($A160,'[1]ma sp 02'!$A$5:$BD$1101,Q$1,0)</f>
        <v>0</v>
      </c>
      <c r="R160" s="50">
        <f>VLOOKUP($A160,'[1]ma sp 02'!$A$5:$BD$1101,R$1,0)</f>
        <v>0.1</v>
      </c>
      <c r="S160" s="50">
        <f>VLOOKUP($A160,'[1]ma sp 02'!$A$5:$BD$1101,S$1,0)</f>
        <v>0</v>
      </c>
      <c r="T160" s="50">
        <f>VLOOKUP($A160,'[1]ma sp 02'!$A$5:$BD$1101,T$1,0)</f>
        <v>0</v>
      </c>
      <c r="U160" s="50">
        <f>VLOOKUP($A160,'[1]ma sp 02'!$A$5:$BD$1101,U$1,0)</f>
        <v>0</v>
      </c>
      <c r="V160" s="50">
        <f>VLOOKUP($A160,'[1]ma sp 02'!$A$5:$BD$1101,V$1,0)</f>
        <v>0</v>
      </c>
      <c r="W160" s="50">
        <f>VLOOKUP($A160,'[1]ma sp 02'!$A$5:$BD$1101,W$1,0)</f>
        <v>0</v>
      </c>
      <c r="X160" s="50">
        <f t="shared" si="4"/>
        <v>7</v>
      </c>
      <c r="Y160" s="57"/>
      <c r="Z160" s="57"/>
      <c r="AA160" s="57"/>
      <c r="AB160" s="57"/>
      <c r="AC160" s="57"/>
      <c r="AD160" s="57"/>
      <c r="AE160" s="58" t="s">
        <v>656</v>
      </c>
      <c r="AF160" s="57"/>
      <c r="AG160" s="71">
        <f>(0.015*1.15+0.095*0.925)*0.82</f>
        <v>8.6202500000000001E-2</v>
      </c>
      <c r="AH160" s="63">
        <f>(2.5/0.75/2)*0.81</f>
        <v>1.35</v>
      </c>
      <c r="AI160" s="63"/>
      <c r="AJ160" s="58">
        <v>9530</v>
      </c>
      <c r="AK160" s="57"/>
      <c r="AL160" s="58">
        <v>2.5000000000000001E-3</v>
      </c>
      <c r="AM160" s="52" t="s">
        <v>104</v>
      </c>
      <c r="AN160" s="58">
        <v>400</v>
      </c>
      <c r="AO160" s="52" t="s">
        <v>657</v>
      </c>
      <c r="AP160" s="59" t="str">
        <f>IFERROR(VLOOKUP($A160,[2]Mssp!$A$5:$BE$1463,AP$4+1,0),0)</f>
        <v>16071384-1</v>
      </c>
      <c r="AQ160" s="59" t="str">
        <f>IFERROR(VLOOKUP($A160,[2]Mssp!$A$5:$BE$1463,AQ$4+1,0),0)</f>
        <v>16071384-2</v>
      </c>
      <c r="AR160" s="59" t="str">
        <f>IFERROR(VLOOKUP($A160,[2]Mssp!$A$5:$BE$1463,AR$4+1,0),0)</f>
        <v>16071384-3</v>
      </c>
      <c r="AS160" s="59" t="str">
        <f>IFERROR(VLOOKUP($A160,[2]Mssp!$A$5:$BE$1463,AS$4+1,0),0)</f>
        <v>16071384-4</v>
      </c>
      <c r="AT160" s="59" t="str">
        <f>IFERROR(VLOOKUP($A160,[2]Mssp!$A$5:$BE$1463,AT$4+1,0),0)</f>
        <v>16071384-5</v>
      </c>
      <c r="AU160" s="59" t="str">
        <f>IFERROR(VLOOKUP($A160,[2]Mssp!$A$5:$BE$1463,AU$4+1,0),0)</f>
        <v>16071384-6</v>
      </c>
      <c r="AV160" s="59" t="str">
        <f>IFERROR(VLOOKUP($A160,[2]Mssp!$A$5:$BE$1463,AV$4+1,0),0)</f>
        <v>16071384-7</v>
      </c>
      <c r="AW160" s="59">
        <f>IFERROR(VLOOKUP($A160,[2]Mssp!$A$5:$BE$1463,AW$4+1,0),0)</f>
        <v>0</v>
      </c>
      <c r="AX160" s="59">
        <f>IFERROR(VLOOKUP($A160,[2]Mssp!$A$5:$BE$1463,AX$4+1,0),0)</f>
        <v>0</v>
      </c>
      <c r="AY160" s="59" t="str">
        <f>IFERROR(VLOOKUP($A160,[2]Mssp!$A$5:$BE$1463,AY$4+2,0),0)</f>
        <v>580x900</v>
      </c>
      <c r="AZ160" s="59" t="str">
        <f>IFERROR(VLOOKUP($A160,[2]Mssp!$A$5:$BE$1463,AZ$4+2,0),0)</f>
        <v>N3</v>
      </c>
      <c r="BA160" s="60"/>
      <c r="BB160" s="61" t="s">
        <v>107</v>
      </c>
      <c r="BC160" s="62"/>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c r="CK160" s="9"/>
      <c r="CL160" s="9"/>
      <c r="CM160" s="9"/>
      <c r="CN160" s="9"/>
      <c r="CO160" s="9"/>
      <c r="CP160" s="9"/>
    </row>
    <row r="161" spans="1:94" ht="45" x14ac:dyDescent="0.25">
      <c r="A161" s="50" t="s">
        <v>658</v>
      </c>
      <c r="B161" s="73" t="s">
        <v>659</v>
      </c>
      <c r="C161" s="50">
        <f t="shared" si="5"/>
        <v>5.8999999999999995</v>
      </c>
      <c r="D161" s="58">
        <v>3</v>
      </c>
      <c r="E161" s="58" t="s">
        <v>113</v>
      </c>
      <c r="F161" s="58">
        <v>1</v>
      </c>
      <c r="G161" s="50" t="s">
        <v>114</v>
      </c>
      <c r="H161" s="50">
        <f>VLOOKUP($A161,'[1]ma sp 02'!$A$5:$BD$1101,H$1,0)</f>
        <v>0</v>
      </c>
      <c r="I161" s="50">
        <f>VLOOKUP($A161,'[1]ma sp 02'!$A$5:$BD$1101,I$1,0)</f>
        <v>0</v>
      </c>
      <c r="J161" s="50">
        <f>VLOOKUP($A161,'[1]ma sp 02'!$A$5:$BD$1101,J$1,0)</f>
        <v>1.2</v>
      </c>
      <c r="K161" s="50">
        <f>VLOOKUP($A161,'[1]ma sp 02'!$A$5:$BD$1101,K$1,0)</f>
        <v>0</v>
      </c>
      <c r="L161" s="50">
        <f>VLOOKUP($A161,'[1]ma sp 02'!$A$5:$BD$1101,L$1,0)</f>
        <v>4.5999999999999996</v>
      </c>
      <c r="M161" s="50">
        <f>VLOOKUP($A161,'[1]ma sp 02'!$A$5:$BD$1101,M$1,0)</f>
        <v>0</v>
      </c>
      <c r="N161" s="50">
        <f>VLOOKUP($A161,'[1]ma sp 02'!$A$5:$BD$1101,N$1,0)</f>
        <v>0</v>
      </c>
      <c r="O161" s="50">
        <f>VLOOKUP($A161,'[1]ma sp 02'!$A$5:$BD$1101,O$1,0)</f>
        <v>0.1</v>
      </c>
      <c r="P161" s="50">
        <f>VLOOKUP($A161,'[1]ma sp 02'!$A$5:$BD$1101,P$1,0)</f>
        <v>0</v>
      </c>
      <c r="Q161" s="50">
        <f>VLOOKUP($A161,'[1]ma sp 02'!$A$5:$BD$1101,Q$1,0)</f>
        <v>0</v>
      </c>
      <c r="R161" s="50">
        <f>VLOOKUP($A161,'[1]ma sp 02'!$A$5:$BD$1101,R$1,0)</f>
        <v>0</v>
      </c>
      <c r="S161" s="50">
        <f>VLOOKUP($A161,'[1]ma sp 02'!$A$5:$BD$1101,S$1,0)</f>
        <v>0</v>
      </c>
      <c r="T161" s="50">
        <f>VLOOKUP($A161,'[1]ma sp 02'!$A$5:$BD$1101,T$1,0)</f>
        <v>0</v>
      </c>
      <c r="U161" s="50">
        <f>VLOOKUP($A161,'[1]ma sp 02'!$A$5:$BD$1101,U$1,0)</f>
        <v>0</v>
      </c>
      <c r="V161" s="50">
        <f>VLOOKUP($A161,'[1]ma sp 02'!$A$5:$BD$1101,V$1,0)</f>
        <v>0</v>
      </c>
      <c r="W161" s="50">
        <f>VLOOKUP($A161,'[1]ma sp 02'!$A$5:$BD$1101,W$1,0)</f>
        <v>0</v>
      </c>
      <c r="X161" s="50">
        <f t="shared" si="4"/>
        <v>3</v>
      </c>
      <c r="Y161" s="57"/>
      <c r="Z161" s="57"/>
      <c r="AA161" s="57"/>
      <c r="AB161" s="57"/>
      <c r="AC161" s="57"/>
      <c r="AD161" s="57"/>
      <c r="AE161" s="58" t="s">
        <v>115</v>
      </c>
      <c r="AF161" s="58" t="s">
        <v>321</v>
      </c>
      <c r="AG161" s="71">
        <f>(0.012*1.4+0.012*1.4+0.075*0.925)*0.74</f>
        <v>7.6201500000000005E-2</v>
      </c>
      <c r="AH161" s="63">
        <f>(2.3/0.75/2)*0.73</f>
        <v>1.1193333333333333</v>
      </c>
      <c r="AI161" s="63">
        <f>(3/0.75/2)*0.73</f>
        <v>1.46</v>
      </c>
      <c r="AJ161" s="58">
        <v>9530</v>
      </c>
      <c r="AK161" s="58">
        <v>9530</v>
      </c>
      <c r="AL161" s="58" t="s">
        <v>117</v>
      </c>
      <c r="AM161" s="52" t="s">
        <v>60</v>
      </c>
      <c r="AN161" s="58">
        <v>270</v>
      </c>
      <c r="AO161" s="52" t="s">
        <v>118</v>
      </c>
      <c r="AP161" s="59">
        <f>IFERROR(VLOOKUP($A161,[2]Mssp!$A$5:$BE$1463,AP$4+1,0),0)</f>
        <v>0</v>
      </c>
      <c r="AQ161" s="59">
        <f>IFERROR(VLOOKUP($A161,[2]Mssp!$A$5:$BE$1463,AQ$4+1,0),0)</f>
        <v>0</v>
      </c>
      <c r="AR161" s="59">
        <f>IFERROR(VLOOKUP($A161,[2]Mssp!$A$5:$BE$1463,AR$4+1,0),0)</f>
        <v>0</v>
      </c>
      <c r="AS161" s="59">
        <f>IFERROR(VLOOKUP($A161,[2]Mssp!$A$5:$BE$1463,AS$4+1,0),0)</f>
        <v>0</v>
      </c>
      <c r="AT161" s="59">
        <f>IFERROR(VLOOKUP($A161,[2]Mssp!$A$5:$BE$1463,AT$4+1,0),0)</f>
        <v>0</v>
      </c>
      <c r="AU161" s="59">
        <f>IFERROR(VLOOKUP($A161,[2]Mssp!$A$5:$BE$1463,AU$4+1,0),0)</f>
        <v>0</v>
      </c>
      <c r="AV161" s="59">
        <f>IFERROR(VLOOKUP($A161,[2]Mssp!$A$5:$BE$1463,AV$4+1,0),0)</f>
        <v>0</v>
      </c>
      <c r="AW161" s="59">
        <f>IFERROR(VLOOKUP($A161,[2]Mssp!$A$5:$BE$1463,AW$4+1,0),0)</f>
        <v>0</v>
      </c>
      <c r="AX161" s="59">
        <f>IFERROR(VLOOKUP($A161,[2]Mssp!$A$5:$BE$1463,AX$4+1,0),0)</f>
        <v>0</v>
      </c>
      <c r="AY161" s="59">
        <f>IFERROR(VLOOKUP($A161,[2]Mssp!$A$5:$BE$1463,AY$4+2,0),0)</f>
        <v>0</v>
      </c>
      <c r="AZ161" s="59">
        <f>IFERROR(VLOOKUP($A161,[2]Mssp!$A$5:$BE$1463,AZ$4+2,0),0)</f>
        <v>0</v>
      </c>
      <c r="BA161" s="60">
        <v>3000</v>
      </c>
      <c r="BB161" s="61" t="s">
        <v>62</v>
      </c>
      <c r="BC161" s="62"/>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c r="CK161" s="9"/>
      <c r="CL161" s="9"/>
      <c r="CM161" s="9"/>
      <c r="CN161" s="9"/>
      <c r="CO161" s="9"/>
      <c r="CP161" s="9"/>
    </row>
    <row r="162" spans="1:94" ht="45" x14ac:dyDescent="0.25">
      <c r="A162" s="50" t="s">
        <v>660</v>
      </c>
      <c r="B162" s="73" t="s">
        <v>661</v>
      </c>
      <c r="C162" s="50">
        <f t="shared" si="5"/>
        <v>7</v>
      </c>
      <c r="D162" s="58">
        <v>3</v>
      </c>
      <c r="E162" s="58" t="s">
        <v>113</v>
      </c>
      <c r="F162" s="58">
        <v>1</v>
      </c>
      <c r="G162" s="50" t="s">
        <v>114</v>
      </c>
      <c r="H162" s="50">
        <f>VLOOKUP($A162,'[1]ma sp 02'!$A$5:$BD$1101,H$1,0)</f>
        <v>0</v>
      </c>
      <c r="I162" s="50">
        <f>VLOOKUP($A162,'[1]ma sp 02'!$A$5:$BD$1101,I$1,0)</f>
        <v>0</v>
      </c>
      <c r="J162" s="50">
        <f>VLOOKUP($A162,'[1]ma sp 02'!$A$5:$BD$1101,J$1,0)</f>
        <v>0</v>
      </c>
      <c r="K162" s="50">
        <f>VLOOKUP($A162,'[1]ma sp 02'!$A$5:$BD$1101,K$1,0)</f>
        <v>0.1</v>
      </c>
      <c r="L162" s="50">
        <f>VLOOKUP($A162,'[1]ma sp 02'!$A$5:$BD$1101,L$1,0)</f>
        <v>1.6</v>
      </c>
      <c r="M162" s="50">
        <f>VLOOKUP($A162,'[1]ma sp 02'!$A$5:$BD$1101,M$1,0)</f>
        <v>0</v>
      </c>
      <c r="N162" s="50">
        <f>VLOOKUP($A162,'[1]ma sp 02'!$A$5:$BD$1101,N$1,0)</f>
        <v>0</v>
      </c>
      <c r="O162" s="50">
        <f>VLOOKUP($A162,'[1]ma sp 02'!$A$5:$BD$1101,O$1,0)</f>
        <v>0</v>
      </c>
      <c r="P162" s="50">
        <f>VLOOKUP($A162,'[1]ma sp 02'!$A$5:$BD$1101,P$1,0)</f>
        <v>5.3</v>
      </c>
      <c r="Q162" s="50">
        <f>VLOOKUP($A162,'[1]ma sp 02'!$A$5:$BD$1101,Q$1,0)</f>
        <v>0</v>
      </c>
      <c r="R162" s="50">
        <f>VLOOKUP($A162,'[1]ma sp 02'!$A$5:$BD$1101,R$1,0)</f>
        <v>0</v>
      </c>
      <c r="S162" s="50">
        <f>VLOOKUP($A162,'[1]ma sp 02'!$A$5:$BD$1101,S$1,0)</f>
        <v>0</v>
      </c>
      <c r="T162" s="50">
        <f>VLOOKUP($A162,'[1]ma sp 02'!$A$5:$BD$1101,T$1,0)</f>
        <v>0</v>
      </c>
      <c r="U162" s="50">
        <f>VLOOKUP($A162,'[1]ma sp 02'!$A$5:$BD$1101,U$1,0)</f>
        <v>0</v>
      </c>
      <c r="V162" s="50">
        <f>VLOOKUP($A162,'[1]ma sp 02'!$A$5:$BD$1101,V$1,0)</f>
        <v>0</v>
      </c>
      <c r="W162" s="50">
        <f>VLOOKUP($A162,'[1]ma sp 02'!$A$5:$BD$1101,W$1,0)</f>
        <v>0</v>
      </c>
      <c r="X162" s="50">
        <f t="shared" si="4"/>
        <v>3</v>
      </c>
      <c r="Y162" s="57"/>
      <c r="Z162" s="57"/>
      <c r="AA162" s="57"/>
      <c r="AB162" s="57"/>
      <c r="AC162" s="57"/>
      <c r="AD162" s="57"/>
      <c r="AE162" s="58" t="s">
        <v>115</v>
      </c>
      <c r="AF162" s="58" t="s">
        <v>321</v>
      </c>
      <c r="AG162" s="71">
        <f>(0.012*1.4+0.012*1.4+0.075*0.925)*0.74</f>
        <v>7.6201500000000005E-2</v>
      </c>
      <c r="AH162" s="63">
        <f>(2.3/0.75/2)*0.73</f>
        <v>1.1193333333333333</v>
      </c>
      <c r="AI162" s="63">
        <f>(3/0.75/2)*0.73</f>
        <v>1.46</v>
      </c>
      <c r="AJ162" s="58">
        <v>9530</v>
      </c>
      <c r="AK162" s="58">
        <v>9530</v>
      </c>
      <c r="AL162" s="58" t="s">
        <v>117</v>
      </c>
      <c r="AM162" s="52" t="s">
        <v>60</v>
      </c>
      <c r="AN162" s="58">
        <v>270</v>
      </c>
      <c r="AO162" s="52" t="s">
        <v>118</v>
      </c>
      <c r="AP162" s="59">
        <f>IFERROR(VLOOKUP($A162,[2]Mssp!$A$5:$BE$1463,AP$4+1,0),0)</f>
        <v>0</v>
      </c>
      <c r="AQ162" s="59">
        <f>IFERROR(VLOOKUP($A162,[2]Mssp!$A$5:$BE$1463,AQ$4+1,0),0)</f>
        <v>0</v>
      </c>
      <c r="AR162" s="59">
        <f>IFERROR(VLOOKUP($A162,[2]Mssp!$A$5:$BE$1463,AR$4+1,0),0)</f>
        <v>0</v>
      </c>
      <c r="AS162" s="59">
        <f>IFERROR(VLOOKUP($A162,[2]Mssp!$A$5:$BE$1463,AS$4+1,0),0)</f>
        <v>0</v>
      </c>
      <c r="AT162" s="59">
        <f>IFERROR(VLOOKUP($A162,[2]Mssp!$A$5:$BE$1463,AT$4+1,0),0)</f>
        <v>0</v>
      </c>
      <c r="AU162" s="59">
        <f>IFERROR(VLOOKUP($A162,[2]Mssp!$A$5:$BE$1463,AU$4+1,0),0)</f>
        <v>0</v>
      </c>
      <c r="AV162" s="59">
        <f>IFERROR(VLOOKUP($A162,[2]Mssp!$A$5:$BE$1463,AV$4+1,0),0)</f>
        <v>0</v>
      </c>
      <c r="AW162" s="59">
        <f>IFERROR(VLOOKUP($A162,[2]Mssp!$A$5:$BE$1463,AW$4+1,0),0)</f>
        <v>0</v>
      </c>
      <c r="AX162" s="59">
        <f>IFERROR(VLOOKUP($A162,[2]Mssp!$A$5:$BE$1463,AX$4+1,0),0)</f>
        <v>0</v>
      </c>
      <c r="AY162" s="59">
        <f>IFERROR(VLOOKUP($A162,[2]Mssp!$A$5:$BE$1463,AY$4+2,0),0)</f>
        <v>0</v>
      </c>
      <c r="AZ162" s="59">
        <f>IFERROR(VLOOKUP($A162,[2]Mssp!$A$5:$BE$1463,AZ$4+2,0),0)</f>
        <v>0</v>
      </c>
      <c r="BA162" s="60">
        <v>3000</v>
      </c>
      <c r="BB162" s="61" t="s">
        <v>62</v>
      </c>
      <c r="BC162" s="62"/>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c r="CK162" s="9"/>
      <c r="CL162" s="9"/>
      <c r="CM162" s="9"/>
      <c r="CN162" s="9"/>
      <c r="CO162" s="9"/>
      <c r="CP162" s="9"/>
    </row>
    <row r="163" spans="1:94" ht="45" x14ac:dyDescent="0.25">
      <c r="A163" s="50" t="s">
        <v>662</v>
      </c>
      <c r="B163" s="73" t="s">
        <v>663</v>
      </c>
      <c r="C163" s="50">
        <f t="shared" si="5"/>
        <v>4</v>
      </c>
      <c r="D163" s="58">
        <v>3</v>
      </c>
      <c r="E163" s="58" t="s">
        <v>113</v>
      </c>
      <c r="F163" s="58">
        <v>1</v>
      </c>
      <c r="G163" s="50" t="s">
        <v>114</v>
      </c>
      <c r="H163" s="50">
        <f>VLOOKUP($A163,'[1]ma sp 02'!$A$5:$BD$1101,H$1,0)</f>
        <v>0</v>
      </c>
      <c r="I163" s="50">
        <f>VLOOKUP($A163,'[1]ma sp 02'!$A$5:$BD$1101,I$1,0)</f>
        <v>0</v>
      </c>
      <c r="J163" s="50">
        <f>VLOOKUP($A163,'[1]ma sp 02'!$A$5:$BD$1101,J$1,0)</f>
        <v>0</v>
      </c>
      <c r="K163" s="50">
        <f>VLOOKUP($A163,'[1]ma sp 02'!$A$5:$BD$1101,K$1,0)</f>
        <v>0</v>
      </c>
      <c r="L163" s="50">
        <f>VLOOKUP($A163,'[1]ma sp 02'!$A$5:$BD$1101,L$1,0)</f>
        <v>0</v>
      </c>
      <c r="M163" s="50">
        <f>VLOOKUP($A163,'[1]ma sp 02'!$A$5:$BD$1101,M$1,0)</f>
        <v>0</v>
      </c>
      <c r="N163" s="50">
        <f>VLOOKUP($A163,'[1]ma sp 02'!$A$5:$BD$1101,N$1,0)</f>
        <v>0</v>
      </c>
      <c r="O163" s="50">
        <f>VLOOKUP($A163,'[1]ma sp 02'!$A$5:$BD$1101,O$1,0)</f>
        <v>0</v>
      </c>
      <c r="P163" s="50">
        <f>VLOOKUP($A163,'[1]ma sp 02'!$A$5:$BD$1101,P$1,0)</f>
        <v>0</v>
      </c>
      <c r="Q163" s="50">
        <f>VLOOKUP($A163,'[1]ma sp 02'!$A$5:$BD$1101,Q$1,0)</f>
        <v>0</v>
      </c>
      <c r="R163" s="50">
        <f>VLOOKUP($A163,'[1]ma sp 02'!$A$5:$BD$1101,R$1,0)</f>
        <v>4</v>
      </c>
      <c r="S163" s="50">
        <f>VLOOKUP($A163,'[1]ma sp 02'!$A$5:$BD$1101,S$1,0)</f>
        <v>0</v>
      </c>
      <c r="T163" s="50">
        <f>VLOOKUP($A163,'[1]ma sp 02'!$A$5:$BD$1101,T$1,0)</f>
        <v>0</v>
      </c>
      <c r="U163" s="50">
        <f>VLOOKUP($A163,'[1]ma sp 02'!$A$5:$BD$1101,U$1,0)</f>
        <v>0</v>
      </c>
      <c r="V163" s="50">
        <f>VLOOKUP($A163,'[1]ma sp 02'!$A$5:$BD$1101,V$1,0)</f>
        <v>0</v>
      </c>
      <c r="W163" s="50">
        <f>VLOOKUP($A163,'[1]ma sp 02'!$A$5:$BD$1101,W$1,0)</f>
        <v>0</v>
      </c>
      <c r="X163" s="50">
        <f t="shared" si="4"/>
        <v>1</v>
      </c>
      <c r="Y163" s="57"/>
      <c r="Z163" s="57"/>
      <c r="AA163" s="57"/>
      <c r="AB163" s="57"/>
      <c r="AC163" s="57"/>
      <c r="AD163" s="57"/>
      <c r="AE163" s="58" t="s">
        <v>115</v>
      </c>
      <c r="AF163" s="58" t="s">
        <v>321</v>
      </c>
      <c r="AG163" s="71">
        <f>(0.012*1.4+0.012*1.4+0.075*0.925)*0.74</f>
        <v>7.6201500000000005E-2</v>
      </c>
      <c r="AH163" s="63">
        <f>(2.3/0.75/2)*0.73</f>
        <v>1.1193333333333333</v>
      </c>
      <c r="AI163" s="63">
        <f>(3/0.75/2)*0.73</f>
        <v>1.46</v>
      </c>
      <c r="AJ163" s="58">
        <v>9530</v>
      </c>
      <c r="AK163" s="58">
        <v>9530</v>
      </c>
      <c r="AL163" s="58" t="s">
        <v>117</v>
      </c>
      <c r="AM163" s="52" t="s">
        <v>60</v>
      </c>
      <c r="AN163" s="58">
        <v>270</v>
      </c>
      <c r="AO163" s="52" t="s">
        <v>118</v>
      </c>
      <c r="AP163" s="59">
        <f>IFERROR(VLOOKUP($A163,[2]Mssp!$A$5:$BE$1463,AP$4+1,0),0)</f>
        <v>0</v>
      </c>
      <c r="AQ163" s="59">
        <f>IFERROR(VLOOKUP($A163,[2]Mssp!$A$5:$BE$1463,AQ$4+1,0),0)</f>
        <v>0</v>
      </c>
      <c r="AR163" s="59">
        <f>IFERROR(VLOOKUP($A163,[2]Mssp!$A$5:$BE$1463,AR$4+1,0),0)</f>
        <v>0</v>
      </c>
      <c r="AS163" s="59">
        <f>IFERROR(VLOOKUP($A163,[2]Mssp!$A$5:$BE$1463,AS$4+1,0),0)</f>
        <v>0</v>
      </c>
      <c r="AT163" s="59">
        <f>IFERROR(VLOOKUP($A163,[2]Mssp!$A$5:$BE$1463,AT$4+1,0),0)</f>
        <v>0</v>
      </c>
      <c r="AU163" s="59">
        <f>IFERROR(VLOOKUP($A163,[2]Mssp!$A$5:$BE$1463,AU$4+1,0),0)</f>
        <v>0</v>
      </c>
      <c r="AV163" s="59">
        <f>IFERROR(VLOOKUP($A163,[2]Mssp!$A$5:$BE$1463,AV$4+1,0),0)</f>
        <v>0</v>
      </c>
      <c r="AW163" s="59">
        <f>IFERROR(VLOOKUP($A163,[2]Mssp!$A$5:$BE$1463,AW$4+1,0),0)</f>
        <v>0</v>
      </c>
      <c r="AX163" s="59">
        <f>IFERROR(VLOOKUP($A163,[2]Mssp!$A$5:$BE$1463,AX$4+1,0),0)</f>
        <v>0</v>
      </c>
      <c r="AY163" s="59">
        <f>IFERROR(VLOOKUP($A163,[2]Mssp!$A$5:$BE$1463,AY$4+2,0),0)</f>
        <v>0</v>
      </c>
      <c r="AZ163" s="59">
        <f>IFERROR(VLOOKUP($A163,[2]Mssp!$A$5:$BE$1463,AZ$4+2,0),0)</f>
        <v>0</v>
      </c>
      <c r="BA163" s="60">
        <v>3000</v>
      </c>
      <c r="BB163" s="61" t="s">
        <v>62</v>
      </c>
      <c r="BC163" s="62"/>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c r="CK163" s="9"/>
      <c r="CL163" s="9"/>
      <c r="CM163" s="9"/>
      <c r="CN163" s="9"/>
      <c r="CO163" s="9"/>
      <c r="CP163" s="9"/>
    </row>
    <row r="164" spans="1:94" ht="45" x14ac:dyDescent="0.25">
      <c r="A164" s="50" t="s">
        <v>664</v>
      </c>
      <c r="B164" s="73" t="s">
        <v>665</v>
      </c>
      <c r="C164" s="50">
        <f t="shared" si="5"/>
        <v>0</v>
      </c>
      <c r="D164" s="58">
        <v>3</v>
      </c>
      <c r="E164" s="58" t="s">
        <v>113</v>
      </c>
      <c r="F164" s="57"/>
      <c r="G164" s="50" t="s">
        <v>114</v>
      </c>
      <c r="H164" s="50">
        <f>VLOOKUP($A164,'[1]ma sp 02'!$A$5:$BD$1101,H$1,0)</f>
        <v>0</v>
      </c>
      <c r="I164" s="50">
        <f>VLOOKUP($A164,'[1]ma sp 02'!$A$5:$BD$1101,I$1,0)</f>
        <v>0</v>
      </c>
      <c r="J164" s="50">
        <f>VLOOKUP($A164,'[1]ma sp 02'!$A$5:$BD$1101,J$1,0)</f>
        <v>0</v>
      </c>
      <c r="K164" s="50">
        <f>VLOOKUP($A164,'[1]ma sp 02'!$A$5:$BD$1101,K$1,0)</f>
        <v>0</v>
      </c>
      <c r="L164" s="50">
        <f>VLOOKUP($A164,'[1]ma sp 02'!$A$5:$BD$1101,L$1,0)</f>
        <v>0</v>
      </c>
      <c r="M164" s="50">
        <f>VLOOKUP($A164,'[1]ma sp 02'!$A$5:$BD$1101,M$1,0)</f>
        <v>0</v>
      </c>
      <c r="N164" s="50">
        <f>VLOOKUP($A164,'[1]ma sp 02'!$A$5:$BD$1101,N$1,0)</f>
        <v>0</v>
      </c>
      <c r="O164" s="50">
        <f>VLOOKUP($A164,'[1]ma sp 02'!$A$5:$BD$1101,O$1,0)</f>
        <v>0</v>
      </c>
      <c r="P164" s="50">
        <f>VLOOKUP($A164,'[1]ma sp 02'!$A$5:$BD$1101,P$1,0)</f>
        <v>0</v>
      </c>
      <c r="Q164" s="50">
        <f>VLOOKUP($A164,'[1]ma sp 02'!$A$5:$BD$1101,Q$1,0)</f>
        <v>0</v>
      </c>
      <c r="R164" s="50">
        <f>VLOOKUP($A164,'[1]ma sp 02'!$A$5:$BD$1101,R$1,0)</f>
        <v>0</v>
      </c>
      <c r="S164" s="50">
        <f>VLOOKUP($A164,'[1]ma sp 02'!$A$5:$BD$1101,S$1,0)</f>
        <v>0</v>
      </c>
      <c r="T164" s="50">
        <f>VLOOKUP($A164,'[1]ma sp 02'!$A$5:$BD$1101,T$1,0)</f>
        <v>0</v>
      </c>
      <c r="U164" s="50">
        <f>VLOOKUP($A164,'[1]ma sp 02'!$A$5:$BD$1101,U$1,0)</f>
        <v>0</v>
      </c>
      <c r="V164" s="50">
        <f>VLOOKUP($A164,'[1]ma sp 02'!$A$5:$BD$1101,V$1,0)</f>
        <v>0</v>
      </c>
      <c r="W164" s="50">
        <f>VLOOKUP($A164,'[1]ma sp 02'!$A$5:$BD$1101,W$1,0)</f>
        <v>0</v>
      </c>
      <c r="X164" s="50">
        <f t="shared" si="4"/>
        <v>0</v>
      </c>
      <c r="Y164" s="57"/>
      <c r="Z164" s="57"/>
      <c r="AA164" s="57"/>
      <c r="AB164" s="57"/>
      <c r="AC164" s="57"/>
      <c r="AD164" s="57"/>
      <c r="AE164" s="58" t="s">
        <v>115</v>
      </c>
      <c r="AF164" s="58" t="s">
        <v>321</v>
      </c>
      <c r="AG164" s="71">
        <f>(0.012*1.4+0.012*1.4+0.075*0.925)*0.74</f>
        <v>7.6201500000000005E-2</v>
      </c>
      <c r="AH164" s="63">
        <f>(2.3/0.75/2)*0.73</f>
        <v>1.1193333333333333</v>
      </c>
      <c r="AI164" s="63">
        <f>(3/0.75/2)*0.73</f>
        <v>1.46</v>
      </c>
      <c r="AJ164" s="58">
        <v>9530</v>
      </c>
      <c r="AK164" s="58">
        <v>9530</v>
      </c>
      <c r="AL164" s="58" t="s">
        <v>117</v>
      </c>
      <c r="AM164" s="52" t="s">
        <v>60</v>
      </c>
      <c r="AN164" s="58">
        <v>270</v>
      </c>
      <c r="AO164" s="52" t="s">
        <v>118</v>
      </c>
      <c r="AP164" s="59">
        <f>IFERROR(VLOOKUP($A164,[2]Mssp!$A$5:$BE$1463,AP$4+1,0),0)</f>
        <v>0</v>
      </c>
      <c r="AQ164" s="59">
        <f>IFERROR(VLOOKUP($A164,[2]Mssp!$A$5:$BE$1463,AQ$4+1,0),0)</f>
        <v>0</v>
      </c>
      <c r="AR164" s="59">
        <f>IFERROR(VLOOKUP($A164,[2]Mssp!$A$5:$BE$1463,AR$4+1,0),0)</f>
        <v>0</v>
      </c>
      <c r="AS164" s="59">
        <f>IFERROR(VLOOKUP($A164,[2]Mssp!$A$5:$BE$1463,AS$4+1,0),0)</f>
        <v>0</v>
      </c>
      <c r="AT164" s="59">
        <f>IFERROR(VLOOKUP($A164,[2]Mssp!$A$5:$BE$1463,AT$4+1,0),0)</f>
        <v>0</v>
      </c>
      <c r="AU164" s="59">
        <f>IFERROR(VLOOKUP($A164,[2]Mssp!$A$5:$BE$1463,AU$4+1,0),0)</f>
        <v>0</v>
      </c>
      <c r="AV164" s="59">
        <f>IFERROR(VLOOKUP($A164,[2]Mssp!$A$5:$BE$1463,AV$4+1,0),0)</f>
        <v>0</v>
      </c>
      <c r="AW164" s="59">
        <f>IFERROR(VLOOKUP($A164,[2]Mssp!$A$5:$BE$1463,AW$4+1,0),0)</f>
        <v>0</v>
      </c>
      <c r="AX164" s="59">
        <f>IFERROR(VLOOKUP($A164,[2]Mssp!$A$5:$BE$1463,AX$4+1,0),0)</f>
        <v>0</v>
      </c>
      <c r="AY164" s="59">
        <f>IFERROR(VLOOKUP($A164,[2]Mssp!$A$5:$BE$1463,AY$4+2,0),0)</f>
        <v>0</v>
      </c>
      <c r="AZ164" s="59">
        <f>IFERROR(VLOOKUP($A164,[2]Mssp!$A$5:$BE$1463,AZ$4+2,0),0)</f>
        <v>0</v>
      </c>
      <c r="BA164" s="60">
        <v>3000</v>
      </c>
      <c r="BB164" s="61" t="s">
        <v>62</v>
      </c>
      <c r="BC164" s="62"/>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c r="CK164" s="9"/>
      <c r="CL164" s="9"/>
      <c r="CM164" s="9"/>
      <c r="CN164" s="9"/>
      <c r="CO164" s="9"/>
      <c r="CP164" s="9"/>
    </row>
    <row r="165" spans="1:94" ht="45" x14ac:dyDescent="0.25">
      <c r="A165" s="50" t="s">
        <v>666</v>
      </c>
      <c r="B165" s="73" t="s">
        <v>667</v>
      </c>
      <c r="C165" s="50">
        <f t="shared" si="5"/>
        <v>2.9</v>
      </c>
      <c r="D165" s="58">
        <v>2</v>
      </c>
      <c r="E165" s="58" t="s">
        <v>131</v>
      </c>
      <c r="F165" s="58">
        <v>1</v>
      </c>
      <c r="G165" s="50" t="s">
        <v>114</v>
      </c>
      <c r="H165" s="50">
        <f>VLOOKUP($A165,'[1]ma sp 02'!$A$5:$BD$1101,H$1,0)</f>
        <v>0</v>
      </c>
      <c r="I165" s="50">
        <f>VLOOKUP($A165,'[1]ma sp 02'!$A$5:$BD$1101,I$1,0)</f>
        <v>0</v>
      </c>
      <c r="J165" s="50">
        <f>VLOOKUP($A165,'[1]ma sp 02'!$A$5:$BD$1101,J$1,0)</f>
        <v>0</v>
      </c>
      <c r="K165" s="50">
        <f>VLOOKUP($A165,'[1]ma sp 02'!$A$5:$BD$1101,K$1,0)</f>
        <v>0</v>
      </c>
      <c r="L165" s="50">
        <f>VLOOKUP($A165,'[1]ma sp 02'!$A$5:$BD$1101,L$1,0)</f>
        <v>0</v>
      </c>
      <c r="M165" s="50">
        <f>VLOOKUP($A165,'[1]ma sp 02'!$A$5:$BD$1101,M$1,0)</f>
        <v>0</v>
      </c>
      <c r="N165" s="50">
        <f>VLOOKUP($A165,'[1]ma sp 02'!$A$5:$BD$1101,N$1,0)</f>
        <v>0</v>
      </c>
      <c r="O165" s="50">
        <f>VLOOKUP($A165,'[1]ma sp 02'!$A$5:$BD$1101,O$1,0)</f>
        <v>2.9</v>
      </c>
      <c r="P165" s="50">
        <f>VLOOKUP($A165,'[1]ma sp 02'!$A$5:$BD$1101,P$1,0)</f>
        <v>0</v>
      </c>
      <c r="Q165" s="50">
        <f>VLOOKUP($A165,'[1]ma sp 02'!$A$5:$BD$1101,Q$1,0)</f>
        <v>0</v>
      </c>
      <c r="R165" s="50">
        <f>VLOOKUP($A165,'[1]ma sp 02'!$A$5:$BD$1101,R$1,0)</f>
        <v>0</v>
      </c>
      <c r="S165" s="50">
        <f>VLOOKUP($A165,'[1]ma sp 02'!$A$5:$BD$1101,S$1,0)</f>
        <v>0</v>
      </c>
      <c r="T165" s="50">
        <f>VLOOKUP($A165,'[1]ma sp 02'!$A$5:$BD$1101,T$1,0)</f>
        <v>0</v>
      </c>
      <c r="U165" s="50">
        <f>VLOOKUP($A165,'[1]ma sp 02'!$A$5:$BD$1101,U$1,0)</f>
        <v>0</v>
      </c>
      <c r="V165" s="50">
        <f>VLOOKUP($A165,'[1]ma sp 02'!$A$5:$BD$1101,V$1,0)</f>
        <v>0</v>
      </c>
      <c r="W165" s="50">
        <f>VLOOKUP($A165,'[1]ma sp 02'!$A$5:$BD$1101,W$1,0)</f>
        <v>0</v>
      </c>
      <c r="X165" s="50">
        <f t="shared" si="4"/>
        <v>1</v>
      </c>
      <c r="Y165" s="57"/>
      <c r="Z165" s="57"/>
      <c r="AA165" s="57"/>
      <c r="AB165" s="57"/>
      <c r="AC165" s="57"/>
      <c r="AD165" s="57"/>
      <c r="AE165" s="58" t="s">
        <v>78</v>
      </c>
      <c r="AF165" s="58" t="s">
        <v>324</v>
      </c>
      <c r="AG165" s="71">
        <f>(0.012*1.4+0.012*1.4+0.075*0.925)*0.62</f>
        <v>6.3844500000000012E-2</v>
      </c>
      <c r="AH165" s="63">
        <f>(2.3/0.75/2)*0.61</f>
        <v>0.93533333333333324</v>
      </c>
      <c r="AI165" s="63">
        <f>(3/0.75/2)*0.61</f>
        <v>1.22</v>
      </c>
      <c r="AJ165" s="58">
        <v>9530</v>
      </c>
      <c r="AK165" s="58">
        <v>9530</v>
      </c>
      <c r="AL165" s="58" t="s">
        <v>117</v>
      </c>
      <c r="AM165" s="52" t="s">
        <v>60</v>
      </c>
      <c r="AN165" s="58">
        <v>340</v>
      </c>
      <c r="AO165" s="52" t="s">
        <v>118</v>
      </c>
      <c r="AP165" s="59">
        <f>IFERROR(VLOOKUP($A165,[2]Mssp!$A$5:$BE$1463,AP$4+1,0),0)</f>
        <v>0</v>
      </c>
      <c r="AQ165" s="59">
        <f>IFERROR(VLOOKUP($A165,[2]Mssp!$A$5:$BE$1463,AQ$4+1,0),0)</f>
        <v>0</v>
      </c>
      <c r="AR165" s="59">
        <f>IFERROR(VLOOKUP($A165,[2]Mssp!$A$5:$BE$1463,AR$4+1,0),0)</f>
        <v>0</v>
      </c>
      <c r="AS165" s="59">
        <f>IFERROR(VLOOKUP($A165,[2]Mssp!$A$5:$BE$1463,AS$4+1,0),0)</f>
        <v>0</v>
      </c>
      <c r="AT165" s="59">
        <f>IFERROR(VLOOKUP($A165,[2]Mssp!$A$5:$BE$1463,AT$4+1,0),0)</f>
        <v>0</v>
      </c>
      <c r="AU165" s="59">
        <f>IFERROR(VLOOKUP($A165,[2]Mssp!$A$5:$BE$1463,AU$4+1,0),0)</f>
        <v>0</v>
      </c>
      <c r="AV165" s="59">
        <f>IFERROR(VLOOKUP($A165,[2]Mssp!$A$5:$BE$1463,AV$4+1,0),0)</f>
        <v>0</v>
      </c>
      <c r="AW165" s="59">
        <f>IFERROR(VLOOKUP($A165,[2]Mssp!$A$5:$BE$1463,AW$4+1,0),0)</f>
        <v>0</v>
      </c>
      <c r="AX165" s="59">
        <f>IFERROR(VLOOKUP($A165,[2]Mssp!$A$5:$BE$1463,AX$4+1,0),0)</f>
        <v>0</v>
      </c>
      <c r="AY165" s="59">
        <f>IFERROR(VLOOKUP($A165,[2]Mssp!$A$5:$BE$1463,AY$4+2,0),0)</f>
        <v>0</v>
      </c>
      <c r="AZ165" s="59">
        <f>IFERROR(VLOOKUP($A165,[2]Mssp!$A$5:$BE$1463,AZ$4+2,0),0)</f>
        <v>0</v>
      </c>
      <c r="BA165" s="60">
        <v>2500</v>
      </c>
      <c r="BB165" s="61" t="s">
        <v>62</v>
      </c>
      <c r="BC165" s="62"/>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c r="CK165" s="9"/>
      <c r="CL165" s="9"/>
      <c r="CM165" s="9"/>
      <c r="CN165" s="9"/>
      <c r="CO165" s="9"/>
      <c r="CP165" s="9"/>
    </row>
    <row r="166" spans="1:94" ht="45" x14ac:dyDescent="0.25">
      <c r="A166" s="50" t="s">
        <v>668</v>
      </c>
      <c r="B166" s="73" t="s">
        <v>669</v>
      </c>
      <c r="C166" s="50">
        <f t="shared" si="5"/>
        <v>2.9</v>
      </c>
      <c r="D166" s="58">
        <v>2</v>
      </c>
      <c r="E166" s="58" t="s">
        <v>131</v>
      </c>
      <c r="F166" s="58">
        <v>1</v>
      </c>
      <c r="G166" s="50" t="s">
        <v>114</v>
      </c>
      <c r="H166" s="50">
        <f>VLOOKUP($A166,'[1]ma sp 02'!$A$5:$BD$1101,H$1,0)</f>
        <v>0</v>
      </c>
      <c r="I166" s="50">
        <f>VLOOKUP($A166,'[1]ma sp 02'!$A$5:$BD$1101,I$1,0)</f>
        <v>0</v>
      </c>
      <c r="J166" s="50">
        <f>VLOOKUP($A166,'[1]ma sp 02'!$A$5:$BD$1101,J$1,0)</f>
        <v>0</v>
      </c>
      <c r="K166" s="50">
        <f>VLOOKUP($A166,'[1]ma sp 02'!$A$5:$BD$1101,K$1,0)</f>
        <v>2.9</v>
      </c>
      <c r="L166" s="50">
        <f>VLOOKUP($A166,'[1]ma sp 02'!$A$5:$BD$1101,L$1,0)</f>
        <v>0</v>
      </c>
      <c r="M166" s="50">
        <f>VLOOKUP($A166,'[1]ma sp 02'!$A$5:$BD$1101,M$1,0)</f>
        <v>0</v>
      </c>
      <c r="N166" s="50">
        <f>VLOOKUP($A166,'[1]ma sp 02'!$A$5:$BD$1101,N$1,0)</f>
        <v>0</v>
      </c>
      <c r="O166" s="50">
        <f>VLOOKUP($A166,'[1]ma sp 02'!$A$5:$BD$1101,O$1,0)</f>
        <v>0</v>
      </c>
      <c r="P166" s="50">
        <f>VLOOKUP($A166,'[1]ma sp 02'!$A$5:$BD$1101,P$1,0)</f>
        <v>0</v>
      </c>
      <c r="Q166" s="50">
        <f>VLOOKUP($A166,'[1]ma sp 02'!$A$5:$BD$1101,Q$1,0)</f>
        <v>0</v>
      </c>
      <c r="R166" s="50">
        <f>VLOOKUP($A166,'[1]ma sp 02'!$A$5:$BD$1101,R$1,0)</f>
        <v>0</v>
      </c>
      <c r="S166" s="50">
        <f>VLOOKUP($A166,'[1]ma sp 02'!$A$5:$BD$1101,S$1,0)</f>
        <v>0</v>
      </c>
      <c r="T166" s="50">
        <f>VLOOKUP($A166,'[1]ma sp 02'!$A$5:$BD$1101,T$1,0)</f>
        <v>0</v>
      </c>
      <c r="U166" s="50">
        <f>VLOOKUP($A166,'[1]ma sp 02'!$A$5:$BD$1101,U$1,0)</f>
        <v>0</v>
      </c>
      <c r="V166" s="50">
        <f>VLOOKUP($A166,'[1]ma sp 02'!$A$5:$BD$1101,V$1,0)</f>
        <v>0</v>
      </c>
      <c r="W166" s="50">
        <f>VLOOKUP($A166,'[1]ma sp 02'!$A$5:$BD$1101,W$1,0)</f>
        <v>0</v>
      </c>
      <c r="X166" s="50">
        <f t="shared" si="4"/>
        <v>1</v>
      </c>
      <c r="Y166" s="57"/>
      <c r="Z166" s="57"/>
      <c r="AA166" s="57"/>
      <c r="AB166" s="57"/>
      <c r="AC166" s="57"/>
      <c r="AD166" s="57"/>
      <c r="AE166" s="58" t="s">
        <v>78</v>
      </c>
      <c r="AF166" s="58" t="s">
        <v>324</v>
      </c>
      <c r="AG166" s="71">
        <f>(0.012*1.4+0.012*1.4+0.075*0.925)*0.62</f>
        <v>6.3844500000000012E-2</v>
      </c>
      <c r="AH166" s="63">
        <f>(2.3/0.75/2)*0.61</f>
        <v>0.93533333333333324</v>
      </c>
      <c r="AI166" s="63">
        <f>(3/0.75/2)*0.61</f>
        <v>1.22</v>
      </c>
      <c r="AJ166" s="58">
        <v>9530</v>
      </c>
      <c r="AK166" s="58">
        <v>9530</v>
      </c>
      <c r="AL166" s="58" t="s">
        <v>117</v>
      </c>
      <c r="AM166" s="52" t="s">
        <v>60</v>
      </c>
      <c r="AN166" s="58">
        <v>340</v>
      </c>
      <c r="AO166" s="52" t="s">
        <v>118</v>
      </c>
      <c r="AP166" s="59">
        <f>IFERROR(VLOOKUP($A166,[2]Mssp!$A$5:$BE$1463,AP$4+1,0),0)</f>
        <v>0</v>
      </c>
      <c r="AQ166" s="59">
        <f>IFERROR(VLOOKUP($A166,[2]Mssp!$A$5:$BE$1463,AQ$4+1,0),0)</f>
        <v>0</v>
      </c>
      <c r="AR166" s="59">
        <f>IFERROR(VLOOKUP($A166,[2]Mssp!$A$5:$BE$1463,AR$4+1,0),0)</f>
        <v>0</v>
      </c>
      <c r="AS166" s="59">
        <f>IFERROR(VLOOKUP($A166,[2]Mssp!$A$5:$BE$1463,AS$4+1,0),0)</f>
        <v>0</v>
      </c>
      <c r="AT166" s="59">
        <f>IFERROR(VLOOKUP($A166,[2]Mssp!$A$5:$BE$1463,AT$4+1,0),0)</f>
        <v>0</v>
      </c>
      <c r="AU166" s="59">
        <f>IFERROR(VLOOKUP($A166,[2]Mssp!$A$5:$BE$1463,AU$4+1,0),0)</f>
        <v>0</v>
      </c>
      <c r="AV166" s="59">
        <f>IFERROR(VLOOKUP($A166,[2]Mssp!$A$5:$BE$1463,AV$4+1,0),0)</f>
        <v>0</v>
      </c>
      <c r="AW166" s="59">
        <f>IFERROR(VLOOKUP($A166,[2]Mssp!$A$5:$BE$1463,AW$4+1,0),0)</f>
        <v>0</v>
      </c>
      <c r="AX166" s="59">
        <f>IFERROR(VLOOKUP($A166,[2]Mssp!$A$5:$BE$1463,AX$4+1,0),0)</f>
        <v>0</v>
      </c>
      <c r="AY166" s="59">
        <f>IFERROR(VLOOKUP($A166,[2]Mssp!$A$5:$BE$1463,AY$4+2,0),0)</f>
        <v>0</v>
      </c>
      <c r="AZ166" s="59">
        <f>IFERROR(VLOOKUP($A166,[2]Mssp!$A$5:$BE$1463,AZ$4+2,0),0)</f>
        <v>0</v>
      </c>
      <c r="BA166" s="60">
        <v>2500</v>
      </c>
      <c r="BB166" s="61" t="s">
        <v>62</v>
      </c>
      <c r="BC166" s="62"/>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c r="CK166" s="9"/>
      <c r="CL166" s="9"/>
      <c r="CM166" s="9"/>
      <c r="CN166" s="9"/>
      <c r="CO166" s="9"/>
      <c r="CP166" s="9"/>
    </row>
    <row r="167" spans="1:94" ht="45" x14ac:dyDescent="0.25">
      <c r="A167" s="50" t="s">
        <v>670</v>
      </c>
      <c r="B167" s="73" t="s">
        <v>671</v>
      </c>
      <c r="C167" s="50">
        <f t="shared" si="5"/>
        <v>2.7</v>
      </c>
      <c r="D167" s="58">
        <v>2</v>
      </c>
      <c r="E167" s="58" t="s">
        <v>131</v>
      </c>
      <c r="F167" s="58">
        <v>1</v>
      </c>
      <c r="G167" s="50" t="s">
        <v>114</v>
      </c>
      <c r="H167" s="50">
        <f>VLOOKUP($A167,'[1]ma sp 02'!$A$5:$BD$1101,H$1,0)</f>
        <v>0</v>
      </c>
      <c r="I167" s="50">
        <f>VLOOKUP($A167,'[1]ma sp 02'!$A$5:$BD$1101,I$1,0)</f>
        <v>0</v>
      </c>
      <c r="J167" s="50">
        <f>VLOOKUP($A167,'[1]ma sp 02'!$A$5:$BD$1101,J$1,0)</f>
        <v>0</v>
      </c>
      <c r="K167" s="50">
        <f>VLOOKUP($A167,'[1]ma sp 02'!$A$5:$BD$1101,K$1,0)</f>
        <v>0</v>
      </c>
      <c r="L167" s="50">
        <f>VLOOKUP($A167,'[1]ma sp 02'!$A$5:$BD$1101,L$1,0)</f>
        <v>0</v>
      </c>
      <c r="M167" s="50">
        <f>VLOOKUP($A167,'[1]ma sp 02'!$A$5:$BD$1101,M$1,0)</f>
        <v>0</v>
      </c>
      <c r="N167" s="50">
        <f>VLOOKUP($A167,'[1]ma sp 02'!$A$5:$BD$1101,N$1,0)</f>
        <v>0</v>
      </c>
      <c r="O167" s="50">
        <f>VLOOKUP($A167,'[1]ma sp 02'!$A$5:$BD$1101,O$1,0)</f>
        <v>0</v>
      </c>
      <c r="P167" s="50">
        <f>VLOOKUP($A167,'[1]ma sp 02'!$A$5:$BD$1101,P$1,0)</f>
        <v>0</v>
      </c>
      <c r="Q167" s="50">
        <f>VLOOKUP($A167,'[1]ma sp 02'!$A$5:$BD$1101,Q$1,0)</f>
        <v>0</v>
      </c>
      <c r="R167" s="50">
        <f>VLOOKUP($A167,'[1]ma sp 02'!$A$5:$BD$1101,R$1,0)</f>
        <v>2.7</v>
      </c>
      <c r="S167" s="50">
        <f>VLOOKUP($A167,'[1]ma sp 02'!$A$5:$BD$1101,S$1,0)</f>
        <v>0</v>
      </c>
      <c r="T167" s="50">
        <f>VLOOKUP($A167,'[1]ma sp 02'!$A$5:$BD$1101,T$1,0)</f>
        <v>0</v>
      </c>
      <c r="U167" s="50">
        <f>VLOOKUP($A167,'[1]ma sp 02'!$A$5:$BD$1101,U$1,0)</f>
        <v>0</v>
      </c>
      <c r="V167" s="50">
        <f>VLOOKUP($A167,'[1]ma sp 02'!$A$5:$BD$1101,V$1,0)</f>
        <v>0</v>
      </c>
      <c r="W167" s="50">
        <f>VLOOKUP($A167,'[1]ma sp 02'!$A$5:$BD$1101,W$1,0)</f>
        <v>0</v>
      </c>
      <c r="X167" s="50">
        <f t="shared" si="4"/>
        <v>1</v>
      </c>
      <c r="Y167" s="57"/>
      <c r="Z167" s="57"/>
      <c r="AA167" s="57"/>
      <c r="AB167" s="57"/>
      <c r="AC167" s="57"/>
      <c r="AD167" s="57"/>
      <c r="AE167" s="58" t="s">
        <v>78</v>
      </c>
      <c r="AF167" s="58" t="s">
        <v>324</v>
      </c>
      <c r="AG167" s="71">
        <f>(0.012*1.4+0.012*1.4+0.075*0.925)*0.62</f>
        <v>6.3844500000000012E-2</v>
      </c>
      <c r="AH167" s="63">
        <f>(2.3/0.75/2)*0.61</f>
        <v>0.93533333333333324</v>
      </c>
      <c r="AI167" s="63">
        <f>(3/0.75/2)*0.61</f>
        <v>1.22</v>
      </c>
      <c r="AJ167" s="58">
        <v>9530</v>
      </c>
      <c r="AK167" s="58">
        <v>9530</v>
      </c>
      <c r="AL167" s="58" t="s">
        <v>117</v>
      </c>
      <c r="AM167" s="52" t="s">
        <v>60</v>
      </c>
      <c r="AN167" s="58">
        <v>340</v>
      </c>
      <c r="AO167" s="52" t="s">
        <v>118</v>
      </c>
      <c r="AP167" s="59">
        <f>IFERROR(VLOOKUP($A167,[2]Mssp!$A$5:$BE$1463,AP$4+1,0),0)</f>
        <v>0</v>
      </c>
      <c r="AQ167" s="59">
        <f>IFERROR(VLOOKUP($A167,[2]Mssp!$A$5:$BE$1463,AQ$4+1,0),0)</f>
        <v>0</v>
      </c>
      <c r="AR167" s="59">
        <f>IFERROR(VLOOKUP($A167,[2]Mssp!$A$5:$BE$1463,AR$4+1,0),0)</f>
        <v>0</v>
      </c>
      <c r="AS167" s="59">
        <f>IFERROR(VLOOKUP($A167,[2]Mssp!$A$5:$BE$1463,AS$4+1,0),0)</f>
        <v>0</v>
      </c>
      <c r="AT167" s="59">
        <f>IFERROR(VLOOKUP($A167,[2]Mssp!$A$5:$BE$1463,AT$4+1,0),0)</f>
        <v>0</v>
      </c>
      <c r="AU167" s="59">
        <f>IFERROR(VLOOKUP($A167,[2]Mssp!$A$5:$BE$1463,AU$4+1,0),0)</f>
        <v>0</v>
      </c>
      <c r="AV167" s="59">
        <f>IFERROR(VLOOKUP($A167,[2]Mssp!$A$5:$BE$1463,AV$4+1,0),0)</f>
        <v>0</v>
      </c>
      <c r="AW167" s="59">
        <f>IFERROR(VLOOKUP($A167,[2]Mssp!$A$5:$BE$1463,AW$4+1,0),0)</f>
        <v>0</v>
      </c>
      <c r="AX167" s="59">
        <f>IFERROR(VLOOKUP($A167,[2]Mssp!$A$5:$BE$1463,AX$4+1,0),0)</f>
        <v>0</v>
      </c>
      <c r="AY167" s="59">
        <f>IFERROR(VLOOKUP($A167,[2]Mssp!$A$5:$BE$1463,AY$4+2,0),0)</f>
        <v>0</v>
      </c>
      <c r="AZ167" s="59">
        <f>IFERROR(VLOOKUP($A167,[2]Mssp!$A$5:$BE$1463,AZ$4+2,0),0)</f>
        <v>0</v>
      </c>
      <c r="BA167" s="60">
        <v>2500</v>
      </c>
      <c r="BB167" s="61" t="s">
        <v>62</v>
      </c>
      <c r="BC167" s="62"/>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c r="CK167" s="9"/>
      <c r="CL167" s="9"/>
      <c r="CM167" s="9"/>
      <c r="CN167" s="9"/>
      <c r="CO167" s="9"/>
      <c r="CP167" s="9"/>
    </row>
    <row r="168" spans="1:94" ht="45" x14ac:dyDescent="0.25">
      <c r="A168" s="50" t="s">
        <v>672</v>
      </c>
      <c r="B168" s="73" t="s">
        <v>673</v>
      </c>
      <c r="C168" s="50">
        <f t="shared" si="5"/>
        <v>0</v>
      </c>
      <c r="D168" s="58">
        <v>2</v>
      </c>
      <c r="E168" s="58" t="s">
        <v>131</v>
      </c>
      <c r="F168" s="57"/>
      <c r="G168" s="50" t="s">
        <v>114</v>
      </c>
      <c r="H168" s="50">
        <f>VLOOKUP($A168,'[1]ma sp 02'!$A$5:$BD$1101,H$1,0)</f>
        <v>0</v>
      </c>
      <c r="I168" s="50">
        <f>VLOOKUP($A168,'[1]ma sp 02'!$A$5:$BD$1101,I$1,0)</f>
        <v>0</v>
      </c>
      <c r="J168" s="50">
        <f>VLOOKUP($A168,'[1]ma sp 02'!$A$5:$BD$1101,J$1,0)</f>
        <v>0</v>
      </c>
      <c r="K168" s="50">
        <f>VLOOKUP($A168,'[1]ma sp 02'!$A$5:$BD$1101,K$1,0)</f>
        <v>0</v>
      </c>
      <c r="L168" s="50">
        <f>VLOOKUP($A168,'[1]ma sp 02'!$A$5:$BD$1101,L$1,0)</f>
        <v>0</v>
      </c>
      <c r="M168" s="50">
        <f>VLOOKUP($A168,'[1]ma sp 02'!$A$5:$BD$1101,M$1,0)</f>
        <v>0</v>
      </c>
      <c r="N168" s="50">
        <f>VLOOKUP($A168,'[1]ma sp 02'!$A$5:$BD$1101,N$1,0)</f>
        <v>0</v>
      </c>
      <c r="O168" s="50">
        <f>VLOOKUP($A168,'[1]ma sp 02'!$A$5:$BD$1101,O$1,0)</f>
        <v>0</v>
      </c>
      <c r="P168" s="50">
        <f>VLOOKUP($A168,'[1]ma sp 02'!$A$5:$BD$1101,P$1,0)</f>
        <v>0</v>
      </c>
      <c r="Q168" s="50">
        <f>VLOOKUP($A168,'[1]ma sp 02'!$A$5:$BD$1101,Q$1,0)</f>
        <v>0</v>
      </c>
      <c r="R168" s="50">
        <f>VLOOKUP($A168,'[1]ma sp 02'!$A$5:$BD$1101,R$1,0)</f>
        <v>0</v>
      </c>
      <c r="S168" s="50">
        <f>VLOOKUP($A168,'[1]ma sp 02'!$A$5:$BD$1101,S$1,0)</f>
        <v>0</v>
      </c>
      <c r="T168" s="50">
        <f>VLOOKUP($A168,'[1]ma sp 02'!$A$5:$BD$1101,T$1,0)</f>
        <v>0</v>
      </c>
      <c r="U168" s="50">
        <f>VLOOKUP($A168,'[1]ma sp 02'!$A$5:$BD$1101,U$1,0)</f>
        <v>0</v>
      </c>
      <c r="V168" s="50">
        <f>VLOOKUP($A168,'[1]ma sp 02'!$A$5:$BD$1101,V$1,0)</f>
        <v>0</v>
      </c>
      <c r="W168" s="50">
        <f>VLOOKUP($A168,'[1]ma sp 02'!$A$5:$BD$1101,W$1,0)</f>
        <v>0</v>
      </c>
      <c r="X168" s="50">
        <f t="shared" si="4"/>
        <v>0</v>
      </c>
      <c r="Y168" s="57"/>
      <c r="Z168" s="57"/>
      <c r="AA168" s="57"/>
      <c r="AB168" s="57"/>
      <c r="AC168" s="57"/>
      <c r="AD168" s="57"/>
      <c r="AE168" s="58" t="s">
        <v>78</v>
      </c>
      <c r="AF168" s="58" t="s">
        <v>324</v>
      </c>
      <c r="AG168" s="71">
        <f>(0.012*1.4+0.012*1.4+0.075*0.925)*0.62</f>
        <v>6.3844500000000012E-2</v>
      </c>
      <c r="AH168" s="63">
        <f>(2.3/0.75/2)*0.61</f>
        <v>0.93533333333333324</v>
      </c>
      <c r="AI168" s="63">
        <f>(3/0.75/2)*0.61</f>
        <v>1.22</v>
      </c>
      <c r="AJ168" s="58">
        <v>9530</v>
      </c>
      <c r="AK168" s="58">
        <v>9530</v>
      </c>
      <c r="AL168" s="58" t="s">
        <v>117</v>
      </c>
      <c r="AM168" s="52" t="s">
        <v>60</v>
      </c>
      <c r="AN168" s="58">
        <v>340</v>
      </c>
      <c r="AO168" s="52" t="s">
        <v>118</v>
      </c>
      <c r="AP168" s="59">
        <f>IFERROR(VLOOKUP($A168,[2]Mssp!$A$5:$BE$1463,AP$4+1,0),0)</f>
        <v>0</v>
      </c>
      <c r="AQ168" s="59">
        <f>IFERROR(VLOOKUP($A168,[2]Mssp!$A$5:$BE$1463,AQ$4+1,0),0)</f>
        <v>0</v>
      </c>
      <c r="AR168" s="59">
        <f>IFERROR(VLOOKUP($A168,[2]Mssp!$A$5:$BE$1463,AR$4+1,0),0)</f>
        <v>0</v>
      </c>
      <c r="AS168" s="59">
        <f>IFERROR(VLOOKUP($A168,[2]Mssp!$A$5:$BE$1463,AS$4+1,0),0)</f>
        <v>0</v>
      </c>
      <c r="AT168" s="59">
        <f>IFERROR(VLOOKUP($A168,[2]Mssp!$A$5:$BE$1463,AT$4+1,0),0)</f>
        <v>0</v>
      </c>
      <c r="AU168" s="59">
        <f>IFERROR(VLOOKUP($A168,[2]Mssp!$A$5:$BE$1463,AU$4+1,0),0)</f>
        <v>0</v>
      </c>
      <c r="AV168" s="59">
        <f>IFERROR(VLOOKUP($A168,[2]Mssp!$A$5:$BE$1463,AV$4+1,0),0)</f>
        <v>0</v>
      </c>
      <c r="AW168" s="59">
        <f>IFERROR(VLOOKUP($A168,[2]Mssp!$A$5:$BE$1463,AW$4+1,0),0)</f>
        <v>0</v>
      </c>
      <c r="AX168" s="59">
        <f>IFERROR(VLOOKUP($A168,[2]Mssp!$A$5:$BE$1463,AX$4+1,0),0)</f>
        <v>0</v>
      </c>
      <c r="AY168" s="59">
        <f>IFERROR(VLOOKUP($A168,[2]Mssp!$A$5:$BE$1463,AY$4+2,0),0)</f>
        <v>0</v>
      </c>
      <c r="AZ168" s="59">
        <f>IFERROR(VLOOKUP($A168,[2]Mssp!$A$5:$BE$1463,AZ$4+2,0),0)</f>
        <v>0</v>
      </c>
      <c r="BA168" s="60">
        <v>2500</v>
      </c>
      <c r="BB168" s="61" t="s">
        <v>62</v>
      </c>
      <c r="BC168" s="62"/>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9"/>
      <c r="CK168" s="9"/>
      <c r="CL168" s="9"/>
      <c r="CM168" s="9"/>
      <c r="CN168" s="9"/>
      <c r="CO168" s="9"/>
      <c r="CP168" s="9"/>
    </row>
    <row r="169" spans="1:94" ht="75" x14ac:dyDescent="0.25">
      <c r="A169" s="50" t="s">
        <v>674</v>
      </c>
      <c r="B169" s="73" t="s">
        <v>675</v>
      </c>
      <c r="C169" s="50">
        <f t="shared" si="5"/>
        <v>4.8000000000000007</v>
      </c>
      <c r="D169" s="58">
        <v>2</v>
      </c>
      <c r="E169" s="58" t="s">
        <v>484</v>
      </c>
      <c r="F169" s="58">
        <v>1</v>
      </c>
      <c r="G169" s="50" t="s">
        <v>114</v>
      </c>
      <c r="H169" s="50">
        <f>VLOOKUP($A169,'[1]ma sp 02'!$A$5:$BD$1101,H$1,0)</f>
        <v>0</v>
      </c>
      <c r="I169" s="50">
        <f>VLOOKUP($A169,'[1]ma sp 02'!$A$5:$BD$1101,I$1,0)</f>
        <v>0</v>
      </c>
      <c r="J169" s="50">
        <f>VLOOKUP($A169,'[1]ma sp 02'!$A$5:$BD$1101,J$1,0)</f>
        <v>0</v>
      </c>
      <c r="K169" s="50">
        <f>VLOOKUP($A169,'[1]ma sp 02'!$A$5:$BD$1101,K$1,0)</f>
        <v>0</v>
      </c>
      <c r="L169" s="50">
        <f>VLOOKUP($A169,'[1]ma sp 02'!$A$5:$BD$1101,L$1,0)</f>
        <v>2.7</v>
      </c>
      <c r="M169" s="50">
        <f>VLOOKUP($A169,'[1]ma sp 02'!$A$5:$BD$1101,M$1,0)</f>
        <v>0</v>
      </c>
      <c r="N169" s="50">
        <f>VLOOKUP($A169,'[1]ma sp 02'!$A$5:$BD$1101,N$1,0)</f>
        <v>0</v>
      </c>
      <c r="O169" s="50">
        <f>VLOOKUP($A169,'[1]ma sp 02'!$A$5:$BD$1101,O$1,0)</f>
        <v>2.1</v>
      </c>
      <c r="P169" s="50">
        <f>VLOOKUP($A169,'[1]ma sp 02'!$A$5:$BD$1101,P$1,0)</f>
        <v>0</v>
      </c>
      <c r="Q169" s="50">
        <f>VLOOKUP($A169,'[1]ma sp 02'!$A$5:$BD$1101,Q$1,0)</f>
        <v>0</v>
      </c>
      <c r="R169" s="50">
        <f>VLOOKUP($A169,'[1]ma sp 02'!$A$5:$BD$1101,R$1,0)</f>
        <v>0</v>
      </c>
      <c r="S169" s="50">
        <f>VLOOKUP($A169,'[1]ma sp 02'!$A$5:$BD$1101,S$1,0)</f>
        <v>0</v>
      </c>
      <c r="T169" s="50">
        <f>VLOOKUP($A169,'[1]ma sp 02'!$A$5:$BD$1101,T$1,0)</f>
        <v>0</v>
      </c>
      <c r="U169" s="50">
        <f>VLOOKUP($A169,'[1]ma sp 02'!$A$5:$BD$1101,U$1,0)</f>
        <v>0</v>
      </c>
      <c r="V169" s="50">
        <f>VLOOKUP($A169,'[1]ma sp 02'!$A$5:$BD$1101,V$1,0)</f>
        <v>0</v>
      </c>
      <c r="W169" s="50">
        <f>VLOOKUP($A169,'[1]ma sp 02'!$A$5:$BD$1101,W$1,0)</f>
        <v>0</v>
      </c>
      <c r="X169" s="50">
        <f t="shared" si="4"/>
        <v>2</v>
      </c>
      <c r="Y169" s="57"/>
      <c r="Z169" s="57"/>
      <c r="AA169" s="57"/>
      <c r="AB169" s="57"/>
      <c r="AC169" s="57"/>
      <c r="AD169" s="57"/>
      <c r="AE169" s="58" t="s">
        <v>485</v>
      </c>
      <c r="AF169" s="52" t="s">
        <v>486</v>
      </c>
      <c r="AG169" s="71">
        <f>(0.012*1.4+0.012*1.4+0.075*0.925)*0.76</f>
        <v>7.8261000000000011E-2</v>
      </c>
      <c r="AH169" s="63">
        <f>(2.3/0.75/2)*0.75</f>
        <v>1.1499999999999999</v>
      </c>
      <c r="AI169" s="63">
        <f>(3/0.75/2)*0.75</f>
        <v>1.5</v>
      </c>
      <c r="AJ169" s="58">
        <v>9530</v>
      </c>
      <c r="AK169" s="58">
        <v>9530</v>
      </c>
      <c r="AL169" s="58" t="s">
        <v>117</v>
      </c>
      <c r="AM169" s="52" t="s">
        <v>60</v>
      </c>
      <c r="AN169" s="58">
        <v>420</v>
      </c>
      <c r="AO169" s="52" t="s">
        <v>118</v>
      </c>
      <c r="AP169" s="59">
        <f>IFERROR(VLOOKUP($A169,[2]Mssp!$A$5:$BE$1463,AP$4+1,0),0)</f>
        <v>0</v>
      </c>
      <c r="AQ169" s="59">
        <f>IFERROR(VLOOKUP($A169,[2]Mssp!$A$5:$BE$1463,AQ$4+1,0),0)</f>
        <v>0</v>
      </c>
      <c r="AR169" s="59">
        <f>IFERROR(VLOOKUP($A169,[2]Mssp!$A$5:$BE$1463,AR$4+1,0),0)</f>
        <v>0</v>
      </c>
      <c r="AS169" s="59">
        <f>IFERROR(VLOOKUP($A169,[2]Mssp!$A$5:$BE$1463,AS$4+1,0),0)</f>
        <v>0</v>
      </c>
      <c r="AT169" s="59">
        <f>IFERROR(VLOOKUP($A169,[2]Mssp!$A$5:$BE$1463,AT$4+1,0),0)</f>
        <v>0</v>
      </c>
      <c r="AU169" s="59">
        <f>IFERROR(VLOOKUP($A169,[2]Mssp!$A$5:$BE$1463,AU$4+1,0),0)</f>
        <v>0</v>
      </c>
      <c r="AV169" s="59">
        <f>IFERROR(VLOOKUP($A169,[2]Mssp!$A$5:$BE$1463,AV$4+1,0),0)</f>
        <v>0</v>
      </c>
      <c r="AW169" s="59">
        <f>IFERROR(VLOOKUP($A169,[2]Mssp!$A$5:$BE$1463,AW$4+1,0),0)</f>
        <v>0</v>
      </c>
      <c r="AX169" s="59">
        <f>IFERROR(VLOOKUP($A169,[2]Mssp!$A$5:$BE$1463,AX$4+1,0),0)</f>
        <v>0</v>
      </c>
      <c r="AY169" s="59">
        <f>IFERROR(VLOOKUP($A169,[2]Mssp!$A$5:$BE$1463,AY$4+2,0),0)</f>
        <v>0</v>
      </c>
      <c r="AZ169" s="59">
        <f>IFERROR(VLOOKUP($A169,[2]Mssp!$A$5:$BE$1463,AZ$4+2,0),0)</f>
        <v>0</v>
      </c>
      <c r="BA169" s="60">
        <v>1500</v>
      </c>
      <c r="BB169" s="61" t="s">
        <v>119</v>
      </c>
      <c r="BC169" s="62"/>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c r="CP169" s="9"/>
    </row>
    <row r="170" spans="1:94" ht="75" x14ac:dyDescent="0.25">
      <c r="A170" s="50" t="s">
        <v>676</v>
      </c>
      <c r="B170" s="73" t="s">
        <v>677</v>
      </c>
      <c r="C170" s="50">
        <f t="shared" si="5"/>
        <v>3.5</v>
      </c>
      <c r="D170" s="58">
        <v>2</v>
      </c>
      <c r="E170" s="58" t="s">
        <v>484</v>
      </c>
      <c r="F170" s="58">
        <v>1</v>
      </c>
      <c r="G170" s="50" t="s">
        <v>114</v>
      </c>
      <c r="H170" s="50">
        <f>VLOOKUP($A170,'[1]ma sp 02'!$A$5:$BD$1101,H$1,0)</f>
        <v>0</v>
      </c>
      <c r="I170" s="50">
        <f>VLOOKUP($A170,'[1]ma sp 02'!$A$5:$BD$1101,I$1,0)</f>
        <v>0</v>
      </c>
      <c r="J170" s="50">
        <f>VLOOKUP($A170,'[1]ma sp 02'!$A$5:$BD$1101,J$1,0)</f>
        <v>0</v>
      </c>
      <c r="K170" s="50">
        <f>VLOOKUP($A170,'[1]ma sp 02'!$A$5:$BD$1101,K$1,0)</f>
        <v>2.4</v>
      </c>
      <c r="L170" s="50">
        <f>VLOOKUP($A170,'[1]ma sp 02'!$A$5:$BD$1101,L$1,0)</f>
        <v>0</v>
      </c>
      <c r="M170" s="50">
        <f>VLOOKUP($A170,'[1]ma sp 02'!$A$5:$BD$1101,M$1,0)</f>
        <v>0</v>
      </c>
      <c r="N170" s="50">
        <f>VLOOKUP($A170,'[1]ma sp 02'!$A$5:$BD$1101,N$1,0)</f>
        <v>0</v>
      </c>
      <c r="O170" s="50">
        <f>VLOOKUP($A170,'[1]ma sp 02'!$A$5:$BD$1101,O$1,0)</f>
        <v>0</v>
      </c>
      <c r="P170" s="50">
        <f>VLOOKUP($A170,'[1]ma sp 02'!$A$5:$BD$1101,P$1,0)</f>
        <v>1.1000000000000001</v>
      </c>
      <c r="Q170" s="50">
        <f>VLOOKUP($A170,'[1]ma sp 02'!$A$5:$BD$1101,Q$1,0)</f>
        <v>0</v>
      </c>
      <c r="R170" s="50">
        <f>VLOOKUP($A170,'[1]ma sp 02'!$A$5:$BD$1101,R$1,0)</f>
        <v>0</v>
      </c>
      <c r="S170" s="50">
        <f>VLOOKUP($A170,'[1]ma sp 02'!$A$5:$BD$1101,S$1,0)</f>
        <v>0</v>
      </c>
      <c r="T170" s="50">
        <f>VLOOKUP($A170,'[1]ma sp 02'!$A$5:$BD$1101,T$1,0)</f>
        <v>0</v>
      </c>
      <c r="U170" s="50">
        <f>VLOOKUP($A170,'[1]ma sp 02'!$A$5:$BD$1101,U$1,0)</f>
        <v>0</v>
      </c>
      <c r="V170" s="50">
        <f>VLOOKUP($A170,'[1]ma sp 02'!$A$5:$BD$1101,V$1,0)</f>
        <v>0</v>
      </c>
      <c r="W170" s="50">
        <f>VLOOKUP($A170,'[1]ma sp 02'!$A$5:$BD$1101,W$1,0)</f>
        <v>0</v>
      </c>
      <c r="X170" s="50">
        <f t="shared" si="4"/>
        <v>2</v>
      </c>
      <c r="Y170" s="57"/>
      <c r="Z170" s="57"/>
      <c r="AA170" s="57"/>
      <c r="AB170" s="57"/>
      <c r="AC170" s="57"/>
      <c r="AD170" s="57"/>
      <c r="AE170" s="58" t="s">
        <v>485</v>
      </c>
      <c r="AF170" s="52" t="s">
        <v>486</v>
      </c>
      <c r="AG170" s="71">
        <f>(0.012*1.4+0.012*1.4+0.075*0.925)*0.76</f>
        <v>7.8261000000000011E-2</v>
      </c>
      <c r="AH170" s="63">
        <f>(2.3/0.75/2)*0.75</f>
        <v>1.1499999999999999</v>
      </c>
      <c r="AI170" s="63">
        <f>(3/0.75/2)*0.75</f>
        <v>1.5</v>
      </c>
      <c r="AJ170" s="58">
        <v>9530</v>
      </c>
      <c r="AK170" s="58">
        <v>9530</v>
      </c>
      <c r="AL170" s="58" t="s">
        <v>117</v>
      </c>
      <c r="AM170" s="52" t="s">
        <v>60</v>
      </c>
      <c r="AN170" s="58">
        <v>420</v>
      </c>
      <c r="AO170" s="52" t="s">
        <v>118</v>
      </c>
      <c r="AP170" s="59">
        <f>IFERROR(VLOOKUP($A170,[2]Mssp!$A$5:$BE$1463,AP$4+1,0),0)</f>
        <v>0</v>
      </c>
      <c r="AQ170" s="59">
        <f>IFERROR(VLOOKUP($A170,[2]Mssp!$A$5:$BE$1463,AQ$4+1,0),0)</f>
        <v>0</v>
      </c>
      <c r="AR170" s="59">
        <f>IFERROR(VLOOKUP($A170,[2]Mssp!$A$5:$BE$1463,AR$4+1,0),0)</f>
        <v>0</v>
      </c>
      <c r="AS170" s="59">
        <f>IFERROR(VLOOKUP($A170,[2]Mssp!$A$5:$BE$1463,AS$4+1,0),0)</f>
        <v>0</v>
      </c>
      <c r="AT170" s="59">
        <f>IFERROR(VLOOKUP($A170,[2]Mssp!$A$5:$BE$1463,AT$4+1,0),0)</f>
        <v>0</v>
      </c>
      <c r="AU170" s="59">
        <f>IFERROR(VLOOKUP($A170,[2]Mssp!$A$5:$BE$1463,AU$4+1,0),0)</f>
        <v>0</v>
      </c>
      <c r="AV170" s="59">
        <f>IFERROR(VLOOKUP($A170,[2]Mssp!$A$5:$BE$1463,AV$4+1,0),0)</f>
        <v>0</v>
      </c>
      <c r="AW170" s="59">
        <f>IFERROR(VLOOKUP($A170,[2]Mssp!$A$5:$BE$1463,AW$4+1,0),0)</f>
        <v>0</v>
      </c>
      <c r="AX170" s="59">
        <f>IFERROR(VLOOKUP($A170,[2]Mssp!$A$5:$BE$1463,AX$4+1,0),0)</f>
        <v>0</v>
      </c>
      <c r="AY170" s="59">
        <f>IFERROR(VLOOKUP($A170,[2]Mssp!$A$5:$BE$1463,AY$4+2,0),0)</f>
        <v>0</v>
      </c>
      <c r="AZ170" s="59">
        <f>IFERROR(VLOOKUP($A170,[2]Mssp!$A$5:$BE$1463,AZ$4+2,0),0)</f>
        <v>0</v>
      </c>
      <c r="BA170" s="60">
        <v>1500</v>
      </c>
      <c r="BB170" s="61" t="s">
        <v>119</v>
      </c>
      <c r="BC170" s="62"/>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row>
    <row r="171" spans="1:94" ht="75" x14ac:dyDescent="0.25">
      <c r="A171" s="50" t="s">
        <v>678</v>
      </c>
      <c r="B171" s="73" t="s">
        <v>679</v>
      </c>
      <c r="C171" s="50">
        <f t="shared" si="5"/>
        <v>4.0999999999999996</v>
      </c>
      <c r="D171" s="58">
        <v>2</v>
      </c>
      <c r="E171" s="58" t="s">
        <v>484</v>
      </c>
      <c r="F171" s="58">
        <v>1</v>
      </c>
      <c r="G171" s="50" t="s">
        <v>114</v>
      </c>
      <c r="H171" s="50">
        <f>VLOOKUP($A171,'[1]ma sp 02'!$A$5:$BD$1101,H$1,0)</f>
        <v>0</v>
      </c>
      <c r="I171" s="50">
        <f>VLOOKUP($A171,'[1]ma sp 02'!$A$5:$BD$1101,I$1,0)</f>
        <v>0</v>
      </c>
      <c r="J171" s="50">
        <f>VLOOKUP($A171,'[1]ma sp 02'!$A$5:$BD$1101,J$1,0)</f>
        <v>0</v>
      </c>
      <c r="K171" s="50">
        <f>VLOOKUP($A171,'[1]ma sp 02'!$A$5:$BD$1101,K$1,0)</f>
        <v>0.5</v>
      </c>
      <c r="L171" s="50">
        <f>VLOOKUP($A171,'[1]ma sp 02'!$A$5:$BD$1101,L$1,0)</f>
        <v>0</v>
      </c>
      <c r="M171" s="50">
        <f>VLOOKUP($A171,'[1]ma sp 02'!$A$5:$BD$1101,M$1,0)</f>
        <v>0</v>
      </c>
      <c r="N171" s="50">
        <f>VLOOKUP($A171,'[1]ma sp 02'!$A$5:$BD$1101,N$1,0)</f>
        <v>0</v>
      </c>
      <c r="O171" s="50">
        <f>VLOOKUP($A171,'[1]ma sp 02'!$A$5:$BD$1101,O$1,0)</f>
        <v>0</v>
      </c>
      <c r="P171" s="50">
        <f>VLOOKUP($A171,'[1]ma sp 02'!$A$5:$BD$1101,P$1,0)</f>
        <v>0</v>
      </c>
      <c r="Q171" s="50">
        <f>VLOOKUP($A171,'[1]ma sp 02'!$A$5:$BD$1101,Q$1,0)</f>
        <v>0</v>
      </c>
      <c r="R171" s="50">
        <f>VLOOKUP($A171,'[1]ma sp 02'!$A$5:$BD$1101,R$1,0)</f>
        <v>3.6</v>
      </c>
      <c r="S171" s="50">
        <f>VLOOKUP($A171,'[1]ma sp 02'!$A$5:$BD$1101,S$1,0)</f>
        <v>0</v>
      </c>
      <c r="T171" s="50">
        <f>VLOOKUP($A171,'[1]ma sp 02'!$A$5:$BD$1101,T$1,0)</f>
        <v>0</v>
      </c>
      <c r="U171" s="50">
        <f>VLOOKUP($A171,'[1]ma sp 02'!$A$5:$BD$1101,U$1,0)</f>
        <v>0</v>
      </c>
      <c r="V171" s="50">
        <f>VLOOKUP($A171,'[1]ma sp 02'!$A$5:$BD$1101,V$1,0)</f>
        <v>0</v>
      </c>
      <c r="W171" s="50">
        <f>VLOOKUP($A171,'[1]ma sp 02'!$A$5:$BD$1101,W$1,0)</f>
        <v>0</v>
      </c>
      <c r="X171" s="50">
        <f t="shared" si="4"/>
        <v>2</v>
      </c>
      <c r="Y171" s="57"/>
      <c r="Z171" s="57"/>
      <c r="AA171" s="57"/>
      <c r="AB171" s="57"/>
      <c r="AC171" s="57"/>
      <c r="AD171" s="57"/>
      <c r="AE171" s="58" t="s">
        <v>485</v>
      </c>
      <c r="AF171" s="52" t="s">
        <v>486</v>
      </c>
      <c r="AG171" s="71">
        <f>(0.012*1.4+0.012*1.4+0.075*0.925)*0.76</f>
        <v>7.8261000000000011E-2</v>
      </c>
      <c r="AH171" s="63">
        <f>(2.3/0.75/2)*0.75</f>
        <v>1.1499999999999999</v>
      </c>
      <c r="AI171" s="63">
        <f>(3/0.75/2)*0.75</f>
        <v>1.5</v>
      </c>
      <c r="AJ171" s="58">
        <v>9530</v>
      </c>
      <c r="AK171" s="58">
        <v>9530</v>
      </c>
      <c r="AL171" s="58" t="s">
        <v>117</v>
      </c>
      <c r="AM171" s="52" t="s">
        <v>60</v>
      </c>
      <c r="AN171" s="58">
        <v>420</v>
      </c>
      <c r="AO171" s="52" t="s">
        <v>118</v>
      </c>
      <c r="AP171" s="59">
        <f>IFERROR(VLOOKUP($A171,[2]Mssp!$A$5:$BE$1463,AP$4+1,0),0)</f>
        <v>0</v>
      </c>
      <c r="AQ171" s="59">
        <f>IFERROR(VLOOKUP($A171,[2]Mssp!$A$5:$BE$1463,AQ$4+1,0),0)</f>
        <v>0</v>
      </c>
      <c r="AR171" s="59">
        <f>IFERROR(VLOOKUP($A171,[2]Mssp!$A$5:$BE$1463,AR$4+1,0),0)</f>
        <v>0</v>
      </c>
      <c r="AS171" s="59">
        <f>IFERROR(VLOOKUP($A171,[2]Mssp!$A$5:$BE$1463,AS$4+1,0),0)</f>
        <v>0</v>
      </c>
      <c r="AT171" s="59">
        <f>IFERROR(VLOOKUP($A171,[2]Mssp!$A$5:$BE$1463,AT$4+1,0),0)</f>
        <v>0</v>
      </c>
      <c r="AU171" s="59">
        <f>IFERROR(VLOOKUP($A171,[2]Mssp!$A$5:$BE$1463,AU$4+1,0),0)</f>
        <v>0</v>
      </c>
      <c r="AV171" s="59">
        <f>IFERROR(VLOOKUP($A171,[2]Mssp!$A$5:$BE$1463,AV$4+1,0),0)</f>
        <v>0</v>
      </c>
      <c r="AW171" s="59">
        <f>IFERROR(VLOOKUP($A171,[2]Mssp!$A$5:$BE$1463,AW$4+1,0),0)</f>
        <v>0</v>
      </c>
      <c r="AX171" s="59">
        <f>IFERROR(VLOOKUP($A171,[2]Mssp!$A$5:$BE$1463,AX$4+1,0),0)</f>
        <v>0</v>
      </c>
      <c r="AY171" s="59">
        <f>IFERROR(VLOOKUP($A171,[2]Mssp!$A$5:$BE$1463,AY$4+2,0),0)</f>
        <v>0</v>
      </c>
      <c r="AZ171" s="59">
        <f>IFERROR(VLOOKUP($A171,[2]Mssp!$A$5:$BE$1463,AZ$4+2,0),0)</f>
        <v>0</v>
      </c>
      <c r="BA171" s="60">
        <v>1500</v>
      </c>
      <c r="BB171" s="61" t="s">
        <v>119</v>
      </c>
      <c r="BC171" s="62"/>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row>
    <row r="172" spans="1:94" ht="75" x14ac:dyDescent="0.25">
      <c r="A172" s="50" t="s">
        <v>680</v>
      </c>
      <c r="B172" s="73" t="s">
        <v>681</v>
      </c>
      <c r="C172" s="50">
        <f t="shared" si="5"/>
        <v>0</v>
      </c>
      <c r="D172" s="58">
        <v>2</v>
      </c>
      <c r="E172" s="58" t="s">
        <v>484</v>
      </c>
      <c r="F172" s="58">
        <v>0</v>
      </c>
      <c r="G172" s="50" t="s">
        <v>114</v>
      </c>
      <c r="H172" s="50">
        <f>VLOOKUP($A172,'[1]ma sp 02'!$A$5:$BD$1101,H$1,0)</f>
        <v>0</v>
      </c>
      <c r="I172" s="50">
        <f>VLOOKUP($A172,'[1]ma sp 02'!$A$5:$BD$1101,I$1,0)</f>
        <v>0</v>
      </c>
      <c r="J172" s="50">
        <f>VLOOKUP($A172,'[1]ma sp 02'!$A$5:$BD$1101,J$1,0)</f>
        <v>0</v>
      </c>
      <c r="K172" s="50">
        <f>VLOOKUP($A172,'[1]ma sp 02'!$A$5:$BD$1101,K$1,0)</f>
        <v>0</v>
      </c>
      <c r="L172" s="50">
        <f>VLOOKUP($A172,'[1]ma sp 02'!$A$5:$BD$1101,L$1,0)</f>
        <v>0</v>
      </c>
      <c r="M172" s="50">
        <f>VLOOKUP($A172,'[1]ma sp 02'!$A$5:$BD$1101,M$1,0)</f>
        <v>0</v>
      </c>
      <c r="N172" s="50">
        <f>VLOOKUP($A172,'[1]ma sp 02'!$A$5:$BD$1101,N$1,0)</f>
        <v>0</v>
      </c>
      <c r="O172" s="50">
        <f>VLOOKUP($A172,'[1]ma sp 02'!$A$5:$BD$1101,O$1,0)</f>
        <v>0</v>
      </c>
      <c r="P172" s="50">
        <f>VLOOKUP($A172,'[1]ma sp 02'!$A$5:$BD$1101,P$1,0)</f>
        <v>0</v>
      </c>
      <c r="Q172" s="50">
        <f>VLOOKUP($A172,'[1]ma sp 02'!$A$5:$BD$1101,Q$1,0)</f>
        <v>0</v>
      </c>
      <c r="R172" s="50">
        <f>VLOOKUP($A172,'[1]ma sp 02'!$A$5:$BD$1101,R$1,0)</f>
        <v>0</v>
      </c>
      <c r="S172" s="50">
        <f>VLOOKUP($A172,'[1]ma sp 02'!$A$5:$BD$1101,S$1,0)</f>
        <v>0</v>
      </c>
      <c r="T172" s="50">
        <f>VLOOKUP($A172,'[1]ma sp 02'!$A$5:$BD$1101,T$1,0)</f>
        <v>0</v>
      </c>
      <c r="U172" s="50">
        <f>VLOOKUP($A172,'[1]ma sp 02'!$A$5:$BD$1101,U$1,0)</f>
        <v>0</v>
      </c>
      <c r="V172" s="50">
        <f>VLOOKUP($A172,'[1]ma sp 02'!$A$5:$BD$1101,V$1,0)</f>
        <v>0</v>
      </c>
      <c r="W172" s="50">
        <f>VLOOKUP($A172,'[1]ma sp 02'!$A$5:$BD$1101,W$1,0)</f>
        <v>0</v>
      </c>
      <c r="X172" s="50">
        <f t="shared" si="4"/>
        <v>0</v>
      </c>
      <c r="Y172" s="57"/>
      <c r="Z172" s="57"/>
      <c r="AA172" s="57"/>
      <c r="AB172" s="57"/>
      <c r="AC172" s="57"/>
      <c r="AD172" s="57"/>
      <c r="AE172" s="58" t="s">
        <v>485</v>
      </c>
      <c r="AF172" s="52" t="s">
        <v>486</v>
      </c>
      <c r="AG172" s="71">
        <f>(0.012*1.4+0.012*1.4+0.075*0.925)*0.76</f>
        <v>7.8261000000000011E-2</v>
      </c>
      <c r="AH172" s="63">
        <f>(2.3/0.75/2)*0.75</f>
        <v>1.1499999999999999</v>
      </c>
      <c r="AI172" s="63">
        <f>(3/0.75/2)*0.75</f>
        <v>1.5</v>
      </c>
      <c r="AJ172" s="58">
        <v>9530</v>
      </c>
      <c r="AK172" s="58">
        <v>9530</v>
      </c>
      <c r="AL172" s="58" t="s">
        <v>117</v>
      </c>
      <c r="AM172" s="52" t="s">
        <v>60</v>
      </c>
      <c r="AN172" s="58">
        <v>420</v>
      </c>
      <c r="AO172" s="52" t="s">
        <v>118</v>
      </c>
      <c r="AP172" s="59">
        <f>IFERROR(VLOOKUP($A172,[2]Mssp!$A$5:$BE$1463,AP$4+1,0),0)</f>
        <v>0</v>
      </c>
      <c r="AQ172" s="59">
        <f>IFERROR(VLOOKUP($A172,[2]Mssp!$A$5:$BE$1463,AQ$4+1,0),0)</f>
        <v>0</v>
      </c>
      <c r="AR172" s="59">
        <f>IFERROR(VLOOKUP($A172,[2]Mssp!$A$5:$BE$1463,AR$4+1,0),0)</f>
        <v>0</v>
      </c>
      <c r="AS172" s="59">
        <f>IFERROR(VLOOKUP($A172,[2]Mssp!$A$5:$BE$1463,AS$4+1,0),0)</f>
        <v>0</v>
      </c>
      <c r="AT172" s="59">
        <f>IFERROR(VLOOKUP($A172,[2]Mssp!$A$5:$BE$1463,AT$4+1,0),0)</f>
        <v>0</v>
      </c>
      <c r="AU172" s="59">
        <f>IFERROR(VLOOKUP($A172,[2]Mssp!$A$5:$BE$1463,AU$4+1,0),0)</f>
        <v>0</v>
      </c>
      <c r="AV172" s="59">
        <f>IFERROR(VLOOKUP($A172,[2]Mssp!$A$5:$BE$1463,AV$4+1,0),0)</f>
        <v>0</v>
      </c>
      <c r="AW172" s="59">
        <f>IFERROR(VLOOKUP($A172,[2]Mssp!$A$5:$BE$1463,AW$4+1,0),0)</f>
        <v>0</v>
      </c>
      <c r="AX172" s="59">
        <f>IFERROR(VLOOKUP($A172,[2]Mssp!$A$5:$BE$1463,AX$4+1,0),0)</f>
        <v>0</v>
      </c>
      <c r="AY172" s="59">
        <f>IFERROR(VLOOKUP($A172,[2]Mssp!$A$5:$BE$1463,AY$4+2,0),0)</f>
        <v>0</v>
      </c>
      <c r="AZ172" s="59">
        <f>IFERROR(VLOOKUP($A172,[2]Mssp!$A$5:$BE$1463,AZ$4+2,0),0)</f>
        <v>0</v>
      </c>
      <c r="BA172" s="60">
        <v>1500</v>
      </c>
      <c r="BB172" s="61" t="s">
        <v>119</v>
      </c>
      <c r="BC172" s="62"/>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row>
    <row r="173" spans="1:94" ht="45" x14ac:dyDescent="0.25">
      <c r="A173" s="50" t="s">
        <v>682</v>
      </c>
      <c r="B173" s="73" t="s">
        <v>683</v>
      </c>
      <c r="C173" s="50">
        <f t="shared" si="5"/>
        <v>4.5</v>
      </c>
      <c r="D173" s="58">
        <v>3</v>
      </c>
      <c r="E173" s="58" t="s">
        <v>113</v>
      </c>
      <c r="F173" s="58">
        <v>2</v>
      </c>
      <c r="G173" s="50" t="s">
        <v>114</v>
      </c>
      <c r="H173" s="50">
        <f>VLOOKUP($A173,'[1]ma sp 02'!$A$5:$BD$1101,H$1,0)</f>
        <v>0.9</v>
      </c>
      <c r="I173" s="50">
        <f>VLOOKUP($A173,'[1]ma sp 02'!$A$5:$BD$1101,I$1,0)</f>
        <v>0</v>
      </c>
      <c r="J173" s="50">
        <f>VLOOKUP($A173,'[1]ma sp 02'!$A$5:$BD$1101,J$1,0)</f>
        <v>0</v>
      </c>
      <c r="K173" s="50">
        <f>VLOOKUP($A173,'[1]ma sp 02'!$A$5:$BD$1101,K$1,0)</f>
        <v>0</v>
      </c>
      <c r="L173" s="50">
        <f>VLOOKUP($A173,'[1]ma sp 02'!$A$5:$BD$1101,L$1,0)</f>
        <v>0</v>
      </c>
      <c r="M173" s="50">
        <f>VLOOKUP($A173,'[1]ma sp 02'!$A$5:$BD$1101,M$1,0)</f>
        <v>0</v>
      </c>
      <c r="N173" s="50">
        <f>VLOOKUP($A173,'[1]ma sp 02'!$A$5:$BD$1101,N$1,0)</f>
        <v>0</v>
      </c>
      <c r="O173" s="50">
        <f>VLOOKUP($A173,'[1]ma sp 02'!$A$5:$BD$1101,O$1,0)</f>
        <v>3.6</v>
      </c>
      <c r="P173" s="50">
        <f>VLOOKUP($A173,'[1]ma sp 02'!$A$5:$BD$1101,P$1,0)</f>
        <v>0</v>
      </c>
      <c r="Q173" s="50">
        <f>VLOOKUP($A173,'[1]ma sp 02'!$A$5:$BD$1101,Q$1,0)</f>
        <v>0</v>
      </c>
      <c r="R173" s="50">
        <f>VLOOKUP($A173,'[1]ma sp 02'!$A$5:$BD$1101,R$1,0)</f>
        <v>0</v>
      </c>
      <c r="S173" s="50">
        <f>VLOOKUP($A173,'[1]ma sp 02'!$A$5:$BD$1101,S$1,0)</f>
        <v>0</v>
      </c>
      <c r="T173" s="50">
        <f>VLOOKUP($A173,'[1]ma sp 02'!$A$5:$BD$1101,T$1,0)</f>
        <v>0</v>
      </c>
      <c r="U173" s="50">
        <f>VLOOKUP($A173,'[1]ma sp 02'!$A$5:$BD$1101,U$1,0)</f>
        <v>0</v>
      </c>
      <c r="V173" s="50">
        <f>VLOOKUP($A173,'[1]ma sp 02'!$A$5:$BD$1101,V$1,0)</f>
        <v>0</v>
      </c>
      <c r="W173" s="50">
        <f>VLOOKUP($A173,'[1]ma sp 02'!$A$5:$BD$1101,W$1,0)</f>
        <v>0</v>
      </c>
      <c r="X173" s="50">
        <f t="shared" si="4"/>
        <v>2</v>
      </c>
      <c r="Y173" s="57"/>
      <c r="Z173" s="57"/>
      <c r="AA173" s="57"/>
      <c r="AB173" s="57"/>
      <c r="AC173" s="57"/>
      <c r="AD173" s="57"/>
      <c r="AE173" s="58" t="s">
        <v>115</v>
      </c>
      <c r="AF173" s="58" t="s">
        <v>321</v>
      </c>
      <c r="AG173" s="71">
        <f>(0.012*1.4+0.012*1.4+0.075*0.925)*0.74</f>
        <v>7.6201500000000005E-2</v>
      </c>
      <c r="AH173" s="63">
        <f>(2.3/0.75/2)*0.73</f>
        <v>1.1193333333333333</v>
      </c>
      <c r="AI173" s="63">
        <f>(3/0.75/2)*0.73</f>
        <v>1.46</v>
      </c>
      <c r="AJ173" s="58">
        <v>9530</v>
      </c>
      <c r="AK173" s="58">
        <v>9530</v>
      </c>
      <c r="AL173" s="58" t="s">
        <v>117</v>
      </c>
      <c r="AM173" s="52" t="s">
        <v>60</v>
      </c>
      <c r="AN173" s="58">
        <v>270</v>
      </c>
      <c r="AO173" s="52" t="s">
        <v>118</v>
      </c>
      <c r="AP173" s="59">
        <f>IFERROR(VLOOKUP($A173,[2]Mssp!$A$5:$BE$1463,AP$4+1,0),0)</f>
        <v>0</v>
      </c>
      <c r="AQ173" s="59">
        <f>IFERROR(VLOOKUP($A173,[2]Mssp!$A$5:$BE$1463,AQ$4+1,0),0)</f>
        <v>0</v>
      </c>
      <c r="AR173" s="59">
        <f>IFERROR(VLOOKUP($A173,[2]Mssp!$A$5:$BE$1463,AR$4+1,0),0)</f>
        <v>0</v>
      </c>
      <c r="AS173" s="59">
        <f>IFERROR(VLOOKUP($A173,[2]Mssp!$A$5:$BE$1463,AS$4+1,0),0)</f>
        <v>0</v>
      </c>
      <c r="AT173" s="59">
        <f>IFERROR(VLOOKUP($A173,[2]Mssp!$A$5:$BE$1463,AT$4+1,0),0)</f>
        <v>0</v>
      </c>
      <c r="AU173" s="59">
        <f>IFERROR(VLOOKUP($A173,[2]Mssp!$A$5:$BE$1463,AU$4+1,0),0)</f>
        <v>0</v>
      </c>
      <c r="AV173" s="59">
        <f>IFERROR(VLOOKUP($A173,[2]Mssp!$A$5:$BE$1463,AV$4+1,0),0)</f>
        <v>0</v>
      </c>
      <c r="AW173" s="59">
        <f>IFERROR(VLOOKUP($A173,[2]Mssp!$A$5:$BE$1463,AW$4+1,0),0)</f>
        <v>0</v>
      </c>
      <c r="AX173" s="59">
        <f>IFERROR(VLOOKUP($A173,[2]Mssp!$A$5:$BE$1463,AX$4+1,0),0)</f>
        <v>0</v>
      </c>
      <c r="AY173" s="59">
        <f>IFERROR(VLOOKUP($A173,[2]Mssp!$A$5:$BE$1463,AY$4+2,0),0)</f>
        <v>0</v>
      </c>
      <c r="AZ173" s="59">
        <f>IFERROR(VLOOKUP($A173,[2]Mssp!$A$5:$BE$1463,AZ$4+2,0),0)</f>
        <v>0</v>
      </c>
      <c r="BA173" s="60">
        <v>3000</v>
      </c>
      <c r="BB173" s="61" t="s">
        <v>62</v>
      </c>
      <c r="BC173" s="62"/>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row>
    <row r="174" spans="1:94" ht="45" x14ac:dyDescent="0.25">
      <c r="A174" s="50" t="s">
        <v>684</v>
      </c>
      <c r="B174" s="73" t="s">
        <v>685</v>
      </c>
      <c r="C174" s="50">
        <f t="shared" si="5"/>
        <v>5.3</v>
      </c>
      <c r="D174" s="58">
        <v>3</v>
      </c>
      <c r="E174" s="58" t="s">
        <v>113</v>
      </c>
      <c r="F174" s="58">
        <v>2</v>
      </c>
      <c r="G174" s="50" t="s">
        <v>114</v>
      </c>
      <c r="H174" s="50">
        <f>VLOOKUP($A174,'[1]ma sp 02'!$A$5:$BD$1101,H$1,0)</f>
        <v>0</v>
      </c>
      <c r="I174" s="50">
        <f>VLOOKUP($A174,'[1]ma sp 02'!$A$5:$BD$1101,I$1,0)</f>
        <v>0.1</v>
      </c>
      <c r="J174" s="50">
        <f>VLOOKUP($A174,'[1]ma sp 02'!$A$5:$BD$1101,J$1,0)</f>
        <v>0</v>
      </c>
      <c r="K174" s="50">
        <f>VLOOKUP($A174,'[1]ma sp 02'!$A$5:$BD$1101,K$1,0)</f>
        <v>3.5</v>
      </c>
      <c r="L174" s="50">
        <f>VLOOKUP($A174,'[1]ma sp 02'!$A$5:$BD$1101,L$1,0)</f>
        <v>0</v>
      </c>
      <c r="M174" s="50">
        <f>VLOOKUP($A174,'[1]ma sp 02'!$A$5:$BD$1101,M$1,0)</f>
        <v>0</v>
      </c>
      <c r="N174" s="50">
        <f>VLOOKUP($A174,'[1]ma sp 02'!$A$5:$BD$1101,N$1,0)</f>
        <v>0</v>
      </c>
      <c r="O174" s="50">
        <f>VLOOKUP($A174,'[1]ma sp 02'!$A$5:$BD$1101,O$1,0)</f>
        <v>0</v>
      </c>
      <c r="P174" s="50">
        <f>VLOOKUP($A174,'[1]ma sp 02'!$A$5:$BD$1101,P$1,0)</f>
        <v>1.7</v>
      </c>
      <c r="Q174" s="50">
        <f>VLOOKUP($A174,'[1]ma sp 02'!$A$5:$BD$1101,Q$1,0)</f>
        <v>0</v>
      </c>
      <c r="R174" s="50">
        <f>VLOOKUP($A174,'[1]ma sp 02'!$A$5:$BD$1101,R$1,0)</f>
        <v>0</v>
      </c>
      <c r="S174" s="50">
        <f>VLOOKUP($A174,'[1]ma sp 02'!$A$5:$BD$1101,S$1,0)</f>
        <v>0</v>
      </c>
      <c r="T174" s="50">
        <f>VLOOKUP($A174,'[1]ma sp 02'!$A$5:$BD$1101,T$1,0)</f>
        <v>0</v>
      </c>
      <c r="U174" s="50">
        <f>VLOOKUP($A174,'[1]ma sp 02'!$A$5:$BD$1101,U$1,0)</f>
        <v>0</v>
      </c>
      <c r="V174" s="50">
        <f>VLOOKUP($A174,'[1]ma sp 02'!$A$5:$BD$1101,V$1,0)</f>
        <v>0</v>
      </c>
      <c r="W174" s="50">
        <f>VLOOKUP($A174,'[1]ma sp 02'!$A$5:$BD$1101,W$1,0)</f>
        <v>0</v>
      </c>
      <c r="X174" s="50">
        <f t="shared" si="4"/>
        <v>3</v>
      </c>
      <c r="Y174" s="57"/>
      <c r="Z174" s="57"/>
      <c r="AA174" s="57"/>
      <c r="AB174" s="57"/>
      <c r="AC174" s="57"/>
      <c r="AD174" s="57"/>
      <c r="AE174" s="58" t="s">
        <v>115</v>
      </c>
      <c r="AF174" s="58" t="s">
        <v>321</v>
      </c>
      <c r="AG174" s="71">
        <f>(0.012*1.4+0.012*1.4+0.075*0.925)*0.74</f>
        <v>7.6201500000000005E-2</v>
      </c>
      <c r="AH174" s="63">
        <f>(2.3/0.75/2)*0.73</f>
        <v>1.1193333333333333</v>
      </c>
      <c r="AI174" s="63">
        <f>(3/0.75/2)*0.73</f>
        <v>1.46</v>
      </c>
      <c r="AJ174" s="58">
        <v>9530</v>
      </c>
      <c r="AK174" s="58">
        <v>9530</v>
      </c>
      <c r="AL174" s="58" t="s">
        <v>117</v>
      </c>
      <c r="AM174" s="52" t="s">
        <v>60</v>
      </c>
      <c r="AN174" s="58">
        <v>270</v>
      </c>
      <c r="AO174" s="52" t="s">
        <v>118</v>
      </c>
      <c r="AP174" s="59">
        <f>IFERROR(VLOOKUP($A174,[2]Mssp!$A$5:$BE$1463,AP$4+1,0),0)</f>
        <v>0</v>
      </c>
      <c r="AQ174" s="59">
        <f>IFERROR(VLOOKUP($A174,[2]Mssp!$A$5:$BE$1463,AQ$4+1,0),0)</f>
        <v>0</v>
      </c>
      <c r="AR174" s="59">
        <f>IFERROR(VLOOKUP($A174,[2]Mssp!$A$5:$BE$1463,AR$4+1,0),0)</f>
        <v>0</v>
      </c>
      <c r="AS174" s="59">
        <f>IFERROR(VLOOKUP($A174,[2]Mssp!$A$5:$BE$1463,AS$4+1,0),0)</f>
        <v>0</v>
      </c>
      <c r="AT174" s="59">
        <f>IFERROR(VLOOKUP($A174,[2]Mssp!$A$5:$BE$1463,AT$4+1,0),0)</f>
        <v>0</v>
      </c>
      <c r="AU174" s="59">
        <f>IFERROR(VLOOKUP($A174,[2]Mssp!$A$5:$BE$1463,AU$4+1,0),0)</f>
        <v>0</v>
      </c>
      <c r="AV174" s="59">
        <f>IFERROR(VLOOKUP($A174,[2]Mssp!$A$5:$BE$1463,AV$4+1,0),0)</f>
        <v>0</v>
      </c>
      <c r="AW174" s="59">
        <f>IFERROR(VLOOKUP($A174,[2]Mssp!$A$5:$BE$1463,AW$4+1,0),0)</f>
        <v>0</v>
      </c>
      <c r="AX174" s="59">
        <f>IFERROR(VLOOKUP($A174,[2]Mssp!$A$5:$BE$1463,AX$4+1,0),0)</f>
        <v>0</v>
      </c>
      <c r="AY174" s="59">
        <f>IFERROR(VLOOKUP($A174,[2]Mssp!$A$5:$BE$1463,AY$4+2,0),0)</f>
        <v>0</v>
      </c>
      <c r="AZ174" s="59">
        <f>IFERROR(VLOOKUP($A174,[2]Mssp!$A$5:$BE$1463,AZ$4+2,0),0)</f>
        <v>0</v>
      </c>
      <c r="BA174" s="60">
        <v>3000</v>
      </c>
      <c r="BB174" s="61" t="s">
        <v>62</v>
      </c>
      <c r="BC174" s="62"/>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row>
    <row r="175" spans="1:94" ht="45" x14ac:dyDescent="0.25">
      <c r="A175" s="50" t="s">
        <v>686</v>
      </c>
      <c r="B175" s="73" t="s">
        <v>687</v>
      </c>
      <c r="C175" s="50">
        <f t="shared" si="5"/>
        <v>2.8000000000000003</v>
      </c>
      <c r="D175" s="58">
        <v>3</v>
      </c>
      <c r="E175" s="58" t="s">
        <v>113</v>
      </c>
      <c r="F175" s="58">
        <v>2</v>
      </c>
      <c r="G175" s="50" t="s">
        <v>114</v>
      </c>
      <c r="H175" s="50">
        <f>VLOOKUP($A175,'[1]ma sp 02'!$A$5:$BD$1101,H$1,0)</f>
        <v>0</v>
      </c>
      <c r="I175" s="50">
        <f>VLOOKUP($A175,'[1]ma sp 02'!$A$5:$BD$1101,I$1,0)</f>
        <v>0.1</v>
      </c>
      <c r="J175" s="50">
        <f>VLOOKUP($A175,'[1]ma sp 02'!$A$5:$BD$1101,J$1,0)</f>
        <v>0</v>
      </c>
      <c r="K175" s="50">
        <f>VLOOKUP($A175,'[1]ma sp 02'!$A$5:$BD$1101,K$1,0)</f>
        <v>0</v>
      </c>
      <c r="L175" s="50">
        <f>VLOOKUP($A175,'[1]ma sp 02'!$A$5:$BD$1101,L$1,0)</f>
        <v>0</v>
      </c>
      <c r="M175" s="50">
        <f>VLOOKUP($A175,'[1]ma sp 02'!$A$5:$BD$1101,M$1,0)</f>
        <v>0</v>
      </c>
      <c r="N175" s="50">
        <f>VLOOKUP($A175,'[1]ma sp 02'!$A$5:$BD$1101,N$1,0)</f>
        <v>0</v>
      </c>
      <c r="O175" s="50">
        <f>VLOOKUP($A175,'[1]ma sp 02'!$A$5:$BD$1101,O$1,0)</f>
        <v>0</v>
      </c>
      <c r="P175" s="50">
        <f>VLOOKUP($A175,'[1]ma sp 02'!$A$5:$BD$1101,P$1,0)</f>
        <v>0</v>
      </c>
      <c r="Q175" s="50">
        <f>VLOOKUP($A175,'[1]ma sp 02'!$A$5:$BD$1101,Q$1,0)</f>
        <v>0</v>
      </c>
      <c r="R175" s="50">
        <f>VLOOKUP($A175,'[1]ma sp 02'!$A$5:$BD$1101,R$1,0)</f>
        <v>2.7</v>
      </c>
      <c r="S175" s="50">
        <f>VLOOKUP($A175,'[1]ma sp 02'!$A$5:$BD$1101,S$1,0)</f>
        <v>0</v>
      </c>
      <c r="T175" s="50">
        <f>VLOOKUP($A175,'[1]ma sp 02'!$A$5:$BD$1101,T$1,0)</f>
        <v>0</v>
      </c>
      <c r="U175" s="50">
        <f>VLOOKUP($A175,'[1]ma sp 02'!$A$5:$BD$1101,U$1,0)</f>
        <v>0</v>
      </c>
      <c r="V175" s="50">
        <f>VLOOKUP($A175,'[1]ma sp 02'!$A$5:$BD$1101,V$1,0)</f>
        <v>0</v>
      </c>
      <c r="W175" s="50">
        <f>VLOOKUP($A175,'[1]ma sp 02'!$A$5:$BD$1101,W$1,0)</f>
        <v>0</v>
      </c>
      <c r="X175" s="50">
        <f t="shared" si="4"/>
        <v>2</v>
      </c>
      <c r="Y175" s="57"/>
      <c r="Z175" s="57"/>
      <c r="AA175" s="57"/>
      <c r="AB175" s="57"/>
      <c r="AC175" s="57"/>
      <c r="AD175" s="57"/>
      <c r="AE175" s="58" t="s">
        <v>115</v>
      </c>
      <c r="AF175" s="58" t="s">
        <v>321</v>
      </c>
      <c r="AG175" s="71">
        <f>(0.012*1.4+0.012*1.4+0.075*0.925)*0.74</f>
        <v>7.6201500000000005E-2</v>
      </c>
      <c r="AH175" s="63">
        <f>(2.3/0.75/2)*0.73</f>
        <v>1.1193333333333333</v>
      </c>
      <c r="AI175" s="63">
        <f>(3/0.75/2)*0.73</f>
        <v>1.46</v>
      </c>
      <c r="AJ175" s="58">
        <v>9530</v>
      </c>
      <c r="AK175" s="58">
        <v>9530</v>
      </c>
      <c r="AL175" s="58" t="s">
        <v>117</v>
      </c>
      <c r="AM175" s="52" t="s">
        <v>60</v>
      </c>
      <c r="AN175" s="58">
        <v>270</v>
      </c>
      <c r="AO175" s="52" t="s">
        <v>118</v>
      </c>
      <c r="AP175" s="59">
        <f>IFERROR(VLOOKUP($A175,[2]Mssp!$A$5:$BE$1463,AP$4+1,0),0)</f>
        <v>0</v>
      </c>
      <c r="AQ175" s="59">
        <f>IFERROR(VLOOKUP($A175,[2]Mssp!$A$5:$BE$1463,AQ$4+1,0),0)</f>
        <v>0</v>
      </c>
      <c r="AR175" s="59">
        <f>IFERROR(VLOOKUP($A175,[2]Mssp!$A$5:$BE$1463,AR$4+1,0),0)</f>
        <v>0</v>
      </c>
      <c r="AS175" s="59">
        <f>IFERROR(VLOOKUP($A175,[2]Mssp!$A$5:$BE$1463,AS$4+1,0),0)</f>
        <v>0</v>
      </c>
      <c r="AT175" s="59">
        <f>IFERROR(VLOOKUP($A175,[2]Mssp!$A$5:$BE$1463,AT$4+1,0),0)</f>
        <v>0</v>
      </c>
      <c r="AU175" s="59">
        <f>IFERROR(VLOOKUP($A175,[2]Mssp!$A$5:$BE$1463,AU$4+1,0),0)</f>
        <v>0</v>
      </c>
      <c r="AV175" s="59">
        <f>IFERROR(VLOOKUP($A175,[2]Mssp!$A$5:$BE$1463,AV$4+1,0),0)</f>
        <v>0</v>
      </c>
      <c r="AW175" s="59">
        <f>IFERROR(VLOOKUP($A175,[2]Mssp!$A$5:$BE$1463,AW$4+1,0),0)</f>
        <v>0</v>
      </c>
      <c r="AX175" s="59">
        <f>IFERROR(VLOOKUP($A175,[2]Mssp!$A$5:$BE$1463,AX$4+1,0),0)</f>
        <v>0</v>
      </c>
      <c r="AY175" s="59">
        <f>IFERROR(VLOOKUP($A175,[2]Mssp!$A$5:$BE$1463,AY$4+2,0),0)</f>
        <v>0</v>
      </c>
      <c r="AZ175" s="59">
        <f>IFERROR(VLOOKUP($A175,[2]Mssp!$A$5:$BE$1463,AZ$4+2,0),0)</f>
        <v>0</v>
      </c>
      <c r="BA175" s="60">
        <v>3000</v>
      </c>
      <c r="BB175" s="61" t="s">
        <v>62</v>
      </c>
      <c r="BC175" s="62"/>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row>
    <row r="176" spans="1:94" ht="45" x14ac:dyDescent="0.25">
      <c r="A176" s="50" t="s">
        <v>688</v>
      </c>
      <c r="B176" s="73" t="s">
        <v>689</v>
      </c>
      <c r="C176" s="50">
        <f t="shared" si="5"/>
        <v>0</v>
      </c>
      <c r="D176" s="58">
        <v>3</v>
      </c>
      <c r="E176" s="58" t="s">
        <v>690</v>
      </c>
      <c r="F176" s="58">
        <v>2</v>
      </c>
      <c r="G176" s="50" t="s">
        <v>114</v>
      </c>
      <c r="H176" s="50">
        <f>VLOOKUP($A176,'[1]ma sp 02'!$A$5:$BD$1101,H$1,0)</f>
        <v>0</v>
      </c>
      <c r="I176" s="50">
        <f>VLOOKUP($A176,'[1]ma sp 02'!$A$5:$BD$1101,I$1,0)</f>
        <v>0</v>
      </c>
      <c r="J176" s="50">
        <f>VLOOKUP($A176,'[1]ma sp 02'!$A$5:$BD$1101,J$1,0)</f>
        <v>0</v>
      </c>
      <c r="K176" s="50">
        <f>VLOOKUP($A176,'[1]ma sp 02'!$A$5:$BD$1101,K$1,0)</f>
        <v>0</v>
      </c>
      <c r="L176" s="50">
        <f>VLOOKUP($A176,'[1]ma sp 02'!$A$5:$BD$1101,L$1,0)</f>
        <v>0</v>
      </c>
      <c r="M176" s="50">
        <f>VLOOKUP($A176,'[1]ma sp 02'!$A$5:$BD$1101,M$1,0)</f>
        <v>0</v>
      </c>
      <c r="N176" s="50">
        <f>VLOOKUP($A176,'[1]ma sp 02'!$A$5:$BD$1101,N$1,0)</f>
        <v>0</v>
      </c>
      <c r="O176" s="50">
        <f>VLOOKUP($A176,'[1]ma sp 02'!$A$5:$BD$1101,O$1,0)</f>
        <v>0</v>
      </c>
      <c r="P176" s="50">
        <f>VLOOKUP($A176,'[1]ma sp 02'!$A$5:$BD$1101,P$1,0)</f>
        <v>0</v>
      </c>
      <c r="Q176" s="50">
        <f>VLOOKUP($A176,'[1]ma sp 02'!$A$5:$BD$1101,Q$1,0)</f>
        <v>0</v>
      </c>
      <c r="R176" s="50">
        <f>VLOOKUP($A176,'[1]ma sp 02'!$A$5:$BD$1101,R$1,0)</f>
        <v>0</v>
      </c>
      <c r="S176" s="50">
        <f>VLOOKUP($A176,'[1]ma sp 02'!$A$5:$BD$1101,S$1,0)</f>
        <v>0</v>
      </c>
      <c r="T176" s="50">
        <f>VLOOKUP($A176,'[1]ma sp 02'!$A$5:$BD$1101,T$1,0)</f>
        <v>0</v>
      </c>
      <c r="U176" s="50">
        <f>VLOOKUP($A176,'[1]ma sp 02'!$A$5:$BD$1101,U$1,0)</f>
        <v>0</v>
      </c>
      <c r="V176" s="50">
        <f>VLOOKUP($A176,'[1]ma sp 02'!$A$5:$BD$1101,V$1,0)</f>
        <v>0</v>
      </c>
      <c r="W176" s="50">
        <f>VLOOKUP($A176,'[1]ma sp 02'!$A$5:$BD$1101,W$1,0)</f>
        <v>0</v>
      </c>
      <c r="X176" s="50">
        <f t="shared" si="4"/>
        <v>0</v>
      </c>
      <c r="Y176" s="57"/>
      <c r="Z176" s="57"/>
      <c r="AA176" s="57"/>
      <c r="AB176" s="57"/>
      <c r="AC176" s="57"/>
      <c r="AD176" s="57"/>
      <c r="AE176" s="58" t="s">
        <v>373</v>
      </c>
      <c r="AF176" s="58" t="s">
        <v>374</v>
      </c>
      <c r="AG176" s="71">
        <f>(0.012*1.4+0.012*1.4+0.075*0.925)*0.92</f>
        <v>9.4737000000000016E-2</v>
      </c>
      <c r="AH176" s="63">
        <f>(2.3/0.75/2)*0.91</f>
        <v>1.3953333333333333</v>
      </c>
      <c r="AI176" s="63">
        <f>(3/0.75/2)*0.91</f>
        <v>1.82</v>
      </c>
      <c r="AJ176" s="58">
        <v>9530</v>
      </c>
      <c r="AK176" s="58">
        <v>9530</v>
      </c>
      <c r="AL176" s="58" t="s">
        <v>117</v>
      </c>
      <c r="AM176" s="52" t="s">
        <v>60</v>
      </c>
      <c r="AN176" s="58">
        <v>340</v>
      </c>
      <c r="AO176" s="52" t="s">
        <v>118</v>
      </c>
      <c r="AP176" s="59">
        <f>IFERROR(VLOOKUP($A176,[2]Mssp!$A$5:$BE$1463,AP$4+1,0),0)</f>
        <v>0</v>
      </c>
      <c r="AQ176" s="59">
        <f>IFERROR(VLOOKUP($A176,[2]Mssp!$A$5:$BE$1463,AQ$4+1,0),0)</f>
        <v>0</v>
      </c>
      <c r="AR176" s="59">
        <f>IFERROR(VLOOKUP($A176,[2]Mssp!$A$5:$BE$1463,AR$4+1,0),0)</f>
        <v>0</v>
      </c>
      <c r="AS176" s="59">
        <f>IFERROR(VLOOKUP($A176,[2]Mssp!$A$5:$BE$1463,AS$4+1,0),0)</f>
        <v>0</v>
      </c>
      <c r="AT176" s="59">
        <f>IFERROR(VLOOKUP($A176,[2]Mssp!$A$5:$BE$1463,AT$4+1,0),0)</f>
        <v>0</v>
      </c>
      <c r="AU176" s="59">
        <f>IFERROR(VLOOKUP($A176,[2]Mssp!$A$5:$BE$1463,AU$4+1,0),0)</f>
        <v>0</v>
      </c>
      <c r="AV176" s="59">
        <f>IFERROR(VLOOKUP($A176,[2]Mssp!$A$5:$BE$1463,AV$4+1,0),0)</f>
        <v>0</v>
      </c>
      <c r="AW176" s="59">
        <f>IFERROR(VLOOKUP($A176,[2]Mssp!$A$5:$BE$1463,AW$4+1,0),0)</f>
        <v>0</v>
      </c>
      <c r="AX176" s="59">
        <f>IFERROR(VLOOKUP($A176,[2]Mssp!$A$5:$BE$1463,AX$4+1,0),0)</f>
        <v>0</v>
      </c>
      <c r="AY176" s="59">
        <f>IFERROR(VLOOKUP($A176,[2]Mssp!$A$5:$BE$1463,AY$4+2,0),0)</f>
        <v>0</v>
      </c>
      <c r="AZ176" s="59">
        <f>IFERROR(VLOOKUP($A176,[2]Mssp!$A$5:$BE$1463,AZ$4+2,0),0)</f>
        <v>0</v>
      </c>
      <c r="BA176" s="60">
        <v>2500</v>
      </c>
      <c r="BB176" s="61" t="s">
        <v>62</v>
      </c>
      <c r="BC176" s="62"/>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row>
    <row r="177" spans="1:94" ht="45" x14ac:dyDescent="0.25">
      <c r="A177" s="50" t="s">
        <v>691</v>
      </c>
      <c r="B177" s="73" t="s">
        <v>692</v>
      </c>
      <c r="C177" s="50">
        <f t="shared" si="5"/>
        <v>3.1</v>
      </c>
      <c r="D177" s="58">
        <v>3</v>
      </c>
      <c r="E177" s="58" t="s">
        <v>690</v>
      </c>
      <c r="F177" s="58">
        <v>2</v>
      </c>
      <c r="G177" s="50" t="s">
        <v>114</v>
      </c>
      <c r="H177" s="50">
        <f>VLOOKUP($A177,'[1]ma sp 02'!$A$5:$BD$1101,H$1,0)</f>
        <v>0</v>
      </c>
      <c r="I177" s="50">
        <f>VLOOKUP($A177,'[1]ma sp 02'!$A$5:$BD$1101,I$1,0)</f>
        <v>0.1</v>
      </c>
      <c r="J177" s="50">
        <f>VLOOKUP($A177,'[1]ma sp 02'!$A$5:$BD$1101,J$1,0)</f>
        <v>0</v>
      </c>
      <c r="K177" s="50">
        <f>VLOOKUP($A177,'[1]ma sp 02'!$A$5:$BD$1101,K$1,0)</f>
        <v>0</v>
      </c>
      <c r="L177" s="50">
        <f>VLOOKUP($A177,'[1]ma sp 02'!$A$5:$BD$1101,L$1,0)</f>
        <v>0</v>
      </c>
      <c r="M177" s="50">
        <f>VLOOKUP($A177,'[1]ma sp 02'!$A$5:$BD$1101,M$1,0)</f>
        <v>0</v>
      </c>
      <c r="N177" s="50">
        <f>VLOOKUP($A177,'[1]ma sp 02'!$A$5:$BD$1101,N$1,0)</f>
        <v>0</v>
      </c>
      <c r="O177" s="50">
        <f>VLOOKUP($A177,'[1]ma sp 02'!$A$5:$BD$1101,O$1,0)</f>
        <v>0</v>
      </c>
      <c r="P177" s="50">
        <f>VLOOKUP($A177,'[1]ma sp 02'!$A$5:$BD$1101,P$1,0)</f>
        <v>3</v>
      </c>
      <c r="Q177" s="50">
        <f>VLOOKUP($A177,'[1]ma sp 02'!$A$5:$BD$1101,Q$1,0)</f>
        <v>0</v>
      </c>
      <c r="R177" s="50">
        <f>VLOOKUP($A177,'[1]ma sp 02'!$A$5:$BD$1101,R$1,0)</f>
        <v>0</v>
      </c>
      <c r="S177" s="50">
        <f>VLOOKUP($A177,'[1]ma sp 02'!$A$5:$BD$1101,S$1,0)</f>
        <v>0</v>
      </c>
      <c r="T177" s="50">
        <f>VLOOKUP($A177,'[1]ma sp 02'!$A$5:$BD$1101,T$1,0)</f>
        <v>0</v>
      </c>
      <c r="U177" s="50">
        <f>VLOOKUP($A177,'[1]ma sp 02'!$A$5:$BD$1101,U$1,0)</f>
        <v>0</v>
      </c>
      <c r="V177" s="50">
        <f>VLOOKUP($A177,'[1]ma sp 02'!$A$5:$BD$1101,V$1,0)</f>
        <v>0</v>
      </c>
      <c r="W177" s="50">
        <f>VLOOKUP($A177,'[1]ma sp 02'!$A$5:$BD$1101,W$1,0)</f>
        <v>0</v>
      </c>
      <c r="X177" s="50">
        <f t="shared" si="4"/>
        <v>2</v>
      </c>
      <c r="Y177" s="57"/>
      <c r="Z177" s="57"/>
      <c r="AA177" s="57"/>
      <c r="AB177" s="57"/>
      <c r="AC177" s="57"/>
      <c r="AD177" s="57"/>
      <c r="AE177" s="58" t="s">
        <v>373</v>
      </c>
      <c r="AF177" s="58" t="s">
        <v>374</v>
      </c>
      <c r="AG177" s="71">
        <f>(0.012*1.4+0.012*1.4+0.075*0.925)*0.92</f>
        <v>9.4737000000000016E-2</v>
      </c>
      <c r="AH177" s="63">
        <f>(2.3/0.75/2)*0.91</f>
        <v>1.3953333333333333</v>
      </c>
      <c r="AI177" s="63">
        <f>(3/0.75/2)*0.91</f>
        <v>1.82</v>
      </c>
      <c r="AJ177" s="58">
        <v>9530</v>
      </c>
      <c r="AK177" s="58">
        <v>9530</v>
      </c>
      <c r="AL177" s="58" t="s">
        <v>117</v>
      </c>
      <c r="AM177" s="52" t="s">
        <v>60</v>
      </c>
      <c r="AN177" s="58">
        <v>340</v>
      </c>
      <c r="AO177" s="52" t="s">
        <v>118</v>
      </c>
      <c r="AP177" s="59">
        <f>IFERROR(VLOOKUP($A177,[2]Mssp!$A$5:$BE$1463,AP$4+1,0),0)</f>
        <v>0</v>
      </c>
      <c r="AQ177" s="59">
        <f>IFERROR(VLOOKUP($A177,[2]Mssp!$A$5:$BE$1463,AQ$4+1,0),0)</f>
        <v>0</v>
      </c>
      <c r="AR177" s="59">
        <f>IFERROR(VLOOKUP($A177,[2]Mssp!$A$5:$BE$1463,AR$4+1,0),0)</f>
        <v>0</v>
      </c>
      <c r="AS177" s="59">
        <f>IFERROR(VLOOKUP($A177,[2]Mssp!$A$5:$BE$1463,AS$4+1,0),0)</f>
        <v>0</v>
      </c>
      <c r="AT177" s="59">
        <f>IFERROR(VLOOKUP($A177,[2]Mssp!$A$5:$BE$1463,AT$4+1,0),0)</f>
        <v>0</v>
      </c>
      <c r="AU177" s="59">
        <f>IFERROR(VLOOKUP($A177,[2]Mssp!$A$5:$BE$1463,AU$4+1,0),0)</f>
        <v>0</v>
      </c>
      <c r="AV177" s="59">
        <f>IFERROR(VLOOKUP($A177,[2]Mssp!$A$5:$BE$1463,AV$4+1,0),0)</f>
        <v>0</v>
      </c>
      <c r="AW177" s="59">
        <f>IFERROR(VLOOKUP($A177,[2]Mssp!$A$5:$BE$1463,AW$4+1,0),0)</f>
        <v>0</v>
      </c>
      <c r="AX177" s="59">
        <f>IFERROR(VLOOKUP($A177,[2]Mssp!$A$5:$BE$1463,AX$4+1,0),0)</f>
        <v>0</v>
      </c>
      <c r="AY177" s="59">
        <f>IFERROR(VLOOKUP($A177,[2]Mssp!$A$5:$BE$1463,AY$4+2,0),0)</f>
        <v>0</v>
      </c>
      <c r="AZ177" s="59">
        <f>IFERROR(VLOOKUP($A177,[2]Mssp!$A$5:$BE$1463,AZ$4+2,0),0)</f>
        <v>0</v>
      </c>
      <c r="BA177" s="60">
        <v>2500</v>
      </c>
      <c r="BB177" s="61" t="s">
        <v>62</v>
      </c>
      <c r="BC177" s="62"/>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row>
    <row r="178" spans="1:94" ht="45" x14ac:dyDescent="0.25">
      <c r="A178" s="50" t="s">
        <v>693</v>
      </c>
      <c r="B178" s="73" t="s">
        <v>694</v>
      </c>
      <c r="C178" s="50">
        <f t="shared" si="5"/>
        <v>3</v>
      </c>
      <c r="D178" s="58">
        <v>3</v>
      </c>
      <c r="E178" s="58" t="s">
        <v>690</v>
      </c>
      <c r="F178" s="58">
        <v>2</v>
      </c>
      <c r="G178" s="50" t="s">
        <v>114</v>
      </c>
      <c r="H178" s="50">
        <f>VLOOKUP($A178,'[1]ma sp 02'!$A$5:$BD$1101,H$1,0)</f>
        <v>0</v>
      </c>
      <c r="I178" s="50">
        <f>VLOOKUP($A178,'[1]ma sp 02'!$A$5:$BD$1101,I$1,0)</f>
        <v>0.1</v>
      </c>
      <c r="J178" s="50">
        <f>VLOOKUP($A178,'[1]ma sp 02'!$A$5:$BD$1101,J$1,0)</f>
        <v>0.9</v>
      </c>
      <c r="K178" s="50">
        <f>VLOOKUP($A178,'[1]ma sp 02'!$A$5:$BD$1101,K$1,0)</f>
        <v>0</v>
      </c>
      <c r="L178" s="50">
        <f>VLOOKUP($A178,'[1]ma sp 02'!$A$5:$BD$1101,L$1,0)</f>
        <v>0</v>
      </c>
      <c r="M178" s="50">
        <f>VLOOKUP($A178,'[1]ma sp 02'!$A$5:$BD$1101,M$1,0)</f>
        <v>0</v>
      </c>
      <c r="N178" s="50">
        <f>VLOOKUP($A178,'[1]ma sp 02'!$A$5:$BD$1101,N$1,0)</f>
        <v>0</v>
      </c>
      <c r="O178" s="50">
        <f>VLOOKUP($A178,'[1]ma sp 02'!$A$5:$BD$1101,O$1,0)</f>
        <v>0</v>
      </c>
      <c r="P178" s="50">
        <f>VLOOKUP($A178,'[1]ma sp 02'!$A$5:$BD$1101,P$1,0)</f>
        <v>0</v>
      </c>
      <c r="Q178" s="50">
        <f>VLOOKUP($A178,'[1]ma sp 02'!$A$5:$BD$1101,Q$1,0)</f>
        <v>0</v>
      </c>
      <c r="R178" s="50">
        <f>VLOOKUP($A178,'[1]ma sp 02'!$A$5:$BD$1101,R$1,0)</f>
        <v>2</v>
      </c>
      <c r="S178" s="50">
        <f>VLOOKUP($A178,'[1]ma sp 02'!$A$5:$BD$1101,S$1,0)</f>
        <v>0</v>
      </c>
      <c r="T178" s="50">
        <f>VLOOKUP($A178,'[1]ma sp 02'!$A$5:$BD$1101,T$1,0)</f>
        <v>0</v>
      </c>
      <c r="U178" s="50">
        <f>VLOOKUP($A178,'[1]ma sp 02'!$A$5:$BD$1101,U$1,0)</f>
        <v>0</v>
      </c>
      <c r="V178" s="50">
        <f>VLOOKUP($A178,'[1]ma sp 02'!$A$5:$BD$1101,V$1,0)</f>
        <v>0</v>
      </c>
      <c r="W178" s="50">
        <f>VLOOKUP($A178,'[1]ma sp 02'!$A$5:$BD$1101,W$1,0)</f>
        <v>0</v>
      </c>
      <c r="X178" s="50">
        <f t="shared" si="4"/>
        <v>3</v>
      </c>
      <c r="Y178" s="57"/>
      <c r="Z178" s="57"/>
      <c r="AA178" s="57"/>
      <c r="AB178" s="57"/>
      <c r="AC178" s="57"/>
      <c r="AD178" s="57"/>
      <c r="AE178" s="58" t="s">
        <v>373</v>
      </c>
      <c r="AF178" s="58" t="s">
        <v>374</v>
      </c>
      <c r="AG178" s="71">
        <f>(0.012*1.4+0.012*1.4+0.075*0.925)*0.92</f>
        <v>9.4737000000000016E-2</v>
      </c>
      <c r="AH178" s="63">
        <f>(2.3/0.75/2)*0.91</f>
        <v>1.3953333333333333</v>
      </c>
      <c r="AI178" s="63">
        <f>(3/0.75/2)*0.91</f>
        <v>1.82</v>
      </c>
      <c r="AJ178" s="58">
        <v>9530</v>
      </c>
      <c r="AK178" s="58">
        <v>9530</v>
      </c>
      <c r="AL178" s="58" t="s">
        <v>117</v>
      </c>
      <c r="AM178" s="52" t="s">
        <v>60</v>
      </c>
      <c r="AN178" s="58">
        <v>340</v>
      </c>
      <c r="AO178" s="52" t="s">
        <v>118</v>
      </c>
      <c r="AP178" s="59">
        <f>IFERROR(VLOOKUP($A178,[2]Mssp!$A$5:$BE$1463,AP$4+1,0),0)</f>
        <v>0</v>
      </c>
      <c r="AQ178" s="59">
        <f>IFERROR(VLOOKUP($A178,[2]Mssp!$A$5:$BE$1463,AQ$4+1,0),0)</f>
        <v>0</v>
      </c>
      <c r="AR178" s="59">
        <f>IFERROR(VLOOKUP($A178,[2]Mssp!$A$5:$BE$1463,AR$4+1,0),0)</f>
        <v>0</v>
      </c>
      <c r="AS178" s="59">
        <f>IFERROR(VLOOKUP($A178,[2]Mssp!$A$5:$BE$1463,AS$4+1,0),0)</f>
        <v>0</v>
      </c>
      <c r="AT178" s="59">
        <f>IFERROR(VLOOKUP($A178,[2]Mssp!$A$5:$BE$1463,AT$4+1,0),0)</f>
        <v>0</v>
      </c>
      <c r="AU178" s="59">
        <f>IFERROR(VLOOKUP($A178,[2]Mssp!$A$5:$BE$1463,AU$4+1,0),0)</f>
        <v>0</v>
      </c>
      <c r="AV178" s="59">
        <f>IFERROR(VLOOKUP($A178,[2]Mssp!$A$5:$BE$1463,AV$4+1,0),0)</f>
        <v>0</v>
      </c>
      <c r="AW178" s="59">
        <f>IFERROR(VLOOKUP($A178,[2]Mssp!$A$5:$BE$1463,AW$4+1,0),0)</f>
        <v>0</v>
      </c>
      <c r="AX178" s="59">
        <f>IFERROR(VLOOKUP($A178,[2]Mssp!$A$5:$BE$1463,AX$4+1,0),0)</f>
        <v>0</v>
      </c>
      <c r="AY178" s="59">
        <f>IFERROR(VLOOKUP($A178,[2]Mssp!$A$5:$BE$1463,AY$4+2,0),0)</f>
        <v>0</v>
      </c>
      <c r="AZ178" s="59">
        <f>IFERROR(VLOOKUP($A178,[2]Mssp!$A$5:$BE$1463,AZ$4+2,0),0)</f>
        <v>0</v>
      </c>
      <c r="BA178" s="60">
        <v>2500</v>
      </c>
      <c r="BB178" s="61" t="s">
        <v>62</v>
      </c>
      <c r="BC178" s="62"/>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row>
    <row r="179" spans="1:94" ht="45" x14ac:dyDescent="0.25">
      <c r="A179" s="50" t="s">
        <v>695</v>
      </c>
      <c r="B179" s="73" t="s">
        <v>696</v>
      </c>
      <c r="C179" s="50">
        <f t="shared" si="5"/>
        <v>0</v>
      </c>
      <c r="D179" s="58">
        <v>3</v>
      </c>
      <c r="E179" s="58" t="s">
        <v>690</v>
      </c>
      <c r="F179" s="58">
        <v>2</v>
      </c>
      <c r="G179" s="50" t="s">
        <v>114</v>
      </c>
      <c r="H179" s="50">
        <f>VLOOKUP($A179,'[1]ma sp 02'!$A$5:$BD$1101,H$1,0)</f>
        <v>0</v>
      </c>
      <c r="I179" s="50">
        <f>VLOOKUP($A179,'[1]ma sp 02'!$A$5:$BD$1101,I$1,0)</f>
        <v>0</v>
      </c>
      <c r="J179" s="50">
        <f>VLOOKUP($A179,'[1]ma sp 02'!$A$5:$BD$1101,J$1,0)</f>
        <v>0</v>
      </c>
      <c r="K179" s="50">
        <f>VLOOKUP($A179,'[1]ma sp 02'!$A$5:$BD$1101,K$1,0)</f>
        <v>0</v>
      </c>
      <c r="L179" s="50">
        <f>VLOOKUP($A179,'[1]ma sp 02'!$A$5:$BD$1101,L$1,0)</f>
        <v>0</v>
      </c>
      <c r="M179" s="50">
        <f>VLOOKUP($A179,'[1]ma sp 02'!$A$5:$BD$1101,M$1,0)</f>
        <v>0</v>
      </c>
      <c r="N179" s="50">
        <f>VLOOKUP($A179,'[1]ma sp 02'!$A$5:$BD$1101,N$1,0)</f>
        <v>0</v>
      </c>
      <c r="O179" s="50">
        <f>VLOOKUP($A179,'[1]ma sp 02'!$A$5:$BD$1101,O$1,0)</f>
        <v>0</v>
      </c>
      <c r="P179" s="50">
        <f>VLOOKUP($A179,'[1]ma sp 02'!$A$5:$BD$1101,P$1,0)</f>
        <v>0</v>
      </c>
      <c r="Q179" s="50">
        <f>VLOOKUP($A179,'[1]ma sp 02'!$A$5:$BD$1101,Q$1,0)</f>
        <v>0</v>
      </c>
      <c r="R179" s="50">
        <f>VLOOKUP($A179,'[1]ma sp 02'!$A$5:$BD$1101,R$1,0)</f>
        <v>0</v>
      </c>
      <c r="S179" s="50">
        <f>VLOOKUP($A179,'[1]ma sp 02'!$A$5:$BD$1101,S$1,0)</f>
        <v>0</v>
      </c>
      <c r="T179" s="50">
        <f>VLOOKUP($A179,'[1]ma sp 02'!$A$5:$BD$1101,T$1,0)</f>
        <v>0</v>
      </c>
      <c r="U179" s="50">
        <f>VLOOKUP($A179,'[1]ma sp 02'!$A$5:$BD$1101,U$1,0)</f>
        <v>0</v>
      </c>
      <c r="V179" s="50">
        <f>VLOOKUP($A179,'[1]ma sp 02'!$A$5:$BD$1101,V$1,0)</f>
        <v>0</v>
      </c>
      <c r="W179" s="50">
        <f>VLOOKUP($A179,'[1]ma sp 02'!$A$5:$BD$1101,W$1,0)</f>
        <v>0</v>
      </c>
      <c r="X179" s="50">
        <f t="shared" si="4"/>
        <v>0</v>
      </c>
      <c r="Y179" s="57"/>
      <c r="Z179" s="57"/>
      <c r="AA179" s="57"/>
      <c r="AB179" s="57"/>
      <c r="AC179" s="57"/>
      <c r="AD179" s="57"/>
      <c r="AE179" s="58" t="s">
        <v>373</v>
      </c>
      <c r="AF179" s="58" t="s">
        <v>374</v>
      </c>
      <c r="AG179" s="71">
        <f>(0.012*1.4+0.012*1.4+0.075*0.925)*0.92</f>
        <v>9.4737000000000016E-2</v>
      </c>
      <c r="AH179" s="63">
        <f>(2.3/0.75/2)*0.91</f>
        <v>1.3953333333333333</v>
      </c>
      <c r="AI179" s="63">
        <f>(3/0.75/2)*0.91</f>
        <v>1.82</v>
      </c>
      <c r="AJ179" s="58">
        <v>9530</v>
      </c>
      <c r="AK179" s="58">
        <v>9530</v>
      </c>
      <c r="AL179" s="58" t="s">
        <v>117</v>
      </c>
      <c r="AM179" s="52" t="s">
        <v>60</v>
      </c>
      <c r="AN179" s="58">
        <v>340</v>
      </c>
      <c r="AO179" s="52" t="s">
        <v>118</v>
      </c>
      <c r="AP179" s="59">
        <f>IFERROR(VLOOKUP($A179,[2]Mssp!$A$5:$BE$1463,AP$4+1,0),0)</f>
        <v>0</v>
      </c>
      <c r="AQ179" s="59">
        <f>IFERROR(VLOOKUP($A179,[2]Mssp!$A$5:$BE$1463,AQ$4+1,0),0)</f>
        <v>0</v>
      </c>
      <c r="AR179" s="59">
        <f>IFERROR(VLOOKUP($A179,[2]Mssp!$A$5:$BE$1463,AR$4+1,0),0)</f>
        <v>0</v>
      </c>
      <c r="AS179" s="59">
        <f>IFERROR(VLOOKUP($A179,[2]Mssp!$A$5:$BE$1463,AS$4+1,0),0)</f>
        <v>0</v>
      </c>
      <c r="AT179" s="59">
        <f>IFERROR(VLOOKUP($A179,[2]Mssp!$A$5:$BE$1463,AT$4+1,0),0)</f>
        <v>0</v>
      </c>
      <c r="AU179" s="59">
        <f>IFERROR(VLOOKUP($A179,[2]Mssp!$A$5:$BE$1463,AU$4+1,0),0)</f>
        <v>0</v>
      </c>
      <c r="AV179" s="59">
        <f>IFERROR(VLOOKUP($A179,[2]Mssp!$A$5:$BE$1463,AV$4+1,0),0)</f>
        <v>0</v>
      </c>
      <c r="AW179" s="59">
        <f>IFERROR(VLOOKUP($A179,[2]Mssp!$A$5:$BE$1463,AW$4+1,0),0)</f>
        <v>0</v>
      </c>
      <c r="AX179" s="59">
        <f>IFERROR(VLOOKUP($A179,[2]Mssp!$A$5:$BE$1463,AX$4+1,0),0)</f>
        <v>0</v>
      </c>
      <c r="AY179" s="59">
        <f>IFERROR(VLOOKUP($A179,[2]Mssp!$A$5:$BE$1463,AY$4+2,0),0)</f>
        <v>0</v>
      </c>
      <c r="AZ179" s="59">
        <f>IFERROR(VLOOKUP($A179,[2]Mssp!$A$5:$BE$1463,AZ$4+2,0),0)</f>
        <v>0</v>
      </c>
      <c r="BA179" s="60">
        <v>2500</v>
      </c>
      <c r="BB179" s="61" t="s">
        <v>62</v>
      </c>
      <c r="BC179" s="62"/>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row>
    <row r="180" spans="1:94" ht="75" x14ac:dyDescent="0.25">
      <c r="A180" s="50" t="s">
        <v>697</v>
      </c>
      <c r="B180" s="73" t="s">
        <v>698</v>
      </c>
      <c r="C180" s="50">
        <f t="shared" si="5"/>
        <v>3.8000000000000003</v>
      </c>
      <c r="D180" s="58">
        <v>2</v>
      </c>
      <c r="E180" s="58" t="s">
        <v>484</v>
      </c>
      <c r="F180" s="58">
        <v>2</v>
      </c>
      <c r="G180" s="50" t="s">
        <v>114</v>
      </c>
      <c r="H180" s="50">
        <f>VLOOKUP($A180,'[1]ma sp 02'!$A$5:$BD$1101,H$1,0)</f>
        <v>0</v>
      </c>
      <c r="I180" s="50">
        <f>VLOOKUP($A180,'[1]ma sp 02'!$A$5:$BD$1101,I$1,0)</f>
        <v>0.1</v>
      </c>
      <c r="J180" s="50">
        <f>VLOOKUP($A180,'[1]ma sp 02'!$A$5:$BD$1101,J$1,0)</f>
        <v>0</v>
      </c>
      <c r="K180" s="50">
        <f>VLOOKUP($A180,'[1]ma sp 02'!$A$5:$BD$1101,K$1,0)</f>
        <v>3.7</v>
      </c>
      <c r="L180" s="50">
        <f>VLOOKUP($A180,'[1]ma sp 02'!$A$5:$BD$1101,L$1,0)</f>
        <v>0</v>
      </c>
      <c r="M180" s="50">
        <f>VLOOKUP($A180,'[1]ma sp 02'!$A$5:$BD$1101,M$1,0)</f>
        <v>0</v>
      </c>
      <c r="N180" s="50">
        <f>VLOOKUP($A180,'[1]ma sp 02'!$A$5:$BD$1101,N$1,0)</f>
        <v>0</v>
      </c>
      <c r="O180" s="50">
        <f>VLOOKUP($A180,'[1]ma sp 02'!$A$5:$BD$1101,O$1,0)</f>
        <v>0</v>
      </c>
      <c r="P180" s="50">
        <f>VLOOKUP($A180,'[1]ma sp 02'!$A$5:$BD$1101,P$1,0)</f>
        <v>0</v>
      </c>
      <c r="Q180" s="50">
        <f>VLOOKUP($A180,'[1]ma sp 02'!$A$5:$BD$1101,Q$1,0)</f>
        <v>0</v>
      </c>
      <c r="R180" s="50">
        <f>VLOOKUP($A180,'[1]ma sp 02'!$A$5:$BD$1101,R$1,0)</f>
        <v>0</v>
      </c>
      <c r="S180" s="50">
        <f>VLOOKUP($A180,'[1]ma sp 02'!$A$5:$BD$1101,S$1,0)</f>
        <v>0</v>
      </c>
      <c r="T180" s="50">
        <f>VLOOKUP($A180,'[1]ma sp 02'!$A$5:$BD$1101,T$1,0)</f>
        <v>0</v>
      </c>
      <c r="U180" s="50">
        <f>VLOOKUP($A180,'[1]ma sp 02'!$A$5:$BD$1101,U$1,0)</f>
        <v>0</v>
      </c>
      <c r="V180" s="50">
        <f>VLOOKUP($A180,'[1]ma sp 02'!$A$5:$BD$1101,V$1,0)</f>
        <v>0</v>
      </c>
      <c r="W180" s="50">
        <f>VLOOKUP($A180,'[1]ma sp 02'!$A$5:$BD$1101,W$1,0)</f>
        <v>0</v>
      </c>
      <c r="X180" s="50">
        <f t="shared" si="4"/>
        <v>2</v>
      </c>
      <c r="Y180" s="57"/>
      <c r="Z180" s="57"/>
      <c r="AA180" s="57"/>
      <c r="AB180" s="57"/>
      <c r="AC180" s="57"/>
      <c r="AD180" s="57"/>
      <c r="AE180" s="58" t="s">
        <v>485</v>
      </c>
      <c r="AF180" s="52" t="s">
        <v>486</v>
      </c>
      <c r="AG180" s="71">
        <f>(0.012*1.4+0.012*1.4+0.075*0.925)*0.76</f>
        <v>7.8261000000000011E-2</v>
      </c>
      <c r="AH180" s="63">
        <f>(2.3/0.75/2)*0.75</f>
        <v>1.1499999999999999</v>
      </c>
      <c r="AI180" s="63">
        <f>(3/0.75/2)*0.75</f>
        <v>1.5</v>
      </c>
      <c r="AJ180" s="58">
        <v>9530</v>
      </c>
      <c r="AK180" s="57"/>
      <c r="AL180" s="58" t="s">
        <v>117</v>
      </c>
      <c r="AM180" s="52" t="s">
        <v>60</v>
      </c>
      <c r="AN180" s="58">
        <v>420</v>
      </c>
      <c r="AO180" s="52" t="s">
        <v>118</v>
      </c>
      <c r="AP180" s="59">
        <f>IFERROR(VLOOKUP($A180,[2]Mssp!$A$5:$BE$1463,AP$4+1,0),0)</f>
        <v>0</v>
      </c>
      <c r="AQ180" s="59">
        <f>IFERROR(VLOOKUP($A180,[2]Mssp!$A$5:$BE$1463,AQ$4+1,0),0)</f>
        <v>0</v>
      </c>
      <c r="AR180" s="59">
        <f>IFERROR(VLOOKUP($A180,[2]Mssp!$A$5:$BE$1463,AR$4+1,0),0)</f>
        <v>0</v>
      </c>
      <c r="AS180" s="59">
        <f>IFERROR(VLOOKUP($A180,[2]Mssp!$A$5:$BE$1463,AS$4+1,0),0)</f>
        <v>0</v>
      </c>
      <c r="AT180" s="59">
        <f>IFERROR(VLOOKUP($A180,[2]Mssp!$A$5:$BE$1463,AT$4+1,0),0)</f>
        <v>0</v>
      </c>
      <c r="AU180" s="59">
        <f>IFERROR(VLOOKUP($A180,[2]Mssp!$A$5:$BE$1463,AU$4+1,0),0)</f>
        <v>0</v>
      </c>
      <c r="AV180" s="59">
        <f>IFERROR(VLOOKUP($A180,[2]Mssp!$A$5:$BE$1463,AV$4+1,0),0)</f>
        <v>0</v>
      </c>
      <c r="AW180" s="59">
        <f>IFERROR(VLOOKUP($A180,[2]Mssp!$A$5:$BE$1463,AW$4+1,0),0)</f>
        <v>0</v>
      </c>
      <c r="AX180" s="59">
        <f>IFERROR(VLOOKUP($A180,[2]Mssp!$A$5:$BE$1463,AX$4+1,0),0)</f>
        <v>0</v>
      </c>
      <c r="AY180" s="59">
        <f>IFERROR(VLOOKUP($A180,[2]Mssp!$A$5:$BE$1463,AY$4+2,0),0)</f>
        <v>0</v>
      </c>
      <c r="AZ180" s="59">
        <f>IFERROR(VLOOKUP($A180,[2]Mssp!$A$5:$BE$1463,AZ$4+2,0),0)</f>
        <v>0</v>
      </c>
      <c r="BA180" s="60">
        <v>1500</v>
      </c>
      <c r="BB180" s="61" t="s">
        <v>119</v>
      </c>
      <c r="BC180" s="62"/>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row>
    <row r="181" spans="1:94" ht="75" x14ac:dyDescent="0.25">
      <c r="A181" s="50" t="s">
        <v>699</v>
      </c>
      <c r="B181" s="73" t="s">
        <v>700</v>
      </c>
      <c r="C181" s="50">
        <f t="shared" si="5"/>
        <v>2.9</v>
      </c>
      <c r="D181" s="58">
        <v>2</v>
      </c>
      <c r="E181" s="58" t="s">
        <v>484</v>
      </c>
      <c r="F181" s="58">
        <v>2</v>
      </c>
      <c r="G181" s="50" t="s">
        <v>114</v>
      </c>
      <c r="H181" s="50">
        <f>VLOOKUP($A181,'[1]ma sp 02'!$A$5:$BD$1101,H$1,0)</f>
        <v>0.1</v>
      </c>
      <c r="I181" s="50">
        <f>VLOOKUP($A181,'[1]ma sp 02'!$A$5:$BD$1101,I$1,0)</f>
        <v>0</v>
      </c>
      <c r="J181" s="50">
        <f>VLOOKUP($A181,'[1]ma sp 02'!$A$5:$BD$1101,J$1,0)</f>
        <v>0</v>
      </c>
      <c r="K181" s="50">
        <f>VLOOKUP($A181,'[1]ma sp 02'!$A$5:$BD$1101,K$1,0)</f>
        <v>0</v>
      </c>
      <c r="L181" s="50">
        <f>VLOOKUP($A181,'[1]ma sp 02'!$A$5:$BD$1101,L$1,0)</f>
        <v>0</v>
      </c>
      <c r="M181" s="50">
        <f>VLOOKUP($A181,'[1]ma sp 02'!$A$5:$BD$1101,M$1,0)</f>
        <v>0</v>
      </c>
      <c r="N181" s="50">
        <f>VLOOKUP($A181,'[1]ma sp 02'!$A$5:$BD$1101,N$1,0)</f>
        <v>0</v>
      </c>
      <c r="O181" s="50">
        <f>VLOOKUP($A181,'[1]ma sp 02'!$A$5:$BD$1101,O$1,0)</f>
        <v>2.8</v>
      </c>
      <c r="P181" s="50">
        <f>VLOOKUP($A181,'[1]ma sp 02'!$A$5:$BD$1101,P$1,0)</f>
        <v>0</v>
      </c>
      <c r="Q181" s="50">
        <f>VLOOKUP($A181,'[1]ma sp 02'!$A$5:$BD$1101,Q$1,0)</f>
        <v>0</v>
      </c>
      <c r="R181" s="50">
        <f>VLOOKUP($A181,'[1]ma sp 02'!$A$5:$BD$1101,R$1,0)</f>
        <v>0</v>
      </c>
      <c r="S181" s="50">
        <f>VLOOKUP($A181,'[1]ma sp 02'!$A$5:$BD$1101,S$1,0)</f>
        <v>0</v>
      </c>
      <c r="T181" s="50">
        <f>VLOOKUP($A181,'[1]ma sp 02'!$A$5:$BD$1101,T$1,0)</f>
        <v>0</v>
      </c>
      <c r="U181" s="50">
        <f>VLOOKUP($A181,'[1]ma sp 02'!$A$5:$BD$1101,U$1,0)</f>
        <v>0</v>
      </c>
      <c r="V181" s="50">
        <f>VLOOKUP($A181,'[1]ma sp 02'!$A$5:$BD$1101,V$1,0)</f>
        <v>0</v>
      </c>
      <c r="W181" s="50">
        <f>VLOOKUP($A181,'[1]ma sp 02'!$A$5:$BD$1101,W$1,0)</f>
        <v>0</v>
      </c>
      <c r="X181" s="50">
        <f t="shared" si="4"/>
        <v>2</v>
      </c>
      <c r="Y181" s="57"/>
      <c r="Z181" s="57"/>
      <c r="AA181" s="57"/>
      <c r="AB181" s="57"/>
      <c r="AC181" s="57"/>
      <c r="AD181" s="57"/>
      <c r="AE181" s="58" t="s">
        <v>485</v>
      </c>
      <c r="AF181" s="52" t="s">
        <v>486</v>
      </c>
      <c r="AG181" s="71">
        <f>(0.012*1.4+0.012*1.4+0.075*0.925)*0.76</f>
        <v>7.8261000000000011E-2</v>
      </c>
      <c r="AH181" s="63">
        <f>(2.3/0.75/2)*0.75</f>
        <v>1.1499999999999999</v>
      </c>
      <c r="AI181" s="63">
        <f>(3/0.75/2)*0.75</f>
        <v>1.5</v>
      </c>
      <c r="AJ181" s="58">
        <v>9530</v>
      </c>
      <c r="AK181" s="58">
        <v>9530</v>
      </c>
      <c r="AL181" s="58" t="s">
        <v>117</v>
      </c>
      <c r="AM181" s="52" t="s">
        <v>60</v>
      </c>
      <c r="AN181" s="58">
        <v>420</v>
      </c>
      <c r="AO181" s="52" t="s">
        <v>118</v>
      </c>
      <c r="AP181" s="59">
        <f>IFERROR(VLOOKUP($A181,[2]Mssp!$A$5:$BE$1463,AP$4+1,0),0)</f>
        <v>0</v>
      </c>
      <c r="AQ181" s="59">
        <f>IFERROR(VLOOKUP($A181,[2]Mssp!$A$5:$BE$1463,AQ$4+1,0),0)</f>
        <v>0</v>
      </c>
      <c r="AR181" s="59">
        <f>IFERROR(VLOOKUP($A181,[2]Mssp!$A$5:$BE$1463,AR$4+1,0),0)</f>
        <v>0</v>
      </c>
      <c r="AS181" s="59">
        <f>IFERROR(VLOOKUP($A181,[2]Mssp!$A$5:$BE$1463,AS$4+1,0),0)</f>
        <v>0</v>
      </c>
      <c r="AT181" s="59">
        <f>IFERROR(VLOOKUP($A181,[2]Mssp!$A$5:$BE$1463,AT$4+1,0),0)</f>
        <v>0</v>
      </c>
      <c r="AU181" s="59">
        <f>IFERROR(VLOOKUP($A181,[2]Mssp!$A$5:$BE$1463,AU$4+1,0),0)</f>
        <v>0</v>
      </c>
      <c r="AV181" s="59">
        <f>IFERROR(VLOOKUP($A181,[2]Mssp!$A$5:$BE$1463,AV$4+1,0),0)</f>
        <v>0</v>
      </c>
      <c r="AW181" s="59">
        <f>IFERROR(VLOOKUP($A181,[2]Mssp!$A$5:$BE$1463,AW$4+1,0),0)</f>
        <v>0</v>
      </c>
      <c r="AX181" s="59">
        <f>IFERROR(VLOOKUP($A181,[2]Mssp!$A$5:$BE$1463,AX$4+1,0),0)</f>
        <v>0</v>
      </c>
      <c r="AY181" s="59">
        <f>IFERROR(VLOOKUP($A181,[2]Mssp!$A$5:$BE$1463,AY$4+2,0),0)</f>
        <v>0</v>
      </c>
      <c r="AZ181" s="59">
        <f>IFERROR(VLOOKUP($A181,[2]Mssp!$A$5:$BE$1463,AZ$4+2,0),0)</f>
        <v>0</v>
      </c>
      <c r="BA181" s="60">
        <v>1500</v>
      </c>
      <c r="BB181" s="61" t="s">
        <v>119</v>
      </c>
      <c r="BC181" s="62"/>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row>
    <row r="182" spans="1:94" ht="75" x14ac:dyDescent="0.25">
      <c r="A182" s="50" t="s">
        <v>701</v>
      </c>
      <c r="B182" s="73" t="s">
        <v>702</v>
      </c>
      <c r="C182" s="50">
        <f t="shared" si="5"/>
        <v>5.3</v>
      </c>
      <c r="D182" s="58">
        <v>2</v>
      </c>
      <c r="E182" s="58" t="s">
        <v>484</v>
      </c>
      <c r="F182" s="58">
        <v>2</v>
      </c>
      <c r="G182" s="50" t="s">
        <v>114</v>
      </c>
      <c r="H182" s="50">
        <f>VLOOKUP($A182,'[1]ma sp 02'!$A$5:$BD$1101,H$1,0)</f>
        <v>0</v>
      </c>
      <c r="I182" s="50">
        <f>VLOOKUP($A182,'[1]ma sp 02'!$A$5:$BD$1101,I$1,0)</f>
        <v>0.1</v>
      </c>
      <c r="J182" s="50">
        <f>VLOOKUP($A182,'[1]ma sp 02'!$A$5:$BD$1101,J$1,0)</f>
        <v>3.3</v>
      </c>
      <c r="K182" s="50">
        <f>VLOOKUP($A182,'[1]ma sp 02'!$A$5:$BD$1101,K$1,0)</f>
        <v>0.7</v>
      </c>
      <c r="L182" s="50">
        <f>VLOOKUP($A182,'[1]ma sp 02'!$A$5:$BD$1101,L$1,0)</f>
        <v>0</v>
      </c>
      <c r="M182" s="50">
        <f>VLOOKUP($A182,'[1]ma sp 02'!$A$5:$BD$1101,M$1,0)</f>
        <v>0</v>
      </c>
      <c r="N182" s="50">
        <f>VLOOKUP($A182,'[1]ma sp 02'!$A$5:$BD$1101,N$1,0)</f>
        <v>0</v>
      </c>
      <c r="O182" s="50">
        <f>VLOOKUP($A182,'[1]ma sp 02'!$A$5:$BD$1101,O$1,0)</f>
        <v>0</v>
      </c>
      <c r="P182" s="50">
        <f>VLOOKUP($A182,'[1]ma sp 02'!$A$5:$BD$1101,P$1,0)</f>
        <v>0</v>
      </c>
      <c r="Q182" s="50">
        <f>VLOOKUP($A182,'[1]ma sp 02'!$A$5:$BD$1101,Q$1,0)</f>
        <v>0</v>
      </c>
      <c r="R182" s="50">
        <f>VLOOKUP($A182,'[1]ma sp 02'!$A$5:$BD$1101,R$1,0)</f>
        <v>1.2</v>
      </c>
      <c r="S182" s="50">
        <f>VLOOKUP($A182,'[1]ma sp 02'!$A$5:$BD$1101,S$1,0)</f>
        <v>0</v>
      </c>
      <c r="T182" s="50">
        <f>VLOOKUP($A182,'[1]ma sp 02'!$A$5:$BD$1101,T$1,0)</f>
        <v>0</v>
      </c>
      <c r="U182" s="50">
        <f>VLOOKUP($A182,'[1]ma sp 02'!$A$5:$BD$1101,U$1,0)</f>
        <v>0</v>
      </c>
      <c r="V182" s="50">
        <f>VLOOKUP($A182,'[1]ma sp 02'!$A$5:$BD$1101,V$1,0)</f>
        <v>0</v>
      </c>
      <c r="W182" s="50">
        <f>VLOOKUP($A182,'[1]ma sp 02'!$A$5:$BD$1101,W$1,0)</f>
        <v>0</v>
      </c>
      <c r="X182" s="50">
        <f t="shared" si="4"/>
        <v>4</v>
      </c>
      <c r="Y182" s="57"/>
      <c r="Z182" s="57"/>
      <c r="AA182" s="57"/>
      <c r="AB182" s="57"/>
      <c r="AC182" s="57"/>
      <c r="AD182" s="57"/>
      <c r="AE182" s="58" t="s">
        <v>485</v>
      </c>
      <c r="AF182" s="52" t="s">
        <v>486</v>
      </c>
      <c r="AG182" s="71">
        <f>(0.012*1.4+0.012*1.4+0.075*0.925)*0.76</f>
        <v>7.8261000000000011E-2</v>
      </c>
      <c r="AH182" s="63">
        <f>(2.3/0.75/2)*0.75</f>
        <v>1.1499999999999999</v>
      </c>
      <c r="AI182" s="63">
        <f>(3/0.75/2)*0.75</f>
        <v>1.5</v>
      </c>
      <c r="AJ182" s="58">
        <v>9530</v>
      </c>
      <c r="AK182" s="57"/>
      <c r="AL182" s="58" t="s">
        <v>117</v>
      </c>
      <c r="AM182" s="52" t="s">
        <v>60</v>
      </c>
      <c r="AN182" s="58">
        <v>420</v>
      </c>
      <c r="AO182" s="52" t="s">
        <v>118</v>
      </c>
      <c r="AP182" s="59">
        <f>IFERROR(VLOOKUP($A182,[2]Mssp!$A$5:$BE$1463,AP$4+1,0),0)</f>
        <v>0</v>
      </c>
      <c r="AQ182" s="59">
        <f>IFERROR(VLOOKUP($A182,[2]Mssp!$A$5:$BE$1463,AQ$4+1,0),0)</f>
        <v>0</v>
      </c>
      <c r="AR182" s="59">
        <f>IFERROR(VLOOKUP($A182,[2]Mssp!$A$5:$BE$1463,AR$4+1,0),0)</f>
        <v>0</v>
      </c>
      <c r="AS182" s="59">
        <f>IFERROR(VLOOKUP($A182,[2]Mssp!$A$5:$BE$1463,AS$4+1,0),0)</f>
        <v>0</v>
      </c>
      <c r="AT182" s="59">
        <f>IFERROR(VLOOKUP($A182,[2]Mssp!$A$5:$BE$1463,AT$4+1,0),0)</f>
        <v>0</v>
      </c>
      <c r="AU182" s="59">
        <f>IFERROR(VLOOKUP($A182,[2]Mssp!$A$5:$BE$1463,AU$4+1,0),0)</f>
        <v>0</v>
      </c>
      <c r="AV182" s="59">
        <f>IFERROR(VLOOKUP($A182,[2]Mssp!$A$5:$BE$1463,AV$4+1,0),0)</f>
        <v>0</v>
      </c>
      <c r="AW182" s="59">
        <f>IFERROR(VLOOKUP($A182,[2]Mssp!$A$5:$BE$1463,AW$4+1,0),0)</f>
        <v>0</v>
      </c>
      <c r="AX182" s="59">
        <f>IFERROR(VLOOKUP($A182,[2]Mssp!$A$5:$BE$1463,AX$4+1,0),0)</f>
        <v>0</v>
      </c>
      <c r="AY182" s="59">
        <f>IFERROR(VLOOKUP($A182,[2]Mssp!$A$5:$BE$1463,AY$4+2,0),0)</f>
        <v>0</v>
      </c>
      <c r="AZ182" s="59">
        <f>IFERROR(VLOOKUP($A182,[2]Mssp!$A$5:$BE$1463,AZ$4+2,0),0)</f>
        <v>0</v>
      </c>
      <c r="BA182" s="60">
        <v>1500</v>
      </c>
      <c r="BB182" s="61" t="s">
        <v>119</v>
      </c>
      <c r="BC182" s="62"/>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row>
    <row r="183" spans="1:94" ht="75" x14ac:dyDescent="0.25">
      <c r="A183" s="50" t="s">
        <v>703</v>
      </c>
      <c r="B183" s="73" t="s">
        <v>704</v>
      </c>
      <c r="C183" s="50">
        <f t="shared" si="5"/>
        <v>0.1</v>
      </c>
      <c r="D183" s="58">
        <v>2</v>
      </c>
      <c r="E183" s="58" t="s">
        <v>484</v>
      </c>
      <c r="F183" s="58">
        <v>1</v>
      </c>
      <c r="G183" s="50" t="s">
        <v>114</v>
      </c>
      <c r="H183" s="50">
        <f>VLOOKUP($A183,'[1]ma sp 02'!$A$5:$BD$1101,H$1,0)</f>
        <v>0.1</v>
      </c>
      <c r="I183" s="50">
        <f>VLOOKUP($A183,'[1]ma sp 02'!$A$5:$BD$1101,I$1,0)</f>
        <v>0</v>
      </c>
      <c r="J183" s="50">
        <f>VLOOKUP($A183,'[1]ma sp 02'!$A$5:$BD$1101,J$1,0)</f>
        <v>0</v>
      </c>
      <c r="K183" s="50">
        <f>VLOOKUP($A183,'[1]ma sp 02'!$A$5:$BD$1101,K$1,0)</f>
        <v>0</v>
      </c>
      <c r="L183" s="50">
        <f>VLOOKUP($A183,'[1]ma sp 02'!$A$5:$BD$1101,L$1,0)</f>
        <v>0</v>
      </c>
      <c r="M183" s="50">
        <f>VLOOKUP($A183,'[1]ma sp 02'!$A$5:$BD$1101,M$1,0)</f>
        <v>0</v>
      </c>
      <c r="N183" s="50">
        <f>VLOOKUP($A183,'[1]ma sp 02'!$A$5:$BD$1101,N$1,0)</f>
        <v>0</v>
      </c>
      <c r="O183" s="50">
        <f>VLOOKUP($A183,'[1]ma sp 02'!$A$5:$BD$1101,O$1,0)</f>
        <v>0</v>
      </c>
      <c r="P183" s="50">
        <f>VLOOKUP($A183,'[1]ma sp 02'!$A$5:$BD$1101,P$1,0)</f>
        <v>0</v>
      </c>
      <c r="Q183" s="50">
        <f>VLOOKUP($A183,'[1]ma sp 02'!$A$5:$BD$1101,Q$1,0)</f>
        <v>0</v>
      </c>
      <c r="R183" s="50">
        <f>VLOOKUP($A183,'[1]ma sp 02'!$A$5:$BD$1101,R$1,0)</f>
        <v>0</v>
      </c>
      <c r="S183" s="50">
        <f>VLOOKUP($A183,'[1]ma sp 02'!$A$5:$BD$1101,S$1,0)</f>
        <v>0</v>
      </c>
      <c r="T183" s="50">
        <f>VLOOKUP($A183,'[1]ma sp 02'!$A$5:$BD$1101,T$1,0)</f>
        <v>0</v>
      </c>
      <c r="U183" s="50">
        <f>VLOOKUP($A183,'[1]ma sp 02'!$A$5:$BD$1101,U$1,0)</f>
        <v>0</v>
      </c>
      <c r="V183" s="50">
        <f>VLOOKUP($A183,'[1]ma sp 02'!$A$5:$BD$1101,V$1,0)</f>
        <v>0</v>
      </c>
      <c r="W183" s="50">
        <f>VLOOKUP($A183,'[1]ma sp 02'!$A$5:$BD$1101,W$1,0)</f>
        <v>0</v>
      </c>
      <c r="X183" s="50">
        <f t="shared" si="4"/>
        <v>1</v>
      </c>
      <c r="Y183" s="57"/>
      <c r="Z183" s="57"/>
      <c r="AA183" s="57"/>
      <c r="AB183" s="57"/>
      <c r="AC183" s="57"/>
      <c r="AD183" s="57"/>
      <c r="AE183" s="58" t="s">
        <v>485</v>
      </c>
      <c r="AF183" s="52" t="s">
        <v>486</v>
      </c>
      <c r="AG183" s="71">
        <f>(0.012*1.4+0.012*1.4+0.075*0.925)*0.76</f>
        <v>7.8261000000000011E-2</v>
      </c>
      <c r="AH183" s="63">
        <f>(2.3/0.75/2)*0.75</f>
        <v>1.1499999999999999</v>
      </c>
      <c r="AI183" s="63">
        <f>(3/0.75/2)*0.75</f>
        <v>1.5</v>
      </c>
      <c r="AJ183" s="58">
        <v>9530</v>
      </c>
      <c r="AK183" s="57"/>
      <c r="AL183" s="58" t="s">
        <v>117</v>
      </c>
      <c r="AM183" s="52" t="s">
        <v>60</v>
      </c>
      <c r="AN183" s="58">
        <v>420</v>
      </c>
      <c r="AO183" s="52" t="s">
        <v>118</v>
      </c>
      <c r="AP183" s="59">
        <f>IFERROR(VLOOKUP($A183,[2]Mssp!$A$5:$BE$1463,AP$4+1,0),0)</f>
        <v>0</v>
      </c>
      <c r="AQ183" s="59">
        <f>IFERROR(VLOOKUP($A183,[2]Mssp!$A$5:$BE$1463,AQ$4+1,0),0)</f>
        <v>0</v>
      </c>
      <c r="AR183" s="59">
        <f>IFERROR(VLOOKUP($A183,[2]Mssp!$A$5:$BE$1463,AR$4+1,0),0)</f>
        <v>0</v>
      </c>
      <c r="AS183" s="59">
        <f>IFERROR(VLOOKUP($A183,[2]Mssp!$A$5:$BE$1463,AS$4+1,0),0)</f>
        <v>0</v>
      </c>
      <c r="AT183" s="59">
        <f>IFERROR(VLOOKUP($A183,[2]Mssp!$A$5:$BE$1463,AT$4+1,0),0)</f>
        <v>0</v>
      </c>
      <c r="AU183" s="59">
        <f>IFERROR(VLOOKUP($A183,[2]Mssp!$A$5:$BE$1463,AU$4+1,0),0)</f>
        <v>0</v>
      </c>
      <c r="AV183" s="59">
        <f>IFERROR(VLOOKUP($A183,[2]Mssp!$A$5:$BE$1463,AV$4+1,0),0)</f>
        <v>0</v>
      </c>
      <c r="AW183" s="59">
        <f>IFERROR(VLOOKUP($A183,[2]Mssp!$A$5:$BE$1463,AW$4+1,0),0)</f>
        <v>0</v>
      </c>
      <c r="AX183" s="59">
        <f>IFERROR(VLOOKUP($A183,[2]Mssp!$A$5:$BE$1463,AX$4+1,0),0)</f>
        <v>0</v>
      </c>
      <c r="AY183" s="59">
        <f>IFERROR(VLOOKUP($A183,[2]Mssp!$A$5:$BE$1463,AY$4+2,0),0)</f>
        <v>0</v>
      </c>
      <c r="AZ183" s="59">
        <f>IFERROR(VLOOKUP($A183,[2]Mssp!$A$5:$BE$1463,AZ$4+2,0),0)</f>
        <v>0</v>
      </c>
      <c r="BA183" s="60">
        <v>1500</v>
      </c>
      <c r="BB183" s="61" t="s">
        <v>119</v>
      </c>
      <c r="BC183" s="62"/>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row>
    <row r="184" spans="1:94" ht="45" x14ac:dyDescent="0.25">
      <c r="A184" s="50" t="s">
        <v>705</v>
      </c>
      <c r="B184" s="73" t="s">
        <v>706</v>
      </c>
      <c r="C184" s="50">
        <f t="shared" si="5"/>
        <v>7.2</v>
      </c>
      <c r="D184" s="58">
        <v>4</v>
      </c>
      <c r="E184" s="58" t="s">
        <v>331</v>
      </c>
      <c r="F184" s="58">
        <v>5</v>
      </c>
      <c r="G184" s="50" t="s">
        <v>114</v>
      </c>
      <c r="H184" s="50">
        <f>VLOOKUP($A184,'[1]ma sp 02'!$A$5:$BD$1101,H$1,0)</f>
        <v>0.1</v>
      </c>
      <c r="I184" s="50">
        <f>VLOOKUP($A184,'[1]ma sp 02'!$A$5:$BD$1101,I$1,0)</f>
        <v>2.6</v>
      </c>
      <c r="J184" s="50">
        <f>VLOOKUP($A184,'[1]ma sp 02'!$A$5:$BD$1101,J$1,0)</f>
        <v>0.1</v>
      </c>
      <c r="K184" s="50">
        <f>VLOOKUP($A184,'[1]ma sp 02'!$A$5:$BD$1101,K$1,0)</f>
        <v>0.1</v>
      </c>
      <c r="L184" s="50">
        <f>VLOOKUP($A184,'[1]ma sp 02'!$A$5:$BD$1101,L$1,0)</f>
        <v>1.6</v>
      </c>
      <c r="M184" s="50">
        <f>VLOOKUP($A184,'[1]ma sp 02'!$A$5:$BD$1101,M$1,0)</f>
        <v>2.7</v>
      </c>
      <c r="N184" s="50">
        <f>VLOOKUP($A184,'[1]ma sp 02'!$A$5:$BD$1101,N$1,0)</f>
        <v>0</v>
      </c>
      <c r="O184" s="50">
        <f>VLOOKUP($A184,'[1]ma sp 02'!$A$5:$BD$1101,O$1,0)</f>
        <v>0</v>
      </c>
      <c r="P184" s="50">
        <f>VLOOKUP($A184,'[1]ma sp 02'!$A$5:$BD$1101,P$1,0)</f>
        <v>0</v>
      </c>
      <c r="Q184" s="50">
        <f>VLOOKUP($A184,'[1]ma sp 02'!$A$5:$BD$1101,Q$1,0)</f>
        <v>0</v>
      </c>
      <c r="R184" s="50">
        <f>VLOOKUP($A184,'[1]ma sp 02'!$A$5:$BD$1101,R$1,0)</f>
        <v>0</v>
      </c>
      <c r="S184" s="50">
        <f>VLOOKUP($A184,'[1]ma sp 02'!$A$5:$BD$1101,S$1,0)</f>
        <v>0</v>
      </c>
      <c r="T184" s="50">
        <f>VLOOKUP($A184,'[1]ma sp 02'!$A$5:$BD$1101,T$1,0)</f>
        <v>0</v>
      </c>
      <c r="U184" s="50">
        <f>VLOOKUP($A184,'[1]ma sp 02'!$A$5:$BD$1101,U$1,0)</f>
        <v>0</v>
      </c>
      <c r="V184" s="50">
        <f>VLOOKUP($A184,'[1]ma sp 02'!$A$5:$BD$1101,V$1,0)</f>
        <v>0</v>
      </c>
      <c r="W184" s="50">
        <f>VLOOKUP($A184,'[1]ma sp 02'!$A$5:$BD$1101,W$1,0)</f>
        <v>0</v>
      </c>
      <c r="X184" s="50">
        <f t="shared" si="4"/>
        <v>6</v>
      </c>
      <c r="Y184" s="57"/>
      <c r="Z184" s="57"/>
      <c r="AA184" s="57"/>
      <c r="AB184" s="57"/>
      <c r="AC184" s="57"/>
      <c r="AD184" s="57"/>
      <c r="AE184" s="58" t="s">
        <v>57</v>
      </c>
      <c r="AF184" s="58" t="s">
        <v>707</v>
      </c>
      <c r="AG184" s="71">
        <f>(0.012*1.4+0.012*1.4+0.07*0.925)*0.7</f>
        <v>6.8845000000000003E-2</v>
      </c>
      <c r="AH184" s="63">
        <f>(2.2/0.75/2)*0.69</f>
        <v>1.012</v>
      </c>
      <c r="AI184" s="63">
        <f>(0.004*0.69*10)/(21*0.321)*1000</f>
        <v>4.0943480195816635</v>
      </c>
      <c r="AJ184" s="58">
        <v>9530</v>
      </c>
      <c r="AK184" s="57" t="s">
        <v>521</v>
      </c>
      <c r="AL184" s="58" t="s">
        <v>708</v>
      </c>
      <c r="AM184" s="52" t="s">
        <v>104</v>
      </c>
      <c r="AN184" s="58">
        <v>160</v>
      </c>
      <c r="AO184" s="52" t="s">
        <v>709</v>
      </c>
      <c r="AP184" s="59" t="str">
        <f>IFERROR(VLOOKUP($A184,[2]Mssp!$A$5:$BE$1463,AP$4+1,0),0)</f>
        <v>1607595-1</v>
      </c>
      <c r="AQ184" s="59" t="str">
        <f>IFERROR(VLOOKUP($A184,[2]Mssp!$A$5:$BE$1463,AQ$4+1,0),0)</f>
        <v>1607595-2</v>
      </c>
      <c r="AR184" s="59" t="str">
        <f>IFERROR(VLOOKUP($A184,[2]Mssp!$A$5:$BE$1463,AR$4+1,0),0)</f>
        <v>1607595-3</v>
      </c>
      <c r="AS184" s="59" t="str">
        <f>IFERROR(VLOOKUP($A184,[2]Mssp!$A$5:$BE$1463,AS$4+1,0),0)</f>
        <v>1607595-4</v>
      </c>
      <c r="AT184" s="59" t="str">
        <f>IFERROR(VLOOKUP($A184,[2]Mssp!$A$5:$BE$1463,AT$4+1,0),0)</f>
        <v>1607595-5</v>
      </c>
      <c r="AU184" s="59">
        <f>IFERROR(VLOOKUP($A184,[2]Mssp!$A$5:$BE$1463,AU$4+1,0),0)</f>
        <v>0</v>
      </c>
      <c r="AV184" s="59">
        <f>IFERROR(VLOOKUP($A184,[2]Mssp!$A$5:$BE$1463,AV$4+1,0),0)</f>
        <v>0</v>
      </c>
      <c r="AW184" s="59">
        <f>IFERROR(VLOOKUP($A184,[2]Mssp!$A$5:$BE$1463,AW$4+1,0),0)</f>
        <v>0</v>
      </c>
      <c r="AX184" s="59">
        <f>IFERROR(VLOOKUP($A184,[2]Mssp!$A$5:$BE$1463,AX$4+1,0),0)</f>
        <v>0</v>
      </c>
      <c r="AY184" s="59" t="str">
        <f>IFERROR(VLOOKUP($A184,[2]Mssp!$A$5:$BE$1463,AY$4+2,0),0)</f>
        <v>500x750</v>
      </c>
      <c r="AZ184" s="59" t="str">
        <f>IFERROR(VLOOKUP($A184,[2]Mssp!$A$5:$BE$1463,AZ$4+2,0),0)</f>
        <v>O1</v>
      </c>
      <c r="BA184" s="60"/>
      <c r="BB184" s="61" t="s">
        <v>107</v>
      </c>
      <c r="BC184" s="62"/>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row>
    <row r="185" spans="1:94" ht="45" x14ac:dyDescent="0.25">
      <c r="A185" s="50" t="s">
        <v>710</v>
      </c>
      <c r="B185" s="73" t="s">
        <v>711</v>
      </c>
      <c r="C185" s="50">
        <f t="shared" si="5"/>
        <v>1.7</v>
      </c>
      <c r="D185" s="58">
        <v>2</v>
      </c>
      <c r="E185" s="58" t="s">
        <v>712</v>
      </c>
      <c r="F185" s="58">
        <v>2</v>
      </c>
      <c r="G185" s="50" t="s">
        <v>56</v>
      </c>
      <c r="H185" s="50">
        <f>VLOOKUP($A185,'[1]ma sp 02'!$A$5:$BD$1101,H$1,0)</f>
        <v>0</v>
      </c>
      <c r="I185" s="50">
        <f>VLOOKUP($A185,'[1]ma sp 02'!$A$5:$BD$1101,I$1,0)</f>
        <v>0</v>
      </c>
      <c r="J185" s="50">
        <f>VLOOKUP($A185,'[1]ma sp 02'!$A$5:$BD$1101,J$1,0)</f>
        <v>0</v>
      </c>
      <c r="K185" s="50">
        <f>VLOOKUP($A185,'[1]ma sp 02'!$A$5:$BD$1101,K$1,0)</f>
        <v>0</v>
      </c>
      <c r="L185" s="50">
        <f>VLOOKUP($A185,'[1]ma sp 02'!$A$5:$BD$1101,L$1,0)</f>
        <v>0</v>
      </c>
      <c r="M185" s="50">
        <f>VLOOKUP($A185,'[1]ma sp 02'!$A$5:$BD$1101,M$1,0)</f>
        <v>0</v>
      </c>
      <c r="N185" s="50">
        <f>VLOOKUP($A185,'[1]ma sp 02'!$A$5:$BD$1101,N$1,0)</f>
        <v>0</v>
      </c>
      <c r="O185" s="50">
        <f>VLOOKUP($A185,'[1]ma sp 02'!$A$5:$BD$1101,O$1,0)</f>
        <v>0</v>
      </c>
      <c r="P185" s="50">
        <f>VLOOKUP($A185,'[1]ma sp 02'!$A$5:$BD$1101,P$1,0)</f>
        <v>0</v>
      </c>
      <c r="Q185" s="50">
        <f>VLOOKUP($A185,'[1]ma sp 02'!$A$5:$BD$1101,Q$1,0)</f>
        <v>0</v>
      </c>
      <c r="R185" s="50">
        <f>VLOOKUP($A185,'[1]ma sp 02'!$A$5:$BD$1101,R$1,0)</f>
        <v>0</v>
      </c>
      <c r="S185" s="50">
        <f>VLOOKUP($A185,'[1]ma sp 02'!$A$5:$BD$1101,S$1,0)</f>
        <v>0.7</v>
      </c>
      <c r="T185" s="50">
        <f>VLOOKUP($A185,'[1]ma sp 02'!$A$5:$BD$1101,T$1,0)</f>
        <v>1</v>
      </c>
      <c r="U185" s="50">
        <f>VLOOKUP($A185,'[1]ma sp 02'!$A$5:$BD$1101,U$1,0)</f>
        <v>0</v>
      </c>
      <c r="V185" s="50">
        <f>VLOOKUP($A185,'[1]ma sp 02'!$A$5:$BD$1101,V$1,0)</f>
        <v>0</v>
      </c>
      <c r="W185" s="50">
        <f>VLOOKUP($A185,'[1]ma sp 02'!$A$5:$BD$1101,W$1,0)</f>
        <v>0</v>
      </c>
      <c r="X185" s="50">
        <f t="shared" si="4"/>
        <v>2</v>
      </c>
      <c r="Y185" s="57"/>
      <c r="Z185" s="57"/>
      <c r="AA185" s="57"/>
      <c r="AB185" s="57"/>
      <c r="AC185" s="57"/>
      <c r="AD185" s="57"/>
      <c r="AE185" s="58" t="s">
        <v>713</v>
      </c>
      <c r="AF185" s="57"/>
      <c r="AG185" s="71">
        <f>(0.02*0.91+0.05*0.925)*0.58</f>
        <v>3.7381000000000005E-2</v>
      </c>
      <c r="AH185" s="63">
        <f>(2.3/0.75/2)*0.57</f>
        <v>0.87399999999999989</v>
      </c>
      <c r="AI185" s="57"/>
      <c r="AJ185" s="58">
        <v>9530</v>
      </c>
      <c r="AK185" s="57"/>
      <c r="AL185" s="58">
        <v>2.3E-3</v>
      </c>
      <c r="AM185" s="52" t="s">
        <v>60</v>
      </c>
      <c r="AN185" s="58">
        <v>150</v>
      </c>
      <c r="AO185" s="52" t="s">
        <v>714</v>
      </c>
      <c r="AP185" s="59" t="str">
        <f>IFERROR(VLOOKUP($A185,[2]Mssp!$A$5:$BE$1463,AP$4+1,0),0)</f>
        <v>1601320-1</v>
      </c>
      <c r="AQ185" s="59" t="str">
        <f>IFERROR(VLOOKUP($A185,[2]Mssp!$A$5:$BE$1463,AQ$4+1,0),0)</f>
        <v>1601320-2</v>
      </c>
      <c r="AR185" s="59">
        <f>IFERROR(VLOOKUP($A185,[2]Mssp!$A$5:$BE$1463,AR$4+1,0),0)</f>
        <v>0</v>
      </c>
      <c r="AS185" s="59">
        <f>IFERROR(VLOOKUP($A185,[2]Mssp!$A$5:$BE$1463,AS$4+1,0),0)</f>
        <v>0</v>
      </c>
      <c r="AT185" s="59">
        <f>IFERROR(VLOOKUP($A185,[2]Mssp!$A$5:$BE$1463,AT$4+1,0),0)</f>
        <v>0</v>
      </c>
      <c r="AU185" s="59">
        <f>IFERROR(VLOOKUP($A185,[2]Mssp!$A$5:$BE$1463,AU$4+1,0),0)</f>
        <v>0</v>
      </c>
      <c r="AV185" s="59">
        <f>IFERROR(VLOOKUP($A185,[2]Mssp!$A$5:$BE$1463,AV$4+1,0),0)</f>
        <v>0</v>
      </c>
      <c r="AW185" s="59">
        <f>IFERROR(VLOOKUP($A185,[2]Mssp!$A$5:$BE$1463,AW$4+1,0),0)</f>
        <v>0</v>
      </c>
      <c r="AX185" s="59">
        <f>IFERROR(VLOOKUP($A185,[2]Mssp!$A$5:$BE$1463,AX$4+1,0),0)</f>
        <v>0</v>
      </c>
      <c r="AY185" s="59" t="str">
        <f>IFERROR(VLOOKUP($A185,[2]Mssp!$A$5:$BE$1463,AY$4+2,0),0)</f>
        <v>450x750</v>
      </c>
      <c r="AZ185" s="59" t="str">
        <f>IFERROR(VLOOKUP($A185,[2]Mssp!$A$5:$BE$1463,AZ$4+2,0),0)</f>
        <v>O1</v>
      </c>
      <c r="BA185" s="60">
        <v>6500</v>
      </c>
      <c r="BB185" s="61" t="s">
        <v>62</v>
      </c>
      <c r="BC185" s="62"/>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row>
    <row r="186" spans="1:94" ht="45" x14ac:dyDescent="0.25">
      <c r="A186" s="50" t="s">
        <v>715</v>
      </c>
      <c r="B186" s="73" t="s">
        <v>716</v>
      </c>
      <c r="C186" s="50">
        <f t="shared" si="5"/>
        <v>4.05</v>
      </c>
      <c r="D186" s="58">
        <v>3</v>
      </c>
      <c r="E186" s="58" t="s">
        <v>131</v>
      </c>
      <c r="F186" s="58">
        <v>7</v>
      </c>
      <c r="G186" s="50" t="s">
        <v>114</v>
      </c>
      <c r="H186" s="50">
        <f>VLOOKUP($A186,'[1]ma sp 02'!$A$5:$BD$1101,H$1,0)</f>
        <v>0.14000000000000001</v>
      </c>
      <c r="I186" s="50">
        <f>VLOOKUP($A186,'[1]ma sp 02'!$A$5:$BD$1101,I$1,0)</f>
        <v>1.84</v>
      </c>
      <c r="J186" s="50">
        <f>VLOOKUP($A186,'[1]ma sp 02'!$A$5:$BD$1101,J$1,0)</f>
        <v>0.09</v>
      </c>
      <c r="K186" s="50">
        <f>VLOOKUP($A186,'[1]ma sp 02'!$A$5:$BD$1101,K$1,0)</f>
        <v>0.09</v>
      </c>
      <c r="L186" s="50">
        <f>VLOOKUP($A186,'[1]ma sp 02'!$A$5:$BD$1101,L$1,0)</f>
        <v>0.19</v>
      </c>
      <c r="M186" s="50">
        <f>VLOOKUP($A186,'[1]ma sp 02'!$A$5:$BD$1101,M$1,0)</f>
        <v>1.4</v>
      </c>
      <c r="N186" s="50">
        <f>VLOOKUP($A186,'[1]ma sp 02'!$A$5:$BD$1101,N$1,0)</f>
        <v>0</v>
      </c>
      <c r="O186" s="50">
        <f>VLOOKUP($A186,'[1]ma sp 02'!$A$5:$BD$1101,O$1,0)</f>
        <v>0</v>
      </c>
      <c r="P186" s="50">
        <f>VLOOKUP($A186,'[1]ma sp 02'!$A$5:$BD$1101,P$1,0)</f>
        <v>0.14000000000000001</v>
      </c>
      <c r="Q186" s="50">
        <f>VLOOKUP($A186,'[1]ma sp 02'!$A$5:$BD$1101,Q$1,0)</f>
        <v>0</v>
      </c>
      <c r="R186" s="50">
        <f>VLOOKUP($A186,'[1]ma sp 02'!$A$5:$BD$1101,R$1,0)</f>
        <v>0.16</v>
      </c>
      <c r="S186" s="50">
        <f>VLOOKUP($A186,'[1]ma sp 02'!$A$5:$BD$1101,S$1,0)</f>
        <v>0</v>
      </c>
      <c r="T186" s="50">
        <f>VLOOKUP($A186,'[1]ma sp 02'!$A$5:$BD$1101,T$1,0)</f>
        <v>0</v>
      </c>
      <c r="U186" s="50">
        <f>VLOOKUP($A186,'[1]ma sp 02'!$A$5:$BD$1101,U$1,0)</f>
        <v>0</v>
      </c>
      <c r="V186" s="50">
        <f>VLOOKUP($A186,'[1]ma sp 02'!$A$5:$BD$1101,V$1,0)</f>
        <v>0</v>
      </c>
      <c r="W186" s="50">
        <f>VLOOKUP($A186,'[1]ma sp 02'!$A$5:$BD$1101,W$1,0)</f>
        <v>0</v>
      </c>
      <c r="X186" s="50">
        <f t="shared" si="4"/>
        <v>8</v>
      </c>
      <c r="Y186" s="57"/>
      <c r="Z186" s="57"/>
      <c r="AA186" s="57"/>
      <c r="AB186" s="57"/>
      <c r="AC186" s="57"/>
      <c r="AD186" s="57"/>
      <c r="AE186" s="58" t="s">
        <v>219</v>
      </c>
      <c r="AF186" s="58" t="s">
        <v>717</v>
      </c>
      <c r="AG186" s="71">
        <f>(0.012*1.4+0.075*0.925+0.006*2.71)*0.62</f>
        <v>6.3509700000000002E-2</v>
      </c>
      <c r="AH186" s="63">
        <f>(2.3/0.75/2)*0.61</f>
        <v>0.93533333333333324</v>
      </c>
      <c r="AI186" s="63">
        <f>(3/0.75/2)*0.61</f>
        <v>1.22</v>
      </c>
      <c r="AJ186" s="58">
        <v>9530</v>
      </c>
      <c r="AK186" s="58">
        <v>9530</v>
      </c>
      <c r="AL186" s="58" t="s">
        <v>354</v>
      </c>
      <c r="AM186" s="52" t="s">
        <v>611</v>
      </c>
      <c r="AN186" s="57">
        <v>200</v>
      </c>
      <c r="AO186" s="52" t="s">
        <v>612</v>
      </c>
      <c r="AP186" s="59" t="str">
        <f>IFERROR(VLOOKUP($A186,[2]Mssp!$A$5:$BE$1463,AP$4+1,0),0)</f>
        <v>F114908G3-1</v>
      </c>
      <c r="AQ186" s="59" t="str">
        <f>IFERROR(VLOOKUP($A186,[2]Mssp!$A$5:$BE$1463,AQ$4+1,0),0)</f>
        <v>F114908-2</v>
      </c>
      <c r="AR186" s="59" t="str">
        <f>IFERROR(VLOOKUP($A186,[2]Mssp!$A$5:$BE$1463,AR$4+1,0),0)</f>
        <v>F114908-3</v>
      </c>
      <c r="AS186" s="59" t="str">
        <f>IFERROR(VLOOKUP($A186,[2]Mssp!$A$5:$BE$1463,AS$4+1,0),0)</f>
        <v>F114908-4</v>
      </c>
      <c r="AT186" s="59" t="str">
        <f>IFERROR(VLOOKUP($A186,[2]Mssp!$A$5:$BE$1463,AT$4+1,0),0)</f>
        <v>F114908-5</v>
      </c>
      <c r="AU186" s="59" t="str">
        <f>IFERROR(VLOOKUP($A186,[2]Mssp!$A$5:$BE$1463,AU$4+1,0),0)</f>
        <v>F114908-6</v>
      </c>
      <c r="AV186" s="59" t="str">
        <f>IFERROR(VLOOKUP($A186,[2]Mssp!$A$5:$BE$1463,AV$4+1,0),0)</f>
        <v>F114908-7</v>
      </c>
      <c r="AW186" s="59">
        <f>IFERROR(VLOOKUP($A186,[2]Mssp!$A$5:$BE$1463,AW$4+1,0),0)</f>
        <v>0</v>
      </c>
      <c r="AX186" s="59">
        <f>IFERROR(VLOOKUP($A186,[2]Mssp!$A$5:$BE$1463,AX$4+1,0),0)</f>
        <v>0</v>
      </c>
      <c r="AY186" s="59" t="str">
        <f>IFERROR(VLOOKUP($A186,[2]Mssp!$A$5:$BE$1463,AY$4+2,0),0)</f>
        <v>450x750</v>
      </c>
      <c r="AZ186" s="59" t="str">
        <f>IFERROR(VLOOKUP($A186,[2]Mssp!$A$5:$BE$1463,AZ$4+2,0),0)</f>
        <v>D1</v>
      </c>
      <c r="BA186" s="60" t="s">
        <v>106</v>
      </c>
      <c r="BB186" s="61" t="s">
        <v>107</v>
      </c>
      <c r="BC186" s="62"/>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row>
    <row r="187" spans="1:94" ht="45" x14ac:dyDescent="0.25">
      <c r="A187" s="50" t="s">
        <v>718</v>
      </c>
      <c r="B187" s="73" t="s">
        <v>719</v>
      </c>
      <c r="C187" s="50">
        <f t="shared" si="5"/>
        <v>2.9699999999999993</v>
      </c>
      <c r="D187" s="58">
        <v>3</v>
      </c>
      <c r="E187" s="58" t="s">
        <v>131</v>
      </c>
      <c r="F187" s="58">
        <v>7</v>
      </c>
      <c r="G187" s="50" t="s">
        <v>114</v>
      </c>
      <c r="H187" s="50">
        <f>VLOOKUP($A187,'[1]ma sp 02'!$A$5:$BD$1101,H$1,0)</f>
        <v>0.1</v>
      </c>
      <c r="I187" s="50">
        <f>VLOOKUP($A187,'[1]ma sp 02'!$A$5:$BD$1101,I$1,0)</f>
        <v>2.0099999999999998</v>
      </c>
      <c r="J187" s="50">
        <f>VLOOKUP($A187,'[1]ma sp 02'!$A$5:$BD$1101,J$1,0)</f>
        <v>0.3</v>
      </c>
      <c r="K187" s="50">
        <f>VLOOKUP($A187,'[1]ma sp 02'!$A$5:$BD$1101,K$1,0)</f>
        <v>0.1</v>
      </c>
      <c r="L187" s="50">
        <f>VLOOKUP($A187,'[1]ma sp 02'!$A$5:$BD$1101,L$1,0)</f>
        <v>0.23</v>
      </c>
      <c r="M187" s="50">
        <f>VLOOKUP($A187,'[1]ma sp 02'!$A$5:$BD$1101,M$1,0)</f>
        <v>0.03</v>
      </c>
      <c r="N187" s="50">
        <f>VLOOKUP($A187,'[1]ma sp 02'!$A$5:$BD$1101,N$1,0)</f>
        <v>0</v>
      </c>
      <c r="O187" s="50">
        <f>VLOOKUP($A187,'[1]ma sp 02'!$A$5:$BD$1101,O$1,0)</f>
        <v>0</v>
      </c>
      <c r="P187" s="50">
        <f>VLOOKUP($A187,'[1]ma sp 02'!$A$5:$BD$1101,P$1,0)</f>
        <v>0.01</v>
      </c>
      <c r="Q187" s="50">
        <f>VLOOKUP($A187,'[1]ma sp 02'!$A$5:$BD$1101,Q$1,0)</f>
        <v>0</v>
      </c>
      <c r="R187" s="50">
        <f>VLOOKUP($A187,'[1]ma sp 02'!$A$5:$BD$1101,R$1,0)</f>
        <v>0.19</v>
      </c>
      <c r="S187" s="50">
        <f>VLOOKUP($A187,'[1]ma sp 02'!$A$5:$BD$1101,S$1,0)</f>
        <v>0</v>
      </c>
      <c r="T187" s="50">
        <f>VLOOKUP($A187,'[1]ma sp 02'!$A$5:$BD$1101,T$1,0)</f>
        <v>0</v>
      </c>
      <c r="U187" s="50">
        <f>VLOOKUP($A187,'[1]ma sp 02'!$A$5:$BD$1101,U$1,0)</f>
        <v>0</v>
      </c>
      <c r="V187" s="50">
        <f>VLOOKUP($A187,'[1]ma sp 02'!$A$5:$BD$1101,V$1,0)</f>
        <v>0</v>
      </c>
      <c r="W187" s="50">
        <f>VLOOKUP($A187,'[1]ma sp 02'!$A$5:$BD$1101,W$1,0)</f>
        <v>0</v>
      </c>
      <c r="X187" s="50">
        <f t="shared" si="4"/>
        <v>8</v>
      </c>
      <c r="Y187" s="57"/>
      <c r="Z187" s="57"/>
      <c r="AA187" s="57"/>
      <c r="AB187" s="57"/>
      <c r="AC187" s="57"/>
      <c r="AD187" s="57"/>
      <c r="AE187" s="58" t="s">
        <v>219</v>
      </c>
      <c r="AF187" s="58" t="s">
        <v>717</v>
      </c>
      <c r="AG187" s="71">
        <f>(0.012*1.4+0.075*0.925+0.006*2.71)*0.62</f>
        <v>6.3509700000000002E-2</v>
      </c>
      <c r="AH187" s="63">
        <f>(2.3/0.75/2)*0.61</f>
        <v>0.93533333333333324</v>
      </c>
      <c r="AI187" s="63">
        <f>(3/0.75/2)*0.61</f>
        <v>1.22</v>
      </c>
      <c r="AJ187" s="58">
        <v>9530</v>
      </c>
      <c r="AK187" s="58">
        <v>9530</v>
      </c>
      <c r="AL187" s="58" t="s">
        <v>354</v>
      </c>
      <c r="AM187" s="52" t="s">
        <v>611</v>
      </c>
      <c r="AN187" s="57">
        <v>200</v>
      </c>
      <c r="AO187" s="52" t="s">
        <v>612</v>
      </c>
      <c r="AP187" s="59" t="str">
        <f>IFERROR(VLOOKUP($A187,[2]Mssp!$A$5:$BE$1463,AP$4+1,0),0)</f>
        <v>F114911-1</v>
      </c>
      <c r="AQ187" s="59" t="str">
        <f>IFERROR(VLOOKUP($A187,[2]Mssp!$A$5:$BE$1463,AQ$4+1,0),0)</f>
        <v>F114911-2</v>
      </c>
      <c r="AR187" s="59" t="str">
        <f>IFERROR(VLOOKUP($A187,[2]Mssp!$A$5:$BE$1463,AR$4+1,0),0)</f>
        <v>F114908-3</v>
      </c>
      <c r="AS187" s="59" t="str">
        <f>IFERROR(VLOOKUP($A187,[2]Mssp!$A$5:$BE$1463,AS$4+1,0),0)</f>
        <v>F114908-4</v>
      </c>
      <c r="AT187" s="59" t="str">
        <f>IFERROR(VLOOKUP($A187,[2]Mssp!$A$5:$BE$1463,AT$4+1,0),0)</f>
        <v>F114908-5</v>
      </c>
      <c r="AU187" s="59" t="str">
        <f>IFERROR(VLOOKUP($A187,[2]Mssp!$A$5:$BE$1463,AU$4+1,0),0)</f>
        <v>F114908-6</v>
      </c>
      <c r="AV187" s="59" t="str">
        <f>IFERROR(VLOOKUP($A187,[2]Mssp!$A$5:$BE$1463,AV$4+1,0),0)</f>
        <v>F114908-7</v>
      </c>
      <c r="AW187" s="59">
        <f>IFERROR(VLOOKUP($A187,[2]Mssp!$A$5:$BE$1463,AW$4+1,0),0)</f>
        <v>0</v>
      </c>
      <c r="AX187" s="59">
        <f>IFERROR(VLOOKUP($A187,[2]Mssp!$A$5:$BE$1463,AX$4+1,0),0)</f>
        <v>0</v>
      </c>
      <c r="AY187" s="59" t="str">
        <f>IFERROR(VLOOKUP($A187,[2]Mssp!$A$5:$BE$1463,AY$4+2,0),0)</f>
        <v>450x750</v>
      </c>
      <c r="AZ187" s="59" t="str">
        <f>IFERROR(VLOOKUP($A187,[2]Mssp!$A$5:$BE$1463,AZ$4+2,0),0)</f>
        <v>D1</v>
      </c>
      <c r="BA187" s="60" t="s">
        <v>106</v>
      </c>
      <c r="BB187" s="61" t="s">
        <v>107</v>
      </c>
      <c r="BC187" s="62"/>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c r="CP187" s="9"/>
    </row>
    <row r="188" spans="1:94" ht="45" x14ac:dyDescent="0.25">
      <c r="A188" s="50" t="s">
        <v>720</v>
      </c>
      <c r="B188" s="73" t="s">
        <v>721</v>
      </c>
      <c r="C188" s="50">
        <f t="shared" si="5"/>
        <v>7.1999999999999993</v>
      </c>
      <c r="D188" s="58">
        <v>2</v>
      </c>
      <c r="E188" s="58" t="s">
        <v>722</v>
      </c>
      <c r="F188" s="58">
        <v>8</v>
      </c>
      <c r="G188" s="50" t="s">
        <v>114</v>
      </c>
      <c r="H188" s="50">
        <f>VLOOKUP($A188,'[1]ma sp 02'!$A$5:$BD$1101,H$1,0)</f>
        <v>0.1</v>
      </c>
      <c r="I188" s="50">
        <f>VLOOKUP($A188,'[1]ma sp 02'!$A$5:$BD$1101,I$1,0)</f>
        <v>0.8</v>
      </c>
      <c r="J188" s="50">
        <f>VLOOKUP($A188,'[1]ma sp 02'!$A$5:$BD$1101,J$1,0)</f>
        <v>0.7</v>
      </c>
      <c r="K188" s="50">
        <f>VLOOKUP($A188,'[1]ma sp 02'!$A$5:$BD$1101,K$1,0)</f>
        <v>0.1</v>
      </c>
      <c r="L188" s="50">
        <f>VLOOKUP($A188,'[1]ma sp 02'!$A$5:$BD$1101,L$1,0)</f>
        <v>4.3</v>
      </c>
      <c r="M188" s="50">
        <f>VLOOKUP($A188,'[1]ma sp 02'!$A$5:$BD$1101,M$1,0)</f>
        <v>0</v>
      </c>
      <c r="N188" s="50">
        <f>VLOOKUP($A188,'[1]ma sp 02'!$A$5:$BD$1101,N$1,0)</f>
        <v>0</v>
      </c>
      <c r="O188" s="50">
        <f>VLOOKUP($A188,'[1]ma sp 02'!$A$5:$BD$1101,O$1,0)</f>
        <v>0</v>
      </c>
      <c r="P188" s="50">
        <f>VLOOKUP($A188,'[1]ma sp 02'!$A$5:$BD$1101,P$1,0)</f>
        <v>1.1000000000000001</v>
      </c>
      <c r="Q188" s="50">
        <f>VLOOKUP($A188,'[1]ma sp 02'!$A$5:$BD$1101,Q$1,0)</f>
        <v>0</v>
      </c>
      <c r="R188" s="50">
        <f>VLOOKUP($A188,'[1]ma sp 02'!$A$5:$BD$1101,R$1,0)</f>
        <v>0.1</v>
      </c>
      <c r="S188" s="50">
        <f>VLOOKUP($A188,'[1]ma sp 02'!$A$5:$BD$1101,S$1,0)</f>
        <v>0</v>
      </c>
      <c r="T188" s="50">
        <f>VLOOKUP($A188,'[1]ma sp 02'!$A$5:$BD$1101,T$1,0)</f>
        <v>0</v>
      </c>
      <c r="U188" s="50">
        <f>VLOOKUP($A188,'[1]ma sp 02'!$A$5:$BD$1101,U$1,0)</f>
        <v>0</v>
      </c>
      <c r="V188" s="50">
        <f>VLOOKUP($A188,'[1]ma sp 02'!$A$5:$BD$1101,V$1,0)</f>
        <v>0</v>
      </c>
      <c r="W188" s="50">
        <f>VLOOKUP($A188,'[1]ma sp 02'!$A$5:$BD$1101,W$1,0)</f>
        <v>0</v>
      </c>
      <c r="X188" s="50">
        <f t="shared" si="4"/>
        <v>7</v>
      </c>
      <c r="Y188" s="57"/>
      <c r="Z188" s="57"/>
      <c r="AA188" s="57"/>
      <c r="AB188" s="57"/>
      <c r="AC188" s="57"/>
      <c r="AD188" s="57"/>
      <c r="AE188" s="58" t="s">
        <v>723</v>
      </c>
      <c r="AF188" s="58" t="s">
        <v>724</v>
      </c>
      <c r="AG188" s="71">
        <f>(0.012*1.4+0.075*0.925+0.006*2.71)*0.56</f>
        <v>5.7363600000000008E-2</v>
      </c>
      <c r="AH188" s="63">
        <f>(2.3/0.75/2)*0.55</f>
        <v>0.84333333333333338</v>
      </c>
      <c r="AI188" s="63">
        <f>(3/0.75/2)*0.55</f>
        <v>1.1000000000000001</v>
      </c>
      <c r="AJ188" s="58">
        <v>9530</v>
      </c>
      <c r="AK188" s="58">
        <v>9530</v>
      </c>
      <c r="AL188" s="58" t="s">
        <v>354</v>
      </c>
      <c r="AM188" s="52" t="s">
        <v>611</v>
      </c>
      <c r="AN188" s="57">
        <v>270</v>
      </c>
      <c r="AO188" s="52" t="s">
        <v>612</v>
      </c>
      <c r="AP188" s="59" t="str">
        <f>IFERROR(VLOOKUP($A188,[2]Mssp!$A$5:$BE$1463,AP$4+1,0),0)</f>
        <v>F114912-1</v>
      </c>
      <c r="AQ188" s="59" t="str">
        <f>IFERROR(VLOOKUP($A188,[2]Mssp!$A$5:$BE$1463,AQ$4+1,0),0)</f>
        <v>F114912-2</v>
      </c>
      <c r="AR188" s="59" t="str">
        <f>IFERROR(VLOOKUP($A188,[2]Mssp!$A$5:$BE$1463,AR$4+1,0),0)</f>
        <v>F114912-3</v>
      </c>
      <c r="AS188" s="59" t="str">
        <f>IFERROR(VLOOKUP($A188,[2]Mssp!$A$5:$BE$1463,AS$4+1,0),0)</f>
        <v>F114912-4</v>
      </c>
      <c r="AT188" s="59" t="str">
        <f>IFERROR(VLOOKUP($A188,[2]Mssp!$A$5:$BE$1463,AT$4+1,0),0)</f>
        <v>F114912-5</v>
      </c>
      <c r="AU188" s="59" t="str">
        <f>IFERROR(VLOOKUP($A188,[2]Mssp!$A$5:$BE$1463,AU$4+1,0),0)</f>
        <v>F114912-6</v>
      </c>
      <c r="AV188" s="59" t="str">
        <f>IFERROR(VLOOKUP($A188,[2]Mssp!$A$5:$BE$1463,AV$4+1,0),0)</f>
        <v>F114912-7</v>
      </c>
      <c r="AW188" s="59" t="str">
        <f>IFERROR(VLOOKUP($A188,[2]Mssp!$A$5:$BE$1463,AW$4+1,0),0)</f>
        <v>F114912-8</v>
      </c>
      <c r="AX188" s="59">
        <f>IFERROR(VLOOKUP($A188,[2]Mssp!$A$5:$BE$1463,AX$4+1,0),0)</f>
        <v>0</v>
      </c>
      <c r="AY188" s="59" t="str">
        <f>IFERROR(VLOOKUP($A188,[2]Mssp!$A$5:$BE$1463,AY$4+2,0),0)</f>
        <v>450x750</v>
      </c>
      <c r="AZ188" s="59" t="str">
        <f>IFERROR(VLOOKUP($A188,[2]Mssp!$A$5:$BE$1463,AZ$4+2,0),0)</f>
        <v>D1</v>
      </c>
      <c r="BA188" s="60" t="s">
        <v>106</v>
      </c>
      <c r="BB188" s="61" t="s">
        <v>107</v>
      </c>
      <c r="BC188" s="62"/>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c r="CP188" s="9"/>
    </row>
    <row r="189" spans="1:94" ht="75" x14ac:dyDescent="0.25">
      <c r="A189" s="50" t="s">
        <v>725</v>
      </c>
      <c r="B189" s="73" t="s">
        <v>726</v>
      </c>
      <c r="C189" s="50">
        <f t="shared" si="5"/>
        <v>8.0299999999999994</v>
      </c>
      <c r="D189" s="58">
        <v>2</v>
      </c>
      <c r="E189" s="58" t="s">
        <v>649</v>
      </c>
      <c r="F189" s="58">
        <v>7</v>
      </c>
      <c r="G189" s="50" t="s">
        <v>56</v>
      </c>
      <c r="H189" s="50">
        <f>VLOOKUP($A189,'[1]ma sp 02'!$A$5:$BD$1101,H$1,0)</f>
        <v>0.27</v>
      </c>
      <c r="I189" s="50">
        <f>VLOOKUP($A189,'[1]ma sp 02'!$A$5:$BD$1101,I$1,0)</f>
        <v>3.94</v>
      </c>
      <c r="J189" s="50">
        <f>VLOOKUP($A189,'[1]ma sp 02'!$A$5:$BD$1101,J$1,0)</f>
        <v>0.61</v>
      </c>
      <c r="K189" s="50">
        <f>VLOOKUP($A189,'[1]ma sp 02'!$A$5:$BD$1101,K$1,0)</f>
        <v>0.01</v>
      </c>
      <c r="L189" s="50">
        <f>VLOOKUP($A189,'[1]ma sp 02'!$A$5:$BD$1101,L$1,0)</f>
        <v>1.9</v>
      </c>
      <c r="M189" s="50">
        <f>VLOOKUP($A189,'[1]ma sp 02'!$A$5:$BD$1101,M$1,0)</f>
        <v>0.67</v>
      </c>
      <c r="N189" s="50">
        <f>VLOOKUP($A189,'[1]ma sp 02'!$A$5:$BD$1101,N$1,0)</f>
        <v>0.09</v>
      </c>
      <c r="O189" s="50">
        <f>VLOOKUP($A189,'[1]ma sp 02'!$A$5:$BD$1101,O$1,0)</f>
        <v>0.25</v>
      </c>
      <c r="P189" s="50">
        <f>VLOOKUP($A189,'[1]ma sp 02'!$A$5:$BD$1101,P$1,0)</f>
        <v>0.06</v>
      </c>
      <c r="Q189" s="50">
        <f>VLOOKUP($A189,'[1]ma sp 02'!$A$5:$BD$1101,Q$1,0)</f>
        <v>0.22</v>
      </c>
      <c r="R189" s="50">
        <f>VLOOKUP($A189,'[1]ma sp 02'!$A$5:$BD$1101,R$1,0)</f>
        <v>0</v>
      </c>
      <c r="S189" s="50">
        <f>VLOOKUP($A189,'[1]ma sp 02'!$A$5:$BD$1101,S$1,0)</f>
        <v>0.01</v>
      </c>
      <c r="T189" s="50">
        <f>VLOOKUP($A189,'[1]ma sp 02'!$A$5:$BD$1101,T$1,0)</f>
        <v>0</v>
      </c>
      <c r="U189" s="50">
        <f>VLOOKUP($A189,'[1]ma sp 02'!$A$5:$BD$1101,U$1,0)</f>
        <v>0</v>
      </c>
      <c r="V189" s="50">
        <f>VLOOKUP($A189,'[1]ma sp 02'!$A$5:$BD$1101,V$1,0)</f>
        <v>0</v>
      </c>
      <c r="W189" s="50">
        <f>VLOOKUP($A189,'[1]ma sp 02'!$A$5:$BD$1101,W$1,0)</f>
        <v>0</v>
      </c>
      <c r="X189" s="50">
        <f t="shared" si="4"/>
        <v>11</v>
      </c>
      <c r="Y189" s="57"/>
      <c r="Z189" s="57"/>
      <c r="AA189" s="57"/>
      <c r="AB189" s="57"/>
      <c r="AC189" s="57"/>
      <c r="AD189" s="57"/>
      <c r="AE189" s="58" t="s">
        <v>485</v>
      </c>
      <c r="AF189" s="58" t="s">
        <v>650</v>
      </c>
      <c r="AG189" s="71">
        <f>(0.02*0.91+0.012*1.4+0.065*0.925)*0.76</f>
        <v>7.2295000000000012E-2</v>
      </c>
      <c r="AH189" s="63">
        <f>(2.5/0.75/2)*0.75</f>
        <v>1.25</v>
      </c>
      <c r="AI189" s="63">
        <f>(3/0.75/2)*0.75</f>
        <v>1.5</v>
      </c>
      <c r="AJ189" s="58">
        <v>9530</v>
      </c>
      <c r="AK189" s="58">
        <v>9530</v>
      </c>
      <c r="AL189" s="58" t="s">
        <v>117</v>
      </c>
      <c r="AM189" s="52" t="s">
        <v>60</v>
      </c>
      <c r="AN189" s="57">
        <v>420</v>
      </c>
      <c r="AO189" s="52" t="s">
        <v>118</v>
      </c>
      <c r="AP189" s="59" t="str">
        <f>IFERROR(VLOOKUP($A189,[2]Mssp!$A$5:$BE$1463,AP$4+1,0),0)</f>
        <v>1801664-1</v>
      </c>
      <c r="AQ189" s="59" t="str">
        <f>IFERROR(VLOOKUP($A189,[2]Mssp!$A$5:$BE$1463,AQ$4+1,0),0)</f>
        <v>1801664-2</v>
      </c>
      <c r="AR189" s="59" t="str">
        <f>IFERROR(VLOOKUP($A189,[2]Mssp!$A$5:$BE$1463,AR$4+1,0),0)</f>
        <v>1607497-3</v>
      </c>
      <c r="AS189" s="59" t="str">
        <f>IFERROR(VLOOKUP($A189,[2]Mssp!$A$5:$BE$1463,AS$4+1,0),0)</f>
        <v>1801664-4</v>
      </c>
      <c r="AT189" s="59" t="str">
        <f>IFERROR(VLOOKUP($A189,[2]Mssp!$A$5:$BE$1463,AT$4+1,0),0)</f>
        <v>1607497-5</v>
      </c>
      <c r="AU189" s="59" t="str">
        <f>IFERROR(VLOOKUP($A189,[2]Mssp!$A$5:$BE$1463,AU$4+1,0),0)</f>
        <v>1607497-6</v>
      </c>
      <c r="AV189" s="59" t="str">
        <f>IFERROR(VLOOKUP($A189,[2]Mssp!$A$5:$BE$1463,AV$4+1,0),0)</f>
        <v>1607497-7</v>
      </c>
      <c r="AW189" s="59">
        <f>IFERROR(VLOOKUP($A189,[2]Mssp!$A$5:$BE$1463,AW$4+1,0),0)</f>
        <v>0</v>
      </c>
      <c r="AX189" s="59">
        <f>IFERROR(VLOOKUP($A189,[2]Mssp!$A$5:$BE$1463,AX$4+1,0),0)</f>
        <v>0</v>
      </c>
      <c r="AY189" s="59" t="str">
        <f>IFERROR(VLOOKUP($A189,[2]Mssp!$A$5:$BE$1463,AY$4+2,0),0)</f>
        <v>420x850</v>
      </c>
      <c r="AZ189" s="59" t="str">
        <f>IFERROR(VLOOKUP($A189,[2]Mssp!$A$5:$BE$1463,AZ$4+2,0),0)</f>
        <v>F1</v>
      </c>
      <c r="BA189" s="60">
        <v>1500</v>
      </c>
      <c r="BB189" s="61" t="s">
        <v>119</v>
      </c>
      <c r="BC189" s="62"/>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c r="CO189" s="9"/>
      <c r="CP189" s="9"/>
    </row>
    <row r="190" spans="1:94" ht="45" x14ac:dyDescent="0.25">
      <c r="A190" s="50" t="s">
        <v>727</v>
      </c>
      <c r="B190" s="73" t="s">
        <v>728</v>
      </c>
      <c r="C190" s="50">
        <f t="shared" si="5"/>
        <v>7.1400000000000006</v>
      </c>
      <c r="D190" s="58">
        <v>5</v>
      </c>
      <c r="E190" s="58" t="s">
        <v>269</v>
      </c>
      <c r="F190" s="58">
        <v>7</v>
      </c>
      <c r="G190" s="50" t="s">
        <v>56</v>
      </c>
      <c r="H190" s="50">
        <f>VLOOKUP($A190,'[1]ma sp 02'!$A$5:$BD$1101,H$1,0)</f>
        <v>0.1</v>
      </c>
      <c r="I190" s="50">
        <f>VLOOKUP($A190,'[1]ma sp 02'!$A$5:$BD$1101,I$1,0)</f>
        <v>3</v>
      </c>
      <c r="J190" s="50">
        <f>VLOOKUP($A190,'[1]ma sp 02'!$A$5:$BD$1101,J$1,0)</f>
        <v>0.1</v>
      </c>
      <c r="K190" s="50">
        <f>VLOOKUP($A190,'[1]ma sp 02'!$A$5:$BD$1101,K$1,0)</f>
        <v>0.14000000000000001</v>
      </c>
      <c r="L190" s="50">
        <f>VLOOKUP($A190,'[1]ma sp 02'!$A$5:$BD$1101,L$1,0)</f>
        <v>2.4</v>
      </c>
      <c r="M190" s="50">
        <f>VLOOKUP($A190,'[1]ma sp 02'!$A$5:$BD$1101,M$1,0)</f>
        <v>0.9</v>
      </c>
      <c r="N190" s="50">
        <f>VLOOKUP($A190,'[1]ma sp 02'!$A$5:$BD$1101,N$1,0)</f>
        <v>0</v>
      </c>
      <c r="O190" s="50">
        <f>VLOOKUP($A190,'[1]ma sp 02'!$A$5:$BD$1101,O$1,0)</f>
        <v>0</v>
      </c>
      <c r="P190" s="50">
        <f>VLOOKUP($A190,'[1]ma sp 02'!$A$5:$BD$1101,P$1,0)</f>
        <v>0.2</v>
      </c>
      <c r="Q190" s="50">
        <f>VLOOKUP($A190,'[1]ma sp 02'!$A$5:$BD$1101,Q$1,0)</f>
        <v>0.3</v>
      </c>
      <c r="R190" s="50">
        <f>VLOOKUP($A190,'[1]ma sp 02'!$A$5:$BD$1101,R$1,0)</f>
        <v>0</v>
      </c>
      <c r="S190" s="50">
        <f>VLOOKUP($A190,'[1]ma sp 02'!$A$5:$BD$1101,S$1,0)</f>
        <v>0</v>
      </c>
      <c r="T190" s="50">
        <f>VLOOKUP($A190,'[1]ma sp 02'!$A$5:$BD$1101,T$1,0)</f>
        <v>0</v>
      </c>
      <c r="U190" s="50">
        <f>VLOOKUP($A190,'[1]ma sp 02'!$A$5:$BD$1101,U$1,0)</f>
        <v>0</v>
      </c>
      <c r="V190" s="50">
        <f>VLOOKUP($A190,'[1]ma sp 02'!$A$5:$BD$1101,V$1,0)</f>
        <v>0</v>
      </c>
      <c r="W190" s="50">
        <f>VLOOKUP($A190,'[1]ma sp 02'!$A$5:$BD$1101,W$1,0)</f>
        <v>0</v>
      </c>
      <c r="X190" s="50">
        <f t="shared" si="4"/>
        <v>8</v>
      </c>
      <c r="Y190" s="57"/>
      <c r="Z190" s="57"/>
      <c r="AA190" s="57"/>
      <c r="AB190" s="57"/>
      <c r="AC190" s="57"/>
      <c r="AD190" s="57"/>
      <c r="AE190" s="58" t="s">
        <v>516</v>
      </c>
      <c r="AF190" s="57"/>
      <c r="AG190" s="71">
        <f>(0.02*0.91+0.025*0.91)*0.72</f>
        <v>2.9484E-2</v>
      </c>
      <c r="AH190" s="63">
        <f>(2.2/0.75/2)*0.71</f>
        <v>1.0413333333333334</v>
      </c>
      <c r="AI190" s="63"/>
      <c r="AJ190" s="58">
        <v>9530</v>
      </c>
      <c r="AK190" s="57"/>
      <c r="AL190" s="58">
        <v>2.2000000000000001E-3</v>
      </c>
      <c r="AM190" s="52" t="s">
        <v>142</v>
      </c>
      <c r="AN190" s="57">
        <v>140</v>
      </c>
      <c r="AO190" s="52" t="s">
        <v>61</v>
      </c>
      <c r="AP190" s="59" t="str">
        <f>IFERROR(VLOOKUP($A190,[2]Mssp!$A$5:$BE$1463,AP$4+1,0),0)</f>
        <v>1608428-1</v>
      </c>
      <c r="AQ190" s="59" t="str">
        <f>IFERROR(VLOOKUP($A190,[2]Mssp!$A$5:$BE$1463,AQ$4+1,0),0)</f>
        <v>1608428-2</v>
      </c>
      <c r="AR190" s="59" t="str">
        <f>IFERROR(VLOOKUP($A190,[2]Mssp!$A$5:$BE$1463,AR$4+1,0),0)</f>
        <v>1608428-3</v>
      </c>
      <c r="AS190" s="59" t="str">
        <f>IFERROR(VLOOKUP($A190,[2]Mssp!$A$5:$BE$1463,AS$4+1,0),0)</f>
        <v>1608428-4</v>
      </c>
      <c r="AT190" s="59" t="str">
        <f>IFERROR(VLOOKUP($A190,[2]Mssp!$A$5:$BE$1463,AT$4+1,0),0)</f>
        <v>1608428-5</v>
      </c>
      <c r="AU190" s="59" t="str">
        <f>IFERROR(VLOOKUP($A190,[2]Mssp!$A$5:$BE$1463,AU$4+1,0),0)</f>
        <v>1608428-6</v>
      </c>
      <c r="AV190" s="59" t="str">
        <f>IFERROR(VLOOKUP($A190,[2]Mssp!$A$5:$BE$1463,AV$4+1,0),0)</f>
        <v>1608428-7</v>
      </c>
      <c r="AW190" s="59">
        <f>IFERROR(VLOOKUP($A190,[2]Mssp!$A$5:$BE$1463,AW$4+1,0),0)</f>
        <v>0</v>
      </c>
      <c r="AX190" s="59">
        <f>IFERROR(VLOOKUP($A190,[2]Mssp!$A$5:$BE$1463,AX$4+1,0),0)</f>
        <v>0</v>
      </c>
      <c r="AY190" s="59" t="str">
        <f>IFERROR(VLOOKUP($A190,[2]Mssp!$A$5:$BE$1463,AY$4+2,0),0)</f>
        <v>460x850</v>
      </c>
      <c r="AZ190" s="59" t="str">
        <f>IFERROR(VLOOKUP($A190,[2]Mssp!$A$5:$BE$1463,AZ$4+2,0),0)</f>
        <v>C1</v>
      </c>
      <c r="BA190" s="60" t="s">
        <v>144</v>
      </c>
      <c r="BB190" s="61" t="s">
        <v>186</v>
      </c>
      <c r="BC190" s="62"/>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c r="CP190" s="9"/>
    </row>
    <row r="191" spans="1:94" ht="45" x14ac:dyDescent="0.25">
      <c r="A191" s="50" t="s">
        <v>729</v>
      </c>
      <c r="B191" s="73" t="s">
        <v>730</v>
      </c>
      <c r="C191" s="50">
        <f t="shared" si="5"/>
        <v>4.7399999999999993</v>
      </c>
      <c r="D191" s="58">
        <v>2</v>
      </c>
      <c r="E191" s="58" t="s">
        <v>731</v>
      </c>
      <c r="F191" s="58">
        <v>7</v>
      </c>
      <c r="G191" s="50" t="s">
        <v>114</v>
      </c>
      <c r="H191" s="50">
        <f>VLOOKUP($A191,'[1]ma sp 02'!$A$5:$BD$1101,H$1,0)</f>
        <v>0.1</v>
      </c>
      <c r="I191" s="50">
        <f>VLOOKUP($A191,'[1]ma sp 02'!$A$5:$BD$1101,I$1,0)</f>
        <v>3.6</v>
      </c>
      <c r="J191" s="50">
        <f>VLOOKUP($A191,'[1]ma sp 02'!$A$5:$BD$1101,J$1,0)</f>
        <v>0.5</v>
      </c>
      <c r="K191" s="50">
        <f>VLOOKUP($A191,'[1]ma sp 02'!$A$5:$BD$1101,K$1,0)</f>
        <v>0.14000000000000001</v>
      </c>
      <c r="L191" s="50">
        <f>VLOOKUP($A191,'[1]ma sp 02'!$A$5:$BD$1101,L$1,0)</f>
        <v>0.2</v>
      </c>
      <c r="M191" s="50">
        <f>VLOOKUP($A191,'[1]ma sp 02'!$A$5:$BD$1101,M$1,0)</f>
        <v>0</v>
      </c>
      <c r="N191" s="50">
        <f>VLOOKUP($A191,'[1]ma sp 02'!$A$5:$BD$1101,N$1,0)</f>
        <v>0</v>
      </c>
      <c r="O191" s="50">
        <f>VLOOKUP($A191,'[1]ma sp 02'!$A$5:$BD$1101,O$1,0)</f>
        <v>0.1</v>
      </c>
      <c r="P191" s="50">
        <f>VLOOKUP($A191,'[1]ma sp 02'!$A$5:$BD$1101,P$1,0)</f>
        <v>0</v>
      </c>
      <c r="Q191" s="50">
        <f>VLOOKUP($A191,'[1]ma sp 02'!$A$5:$BD$1101,Q$1,0)</f>
        <v>0</v>
      </c>
      <c r="R191" s="50">
        <f>VLOOKUP($A191,'[1]ma sp 02'!$A$5:$BD$1101,R$1,0)</f>
        <v>0.1</v>
      </c>
      <c r="S191" s="50">
        <f>VLOOKUP($A191,'[1]ma sp 02'!$A$5:$BD$1101,S$1,0)</f>
        <v>0</v>
      </c>
      <c r="T191" s="50">
        <f>VLOOKUP($A191,'[1]ma sp 02'!$A$5:$BD$1101,T$1,0)</f>
        <v>0</v>
      </c>
      <c r="U191" s="50">
        <f>VLOOKUP($A191,'[1]ma sp 02'!$A$5:$BD$1101,U$1,0)</f>
        <v>0</v>
      </c>
      <c r="V191" s="50">
        <f>VLOOKUP($A191,'[1]ma sp 02'!$A$5:$BD$1101,V$1,0)</f>
        <v>0</v>
      </c>
      <c r="W191" s="50">
        <f>VLOOKUP($A191,'[1]ma sp 02'!$A$5:$BD$1101,W$1,0)</f>
        <v>0</v>
      </c>
      <c r="X191" s="50">
        <f t="shared" si="4"/>
        <v>7</v>
      </c>
      <c r="Y191" s="57"/>
      <c r="Z191" s="57"/>
      <c r="AA191" s="57"/>
      <c r="AB191" s="57"/>
      <c r="AC191" s="57"/>
      <c r="AD191" s="57"/>
      <c r="AE191" s="58" t="s">
        <v>732</v>
      </c>
      <c r="AF191" s="58" t="s">
        <v>733</v>
      </c>
      <c r="AG191" s="71">
        <f>(0.012*1.4+0.006*2.71+0.075*0.925)*0.58</f>
        <v>5.9412299999999994E-2</v>
      </c>
      <c r="AH191" s="63">
        <f>(2.3/0.75/2)*0.57</f>
        <v>0.87399999999999989</v>
      </c>
      <c r="AI191" s="63">
        <f>(2.3/0.75/2)*0.57</f>
        <v>0.87399999999999989</v>
      </c>
      <c r="AJ191" s="58">
        <v>9530</v>
      </c>
      <c r="AK191" s="58">
        <v>9530</v>
      </c>
      <c r="AL191" s="58" t="s">
        <v>354</v>
      </c>
      <c r="AM191" s="52" t="s">
        <v>611</v>
      </c>
      <c r="AN191" s="57">
        <v>280</v>
      </c>
      <c r="AO191" s="52" t="s">
        <v>612</v>
      </c>
      <c r="AP191" s="59" t="str">
        <f>IFERROR(VLOOKUP($A191,[2]Mssp!$A$5:$BE$1463,AP$4+1,0),0)</f>
        <v>F115206-1</v>
      </c>
      <c r="AQ191" s="59" t="str">
        <f>IFERROR(VLOOKUP($A191,[2]Mssp!$A$5:$BE$1463,AQ$4+1,0),0)</f>
        <v>F115206-2</v>
      </c>
      <c r="AR191" s="59" t="str">
        <f>IFERROR(VLOOKUP($A191,[2]Mssp!$A$5:$BE$1463,AR$4+1,0),0)</f>
        <v>F115206-3</v>
      </c>
      <c r="AS191" s="59" t="str">
        <f>IFERROR(VLOOKUP($A191,[2]Mssp!$A$5:$BE$1463,AS$4+1,0),0)</f>
        <v>F115206-4</v>
      </c>
      <c r="AT191" s="59" t="str">
        <f>IFERROR(VLOOKUP($A191,[2]Mssp!$A$5:$BE$1463,AT$4+1,0),0)</f>
        <v>F115206-5</v>
      </c>
      <c r="AU191" s="59" t="str">
        <f>IFERROR(VLOOKUP($A191,[2]Mssp!$A$5:$BE$1463,AU$4+1,0),0)</f>
        <v>F115206-6</v>
      </c>
      <c r="AV191" s="59" t="str">
        <f>IFERROR(VLOOKUP($A191,[2]Mssp!$A$5:$BE$1463,AV$4+1,0),0)</f>
        <v>F115206-7</v>
      </c>
      <c r="AW191" s="59">
        <f>IFERROR(VLOOKUP($A191,[2]Mssp!$A$5:$BE$1463,AW$4+1,0),0)</f>
        <v>0</v>
      </c>
      <c r="AX191" s="59">
        <f>IFERROR(VLOOKUP($A191,[2]Mssp!$A$5:$BE$1463,AX$4+1,0),0)</f>
        <v>0</v>
      </c>
      <c r="AY191" s="59" t="str">
        <f>IFERROR(VLOOKUP($A191,[2]Mssp!$A$5:$BE$1463,AY$4+2,0),0)</f>
        <v>750x450</v>
      </c>
      <c r="AZ191" s="59" t="str">
        <f>IFERROR(VLOOKUP($A191,[2]Mssp!$A$5:$BE$1463,AZ$4+2,0),0)</f>
        <v>D1</v>
      </c>
      <c r="BA191" s="60"/>
      <c r="BB191" s="61" t="s">
        <v>107</v>
      </c>
      <c r="BC191" s="62"/>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c r="CP191" s="9"/>
    </row>
    <row r="192" spans="1:94" ht="45" x14ac:dyDescent="0.25">
      <c r="A192" s="50" t="s">
        <v>734</v>
      </c>
      <c r="B192" s="73" t="s">
        <v>735</v>
      </c>
      <c r="C192" s="50">
        <f t="shared" si="5"/>
        <v>4.7399999999999993</v>
      </c>
      <c r="D192" s="58">
        <v>2</v>
      </c>
      <c r="E192" s="58" t="s">
        <v>731</v>
      </c>
      <c r="F192" s="58">
        <v>7</v>
      </c>
      <c r="G192" s="50" t="s">
        <v>114</v>
      </c>
      <c r="H192" s="50">
        <f>VLOOKUP($A192,'[1]ma sp 02'!$A$5:$BD$1101,H$1,0)</f>
        <v>0.1</v>
      </c>
      <c r="I192" s="50">
        <f>VLOOKUP($A192,'[1]ma sp 02'!$A$5:$BD$1101,I$1,0)</f>
        <v>3.6</v>
      </c>
      <c r="J192" s="50">
        <f>VLOOKUP($A192,'[1]ma sp 02'!$A$5:$BD$1101,J$1,0)</f>
        <v>0.5</v>
      </c>
      <c r="K192" s="50">
        <f>VLOOKUP($A192,'[1]ma sp 02'!$A$5:$BD$1101,K$1,0)</f>
        <v>0.14000000000000001</v>
      </c>
      <c r="L192" s="50">
        <f>VLOOKUP($A192,'[1]ma sp 02'!$A$5:$BD$1101,L$1,0)</f>
        <v>0.2</v>
      </c>
      <c r="M192" s="50">
        <f>VLOOKUP($A192,'[1]ma sp 02'!$A$5:$BD$1101,M$1,0)</f>
        <v>0</v>
      </c>
      <c r="N192" s="50">
        <f>VLOOKUP($A192,'[1]ma sp 02'!$A$5:$BD$1101,N$1,0)</f>
        <v>0</v>
      </c>
      <c r="O192" s="50">
        <f>VLOOKUP($A192,'[1]ma sp 02'!$A$5:$BD$1101,O$1,0)</f>
        <v>0.1</v>
      </c>
      <c r="P192" s="50">
        <f>VLOOKUP($A192,'[1]ma sp 02'!$A$5:$BD$1101,P$1,0)</f>
        <v>0</v>
      </c>
      <c r="Q192" s="50">
        <f>VLOOKUP($A192,'[1]ma sp 02'!$A$5:$BD$1101,Q$1,0)</f>
        <v>0</v>
      </c>
      <c r="R192" s="50">
        <f>VLOOKUP($A192,'[1]ma sp 02'!$A$5:$BD$1101,R$1,0)</f>
        <v>0.1</v>
      </c>
      <c r="S192" s="50">
        <f>VLOOKUP($A192,'[1]ma sp 02'!$A$5:$BD$1101,S$1,0)</f>
        <v>0</v>
      </c>
      <c r="T192" s="50">
        <f>VLOOKUP($A192,'[1]ma sp 02'!$A$5:$BD$1101,T$1,0)</f>
        <v>0</v>
      </c>
      <c r="U192" s="50">
        <f>VLOOKUP($A192,'[1]ma sp 02'!$A$5:$BD$1101,U$1,0)</f>
        <v>0</v>
      </c>
      <c r="V192" s="50">
        <f>VLOOKUP($A192,'[1]ma sp 02'!$A$5:$BD$1101,V$1,0)</f>
        <v>0</v>
      </c>
      <c r="W192" s="50">
        <f>VLOOKUP($A192,'[1]ma sp 02'!$A$5:$BD$1101,W$1,0)</f>
        <v>0</v>
      </c>
      <c r="X192" s="50">
        <f t="shared" si="4"/>
        <v>7</v>
      </c>
      <c r="Y192" s="57"/>
      <c r="Z192" s="57"/>
      <c r="AA192" s="57"/>
      <c r="AB192" s="57"/>
      <c r="AC192" s="57"/>
      <c r="AD192" s="57"/>
      <c r="AE192" s="58" t="s">
        <v>732</v>
      </c>
      <c r="AF192" s="58" t="s">
        <v>733</v>
      </c>
      <c r="AG192" s="71">
        <f>(0.012*1.4+0.006*2.71+0.075*0.925)*0.58</f>
        <v>5.9412299999999994E-2</v>
      </c>
      <c r="AH192" s="63">
        <f>(2.3/0.75/2)*0.57</f>
        <v>0.87399999999999989</v>
      </c>
      <c r="AI192" s="63">
        <f>(2.3/0.75/2)*0.57</f>
        <v>0.87399999999999989</v>
      </c>
      <c r="AJ192" s="58">
        <v>9530</v>
      </c>
      <c r="AK192" s="58">
        <v>9530</v>
      </c>
      <c r="AL192" s="58" t="s">
        <v>354</v>
      </c>
      <c r="AM192" s="52" t="s">
        <v>611</v>
      </c>
      <c r="AN192" s="57">
        <v>280</v>
      </c>
      <c r="AO192" s="52" t="s">
        <v>612</v>
      </c>
      <c r="AP192" s="59" t="str">
        <f>IFERROR(VLOOKUP($A192,[2]Mssp!$A$5:$BE$1463,AP$4+1,0),0)</f>
        <v>F115206-1</v>
      </c>
      <c r="AQ192" s="59" t="str">
        <f>IFERROR(VLOOKUP($A192,[2]Mssp!$A$5:$BE$1463,AQ$4+1,0),0)</f>
        <v>F115208-2</v>
      </c>
      <c r="AR192" s="59" t="str">
        <f>IFERROR(VLOOKUP($A192,[2]Mssp!$A$5:$BE$1463,AR$4+1,0),0)</f>
        <v>F115208-3</v>
      </c>
      <c r="AS192" s="59" t="str">
        <f>IFERROR(VLOOKUP($A192,[2]Mssp!$A$5:$BE$1463,AS$4+1,0),0)</f>
        <v>F115208-4</v>
      </c>
      <c r="AT192" s="59" t="str">
        <f>IFERROR(VLOOKUP($A192,[2]Mssp!$A$5:$BE$1463,AT$4+1,0),0)</f>
        <v>F115208-5</v>
      </c>
      <c r="AU192" s="59" t="str">
        <f>IFERROR(VLOOKUP($A192,[2]Mssp!$A$5:$BE$1463,AU$4+1,0),0)</f>
        <v>F115208-6</v>
      </c>
      <c r="AV192" s="59" t="str">
        <f>IFERROR(VLOOKUP($A192,[2]Mssp!$A$5:$BE$1463,AV$4+1,0),0)</f>
        <v>F115208-7</v>
      </c>
      <c r="AW192" s="59">
        <f>IFERROR(VLOOKUP($A192,[2]Mssp!$A$5:$BE$1463,AW$4+1,0),0)</f>
        <v>0</v>
      </c>
      <c r="AX192" s="59">
        <f>IFERROR(VLOOKUP($A192,[2]Mssp!$A$5:$BE$1463,AX$4+1,0),0)</f>
        <v>0</v>
      </c>
      <c r="AY192" s="59" t="str">
        <f>IFERROR(VLOOKUP($A192,[2]Mssp!$A$5:$BE$1463,AY$4+2,0),0)</f>
        <v>450x750</v>
      </c>
      <c r="AZ192" s="59" t="str">
        <f>IFERROR(VLOOKUP($A192,[2]Mssp!$A$5:$BE$1463,AZ$4+2,0),0)</f>
        <v>D1</v>
      </c>
      <c r="BA192" s="60"/>
      <c r="BB192" s="61" t="s">
        <v>107</v>
      </c>
      <c r="BC192" s="62"/>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c r="CP192" s="9"/>
    </row>
    <row r="193" spans="1:94" ht="45" x14ac:dyDescent="0.25">
      <c r="A193" s="50" t="s">
        <v>736</v>
      </c>
      <c r="B193" s="73" t="s">
        <v>737</v>
      </c>
      <c r="C193" s="50">
        <f t="shared" si="5"/>
        <v>8.1999999999999993</v>
      </c>
      <c r="D193" s="58">
        <v>2</v>
      </c>
      <c r="E193" s="58" t="s">
        <v>393</v>
      </c>
      <c r="F193" s="58">
        <v>6</v>
      </c>
      <c r="G193" s="50" t="s">
        <v>114</v>
      </c>
      <c r="H193" s="50">
        <f>VLOOKUP($A193,'[1]ma sp 02'!$A$5:$BD$1101,H$1,0)</f>
        <v>0.1</v>
      </c>
      <c r="I193" s="50">
        <f>VLOOKUP($A193,'[1]ma sp 02'!$A$5:$BD$1101,I$1,0)</f>
        <v>5.4</v>
      </c>
      <c r="J193" s="50">
        <f>VLOOKUP($A193,'[1]ma sp 02'!$A$5:$BD$1101,J$1,0)</f>
        <v>0.2</v>
      </c>
      <c r="K193" s="50">
        <f>VLOOKUP($A193,'[1]ma sp 02'!$A$5:$BD$1101,K$1,0)</f>
        <v>0.1</v>
      </c>
      <c r="L193" s="50">
        <f>VLOOKUP($A193,'[1]ma sp 02'!$A$5:$BD$1101,L$1,0)</f>
        <v>0.2</v>
      </c>
      <c r="M193" s="50">
        <f>VLOOKUP($A193,'[1]ma sp 02'!$A$5:$BD$1101,M$1,0)</f>
        <v>1.3</v>
      </c>
      <c r="N193" s="50">
        <f>VLOOKUP($A193,'[1]ma sp 02'!$A$5:$BD$1101,N$1,0)</f>
        <v>0</v>
      </c>
      <c r="O193" s="50">
        <f>VLOOKUP($A193,'[1]ma sp 02'!$A$5:$BD$1101,O$1,0)</f>
        <v>0</v>
      </c>
      <c r="P193" s="50">
        <f>VLOOKUP($A193,'[1]ma sp 02'!$A$5:$BD$1101,P$1,0)</f>
        <v>0</v>
      </c>
      <c r="Q193" s="50">
        <f>VLOOKUP($A193,'[1]ma sp 02'!$A$5:$BD$1101,Q$1,0)</f>
        <v>0</v>
      </c>
      <c r="R193" s="50">
        <f>VLOOKUP($A193,'[1]ma sp 02'!$A$5:$BD$1101,R$1,0)</f>
        <v>0.9</v>
      </c>
      <c r="S193" s="50">
        <f>VLOOKUP($A193,'[1]ma sp 02'!$A$5:$BD$1101,S$1,0)</f>
        <v>0</v>
      </c>
      <c r="T193" s="50">
        <f>VLOOKUP($A193,'[1]ma sp 02'!$A$5:$BD$1101,T$1,0)</f>
        <v>0</v>
      </c>
      <c r="U193" s="50">
        <f>VLOOKUP($A193,'[1]ma sp 02'!$A$5:$BD$1101,U$1,0)</f>
        <v>0</v>
      </c>
      <c r="V193" s="50">
        <f>VLOOKUP($A193,'[1]ma sp 02'!$A$5:$BD$1101,V$1,0)</f>
        <v>0</v>
      </c>
      <c r="W193" s="50">
        <f>VLOOKUP($A193,'[1]ma sp 02'!$A$5:$BD$1101,W$1,0)</f>
        <v>0</v>
      </c>
      <c r="X193" s="50">
        <f t="shared" si="4"/>
        <v>7</v>
      </c>
      <c r="Y193" s="57"/>
      <c r="Z193" s="57"/>
      <c r="AA193" s="57"/>
      <c r="AB193" s="57"/>
      <c r="AC193" s="57"/>
      <c r="AD193" s="57"/>
      <c r="AE193" s="58" t="s">
        <v>738</v>
      </c>
      <c r="AF193" s="58" t="s">
        <v>739</v>
      </c>
      <c r="AG193" s="71">
        <f>(0.012*1.4+0.006*2.71+0.075*0.925)*0.66</f>
        <v>6.7607100000000003E-2</v>
      </c>
      <c r="AH193" s="63">
        <f>(2.3/0.75/2)*0.65</f>
        <v>0.99666666666666659</v>
      </c>
      <c r="AI193" s="63">
        <f>(2.3/0.75/2)*0.65</f>
        <v>0.99666666666666659</v>
      </c>
      <c r="AJ193" s="58">
        <v>9530</v>
      </c>
      <c r="AK193" s="58">
        <v>9530</v>
      </c>
      <c r="AL193" s="58" t="s">
        <v>354</v>
      </c>
      <c r="AM193" s="52" t="s">
        <v>74</v>
      </c>
      <c r="AN193" s="57">
        <v>220</v>
      </c>
      <c r="AO193" s="52" t="s">
        <v>612</v>
      </c>
      <c r="AP193" s="59" t="str">
        <f>IFERROR(VLOOKUP($A193,[2]Mssp!$A$5:$BE$1463,AP$4+1,0),0)</f>
        <v>16081472-1</v>
      </c>
      <c r="AQ193" s="59" t="str">
        <f>IFERROR(VLOOKUP($A193,[2]Mssp!$A$5:$BE$1463,AQ$4+1,0),0)</f>
        <v>16081472-2</v>
      </c>
      <c r="AR193" s="59" t="str">
        <f>IFERROR(VLOOKUP($A193,[2]Mssp!$A$5:$BE$1463,AR$4+1,0),0)</f>
        <v>16081472-3</v>
      </c>
      <c r="AS193" s="59" t="str">
        <f>IFERROR(VLOOKUP($A193,[2]Mssp!$A$5:$BE$1463,AS$4+1,0),0)</f>
        <v>16081472-4</v>
      </c>
      <c r="AT193" s="59" t="str">
        <f>IFERROR(VLOOKUP($A193,[2]Mssp!$A$5:$BE$1463,AT$4+1,0),0)</f>
        <v>16081472-5</v>
      </c>
      <c r="AU193" s="59" t="str">
        <f>IFERROR(VLOOKUP($A193,[2]Mssp!$A$5:$BE$1463,AU$4+1,0),0)</f>
        <v>16081472-6</v>
      </c>
      <c r="AV193" s="59">
        <f>IFERROR(VLOOKUP($A193,[2]Mssp!$A$5:$BE$1463,AV$4+1,0),0)</f>
        <v>0</v>
      </c>
      <c r="AW193" s="59">
        <f>IFERROR(VLOOKUP($A193,[2]Mssp!$A$5:$BE$1463,AW$4+1,0),0)</f>
        <v>0</v>
      </c>
      <c r="AX193" s="59">
        <f>IFERROR(VLOOKUP($A193,[2]Mssp!$A$5:$BE$1463,AX$4+1,0),0)</f>
        <v>0</v>
      </c>
      <c r="AY193" s="59" t="str">
        <f>IFERROR(VLOOKUP($A193,[2]Mssp!$A$5:$BE$1463,AY$4+2,0),0)</f>
        <v>440x780</v>
      </c>
      <c r="AZ193" s="59" t="str">
        <f>IFERROR(VLOOKUP($A193,[2]Mssp!$A$5:$BE$1463,AZ$4+2,0),0)</f>
        <v>D2</v>
      </c>
      <c r="BA193" s="60"/>
      <c r="BB193" s="61" t="s">
        <v>62</v>
      </c>
      <c r="BC193" s="62"/>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c r="CP193" s="9"/>
    </row>
    <row r="194" spans="1:94" ht="45" x14ac:dyDescent="0.25">
      <c r="A194" s="50" t="s">
        <v>740</v>
      </c>
      <c r="B194" s="73" t="s">
        <v>741</v>
      </c>
      <c r="C194" s="50">
        <f t="shared" si="5"/>
        <v>8.5499999999999972</v>
      </c>
      <c r="D194" s="58">
        <v>3</v>
      </c>
      <c r="E194" s="58" t="s">
        <v>645</v>
      </c>
      <c r="F194" s="58">
        <v>7</v>
      </c>
      <c r="G194" s="50" t="s">
        <v>56</v>
      </c>
      <c r="H194" s="50">
        <f>VLOOKUP($A194,'[1]ma sp 02'!$A$5:$BD$1101,H$1,0)</f>
        <v>0.13</v>
      </c>
      <c r="I194" s="50">
        <f>VLOOKUP($A194,'[1]ma sp 02'!$A$5:$BD$1101,I$1,0)</f>
        <v>3.57</v>
      </c>
      <c r="J194" s="50">
        <f>VLOOKUP($A194,'[1]ma sp 02'!$A$5:$BD$1101,J$1,0)</f>
        <v>0.3</v>
      </c>
      <c r="K194" s="50">
        <f>VLOOKUP($A194,'[1]ma sp 02'!$A$5:$BD$1101,K$1,0)</f>
        <v>0.01</v>
      </c>
      <c r="L194" s="50">
        <f>VLOOKUP($A194,'[1]ma sp 02'!$A$5:$BD$1101,L$1,0)</f>
        <v>2.2000000000000002</v>
      </c>
      <c r="M194" s="50">
        <f>VLOOKUP($A194,'[1]ma sp 02'!$A$5:$BD$1101,M$1,0)</f>
        <v>1.17</v>
      </c>
      <c r="N194" s="50">
        <f>VLOOKUP($A194,'[1]ma sp 02'!$A$5:$BD$1101,N$1,0)</f>
        <v>0</v>
      </c>
      <c r="O194" s="50">
        <f>VLOOKUP($A194,'[1]ma sp 02'!$A$5:$BD$1101,O$1,0)</f>
        <v>0.99</v>
      </c>
      <c r="P194" s="50">
        <f>VLOOKUP($A194,'[1]ma sp 02'!$A$5:$BD$1101,P$1,0)</f>
        <v>0.04</v>
      </c>
      <c r="Q194" s="50">
        <f>VLOOKUP($A194,'[1]ma sp 02'!$A$5:$BD$1101,Q$1,0)</f>
        <v>0.04</v>
      </c>
      <c r="R194" s="50">
        <f>VLOOKUP($A194,'[1]ma sp 02'!$A$5:$BD$1101,R$1,0)</f>
        <v>0</v>
      </c>
      <c r="S194" s="50">
        <f>VLOOKUP($A194,'[1]ma sp 02'!$A$5:$BD$1101,S$1,0)</f>
        <v>0.1</v>
      </c>
      <c r="T194" s="50">
        <f>VLOOKUP($A194,'[1]ma sp 02'!$A$5:$BD$1101,T$1,0)</f>
        <v>0</v>
      </c>
      <c r="U194" s="50">
        <f>VLOOKUP($A194,'[1]ma sp 02'!$A$5:$BD$1101,U$1,0)</f>
        <v>0</v>
      </c>
      <c r="V194" s="50">
        <f>VLOOKUP($A194,'[1]ma sp 02'!$A$5:$BD$1101,V$1,0)</f>
        <v>0</v>
      </c>
      <c r="W194" s="50">
        <f>VLOOKUP($A194,'[1]ma sp 02'!$A$5:$BD$1101,W$1,0)</f>
        <v>0</v>
      </c>
      <c r="X194" s="50">
        <f t="shared" si="4"/>
        <v>10</v>
      </c>
      <c r="Y194" s="57"/>
      <c r="Z194" s="57"/>
      <c r="AA194" s="57"/>
      <c r="AB194" s="57"/>
      <c r="AC194" s="57"/>
      <c r="AD194" s="57"/>
      <c r="AE194" s="58" t="s">
        <v>373</v>
      </c>
      <c r="AF194" s="58" t="s">
        <v>646</v>
      </c>
      <c r="AG194" s="71">
        <f>(0.02*0.91+0.012*1.4+0.065*0.925)*0.92</f>
        <v>8.7515000000000023E-2</v>
      </c>
      <c r="AH194" s="63">
        <f>(2.5/0.75/2)*0.91</f>
        <v>1.5166666666666668</v>
      </c>
      <c r="AI194" s="63">
        <f>(3/0.75/2)*0.91</f>
        <v>1.82</v>
      </c>
      <c r="AJ194" s="57">
        <v>9530</v>
      </c>
      <c r="AK194" s="57">
        <v>9530</v>
      </c>
      <c r="AL194" s="58" t="s">
        <v>117</v>
      </c>
      <c r="AM194" s="52" t="s">
        <v>60</v>
      </c>
      <c r="AN194" s="57">
        <v>340</v>
      </c>
      <c r="AO194" s="52" t="s">
        <v>118</v>
      </c>
      <c r="AP194" s="59" t="str">
        <f>IFERROR(VLOOKUP($A194,[2]Mssp!$A$5:$BE$1463,AP$4+1,0),0)</f>
        <v>1607496-1</v>
      </c>
      <c r="AQ194" s="59" t="str">
        <f>IFERROR(VLOOKUP($A194,[2]Mssp!$A$5:$BE$1463,AQ$4+1,0),0)</f>
        <v>1607496-2</v>
      </c>
      <c r="AR194" s="59" t="str">
        <f>IFERROR(VLOOKUP($A194,[2]Mssp!$A$5:$BE$1463,AR$4+1,0),0)</f>
        <v>1607496-3</v>
      </c>
      <c r="AS194" s="59" t="str">
        <f>IFERROR(VLOOKUP($A194,[2]Mssp!$A$5:$BE$1463,AS$4+1,0),0)</f>
        <v>1607496-4</v>
      </c>
      <c r="AT194" s="59" t="str">
        <f>IFERROR(VLOOKUP($A194,[2]Mssp!$A$5:$BE$1463,AT$4+1,0),0)</f>
        <v>1607496-5</v>
      </c>
      <c r="AU194" s="59" t="str">
        <f>IFERROR(VLOOKUP($A194,[2]Mssp!$A$5:$BE$1463,AU$4+1,0),0)</f>
        <v>1607496-6</v>
      </c>
      <c r="AV194" s="59" t="str">
        <f>IFERROR(VLOOKUP($A194,[2]Mssp!$A$5:$BE$1463,AV$4+1,0),0)</f>
        <v>1607496-7</v>
      </c>
      <c r="AW194" s="59">
        <f>IFERROR(VLOOKUP($A194,[2]Mssp!$A$5:$BE$1463,AW$4+1,0),0)</f>
        <v>0</v>
      </c>
      <c r="AX194" s="59">
        <f>IFERROR(VLOOKUP($A194,[2]Mssp!$A$5:$BE$1463,AX$4+1,0),0)</f>
        <v>0</v>
      </c>
      <c r="AY194" s="59" t="str">
        <f>IFERROR(VLOOKUP($A194,[2]Mssp!$A$5:$BE$1463,AY$4+2,0),0)</f>
        <v>680x1100</v>
      </c>
      <c r="AZ194" s="59" t="str">
        <f>IFERROR(VLOOKUP($A194,[2]Mssp!$A$5:$BE$1463,AZ$4+2,0),0)</f>
        <v>F1</v>
      </c>
      <c r="BA194" s="60">
        <v>2500</v>
      </c>
      <c r="BB194" s="61" t="s">
        <v>62</v>
      </c>
      <c r="BC194" s="62"/>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c r="CK194" s="9"/>
      <c r="CL194" s="9"/>
      <c r="CM194" s="9"/>
      <c r="CN194" s="9"/>
      <c r="CO194" s="9"/>
      <c r="CP194" s="9"/>
    </row>
    <row r="195" spans="1:94" ht="45" x14ac:dyDescent="0.25">
      <c r="A195" s="50" t="s">
        <v>742</v>
      </c>
      <c r="B195" s="73" t="s">
        <v>743</v>
      </c>
      <c r="C195" s="50">
        <f t="shared" si="5"/>
        <v>3.7</v>
      </c>
      <c r="D195" s="58">
        <v>3</v>
      </c>
      <c r="E195" s="58" t="s">
        <v>437</v>
      </c>
      <c r="F195" s="58">
        <v>1</v>
      </c>
      <c r="G195" s="50" t="s">
        <v>114</v>
      </c>
      <c r="H195" s="50">
        <f>VLOOKUP($A195,'[1]ma sp 02'!$A$5:$BD$1101,H$1,0)</f>
        <v>0</v>
      </c>
      <c r="I195" s="50">
        <f>VLOOKUP($A195,'[1]ma sp 02'!$A$5:$BD$1101,I$1,0)</f>
        <v>0</v>
      </c>
      <c r="J195" s="50">
        <f>VLOOKUP($A195,'[1]ma sp 02'!$A$5:$BD$1101,J$1,0)</f>
        <v>0</v>
      </c>
      <c r="K195" s="50">
        <f>VLOOKUP($A195,'[1]ma sp 02'!$A$5:$BD$1101,K$1,0)</f>
        <v>3.7</v>
      </c>
      <c r="L195" s="50">
        <f>VLOOKUP($A195,'[1]ma sp 02'!$A$5:$BD$1101,L$1,0)</f>
        <v>0</v>
      </c>
      <c r="M195" s="50">
        <f>VLOOKUP($A195,'[1]ma sp 02'!$A$5:$BD$1101,M$1,0)</f>
        <v>0</v>
      </c>
      <c r="N195" s="50">
        <f>VLOOKUP($A195,'[1]ma sp 02'!$A$5:$BD$1101,N$1,0)</f>
        <v>0</v>
      </c>
      <c r="O195" s="50">
        <f>VLOOKUP($A195,'[1]ma sp 02'!$A$5:$BD$1101,O$1,0)</f>
        <v>0</v>
      </c>
      <c r="P195" s="50">
        <f>VLOOKUP($A195,'[1]ma sp 02'!$A$5:$BD$1101,P$1,0)</f>
        <v>0</v>
      </c>
      <c r="Q195" s="50">
        <f>VLOOKUP($A195,'[1]ma sp 02'!$A$5:$BD$1101,Q$1,0)</f>
        <v>0</v>
      </c>
      <c r="R195" s="50">
        <f>VLOOKUP($A195,'[1]ma sp 02'!$A$5:$BD$1101,R$1,0)</f>
        <v>0</v>
      </c>
      <c r="S195" s="50">
        <f>VLOOKUP($A195,'[1]ma sp 02'!$A$5:$BD$1101,S$1,0)</f>
        <v>0</v>
      </c>
      <c r="T195" s="50">
        <f>VLOOKUP($A195,'[1]ma sp 02'!$A$5:$BD$1101,T$1,0)</f>
        <v>0</v>
      </c>
      <c r="U195" s="50">
        <f>VLOOKUP($A195,'[1]ma sp 02'!$A$5:$BD$1101,U$1,0)</f>
        <v>0</v>
      </c>
      <c r="V195" s="50">
        <f>VLOOKUP($A195,'[1]ma sp 02'!$A$5:$BD$1101,V$1,0)</f>
        <v>0</v>
      </c>
      <c r="W195" s="50">
        <f>VLOOKUP($A195,'[1]ma sp 02'!$A$5:$BD$1101,W$1,0)</f>
        <v>0</v>
      </c>
      <c r="X195" s="50">
        <f t="shared" si="4"/>
        <v>1</v>
      </c>
      <c r="Y195" s="57"/>
      <c r="Z195" s="57"/>
      <c r="AA195" s="57"/>
      <c r="AB195" s="57"/>
      <c r="AC195" s="57"/>
      <c r="AD195" s="57"/>
      <c r="AE195" s="58" t="s">
        <v>66</v>
      </c>
      <c r="AF195" s="58" t="s">
        <v>303</v>
      </c>
      <c r="AG195" s="82">
        <f>(0.012*1.4+0.012*1.4+0.04*0.925)*0.68</f>
        <v>4.8008000000000002E-2</v>
      </c>
      <c r="AH195" s="71">
        <f>(0.012*1.4+0.012*1.4+0.04*0.925)*0.68</f>
        <v>4.8008000000000002E-2</v>
      </c>
      <c r="AI195" s="63">
        <f>(2.3/0.75/2)*0.67</f>
        <v>1.0273333333333332</v>
      </c>
      <c r="AJ195" s="63">
        <f>(3/0.75/2)*0.67</f>
        <v>1.34</v>
      </c>
      <c r="AK195" s="57">
        <v>9530</v>
      </c>
      <c r="AL195" s="58" t="s">
        <v>117</v>
      </c>
      <c r="AM195" s="52" t="s">
        <v>60</v>
      </c>
      <c r="AN195" s="57">
        <v>180</v>
      </c>
      <c r="AO195" s="52" t="s">
        <v>118</v>
      </c>
      <c r="AP195" s="59">
        <f>IFERROR(VLOOKUP($A195,[2]Mssp!$A$5:$BE$1463,AP$4+1,0),0)</f>
        <v>0</v>
      </c>
      <c r="AQ195" s="59">
        <f>IFERROR(VLOOKUP($A195,[2]Mssp!$A$5:$BE$1463,AQ$4+1,0),0)</f>
        <v>0</v>
      </c>
      <c r="AR195" s="59">
        <f>IFERROR(VLOOKUP($A195,[2]Mssp!$A$5:$BE$1463,AR$4+1,0),0)</f>
        <v>0</v>
      </c>
      <c r="AS195" s="59">
        <f>IFERROR(VLOOKUP($A195,[2]Mssp!$A$5:$BE$1463,AS$4+1,0),0)</f>
        <v>0</v>
      </c>
      <c r="AT195" s="59">
        <f>IFERROR(VLOOKUP($A195,[2]Mssp!$A$5:$BE$1463,AT$4+1,0),0)</f>
        <v>0</v>
      </c>
      <c r="AU195" s="59">
        <f>IFERROR(VLOOKUP($A195,[2]Mssp!$A$5:$BE$1463,AU$4+1,0),0)</f>
        <v>0</v>
      </c>
      <c r="AV195" s="59">
        <f>IFERROR(VLOOKUP($A195,[2]Mssp!$A$5:$BE$1463,AV$4+1,0),0)</f>
        <v>0</v>
      </c>
      <c r="AW195" s="59">
        <f>IFERROR(VLOOKUP($A195,[2]Mssp!$A$5:$BE$1463,AW$4+1,0),0)</f>
        <v>0</v>
      </c>
      <c r="AX195" s="59">
        <f>IFERROR(VLOOKUP($A195,[2]Mssp!$A$5:$BE$1463,AX$4+1,0),0)</f>
        <v>0</v>
      </c>
      <c r="AY195" s="59">
        <f>IFERROR(VLOOKUP($A195,[2]Mssp!$A$5:$BE$1463,AY$4+2,0),0)</f>
        <v>0</v>
      </c>
      <c r="AZ195" s="59">
        <f>IFERROR(VLOOKUP($A195,[2]Mssp!$A$5:$BE$1463,AZ$4+2,0),0)</f>
        <v>0</v>
      </c>
      <c r="BA195" s="60"/>
      <c r="BB195" s="61" t="s">
        <v>62</v>
      </c>
      <c r="BC195" s="62"/>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c r="CK195" s="9"/>
      <c r="CL195" s="9"/>
      <c r="CM195" s="9"/>
      <c r="CN195" s="9"/>
      <c r="CO195" s="9"/>
      <c r="CP195" s="9"/>
    </row>
    <row r="196" spans="1:94" ht="45" x14ac:dyDescent="0.25">
      <c r="A196" s="50" t="s">
        <v>744</v>
      </c>
      <c r="B196" s="73" t="s">
        <v>745</v>
      </c>
      <c r="C196" s="50">
        <f t="shared" si="5"/>
        <v>3.7</v>
      </c>
      <c r="D196" s="57"/>
      <c r="E196" s="58" t="s">
        <v>437</v>
      </c>
      <c r="F196" s="57">
        <v>1</v>
      </c>
      <c r="G196" s="50" t="s">
        <v>114</v>
      </c>
      <c r="H196" s="50">
        <f>VLOOKUP($A196,'[1]ma sp 02'!$A$5:$BD$1101,H$1,0)</f>
        <v>0</v>
      </c>
      <c r="I196" s="50">
        <f>VLOOKUP($A196,'[1]ma sp 02'!$A$5:$BD$1101,I$1,0)</f>
        <v>0</v>
      </c>
      <c r="J196" s="50">
        <f>VLOOKUP($A196,'[1]ma sp 02'!$A$5:$BD$1101,J$1,0)</f>
        <v>0</v>
      </c>
      <c r="K196" s="50">
        <f>VLOOKUP($A196,'[1]ma sp 02'!$A$5:$BD$1101,K$1,0)</f>
        <v>3.7</v>
      </c>
      <c r="L196" s="50">
        <f>VLOOKUP($A196,'[1]ma sp 02'!$A$5:$BD$1101,L$1,0)</f>
        <v>0</v>
      </c>
      <c r="M196" s="50">
        <f>VLOOKUP($A196,'[1]ma sp 02'!$A$5:$BD$1101,M$1,0)</f>
        <v>0</v>
      </c>
      <c r="N196" s="50">
        <f>VLOOKUP($A196,'[1]ma sp 02'!$A$5:$BD$1101,N$1,0)</f>
        <v>0</v>
      </c>
      <c r="O196" s="50">
        <f>VLOOKUP($A196,'[1]ma sp 02'!$A$5:$BD$1101,O$1,0)</f>
        <v>0</v>
      </c>
      <c r="P196" s="50">
        <f>VLOOKUP($A196,'[1]ma sp 02'!$A$5:$BD$1101,P$1,0)</f>
        <v>0</v>
      </c>
      <c r="Q196" s="50">
        <f>VLOOKUP($A196,'[1]ma sp 02'!$A$5:$BD$1101,Q$1,0)</f>
        <v>0</v>
      </c>
      <c r="R196" s="50">
        <f>VLOOKUP($A196,'[1]ma sp 02'!$A$5:$BD$1101,R$1,0)</f>
        <v>0</v>
      </c>
      <c r="S196" s="50">
        <f>VLOOKUP($A196,'[1]ma sp 02'!$A$5:$BD$1101,S$1,0)</f>
        <v>0</v>
      </c>
      <c r="T196" s="50">
        <f>VLOOKUP($A196,'[1]ma sp 02'!$A$5:$BD$1101,T$1,0)</f>
        <v>0</v>
      </c>
      <c r="U196" s="50">
        <f>VLOOKUP($A196,'[1]ma sp 02'!$A$5:$BD$1101,U$1,0)</f>
        <v>0</v>
      </c>
      <c r="V196" s="50">
        <f>VLOOKUP($A196,'[1]ma sp 02'!$A$5:$BD$1101,V$1,0)</f>
        <v>0</v>
      </c>
      <c r="W196" s="50">
        <f>VLOOKUP($A196,'[1]ma sp 02'!$A$5:$BD$1101,W$1,0)</f>
        <v>0</v>
      </c>
      <c r="X196" s="50">
        <f t="shared" si="4"/>
        <v>1</v>
      </c>
      <c r="Y196" s="57"/>
      <c r="Z196" s="57"/>
      <c r="AA196" s="57"/>
      <c r="AB196" s="57"/>
      <c r="AC196" s="57"/>
      <c r="AD196" s="57"/>
      <c r="AE196" s="58" t="s">
        <v>66</v>
      </c>
      <c r="AF196" s="58" t="s">
        <v>303</v>
      </c>
      <c r="AG196" s="82">
        <f>(0.012*1.4+0.012*1.4+0.04*0.925)*0.68</f>
        <v>4.8008000000000002E-2</v>
      </c>
      <c r="AH196" s="71">
        <f>(0.012*1.4+0.012*1.4+0.04*0.925)*0.68</f>
        <v>4.8008000000000002E-2</v>
      </c>
      <c r="AI196" s="63">
        <f>(2.3/0.75/2)*0.67</f>
        <v>1.0273333333333332</v>
      </c>
      <c r="AJ196" s="63">
        <f>(3/0.75/2)*0.67</f>
        <v>1.34</v>
      </c>
      <c r="AK196" s="57">
        <v>9530</v>
      </c>
      <c r="AL196" s="58" t="s">
        <v>117</v>
      </c>
      <c r="AM196" s="52" t="s">
        <v>60</v>
      </c>
      <c r="AN196" s="57">
        <v>140</v>
      </c>
      <c r="AO196" s="52" t="s">
        <v>118</v>
      </c>
      <c r="AP196" s="59">
        <f>IFERROR(VLOOKUP($A196,[2]Mssp!$A$5:$BE$1463,AP$4+1,0),0)</f>
        <v>0</v>
      </c>
      <c r="AQ196" s="59">
        <f>IFERROR(VLOOKUP($A196,[2]Mssp!$A$5:$BE$1463,AQ$4+1,0),0)</f>
        <v>0</v>
      </c>
      <c r="AR196" s="59">
        <f>IFERROR(VLOOKUP($A196,[2]Mssp!$A$5:$BE$1463,AR$4+1,0),0)</f>
        <v>0</v>
      </c>
      <c r="AS196" s="59">
        <f>IFERROR(VLOOKUP($A196,[2]Mssp!$A$5:$BE$1463,AS$4+1,0),0)</f>
        <v>0</v>
      </c>
      <c r="AT196" s="59">
        <f>IFERROR(VLOOKUP($A196,[2]Mssp!$A$5:$BE$1463,AT$4+1,0),0)</f>
        <v>0</v>
      </c>
      <c r="AU196" s="59">
        <f>IFERROR(VLOOKUP($A196,[2]Mssp!$A$5:$BE$1463,AU$4+1,0),0)</f>
        <v>0</v>
      </c>
      <c r="AV196" s="59">
        <f>IFERROR(VLOOKUP($A196,[2]Mssp!$A$5:$BE$1463,AV$4+1,0),0)</f>
        <v>0</v>
      </c>
      <c r="AW196" s="59">
        <f>IFERROR(VLOOKUP($A196,[2]Mssp!$A$5:$BE$1463,AW$4+1,0),0)</f>
        <v>0</v>
      </c>
      <c r="AX196" s="59">
        <f>IFERROR(VLOOKUP($A196,[2]Mssp!$A$5:$BE$1463,AX$4+1,0),0)</f>
        <v>0</v>
      </c>
      <c r="AY196" s="59">
        <f>IFERROR(VLOOKUP($A196,[2]Mssp!$A$5:$BE$1463,AY$4+2,0),0)</f>
        <v>0</v>
      </c>
      <c r="AZ196" s="59">
        <f>IFERROR(VLOOKUP($A196,[2]Mssp!$A$5:$BE$1463,AZ$4+2,0),0)</f>
        <v>0</v>
      </c>
      <c r="BA196" s="60"/>
      <c r="BB196" s="61" t="s">
        <v>62</v>
      </c>
      <c r="BC196" s="62"/>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c r="CK196" s="9"/>
      <c r="CL196" s="9"/>
      <c r="CM196" s="9"/>
      <c r="CN196" s="9"/>
      <c r="CO196" s="9"/>
      <c r="CP196" s="9"/>
    </row>
    <row r="197" spans="1:94" ht="60" x14ac:dyDescent="0.25">
      <c r="A197" s="50" t="s">
        <v>746</v>
      </c>
      <c r="B197" s="73" t="s">
        <v>747</v>
      </c>
      <c r="C197" s="50">
        <f t="shared" si="5"/>
        <v>5.5399999999999991</v>
      </c>
      <c r="D197" s="58">
        <v>2</v>
      </c>
      <c r="E197" s="58" t="s">
        <v>748</v>
      </c>
      <c r="F197" s="58">
        <v>8</v>
      </c>
      <c r="G197" s="50" t="s">
        <v>56</v>
      </c>
      <c r="H197" s="50">
        <f>VLOOKUP($A197,'[1]ma sp 02'!$A$5:$BD$1101,H$1,0)</f>
        <v>0.15</v>
      </c>
      <c r="I197" s="50">
        <f>VLOOKUP($A197,'[1]ma sp 02'!$A$5:$BD$1101,I$1,0)</f>
        <v>3</v>
      </c>
      <c r="J197" s="50">
        <f>VLOOKUP($A197,'[1]ma sp 02'!$A$5:$BD$1101,J$1,0)</f>
        <v>0.32</v>
      </c>
      <c r="K197" s="50">
        <f>VLOOKUP($A197,'[1]ma sp 02'!$A$5:$BD$1101,K$1,0)</f>
        <v>0.06</v>
      </c>
      <c r="L197" s="50">
        <f>VLOOKUP($A197,'[1]ma sp 02'!$A$5:$BD$1101,L$1,0)</f>
        <v>1.1200000000000001</v>
      </c>
      <c r="M197" s="50">
        <f>VLOOKUP($A197,'[1]ma sp 02'!$A$5:$BD$1101,M$1,0)</f>
        <v>0.43</v>
      </c>
      <c r="N197" s="50">
        <f>VLOOKUP($A197,'[1]ma sp 02'!$A$5:$BD$1101,N$1,0)</f>
        <v>0</v>
      </c>
      <c r="O197" s="50">
        <f>VLOOKUP($A197,'[1]ma sp 02'!$A$5:$BD$1101,O$1,0)</f>
        <v>0.3</v>
      </c>
      <c r="P197" s="50">
        <f>VLOOKUP($A197,'[1]ma sp 02'!$A$5:$BD$1101,P$1,0)</f>
        <v>0.04</v>
      </c>
      <c r="Q197" s="50">
        <f>VLOOKUP($A197,'[1]ma sp 02'!$A$5:$BD$1101,Q$1,0)</f>
        <v>0.09</v>
      </c>
      <c r="R197" s="50">
        <f>VLOOKUP($A197,'[1]ma sp 02'!$A$5:$BD$1101,R$1,0)</f>
        <v>0</v>
      </c>
      <c r="S197" s="50">
        <f>VLOOKUP($A197,'[1]ma sp 02'!$A$5:$BD$1101,S$1,0)</f>
        <v>0</v>
      </c>
      <c r="T197" s="50">
        <f>VLOOKUP($A197,'[1]ma sp 02'!$A$5:$BD$1101,T$1,0)</f>
        <v>0.02</v>
      </c>
      <c r="U197" s="50">
        <f>VLOOKUP($A197,'[1]ma sp 02'!$A$5:$BD$1101,U$1,0)</f>
        <v>0.01</v>
      </c>
      <c r="V197" s="50">
        <f>VLOOKUP($A197,'[1]ma sp 02'!$A$5:$BD$1101,V$1,0)</f>
        <v>0</v>
      </c>
      <c r="W197" s="50">
        <f>VLOOKUP($A197,'[1]ma sp 02'!$A$5:$BD$1101,W$1,0)</f>
        <v>0</v>
      </c>
      <c r="X197" s="50">
        <f t="shared" si="4"/>
        <v>11</v>
      </c>
      <c r="Y197" s="57"/>
      <c r="Z197" s="58"/>
      <c r="AA197" s="57"/>
      <c r="AB197" s="57"/>
      <c r="AC197" s="57"/>
      <c r="AD197" s="57"/>
      <c r="AE197" s="58" t="s">
        <v>749</v>
      </c>
      <c r="AF197" s="57"/>
      <c r="AG197" s="71">
        <f>(0.02*0.91+0.08*0.925)*0.9</f>
        <v>8.2980000000000012E-2</v>
      </c>
      <c r="AH197" s="63">
        <f>(2.3/0.75/2)*0.89</f>
        <v>1.3646666666666665</v>
      </c>
      <c r="AI197" s="57"/>
      <c r="AJ197" s="58">
        <v>9530</v>
      </c>
      <c r="AK197" s="57"/>
      <c r="AL197" s="58">
        <v>2.3E-3</v>
      </c>
      <c r="AM197" s="52" t="s">
        <v>750</v>
      </c>
      <c r="AN197" s="57">
        <v>310</v>
      </c>
      <c r="AO197" s="52" t="s">
        <v>527</v>
      </c>
      <c r="AP197" s="59" t="str">
        <f>IFERROR(VLOOKUP($A197,[2]Mssp!$A$5:$BE$1463,AP$4+1,0),0)</f>
        <v>1710841-1</v>
      </c>
      <c r="AQ197" s="59" t="str">
        <f>IFERROR(VLOOKUP($A197,[2]Mssp!$A$5:$BE$1463,AQ$4+1,0),0)</f>
        <v>1903063-2</v>
      </c>
      <c r="AR197" s="59" t="str">
        <f>IFERROR(VLOOKUP($A197,[2]Mssp!$A$5:$BE$1463,AR$4+1,0),0)</f>
        <v>1609240-3</v>
      </c>
      <c r="AS197" s="59" t="str">
        <f>IFERROR(VLOOKUP($A197,[2]Mssp!$A$5:$BE$1463,AS$4+1,0),0)</f>
        <v>1903063-4</v>
      </c>
      <c r="AT197" s="59" t="str">
        <f>IFERROR(VLOOKUP($A197,[2]Mssp!$A$5:$BE$1463,AT$4+1,0),0)</f>
        <v>1911489-5</v>
      </c>
      <c r="AU197" s="59" t="str">
        <f>IFERROR(VLOOKUP($A197,[2]Mssp!$A$5:$BE$1463,AU$4+1,0),0)</f>
        <v>19121037-6</v>
      </c>
      <c r="AV197" s="59" t="str">
        <f>IFERROR(VLOOKUP($A197,[2]Mssp!$A$5:$BE$1463,AV$4+1,0),0)</f>
        <v>20110138-7</v>
      </c>
      <c r="AW197" s="59" t="str">
        <f>IFERROR(VLOOKUP($A197,[2]Mssp!$A$5:$BE$1463,AW$4+1,0),0)</f>
        <v>20110138-8</v>
      </c>
      <c r="AX197" s="59">
        <f>IFERROR(VLOOKUP($A197,[2]Mssp!$A$5:$BE$1463,AX$4+1,0),0)</f>
        <v>0</v>
      </c>
      <c r="AY197" s="59" t="str">
        <f>IFERROR(VLOOKUP($A197,[2]Mssp!$A$5:$BE$1463,AY$4+2,0),0)</f>
        <v>620x1100</v>
      </c>
      <c r="AZ197" s="59" t="str">
        <f>IFERROR(VLOOKUP($A197,[2]Mssp!$A$5:$BE$1463,AZ$4+2,0),0)</f>
        <v>I1</v>
      </c>
      <c r="BA197" s="60">
        <v>4000</v>
      </c>
      <c r="BB197" s="61" t="s">
        <v>251</v>
      </c>
      <c r="BC197" s="62"/>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c r="CO197" s="9"/>
      <c r="CP197" s="9"/>
    </row>
    <row r="198" spans="1:94" ht="60" x14ac:dyDescent="0.25">
      <c r="A198" s="50" t="s">
        <v>751</v>
      </c>
      <c r="B198" s="73" t="s">
        <v>752</v>
      </c>
      <c r="C198" s="50">
        <f t="shared" si="5"/>
        <v>5.25</v>
      </c>
      <c r="D198" s="58">
        <v>2</v>
      </c>
      <c r="E198" s="58" t="s">
        <v>748</v>
      </c>
      <c r="F198" s="58">
        <v>8</v>
      </c>
      <c r="G198" s="50" t="s">
        <v>56</v>
      </c>
      <c r="H198" s="50">
        <f>VLOOKUP($A198,'[1]ma sp 02'!$A$5:$BD$1101,H$1,0)</f>
        <v>0.1</v>
      </c>
      <c r="I198" s="50">
        <f>VLOOKUP($A198,'[1]ma sp 02'!$A$5:$BD$1101,I$1,0)</f>
        <v>2.5</v>
      </c>
      <c r="J198" s="50">
        <f>VLOOKUP($A198,'[1]ma sp 02'!$A$5:$BD$1101,J$1,0)</f>
        <v>0.2</v>
      </c>
      <c r="K198" s="50">
        <f>VLOOKUP($A198,'[1]ma sp 02'!$A$5:$BD$1101,K$1,0)</f>
        <v>0.2</v>
      </c>
      <c r="L198" s="50">
        <f>VLOOKUP($A198,'[1]ma sp 02'!$A$5:$BD$1101,L$1,0)</f>
        <v>0.9</v>
      </c>
      <c r="M198" s="50">
        <f>VLOOKUP($A198,'[1]ma sp 02'!$A$5:$BD$1101,M$1,0)</f>
        <v>0.5</v>
      </c>
      <c r="N198" s="50">
        <f>VLOOKUP($A198,'[1]ma sp 02'!$A$5:$BD$1101,N$1,0)</f>
        <v>0</v>
      </c>
      <c r="O198" s="50">
        <f>VLOOKUP($A198,'[1]ma sp 02'!$A$5:$BD$1101,O$1,0)</f>
        <v>0.2</v>
      </c>
      <c r="P198" s="50">
        <f>VLOOKUP($A198,'[1]ma sp 02'!$A$5:$BD$1101,P$1,0)</f>
        <v>0</v>
      </c>
      <c r="Q198" s="50">
        <f>VLOOKUP($A198,'[1]ma sp 02'!$A$5:$BD$1101,Q$1,0)</f>
        <v>0.05</v>
      </c>
      <c r="R198" s="50">
        <f>VLOOKUP($A198,'[1]ma sp 02'!$A$5:$BD$1101,R$1,0)</f>
        <v>0.1</v>
      </c>
      <c r="S198" s="50">
        <f>VLOOKUP($A198,'[1]ma sp 02'!$A$5:$BD$1101,S$1,0)</f>
        <v>0</v>
      </c>
      <c r="T198" s="50">
        <f>VLOOKUP($A198,'[1]ma sp 02'!$A$5:$BD$1101,T$1,0)</f>
        <v>0.5</v>
      </c>
      <c r="U198" s="50">
        <f>VLOOKUP($A198,'[1]ma sp 02'!$A$5:$BD$1101,U$1,0)</f>
        <v>0</v>
      </c>
      <c r="V198" s="50">
        <f>VLOOKUP($A198,'[1]ma sp 02'!$A$5:$BD$1101,V$1,0)</f>
        <v>0</v>
      </c>
      <c r="W198" s="50">
        <f>VLOOKUP($A198,'[1]ma sp 02'!$A$5:$BD$1101,W$1,0)</f>
        <v>0</v>
      </c>
      <c r="X198" s="50">
        <f t="shared" si="4"/>
        <v>10</v>
      </c>
      <c r="Y198" s="57"/>
      <c r="Z198" s="57"/>
      <c r="AA198" s="57"/>
      <c r="AB198" s="57"/>
      <c r="AC198" s="57"/>
      <c r="AD198" s="57"/>
      <c r="AE198" s="58" t="s">
        <v>749</v>
      </c>
      <c r="AF198" s="57"/>
      <c r="AG198" s="71">
        <f>(0.02*0.91+0.08*0.925)*0.9</f>
        <v>8.2980000000000012E-2</v>
      </c>
      <c r="AH198" s="63">
        <f>(2.3/0.75/2)*0.89</f>
        <v>1.3646666666666665</v>
      </c>
      <c r="AI198" s="57"/>
      <c r="AJ198" s="58">
        <v>9530</v>
      </c>
      <c r="AK198" s="57"/>
      <c r="AL198" s="58">
        <v>2.3E-3</v>
      </c>
      <c r="AM198" s="52" t="s">
        <v>750</v>
      </c>
      <c r="AN198" s="57">
        <v>310</v>
      </c>
      <c r="AO198" s="52" t="s">
        <v>527</v>
      </c>
      <c r="AP198" s="59">
        <f>IFERROR(VLOOKUP($A198,[2]Mssp!$A$5:$BE$1463,AP$4+1,0),0)</f>
        <v>0</v>
      </c>
      <c r="AQ198" s="59">
        <f>IFERROR(VLOOKUP($A198,[2]Mssp!$A$5:$BE$1463,AQ$4+1,0),0)</f>
        <v>0</v>
      </c>
      <c r="AR198" s="59">
        <f>IFERROR(VLOOKUP($A198,[2]Mssp!$A$5:$BE$1463,AR$4+1,0),0)</f>
        <v>0</v>
      </c>
      <c r="AS198" s="59">
        <f>IFERROR(VLOOKUP($A198,[2]Mssp!$A$5:$BE$1463,AS$4+1,0),0)</f>
        <v>0</v>
      </c>
      <c r="AT198" s="59">
        <f>IFERROR(VLOOKUP($A198,[2]Mssp!$A$5:$BE$1463,AT$4+1,0),0)</f>
        <v>0</v>
      </c>
      <c r="AU198" s="59">
        <f>IFERROR(VLOOKUP($A198,[2]Mssp!$A$5:$BE$1463,AU$4+1,0),0)</f>
        <v>0</v>
      </c>
      <c r="AV198" s="59">
        <f>IFERROR(VLOOKUP($A198,[2]Mssp!$A$5:$BE$1463,AV$4+1,0),0)</f>
        <v>0</v>
      </c>
      <c r="AW198" s="59">
        <f>IFERROR(VLOOKUP($A198,[2]Mssp!$A$5:$BE$1463,AW$4+1,0),0)</f>
        <v>0</v>
      </c>
      <c r="AX198" s="59">
        <f>IFERROR(VLOOKUP($A198,[2]Mssp!$A$5:$BE$1463,AX$4+1,0),0)</f>
        <v>0</v>
      </c>
      <c r="AY198" s="59">
        <f>IFERROR(VLOOKUP($A198,[2]Mssp!$A$5:$BE$1463,AY$4+2,0),0)</f>
        <v>0</v>
      </c>
      <c r="AZ198" s="59">
        <f>IFERROR(VLOOKUP($A198,[2]Mssp!$A$5:$BE$1463,AZ$4+2,0),0)</f>
        <v>0</v>
      </c>
      <c r="BA198" s="60">
        <v>4000</v>
      </c>
      <c r="BB198" s="61" t="s">
        <v>251</v>
      </c>
      <c r="BC198" s="62"/>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c r="CP198" s="9"/>
    </row>
    <row r="199" spans="1:94" ht="45" x14ac:dyDescent="0.25">
      <c r="A199" s="50" t="s">
        <v>753</v>
      </c>
      <c r="B199" s="73" t="s">
        <v>754</v>
      </c>
      <c r="C199" s="50">
        <f t="shared" si="5"/>
        <v>6.3999999999999995</v>
      </c>
      <c r="D199" s="58">
        <v>1</v>
      </c>
      <c r="E199" s="58" t="s">
        <v>755</v>
      </c>
      <c r="F199" s="58">
        <v>7</v>
      </c>
      <c r="G199" s="50" t="s">
        <v>56</v>
      </c>
      <c r="H199" s="50">
        <f>VLOOKUP($A199,'[1]ma sp 02'!$A$5:$BD$1101,H$1,0)</f>
        <v>1.1000000000000001</v>
      </c>
      <c r="I199" s="50">
        <f>VLOOKUP($A199,'[1]ma sp 02'!$A$5:$BD$1101,I$1,0)</f>
        <v>0</v>
      </c>
      <c r="J199" s="50">
        <f>VLOOKUP($A199,'[1]ma sp 02'!$A$5:$BD$1101,J$1,0)</f>
        <v>1</v>
      </c>
      <c r="K199" s="50">
        <f>VLOOKUP($A199,'[1]ma sp 02'!$A$5:$BD$1101,K$1,0)</f>
        <v>1</v>
      </c>
      <c r="L199" s="50">
        <f>VLOOKUP($A199,'[1]ma sp 02'!$A$5:$BD$1101,L$1,0)</f>
        <v>2</v>
      </c>
      <c r="M199" s="50">
        <f>VLOOKUP($A199,'[1]ma sp 02'!$A$5:$BD$1101,M$1,0)</f>
        <v>0.5</v>
      </c>
      <c r="N199" s="50">
        <f>VLOOKUP($A199,'[1]ma sp 02'!$A$5:$BD$1101,N$1,0)</f>
        <v>0</v>
      </c>
      <c r="O199" s="50">
        <f>VLOOKUP($A199,'[1]ma sp 02'!$A$5:$BD$1101,O$1,0)</f>
        <v>0</v>
      </c>
      <c r="P199" s="50">
        <f>VLOOKUP($A199,'[1]ma sp 02'!$A$5:$BD$1101,P$1,0)</f>
        <v>0</v>
      </c>
      <c r="Q199" s="50">
        <f>VLOOKUP($A199,'[1]ma sp 02'!$A$5:$BD$1101,Q$1,0)</f>
        <v>0.5</v>
      </c>
      <c r="R199" s="50">
        <f>VLOOKUP($A199,'[1]ma sp 02'!$A$5:$BD$1101,R$1,0)</f>
        <v>0.1</v>
      </c>
      <c r="S199" s="50">
        <f>VLOOKUP($A199,'[1]ma sp 02'!$A$5:$BD$1101,S$1,0)</f>
        <v>0</v>
      </c>
      <c r="T199" s="50">
        <f>VLOOKUP($A199,'[1]ma sp 02'!$A$5:$BD$1101,T$1,0)</f>
        <v>0.2</v>
      </c>
      <c r="U199" s="50">
        <f>VLOOKUP($A199,'[1]ma sp 02'!$A$5:$BD$1101,U$1,0)</f>
        <v>0</v>
      </c>
      <c r="V199" s="50">
        <f>VLOOKUP($A199,'[1]ma sp 02'!$A$5:$BD$1101,V$1,0)</f>
        <v>0</v>
      </c>
      <c r="W199" s="50">
        <f>VLOOKUP($A199,'[1]ma sp 02'!$A$5:$BD$1101,W$1,0)</f>
        <v>0</v>
      </c>
      <c r="X199" s="50">
        <f t="shared" si="4"/>
        <v>8</v>
      </c>
      <c r="Y199" s="57"/>
      <c r="Z199" s="57"/>
      <c r="AA199" s="57"/>
      <c r="AB199" s="57"/>
      <c r="AC199" s="57"/>
      <c r="AD199" s="57"/>
      <c r="AE199" s="57"/>
      <c r="AF199" s="57"/>
      <c r="AG199" s="57"/>
      <c r="AH199" s="57"/>
      <c r="AI199" s="57"/>
      <c r="AJ199" s="57"/>
      <c r="AK199" s="57"/>
      <c r="AL199" s="57"/>
      <c r="AM199" s="52" t="s">
        <v>756</v>
      </c>
      <c r="AN199" s="57">
        <v>690</v>
      </c>
      <c r="AO199" s="52" t="s">
        <v>527</v>
      </c>
      <c r="AP199" s="59">
        <f>IFERROR(VLOOKUP($A199,[2]Mssp!$A$5:$BE$1463,AP$4+1,0),0)</f>
        <v>0</v>
      </c>
      <c r="AQ199" s="59">
        <f>IFERROR(VLOOKUP($A199,[2]Mssp!$A$5:$BE$1463,AQ$4+1,0),0)</f>
        <v>0</v>
      </c>
      <c r="AR199" s="59">
        <f>IFERROR(VLOOKUP($A199,[2]Mssp!$A$5:$BE$1463,AR$4+1,0),0)</f>
        <v>0</v>
      </c>
      <c r="AS199" s="59">
        <f>IFERROR(VLOOKUP($A199,[2]Mssp!$A$5:$BE$1463,AS$4+1,0),0)</f>
        <v>0</v>
      </c>
      <c r="AT199" s="59">
        <f>IFERROR(VLOOKUP($A199,[2]Mssp!$A$5:$BE$1463,AT$4+1,0),0)</f>
        <v>0</v>
      </c>
      <c r="AU199" s="59">
        <f>IFERROR(VLOOKUP($A199,[2]Mssp!$A$5:$BE$1463,AU$4+1,0),0)</f>
        <v>0</v>
      </c>
      <c r="AV199" s="59">
        <f>IFERROR(VLOOKUP($A199,[2]Mssp!$A$5:$BE$1463,AV$4+1,0),0)</f>
        <v>0</v>
      </c>
      <c r="AW199" s="59">
        <f>IFERROR(VLOOKUP($A199,[2]Mssp!$A$5:$BE$1463,AW$4+1,0),0)</f>
        <v>0</v>
      </c>
      <c r="AX199" s="59">
        <f>IFERROR(VLOOKUP($A199,[2]Mssp!$A$5:$BE$1463,AX$4+1,0),0)</f>
        <v>0</v>
      </c>
      <c r="AY199" s="59">
        <f>IFERROR(VLOOKUP($A199,[2]Mssp!$A$5:$BE$1463,AY$4+2,0),0)</f>
        <v>0</v>
      </c>
      <c r="AZ199" s="59">
        <f>IFERROR(VLOOKUP($A199,[2]Mssp!$A$5:$BE$1463,AZ$4+2,0),0)</f>
        <v>0</v>
      </c>
      <c r="BA199" s="60" t="s">
        <v>106</v>
      </c>
      <c r="BB199" s="61" t="s">
        <v>107</v>
      </c>
      <c r="BC199" s="62"/>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c r="CO199" s="9"/>
      <c r="CP199" s="9"/>
    </row>
    <row r="200" spans="1:94" ht="45" x14ac:dyDescent="0.25">
      <c r="A200" s="50" t="s">
        <v>757</v>
      </c>
      <c r="B200" s="73" t="s">
        <v>758</v>
      </c>
      <c r="C200" s="50">
        <f t="shared" si="5"/>
        <v>3.67</v>
      </c>
      <c r="D200" s="58">
        <v>1</v>
      </c>
      <c r="E200" s="58" t="s">
        <v>755</v>
      </c>
      <c r="F200" s="58">
        <v>7</v>
      </c>
      <c r="G200" s="50" t="s">
        <v>56</v>
      </c>
      <c r="H200" s="50">
        <f>VLOOKUP($A200,'[1]ma sp 02'!$A$5:$BD$1101,H$1,0)</f>
        <v>0.5</v>
      </c>
      <c r="I200" s="50">
        <f>VLOOKUP($A200,'[1]ma sp 02'!$A$5:$BD$1101,I$1,0)</f>
        <v>0</v>
      </c>
      <c r="J200" s="50">
        <f>VLOOKUP($A200,'[1]ma sp 02'!$A$5:$BD$1101,J$1,0)</f>
        <v>0.38</v>
      </c>
      <c r="K200" s="50">
        <f>VLOOKUP($A200,'[1]ma sp 02'!$A$5:$BD$1101,K$1,0)</f>
        <v>0.22</v>
      </c>
      <c r="L200" s="50">
        <f>VLOOKUP($A200,'[1]ma sp 02'!$A$5:$BD$1101,L$1,0)</f>
        <v>1.85</v>
      </c>
      <c r="M200" s="50">
        <f>VLOOKUP($A200,'[1]ma sp 02'!$A$5:$BD$1101,M$1,0)</f>
        <v>0.06</v>
      </c>
      <c r="N200" s="50">
        <f>VLOOKUP($A200,'[1]ma sp 02'!$A$5:$BD$1101,N$1,0)</f>
        <v>0</v>
      </c>
      <c r="O200" s="50">
        <f>VLOOKUP($A200,'[1]ma sp 02'!$A$5:$BD$1101,O$1,0)</f>
        <v>0.28999999999999998</v>
      </c>
      <c r="P200" s="50">
        <f>VLOOKUP($A200,'[1]ma sp 02'!$A$5:$BD$1101,P$1,0)</f>
        <v>0.01</v>
      </c>
      <c r="Q200" s="50">
        <f>VLOOKUP($A200,'[1]ma sp 02'!$A$5:$BD$1101,Q$1,0)</f>
        <v>0.34</v>
      </c>
      <c r="R200" s="50">
        <f>VLOOKUP($A200,'[1]ma sp 02'!$A$5:$BD$1101,R$1,0)</f>
        <v>0</v>
      </c>
      <c r="S200" s="50">
        <f>VLOOKUP($A200,'[1]ma sp 02'!$A$5:$BD$1101,S$1,0)</f>
        <v>0</v>
      </c>
      <c r="T200" s="50">
        <f>VLOOKUP($A200,'[1]ma sp 02'!$A$5:$BD$1101,T$1,0)</f>
        <v>0.02</v>
      </c>
      <c r="U200" s="50">
        <f>VLOOKUP($A200,'[1]ma sp 02'!$A$5:$BD$1101,U$1,0)</f>
        <v>0</v>
      </c>
      <c r="V200" s="50">
        <f>VLOOKUP($A200,'[1]ma sp 02'!$A$5:$BD$1101,V$1,0)</f>
        <v>0</v>
      </c>
      <c r="W200" s="50">
        <f>VLOOKUP($A200,'[1]ma sp 02'!$A$5:$BD$1101,W$1,0)</f>
        <v>0</v>
      </c>
      <c r="X200" s="50">
        <f t="shared" ref="X200:X263" si="6">COUNTIF(H200:W200, "&gt;0")</f>
        <v>9</v>
      </c>
      <c r="Y200" s="57"/>
      <c r="Z200" s="57"/>
      <c r="AA200" s="57"/>
      <c r="AB200" s="57"/>
      <c r="AC200" s="57"/>
      <c r="AD200" s="57"/>
      <c r="AE200" s="57"/>
      <c r="AF200" s="57"/>
      <c r="AG200" s="57"/>
      <c r="AH200" s="57"/>
      <c r="AI200" s="57"/>
      <c r="AJ200" s="57"/>
      <c r="AK200" s="57"/>
      <c r="AL200" s="57"/>
      <c r="AM200" s="52" t="s">
        <v>756</v>
      </c>
      <c r="AN200" s="57">
        <v>690</v>
      </c>
      <c r="AO200" s="52" t="s">
        <v>527</v>
      </c>
      <c r="AP200" s="59" t="str">
        <f>IFERROR(VLOOKUP($A200,[2]Mssp!$A$5:$BE$1463,AP$4+1,0),0)</f>
        <v>17101029-1</v>
      </c>
      <c r="AQ200" s="59" t="s">
        <v>759</v>
      </c>
      <c r="AR200" s="59" t="str">
        <f>IFERROR(VLOOKUP($A200,[2]Mssp!$A$5:$BE$1463,AR$4+1,0),0)</f>
        <v>17101029-3</v>
      </c>
      <c r="AS200" s="59" t="str">
        <f>IFERROR(VLOOKUP($A200,[2]Mssp!$A$5:$BE$1463,AS$4+1,0),0)</f>
        <v>1710745-4</v>
      </c>
      <c r="AT200" s="59" t="str">
        <f>IFERROR(VLOOKUP($A200,[2]Mssp!$A$5:$BE$1463,AT$4+1,0),0)</f>
        <v>17101029-5</v>
      </c>
      <c r="AU200" s="59" t="str">
        <f>IFERROR(VLOOKUP($A200,[2]Mssp!$A$5:$BE$1463,AU$4+1,0),0)</f>
        <v>1602242-6</v>
      </c>
      <c r="AV200" s="59" t="str">
        <f>IFERROR(VLOOKUP($A200,[2]Mssp!$A$5:$BE$1463,AV$4+1,0),0)</f>
        <v>1903062-7</v>
      </c>
      <c r="AW200" s="59" t="str">
        <f>IFERROR(VLOOKUP($A200,[2]Mssp!$A$5:$BE$1463,AW$4+1,0),0)</f>
        <v>1602242-8</v>
      </c>
      <c r="AX200" s="59">
        <f>IFERROR(VLOOKUP($A200,[2]Mssp!$A$5:$BE$1463,AX$4+1,0),0)</f>
        <v>0</v>
      </c>
      <c r="AY200" s="59" t="str">
        <f>IFERROR(VLOOKUP($A200,[2]Mssp!$A$5:$BE$1463,AY$4+2,0),0)</f>
        <v>1100x850</v>
      </c>
      <c r="AZ200" s="59" t="str">
        <f>IFERROR(VLOOKUP($A200,[2]Mssp!$A$5:$BE$1463,AZ$4+2,0),0)</f>
        <v>K1</v>
      </c>
      <c r="BA200" s="60" t="s">
        <v>106</v>
      </c>
      <c r="BB200" s="61" t="s">
        <v>107</v>
      </c>
      <c r="BC200" s="62"/>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c r="CP200" s="9"/>
    </row>
    <row r="201" spans="1:94" ht="45" x14ac:dyDescent="0.25">
      <c r="A201" s="50" t="s">
        <v>760</v>
      </c>
      <c r="B201" s="51" t="s">
        <v>761</v>
      </c>
      <c r="C201" s="50">
        <f t="shared" si="5"/>
        <v>7.1000000000000005</v>
      </c>
      <c r="D201" s="58">
        <v>1</v>
      </c>
      <c r="E201" s="58" t="s">
        <v>762</v>
      </c>
      <c r="F201" s="58">
        <v>7</v>
      </c>
      <c r="G201" s="50" t="s">
        <v>56</v>
      </c>
      <c r="H201" s="50">
        <f>VLOOKUP($A201,'[1]ma sp 02'!$A$5:$BD$1101,H$1,0)</f>
        <v>0.1</v>
      </c>
      <c r="I201" s="50">
        <f>VLOOKUP($A201,'[1]ma sp 02'!$A$5:$BD$1101,I$1,0)</f>
        <v>2.4</v>
      </c>
      <c r="J201" s="50">
        <f>VLOOKUP($A201,'[1]ma sp 02'!$A$5:$BD$1101,J$1,0)</f>
        <v>0.1</v>
      </c>
      <c r="K201" s="50">
        <f>VLOOKUP($A201,'[1]ma sp 02'!$A$5:$BD$1101,K$1,0)</f>
        <v>0.5</v>
      </c>
      <c r="L201" s="50">
        <f>VLOOKUP($A201,'[1]ma sp 02'!$A$5:$BD$1101,L$1,0)</f>
        <v>1.3</v>
      </c>
      <c r="M201" s="50">
        <f>VLOOKUP($A201,'[1]ma sp 02'!$A$5:$BD$1101,M$1,0)</f>
        <v>1.3</v>
      </c>
      <c r="N201" s="50">
        <f>VLOOKUP($A201,'[1]ma sp 02'!$A$5:$BD$1101,N$1,0)</f>
        <v>0</v>
      </c>
      <c r="O201" s="50">
        <f>VLOOKUP($A201,'[1]ma sp 02'!$A$5:$BD$1101,O$1,0)</f>
        <v>0</v>
      </c>
      <c r="P201" s="50">
        <f>VLOOKUP($A201,'[1]ma sp 02'!$A$5:$BD$1101,P$1,0)</f>
        <v>0.2</v>
      </c>
      <c r="Q201" s="50">
        <f>VLOOKUP($A201,'[1]ma sp 02'!$A$5:$BD$1101,Q$1,0)</f>
        <v>1.2</v>
      </c>
      <c r="R201" s="50">
        <f>VLOOKUP($A201,'[1]ma sp 02'!$A$5:$BD$1101,R$1,0)</f>
        <v>0</v>
      </c>
      <c r="S201" s="50">
        <f>VLOOKUP($A201,'[1]ma sp 02'!$A$5:$BD$1101,S$1,0)</f>
        <v>0</v>
      </c>
      <c r="T201" s="50">
        <f>VLOOKUP($A201,'[1]ma sp 02'!$A$5:$BD$1101,T$1,0)</f>
        <v>0</v>
      </c>
      <c r="U201" s="50">
        <f>VLOOKUP($A201,'[1]ma sp 02'!$A$5:$BD$1101,U$1,0)</f>
        <v>0</v>
      </c>
      <c r="V201" s="50">
        <f>VLOOKUP($A201,'[1]ma sp 02'!$A$5:$BD$1101,V$1,0)</f>
        <v>0</v>
      </c>
      <c r="W201" s="50">
        <f>VLOOKUP($A201,'[1]ma sp 02'!$A$5:$BD$1101,W$1,0)</f>
        <v>0</v>
      </c>
      <c r="X201" s="50">
        <f t="shared" si="6"/>
        <v>8</v>
      </c>
      <c r="Y201" s="57"/>
      <c r="Z201" s="57"/>
      <c r="AA201" s="57"/>
      <c r="AB201" s="57"/>
      <c r="AC201" s="57"/>
      <c r="AD201" s="57"/>
      <c r="AE201" s="58" t="s">
        <v>394</v>
      </c>
      <c r="AF201" s="58" t="s">
        <v>763</v>
      </c>
      <c r="AG201" s="71">
        <f>(0.02*0.91+0.012*1.4+0.03*0.925)*0.66</f>
        <v>4.1415E-2</v>
      </c>
      <c r="AH201" s="63">
        <f>(2.3/0.75/2)*0.65</f>
        <v>0.99666666666666659</v>
      </c>
      <c r="AI201" s="55">
        <f>(0.0025*0.65*3)/(10*0.3)*1000</f>
        <v>1.6250000000000004</v>
      </c>
      <c r="AJ201" s="58">
        <v>9530</v>
      </c>
      <c r="AK201" s="57">
        <v>9690</v>
      </c>
      <c r="AL201" s="52" t="s">
        <v>764</v>
      </c>
      <c r="AM201" s="52" t="s">
        <v>74</v>
      </c>
      <c r="AN201" s="57">
        <v>350</v>
      </c>
      <c r="AO201" s="52" t="s">
        <v>61</v>
      </c>
      <c r="AP201" s="59">
        <f>IFERROR(VLOOKUP($A201,[2]Mssp!$A$5:$BE$1463,AP$4+1,0),0)</f>
        <v>0</v>
      </c>
      <c r="AQ201" s="59">
        <f>IFERROR(VLOOKUP($A201,[2]Mssp!$A$5:$BE$1463,AQ$4+1,0),0)</f>
        <v>0</v>
      </c>
      <c r="AR201" s="59">
        <f>IFERROR(VLOOKUP($A201,[2]Mssp!$A$5:$BE$1463,AR$4+1,0),0)</f>
        <v>0</v>
      </c>
      <c r="AS201" s="59">
        <f>IFERROR(VLOOKUP($A201,[2]Mssp!$A$5:$BE$1463,AS$4+1,0),0)</f>
        <v>0</v>
      </c>
      <c r="AT201" s="59">
        <f>IFERROR(VLOOKUP($A201,[2]Mssp!$A$5:$BE$1463,AT$4+1,0),0)</f>
        <v>0</v>
      </c>
      <c r="AU201" s="59">
        <f>IFERROR(VLOOKUP($A201,[2]Mssp!$A$5:$BE$1463,AU$4+1,0),0)</f>
        <v>0</v>
      </c>
      <c r="AV201" s="59">
        <f>IFERROR(VLOOKUP($A201,[2]Mssp!$A$5:$BE$1463,AV$4+1,0),0)</f>
        <v>0</v>
      </c>
      <c r="AW201" s="59">
        <f>IFERROR(VLOOKUP($A201,[2]Mssp!$A$5:$BE$1463,AW$4+1,0),0)</f>
        <v>0</v>
      </c>
      <c r="AX201" s="59">
        <f>IFERROR(VLOOKUP($A201,[2]Mssp!$A$5:$BE$1463,AX$4+1,0),0)</f>
        <v>0</v>
      </c>
      <c r="AY201" s="59">
        <f>IFERROR(VLOOKUP($A201,[2]Mssp!$A$5:$BE$1463,AY$4+2,0),0)</f>
        <v>0</v>
      </c>
      <c r="AZ201" s="59">
        <f>IFERROR(VLOOKUP($A201,[2]Mssp!$A$5:$BE$1463,AZ$4+2,0),0)</f>
        <v>0</v>
      </c>
      <c r="BA201" s="60">
        <v>2500</v>
      </c>
      <c r="BB201" s="61" t="s">
        <v>62</v>
      </c>
      <c r="BC201" s="62"/>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c r="CO201" s="9"/>
      <c r="CP201" s="9"/>
    </row>
    <row r="202" spans="1:94" ht="45" x14ac:dyDescent="0.25">
      <c r="A202" s="50" t="s">
        <v>765</v>
      </c>
      <c r="B202" s="51" t="s">
        <v>766</v>
      </c>
      <c r="C202" s="50">
        <f t="shared" si="5"/>
        <v>7.0000000000000009</v>
      </c>
      <c r="D202" s="58">
        <v>1</v>
      </c>
      <c r="E202" s="58" t="s">
        <v>762</v>
      </c>
      <c r="F202" s="58">
        <v>7</v>
      </c>
      <c r="G202" s="50" t="s">
        <v>56</v>
      </c>
      <c r="H202" s="50">
        <f>VLOOKUP($A202,'[1]ma sp 02'!$A$5:$BD$1101,H$1,0)</f>
        <v>0.1</v>
      </c>
      <c r="I202" s="50">
        <f>VLOOKUP($A202,'[1]ma sp 02'!$A$5:$BD$1101,I$1,0)</f>
        <v>3.1</v>
      </c>
      <c r="J202" s="50">
        <f>VLOOKUP($A202,'[1]ma sp 02'!$A$5:$BD$1101,J$1,0)</f>
        <v>0.1</v>
      </c>
      <c r="K202" s="50">
        <f>VLOOKUP($A202,'[1]ma sp 02'!$A$5:$BD$1101,K$1,0)</f>
        <v>0.2</v>
      </c>
      <c r="L202" s="50">
        <f>VLOOKUP($A202,'[1]ma sp 02'!$A$5:$BD$1101,L$1,0)</f>
        <v>1.3</v>
      </c>
      <c r="M202" s="50">
        <f>VLOOKUP($A202,'[1]ma sp 02'!$A$5:$BD$1101,M$1,0)</f>
        <v>0.6</v>
      </c>
      <c r="N202" s="50">
        <f>VLOOKUP($A202,'[1]ma sp 02'!$A$5:$BD$1101,N$1,0)</f>
        <v>0</v>
      </c>
      <c r="O202" s="50">
        <f>VLOOKUP($A202,'[1]ma sp 02'!$A$5:$BD$1101,O$1,0)</f>
        <v>0</v>
      </c>
      <c r="P202" s="50">
        <f>VLOOKUP($A202,'[1]ma sp 02'!$A$5:$BD$1101,P$1,0)</f>
        <v>0.2</v>
      </c>
      <c r="Q202" s="50">
        <f>VLOOKUP($A202,'[1]ma sp 02'!$A$5:$BD$1101,Q$1,0)</f>
        <v>1.1000000000000001</v>
      </c>
      <c r="R202" s="50">
        <f>VLOOKUP($A202,'[1]ma sp 02'!$A$5:$BD$1101,R$1,0)</f>
        <v>0</v>
      </c>
      <c r="S202" s="50">
        <f>VLOOKUP($A202,'[1]ma sp 02'!$A$5:$BD$1101,S$1,0)</f>
        <v>0</v>
      </c>
      <c r="T202" s="50">
        <f>VLOOKUP($A202,'[1]ma sp 02'!$A$5:$BD$1101,T$1,0)</f>
        <v>0</v>
      </c>
      <c r="U202" s="50">
        <f>VLOOKUP($A202,'[1]ma sp 02'!$A$5:$BD$1101,U$1,0)</f>
        <v>0</v>
      </c>
      <c r="V202" s="50">
        <f>VLOOKUP($A202,'[1]ma sp 02'!$A$5:$BD$1101,V$1,0)</f>
        <v>0.3</v>
      </c>
      <c r="W202" s="50">
        <f>VLOOKUP($A202,'[1]ma sp 02'!$A$5:$BD$1101,W$1,0)</f>
        <v>0</v>
      </c>
      <c r="X202" s="50">
        <f t="shared" si="6"/>
        <v>9</v>
      </c>
      <c r="Y202" s="57"/>
      <c r="Z202" s="57"/>
      <c r="AA202" s="57"/>
      <c r="AB202" s="57"/>
      <c r="AC202" s="57"/>
      <c r="AD202" s="57"/>
      <c r="AE202" s="58" t="s">
        <v>394</v>
      </c>
      <c r="AF202" s="58" t="s">
        <v>763</v>
      </c>
      <c r="AG202" s="71">
        <f>(0.02*0.91+0.012*1.4+0.03*0.925)*0.66</f>
        <v>4.1415E-2</v>
      </c>
      <c r="AH202" s="63">
        <f>(2.3/0.75/2)*0.65</f>
        <v>0.99666666666666659</v>
      </c>
      <c r="AI202" s="55">
        <f>(0.0025*0.65*3)/(10*0.3)*1000</f>
        <v>1.6250000000000004</v>
      </c>
      <c r="AJ202" s="58">
        <v>9530</v>
      </c>
      <c r="AK202" s="57">
        <v>9690</v>
      </c>
      <c r="AL202" s="52" t="s">
        <v>764</v>
      </c>
      <c r="AM202" s="52" t="s">
        <v>74</v>
      </c>
      <c r="AN202" s="57">
        <v>350</v>
      </c>
      <c r="AO202" s="52" t="s">
        <v>61</v>
      </c>
      <c r="AP202" s="59">
        <f>IFERROR(VLOOKUP($A202,[2]Mssp!$A$5:$BE$1463,AP$4+1,0),0)</f>
        <v>0</v>
      </c>
      <c r="AQ202" s="59">
        <f>IFERROR(VLOOKUP($A202,[2]Mssp!$A$5:$BE$1463,AQ$4+1,0),0)</f>
        <v>0</v>
      </c>
      <c r="AR202" s="59">
        <f>IFERROR(VLOOKUP($A202,[2]Mssp!$A$5:$BE$1463,AR$4+1,0),0)</f>
        <v>0</v>
      </c>
      <c r="AS202" s="59">
        <f>IFERROR(VLOOKUP($A202,[2]Mssp!$A$5:$BE$1463,AS$4+1,0),0)</f>
        <v>0</v>
      </c>
      <c r="AT202" s="59">
        <f>IFERROR(VLOOKUP($A202,[2]Mssp!$A$5:$BE$1463,AT$4+1,0),0)</f>
        <v>0</v>
      </c>
      <c r="AU202" s="59">
        <f>IFERROR(VLOOKUP($A202,[2]Mssp!$A$5:$BE$1463,AU$4+1,0),0)</f>
        <v>0</v>
      </c>
      <c r="AV202" s="59">
        <f>IFERROR(VLOOKUP($A202,[2]Mssp!$A$5:$BE$1463,AV$4+1,0),0)</f>
        <v>0</v>
      </c>
      <c r="AW202" s="59">
        <f>IFERROR(VLOOKUP($A202,[2]Mssp!$A$5:$BE$1463,AW$4+1,0),0)</f>
        <v>0</v>
      </c>
      <c r="AX202" s="59">
        <f>IFERROR(VLOOKUP($A202,[2]Mssp!$A$5:$BE$1463,AX$4+1,0),0)</f>
        <v>0</v>
      </c>
      <c r="AY202" s="59">
        <f>IFERROR(VLOOKUP($A202,[2]Mssp!$A$5:$BE$1463,AY$4+2,0),0)</f>
        <v>0</v>
      </c>
      <c r="AZ202" s="59">
        <f>IFERROR(VLOOKUP($A202,[2]Mssp!$A$5:$BE$1463,AZ$4+2,0),0)</f>
        <v>0</v>
      </c>
      <c r="BA202" s="60">
        <v>2500</v>
      </c>
      <c r="BB202" s="61" t="s">
        <v>62</v>
      </c>
      <c r="BC202" s="62"/>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c r="CP202" s="9"/>
    </row>
    <row r="203" spans="1:94" ht="60" x14ac:dyDescent="0.25">
      <c r="A203" s="50" t="s">
        <v>767</v>
      </c>
      <c r="B203" s="73" t="s">
        <v>768</v>
      </c>
      <c r="C203" s="50">
        <f t="shared" si="5"/>
        <v>6.9300000000000006</v>
      </c>
      <c r="D203" s="58">
        <v>2</v>
      </c>
      <c r="E203" s="58" t="s">
        <v>748</v>
      </c>
      <c r="F203" s="58">
        <v>8</v>
      </c>
      <c r="G203" s="50" t="s">
        <v>56</v>
      </c>
      <c r="H203" s="50">
        <f>VLOOKUP($A203,'[1]ma sp 02'!$A$5:$BD$1101,H$1,0)</f>
        <v>0.21</v>
      </c>
      <c r="I203" s="50">
        <f>VLOOKUP($A203,'[1]ma sp 02'!$A$5:$BD$1101,I$1,0)</f>
        <v>3.31</v>
      </c>
      <c r="J203" s="50">
        <f>VLOOKUP($A203,'[1]ma sp 02'!$A$5:$BD$1101,J$1,0)</f>
        <v>0.32</v>
      </c>
      <c r="K203" s="50">
        <f>VLOOKUP($A203,'[1]ma sp 02'!$A$5:$BD$1101,K$1,0)</f>
        <v>0.28999999999999998</v>
      </c>
      <c r="L203" s="50">
        <f>VLOOKUP($A203,'[1]ma sp 02'!$A$5:$BD$1101,L$1,0)</f>
        <v>1.1599999999999999</v>
      </c>
      <c r="M203" s="50">
        <f>VLOOKUP($A203,'[1]ma sp 02'!$A$5:$BD$1101,M$1,0)</f>
        <v>0.66</v>
      </c>
      <c r="N203" s="50">
        <f>VLOOKUP($A203,'[1]ma sp 02'!$A$5:$BD$1101,N$1,0)</f>
        <v>0</v>
      </c>
      <c r="O203" s="50">
        <f>VLOOKUP($A203,'[1]ma sp 02'!$A$5:$BD$1101,O$1,0)</f>
        <v>0.83</v>
      </c>
      <c r="P203" s="50">
        <f>VLOOKUP($A203,'[1]ma sp 02'!$A$5:$BD$1101,P$1,0)</f>
        <v>0.03</v>
      </c>
      <c r="Q203" s="50">
        <f>VLOOKUP($A203,'[1]ma sp 02'!$A$5:$BD$1101,Q$1,0)</f>
        <v>0.03</v>
      </c>
      <c r="R203" s="50">
        <f>VLOOKUP($A203,'[1]ma sp 02'!$A$5:$BD$1101,R$1,0)</f>
        <v>0</v>
      </c>
      <c r="S203" s="50">
        <f>VLOOKUP($A203,'[1]ma sp 02'!$A$5:$BD$1101,S$1,0)</f>
        <v>0</v>
      </c>
      <c r="T203" s="50">
        <f>VLOOKUP($A203,'[1]ma sp 02'!$A$5:$BD$1101,T$1,0)</f>
        <v>0.09</v>
      </c>
      <c r="U203" s="50">
        <f>VLOOKUP($A203,'[1]ma sp 02'!$A$5:$BD$1101,U$1,0)</f>
        <v>0</v>
      </c>
      <c r="V203" s="50">
        <f>VLOOKUP($A203,'[1]ma sp 02'!$A$5:$BD$1101,V$1,0)</f>
        <v>0</v>
      </c>
      <c r="W203" s="50">
        <f>VLOOKUP($A203,'[1]ma sp 02'!$A$5:$BD$1101,W$1,0)</f>
        <v>0</v>
      </c>
      <c r="X203" s="50">
        <f t="shared" si="6"/>
        <v>10</v>
      </c>
      <c r="Y203" s="57"/>
      <c r="Z203" s="57"/>
      <c r="AA203" s="57"/>
      <c r="AB203" s="57"/>
      <c r="AC203" s="57"/>
      <c r="AD203" s="57"/>
      <c r="AE203" s="58" t="s">
        <v>749</v>
      </c>
      <c r="AF203" s="57"/>
      <c r="AG203" s="71">
        <f>(0.02*0.91+0.08*0.925)*0.9</f>
        <v>8.2980000000000012E-2</v>
      </c>
      <c r="AH203" s="63">
        <f>(2.3/0.75/2)*0.89</f>
        <v>1.3646666666666665</v>
      </c>
      <c r="AI203" s="57"/>
      <c r="AJ203" s="58">
        <v>9530</v>
      </c>
      <c r="AK203" s="57"/>
      <c r="AL203" s="58">
        <v>2.3E-3</v>
      </c>
      <c r="AM203" s="52" t="s">
        <v>750</v>
      </c>
      <c r="AN203" s="57">
        <v>310</v>
      </c>
      <c r="AO203" s="52" t="s">
        <v>527</v>
      </c>
      <c r="AP203" s="59" t="str">
        <f>IFERROR(VLOOKUP($A203,[2]Mssp!$A$5:$BE$1463,AP$4+1,0),0)</f>
        <v>1710841-1</v>
      </c>
      <c r="AQ203" s="59" t="str">
        <f>IFERROR(VLOOKUP($A203,[2]Mssp!$A$5:$BE$1463,AQ$4+1,0),0)</f>
        <v>1903063-2</v>
      </c>
      <c r="AR203" s="59" t="str">
        <f>IFERROR(VLOOKUP($A203,[2]Mssp!$A$5:$BE$1463,AR$4+1,0),0)</f>
        <v>1609240-3</v>
      </c>
      <c r="AS203" s="59" t="str">
        <f>IFERROR(VLOOKUP($A203,[2]Mssp!$A$5:$BE$1463,AS$4+1,0),0)</f>
        <v>1903063-4</v>
      </c>
      <c r="AT203" s="59" t="str">
        <f>IFERROR(VLOOKUP($A203,[2]Mssp!$A$5:$BE$1463,AT$4+1,0),0)</f>
        <v>1609518-5</v>
      </c>
      <c r="AU203" s="59" t="str">
        <f>IFERROR(VLOOKUP($A203,[2]Mssp!$A$5:$BE$1463,AU$4+1,0),0)</f>
        <v>1609518-6</v>
      </c>
      <c r="AV203" s="59" t="str">
        <f>IFERROR(VLOOKUP($A203,[2]Mssp!$A$5:$BE$1463,AV$4+1,0),0)</f>
        <v>1902522-7</v>
      </c>
      <c r="AW203" s="59" t="str">
        <f>IFERROR(VLOOKUP($A203,[2]Mssp!$A$5:$BE$1463,AW$4+1,0),0)</f>
        <v>20110138-8</v>
      </c>
      <c r="AX203" s="59">
        <f>IFERROR(VLOOKUP($A203,[2]Mssp!$A$5:$BE$1463,AX$4+1,0),0)</f>
        <v>0</v>
      </c>
      <c r="AY203" s="59" t="str">
        <f>IFERROR(VLOOKUP($A203,[2]Mssp!$A$5:$BE$1463,AY$4+2,0),0)</f>
        <v>620x1100</v>
      </c>
      <c r="AZ203" s="59" t="str">
        <f>IFERROR(VLOOKUP($A203,[2]Mssp!$A$5:$BE$1463,AZ$4+2,0),0)</f>
        <v>I1</v>
      </c>
      <c r="BA203" s="60">
        <v>4000</v>
      </c>
      <c r="BB203" s="61" t="s">
        <v>251</v>
      </c>
      <c r="BC203" s="62"/>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row>
    <row r="204" spans="1:94" ht="60" x14ac:dyDescent="0.25">
      <c r="A204" s="50" t="s">
        <v>769</v>
      </c>
      <c r="B204" s="73" t="s">
        <v>770</v>
      </c>
      <c r="C204" s="50">
        <f t="shared" si="5"/>
        <v>6.2099999999999991</v>
      </c>
      <c r="D204" s="58">
        <v>2</v>
      </c>
      <c r="E204" s="58" t="s">
        <v>748</v>
      </c>
      <c r="F204" s="58">
        <v>8</v>
      </c>
      <c r="G204" s="50" t="s">
        <v>56</v>
      </c>
      <c r="H204" s="50">
        <f>VLOOKUP($A204,'[1]ma sp 02'!$A$5:$BD$1101,H$1,0)</f>
        <v>0.09</v>
      </c>
      <c r="I204" s="50">
        <f>VLOOKUP($A204,'[1]ma sp 02'!$A$5:$BD$1101,I$1,0)</f>
        <v>3.62</v>
      </c>
      <c r="J204" s="50">
        <f>VLOOKUP($A204,'[1]ma sp 02'!$A$5:$BD$1101,J$1,0)</f>
        <v>0.13</v>
      </c>
      <c r="K204" s="50">
        <f>VLOOKUP($A204,'[1]ma sp 02'!$A$5:$BD$1101,K$1,0)</f>
        <v>0.06</v>
      </c>
      <c r="L204" s="50">
        <f>VLOOKUP($A204,'[1]ma sp 02'!$A$5:$BD$1101,L$1,0)</f>
        <v>1.22</v>
      </c>
      <c r="M204" s="50">
        <f>VLOOKUP($A204,'[1]ma sp 02'!$A$5:$BD$1101,M$1,0)</f>
        <v>0.76</v>
      </c>
      <c r="N204" s="50">
        <f>VLOOKUP($A204,'[1]ma sp 02'!$A$5:$BD$1101,N$1,0)</f>
        <v>0</v>
      </c>
      <c r="O204" s="50">
        <f>VLOOKUP($A204,'[1]ma sp 02'!$A$5:$BD$1101,O$1,0)</f>
        <v>0.27</v>
      </c>
      <c r="P204" s="50">
        <f>VLOOKUP($A204,'[1]ma sp 02'!$A$5:$BD$1101,P$1,0)</f>
        <v>0.01</v>
      </c>
      <c r="Q204" s="50">
        <f>VLOOKUP($A204,'[1]ma sp 02'!$A$5:$BD$1101,Q$1,0)</f>
        <v>0.02</v>
      </c>
      <c r="R204" s="50">
        <f>VLOOKUP($A204,'[1]ma sp 02'!$A$5:$BD$1101,R$1,0)</f>
        <v>0</v>
      </c>
      <c r="S204" s="50">
        <f>VLOOKUP($A204,'[1]ma sp 02'!$A$5:$BD$1101,S$1,0)</f>
        <v>0</v>
      </c>
      <c r="T204" s="50">
        <f>VLOOKUP($A204,'[1]ma sp 02'!$A$5:$BD$1101,T$1,0)</f>
        <v>0.01</v>
      </c>
      <c r="U204" s="50">
        <f>VLOOKUP($A204,'[1]ma sp 02'!$A$5:$BD$1101,U$1,0)</f>
        <v>0.01</v>
      </c>
      <c r="V204" s="50">
        <f>VLOOKUP($A204,'[1]ma sp 02'!$A$5:$BD$1101,V$1,0)</f>
        <v>0.01</v>
      </c>
      <c r="W204" s="50">
        <f>VLOOKUP($A204,'[1]ma sp 02'!$A$5:$BD$1101,W$1,0)</f>
        <v>0</v>
      </c>
      <c r="X204" s="50">
        <f t="shared" si="6"/>
        <v>12</v>
      </c>
      <c r="Y204" s="57"/>
      <c r="Z204" s="57"/>
      <c r="AA204" s="57"/>
      <c r="AB204" s="57"/>
      <c r="AC204" s="57"/>
      <c r="AD204" s="57"/>
      <c r="AE204" s="58" t="s">
        <v>749</v>
      </c>
      <c r="AF204" s="57"/>
      <c r="AG204" s="71">
        <f>(0.02*0.91+0.08*0.925)*0.9</f>
        <v>8.2980000000000012E-2</v>
      </c>
      <c r="AH204" s="63">
        <f>(2.3/0.75/2)*0.89</f>
        <v>1.3646666666666665</v>
      </c>
      <c r="AI204" s="57"/>
      <c r="AJ204" s="58">
        <v>9530</v>
      </c>
      <c r="AK204" s="57"/>
      <c r="AL204" s="58">
        <v>2.3E-3</v>
      </c>
      <c r="AM204" s="52" t="s">
        <v>750</v>
      </c>
      <c r="AN204" s="57">
        <v>310</v>
      </c>
      <c r="AO204" s="52" t="s">
        <v>527</v>
      </c>
      <c r="AP204" s="59" t="str">
        <f>IFERROR(VLOOKUP($A204,[2]Mssp!$A$5:$BE$1463,AP$4+1,0),0)</f>
        <v>1902520-1</v>
      </c>
      <c r="AQ204" s="59" t="str">
        <f>IFERROR(VLOOKUP($A204,[2]Mssp!$A$5:$BE$1463,AQ$4+1,0),0)</f>
        <v>1903063-2</v>
      </c>
      <c r="AR204" s="59" t="str">
        <f>IFERROR(VLOOKUP($A204,[2]Mssp!$A$5:$BE$1463,AR$4+1,0),0)</f>
        <v>1609240-3</v>
      </c>
      <c r="AS204" s="59" t="str">
        <f>IFERROR(VLOOKUP($A204,[2]Mssp!$A$5:$BE$1463,AS$4+1,0),0)</f>
        <v>1903063-4</v>
      </c>
      <c r="AT204" s="59" t="str">
        <f>IFERROR(VLOOKUP($A204,[2]Mssp!$A$5:$BE$1463,AT$4+1,0),0)</f>
        <v>1902520-5</v>
      </c>
      <c r="AU204" s="59" t="str">
        <f>IFERROR(VLOOKUP($A204,[2]Mssp!$A$5:$BE$1463,AU$4+1,0),0)</f>
        <v>1609519-6</v>
      </c>
      <c r="AV204" s="59" t="str">
        <f>IFERROR(VLOOKUP($A204,[2]Mssp!$A$5:$BE$1463,AV$4+1,0),0)</f>
        <v>1902520-7</v>
      </c>
      <c r="AW204" s="59" t="str">
        <f>IFERROR(VLOOKUP($A204,[2]Mssp!$A$5:$BE$1463,AW$4+1,0),0)</f>
        <v>20110138-8</v>
      </c>
      <c r="AX204" s="59">
        <f>IFERROR(VLOOKUP($A204,[2]Mssp!$A$5:$BE$1463,AX$4+1,0),0)</f>
        <v>0</v>
      </c>
      <c r="AY204" s="59" t="str">
        <f>IFERROR(VLOOKUP($A204,[2]Mssp!$A$5:$BE$1463,AY$4+2,0),0)</f>
        <v>620x1100</v>
      </c>
      <c r="AZ204" s="59" t="str">
        <f>IFERROR(VLOOKUP($A204,[2]Mssp!$A$5:$BE$1463,AZ$4+2,0),0)</f>
        <v>I1</v>
      </c>
      <c r="BA204" s="60">
        <v>4000</v>
      </c>
      <c r="BB204" s="61" t="s">
        <v>251</v>
      </c>
      <c r="BC204" s="62"/>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row>
    <row r="205" spans="1:94" ht="60" x14ac:dyDescent="0.25">
      <c r="A205" s="50" t="s">
        <v>771</v>
      </c>
      <c r="B205" s="73" t="s">
        <v>772</v>
      </c>
      <c r="C205" s="50">
        <f t="shared" ref="C205:C268" si="7">SUM(H205:W205)</f>
        <v>7.870000000000001</v>
      </c>
      <c r="D205" s="58">
        <v>2</v>
      </c>
      <c r="E205" s="58" t="s">
        <v>748</v>
      </c>
      <c r="F205" s="58">
        <v>8</v>
      </c>
      <c r="G205" s="50" t="s">
        <v>56</v>
      </c>
      <c r="H205" s="50">
        <f>VLOOKUP($A205,'[1]ma sp 02'!$A$5:$BD$1101,H$1,0)</f>
        <v>0.15</v>
      </c>
      <c r="I205" s="50">
        <f>VLOOKUP($A205,'[1]ma sp 02'!$A$5:$BD$1101,I$1,0)</f>
        <v>3.54</v>
      </c>
      <c r="J205" s="50">
        <f>VLOOKUP($A205,'[1]ma sp 02'!$A$5:$BD$1101,J$1,0)</f>
        <v>0.24</v>
      </c>
      <c r="K205" s="50">
        <f>VLOOKUP($A205,'[1]ma sp 02'!$A$5:$BD$1101,K$1,0)</f>
        <v>0.44</v>
      </c>
      <c r="L205" s="50">
        <f>VLOOKUP($A205,'[1]ma sp 02'!$A$5:$BD$1101,L$1,0)</f>
        <v>1.99</v>
      </c>
      <c r="M205" s="50">
        <f>VLOOKUP($A205,'[1]ma sp 02'!$A$5:$BD$1101,M$1,0)</f>
        <v>0.78</v>
      </c>
      <c r="N205" s="50">
        <f>VLOOKUP($A205,'[1]ma sp 02'!$A$5:$BD$1101,N$1,0)</f>
        <v>0</v>
      </c>
      <c r="O205" s="50">
        <f>VLOOKUP($A205,'[1]ma sp 02'!$A$5:$BD$1101,O$1,0)</f>
        <v>0.49</v>
      </c>
      <c r="P205" s="50">
        <f>VLOOKUP($A205,'[1]ma sp 02'!$A$5:$BD$1101,P$1,0)</f>
        <v>0</v>
      </c>
      <c r="Q205" s="50">
        <f>VLOOKUP($A205,'[1]ma sp 02'!$A$5:$BD$1101,Q$1,0)</f>
        <v>0.19</v>
      </c>
      <c r="R205" s="50">
        <f>VLOOKUP($A205,'[1]ma sp 02'!$A$5:$BD$1101,R$1,0)</f>
        <v>0</v>
      </c>
      <c r="S205" s="50">
        <f>VLOOKUP($A205,'[1]ma sp 02'!$A$5:$BD$1101,S$1,0)</f>
        <v>0</v>
      </c>
      <c r="T205" s="50">
        <f>VLOOKUP($A205,'[1]ma sp 02'!$A$5:$BD$1101,T$1,0)</f>
        <v>0.05</v>
      </c>
      <c r="U205" s="50">
        <f>VLOOKUP($A205,'[1]ma sp 02'!$A$5:$BD$1101,U$1,0)</f>
        <v>0</v>
      </c>
      <c r="V205" s="50">
        <f>VLOOKUP($A205,'[1]ma sp 02'!$A$5:$BD$1101,V$1,0)</f>
        <v>0</v>
      </c>
      <c r="W205" s="50">
        <f>VLOOKUP($A205,'[1]ma sp 02'!$A$5:$BD$1101,W$1,0)</f>
        <v>0</v>
      </c>
      <c r="X205" s="50">
        <f t="shared" si="6"/>
        <v>9</v>
      </c>
      <c r="Y205" s="57"/>
      <c r="Z205" s="57"/>
      <c r="AA205" s="57"/>
      <c r="AB205" s="57"/>
      <c r="AC205" s="57"/>
      <c r="AD205" s="57"/>
      <c r="AE205" s="58" t="s">
        <v>749</v>
      </c>
      <c r="AF205" s="57"/>
      <c r="AG205" s="71">
        <f>(0.02*0.91+0.08*0.925)*0.9</f>
        <v>8.2980000000000012E-2</v>
      </c>
      <c r="AH205" s="63">
        <f>(2.3/0.75/2)*0.89</f>
        <v>1.3646666666666665</v>
      </c>
      <c r="AI205" s="57"/>
      <c r="AJ205" s="58">
        <v>9530</v>
      </c>
      <c r="AK205" s="57"/>
      <c r="AL205" s="58">
        <v>2.3E-3</v>
      </c>
      <c r="AM205" s="52" t="s">
        <v>750</v>
      </c>
      <c r="AN205" s="57">
        <v>310</v>
      </c>
      <c r="AO205" s="52" t="s">
        <v>527</v>
      </c>
      <c r="AP205" s="59" t="str">
        <f>IFERROR(VLOOKUP($A205,[2]Mssp!$A$5:$BE$1463,AP$4+1,0),0)</f>
        <v>1902523-1</v>
      </c>
      <c r="AQ205" s="59" t="str">
        <f>IFERROR(VLOOKUP($A205,[2]Mssp!$A$5:$BE$1463,AQ$4+1,0),0)</f>
        <v>1903063-2</v>
      </c>
      <c r="AR205" s="59" t="str">
        <f>IFERROR(VLOOKUP($A205,[2]Mssp!$A$5:$BE$1463,AR$4+1,0),0)</f>
        <v>1609240-3</v>
      </c>
      <c r="AS205" s="59" t="str">
        <f>IFERROR(VLOOKUP($A205,[2]Mssp!$A$5:$BE$1463,AS$4+1,0),0)</f>
        <v>1903063-4</v>
      </c>
      <c r="AT205" s="59" t="str">
        <f>IFERROR(VLOOKUP($A205,[2]Mssp!$A$5:$BE$1463,AT$4+1,0),0)</f>
        <v>1902523-5</v>
      </c>
      <c r="AU205" s="59" t="str">
        <f>IFERROR(VLOOKUP($A205,[2]Mssp!$A$5:$BE$1463,AU$4+1,0),0)</f>
        <v>1609520-6</v>
      </c>
      <c r="AV205" s="59" t="str">
        <f>IFERROR(VLOOKUP($A205,[2]Mssp!$A$5:$BE$1463,AV$4+1,0),0)</f>
        <v>1902520-7</v>
      </c>
      <c r="AW205" s="59" t="str">
        <f>IFERROR(VLOOKUP($A205,[2]Mssp!$A$5:$BE$1463,AW$4+1,0),0)</f>
        <v>20110138-8</v>
      </c>
      <c r="AX205" s="59">
        <f>IFERROR(VLOOKUP($A205,[2]Mssp!$A$5:$BE$1463,AX$4+1,0),0)</f>
        <v>0</v>
      </c>
      <c r="AY205" s="59" t="str">
        <f>IFERROR(VLOOKUP($A205,[2]Mssp!$A$5:$BE$1463,AY$4+2,0),0)</f>
        <v>620x1100</v>
      </c>
      <c r="AZ205" s="59" t="str">
        <f>IFERROR(VLOOKUP($A205,[2]Mssp!$A$5:$BE$1463,AZ$4+2,0),0)</f>
        <v>I1</v>
      </c>
      <c r="BA205" s="60">
        <v>4000</v>
      </c>
      <c r="BB205" s="61" t="s">
        <v>251</v>
      </c>
      <c r="BC205" s="62"/>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row>
    <row r="206" spans="1:94" ht="60" x14ac:dyDescent="0.25">
      <c r="A206" s="50" t="s">
        <v>773</v>
      </c>
      <c r="B206" s="73" t="s">
        <v>774</v>
      </c>
      <c r="C206" s="50">
        <f t="shared" si="7"/>
        <v>8.59</v>
      </c>
      <c r="D206" s="58">
        <v>2</v>
      </c>
      <c r="E206" s="58" t="s">
        <v>748</v>
      </c>
      <c r="F206" s="58">
        <v>8</v>
      </c>
      <c r="G206" s="50" t="s">
        <v>56</v>
      </c>
      <c r="H206" s="50">
        <f>VLOOKUP($A206,'[1]ma sp 02'!$A$5:$BD$1101,H$1,0)</f>
        <v>7.0000000000000007E-2</v>
      </c>
      <c r="I206" s="50">
        <f>VLOOKUP($A206,'[1]ma sp 02'!$A$5:$BD$1101,I$1,0)</f>
        <v>3.92</v>
      </c>
      <c r="J206" s="50">
        <f>VLOOKUP($A206,'[1]ma sp 02'!$A$5:$BD$1101,J$1,0)</f>
        <v>0.31</v>
      </c>
      <c r="K206" s="50">
        <f>VLOOKUP($A206,'[1]ma sp 02'!$A$5:$BD$1101,K$1,0)</f>
        <v>0.03</v>
      </c>
      <c r="L206" s="50">
        <f>VLOOKUP($A206,'[1]ma sp 02'!$A$5:$BD$1101,L$1,0)</f>
        <v>3.46</v>
      </c>
      <c r="M206" s="50">
        <f>VLOOKUP($A206,'[1]ma sp 02'!$A$5:$BD$1101,M$1,0)</f>
        <v>0.69</v>
      </c>
      <c r="N206" s="50">
        <f>VLOOKUP($A206,'[1]ma sp 02'!$A$5:$BD$1101,N$1,0)</f>
        <v>0</v>
      </c>
      <c r="O206" s="50">
        <f>VLOOKUP($A206,'[1]ma sp 02'!$A$5:$BD$1101,O$1,0)</f>
        <v>0.01</v>
      </c>
      <c r="P206" s="50">
        <f>VLOOKUP($A206,'[1]ma sp 02'!$A$5:$BD$1101,P$1,0)</f>
        <v>0</v>
      </c>
      <c r="Q206" s="50">
        <f>VLOOKUP($A206,'[1]ma sp 02'!$A$5:$BD$1101,Q$1,0)</f>
        <v>0.09</v>
      </c>
      <c r="R206" s="50">
        <f>VLOOKUP($A206,'[1]ma sp 02'!$A$5:$BD$1101,R$1,0)</f>
        <v>0</v>
      </c>
      <c r="S206" s="50">
        <f>VLOOKUP($A206,'[1]ma sp 02'!$A$5:$BD$1101,S$1,0)</f>
        <v>0</v>
      </c>
      <c r="T206" s="50">
        <f>VLOOKUP($A206,'[1]ma sp 02'!$A$5:$BD$1101,T$1,0)</f>
        <v>0.01</v>
      </c>
      <c r="U206" s="50">
        <f>VLOOKUP($A206,'[1]ma sp 02'!$A$5:$BD$1101,U$1,0)</f>
        <v>0</v>
      </c>
      <c r="V206" s="50">
        <f>VLOOKUP($A206,'[1]ma sp 02'!$A$5:$BD$1101,V$1,0)</f>
        <v>0</v>
      </c>
      <c r="W206" s="50">
        <f>VLOOKUP($A206,'[1]ma sp 02'!$A$5:$BD$1101,W$1,0)</f>
        <v>0</v>
      </c>
      <c r="X206" s="50">
        <f t="shared" si="6"/>
        <v>9</v>
      </c>
      <c r="Y206" s="57"/>
      <c r="Z206" s="57"/>
      <c r="AA206" s="57"/>
      <c r="AB206" s="57"/>
      <c r="AC206" s="57"/>
      <c r="AD206" s="57"/>
      <c r="AE206" s="58" t="s">
        <v>749</v>
      </c>
      <c r="AF206" s="57"/>
      <c r="AG206" s="71">
        <f>(0.02*0.91+0.08*0.925)*0.9</f>
        <v>8.2980000000000012E-2</v>
      </c>
      <c r="AH206" s="63">
        <f>(2.3/0.75/2)*0.89</f>
        <v>1.3646666666666665</v>
      </c>
      <c r="AI206" s="57"/>
      <c r="AJ206" s="58">
        <v>9530</v>
      </c>
      <c r="AK206" s="57"/>
      <c r="AL206" s="58">
        <v>2.3E-3</v>
      </c>
      <c r="AM206" s="52" t="s">
        <v>750</v>
      </c>
      <c r="AN206" s="57">
        <v>310</v>
      </c>
      <c r="AO206" s="52" t="s">
        <v>527</v>
      </c>
      <c r="AP206" s="59" t="str">
        <f>IFERROR(VLOOKUP($A206,[2]Mssp!$A$5:$BE$1463,AP$4+1,0),0)</f>
        <v>1902524-1</v>
      </c>
      <c r="AQ206" s="59" t="str">
        <f>IFERROR(VLOOKUP($A206,[2]Mssp!$A$5:$BE$1463,AQ$4+1,0),0)</f>
        <v>1903063-2</v>
      </c>
      <c r="AR206" s="59" t="str">
        <f>IFERROR(VLOOKUP($A206,[2]Mssp!$A$5:$BE$1463,AR$4+1,0),0)</f>
        <v>1609240-3</v>
      </c>
      <c r="AS206" s="59" t="str">
        <f>IFERROR(VLOOKUP($A206,[2]Mssp!$A$5:$BE$1463,AS$4+1,0),0)</f>
        <v>1903063-4</v>
      </c>
      <c r="AT206" s="59" t="s">
        <v>775</v>
      </c>
      <c r="AU206" s="59" t="str">
        <f>IFERROR(VLOOKUP($A206,[2]Mssp!$A$5:$BE$1463,AU$4+1,0),0)</f>
        <v>1609521-6</v>
      </c>
      <c r="AV206" s="59" t="str">
        <f>IFERROR(VLOOKUP($A206,[2]Mssp!$A$5:$BE$1463,AV$4+1,0),0)</f>
        <v>1902520-7</v>
      </c>
      <c r="AW206" s="59" t="str">
        <f>IFERROR(VLOOKUP($A206,[2]Mssp!$A$5:$BE$1463,AW$4+1,0),0)</f>
        <v>20110138-8</v>
      </c>
      <c r="AX206" s="59">
        <f>IFERROR(VLOOKUP($A206,[2]Mssp!$A$5:$BE$1463,AX$4+1,0),0)</f>
        <v>0</v>
      </c>
      <c r="AY206" s="59" t="str">
        <f>IFERROR(VLOOKUP($A206,[2]Mssp!$A$5:$BE$1463,AY$4+2,0),0)</f>
        <v>620x1100</v>
      </c>
      <c r="AZ206" s="59" t="str">
        <f>IFERROR(VLOOKUP($A206,[2]Mssp!$A$5:$BE$1463,AZ$4+2,0),0)</f>
        <v>I1</v>
      </c>
      <c r="BA206" s="60">
        <v>4000</v>
      </c>
      <c r="BB206" s="61" t="s">
        <v>251</v>
      </c>
      <c r="BC206" s="62"/>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row>
    <row r="207" spans="1:94" ht="45" x14ac:dyDescent="0.25">
      <c r="A207" s="50" t="s">
        <v>776</v>
      </c>
      <c r="B207" s="73" t="s">
        <v>777</v>
      </c>
      <c r="C207" s="50">
        <f t="shared" si="7"/>
        <v>3.0800000000000005</v>
      </c>
      <c r="D207" s="58">
        <v>1</v>
      </c>
      <c r="E207" s="58" t="s">
        <v>755</v>
      </c>
      <c r="F207" s="58">
        <v>7</v>
      </c>
      <c r="G207" s="50" t="s">
        <v>56</v>
      </c>
      <c r="H207" s="50">
        <f>VLOOKUP($A207,'[1]ma sp 02'!$A$5:$BD$1101,H$1,0)</f>
        <v>0.09</v>
      </c>
      <c r="I207" s="50">
        <f>VLOOKUP($A207,'[1]ma sp 02'!$A$5:$BD$1101,I$1,0)</f>
        <v>0.15</v>
      </c>
      <c r="J207" s="50">
        <f>VLOOKUP($A207,'[1]ma sp 02'!$A$5:$BD$1101,J$1,0)</f>
        <v>0.24</v>
      </c>
      <c r="K207" s="50">
        <f>VLOOKUP($A207,'[1]ma sp 02'!$A$5:$BD$1101,K$1,0)</f>
        <v>0.12</v>
      </c>
      <c r="L207" s="50">
        <f>VLOOKUP($A207,'[1]ma sp 02'!$A$5:$BD$1101,L$1,0)</f>
        <v>1.56</v>
      </c>
      <c r="M207" s="50">
        <f>VLOOKUP($A207,'[1]ma sp 02'!$A$5:$BD$1101,M$1,0)</f>
        <v>0.28000000000000003</v>
      </c>
      <c r="N207" s="50">
        <f>VLOOKUP($A207,'[1]ma sp 02'!$A$5:$BD$1101,N$1,0)</f>
        <v>0</v>
      </c>
      <c r="O207" s="50">
        <f>VLOOKUP($A207,'[1]ma sp 02'!$A$5:$BD$1101,O$1,0)</f>
        <v>0.49</v>
      </c>
      <c r="P207" s="50">
        <f>VLOOKUP($A207,'[1]ma sp 02'!$A$5:$BD$1101,P$1,0)</f>
        <v>0</v>
      </c>
      <c r="Q207" s="50">
        <f>VLOOKUP($A207,'[1]ma sp 02'!$A$5:$BD$1101,Q$1,0)</f>
        <v>0.06</v>
      </c>
      <c r="R207" s="50">
        <f>VLOOKUP($A207,'[1]ma sp 02'!$A$5:$BD$1101,R$1,0)</f>
        <v>0</v>
      </c>
      <c r="S207" s="50">
        <f>VLOOKUP($A207,'[1]ma sp 02'!$A$5:$BD$1101,S$1,0)</f>
        <v>0</v>
      </c>
      <c r="T207" s="50">
        <f>VLOOKUP($A207,'[1]ma sp 02'!$A$5:$BD$1101,T$1,0)</f>
        <v>0.09</v>
      </c>
      <c r="U207" s="50">
        <f>VLOOKUP($A207,'[1]ma sp 02'!$A$5:$BD$1101,U$1,0)</f>
        <v>0</v>
      </c>
      <c r="V207" s="50">
        <f>VLOOKUP($A207,'[1]ma sp 02'!$A$5:$BD$1101,V$1,0)</f>
        <v>0</v>
      </c>
      <c r="W207" s="50">
        <f>VLOOKUP($A207,'[1]ma sp 02'!$A$5:$BD$1101,W$1,0)</f>
        <v>0</v>
      </c>
      <c r="X207" s="50">
        <f t="shared" si="6"/>
        <v>9</v>
      </c>
      <c r="Y207" s="57"/>
      <c r="Z207" s="57"/>
      <c r="AA207" s="57"/>
      <c r="AB207" s="57"/>
      <c r="AC207" s="57"/>
      <c r="AD207" s="57"/>
      <c r="AE207" s="57"/>
      <c r="AF207" s="57"/>
      <c r="AG207" s="57"/>
      <c r="AH207" s="57"/>
      <c r="AI207" s="57"/>
      <c r="AJ207" s="57"/>
      <c r="AK207" s="57"/>
      <c r="AL207" s="57"/>
      <c r="AM207" s="52" t="s">
        <v>756</v>
      </c>
      <c r="AN207" s="57">
        <v>690</v>
      </c>
      <c r="AO207" s="52" t="s">
        <v>527</v>
      </c>
      <c r="AP207" s="59" t="str">
        <f>IFERROR(VLOOKUP($A207,[2]Mssp!$A$5:$BE$1463,AP$4+1,0),0)</f>
        <v>1903035-1</v>
      </c>
      <c r="AQ207" s="59" t="str">
        <f>IFERROR(VLOOKUP($A207,[2]Mssp!$A$5:$BE$1463,AQ$4+1,0),0)</f>
        <v>1609242-2</v>
      </c>
      <c r="AR207" s="59" t="str">
        <f>IFERROR(VLOOKUP($A207,[2]Mssp!$A$5:$BE$1463,AR$4+1,0),0)</f>
        <v>17101029-3</v>
      </c>
      <c r="AS207" s="59" t="str">
        <f>IFERROR(VLOOKUP($A207,[2]Mssp!$A$5:$BE$1463,AS$4+1,0),0)</f>
        <v>1710745-4</v>
      </c>
      <c r="AT207" s="59" t="str">
        <f>IFERROR(VLOOKUP($A207,[2]Mssp!$A$5:$BE$1463,AT$4+1,0),0)</f>
        <v>1903035-5</v>
      </c>
      <c r="AU207" s="59" t="str">
        <f>IFERROR(VLOOKUP($A207,[2]Mssp!$A$5:$BE$1463,AU$4+1,0),0)</f>
        <v>17101030-6</v>
      </c>
      <c r="AV207" s="59" t="str">
        <f>IFERROR(VLOOKUP($A207,[2]Mssp!$A$5:$BE$1463,AV$4+1,0),0)</f>
        <v>1903035-7</v>
      </c>
      <c r="AW207" s="59">
        <f>IFERROR(VLOOKUP($A207,[2]Mssp!$A$5:$BE$1463,AW$4+1,0),0)</f>
        <v>0</v>
      </c>
      <c r="AX207" s="59">
        <f>IFERROR(VLOOKUP($A207,[2]Mssp!$A$5:$BE$1463,AX$4+1,0),0)</f>
        <v>0</v>
      </c>
      <c r="AY207" s="59" t="str">
        <f>IFERROR(VLOOKUP($A207,[2]Mssp!$A$5:$BE$1463,AY$4+2,0),0)</f>
        <v>1100x850</v>
      </c>
      <c r="AZ207" s="59" t="str">
        <f>IFERROR(VLOOKUP($A207,[2]Mssp!$A$5:$BE$1463,AZ$4+2,0),0)</f>
        <v>K1</v>
      </c>
      <c r="BA207" s="60" t="s">
        <v>106</v>
      </c>
      <c r="BB207" s="61" t="s">
        <v>107</v>
      </c>
      <c r="BC207" s="62"/>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row>
    <row r="208" spans="1:94" ht="45" x14ac:dyDescent="0.25">
      <c r="A208" s="50" t="s">
        <v>778</v>
      </c>
      <c r="B208" s="73" t="s">
        <v>779</v>
      </c>
      <c r="C208" s="50">
        <f t="shared" si="7"/>
        <v>5.12</v>
      </c>
      <c r="D208" s="58">
        <v>1</v>
      </c>
      <c r="E208" s="58" t="s">
        <v>755</v>
      </c>
      <c r="F208" s="58">
        <v>7</v>
      </c>
      <c r="G208" s="50" t="s">
        <v>56</v>
      </c>
      <c r="H208" s="50">
        <f>VLOOKUP($A208,'[1]ma sp 02'!$A$5:$BD$1101,H$1,0)</f>
        <v>0.46</v>
      </c>
      <c r="I208" s="50">
        <f>VLOOKUP($A208,'[1]ma sp 02'!$A$5:$BD$1101,I$1,0)</f>
        <v>0</v>
      </c>
      <c r="J208" s="50">
        <f>VLOOKUP($A208,'[1]ma sp 02'!$A$5:$BD$1101,J$1,0)</f>
        <v>0.13</v>
      </c>
      <c r="K208" s="50">
        <f>VLOOKUP($A208,'[1]ma sp 02'!$A$5:$BD$1101,K$1,0)</f>
        <v>0.66</v>
      </c>
      <c r="L208" s="50">
        <f>VLOOKUP($A208,'[1]ma sp 02'!$A$5:$BD$1101,L$1,0)</f>
        <v>2.36</v>
      </c>
      <c r="M208" s="50">
        <f>VLOOKUP($A208,'[1]ma sp 02'!$A$5:$BD$1101,M$1,0)</f>
        <v>0.46</v>
      </c>
      <c r="N208" s="50">
        <f>VLOOKUP($A208,'[1]ma sp 02'!$A$5:$BD$1101,N$1,0)</f>
        <v>0</v>
      </c>
      <c r="O208" s="50">
        <f>VLOOKUP($A208,'[1]ma sp 02'!$A$5:$BD$1101,O$1,0)</f>
        <v>0.03</v>
      </c>
      <c r="P208" s="50">
        <f>VLOOKUP($A208,'[1]ma sp 02'!$A$5:$BD$1101,P$1,0)</f>
        <v>0.63</v>
      </c>
      <c r="Q208" s="50">
        <f>VLOOKUP($A208,'[1]ma sp 02'!$A$5:$BD$1101,Q$1,0)</f>
        <v>0</v>
      </c>
      <c r="R208" s="50">
        <f>VLOOKUP($A208,'[1]ma sp 02'!$A$5:$BD$1101,R$1,0)</f>
        <v>0</v>
      </c>
      <c r="S208" s="50">
        <f>VLOOKUP($A208,'[1]ma sp 02'!$A$5:$BD$1101,S$1,0)</f>
        <v>0</v>
      </c>
      <c r="T208" s="50">
        <f>VLOOKUP($A208,'[1]ma sp 02'!$A$5:$BD$1101,T$1,0)</f>
        <v>0.39</v>
      </c>
      <c r="U208" s="50">
        <f>VLOOKUP($A208,'[1]ma sp 02'!$A$5:$BD$1101,U$1,0)</f>
        <v>0</v>
      </c>
      <c r="V208" s="50">
        <f>VLOOKUP($A208,'[1]ma sp 02'!$A$5:$BD$1101,V$1,0)</f>
        <v>0</v>
      </c>
      <c r="W208" s="50">
        <f>VLOOKUP($A208,'[1]ma sp 02'!$A$5:$BD$1101,W$1,0)</f>
        <v>0</v>
      </c>
      <c r="X208" s="50">
        <f t="shared" si="6"/>
        <v>8</v>
      </c>
      <c r="Y208" s="57"/>
      <c r="Z208" s="57"/>
      <c r="AA208" s="57"/>
      <c r="AB208" s="57"/>
      <c r="AC208" s="57"/>
      <c r="AD208" s="57"/>
      <c r="AE208" s="57"/>
      <c r="AF208" s="57"/>
      <c r="AG208" s="57"/>
      <c r="AH208" s="57"/>
      <c r="AI208" s="57"/>
      <c r="AJ208" s="57"/>
      <c r="AK208" s="57"/>
      <c r="AL208" s="57"/>
      <c r="AM208" s="52" t="s">
        <v>756</v>
      </c>
      <c r="AN208" s="57">
        <v>690</v>
      </c>
      <c r="AO208" s="52" t="s">
        <v>527</v>
      </c>
      <c r="AP208" s="59" t="str">
        <f>IFERROR(VLOOKUP($A208,[2]Mssp!$A$5:$BE$1463,AP$4+1,0),0)</f>
        <v>1609553-1</v>
      </c>
      <c r="AQ208" s="59" t="str">
        <f>IFERROR(VLOOKUP($A208,[2]Mssp!$A$5:$BE$1463,AQ$4+1,0),0)</f>
        <v>1609553-2</v>
      </c>
      <c r="AR208" s="59" t="str">
        <f>IFERROR(VLOOKUP($A208,[2]Mssp!$A$5:$BE$1463,AR$4+1,0),0)</f>
        <v>1609553-3</v>
      </c>
      <c r="AS208" s="59" t="str">
        <f>IFERROR(VLOOKUP($A208,[2]Mssp!$A$5:$BE$1463,AS$4+1,0),0)</f>
        <v>1609553-4</v>
      </c>
      <c r="AT208" s="59" t="str">
        <f>IFERROR(VLOOKUP($A208,[2]Mssp!$A$5:$BE$1463,AT$4+1,0),0)</f>
        <v>1609553-5</v>
      </c>
      <c r="AU208" s="59" t="str">
        <f>IFERROR(VLOOKUP($A208,[2]Mssp!$A$5:$BE$1463,AU$4+1,0),0)</f>
        <v>1609553-6</v>
      </c>
      <c r="AV208" s="59" t="str">
        <f>IFERROR(VLOOKUP($A208,[2]Mssp!$A$5:$BE$1463,AV$4+1,0),0)</f>
        <v>1903065-7</v>
      </c>
      <c r="AW208" s="59">
        <f>IFERROR(VLOOKUP($A208,[2]Mssp!$A$5:$BE$1463,AW$4+1,0),0)</f>
        <v>0</v>
      </c>
      <c r="AX208" s="59">
        <f>IFERROR(VLOOKUP($A208,[2]Mssp!$A$5:$BE$1463,AX$4+1,0),0)</f>
        <v>0</v>
      </c>
      <c r="AY208" s="59" t="str">
        <f>IFERROR(VLOOKUP($A208,[2]Mssp!$A$5:$BE$1463,AY$4+2,0),0)</f>
        <v>1100x850</v>
      </c>
      <c r="AZ208" s="59" t="str">
        <f>IFERROR(VLOOKUP($A208,[2]Mssp!$A$5:$BE$1463,AZ$4+2,0),0)</f>
        <v>K2</v>
      </c>
      <c r="BA208" s="60" t="s">
        <v>106</v>
      </c>
      <c r="BB208" s="61" t="s">
        <v>107</v>
      </c>
      <c r="BC208" s="62"/>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row>
    <row r="209" spans="1:94" ht="45" x14ac:dyDescent="0.25">
      <c r="A209" s="50" t="s">
        <v>780</v>
      </c>
      <c r="B209" s="73" t="s">
        <v>781</v>
      </c>
      <c r="C209" s="50">
        <f t="shared" si="7"/>
        <v>5.4099999999999993</v>
      </c>
      <c r="D209" s="58">
        <v>1</v>
      </c>
      <c r="E209" s="58" t="s">
        <v>755</v>
      </c>
      <c r="F209" s="58">
        <v>7</v>
      </c>
      <c r="G209" s="50" t="s">
        <v>56</v>
      </c>
      <c r="H209" s="50">
        <f>VLOOKUP($A209,'[1]ma sp 02'!$A$5:$BD$1101,H$1,0)</f>
        <v>0.1</v>
      </c>
      <c r="I209" s="50">
        <f>VLOOKUP($A209,'[1]ma sp 02'!$A$5:$BD$1101,I$1,0)</f>
        <v>2.5</v>
      </c>
      <c r="J209" s="50">
        <f>VLOOKUP($A209,'[1]ma sp 02'!$A$5:$BD$1101,J$1,0)</f>
        <v>0.86</v>
      </c>
      <c r="K209" s="50">
        <f>VLOOKUP($A209,'[1]ma sp 02'!$A$5:$BD$1101,K$1,0)</f>
        <v>0.01</v>
      </c>
      <c r="L209" s="50">
        <f>VLOOKUP($A209,'[1]ma sp 02'!$A$5:$BD$1101,L$1,0)</f>
        <v>0.38</v>
      </c>
      <c r="M209" s="50">
        <f>VLOOKUP($A209,'[1]ma sp 02'!$A$5:$BD$1101,M$1,0)</f>
        <v>1.35</v>
      </c>
      <c r="N209" s="50">
        <f>VLOOKUP($A209,'[1]ma sp 02'!$A$5:$BD$1101,N$1,0)</f>
        <v>0</v>
      </c>
      <c r="O209" s="50">
        <f>VLOOKUP($A209,'[1]ma sp 02'!$A$5:$BD$1101,O$1,0)</f>
        <v>0.01</v>
      </c>
      <c r="P209" s="50">
        <f>VLOOKUP($A209,'[1]ma sp 02'!$A$5:$BD$1101,P$1,0)</f>
        <v>0.19</v>
      </c>
      <c r="Q209" s="50">
        <f>VLOOKUP($A209,'[1]ma sp 02'!$A$5:$BD$1101,Q$1,0)</f>
        <v>0</v>
      </c>
      <c r="R209" s="50">
        <f>VLOOKUP($A209,'[1]ma sp 02'!$A$5:$BD$1101,R$1,0)</f>
        <v>0</v>
      </c>
      <c r="S209" s="50">
        <f>VLOOKUP($A209,'[1]ma sp 02'!$A$5:$BD$1101,S$1,0)</f>
        <v>0</v>
      </c>
      <c r="T209" s="50">
        <f>VLOOKUP($A209,'[1]ma sp 02'!$A$5:$BD$1101,T$1,0)</f>
        <v>0.01</v>
      </c>
      <c r="U209" s="50">
        <f>VLOOKUP($A209,'[1]ma sp 02'!$A$5:$BD$1101,U$1,0)</f>
        <v>0</v>
      </c>
      <c r="V209" s="50">
        <f>VLOOKUP($A209,'[1]ma sp 02'!$A$5:$BD$1101,V$1,0)</f>
        <v>0</v>
      </c>
      <c r="W209" s="50">
        <f>VLOOKUP($A209,'[1]ma sp 02'!$A$5:$BD$1101,W$1,0)</f>
        <v>0</v>
      </c>
      <c r="X209" s="50">
        <f t="shared" si="6"/>
        <v>9</v>
      </c>
      <c r="Y209" s="57"/>
      <c r="Z209" s="57"/>
      <c r="AA209" s="57"/>
      <c r="AB209" s="57"/>
      <c r="AC209" s="57"/>
      <c r="AD209" s="57"/>
      <c r="AE209" s="57"/>
      <c r="AF209" s="57"/>
      <c r="AG209" s="57"/>
      <c r="AH209" s="57"/>
      <c r="AI209" s="57"/>
      <c r="AJ209" s="57"/>
      <c r="AK209" s="57"/>
      <c r="AL209" s="57"/>
      <c r="AM209" s="52" t="s">
        <v>756</v>
      </c>
      <c r="AN209" s="57">
        <v>690</v>
      </c>
      <c r="AO209" s="52" t="s">
        <v>527</v>
      </c>
      <c r="AP209" s="59" t="str">
        <f>IFERROR(VLOOKUP($A209,[2]Mssp!$A$5:$BE$1463,AP$4+1,0),0)</f>
        <v>1903066-1</v>
      </c>
      <c r="AQ209" s="59" t="str">
        <f>IFERROR(VLOOKUP($A209,[2]Mssp!$A$5:$BE$1463,AQ$4+1,0),0)</f>
        <v>1609553-2</v>
      </c>
      <c r="AR209" s="59" t="str">
        <f>IFERROR(VLOOKUP($A209,[2]Mssp!$A$5:$BE$1463,AR$4+1,0),0)</f>
        <v>1609553-3</v>
      </c>
      <c r="AS209" s="59" t="str">
        <f>IFERROR(VLOOKUP($A209,[2]Mssp!$A$5:$BE$1463,AS$4+1,0),0)</f>
        <v>1609553-4</v>
      </c>
      <c r="AT209" s="59" t="str">
        <f>IFERROR(VLOOKUP($A209,[2]Mssp!$A$5:$BE$1463,AT$4+1,0),0)</f>
        <v>1903066-5</v>
      </c>
      <c r="AU209" s="59" t="str">
        <f>IFERROR(VLOOKUP($A209,[2]Mssp!$A$5:$BE$1463,AU$4+1,0),0)</f>
        <v>1609554-6</v>
      </c>
      <c r="AV209" s="59" t="str">
        <f>IFERROR(VLOOKUP($A209,[2]Mssp!$A$5:$BE$1463,AV$4+1,0),0)</f>
        <v>1903066-7</v>
      </c>
      <c r="AW209" s="59">
        <f>IFERROR(VLOOKUP($A209,[2]Mssp!$A$5:$BE$1463,AW$4+1,0),0)</f>
        <v>0</v>
      </c>
      <c r="AX209" s="59">
        <f>IFERROR(VLOOKUP($A209,[2]Mssp!$A$5:$BE$1463,AX$4+1,0),0)</f>
        <v>0</v>
      </c>
      <c r="AY209" s="59" t="str">
        <f>IFERROR(VLOOKUP($A209,[2]Mssp!$A$5:$BE$1463,AY$4+2,0),0)</f>
        <v>1100x850</v>
      </c>
      <c r="AZ209" s="59" t="str">
        <f>IFERROR(VLOOKUP($A209,[2]Mssp!$A$5:$BE$1463,AZ$4+2,0),0)</f>
        <v>K2</v>
      </c>
      <c r="BA209" s="60" t="s">
        <v>106</v>
      </c>
      <c r="BB209" s="61" t="s">
        <v>107</v>
      </c>
      <c r="BC209" s="62"/>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row>
    <row r="210" spans="1:94" ht="45" x14ac:dyDescent="0.25">
      <c r="A210" s="50" t="s">
        <v>782</v>
      </c>
      <c r="B210" s="73" t="s">
        <v>783</v>
      </c>
      <c r="C210" s="50">
        <f t="shared" si="7"/>
        <v>5.4099999999999993</v>
      </c>
      <c r="D210" s="58">
        <v>1</v>
      </c>
      <c r="E210" s="58" t="s">
        <v>755</v>
      </c>
      <c r="F210" s="58">
        <v>7</v>
      </c>
      <c r="G210" s="50" t="s">
        <v>56</v>
      </c>
      <c r="H210" s="50">
        <f>VLOOKUP($A210,'[1]ma sp 02'!$A$5:$BD$1101,H$1,0)</f>
        <v>0.1</v>
      </c>
      <c r="I210" s="50">
        <f>VLOOKUP($A210,'[1]ma sp 02'!$A$5:$BD$1101,I$1,0)</f>
        <v>2.5</v>
      </c>
      <c r="J210" s="50">
        <f>VLOOKUP($A210,'[1]ma sp 02'!$A$5:$BD$1101,J$1,0)</f>
        <v>0.86</v>
      </c>
      <c r="K210" s="50">
        <f>VLOOKUP($A210,'[1]ma sp 02'!$A$5:$BD$1101,K$1,0)</f>
        <v>0.01</v>
      </c>
      <c r="L210" s="50">
        <f>VLOOKUP($A210,'[1]ma sp 02'!$A$5:$BD$1101,L$1,0)</f>
        <v>0.38</v>
      </c>
      <c r="M210" s="50">
        <f>VLOOKUP($A210,'[1]ma sp 02'!$A$5:$BD$1101,M$1,0)</f>
        <v>1.35</v>
      </c>
      <c r="N210" s="50">
        <f>VLOOKUP($A210,'[1]ma sp 02'!$A$5:$BD$1101,N$1,0)</f>
        <v>0</v>
      </c>
      <c r="O210" s="50">
        <f>VLOOKUP($A210,'[1]ma sp 02'!$A$5:$BD$1101,O$1,0)</f>
        <v>0.01</v>
      </c>
      <c r="P210" s="50">
        <f>VLOOKUP($A210,'[1]ma sp 02'!$A$5:$BD$1101,P$1,0)</f>
        <v>0.19</v>
      </c>
      <c r="Q210" s="50">
        <f>VLOOKUP($A210,'[1]ma sp 02'!$A$5:$BD$1101,Q$1,0)</f>
        <v>0</v>
      </c>
      <c r="R210" s="50">
        <f>VLOOKUP($A210,'[1]ma sp 02'!$A$5:$BD$1101,R$1,0)</f>
        <v>0</v>
      </c>
      <c r="S210" s="50">
        <f>VLOOKUP($A210,'[1]ma sp 02'!$A$5:$BD$1101,S$1,0)</f>
        <v>0</v>
      </c>
      <c r="T210" s="50">
        <f>VLOOKUP($A210,'[1]ma sp 02'!$A$5:$BD$1101,T$1,0)</f>
        <v>0.01</v>
      </c>
      <c r="U210" s="50">
        <f>VLOOKUP($A210,'[1]ma sp 02'!$A$5:$BD$1101,U$1,0)</f>
        <v>0</v>
      </c>
      <c r="V210" s="50">
        <f>VLOOKUP($A210,'[1]ma sp 02'!$A$5:$BD$1101,V$1,0)</f>
        <v>0</v>
      </c>
      <c r="W210" s="50">
        <f>VLOOKUP($A210,'[1]ma sp 02'!$A$5:$BD$1101,W$1,0)</f>
        <v>0</v>
      </c>
      <c r="X210" s="50">
        <f t="shared" si="6"/>
        <v>9</v>
      </c>
      <c r="Y210" s="57"/>
      <c r="Z210" s="57"/>
      <c r="AA210" s="57"/>
      <c r="AB210" s="57"/>
      <c r="AC210" s="57"/>
      <c r="AD210" s="57"/>
      <c r="AE210" s="57"/>
      <c r="AF210" s="57"/>
      <c r="AG210" s="57"/>
      <c r="AH210" s="57"/>
      <c r="AI210" s="57"/>
      <c r="AJ210" s="57"/>
      <c r="AK210" s="57"/>
      <c r="AL210" s="57"/>
      <c r="AM210" s="52" t="s">
        <v>756</v>
      </c>
      <c r="AN210" s="57">
        <v>690</v>
      </c>
      <c r="AO210" s="52" t="s">
        <v>527</v>
      </c>
      <c r="AP210" s="59" t="str">
        <f>IFERROR(VLOOKUP($A210,[2]Mssp!$A$5:$BE$1463,AP$4+1,0),0)</f>
        <v>1903066-1</v>
      </c>
      <c r="AQ210" s="59" t="str">
        <f>IFERROR(VLOOKUP($A210,[2]Mssp!$A$5:$BE$1463,AQ$4+1,0),0)</f>
        <v>1609553-2</v>
      </c>
      <c r="AR210" s="59" t="str">
        <f>IFERROR(VLOOKUP($A210,[2]Mssp!$A$5:$BE$1463,AR$4+1,0),0)</f>
        <v>1609553-3</v>
      </c>
      <c r="AS210" s="59" t="str">
        <f>IFERROR(VLOOKUP($A210,[2]Mssp!$A$5:$BE$1463,AS$4+1,0),0)</f>
        <v>1609553-4</v>
      </c>
      <c r="AT210" s="59" t="str">
        <f>IFERROR(VLOOKUP($A210,[2]Mssp!$A$5:$BE$1463,AT$4+1,0),0)</f>
        <v>1903066-5</v>
      </c>
      <c r="AU210" s="59" t="str">
        <f>IFERROR(VLOOKUP($A210,[2]Mssp!$A$5:$BE$1463,AU$4+1,0),0)</f>
        <v>1609555-6</v>
      </c>
      <c r="AV210" s="59" t="str">
        <f>IFERROR(VLOOKUP($A210,[2]Mssp!$A$5:$BE$1463,AV$4+1,0),0)</f>
        <v>1903066-7</v>
      </c>
      <c r="AW210" s="59">
        <f>IFERROR(VLOOKUP($A210,[2]Mssp!$A$5:$BE$1463,AW$4+1,0),0)</f>
        <v>0</v>
      </c>
      <c r="AX210" s="59">
        <f>IFERROR(VLOOKUP($A210,[2]Mssp!$A$5:$BE$1463,AX$4+1,0),0)</f>
        <v>0</v>
      </c>
      <c r="AY210" s="59" t="str">
        <f>IFERROR(VLOOKUP($A210,[2]Mssp!$A$5:$BE$1463,AY$4+2,0),0)</f>
        <v>1100x850</v>
      </c>
      <c r="AZ210" s="59" t="str">
        <f>IFERROR(VLOOKUP($A210,[2]Mssp!$A$5:$BE$1463,AZ$4+2,0),0)</f>
        <v>K2</v>
      </c>
      <c r="BA210" s="60" t="s">
        <v>106</v>
      </c>
      <c r="BB210" s="61" t="s">
        <v>107</v>
      </c>
      <c r="BC210" s="62"/>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9"/>
      <c r="CK210" s="9"/>
      <c r="CL210" s="9"/>
      <c r="CM210" s="9"/>
      <c r="CN210" s="9"/>
      <c r="CO210" s="9"/>
      <c r="CP210" s="9"/>
    </row>
    <row r="211" spans="1:94" ht="45" x14ac:dyDescent="0.25">
      <c r="A211" s="50" t="s">
        <v>784</v>
      </c>
      <c r="B211" s="73" t="s">
        <v>785</v>
      </c>
      <c r="C211" s="50">
        <f t="shared" si="7"/>
        <v>4.5</v>
      </c>
      <c r="D211" s="58">
        <v>1</v>
      </c>
      <c r="E211" s="58" t="s">
        <v>755</v>
      </c>
      <c r="F211" s="58">
        <v>7</v>
      </c>
      <c r="G211" s="50" t="s">
        <v>56</v>
      </c>
      <c r="H211" s="50">
        <f>VLOOKUP($A211,'[1]ma sp 02'!$A$5:$BD$1101,H$1,0)</f>
        <v>0.1</v>
      </c>
      <c r="I211" s="50">
        <f>VLOOKUP($A211,'[1]ma sp 02'!$A$5:$BD$1101,I$1,0)</f>
        <v>0</v>
      </c>
      <c r="J211" s="50">
        <f>VLOOKUP($A211,'[1]ma sp 02'!$A$5:$BD$1101,J$1,0)</f>
        <v>0.1</v>
      </c>
      <c r="K211" s="50">
        <f>VLOOKUP($A211,'[1]ma sp 02'!$A$5:$BD$1101,K$1,0)</f>
        <v>0.3</v>
      </c>
      <c r="L211" s="50">
        <f>VLOOKUP($A211,'[1]ma sp 02'!$A$5:$BD$1101,L$1,0)</f>
        <v>0.5</v>
      </c>
      <c r="M211" s="50">
        <f>VLOOKUP($A211,'[1]ma sp 02'!$A$5:$BD$1101,M$1,0)</f>
        <v>1.5</v>
      </c>
      <c r="N211" s="50">
        <f>VLOOKUP($A211,'[1]ma sp 02'!$A$5:$BD$1101,N$1,0)</f>
        <v>0</v>
      </c>
      <c r="O211" s="50">
        <f>VLOOKUP($A211,'[1]ma sp 02'!$A$5:$BD$1101,O$1,0)</f>
        <v>0.1</v>
      </c>
      <c r="P211" s="50">
        <f>VLOOKUP($A211,'[1]ma sp 02'!$A$5:$BD$1101,P$1,0)</f>
        <v>0</v>
      </c>
      <c r="Q211" s="50">
        <f>VLOOKUP($A211,'[1]ma sp 02'!$A$5:$BD$1101,Q$1,0)</f>
        <v>0</v>
      </c>
      <c r="R211" s="50">
        <f>VLOOKUP($A211,'[1]ma sp 02'!$A$5:$BD$1101,R$1,0)</f>
        <v>0</v>
      </c>
      <c r="S211" s="50">
        <f>VLOOKUP($A211,'[1]ma sp 02'!$A$5:$BD$1101,S$1,0)</f>
        <v>0</v>
      </c>
      <c r="T211" s="50">
        <f>VLOOKUP($A211,'[1]ma sp 02'!$A$5:$BD$1101,T$1,0)</f>
        <v>0.1</v>
      </c>
      <c r="U211" s="50">
        <f>VLOOKUP($A211,'[1]ma sp 02'!$A$5:$BD$1101,U$1,0)</f>
        <v>0</v>
      </c>
      <c r="V211" s="50">
        <f>VLOOKUP($A211,'[1]ma sp 02'!$A$5:$BD$1101,V$1,0)</f>
        <v>0</v>
      </c>
      <c r="W211" s="50">
        <f>VLOOKUP($A211,'[1]ma sp 02'!$A$5:$BD$1101,W$1,0)</f>
        <v>1.8</v>
      </c>
      <c r="X211" s="50">
        <f t="shared" si="6"/>
        <v>8</v>
      </c>
      <c r="Y211" s="58"/>
      <c r="Z211" s="57"/>
      <c r="AA211" s="57"/>
      <c r="AB211" s="57"/>
      <c r="AC211" s="57"/>
      <c r="AD211" s="57"/>
      <c r="AE211" s="57"/>
      <c r="AF211" s="57"/>
      <c r="AG211" s="57"/>
      <c r="AH211" s="57"/>
      <c r="AI211" s="57"/>
      <c r="AJ211" s="57"/>
      <c r="AK211" s="57"/>
      <c r="AL211" s="57"/>
      <c r="AM211" s="52" t="s">
        <v>756</v>
      </c>
      <c r="AN211" s="57">
        <v>690</v>
      </c>
      <c r="AO211" s="52" t="s">
        <v>527</v>
      </c>
      <c r="AP211" s="59" t="str">
        <f>IFERROR(VLOOKUP($A211,[2]Mssp!$A$5:$BE$1463,AP$4+1,0),0)</f>
        <v>1903066-1</v>
      </c>
      <c r="AQ211" s="59" t="str">
        <f>IFERROR(VLOOKUP($A211,[2]Mssp!$A$5:$BE$1463,AQ$4+1,0),0)</f>
        <v>1609553-2</v>
      </c>
      <c r="AR211" s="59" t="str">
        <f>IFERROR(VLOOKUP($A211,[2]Mssp!$A$5:$BE$1463,AR$4+1,0),0)</f>
        <v>1609553-3</v>
      </c>
      <c r="AS211" s="59" t="str">
        <f>IFERROR(VLOOKUP($A211,[2]Mssp!$A$5:$BE$1463,AS$4+1,0),0)</f>
        <v>1609553-4</v>
      </c>
      <c r="AT211" s="59" t="str">
        <f>IFERROR(VLOOKUP($A211,[2]Mssp!$A$5:$BE$1463,AT$4+1,0),0)</f>
        <v>1903066-5</v>
      </c>
      <c r="AU211" s="59" t="str">
        <f>IFERROR(VLOOKUP($A211,[2]Mssp!$A$5:$BE$1463,AU$4+1,0),0)</f>
        <v>1609556-6</v>
      </c>
      <c r="AV211" s="59" t="str">
        <f>IFERROR(VLOOKUP($A211,[2]Mssp!$A$5:$BE$1463,AV$4+1,0),0)</f>
        <v>1903066-7</v>
      </c>
      <c r="AW211" s="59">
        <f>IFERROR(VLOOKUP($A211,[2]Mssp!$A$5:$BE$1463,AW$4+1,0),0)</f>
        <v>0</v>
      </c>
      <c r="AX211" s="59">
        <f>IFERROR(VLOOKUP($A211,[2]Mssp!$A$5:$BE$1463,AX$4+1,0),0)</f>
        <v>0</v>
      </c>
      <c r="AY211" s="59" t="str">
        <f>IFERROR(VLOOKUP($A211,[2]Mssp!$A$5:$BE$1463,AY$4+2,0),0)</f>
        <v>1100x850</v>
      </c>
      <c r="AZ211" s="59" t="str">
        <f>IFERROR(VLOOKUP($A211,[2]Mssp!$A$5:$BE$1463,AZ$4+2,0),0)</f>
        <v>K3</v>
      </c>
      <c r="BA211" s="60" t="s">
        <v>106</v>
      </c>
      <c r="BB211" s="61" t="s">
        <v>107</v>
      </c>
      <c r="BC211" s="62"/>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c r="CP211" s="9"/>
    </row>
    <row r="212" spans="1:94" ht="45" x14ac:dyDescent="0.25">
      <c r="A212" s="50" t="s">
        <v>786</v>
      </c>
      <c r="B212" s="73" t="s">
        <v>787</v>
      </c>
      <c r="C212" s="50">
        <f t="shared" si="7"/>
        <v>6.3999999999999986</v>
      </c>
      <c r="D212" s="58">
        <v>1</v>
      </c>
      <c r="E212" s="58" t="s">
        <v>755</v>
      </c>
      <c r="F212" s="58">
        <v>7</v>
      </c>
      <c r="G212" s="50" t="s">
        <v>56</v>
      </c>
      <c r="H212" s="50">
        <f>VLOOKUP($A212,'[1]ma sp 02'!$A$5:$BD$1101,H$1,0)</f>
        <v>7.0000000000000007E-2</v>
      </c>
      <c r="I212" s="50">
        <f>VLOOKUP($A212,'[1]ma sp 02'!$A$5:$BD$1101,I$1,0)</f>
        <v>3.09</v>
      </c>
      <c r="J212" s="50">
        <f>VLOOKUP($A212,'[1]ma sp 02'!$A$5:$BD$1101,J$1,0)</f>
        <v>0.47</v>
      </c>
      <c r="K212" s="50">
        <f>VLOOKUP($A212,'[1]ma sp 02'!$A$5:$BD$1101,K$1,0)</f>
        <v>0.32</v>
      </c>
      <c r="L212" s="50">
        <f>VLOOKUP($A212,'[1]ma sp 02'!$A$5:$BD$1101,L$1,0)</f>
        <v>1.57</v>
      </c>
      <c r="M212" s="50">
        <f>VLOOKUP($A212,'[1]ma sp 02'!$A$5:$BD$1101,M$1,0)</f>
        <v>0.66</v>
      </c>
      <c r="N212" s="50">
        <f>VLOOKUP($A212,'[1]ma sp 02'!$A$5:$BD$1101,N$1,0)</f>
        <v>0</v>
      </c>
      <c r="O212" s="50">
        <f>VLOOKUP($A212,'[1]ma sp 02'!$A$5:$BD$1101,O$1,0)</f>
        <v>0.01</v>
      </c>
      <c r="P212" s="50">
        <f>VLOOKUP($A212,'[1]ma sp 02'!$A$5:$BD$1101,P$1,0)</f>
        <v>0.06</v>
      </c>
      <c r="Q212" s="50">
        <f>VLOOKUP($A212,'[1]ma sp 02'!$A$5:$BD$1101,Q$1,0)</f>
        <v>0.02</v>
      </c>
      <c r="R212" s="50">
        <f>VLOOKUP($A212,'[1]ma sp 02'!$A$5:$BD$1101,R$1,0)</f>
        <v>0</v>
      </c>
      <c r="S212" s="50">
        <f>VLOOKUP($A212,'[1]ma sp 02'!$A$5:$BD$1101,S$1,0)</f>
        <v>0</v>
      </c>
      <c r="T212" s="50">
        <f>VLOOKUP($A212,'[1]ma sp 02'!$A$5:$BD$1101,T$1,0)</f>
        <v>0.01</v>
      </c>
      <c r="U212" s="50">
        <f>VLOOKUP($A212,'[1]ma sp 02'!$A$5:$BD$1101,U$1,0)</f>
        <v>0.11</v>
      </c>
      <c r="V212" s="50">
        <f>VLOOKUP($A212,'[1]ma sp 02'!$A$5:$BD$1101,V$1,0)</f>
        <v>0.01</v>
      </c>
      <c r="W212" s="50">
        <f>VLOOKUP($A212,'[1]ma sp 02'!$A$5:$BD$1101,W$1,0)</f>
        <v>0</v>
      </c>
      <c r="X212" s="50">
        <f t="shared" si="6"/>
        <v>12</v>
      </c>
      <c r="Y212" s="57"/>
      <c r="Z212" s="58"/>
      <c r="AA212" s="57"/>
      <c r="AB212" s="57"/>
      <c r="AC212" s="57"/>
      <c r="AD212" s="57"/>
      <c r="AE212" s="57"/>
      <c r="AF212" s="57"/>
      <c r="AG212" s="57"/>
      <c r="AH212" s="57"/>
      <c r="AI212" s="57"/>
      <c r="AJ212" s="57"/>
      <c r="AK212" s="57"/>
      <c r="AL212" s="57"/>
      <c r="AM212" s="52" t="s">
        <v>756</v>
      </c>
      <c r="AN212" s="57">
        <v>690</v>
      </c>
      <c r="AO212" s="52" t="s">
        <v>527</v>
      </c>
      <c r="AP212" s="59" t="str">
        <f>IFERROR(VLOOKUP($A212,[2]Mssp!$A$5:$BE$1463,AP$4+1,0),0)</f>
        <v>1903066-1</v>
      </c>
      <c r="AQ212" s="59" t="str">
        <f>IFERROR(VLOOKUP($A212,[2]Mssp!$A$5:$BE$1463,AQ$4+1,0),0)</f>
        <v>1609553-2</v>
      </c>
      <c r="AR212" s="59" t="str">
        <f>IFERROR(VLOOKUP($A212,[2]Mssp!$A$5:$BE$1463,AR$4+1,0),0)</f>
        <v>1609553-3</v>
      </c>
      <c r="AS212" s="59" t="str">
        <f>IFERROR(VLOOKUP($A212,[2]Mssp!$A$5:$BE$1463,AS$4+1,0),0)</f>
        <v>1609553-4</v>
      </c>
      <c r="AT212" s="59" t="str">
        <f>IFERROR(VLOOKUP($A212,[2]Mssp!$A$5:$BE$1463,AT$4+1,0),0)</f>
        <v>1903066-5</v>
      </c>
      <c r="AU212" s="59" t="str">
        <f>IFERROR(VLOOKUP($A212,[2]Mssp!$A$5:$BE$1463,AU$4+1,0),0)</f>
        <v>1609557-6</v>
      </c>
      <c r="AV212" s="59" t="str">
        <f>IFERROR(VLOOKUP($A212,[2]Mssp!$A$5:$BE$1463,AV$4+1,0),0)</f>
        <v>1903066-7</v>
      </c>
      <c r="AW212" s="59">
        <f>IFERROR(VLOOKUP($A212,[2]Mssp!$A$5:$BE$1463,AW$4+1,0),0)</f>
        <v>0</v>
      </c>
      <c r="AX212" s="59">
        <f>IFERROR(VLOOKUP($A212,[2]Mssp!$A$5:$BE$1463,AX$4+1,0),0)</f>
        <v>0</v>
      </c>
      <c r="AY212" s="59" t="str">
        <f>IFERROR(VLOOKUP($A212,[2]Mssp!$A$5:$BE$1463,AY$4+2,0),0)</f>
        <v>1100x850</v>
      </c>
      <c r="AZ212" s="59" t="str">
        <f>IFERROR(VLOOKUP($A212,[2]Mssp!$A$5:$BE$1463,AZ$4+2,0),0)</f>
        <v>K3</v>
      </c>
      <c r="BA212" s="60" t="s">
        <v>106</v>
      </c>
      <c r="BB212" s="61" t="s">
        <v>107</v>
      </c>
      <c r="BC212" s="62"/>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c r="CO212" s="9"/>
      <c r="CP212" s="9"/>
    </row>
    <row r="213" spans="1:94" ht="60" x14ac:dyDescent="0.25">
      <c r="A213" s="50" t="s">
        <v>788</v>
      </c>
      <c r="B213" s="73" t="s">
        <v>789</v>
      </c>
      <c r="C213" s="50">
        <f t="shared" si="7"/>
        <v>7.3400000000000007</v>
      </c>
      <c r="D213" s="58">
        <v>2</v>
      </c>
      <c r="E213" s="58" t="s">
        <v>748</v>
      </c>
      <c r="F213" s="58">
        <v>8</v>
      </c>
      <c r="G213" s="50" t="s">
        <v>56</v>
      </c>
      <c r="H213" s="50">
        <f>VLOOKUP($A213,'[1]ma sp 02'!$A$5:$BD$1101,H$1,0)</f>
        <v>0.13</v>
      </c>
      <c r="I213" s="50">
        <f>VLOOKUP($A213,'[1]ma sp 02'!$A$5:$BD$1101,I$1,0)</f>
        <v>4.32</v>
      </c>
      <c r="J213" s="50">
        <f>VLOOKUP($A213,'[1]ma sp 02'!$A$5:$BD$1101,J$1,0)</f>
        <v>0.05</v>
      </c>
      <c r="K213" s="50">
        <f>VLOOKUP($A213,'[1]ma sp 02'!$A$5:$BD$1101,K$1,0)</f>
        <v>0.03</v>
      </c>
      <c r="L213" s="50">
        <f>VLOOKUP($A213,'[1]ma sp 02'!$A$5:$BD$1101,L$1,0)</f>
        <v>1.1299999999999999</v>
      </c>
      <c r="M213" s="50">
        <f>VLOOKUP($A213,'[1]ma sp 02'!$A$5:$BD$1101,M$1,0)</f>
        <v>1.48</v>
      </c>
      <c r="N213" s="50">
        <f>VLOOKUP($A213,'[1]ma sp 02'!$A$5:$BD$1101,N$1,0)</f>
        <v>0</v>
      </c>
      <c r="O213" s="50">
        <f>VLOOKUP($A213,'[1]ma sp 02'!$A$5:$BD$1101,O$1,0)</f>
        <v>0.01</v>
      </c>
      <c r="P213" s="50">
        <f>VLOOKUP($A213,'[1]ma sp 02'!$A$5:$BD$1101,P$1,0)</f>
        <v>0.03</v>
      </c>
      <c r="Q213" s="50">
        <f>VLOOKUP($A213,'[1]ma sp 02'!$A$5:$BD$1101,Q$1,0)</f>
        <v>0.03</v>
      </c>
      <c r="R213" s="50">
        <f>VLOOKUP($A213,'[1]ma sp 02'!$A$5:$BD$1101,R$1,0)</f>
        <v>0</v>
      </c>
      <c r="S213" s="50">
        <f>VLOOKUP($A213,'[1]ma sp 02'!$A$5:$BD$1101,S$1,0)</f>
        <v>0</v>
      </c>
      <c r="T213" s="50">
        <f>VLOOKUP($A213,'[1]ma sp 02'!$A$5:$BD$1101,T$1,0)</f>
        <v>0.01</v>
      </c>
      <c r="U213" s="50">
        <f>VLOOKUP($A213,'[1]ma sp 02'!$A$5:$BD$1101,U$1,0)</f>
        <v>0.12</v>
      </c>
      <c r="V213" s="50">
        <f>VLOOKUP($A213,'[1]ma sp 02'!$A$5:$BD$1101,V$1,0)</f>
        <v>0</v>
      </c>
      <c r="W213" s="50">
        <f>VLOOKUP($A213,'[1]ma sp 02'!$A$5:$BD$1101,W$1,0)</f>
        <v>0</v>
      </c>
      <c r="X213" s="50">
        <f t="shared" si="6"/>
        <v>11</v>
      </c>
      <c r="Y213" s="58"/>
      <c r="Z213" s="57"/>
      <c r="AA213" s="57"/>
      <c r="AB213" s="57"/>
      <c r="AC213" s="57"/>
      <c r="AD213" s="57"/>
      <c r="AE213" s="58" t="s">
        <v>749</v>
      </c>
      <c r="AF213" s="57"/>
      <c r="AG213" s="71">
        <f>(0.02*0.91+0.08*0.925)*0.9</f>
        <v>8.2980000000000012E-2</v>
      </c>
      <c r="AH213" s="63">
        <f>(2.3/0.75/2)*0.89</f>
        <v>1.3646666666666665</v>
      </c>
      <c r="AI213" s="57"/>
      <c r="AJ213" s="58">
        <v>9530</v>
      </c>
      <c r="AK213" s="57"/>
      <c r="AL213" s="58">
        <v>2.3E-3</v>
      </c>
      <c r="AM213" s="52" t="s">
        <v>750</v>
      </c>
      <c r="AN213" s="57">
        <v>310</v>
      </c>
      <c r="AO213" s="52" t="s">
        <v>527</v>
      </c>
      <c r="AP213" s="59" t="str">
        <f>IFERROR(VLOOKUP($A213,[2]Mssp!$A$5:$BE$1463,AP$4+1,0),0)</f>
        <v>1902526-1</v>
      </c>
      <c r="AQ213" s="59" t="str">
        <f>IFERROR(VLOOKUP($A213,[2]Mssp!$A$5:$BE$1463,AQ$4+1,0),0)</f>
        <v>19041070-2</v>
      </c>
      <c r="AR213" s="59" t="str">
        <f>IFERROR(VLOOKUP($A213,[2]Mssp!$A$5:$BE$1463,AR$4+1,0),0)</f>
        <v>1609558-3</v>
      </c>
      <c r="AS213" s="59" t="str">
        <f>IFERROR(VLOOKUP($A213,[2]Mssp!$A$5:$BE$1463,AS$4+1,0),0)</f>
        <v>1609558-4</v>
      </c>
      <c r="AT213" s="59" t="str">
        <f>IFERROR(VLOOKUP($A213,[2]Mssp!$A$5:$BE$1463,AT$4+1,0),0)</f>
        <v>1902526-5</v>
      </c>
      <c r="AU213" s="59" t="str">
        <f>IFERROR(VLOOKUP($A213,[2]Mssp!$A$5:$BE$1463,AU$4+1,0),0)</f>
        <v>1609558-6</v>
      </c>
      <c r="AV213" s="59" t="str">
        <f>IFERROR(VLOOKUP($A213,[2]Mssp!$A$5:$BE$1463,AV$4+1,0),0)</f>
        <v>1902526-7</v>
      </c>
      <c r="AW213" s="59" t="str">
        <f>IFERROR(VLOOKUP($A213,[2]Mssp!$A$5:$BE$1463,AW$4+1,0),0)</f>
        <v>21030918-8</v>
      </c>
      <c r="AX213" s="59">
        <f>IFERROR(VLOOKUP($A213,[2]Mssp!$A$5:$BE$1463,AX$4+1,0),0)</f>
        <v>0</v>
      </c>
      <c r="AY213" s="59" t="str">
        <f>IFERROR(VLOOKUP($A213,[2]Mssp!$A$5:$BE$1463,AY$4+2,0),0)</f>
        <v>620x1100</v>
      </c>
      <c r="AZ213" s="59" t="str">
        <f>IFERROR(VLOOKUP($A213,[2]Mssp!$A$5:$BE$1463,AZ$4+2,0),0)</f>
        <v>I1</v>
      </c>
      <c r="BA213" s="60">
        <v>4000</v>
      </c>
      <c r="BB213" s="61" t="s">
        <v>251</v>
      </c>
      <c r="BC213" s="62"/>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c r="CO213" s="9"/>
      <c r="CP213" s="9"/>
    </row>
    <row r="214" spans="1:94" ht="60" x14ac:dyDescent="0.25">
      <c r="A214" s="50" t="s">
        <v>790</v>
      </c>
      <c r="B214" s="73" t="s">
        <v>791</v>
      </c>
      <c r="C214" s="50">
        <f t="shared" si="7"/>
        <v>6.37</v>
      </c>
      <c r="D214" s="58">
        <v>2</v>
      </c>
      <c r="E214" s="58" t="s">
        <v>748</v>
      </c>
      <c r="F214" s="58">
        <v>8</v>
      </c>
      <c r="G214" s="50" t="s">
        <v>56</v>
      </c>
      <c r="H214" s="50">
        <f>VLOOKUP($A214,'[1]ma sp 02'!$A$5:$BD$1101,H$1,0)</f>
        <v>0.15</v>
      </c>
      <c r="I214" s="50">
        <f>VLOOKUP($A214,'[1]ma sp 02'!$A$5:$BD$1101,I$1,0)</f>
        <v>3.4</v>
      </c>
      <c r="J214" s="50">
        <f>VLOOKUP($A214,'[1]ma sp 02'!$A$5:$BD$1101,J$1,0)</f>
        <v>0.15</v>
      </c>
      <c r="K214" s="50">
        <f>VLOOKUP($A214,'[1]ma sp 02'!$A$5:$BD$1101,K$1,0)</f>
        <v>0.05</v>
      </c>
      <c r="L214" s="50">
        <f>VLOOKUP($A214,'[1]ma sp 02'!$A$5:$BD$1101,L$1,0)</f>
        <v>0.9</v>
      </c>
      <c r="M214" s="50">
        <f>VLOOKUP($A214,'[1]ma sp 02'!$A$5:$BD$1101,M$1,0)</f>
        <v>0.6</v>
      </c>
      <c r="N214" s="50">
        <f>VLOOKUP($A214,'[1]ma sp 02'!$A$5:$BD$1101,N$1,0)</f>
        <v>0</v>
      </c>
      <c r="O214" s="50">
        <f>VLOOKUP($A214,'[1]ma sp 02'!$A$5:$BD$1101,O$1,0)</f>
        <v>0.15</v>
      </c>
      <c r="P214" s="50">
        <f>VLOOKUP($A214,'[1]ma sp 02'!$A$5:$BD$1101,P$1,0)</f>
        <v>0.03</v>
      </c>
      <c r="Q214" s="50">
        <f>VLOOKUP($A214,'[1]ma sp 02'!$A$5:$BD$1101,Q$1,0)</f>
        <v>0.03</v>
      </c>
      <c r="R214" s="50">
        <f>VLOOKUP($A214,'[1]ma sp 02'!$A$5:$BD$1101,R$1,0)</f>
        <v>0</v>
      </c>
      <c r="S214" s="50">
        <f>VLOOKUP($A214,'[1]ma sp 02'!$A$5:$BD$1101,S$1,0)</f>
        <v>0</v>
      </c>
      <c r="T214" s="50">
        <f>VLOOKUP($A214,'[1]ma sp 02'!$A$5:$BD$1101,T$1,0)</f>
        <v>0.01</v>
      </c>
      <c r="U214" s="50">
        <f>VLOOKUP($A214,'[1]ma sp 02'!$A$5:$BD$1101,U$1,0)</f>
        <v>0.9</v>
      </c>
      <c r="V214" s="50">
        <f>VLOOKUP($A214,'[1]ma sp 02'!$A$5:$BD$1101,V$1,0)</f>
        <v>0</v>
      </c>
      <c r="W214" s="50">
        <f>VLOOKUP($A214,'[1]ma sp 02'!$A$5:$BD$1101,W$1,0)</f>
        <v>0</v>
      </c>
      <c r="X214" s="50">
        <f t="shared" si="6"/>
        <v>11</v>
      </c>
      <c r="Y214" s="57"/>
      <c r="Z214" s="57"/>
      <c r="AA214" s="58"/>
      <c r="AB214" s="57"/>
      <c r="AC214" s="57"/>
      <c r="AD214" s="57"/>
      <c r="AE214" s="58" t="s">
        <v>749</v>
      </c>
      <c r="AF214" s="57"/>
      <c r="AG214" s="71">
        <f>(0.02*0.91+0.08*0.925)*0.9</f>
        <v>8.2980000000000012E-2</v>
      </c>
      <c r="AH214" s="63">
        <f>(2.3/0.75/2)*0.89</f>
        <v>1.3646666666666665</v>
      </c>
      <c r="AI214" s="57"/>
      <c r="AJ214" s="58">
        <v>9530</v>
      </c>
      <c r="AK214" s="57"/>
      <c r="AL214" s="58">
        <v>2.3E-3</v>
      </c>
      <c r="AM214" s="52" t="s">
        <v>750</v>
      </c>
      <c r="AN214" s="57">
        <v>310</v>
      </c>
      <c r="AO214" s="52" t="s">
        <v>527</v>
      </c>
      <c r="AP214" s="59" t="str">
        <f>IFERROR(VLOOKUP($A214,[2]Mssp!$A$5:$BE$1463,AP$4+1,0),0)</f>
        <v>1902527-1</v>
      </c>
      <c r="AQ214" s="59" t="str">
        <f>IFERROR(VLOOKUP($A214,[2]Mssp!$A$5:$BE$1463,AQ$4+1,0),0)</f>
        <v>19041070-2</v>
      </c>
      <c r="AR214" s="59" t="str">
        <f>IFERROR(VLOOKUP($A214,[2]Mssp!$A$5:$BE$1463,AR$4+1,0),0)</f>
        <v>1609558-3</v>
      </c>
      <c r="AS214" s="59" t="str">
        <f>IFERROR(VLOOKUP($A214,[2]Mssp!$A$5:$BE$1463,AS$4+1,0),0)</f>
        <v>1609558-4</v>
      </c>
      <c r="AT214" s="59" t="str">
        <f>IFERROR(VLOOKUP($A214,[2]Mssp!$A$5:$BE$1463,AT$4+1,0),0)</f>
        <v>1902526-5</v>
      </c>
      <c r="AU214" s="59" t="str">
        <f>IFERROR(VLOOKUP($A214,[2]Mssp!$A$5:$BE$1463,AU$4+1,0),0)</f>
        <v>1609559-6</v>
      </c>
      <c r="AV214" s="59" t="str">
        <f>IFERROR(VLOOKUP($A214,[2]Mssp!$A$5:$BE$1463,AV$4+1,0),0)</f>
        <v>1902526-7</v>
      </c>
      <c r="AW214" s="59" t="str">
        <f>IFERROR(VLOOKUP($A214,[2]Mssp!$A$5:$BE$1463,AW$4+1,0),0)</f>
        <v>21030918-8</v>
      </c>
      <c r="AX214" s="59">
        <f>IFERROR(VLOOKUP($A214,[2]Mssp!$A$5:$BE$1463,AX$4+1,0),0)</f>
        <v>0</v>
      </c>
      <c r="AY214" s="59" t="str">
        <f>IFERROR(VLOOKUP($A214,[2]Mssp!$A$5:$BE$1463,AY$4+2,0),0)</f>
        <v>620x1100</v>
      </c>
      <c r="AZ214" s="59" t="str">
        <f>IFERROR(VLOOKUP($A214,[2]Mssp!$A$5:$BE$1463,AZ$4+2,0),0)</f>
        <v>I2</v>
      </c>
      <c r="BA214" s="60">
        <v>4000</v>
      </c>
      <c r="BB214" s="61" t="s">
        <v>251</v>
      </c>
      <c r="BC214" s="62"/>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c r="CP214" s="9"/>
    </row>
    <row r="215" spans="1:94" ht="60" x14ac:dyDescent="0.25">
      <c r="A215" s="50" t="s">
        <v>792</v>
      </c>
      <c r="B215" s="73" t="s">
        <v>793</v>
      </c>
      <c r="C215" s="50">
        <f t="shared" si="7"/>
        <v>6.15</v>
      </c>
      <c r="D215" s="58">
        <v>2</v>
      </c>
      <c r="E215" s="58" t="s">
        <v>748</v>
      </c>
      <c r="F215" s="58">
        <v>8</v>
      </c>
      <c r="G215" s="50" t="s">
        <v>56</v>
      </c>
      <c r="H215" s="50">
        <f>VLOOKUP($A215,'[1]ma sp 02'!$A$5:$BD$1101,H$1,0)</f>
        <v>0.22</v>
      </c>
      <c r="I215" s="50">
        <f>VLOOKUP($A215,'[1]ma sp 02'!$A$5:$BD$1101,I$1,0)</f>
        <v>3.49</v>
      </c>
      <c r="J215" s="50">
        <f>VLOOKUP($A215,'[1]ma sp 02'!$A$5:$BD$1101,J$1,0)</f>
        <v>0.08</v>
      </c>
      <c r="K215" s="50">
        <f>VLOOKUP($A215,'[1]ma sp 02'!$A$5:$BD$1101,K$1,0)</f>
        <v>0.16</v>
      </c>
      <c r="L215" s="50">
        <f>VLOOKUP($A215,'[1]ma sp 02'!$A$5:$BD$1101,L$1,0)</f>
        <v>1.19</v>
      </c>
      <c r="M215" s="50">
        <f>VLOOKUP($A215,'[1]ma sp 02'!$A$5:$BD$1101,M$1,0)</f>
        <v>0.46</v>
      </c>
      <c r="N215" s="50">
        <f>VLOOKUP($A215,'[1]ma sp 02'!$A$5:$BD$1101,N$1,0)</f>
        <v>0</v>
      </c>
      <c r="O215" s="50">
        <f>VLOOKUP($A215,'[1]ma sp 02'!$A$5:$BD$1101,O$1,0)</f>
        <v>0.01</v>
      </c>
      <c r="P215" s="50">
        <f>VLOOKUP($A215,'[1]ma sp 02'!$A$5:$BD$1101,P$1,0)</f>
        <v>0.1</v>
      </c>
      <c r="Q215" s="50">
        <f>VLOOKUP($A215,'[1]ma sp 02'!$A$5:$BD$1101,Q$1,0)</f>
        <v>0.03</v>
      </c>
      <c r="R215" s="50">
        <f>VLOOKUP($A215,'[1]ma sp 02'!$A$5:$BD$1101,R$1,0)</f>
        <v>0</v>
      </c>
      <c r="S215" s="50">
        <f>VLOOKUP($A215,'[1]ma sp 02'!$A$5:$BD$1101,S$1,0)</f>
        <v>0</v>
      </c>
      <c r="T215" s="50">
        <f>VLOOKUP($A215,'[1]ma sp 02'!$A$5:$BD$1101,T$1,0)</f>
        <v>0.41</v>
      </c>
      <c r="U215" s="50">
        <f>VLOOKUP($A215,'[1]ma sp 02'!$A$5:$BD$1101,U$1,0)</f>
        <v>0</v>
      </c>
      <c r="V215" s="50">
        <f>VLOOKUP($A215,'[1]ma sp 02'!$A$5:$BD$1101,V$1,0)</f>
        <v>0</v>
      </c>
      <c r="W215" s="50">
        <f>VLOOKUP($A215,'[1]ma sp 02'!$A$5:$BD$1101,W$1,0)</f>
        <v>0</v>
      </c>
      <c r="X215" s="50">
        <f t="shared" si="6"/>
        <v>10</v>
      </c>
      <c r="Y215" s="57"/>
      <c r="Z215" s="57"/>
      <c r="AA215" s="57"/>
      <c r="AB215" s="57"/>
      <c r="AC215" s="57"/>
      <c r="AD215" s="57"/>
      <c r="AE215" s="58" t="s">
        <v>749</v>
      </c>
      <c r="AF215" s="57"/>
      <c r="AG215" s="71">
        <f>(0.02*0.91+0.08*0.925)*0.9</f>
        <v>8.2980000000000012E-2</v>
      </c>
      <c r="AH215" s="63">
        <f>(2.3/0.75/2)*0.89</f>
        <v>1.3646666666666665</v>
      </c>
      <c r="AI215" s="57"/>
      <c r="AJ215" s="58">
        <v>9530</v>
      </c>
      <c r="AK215" s="57"/>
      <c r="AL215" s="58">
        <v>2.3E-3</v>
      </c>
      <c r="AM215" s="52" t="s">
        <v>750</v>
      </c>
      <c r="AN215" s="57">
        <v>310</v>
      </c>
      <c r="AO215" s="52" t="s">
        <v>527</v>
      </c>
      <c r="AP215" s="59" t="str">
        <f>IFERROR(VLOOKUP($A215,[2]Mssp!$A$5:$BE$1463,AP$4+1,0),0)</f>
        <v>1609560-1</v>
      </c>
      <c r="AQ215" s="59" t="str">
        <f>IFERROR(VLOOKUP($A215,[2]Mssp!$A$5:$BE$1463,AQ$4+1,0),0)</f>
        <v>19041070-2</v>
      </c>
      <c r="AR215" s="59" t="str">
        <f>IFERROR(VLOOKUP($A215,[2]Mssp!$A$5:$BE$1463,AR$4+1,0),0)</f>
        <v>1609558-3</v>
      </c>
      <c r="AS215" s="59" t="str">
        <f>IFERROR(VLOOKUP($A215,[2]Mssp!$A$5:$BE$1463,AS$4+1,0),0)</f>
        <v>1609558-4</v>
      </c>
      <c r="AT215" s="59" t="str">
        <f>IFERROR(VLOOKUP($A215,[2]Mssp!$A$5:$BE$1463,AT$4+1,0),0)</f>
        <v>1609560-5</v>
      </c>
      <c r="AU215" s="59" t="str">
        <f>IFERROR(VLOOKUP($A215,[2]Mssp!$A$5:$BE$1463,AU$4+1,0),0)</f>
        <v>1609560-6</v>
      </c>
      <c r="AV215" s="59" t="str">
        <f>IFERROR(VLOOKUP($A215,[2]Mssp!$A$5:$BE$1463,AV$4+1,0),0)</f>
        <v>1902529-7</v>
      </c>
      <c r="AW215" s="59" t="str">
        <f>IFERROR(VLOOKUP($A215,[2]Mssp!$A$5:$BE$1463,AW$4+1,0),0)</f>
        <v>21030918-8</v>
      </c>
      <c r="AX215" s="59">
        <f>IFERROR(VLOOKUP($A215,[2]Mssp!$A$5:$BE$1463,AX$4+1,0),0)</f>
        <v>0</v>
      </c>
      <c r="AY215" s="59" t="str">
        <f>IFERROR(VLOOKUP($A215,[2]Mssp!$A$5:$BE$1463,AY$4+2,0),0)</f>
        <v>620x1100</v>
      </c>
      <c r="AZ215" s="59" t="str">
        <f>IFERROR(VLOOKUP($A215,[2]Mssp!$A$5:$BE$1463,AZ$4+2,0),0)</f>
        <v>I2</v>
      </c>
      <c r="BA215" s="60">
        <v>4000</v>
      </c>
      <c r="BB215" s="61" t="s">
        <v>251</v>
      </c>
      <c r="BC215" s="62"/>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9"/>
      <c r="CP215" s="9"/>
    </row>
    <row r="216" spans="1:94" ht="60" x14ac:dyDescent="0.25">
      <c r="A216" s="50" t="s">
        <v>794</v>
      </c>
      <c r="B216" s="73" t="s">
        <v>795</v>
      </c>
      <c r="C216" s="50">
        <f t="shared" si="7"/>
        <v>4.58</v>
      </c>
      <c r="D216" s="58">
        <v>2</v>
      </c>
      <c r="E216" s="58" t="s">
        <v>748</v>
      </c>
      <c r="F216" s="58">
        <v>8</v>
      </c>
      <c r="G216" s="50" t="s">
        <v>56</v>
      </c>
      <c r="H216" s="50">
        <f>VLOOKUP($A216,'[1]ma sp 02'!$A$5:$BD$1101,H$1,0)</f>
        <v>0.14000000000000001</v>
      </c>
      <c r="I216" s="50">
        <f>VLOOKUP($A216,'[1]ma sp 02'!$A$5:$BD$1101,I$1,0)</f>
        <v>2.7</v>
      </c>
      <c r="J216" s="50">
        <f>VLOOKUP($A216,'[1]ma sp 02'!$A$5:$BD$1101,J$1,0)</f>
        <v>0.2</v>
      </c>
      <c r="K216" s="50">
        <f>VLOOKUP($A216,'[1]ma sp 02'!$A$5:$BD$1101,K$1,0)</f>
        <v>0.14000000000000001</v>
      </c>
      <c r="L216" s="50">
        <f>VLOOKUP($A216,'[1]ma sp 02'!$A$5:$BD$1101,L$1,0)</f>
        <v>0.3</v>
      </c>
      <c r="M216" s="50">
        <f>VLOOKUP($A216,'[1]ma sp 02'!$A$5:$BD$1101,M$1,0)</f>
        <v>0.7</v>
      </c>
      <c r="N216" s="50">
        <f>VLOOKUP($A216,'[1]ma sp 02'!$A$5:$BD$1101,N$1,0)</f>
        <v>0</v>
      </c>
      <c r="O216" s="50">
        <f>VLOOKUP($A216,'[1]ma sp 02'!$A$5:$BD$1101,O$1,0)</f>
        <v>0.1</v>
      </c>
      <c r="P216" s="50">
        <f>VLOOKUP($A216,'[1]ma sp 02'!$A$5:$BD$1101,P$1,0)</f>
        <v>0</v>
      </c>
      <c r="Q216" s="50">
        <f>VLOOKUP($A216,'[1]ma sp 02'!$A$5:$BD$1101,Q$1,0)</f>
        <v>0.1</v>
      </c>
      <c r="R216" s="50">
        <f>VLOOKUP($A216,'[1]ma sp 02'!$A$5:$BD$1101,R$1,0)</f>
        <v>0</v>
      </c>
      <c r="S216" s="50">
        <f>VLOOKUP($A216,'[1]ma sp 02'!$A$5:$BD$1101,S$1,0)</f>
        <v>0</v>
      </c>
      <c r="T216" s="50">
        <f>VLOOKUP($A216,'[1]ma sp 02'!$A$5:$BD$1101,T$1,0)</f>
        <v>0.2</v>
      </c>
      <c r="U216" s="50">
        <f>VLOOKUP($A216,'[1]ma sp 02'!$A$5:$BD$1101,U$1,0)</f>
        <v>0</v>
      </c>
      <c r="V216" s="50">
        <f>VLOOKUP($A216,'[1]ma sp 02'!$A$5:$BD$1101,V$1,0)</f>
        <v>0</v>
      </c>
      <c r="W216" s="50">
        <f>VLOOKUP($A216,'[1]ma sp 02'!$A$5:$BD$1101,W$1,0)</f>
        <v>0</v>
      </c>
      <c r="X216" s="50">
        <f t="shared" si="6"/>
        <v>9</v>
      </c>
      <c r="Y216" s="57"/>
      <c r="Z216" s="57"/>
      <c r="AA216" s="57"/>
      <c r="AB216" s="57"/>
      <c r="AC216" s="57"/>
      <c r="AD216" s="57"/>
      <c r="AE216" s="58" t="s">
        <v>749</v>
      </c>
      <c r="AF216" s="57"/>
      <c r="AG216" s="71">
        <f>(0.02*0.91+0.08*0.925)*0.9</f>
        <v>8.2980000000000012E-2</v>
      </c>
      <c r="AH216" s="63">
        <f>(2.3/0.75/2)*0.89</f>
        <v>1.3646666666666665</v>
      </c>
      <c r="AI216" s="57"/>
      <c r="AJ216" s="58">
        <v>9530</v>
      </c>
      <c r="AK216" s="57"/>
      <c r="AL216" s="58">
        <v>2.3E-3</v>
      </c>
      <c r="AM216" s="52" t="s">
        <v>750</v>
      </c>
      <c r="AN216" s="57">
        <v>310</v>
      </c>
      <c r="AO216" s="52" t="s">
        <v>527</v>
      </c>
      <c r="AP216" s="59" t="str">
        <f>IFERROR(VLOOKUP($A216,[2]Mssp!$A$5:$BE$1463,AP$4+1,0),0)</f>
        <v>1902528-1</v>
      </c>
      <c r="AQ216" s="59" t="str">
        <f>IFERROR(VLOOKUP($A216,[2]Mssp!$A$5:$BE$1463,AQ$4+1,0),0)</f>
        <v>19041070-2</v>
      </c>
      <c r="AR216" s="59" t="str">
        <f>IFERROR(VLOOKUP($A216,[2]Mssp!$A$5:$BE$1463,AR$4+1,0),0)</f>
        <v>1609558-3</v>
      </c>
      <c r="AS216" s="59" t="str">
        <f>IFERROR(VLOOKUP($A216,[2]Mssp!$A$5:$BE$1463,AS$4+1,0),0)</f>
        <v>1609558-4</v>
      </c>
      <c r="AT216" s="59" t="str">
        <f>IFERROR(VLOOKUP($A216,[2]Mssp!$A$5:$BE$1463,AT$4+1,0),0)</f>
        <v>1902526-5</v>
      </c>
      <c r="AU216" s="59" t="str">
        <f>IFERROR(VLOOKUP($A216,[2]Mssp!$A$5:$BE$1463,AU$4+1,0),0)</f>
        <v>1609561-6</v>
      </c>
      <c r="AV216" s="59" t="str">
        <f>IFERROR(VLOOKUP($A216,[2]Mssp!$A$5:$BE$1463,AV$4+1,0),0)</f>
        <v>1902526-7</v>
      </c>
      <c r="AW216" s="59" t="str">
        <f>IFERROR(VLOOKUP($A216,[2]Mssp!$A$5:$BE$1463,AW$4+1,0),0)</f>
        <v>21030918-8</v>
      </c>
      <c r="AX216" s="59">
        <f>IFERROR(VLOOKUP($A216,[2]Mssp!$A$5:$BE$1463,AX$4+1,0),0)</f>
        <v>0</v>
      </c>
      <c r="AY216" s="59" t="str">
        <f>IFERROR(VLOOKUP($A216,[2]Mssp!$A$5:$BE$1463,AY$4+2,0),0)</f>
        <v>620x1100</v>
      </c>
      <c r="AZ216" s="59" t="str">
        <f>IFERROR(VLOOKUP($A216,[2]Mssp!$A$5:$BE$1463,AZ$4+2,0),0)</f>
        <v>I2</v>
      </c>
      <c r="BA216" s="60">
        <v>4000</v>
      </c>
      <c r="BB216" s="61" t="s">
        <v>251</v>
      </c>
      <c r="BC216" s="62"/>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row>
    <row r="217" spans="1:94" ht="60" x14ac:dyDescent="0.25">
      <c r="A217" s="50" t="s">
        <v>796</v>
      </c>
      <c r="B217" s="73" t="s">
        <v>797</v>
      </c>
      <c r="C217" s="50">
        <f t="shared" si="7"/>
        <v>5.66</v>
      </c>
      <c r="D217" s="58">
        <v>2</v>
      </c>
      <c r="E217" s="58" t="s">
        <v>748</v>
      </c>
      <c r="F217" s="58">
        <v>8</v>
      </c>
      <c r="G217" s="50" t="s">
        <v>56</v>
      </c>
      <c r="H217" s="50">
        <f>VLOOKUP($A217,'[1]ma sp 02'!$A$5:$BD$1101,H$1,0)</f>
        <v>0.12</v>
      </c>
      <c r="I217" s="50">
        <f>VLOOKUP($A217,'[1]ma sp 02'!$A$5:$BD$1101,I$1,0)</f>
        <v>3.24</v>
      </c>
      <c r="J217" s="50">
        <f>VLOOKUP($A217,'[1]ma sp 02'!$A$5:$BD$1101,J$1,0)</f>
        <v>7.0000000000000007E-2</v>
      </c>
      <c r="K217" s="50">
        <f>VLOOKUP($A217,'[1]ma sp 02'!$A$5:$BD$1101,K$1,0)</f>
        <v>0.13</v>
      </c>
      <c r="L217" s="50">
        <f>VLOOKUP($A217,'[1]ma sp 02'!$A$5:$BD$1101,L$1,0)</f>
        <v>0.59</v>
      </c>
      <c r="M217" s="50">
        <f>VLOOKUP($A217,'[1]ma sp 02'!$A$5:$BD$1101,M$1,0)</f>
        <v>0.74</v>
      </c>
      <c r="N217" s="50">
        <f>VLOOKUP($A217,'[1]ma sp 02'!$A$5:$BD$1101,N$1,0)</f>
        <v>0</v>
      </c>
      <c r="O217" s="50">
        <f>VLOOKUP($A217,'[1]ma sp 02'!$A$5:$BD$1101,O$1,0)</f>
        <v>0.67</v>
      </c>
      <c r="P217" s="50">
        <f>VLOOKUP($A217,'[1]ma sp 02'!$A$5:$BD$1101,P$1,0)</f>
        <v>0</v>
      </c>
      <c r="Q217" s="50">
        <f>VLOOKUP($A217,'[1]ma sp 02'!$A$5:$BD$1101,Q$1,0)</f>
        <v>0.09</v>
      </c>
      <c r="R217" s="50">
        <f>VLOOKUP($A217,'[1]ma sp 02'!$A$5:$BD$1101,R$1,0)</f>
        <v>0</v>
      </c>
      <c r="S217" s="50">
        <f>VLOOKUP($A217,'[1]ma sp 02'!$A$5:$BD$1101,S$1,0)</f>
        <v>0</v>
      </c>
      <c r="T217" s="50">
        <f>VLOOKUP($A217,'[1]ma sp 02'!$A$5:$BD$1101,T$1,0)</f>
        <v>0.01</v>
      </c>
      <c r="U217" s="50">
        <f>VLOOKUP($A217,'[1]ma sp 02'!$A$5:$BD$1101,U$1,0)</f>
        <v>0</v>
      </c>
      <c r="V217" s="50">
        <f>VLOOKUP($A217,'[1]ma sp 02'!$A$5:$BD$1101,V$1,0)</f>
        <v>0</v>
      </c>
      <c r="W217" s="50">
        <f>VLOOKUP($A217,'[1]ma sp 02'!$A$5:$BD$1101,W$1,0)</f>
        <v>0</v>
      </c>
      <c r="X217" s="50">
        <f t="shared" si="6"/>
        <v>9</v>
      </c>
      <c r="Y217" s="58"/>
      <c r="Z217" s="57"/>
      <c r="AA217" s="57"/>
      <c r="AB217" s="57"/>
      <c r="AC217" s="57"/>
      <c r="AD217" s="57"/>
      <c r="AE217" s="58" t="s">
        <v>749</v>
      </c>
      <c r="AF217" s="57"/>
      <c r="AG217" s="71">
        <f>(0.02*0.91+0.08*0.925)*0.9</f>
        <v>8.2980000000000012E-2</v>
      </c>
      <c r="AH217" s="63">
        <f>(2.3/0.75/2)*0.89</f>
        <v>1.3646666666666665</v>
      </c>
      <c r="AI217" s="57"/>
      <c r="AJ217" s="58">
        <v>9530</v>
      </c>
      <c r="AK217" s="57"/>
      <c r="AL217" s="58">
        <v>2.3E-3</v>
      </c>
      <c r="AM217" s="52" t="s">
        <v>750</v>
      </c>
      <c r="AN217" s="57">
        <v>310</v>
      </c>
      <c r="AO217" s="52" t="s">
        <v>527</v>
      </c>
      <c r="AP217" s="59" t="str">
        <f>IFERROR(VLOOKUP($A217,[2]Mssp!$A$5:$BE$1463,AP$4+1,0),0)</f>
        <v>1902570-1</v>
      </c>
      <c r="AQ217" s="59" t="str">
        <f>IFERROR(VLOOKUP($A217,[2]Mssp!$A$5:$BE$1463,AQ$4+1,0),0)</f>
        <v>19041070-2</v>
      </c>
      <c r="AR217" s="59" t="str">
        <f>IFERROR(VLOOKUP($A217,[2]Mssp!$A$5:$BE$1463,AR$4+1,0),0)</f>
        <v>1609558-3</v>
      </c>
      <c r="AS217" s="59" t="str">
        <f>IFERROR(VLOOKUP($A217,[2]Mssp!$A$5:$BE$1463,AS$4+1,0),0)</f>
        <v>1609558-4</v>
      </c>
      <c r="AT217" s="59" t="str">
        <f>IFERROR(VLOOKUP($A217,[2]Mssp!$A$5:$BE$1463,AT$4+1,0),0)</f>
        <v>1902526-5</v>
      </c>
      <c r="AU217" s="59" t="str">
        <f>IFERROR(VLOOKUP($A217,[2]Mssp!$A$5:$BE$1463,AU$4+1,0),0)</f>
        <v>1609562-6</v>
      </c>
      <c r="AV217" s="59" t="str">
        <f>IFERROR(VLOOKUP($A217,[2]Mssp!$A$5:$BE$1463,AV$4+1,0),0)</f>
        <v>1902526-7</v>
      </c>
      <c r="AW217" s="59" t="str">
        <f>IFERROR(VLOOKUP($A217,[2]Mssp!$A$5:$BE$1463,AW$4+1,0),0)</f>
        <v>21030918-8</v>
      </c>
      <c r="AX217" s="59">
        <f>IFERROR(VLOOKUP($A217,[2]Mssp!$A$5:$BE$1463,AX$4+1,0),0)</f>
        <v>0</v>
      </c>
      <c r="AY217" s="59" t="str">
        <f>IFERROR(VLOOKUP($A217,[2]Mssp!$A$5:$BE$1463,AY$4+2,0),0)</f>
        <v>620x1100</v>
      </c>
      <c r="AZ217" s="59" t="str">
        <f>IFERROR(VLOOKUP($A217,[2]Mssp!$A$5:$BE$1463,AZ$4+2,0),0)</f>
        <v>I2</v>
      </c>
      <c r="BA217" s="60">
        <v>4000</v>
      </c>
      <c r="BB217" s="61" t="s">
        <v>251</v>
      </c>
      <c r="BC217" s="62"/>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row>
    <row r="218" spans="1:94" ht="45" x14ac:dyDescent="0.25">
      <c r="A218" s="50" t="s">
        <v>798</v>
      </c>
      <c r="B218" s="73" t="s">
        <v>799</v>
      </c>
      <c r="C218" s="50">
        <f t="shared" si="7"/>
        <v>2.1</v>
      </c>
      <c r="D218" s="58">
        <v>2</v>
      </c>
      <c r="E218" s="58" t="s">
        <v>257</v>
      </c>
      <c r="F218" s="58">
        <v>2</v>
      </c>
      <c r="G218" s="50" t="s">
        <v>56</v>
      </c>
      <c r="H218" s="50">
        <f>VLOOKUP($A218,'[1]ma sp 02'!$A$5:$BD$1101,H$1,0)</f>
        <v>0</v>
      </c>
      <c r="I218" s="50">
        <f>VLOOKUP($A218,'[1]ma sp 02'!$A$5:$BD$1101,I$1,0)</f>
        <v>1.1000000000000001</v>
      </c>
      <c r="J218" s="50">
        <f>VLOOKUP($A218,'[1]ma sp 02'!$A$5:$BD$1101,J$1,0)</f>
        <v>0</v>
      </c>
      <c r="K218" s="50">
        <f>VLOOKUP($A218,'[1]ma sp 02'!$A$5:$BD$1101,K$1,0)</f>
        <v>0</v>
      </c>
      <c r="L218" s="50">
        <f>VLOOKUP($A218,'[1]ma sp 02'!$A$5:$BD$1101,L$1,0)</f>
        <v>0</v>
      </c>
      <c r="M218" s="50">
        <f>VLOOKUP($A218,'[1]ma sp 02'!$A$5:$BD$1101,M$1,0)</f>
        <v>0</v>
      </c>
      <c r="N218" s="50">
        <f>VLOOKUP($A218,'[1]ma sp 02'!$A$5:$BD$1101,N$1,0)</f>
        <v>0</v>
      </c>
      <c r="O218" s="50">
        <f>VLOOKUP($A218,'[1]ma sp 02'!$A$5:$BD$1101,O$1,0)</f>
        <v>0</v>
      </c>
      <c r="P218" s="50">
        <f>VLOOKUP($A218,'[1]ma sp 02'!$A$5:$BD$1101,P$1,0)</f>
        <v>0.5</v>
      </c>
      <c r="Q218" s="50">
        <f>VLOOKUP($A218,'[1]ma sp 02'!$A$5:$BD$1101,Q$1,0)</f>
        <v>0</v>
      </c>
      <c r="R218" s="50">
        <f>VLOOKUP($A218,'[1]ma sp 02'!$A$5:$BD$1101,R$1,0)</f>
        <v>0</v>
      </c>
      <c r="S218" s="50">
        <f>VLOOKUP($A218,'[1]ma sp 02'!$A$5:$BD$1101,S$1,0)</f>
        <v>0</v>
      </c>
      <c r="T218" s="50">
        <f>VLOOKUP($A218,'[1]ma sp 02'!$A$5:$BD$1101,T$1,0)</f>
        <v>0.5</v>
      </c>
      <c r="U218" s="50">
        <f>VLOOKUP($A218,'[1]ma sp 02'!$A$5:$BD$1101,U$1,0)</f>
        <v>0</v>
      </c>
      <c r="V218" s="50">
        <f>VLOOKUP($A218,'[1]ma sp 02'!$A$5:$BD$1101,V$1,0)</f>
        <v>0</v>
      </c>
      <c r="W218" s="50">
        <f>VLOOKUP($A218,'[1]ma sp 02'!$A$5:$BD$1101,W$1,0)</f>
        <v>0</v>
      </c>
      <c r="X218" s="50">
        <f t="shared" si="6"/>
        <v>3</v>
      </c>
      <c r="Y218" s="57"/>
      <c r="Z218" s="57"/>
      <c r="AA218" s="57"/>
      <c r="AB218" s="57"/>
      <c r="AC218" s="57"/>
      <c r="AD218" s="57"/>
      <c r="AE218" s="58" t="s">
        <v>800</v>
      </c>
      <c r="AF218" s="57"/>
      <c r="AG218" s="71">
        <f>(0.02*0.91+0.02*0.91)*0.56</f>
        <v>2.0384000000000003E-2</v>
      </c>
      <c r="AH218" s="63">
        <f>(1.8/0.75/2)*0.55</f>
        <v>0.66</v>
      </c>
      <c r="AI218" s="57"/>
      <c r="AJ218" s="58">
        <v>9530</v>
      </c>
      <c r="AK218" s="57"/>
      <c r="AL218" s="58">
        <v>1.8E-3</v>
      </c>
      <c r="AM218" s="52" t="s">
        <v>142</v>
      </c>
      <c r="AN218" s="57">
        <v>270</v>
      </c>
      <c r="AO218" s="52" t="s">
        <v>180</v>
      </c>
      <c r="AP218" s="59" t="str">
        <f>IFERROR(VLOOKUP($A218,[2]Mssp!$A$5:$BE$1463,AP$4+1,0),0)</f>
        <v>16101152-1</v>
      </c>
      <c r="AQ218" s="59" t="str">
        <f>IFERROR(VLOOKUP($A218,[2]Mssp!$A$5:$BE$1463,AQ$4+1,0),0)</f>
        <v>16101152-2</v>
      </c>
      <c r="AR218" s="59">
        <f>IFERROR(VLOOKUP($A218,[2]Mssp!$A$5:$BE$1463,AR$4+1,0),0)</f>
        <v>0</v>
      </c>
      <c r="AS218" s="59">
        <f>IFERROR(VLOOKUP($A218,[2]Mssp!$A$5:$BE$1463,AS$4+1,0),0)</f>
        <v>0</v>
      </c>
      <c r="AT218" s="59">
        <f>IFERROR(VLOOKUP($A218,[2]Mssp!$A$5:$BE$1463,AT$4+1,0),0)</f>
        <v>0</v>
      </c>
      <c r="AU218" s="59">
        <f>IFERROR(VLOOKUP($A218,[2]Mssp!$A$5:$BE$1463,AU$4+1,0),0)</f>
        <v>0</v>
      </c>
      <c r="AV218" s="59">
        <f>IFERROR(VLOOKUP($A218,[2]Mssp!$A$5:$BE$1463,AV$4+1,0),0)</f>
        <v>0</v>
      </c>
      <c r="AW218" s="59">
        <f>IFERROR(VLOOKUP($A218,[2]Mssp!$A$5:$BE$1463,AW$4+1,0),0)</f>
        <v>0</v>
      </c>
      <c r="AX218" s="59">
        <f>IFERROR(VLOOKUP($A218,[2]Mssp!$A$5:$BE$1463,AX$4+1,0),0)</f>
        <v>0</v>
      </c>
      <c r="AY218" s="59" t="str">
        <f>IFERROR(VLOOKUP($A218,[2]Mssp!$A$5:$BE$1463,AY$4+2,0),0)</f>
        <v>520x750</v>
      </c>
      <c r="AZ218" s="59" t="str">
        <f>IFERROR(VLOOKUP($A218,[2]Mssp!$A$5:$BE$1463,AZ$4+2,0),0)</f>
        <v>V2</v>
      </c>
      <c r="BA218" s="60"/>
      <c r="BB218" s="61" t="s">
        <v>107</v>
      </c>
      <c r="BC218" s="61"/>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row>
    <row r="219" spans="1:94" ht="45" x14ac:dyDescent="0.25">
      <c r="A219" s="50" t="s">
        <v>801</v>
      </c>
      <c r="B219" s="95" t="s">
        <v>802</v>
      </c>
      <c r="C219" s="50">
        <f t="shared" si="7"/>
        <v>2.8799999999999994</v>
      </c>
      <c r="D219" s="58">
        <v>1</v>
      </c>
      <c r="E219" s="58" t="s">
        <v>803</v>
      </c>
      <c r="F219" s="58">
        <v>7</v>
      </c>
      <c r="G219" s="50" t="s">
        <v>56</v>
      </c>
      <c r="H219" s="50">
        <f>VLOOKUP($A219,'[1]ma sp 02'!$A$5:$BD$1101,H$1,0)</f>
        <v>0.05</v>
      </c>
      <c r="I219" s="50">
        <f>VLOOKUP($A219,'[1]ma sp 02'!$A$5:$BD$1101,I$1,0)</f>
        <v>0.28999999999999998</v>
      </c>
      <c r="J219" s="50">
        <f>VLOOKUP($A219,'[1]ma sp 02'!$A$5:$BD$1101,J$1,0)</f>
        <v>0.21</v>
      </c>
      <c r="K219" s="50">
        <f>VLOOKUP($A219,'[1]ma sp 02'!$A$5:$BD$1101,K$1,0)</f>
        <v>0.13</v>
      </c>
      <c r="L219" s="50">
        <f>VLOOKUP($A219,'[1]ma sp 02'!$A$5:$BD$1101,L$1,0)</f>
        <v>1.17</v>
      </c>
      <c r="M219" s="50">
        <f>VLOOKUP($A219,'[1]ma sp 02'!$A$5:$BD$1101,M$1,0)</f>
        <v>0.43</v>
      </c>
      <c r="N219" s="50">
        <f>VLOOKUP($A219,'[1]ma sp 02'!$A$5:$BD$1101,N$1,0)</f>
        <v>0</v>
      </c>
      <c r="O219" s="50">
        <f>VLOOKUP($A219,'[1]ma sp 02'!$A$5:$BD$1101,O$1,0)</f>
        <v>0.51</v>
      </c>
      <c r="P219" s="50">
        <f>VLOOKUP($A219,'[1]ma sp 02'!$A$5:$BD$1101,P$1,0)</f>
        <v>0.01</v>
      </c>
      <c r="Q219" s="50">
        <f>VLOOKUP($A219,'[1]ma sp 02'!$A$5:$BD$1101,Q$1,0)</f>
        <v>0.03</v>
      </c>
      <c r="R219" s="50">
        <f>VLOOKUP($A219,'[1]ma sp 02'!$A$5:$BD$1101,R$1,0)</f>
        <v>0</v>
      </c>
      <c r="S219" s="50">
        <f>VLOOKUP($A219,'[1]ma sp 02'!$A$5:$BD$1101,S$1,0)</f>
        <v>0</v>
      </c>
      <c r="T219" s="50">
        <f>VLOOKUP($A219,'[1]ma sp 02'!$A$5:$BD$1101,T$1,0)</f>
        <v>0.05</v>
      </c>
      <c r="U219" s="50">
        <f>VLOOKUP($A219,'[1]ma sp 02'!$A$5:$BD$1101,U$1,0)</f>
        <v>0</v>
      </c>
      <c r="V219" s="50">
        <f>VLOOKUP($A219,'[1]ma sp 02'!$A$5:$BD$1101,V$1,0)</f>
        <v>0</v>
      </c>
      <c r="W219" s="50">
        <f>VLOOKUP($A219,'[1]ma sp 02'!$A$5:$BD$1101,W$1,0)</f>
        <v>0</v>
      </c>
      <c r="X219" s="50">
        <f t="shared" si="6"/>
        <v>10</v>
      </c>
      <c r="Y219" s="58"/>
      <c r="Z219" s="57"/>
      <c r="AA219" s="57"/>
      <c r="AB219" s="57"/>
      <c r="AC219" s="57"/>
      <c r="AD219" s="57"/>
      <c r="AE219" s="57"/>
      <c r="AF219" s="57"/>
      <c r="AG219" s="57"/>
      <c r="AH219" s="57"/>
      <c r="AI219" s="57"/>
      <c r="AJ219" s="57"/>
      <c r="AK219" s="57"/>
      <c r="AL219" s="57"/>
      <c r="AM219" s="52" t="s">
        <v>756</v>
      </c>
      <c r="AN219" s="57">
        <v>420</v>
      </c>
      <c r="AO219" s="52" t="s">
        <v>527</v>
      </c>
      <c r="AP219" s="59" t="str">
        <f>IFERROR(VLOOKUP($A219,[2]Mssp!$A$5:$BE$1463,AP$4+1,0),0)</f>
        <v>1803915-1</v>
      </c>
      <c r="AQ219" s="59" t="str">
        <f>IFERROR(VLOOKUP($A219,[2]Mssp!$A$5:$BE$1463,AQ$4+1,0),0)</f>
        <v>16100638-2</v>
      </c>
      <c r="AR219" s="59" t="str">
        <f>IFERROR(VLOOKUP($A219,[2]Mssp!$A$5:$BE$1463,AR$4+1,0),0)</f>
        <v>1610638-3</v>
      </c>
      <c r="AS219" s="59" t="str">
        <f>IFERROR(VLOOKUP($A219,[2]Mssp!$A$5:$BE$1463,AS$4+1,0),0)</f>
        <v>1610638-4</v>
      </c>
      <c r="AT219" s="59" t="str">
        <f>IFERROR(VLOOKUP($A219,[2]Mssp!$A$5:$BE$1463,AT$4+1,0),0)</f>
        <v>19031105-5</v>
      </c>
      <c r="AU219" s="59" t="str">
        <f>IFERROR(VLOOKUP($A219,[2]Mssp!$A$5:$BE$1463,AU$4+1,0),0)</f>
        <v>1610638-6</v>
      </c>
      <c r="AV219" s="59" t="str">
        <f>IFERROR(VLOOKUP($A219,[2]Mssp!$A$5:$BE$1463,AV$4+1,0),0)</f>
        <v>19031031-7</v>
      </c>
      <c r="AW219" s="59">
        <f>IFERROR(VLOOKUP($A219,[2]Mssp!$A$5:$BE$1463,AW$4+1,0),0)</f>
        <v>0</v>
      </c>
      <c r="AX219" s="59">
        <f>IFERROR(VLOOKUP($A219,[2]Mssp!$A$5:$BE$1463,AX$4+1,0),0)</f>
        <v>0</v>
      </c>
      <c r="AY219" s="59" t="str">
        <f>IFERROR(VLOOKUP($A219,[2]Mssp!$A$5:$BE$1463,AY$4+2,0),0)</f>
        <v>670x1100</v>
      </c>
      <c r="AZ219" s="59" t="str">
        <f>IFERROR(VLOOKUP($A219,[2]Mssp!$A$5:$BE$1463,AZ$4+2,0),0)</f>
        <v>J1</v>
      </c>
      <c r="BA219" s="60" t="s">
        <v>106</v>
      </c>
      <c r="BB219" s="61" t="s">
        <v>107</v>
      </c>
      <c r="BC219" s="62"/>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row>
    <row r="220" spans="1:94" ht="45" x14ac:dyDescent="0.25">
      <c r="A220" s="50" t="s">
        <v>804</v>
      </c>
      <c r="B220" s="73" t="s">
        <v>805</v>
      </c>
      <c r="C220" s="50">
        <f t="shared" si="7"/>
        <v>6.48</v>
      </c>
      <c r="D220" s="58">
        <v>3</v>
      </c>
      <c r="E220" s="58" t="s">
        <v>641</v>
      </c>
      <c r="F220" s="58">
        <v>7</v>
      </c>
      <c r="G220" s="50" t="s">
        <v>56</v>
      </c>
      <c r="H220" s="50">
        <f>VLOOKUP($A220,'[1]ma sp 02'!$A$5:$BD$1101,H$1,0)</f>
        <v>0.03</v>
      </c>
      <c r="I220" s="50">
        <f>VLOOKUP($A220,'[1]ma sp 02'!$A$5:$BD$1101,I$1,0)</f>
        <v>2.56</v>
      </c>
      <c r="J220" s="50">
        <f>VLOOKUP($A220,'[1]ma sp 02'!$A$5:$BD$1101,J$1,0)</f>
        <v>0.39</v>
      </c>
      <c r="K220" s="50">
        <f>VLOOKUP($A220,'[1]ma sp 02'!$A$5:$BD$1101,K$1,0)</f>
        <v>0</v>
      </c>
      <c r="L220" s="50">
        <f>VLOOKUP($A220,'[1]ma sp 02'!$A$5:$BD$1101,L$1,0)</f>
        <v>1.9</v>
      </c>
      <c r="M220" s="50">
        <f>VLOOKUP($A220,'[1]ma sp 02'!$A$5:$BD$1101,M$1,0)</f>
        <v>0.8</v>
      </c>
      <c r="N220" s="50">
        <f>VLOOKUP($A220,'[1]ma sp 02'!$A$5:$BD$1101,N$1,0)</f>
        <v>0</v>
      </c>
      <c r="O220" s="50">
        <f>VLOOKUP($A220,'[1]ma sp 02'!$A$5:$BD$1101,O$1,0)</f>
        <v>0.73</v>
      </c>
      <c r="P220" s="50">
        <f>VLOOKUP($A220,'[1]ma sp 02'!$A$5:$BD$1101,P$1,0)</f>
        <v>0.03</v>
      </c>
      <c r="Q220" s="50">
        <f>VLOOKUP($A220,'[1]ma sp 02'!$A$5:$BD$1101,Q$1,0)</f>
        <v>0.03</v>
      </c>
      <c r="R220" s="50">
        <f>VLOOKUP($A220,'[1]ma sp 02'!$A$5:$BD$1101,R$1,0)</f>
        <v>0</v>
      </c>
      <c r="S220" s="50">
        <f>VLOOKUP($A220,'[1]ma sp 02'!$A$5:$BD$1101,S$1,0)</f>
        <v>0.01</v>
      </c>
      <c r="T220" s="50">
        <f>VLOOKUP($A220,'[1]ma sp 02'!$A$5:$BD$1101,T$1,0)</f>
        <v>0</v>
      </c>
      <c r="U220" s="50" t="str">
        <f>VLOOKUP($A220,'[1]ma sp 02'!$A$5:$BD$1101,U$1,0)</f>
        <v xml:space="preserve"> </v>
      </c>
      <c r="V220" s="50">
        <f>VLOOKUP($A220,'[1]ma sp 02'!$A$5:$BD$1101,V$1,0)</f>
        <v>0</v>
      </c>
      <c r="W220" s="50">
        <f>VLOOKUP($A220,'[1]ma sp 02'!$A$5:$BD$1101,W$1,0)</f>
        <v>0</v>
      </c>
      <c r="X220" s="50">
        <f t="shared" si="6"/>
        <v>9</v>
      </c>
      <c r="Y220" s="57"/>
      <c r="Z220" s="57"/>
      <c r="AA220" s="57"/>
      <c r="AB220" s="57"/>
      <c r="AC220" s="57"/>
      <c r="AD220" s="57"/>
      <c r="AE220" s="58" t="s">
        <v>115</v>
      </c>
      <c r="AF220" s="58" t="s">
        <v>642</v>
      </c>
      <c r="AG220" s="71">
        <f>(0.02*0.91+0.012*1.4+0.065*0.925)*0.74</f>
        <v>7.0392500000000011E-2</v>
      </c>
      <c r="AH220" s="63">
        <f>(2.5/0.75/2)*0.73</f>
        <v>1.2166666666666668</v>
      </c>
      <c r="AI220" s="63">
        <f>(3/0.75/2)*0.73</f>
        <v>1.46</v>
      </c>
      <c r="AJ220" s="58">
        <v>9530</v>
      </c>
      <c r="AK220" s="58">
        <v>9530</v>
      </c>
      <c r="AL220" s="58" t="s">
        <v>117</v>
      </c>
      <c r="AM220" s="52" t="s">
        <v>60</v>
      </c>
      <c r="AN220" s="57">
        <v>270</v>
      </c>
      <c r="AO220" s="52" t="s">
        <v>118</v>
      </c>
      <c r="AP220" s="59" t="str">
        <f>IFERROR(VLOOKUP($A220,[2]Mssp!$A$5:$BE$1463,AP$4+1,0),0)</f>
        <v>1607495-1</v>
      </c>
      <c r="AQ220" s="59" t="str">
        <f>IFERROR(VLOOKUP($A220,[2]Mssp!$A$5:$BE$1463,AQ$4+1,0),0)</f>
        <v>1812617-2</v>
      </c>
      <c r="AR220" s="59" t="str">
        <f>IFERROR(VLOOKUP($A220,[2]Mssp!$A$5:$BE$1463,AR$4+1,0),0)</f>
        <v>1607495-3</v>
      </c>
      <c r="AS220" s="59" t="str">
        <f>IFERROR(VLOOKUP($A220,[2]Mssp!$A$5:$BE$1463,AS$4+1,0),0)</f>
        <v>1607495-4</v>
      </c>
      <c r="AT220" s="59" t="str">
        <f>IFERROR(VLOOKUP($A220,[2]Mssp!$A$5:$BE$1463,AT$4+1,0),0)</f>
        <v>1607495-5</v>
      </c>
      <c r="AU220" s="59" t="str">
        <f>IFERROR(VLOOKUP($A220,[2]Mssp!$A$5:$BE$1463,AU$4+1,0),0)</f>
        <v>1607495-6</v>
      </c>
      <c r="AV220" s="59" t="str">
        <f>IFERROR(VLOOKUP($A220,[2]Mssp!$A$5:$BE$1463,AV$4+1,0),0)</f>
        <v>1607495-7</v>
      </c>
      <c r="AW220" s="59">
        <f>IFERROR(VLOOKUP($A220,[2]Mssp!$A$5:$BE$1463,AW$4+1,0),0)</f>
        <v>0</v>
      </c>
      <c r="AX220" s="59">
        <f>IFERROR(VLOOKUP($A220,[2]Mssp!$A$5:$BE$1463,AX$4+1,0),0)</f>
        <v>0</v>
      </c>
      <c r="AY220" s="59" t="str">
        <f>IFERROR(VLOOKUP($A220,[2]Mssp!$A$5:$BE$1463,AY$4+2,0),0)</f>
        <v>540x850</v>
      </c>
      <c r="AZ220" s="59" t="str">
        <f>IFERROR(VLOOKUP($A220,[2]Mssp!$A$5:$BE$1463,AZ$4+2,0),0)</f>
        <v>F1</v>
      </c>
      <c r="BA220" s="60">
        <v>3000</v>
      </c>
      <c r="BB220" s="61" t="s">
        <v>62</v>
      </c>
      <c r="BC220" s="62"/>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row>
    <row r="221" spans="1:94" ht="45" x14ac:dyDescent="0.25">
      <c r="A221" s="50" t="s">
        <v>806</v>
      </c>
      <c r="B221" s="95" t="s">
        <v>807</v>
      </c>
      <c r="C221" s="50">
        <f t="shared" si="7"/>
        <v>6.6999999999999993</v>
      </c>
      <c r="D221" s="58">
        <v>2</v>
      </c>
      <c r="E221" s="58" t="s">
        <v>315</v>
      </c>
      <c r="F221" s="58">
        <v>7</v>
      </c>
      <c r="G221" s="50" t="s">
        <v>114</v>
      </c>
      <c r="H221" s="50">
        <f>VLOOKUP($A221,'[1]ma sp 02'!$A$5:$BD$1101,H$1,0)</f>
        <v>0.1</v>
      </c>
      <c r="I221" s="50">
        <f>VLOOKUP($A221,'[1]ma sp 02'!$A$5:$BD$1101,I$1,0)</f>
        <v>2.7</v>
      </c>
      <c r="J221" s="50">
        <f>VLOOKUP($A221,'[1]ma sp 02'!$A$5:$BD$1101,J$1,0)</f>
        <v>0.1</v>
      </c>
      <c r="K221" s="50">
        <f>VLOOKUP($A221,'[1]ma sp 02'!$A$5:$BD$1101,K$1,0)</f>
        <v>0.1</v>
      </c>
      <c r="L221" s="50">
        <f>VLOOKUP($A221,'[1]ma sp 02'!$A$5:$BD$1101,L$1,0)</f>
        <v>2.5</v>
      </c>
      <c r="M221" s="50">
        <f>VLOOKUP($A221,'[1]ma sp 02'!$A$5:$BD$1101,M$1,0)</f>
        <v>0.8</v>
      </c>
      <c r="N221" s="50">
        <f>VLOOKUP($A221,'[1]ma sp 02'!$A$5:$BD$1101,N$1,0)</f>
        <v>0</v>
      </c>
      <c r="O221" s="50">
        <f>VLOOKUP($A221,'[1]ma sp 02'!$A$5:$BD$1101,O$1,0)</f>
        <v>0.1</v>
      </c>
      <c r="P221" s="50">
        <f>VLOOKUP($A221,'[1]ma sp 02'!$A$5:$BD$1101,P$1,0)</f>
        <v>0.2</v>
      </c>
      <c r="Q221" s="50">
        <f>VLOOKUP($A221,'[1]ma sp 02'!$A$5:$BD$1101,Q$1,0)</f>
        <v>0</v>
      </c>
      <c r="R221" s="50">
        <f>VLOOKUP($A221,'[1]ma sp 02'!$A$5:$BD$1101,R$1,0)</f>
        <v>0</v>
      </c>
      <c r="S221" s="50">
        <f>VLOOKUP($A221,'[1]ma sp 02'!$A$5:$BD$1101,S$1,0)</f>
        <v>0</v>
      </c>
      <c r="T221" s="50">
        <f>VLOOKUP($A221,'[1]ma sp 02'!$A$5:$BD$1101,T$1,0)</f>
        <v>0.1</v>
      </c>
      <c r="U221" s="50">
        <f>VLOOKUP($A221,'[1]ma sp 02'!$A$5:$BD$1101,U$1,0)</f>
        <v>0</v>
      </c>
      <c r="V221" s="50">
        <f>VLOOKUP($A221,'[1]ma sp 02'!$A$5:$BD$1101,V$1,0)</f>
        <v>0</v>
      </c>
      <c r="W221" s="50">
        <f>VLOOKUP($A221,'[1]ma sp 02'!$A$5:$BD$1101,W$1,0)</f>
        <v>0</v>
      </c>
      <c r="X221" s="50">
        <f t="shared" si="6"/>
        <v>9</v>
      </c>
      <c r="Y221" s="57"/>
      <c r="Z221" s="57"/>
      <c r="AA221" s="57"/>
      <c r="AB221" s="57"/>
      <c r="AC221" s="57"/>
      <c r="AD221" s="57"/>
      <c r="AE221" s="58" t="s">
        <v>525</v>
      </c>
      <c r="AF221" s="58" t="s">
        <v>526</v>
      </c>
      <c r="AG221" s="71">
        <f>(0.012*1.4+0.012*1.4+0.085*0.925)*0.82</f>
        <v>9.2024500000000009E-2</v>
      </c>
      <c r="AH221" s="63">
        <f>(2.3/0.75/2)*0.81</f>
        <v>1.242</v>
      </c>
      <c r="AI221" s="63">
        <f>(3/0.75/2)*0.82</f>
        <v>1.64</v>
      </c>
      <c r="AJ221" s="58">
        <v>9530</v>
      </c>
      <c r="AK221" s="58">
        <v>9530</v>
      </c>
      <c r="AL221" s="58" t="s">
        <v>117</v>
      </c>
      <c r="AM221" s="52" t="s">
        <v>74</v>
      </c>
      <c r="AN221" s="57">
        <v>285</v>
      </c>
      <c r="AO221" s="52" t="s">
        <v>527</v>
      </c>
      <c r="AP221" s="59" t="str">
        <f>IFERROR(VLOOKUP($A221,[2]Mssp!$A$5:$BE$1463,AP$4+1,0),0)</f>
        <v>1903483-1</v>
      </c>
      <c r="AQ221" s="59" t="str">
        <f>IFERROR(VLOOKUP($A221,[2]Mssp!$A$5:$BE$1463,AQ$4+1,0),0)</f>
        <v>1610846-2</v>
      </c>
      <c r="AR221" s="59" t="str">
        <f>IFERROR(VLOOKUP($A221,[2]Mssp!$A$5:$BE$1463,AR$4+1,0),0)</f>
        <v>1610846-3</v>
      </c>
      <c r="AS221" s="59" t="str">
        <f>IFERROR(VLOOKUP($A221,[2]Mssp!$A$5:$BE$1463,AS$4+1,0),0)</f>
        <v>1610846-4</v>
      </c>
      <c r="AT221" s="59" t="str">
        <f>IFERROR(VLOOKUP($A221,[2]Mssp!$A$5:$BE$1463,AT$4+1,0),0)</f>
        <v>1903483-5</v>
      </c>
      <c r="AU221" s="59" t="str">
        <f>IFERROR(VLOOKUP($A221,[2]Mssp!$A$5:$BE$1463,AU$4+1,0),0)</f>
        <v>1610846-6</v>
      </c>
      <c r="AV221" s="59" t="str">
        <f>IFERROR(VLOOKUP($A221,[2]Mssp!$A$5:$BE$1463,AV$4+1,0),0)</f>
        <v>1610846-7</v>
      </c>
      <c r="AW221" s="59" t="str">
        <f>IFERROR(VLOOKUP($A221,[2]Mssp!$A$5:$BE$1463,AW$4+1,0),0)</f>
        <v>1610846-5 củ</v>
      </c>
      <c r="AX221" s="59">
        <f>IFERROR(VLOOKUP($A221,[2]Mssp!$A$5:$BE$1463,AX$4+1,0),0)</f>
        <v>0</v>
      </c>
      <c r="AY221" s="59" t="str">
        <f>IFERROR(VLOOKUP($A221,[2]Mssp!$A$5:$BE$1463,AY$4+2,0),0)</f>
        <v>570x1100</v>
      </c>
      <c r="AZ221" s="59" t="str">
        <f>IFERROR(VLOOKUP($A221,[2]Mssp!$A$5:$BE$1463,AZ$4+2,0),0)</f>
        <v>I2</v>
      </c>
      <c r="BA221" s="60"/>
      <c r="BB221" s="61" t="s">
        <v>62</v>
      </c>
      <c r="BC221" s="62"/>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row>
    <row r="222" spans="1:94" ht="45" x14ac:dyDescent="0.25">
      <c r="A222" s="50" t="s">
        <v>808</v>
      </c>
      <c r="B222" s="95" t="s">
        <v>809</v>
      </c>
      <c r="C222" s="50">
        <f t="shared" si="7"/>
        <v>3.24</v>
      </c>
      <c r="D222" s="58">
        <v>1</v>
      </c>
      <c r="E222" s="58" t="s">
        <v>207</v>
      </c>
      <c r="F222" s="58">
        <v>7</v>
      </c>
      <c r="G222" s="50" t="s">
        <v>56</v>
      </c>
      <c r="H222" s="50">
        <f>VLOOKUP($A222,'[1]ma sp 02'!$A$5:$BD$1101,H$1,0)</f>
        <v>0.3</v>
      </c>
      <c r="I222" s="50">
        <f>VLOOKUP($A222,'[1]ma sp 02'!$A$5:$BD$1101,I$1,0)</f>
        <v>0</v>
      </c>
      <c r="J222" s="50">
        <f>VLOOKUP($A222,'[1]ma sp 02'!$A$5:$BD$1101,J$1,0)</f>
        <v>0.24</v>
      </c>
      <c r="K222" s="50">
        <f>VLOOKUP($A222,'[1]ma sp 02'!$A$5:$BD$1101,K$1,0)</f>
        <v>0.36</v>
      </c>
      <c r="L222" s="50">
        <f>VLOOKUP($A222,'[1]ma sp 02'!$A$5:$BD$1101,L$1,0)</f>
        <v>0.84</v>
      </c>
      <c r="M222" s="50">
        <f>VLOOKUP($A222,'[1]ma sp 02'!$A$5:$BD$1101,M$1,0)</f>
        <v>0.5</v>
      </c>
      <c r="N222" s="50">
        <f>VLOOKUP($A222,'[1]ma sp 02'!$A$5:$BD$1101,N$1,0)</f>
        <v>0</v>
      </c>
      <c r="O222" s="50">
        <f>VLOOKUP($A222,'[1]ma sp 02'!$A$5:$BD$1101,O$1,0)</f>
        <v>0.5</v>
      </c>
      <c r="P222" s="50">
        <f>VLOOKUP($A222,'[1]ma sp 02'!$A$5:$BD$1101,P$1,0)</f>
        <v>0</v>
      </c>
      <c r="Q222" s="50">
        <f>VLOOKUP($A222,'[1]ma sp 02'!$A$5:$BD$1101,Q$1,0)</f>
        <v>0</v>
      </c>
      <c r="R222" s="50">
        <f>VLOOKUP($A222,'[1]ma sp 02'!$A$5:$BD$1101,R$1,0)</f>
        <v>0</v>
      </c>
      <c r="S222" s="50">
        <f>VLOOKUP($A222,'[1]ma sp 02'!$A$5:$BD$1101,S$1,0)</f>
        <v>0</v>
      </c>
      <c r="T222" s="50">
        <f>VLOOKUP($A222,'[1]ma sp 02'!$A$5:$BD$1101,T$1,0)</f>
        <v>0.5</v>
      </c>
      <c r="U222" s="50">
        <f>VLOOKUP($A222,'[1]ma sp 02'!$A$5:$BD$1101,U$1,0)</f>
        <v>0</v>
      </c>
      <c r="V222" s="50">
        <f>VLOOKUP($A222,'[1]ma sp 02'!$A$5:$BD$1101,V$1,0)</f>
        <v>0</v>
      </c>
      <c r="W222" s="50">
        <f>VLOOKUP($A222,'[1]ma sp 02'!$A$5:$BD$1101,W$1,0)</f>
        <v>0</v>
      </c>
      <c r="X222" s="50">
        <f t="shared" si="6"/>
        <v>7</v>
      </c>
      <c r="Y222" s="57"/>
      <c r="Z222" s="57"/>
      <c r="AA222" s="57"/>
      <c r="AB222" s="57"/>
      <c r="AC222" s="57"/>
      <c r="AD222" s="57"/>
      <c r="AE222" s="57"/>
      <c r="AF222" s="57"/>
      <c r="AG222" s="57"/>
      <c r="AH222" s="57"/>
      <c r="AI222" s="57"/>
      <c r="AJ222" s="57"/>
      <c r="AK222" s="57"/>
      <c r="AL222" s="57"/>
      <c r="AM222" s="52" t="s">
        <v>810</v>
      </c>
      <c r="AN222" s="57">
        <v>520</v>
      </c>
      <c r="AO222" s="52" t="s">
        <v>527</v>
      </c>
      <c r="AP222" s="59" t="str">
        <f>IFERROR(VLOOKUP($A222,[2]Mssp!$A$5:$BE$1463,AP$4+1,0),0)</f>
        <v>1903482-1</v>
      </c>
      <c r="AQ222" s="59" t="str">
        <f>IFERROR(VLOOKUP($A222,[2]Mssp!$A$5:$BE$1463,AQ$4+1,0),0)</f>
        <v>1610847-2</v>
      </c>
      <c r="AR222" s="59" t="str">
        <f>IFERROR(VLOOKUP($A222,[2]Mssp!$A$5:$BE$1463,AR$4+1,0),0)</f>
        <v>1610847-3</v>
      </c>
      <c r="AS222" s="59" t="str">
        <f>IFERROR(VLOOKUP($A222,[2]Mssp!$A$5:$BE$1463,AS$4+1,0),0)</f>
        <v>1610847-4</v>
      </c>
      <c r="AT222" s="59" t="str">
        <f>IFERROR(VLOOKUP($A222,[2]Mssp!$A$5:$BE$1463,AT$4+1,0),0)</f>
        <v>1903482-5</v>
      </c>
      <c r="AU222" s="59" t="str">
        <f>IFERROR(VLOOKUP($A222,[2]Mssp!$A$5:$BE$1463,AU$4+1,0),0)</f>
        <v>1610847-6</v>
      </c>
      <c r="AV222" s="59" t="str">
        <f>IFERROR(VLOOKUP($A222,[2]Mssp!$A$5:$BE$1463,AV$4+1,0),0)</f>
        <v>1610847-7</v>
      </c>
      <c r="AW222" s="59">
        <f>IFERROR(VLOOKUP($A222,[2]Mssp!$A$5:$BE$1463,AW$4+1,0),0)</f>
        <v>0</v>
      </c>
      <c r="AX222" s="59">
        <f>IFERROR(VLOOKUP($A222,[2]Mssp!$A$5:$BE$1463,AX$4+1,0),0)</f>
        <v>0</v>
      </c>
      <c r="AY222" s="59" t="str">
        <f>IFERROR(VLOOKUP($A222,[2]Mssp!$A$5:$BE$1463,AY$4+2,0),0)</f>
        <v>770x750</v>
      </c>
      <c r="AZ222" s="59" t="str">
        <f>IFERROR(VLOOKUP($A222,[2]Mssp!$A$5:$BE$1463,AZ$4+2,0),0)</f>
        <v>J1</v>
      </c>
      <c r="BA222" s="60" t="s">
        <v>106</v>
      </c>
      <c r="BB222" s="61" t="s">
        <v>107</v>
      </c>
      <c r="BC222" s="62"/>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row>
    <row r="223" spans="1:94" ht="45" x14ac:dyDescent="0.25">
      <c r="A223" s="50" t="s">
        <v>811</v>
      </c>
      <c r="B223" s="73" t="s">
        <v>812</v>
      </c>
      <c r="C223" s="50">
        <f t="shared" si="7"/>
        <v>10.100000000000001</v>
      </c>
      <c r="D223" s="58">
        <v>2</v>
      </c>
      <c r="E223" s="58" t="s">
        <v>131</v>
      </c>
      <c r="F223" s="58">
        <v>6</v>
      </c>
      <c r="G223" s="50" t="s">
        <v>114</v>
      </c>
      <c r="H223" s="50">
        <f>VLOOKUP($A223,'[1]ma sp 02'!$A$5:$BD$1101,H$1,0)</f>
        <v>1.7</v>
      </c>
      <c r="I223" s="50">
        <f>VLOOKUP($A223,'[1]ma sp 02'!$A$5:$BD$1101,I$1,0)</f>
        <v>2.2999999999999998</v>
      </c>
      <c r="J223" s="50">
        <f>VLOOKUP($A223,'[1]ma sp 02'!$A$5:$BD$1101,J$1,0)</f>
        <v>0.9</v>
      </c>
      <c r="K223" s="50">
        <f>VLOOKUP($A223,'[1]ma sp 02'!$A$5:$BD$1101,K$1,0)</f>
        <v>0.5</v>
      </c>
      <c r="L223" s="50">
        <f>VLOOKUP($A223,'[1]ma sp 02'!$A$5:$BD$1101,L$1,0)</f>
        <v>2</v>
      </c>
      <c r="M223" s="50">
        <f>VLOOKUP($A223,'[1]ma sp 02'!$A$5:$BD$1101,M$1,0)</f>
        <v>0.5</v>
      </c>
      <c r="N223" s="50">
        <f>VLOOKUP($A223,'[1]ma sp 02'!$A$5:$BD$1101,N$1,0)</f>
        <v>2.2000000000000002</v>
      </c>
      <c r="O223" s="50">
        <f>VLOOKUP($A223,'[1]ma sp 02'!$A$5:$BD$1101,O$1,0)</f>
        <v>0</v>
      </c>
      <c r="P223" s="50" t="str">
        <f>VLOOKUP($A223,'[1]ma sp 02'!$A$5:$BD$1101,P$1,0)</f>
        <v xml:space="preserve"> </v>
      </c>
      <c r="Q223" s="50">
        <f>VLOOKUP($A223,'[1]ma sp 02'!$A$5:$BD$1101,Q$1,0)</f>
        <v>0</v>
      </c>
      <c r="R223" s="50">
        <f>VLOOKUP($A223,'[1]ma sp 02'!$A$5:$BD$1101,R$1,0)</f>
        <v>0</v>
      </c>
      <c r="S223" s="50">
        <f>VLOOKUP($A223,'[1]ma sp 02'!$A$5:$BD$1101,S$1,0)</f>
        <v>0</v>
      </c>
      <c r="T223" s="50">
        <f>VLOOKUP($A223,'[1]ma sp 02'!$A$5:$BD$1101,T$1,0)</f>
        <v>0</v>
      </c>
      <c r="U223" s="50">
        <f>VLOOKUP($A223,'[1]ma sp 02'!$A$5:$BD$1101,U$1,0)</f>
        <v>0</v>
      </c>
      <c r="V223" s="50">
        <f>VLOOKUP($A223,'[1]ma sp 02'!$A$5:$BD$1101,V$1,0)</f>
        <v>0</v>
      </c>
      <c r="W223" s="50">
        <f>VLOOKUP($A223,'[1]ma sp 02'!$A$5:$BD$1101,W$1,0)</f>
        <v>0</v>
      </c>
      <c r="X223" s="50">
        <f t="shared" si="6"/>
        <v>7</v>
      </c>
      <c r="Y223" s="57"/>
      <c r="Z223" s="57"/>
      <c r="AA223" s="57"/>
      <c r="AB223" s="57"/>
      <c r="AC223" s="57"/>
      <c r="AD223" s="57"/>
      <c r="AE223" s="58" t="s">
        <v>78</v>
      </c>
      <c r="AF223" s="58" t="s">
        <v>324</v>
      </c>
      <c r="AG223" s="71">
        <f>(0.012*1.4+0.012*1.4+0.075*0.0925)*0.62</f>
        <v>2.5133249999999999E-2</v>
      </c>
      <c r="AH223" s="63">
        <f>(2.3/0.75/2)*0.61</f>
        <v>0.93533333333333324</v>
      </c>
      <c r="AI223" s="63">
        <f>(3/0.75/2)*0.61</f>
        <v>1.22</v>
      </c>
      <c r="AJ223" s="58">
        <v>9530</v>
      </c>
      <c r="AK223" s="58">
        <v>9530</v>
      </c>
      <c r="AL223" s="58" t="s">
        <v>117</v>
      </c>
      <c r="AM223" s="52" t="s">
        <v>60</v>
      </c>
      <c r="AN223" s="57">
        <v>340</v>
      </c>
      <c r="AO223" s="52" t="s">
        <v>813</v>
      </c>
      <c r="AP223" s="59" t="str">
        <f>IFERROR(VLOOKUP($A223,[2]Mssp!$A$5:$BE$1463,AP$4+1,0),0)</f>
        <v>20110088-1</v>
      </c>
      <c r="AQ223" s="59" t="str">
        <f>IFERROR(VLOOKUP($A223,[2]Mssp!$A$5:$BE$1463,AQ$4+1,0),0)</f>
        <v>1807146-2</v>
      </c>
      <c r="AR223" s="59" t="str">
        <f>IFERROR(VLOOKUP($A223,[2]Mssp!$A$5:$BE$1463,AR$4+1,0),0)</f>
        <v>1610805-3</v>
      </c>
      <c r="AS223" s="59" t="str">
        <f>IFERROR(VLOOKUP($A223,[2]Mssp!$A$5:$BE$1463,AS$4+1,0),0)</f>
        <v>1610805-4</v>
      </c>
      <c r="AT223" s="59" t="str">
        <f>IFERROR(VLOOKUP($A223,[2]Mssp!$A$5:$BE$1463,AT$4+1,0),0)</f>
        <v>20110088-5</v>
      </c>
      <c r="AU223" s="59" t="str">
        <f>IFERROR(VLOOKUP($A223,[2]Mssp!$A$5:$BE$1463,AU$4+1,0),0)</f>
        <v>20110088-6</v>
      </c>
      <c r="AV223" s="59">
        <f>IFERROR(VLOOKUP($A223,[2]Mssp!$A$5:$BE$1463,AV$4+1,0),0)</f>
        <v>0</v>
      </c>
      <c r="AW223" s="59">
        <f>IFERROR(VLOOKUP($A223,[2]Mssp!$A$5:$BE$1463,AW$4+1,0),0)</f>
        <v>0</v>
      </c>
      <c r="AX223" s="59">
        <f>IFERROR(VLOOKUP($A223,[2]Mssp!$A$5:$BE$1463,AX$4+1,0),0)</f>
        <v>0</v>
      </c>
      <c r="AY223" s="59" t="str">
        <f>IFERROR(VLOOKUP($A223,[2]Mssp!$A$5:$BE$1463,AY$4+2,0),0)</f>
        <v>680x750</v>
      </c>
      <c r="AZ223" s="59" t="str">
        <f>IFERROR(VLOOKUP($A223,[2]Mssp!$A$5:$BE$1463,AZ$4+2,0),0)</f>
        <v>O1</v>
      </c>
      <c r="BA223" s="60">
        <v>2500</v>
      </c>
      <c r="BB223" s="61" t="s">
        <v>62</v>
      </c>
      <c r="BC223" s="62"/>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c r="CP223" s="9"/>
    </row>
    <row r="224" spans="1:94" ht="45" x14ac:dyDescent="0.25">
      <c r="A224" s="50" t="s">
        <v>814</v>
      </c>
      <c r="B224" s="73" t="s">
        <v>815</v>
      </c>
      <c r="C224" s="50">
        <f t="shared" si="7"/>
        <v>5.1100000000000003</v>
      </c>
      <c r="D224" s="58">
        <v>2</v>
      </c>
      <c r="E224" s="58" t="s">
        <v>649</v>
      </c>
      <c r="F224" s="58">
        <v>5</v>
      </c>
      <c r="G224" s="50" t="s">
        <v>56</v>
      </c>
      <c r="H224" s="50">
        <f>VLOOKUP($A224,'[1]ma sp 02'!$A$5:$BD$1101,H$1,0)</f>
        <v>0.2</v>
      </c>
      <c r="I224" s="50">
        <f>VLOOKUP($A224,'[1]ma sp 02'!$A$5:$BD$1101,I$1,0)</f>
        <v>2.2999999999999998</v>
      </c>
      <c r="J224" s="50">
        <f>VLOOKUP($A224,'[1]ma sp 02'!$A$5:$BD$1101,J$1,0)</f>
        <v>0.1</v>
      </c>
      <c r="K224" s="50">
        <f>VLOOKUP($A224,'[1]ma sp 02'!$A$5:$BD$1101,K$1,0)</f>
        <v>0.2</v>
      </c>
      <c r="L224" s="50">
        <f>VLOOKUP($A224,'[1]ma sp 02'!$A$5:$BD$1101,L$1,0)</f>
        <v>1.81</v>
      </c>
      <c r="M224" s="50">
        <f>VLOOKUP($A224,'[1]ma sp 02'!$A$5:$BD$1101,M$1,0)</f>
        <v>0.5</v>
      </c>
      <c r="N224" s="50">
        <f>VLOOKUP($A224,'[1]ma sp 02'!$A$5:$BD$1101,N$1,0)</f>
        <v>0</v>
      </c>
      <c r="O224" s="50">
        <f>VLOOKUP($A224,'[1]ma sp 02'!$A$5:$BD$1101,O$1,0)</f>
        <v>0</v>
      </c>
      <c r="P224" s="50">
        <f>VLOOKUP($A224,'[1]ma sp 02'!$A$5:$BD$1101,P$1,0)</f>
        <v>0</v>
      </c>
      <c r="Q224" s="50">
        <f>VLOOKUP($A224,'[1]ma sp 02'!$A$5:$BD$1101,Q$1,0)</f>
        <v>0</v>
      </c>
      <c r="R224" s="50">
        <f>VLOOKUP($A224,'[1]ma sp 02'!$A$5:$BD$1101,R$1,0)</f>
        <v>0</v>
      </c>
      <c r="S224" s="50">
        <f>VLOOKUP($A224,'[1]ma sp 02'!$A$5:$BD$1101,S$1,0)</f>
        <v>0</v>
      </c>
      <c r="T224" s="50">
        <f>VLOOKUP($A224,'[1]ma sp 02'!$A$5:$BD$1101,T$1,0)</f>
        <v>0</v>
      </c>
      <c r="U224" s="50">
        <f>VLOOKUP($A224,'[1]ma sp 02'!$A$5:$BD$1101,U$1,0)</f>
        <v>0</v>
      </c>
      <c r="V224" s="50">
        <f>VLOOKUP($A224,'[1]ma sp 02'!$A$5:$BD$1101,V$1,0)</f>
        <v>0</v>
      </c>
      <c r="W224" s="50">
        <f>VLOOKUP($A224,'[1]ma sp 02'!$A$5:$BD$1101,W$1,0)</f>
        <v>0</v>
      </c>
      <c r="X224" s="50">
        <f t="shared" si="6"/>
        <v>6</v>
      </c>
      <c r="Y224" s="57"/>
      <c r="Z224" s="57"/>
      <c r="AA224" s="57"/>
      <c r="AB224" s="57"/>
      <c r="AC224" s="57"/>
      <c r="AD224" s="57"/>
      <c r="AE224" s="58" t="s">
        <v>485</v>
      </c>
      <c r="AF224" s="58" t="s">
        <v>816</v>
      </c>
      <c r="AG224" s="71">
        <f>(0.02*0.91+0.012*1.4+0.075*0.925)*0.76</f>
        <v>7.9325000000000007E-2</v>
      </c>
      <c r="AH224" s="63">
        <f>(2.3/0.75/2)*0.75</f>
        <v>1.1499999999999999</v>
      </c>
      <c r="AI224" s="63">
        <f>(3/0.75/2)*0.75</f>
        <v>1.5</v>
      </c>
      <c r="AJ224" s="58">
        <v>9530</v>
      </c>
      <c r="AK224" s="58">
        <v>9530</v>
      </c>
      <c r="AL224" s="58" t="s">
        <v>117</v>
      </c>
      <c r="AM224" s="52" t="s">
        <v>60</v>
      </c>
      <c r="AN224" s="57">
        <v>420</v>
      </c>
      <c r="AO224" s="52" t="s">
        <v>813</v>
      </c>
      <c r="AP224" s="59" t="str">
        <f>IFERROR(VLOOKUP($A224,[2]Mssp!$A$5:$BE$1463,AP$4+1,0),0)</f>
        <v>1610804-1</v>
      </c>
      <c r="AQ224" s="59" t="str">
        <f>IFERROR(VLOOKUP($A224,[2]Mssp!$A$5:$BE$1463,AQ$4+1,0),0)</f>
        <v>1610804-2</v>
      </c>
      <c r="AR224" s="59" t="str">
        <f>IFERROR(VLOOKUP($A224,[2]Mssp!$A$5:$BE$1463,AR$4+1,0),0)</f>
        <v>1610804-3</v>
      </c>
      <c r="AS224" s="59" t="str">
        <f>IFERROR(VLOOKUP($A224,[2]Mssp!$A$5:$BE$1463,AS$4+1,0),0)</f>
        <v>1610804-4</v>
      </c>
      <c r="AT224" s="59" t="str">
        <f>IFERROR(VLOOKUP($A224,[2]Mssp!$A$5:$BE$1463,AT$4+1,0),0)</f>
        <v>1610804-5</v>
      </c>
      <c r="AU224" s="59">
        <f>IFERROR(VLOOKUP($A224,[2]Mssp!$A$5:$BE$1463,AU$4+1,0),0)</f>
        <v>0</v>
      </c>
      <c r="AV224" s="59">
        <f>IFERROR(VLOOKUP($A224,[2]Mssp!$A$5:$BE$1463,AV$4+1,0),0)</f>
        <v>0</v>
      </c>
      <c r="AW224" s="59">
        <f>IFERROR(VLOOKUP($A224,[2]Mssp!$A$5:$BE$1463,AW$4+1,0),0)</f>
        <v>0</v>
      </c>
      <c r="AX224" s="59">
        <f>IFERROR(VLOOKUP($A224,[2]Mssp!$A$5:$BE$1463,AX$4+1,0),0)</f>
        <v>0</v>
      </c>
      <c r="AY224" s="59" t="str">
        <f>IFERROR(VLOOKUP($A224,[2]Mssp!$A$5:$BE$1463,AY$4+2,0),0)</f>
        <v>420x850</v>
      </c>
      <c r="AZ224" s="59" t="str">
        <f>IFERROR(VLOOKUP($A224,[2]Mssp!$A$5:$BE$1463,AZ$4+2,0),0)</f>
        <v>O1</v>
      </c>
      <c r="BA224" s="60">
        <v>1500</v>
      </c>
      <c r="BB224" s="61" t="s">
        <v>62</v>
      </c>
      <c r="BC224" s="62"/>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c r="CP224" s="9"/>
    </row>
    <row r="225" spans="1:94" ht="45" x14ac:dyDescent="0.25">
      <c r="A225" s="50" t="s">
        <v>817</v>
      </c>
      <c r="B225" s="73" t="s">
        <v>818</v>
      </c>
      <c r="C225" s="50">
        <f t="shared" si="7"/>
        <v>5.0999999999999996</v>
      </c>
      <c r="D225" s="58">
        <v>2</v>
      </c>
      <c r="E225" s="58" t="s">
        <v>819</v>
      </c>
      <c r="F225" s="58">
        <v>5</v>
      </c>
      <c r="G225" s="50" t="s">
        <v>56</v>
      </c>
      <c r="H225" s="50">
        <f>VLOOKUP($A225,'[1]ma sp 02'!$A$5:$BD$1101,H$1,0)</f>
        <v>0.7</v>
      </c>
      <c r="I225" s="50">
        <f>VLOOKUP($A225,'[1]ma sp 02'!$A$5:$BD$1101,I$1,0)</f>
        <v>2.5</v>
      </c>
      <c r="J225" s="50">
        <f>VLOOKUP($A225,'[1]ma sp 02'!$A$5:$BD$1101,J$1,0)</f>
        <v>0.3</v>
      </c>
      <c r="K225" s="50">
        <f>VLOOKUP($A225,'[1]ma sp 02'!$A$5:$BD$1101,K$1,0)</f>
        <v>0.1</v>
      </c>
      <c r="L225" s="50">
        <f>VLOOKUP($A225,'[1]ma sp 02'!$A$5:$BD$1101,L$1,0)</f>
        <v>0.5</v>
      </c>
      <c r="M225" s="50">
        <f>VLOOKUP($A225,'[1]ma sp 02'!$A$5:$BD$1101,M$1,0)</f>
        <v>1</v>
      </c>
      <c r="N225" s="50">
        <f>VLOOKUP($A225,'[1]ma sp 02'!$A$5:$BD$1101,N$1,0)</f>
        <v>0</v>
      </c>
      <c r="O225" s="50">
        <f>VLOOKUP($A225,'[1]ma sp 02'!$A$5:$BD$1101,O$1,0)</f>
        <v>0</v>
      </c>
      <c r="P225" s="50">
        <f>VLOOKUP($A225,'[1]ma sp 02'!$A$5:$BD$1101,P$1,0)</f>
        <v>0</v>
      </c>
      <c r="Q225" s="50">
        <f>VLOOKUP($A225,'[1]ma sp 02'!$A$5:$BD$1101,Q$1,0)</f>
        <v>0</v>
      </c>
      <c r="R225" s="50">
        <f>VLOOKUP($A225,'[1]ma sp 02'!$A$5:$BD$1101,R$1,0)</f>
        <v>0</v>
      </c>
      <c r="S225" s="50">
        <f>VLOOKUP($A225,'[1]ma sp 02'!$A$5:$BD$1101,S$1,0)</f>
        <v>0</v>
      </c>
      <c r="T225" s="50">
        <f>VLOOKUP($A225,'[1]ma sp 02'!$A$5:$BD$1101,T$1,0)</f>
        <v>0</v>
      </c>
      <c r="U225" s="50">
        <f>VLOOKUP($A225,'[1]ma sp 02'!$A$5:$BD$1101,U$1,0)</f>
        <v>0</v>
      </c>
      <c r="V225" s="50">
        <f>VLOOKUP($A225,'[1]ma sp 02'!$A$5:$BD$1101,V$1,0)</f>
        <v>0</v>
      </c>
      <c r="W225" s="50">
        <f>VLOOKUP($A225,'[1]ma sp 02'!$A$5:$BD$1101,W$1,0)</f>
        <v>0</v>
      </c>
      <c r="X225" s="50">
        <f t="shared" si="6"/>
        <v>6</v>
      </c>
      <c r="Y225" s="57"/>
      <c r="Z225" s="57"/>
      <c r="AA225" s="57"/>
      <c r="AB225" s="57"/>
      <c r="AC225" s="57"/>
      <c r="AD225" s="57"/>
      <c r="AE225" s="58" t="s">
        <v>116</v>
      </c>
      <c r="AF225" s="57"/>
      <c r="AG225" s="71">
        <f>(0.02*0.91+0.06*0.925)*0.74</f>
        <v>5.4538000000000003E-2</v>
      </c>
      <c r="AH225" s="63">
        <f>(2/0.75/2)*0.73</f>
        <v>0.97333333333333327</v>
      </c>
      <c r="AI225" s="63"/>
      <c r="AJ225" s="58">
        <v>9530</v>
      </c>
      <c r="AK225" s="57"/>
      <c r="AL225" s="58">
        <v>2E-3</v>
      </c>
      <c r="AM225" s="52" t="s">
        <v>60</v>
      </c>
      <c r="AN225" s="57">
        <v>250</v>
      </c>
      <c r="AO225" s="52" t="s">
        <v>813</v>
      </c>
      <c r="AP225" s="59" t="str">
        <f>IFERROR(VLOOKUP($A225,[2]Mssp!$A$5:$BE$1463,AP$4+1,0),0)</f>
        <v>1610806-1</v>
      </c>
      <c r="AQ225" s="59" t="str">
        <f>IFERROR(VLOOKUP($A225,[2]Mssp!$A$5:$BE$1463,AQ$4+1,0),0)</f>
        <v>1610806-2</v>
      </c>
      <c r="AR225" s="59" t="str">
        <f>IFERROR(VLOOKUP($A225,[2]Mssp!$A$5:$BE$1463,AR$4+1,0),0)</f>
        <v>1610806-3</v>
      </c>
      <c r="AS225" s="59" t="str">
        <f>IFERROR(VLOOKUP($A225,[2]Mssp!$A$5:$BE$1463,AS$4+1,0),0)</f>
        <v>1610806-4</v>
      </c>
      <c r="AT225" s="59" t="str">
        <f>IFERROR(VLOOKUP($A225,[2]Mssp!$A$5:$BE$1463,AT$4+1,0),0)</f>
        <v>1610806-5</v>
      </c>
      <c r="AU225" s="59">
        <f>IFERROR(VLOOKUP($A225,[2]Mssp!$A$5:$BE$1463,AU$4+1,0),0)</f>
        <v>0</v>
      </c>
      <c r="AV225" s="59">
        <f>IFERROR(VLOOKUP($A225,[2]Mssp!$A$5:$BE$1463,AV$4+1,0),0)</f>
        <v>0</v>
      </c>
      <c r="AW225" s="59">
        <f>IFERROR(VLOOKUP($A225,[2]Mssp!$A$5:$BE$1463,AW$4+1,0),0)</f>
        <v>0</v>
      </c>
      <c r="AX225" s="59">
        <f>IFERROR(VLOOKUP($A225,[2]Mssp!$A$5:$BE$1463,AX$4+1,0),0)</f>
        <v>0</v>
      </c>
      <c r="AY225" s="59" t="str">
        <f>IFERROR(VLOOKUP($A225,[2]Mssp!$A$5:$BE$1463,AY$4+2,0),0)</f>
        <v>500x850</v>
      </c>
      <c r="AZ225" s="59" t="str">
        <f>IFERROR(VLOOKUP($A225,[2]Mssp!$A$5:$BE$1463,AZ$4+2,0),0)</f>
        <v>O1</v>
      </c>
      <c r="BA225" s="60">
        <v>2500</v>
      </c>
      <c r="BB225" s="61" t="s">
        <v>62</v>
      </c>
      <c r="BC225" s="62"/>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row>
    <row r="226" spans="1:94" ht="45" x14ac:dyDescent="0.25">
      <c r="A226" s="50" t="s">
        <v>820</v>
      </c>
      <c r="B226" s="73" t="s">
        <v>821</v>
      </c>
      <c r="C226" s="50">
        <f t="shared" si="7"/>
        <v>5.75</v>
      </c>
      <c r="D226" s="58">
        <v>1</v>
      </c>
      <c r="E226" s="58" t="s">
        <v>102</v>
      </c>
      <c r="F226" s="58">
        <v>7</v>
      </c>
      <c r="G226" s="50" t="s">
        <v>56</v>
      </c>
      <c r="H226" s="50">
        <f>VLOOKUP($A226,'[1]ma sp 02'!$A$5:$BD$1101,H$1,0)</f>
        <v>0.11</v>
      </c>
      <c r="I226" s="50">
        <f>VLOOKUP($A226,'[1]ma sp 02'!$A$5:$BD$1101,I$1,0)</f>
        <v>3.77</v>
      </c>
      <c r="J226" s="50">
        <f>VLOOKUP($A226,'[1]ma sp 02'!$A$5:$BD$1101,J$1,0)</f>
        <v>0.05</v>
      </c>
      <c r="K226" s="50">
        <f>VLOOKUP($A226,'[1]ma sp 02'!$A$5:$BD$1101,K$1,0)</f>
        <v>0.22</v>
      </c>
      <c r="L226" s="50">
        <f>VLOOKUP($A226,'[1]ma sp 02'!$A$5:$BD$1101,L$1,0)</f>
        <v>0.19</v>
      </c>
      <c r="M226" s="50">
        <f>VLOOKUP($A226,'[1]ma sp 02'!$A$5:$BD$1101,M$1,0)</f>
        <v>0.71</v>
      </c>
      <c r="N226" s="50">
        <f>VLOOKUP($A226,'[1]ma sp 02'!$A$5:$BD$1101,N$1,0)</f>
        <v>0</v>
      </c>
      <c r="O226" s="50">
        <f>VLOOKUP($A226,'[1]ma sp 02'!$A$5:$BD$1101,O$1,0)</f>
        <v>0</v>
      </c>
      <c r="P226" s="50">
        <f>VLOOKUP($A226,'[1]ma sp 02'!$A$5:$BD$1101,P$1,0)</f>
        <v>0.33</v>
      </c>
      <c r="Q226" s="50">
        <f>VLOOKUP($A226,'[1]ma sp 02'!$A$5:$BD$1101,Q$1,0)</f>
        <v>0.27</v>
      </c>
      <c r="R226" s="50">
        <f>VLOOKUP($A226,'[1]ma sp 02'!$A$5:$BD$1101,R$1,0)</f>
        <v>0.1</v>
      </c>
      <c r="S226" s="50">
        <f>VLOOKUP($A226,'[1]ma sp 02'!$A$5:$BD$1101,S$1,0)</f>
        <v>0</v>
      </c>
      <c r="T226" s="50">
        <f>VLOOKUP($A226,'[1]ma sp 02'!$A$5:$BD$1101,T$1,0)</f>
        <v>0</v>
      </c>
      <c r="U226" s="50">
        <f>VLOOKUP($A226,'[1]ma sp 02'!$A$5:$BD$1101,U$1,0)</f>
        <v>0</v>
      </c>
      <c r="V226" s="50">
        <f>VLOOKUP($A226,'[1]ma sp 02'!$A$5:$BD$1101,V$1,0)</f>
        <v>0</v>
      </c>
      <c r="W226" s="50">
        <f>VLOOKUP($A226,'[1]ma sp 02'!$A$5:$BD$1101,W$1,0)</f>
        <v>0</v>
      </c>
      <c r="X226" s="50">
        <f t="shared" si="6"/>
        <v>9</v>
      </c>
      <c r="Y226" s="57"/>
      <c r="Z226" s="57"/>
      <c r="AA226" s="57"/>
      <c r="AB226" s="57"/>
      <c r="AC226" s="57"/>
      <c r="AD226" s="57"/>
      <c r="AE226" s="58" t="s">
        <v>822</v>
      </c>
      <c r="AF226" s="57"/>
      <c r="AG226" s="71">
        <f>(0.02*0.91+0.07*0.925)*0.46</f>
        <v>3.815700000000001E-2</v>
      </c>
      <c r="AH226" s="63">
        <f>(2.3/0.75/2)*0.45</f>
        <v>0.69</v>
      </c>
      <c r="AI226" s="63"/>
      <c r="AJ226" s="58">
        <v>9530</v>
      </c>
      <c r="AK226" s="57"/>
      <c r="AL226" s="58">
        <v>2.3E-3</v>
      </c>
      <c r="AM226" s="52" t="s">
        <v>104</v>
      </c>
      <c r="AN226" s="57">
        <v>440</v>
      </c>
      <c r="AO226" s="52" t="s">
        <v>657</v>
      </c>
      <c r="AP226" s="59" t="str">
        <f>IFERROR(VLOOKUP($A226,[2]Mssp!$A$5:$BE$1463,AP$4+1,0),0)</f>
        <v>F115552G1-1</v>
      </c>
      <c r="AQ226" s="59" t="str">
        <f>IFERROR(VLOOKUP($A226,[2]Mssp!$A$5:$BE$1463,AQ$4+1,0),0)</f>
        <v>F115552-2</v>
      </c>
      <c r="AR226" s="59" t="str">
        <f>IFERROR(VLOOKUP($A226,[2]Mssp!$A$5:$BE$1463,AR$4+1,0),0)</f>
        <v>F115552-3</v>
      </c>
      <c r="AS226" s="59" t="str">
        <f>IFERROR(VLOOKUP($A226,[2]Mssp!$A$5:$BE$1463,AS$4+1,0),0)</f>
        <v>F115552-4</v>
      </c>
      <c r="AT226" s="59" t="str">
        <f>IFERROR(VLOOKUP($A226,[2]Mssp!$A$5:$BE$1463,AT$4+1,0),0)</f>
        <v>F115552-5</v>
      </c>
      <c r="AU226" s="59" t="str">
        <f>IFERROR(VLOOKUP($A226,[2]Mssp!$A$5:$BE$1463,AU$4+1,0),0)</f>
        <v>F115552-6</v>
      </c>
      <c r="AV226" s="59" t="str">
        <f>IFERROR(VLOOKUP($A226,[2]Mssp!$A$5:$BE$1463,AV$4+1,0),0)</f>
        <v>F115552-7</v>
      </c>
      <c r="AW226" s="59">
        <f>IFERROR(VLOOKUP($A226,[2]Mssp!$A$5:$BE$1463,AW$4+1,0),0)</f>
        <v>0</v>
      </c>
      <c r="AX226" s="59">
        <f>IFERROR(VLOOKUP($A226,[2]Mssp!$A$5:$BE$1463,AX$4+1,0),0)</f>
        <v>0</v>
      </c>
      <c r="AY226" s="59" t="str">
        <f>IFERROR(VLOOKUP($A226,[2]Mssp!$A$5:$BE$1463,AY$4+2,0),0)</f>
        <v>750x610</v>
      </c>
      <c r="AZ226" s="59" t="str">
        <f>IFERROR(VLOOKUP($A226,[2]Mssp!$A$5:$BE$1463,AZ$4+2,0),0)</f>
        <v>O1</v>
      </c>
      <c r="BA226" s="60" t="s">
        <v>106</v>
      </c>
      <c r="BB226" s="61" t="s">
        <v>107</v>
      </c>
      <c r="BC226" s="62"/>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row>
    <row r="227" spans="1:94" ht="45" x14ac:dyDescent="0.25">
      <c r="A227" s="50" t="s">
        <v>823</v>
      </c>
      <c r="B227" s="73" t="s">
        <v>824</v>
      </c>
      <c r="C227" s="50">
        <f t="shared" si="7"/>
        <v>6.2</v>
      </c>
      <c r="D227" s="58">
        <v>4</v>
      </c>
      <c r="E227" s="58" t="s">
        <v>331</v>
      </c>
      <c r="F227" s="58">
        <v>8</v>
      </c>
      <c r="G227" s="50" t="s">
        <v>114</v>
      </c>
      <c r="H227" s="50">
        <f>VLOOKUP($A227,'[1]ma sp 02'!$A$5:$BD$1101,H$1,0)</f>
        <v>0.1</v>
      </c>
      <c r="I227" s="50">
        <f>VLOOKUP($A227,'[1]ma sp 02'!$A$5:$BD$1101,I$1,0)</f>
        <v>2.1</v>
      </c>
      <c r="J227" s="50">
        <f>VLOOKUP($A227,'[1]ma sp 02'!$A$5:$BD$1101,J$1,0)</f>
        <v>0.1</v>
      </c>
      <c r="K227" s="50">
        <f>VLOOKUP($A227,'[1]ma sp 02'!$A$5:$BD$1101,K$1,0)</f>
        <v>0.1</v>
      </c>
      <c r="L227" s="50">
        <f>VLOOKUP($A227,'[1]ma sp 02'!$A$5:$BD$1101,L$1,0)</f>
        <v>3</v>
      </c>
      <c r="M227" s="50">
        <f>VLOOKUP($A227,'[1]ma sp 02'!$A$5:$BD$1101,M$1,0)</f>
        <v>0</v>
      </c>
      <c r="N227" s="50">
        <f>VLOOKUP($A227,'[1]ma sp 02'!$A$5:$BD$1101,N$1,0)</f>
        <v>0</v>
      </c>
      <c r="O227" s="50">
        <f>VLOOKUP($A227,'[1]ma sp 02'!$A$5:$BD$1101,O$1,0)</f>
        <v>0</v>
      </c>
      <c r="P227" s="50">
        <f>VLOOKUP($A227,'[1]ma sp 02'!$A$5:$BD$1101,P$1,0)</f>
        <v>0.6</v>
      </c>
      <c r="Q227" s="50">
        <f>VLOOKUP($A227,'[1]ma sp 02'!$A$5:$BD$1101,Q$1,0)</f>
        <v>0</v>
      </c>
      <c r="R227" s="50">
        <f>VLOOKUP($A227,'[1]ma sp 02'!$A$5:$BD$1101,R$1,0)</f>
        <v>0</v>
      </c>
      <c r="S227" s="50">
        <f>VLOOKUP($A227,'[1]ma sp 02'!$A$5:$BD$1101,S$1,0)</f>
        <v>0.2</v>
      </c>
      <c r="T227" s="50">
        <f>VLOOKUP($A227,'[1]ma sp 02'!$A$5:$BD$1101,T$1,0)</f>
        <v>0</v>
      </c>
      <c r="U227" s="50">
        <f>VLOOKUP($A227,'[1]ma sp 02'!$A$5:$BD$1101,U$1,0)</f>
        <v>0</v>
      </c>
      <c r="V227" s="50">
        <f>VLOOKUP($A227,'[1]ma sp 02'!$A$5:$BD$1101,V$1,0)</f>
        <v>0</v>
      </c>
      <c r="W227" s="50">
        <f>VLOOKUP($A227,'[1]ma sp 02'!$A$5:$BD$1101,W$1,0)</f>
        <v>0</v>
      </c>
      <c r="X227" s="50">
        <f t="shared" si="6"/>
        <v>7</v>
      </c>
      <c r="Y227" s="57"/>
      <c r="Z227" s="57"/>
      <c r="AA227" s="57"/>
      <c r="AB227" s="57"/>
      <c r="AC227" s="57"/>
      <c r="AD227" s="57"/>
      <c r="AE227" s="58" t="s">
        <v>57</v>
      </c>
      <c r="AF227" s="58" t="s">
        <v>58</v>
      </c>
      <c r="AG227" s="71">
        <f>(0.012*1.4+0.012*1.4+0.03*0.925)*0.7</f>
        <v>4.2944999999999997E-2</v>
      </c>
      <c r="AH227" s="63">
        <f>(2.2/0.75/2)*0.69</f>
        <v>1.012</v>
      </c>
      <c r="AI227" s="63">
        <f>(2.2/0.75/2)*0.69</f>
        <v>1.012</v>
      </c>
      <c r="AJ227" s="58">
        <v>9530</v>
      </c>
      <c r="AK227" s="58">
        <v>9530</v>
      </c>
      <c r="AL227" s="58" t="s">
        <v>117</v>
      </c>
      <c r="AM227" s="52" t="s">
        <v>60</v>
      </c>
      <c r="AN227" s="57">
        <v>115</v>
      </c>
      <c r="AO227" s="52" t="s">
        <v>118</v>
      </c>
      <c r="AP227" s="59" t="str">
        <f>IFERROR(VLOOKUP($A227,[2]Mssp!$A$5:$BE$1463,AP$4+1,0),0)</f>
        <v>1611038-1</v>
      </c>
      <c r="AQ227" s="59" t="str">
        <f>IFERROR(VLOOKUP($A227,[2]Mssp!$A$5:$BE$1463,AQ$4+1,0),0)</f>
        <v>1611038-2</v>
      </c>
      <c r="AR227" s="59" t="str">
        <f>IFERROR(VLOOKUP($A227,[2]Mssp!$A$5:$BE$1463,AR$4+1,0),0)</f>
        <v>1611038-3</v>
      </c>
      <c r="AS227" s="59" t="str">
        <f>IFERROR(VLOOKUP($A227,[2]Mssp!$A$5:$BE$1463,AS$4+1,0),0)</f>
        <v>1611038-4</v>
      </c>
      <c r="AT227" s="59" t="str">
        <f>IFERROR(VLOOKUP($A227,[2]Mssp!$A$5:$BE$1463,AT$4+1,0),0)</f>
        <v>1611038-5</v>
      </c>
      <c r="AU227" s="59" t="str">
        <f>IFERROR(VLOOKUP($A227,[2]Mssp!$A$5:$BE$1463,AU$4+1,0),0)</f>
        <v>1611038-6</v>
      </c>
      <c r="AV227" s="59" t="str">
        <f>IFERROR(VLOOKUP($A227,[2]Mssp!$A$5:$BE$1463,AV$4+1,0),0)</f>
        <v>1611038-7</v>
      </c>
      <c r="AW227" s="59">
        <f>IFERROR(VLOOKUP($A227,[2]Mssp!$A$5:$BE$1463,AW$4+1,0),0)</f>
        <v>0</v>
      </c>
      <c r="AX227" s="59">
        <f>IFERROR(VLOOKUP($A227,[2]Mssp!$A$5:$BE$1463,AX$4+1,0),0)</f>
        <v>0</v>
      </c>
      <c r="AY227" s="59" t="str">
        <f>IFERROR(VLOOKUP($A227,[2]Mssp!$A$5:$BE$1463,AY$4+2,0),0)</f>
        <v>460x750</v>
      </c>
      <c r="AZ227" s="59" t="str">
        <f>IFERROR(VLOOKUP($A227,[2]Mssp!$A$5:$BE$1463,AZ$4+2,0),0)</f>
        <v>F2</v>
      </c>
      <c r="BA227" s="60">
        <v>24000</v>
      </c>
      <c r="BB227" s="61" t="s">
        <v>62</v>
      </c>
      <c r="BC227" s="62"/>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row>
    <row r="228" spans="1:94" ht="45" x14ac:dyDescent="0.25">
      <c r="A228" s="50" t="s">
        <v>825</v>
      </c>
      <c r="B228" s="73" t="s">
        <v>826</v>
      </c>
      <c r="C228" s="50">
        <f t="shared" si="7"/>
        <v>4.5999999999999996</v>
      </c>
      <c r="D228" s="58">
        <v>3</v>
      </c>
      <c r="E228" s="58" t="s">
        <v>113</v>
      </c>
      <c r="F228" s="58">
        <v>7</v>
      </c>
      <c r="G228" s="50" t="s">
        <v>114</v>
      </c>
      <c r="H228" s="50">
        <f>VLOOKUP($A228,'[1]ma sp 02'!$A$5:$BD$1101,H$1,0)</f>
        <v>0.1</v>
      </c>
      <c r="I228" s="50">
        <f>VLOOKUP($A228,'[1]ma sp 02'!$A$5:$BD$1101,I$1,0)</f>
        <v>1.2</v>
      </c>
      <c r="J228" s="50">
        <f>VLOOKUP($A228,'[1]ma sp 02'!$A$5:$BD$1101,J$1,0)</f>
        <v>0.2</v>
      </c>
      <c r="K228" s="50">
        <f>VLOOKUP($A228,'[1]ma sp 02'!$A$5:$BD$1101,K$1,0)</f>
        <v>0.2</v>
      </c>
      <c r="L228" s="50">
        <f>VLOOKUP($A228,'[1]ma sp 02'!$A$5:$BD$1101,L$1,0)</f>
        <v>1.5</v>
      </c>
      <c r="M228" s="50">
        <f>VLOOKUP($A228,'[1]ma sp 02'!$A$5:$BD$1101,M$1,0)</f>
        <v>0</v>
      </c>
      <c r="N228" s="50">
        <f>VLOOKUP($A228,'[1]ma sp 02'!$A$5:$BD$1101,N$1,0)</f>
        <v>0</v>
      </c>
      <c r="O228" s="50">
        <f>VLOOKUP($A228,'[1]ma sp 02'!$A$5:$BD$1101,O$1,0)</f>
        <v>0</v>
      </c>
      <c r="P228" s="50">
        <f>VLOOKUP($A228,'[1]ma sp 02'!$A$5:$BD$1101,P$1,0)</f>
        <v>0.4</v>
      </c>
      <c r="Q228" s="50">
        <f>VLOOKUP($A228,'[1]ma sp 02'!$A$5:$BD$1101,Q$1,0)</f>
        <v>0</v>
      </c>
      <c r="R228" s="50">
        <f>VLOOKUP($A228,'[1]ma sp 02'!$A$5:$BD$1101,R$1,0)</f>
        <v>0</v>
      </c>
      <c r="S228" s="50">
        <f>VLOOKUP($A228,'[1]ma sp 02'!$A$5:$BD$1101,S$1,0)</f>
        <v>0</v>
      </c>
      <c r="T228" s="50">
        <f>VLOOKUP($A228,'[1]ma sp 02'!$A$5:$BD$1101,T$1,0)</f>
        <v>0</v>
      </c>
      <c r="U228" s="50">
        <f>VLOOKUP($A228,'[1]ma sp 02'!$A$5:$BD$1101,U$1,0)</f>
        <v>1</v>
      </c>
      <c r="V228" s="50">
        <f>VLOOKUP($A228,'[1]ma sp 02'!$A$5:$BD$1101,V$1,0)</f>
        <v>0</v>
      </c>
      <c r="W228" s="50">
        <f>VLOOKUP($A228,'[1]ma sp 02'!$A$5:$BD$1101,W$1,0)</f>
        <v>0</v>
      </c>
      <c r="X228" s="50">
        <f t="shared" si="6"/>
        <v>7</v>
      </c>
      <c r="Y228" s="57"/>
      <c r="Z228" s="57"/>
      <c r="AA228" s="57"/>
      <c r="AB228" s="57"/>
      <c r="AC228" s="57"/>
      <c r="AD228" s="57"/>
      <c r="AE228" s="58" t="s">
        <v>115</v>
      </c>
      <c r="AF228" s="58" t="s">
        <v>321</v>
      </c>
      <c r="AG228" s="71">
        <f>(0.012*1.4+0.012*1.4+0.075*0.925)*0.74</f>
        <v>7.6201500000000005E-2</v>
      </c>
      <c r="AH228" s="63">
        <f>(2.3/0.75/2)*0.73</f>
        <v>1.1193333333333333</v>
      </c>
      <c r="AI228" s="63">
        <f>(3/0.75/2)*0.73</f>
        <v>1.46</v>
      </c>
      <c r="AJ228" s="58">
        <v>9530</v>
      </c>
      <c r="AK228" s="58">
        <v>9530</v>
      </c>
      <c r="AL228" s="58" t="s">
        <v>117</v>
      </c>
      <c r="AM228" s="52" t="s">
        <v>60</v>
      </c>
      <c r="AN228" s="57">
        <v>270</v>
      </c>
      <c r="AO228" s="52" t="s">
        <v>118</v>
      </c>
      <c r="AP228" s="59" t="str">
        <f>IFERROR(VLOOKUP($A228,[2]Mssp!$A$5:$BE$1463,AP$4+1,0),0)</f>
        <v>16101031-1</v>
      </c>
      <c r="AQ228" s="59" t="str">
        <f>IFERROR(VLOOKUP($A228,[2]Mssp!$A$5:$BE$1463,AQ$4+1,0),0)</f>
        <v>16101031-2</v>
      </c>
      <c r="AR228" s="59" t="str">
        <f>IFERROR(VLOOKUP($A228,[2]Mssp!$A$5:$BE$1463,AR$4+1,0),0)</f>
        <v>16101031-3</v>
      </c>
      <c r="AS228" s="59" t="str">
        <f>IFERROR(VLOOKUP($A228,[2]Mssp!$A$5:$BE$1463,AS$4+1,0),0)</f>
        <v>16101031-4</v>
      </c>
      <c r="AT228" s="59" t="str">
        <f>IFERROR(VLOOKUP($A228,[2]Mssp!$A$5:$BE$1463,AT$4+1,0),0)</f>
        <v>16101031-5</v>
      </c>
      <c r="AU228" s="59" t="str">
        <f>IFERROR(VLOOKUP($A228,[2]Mssp!$A$5:$BE$1463,AU$4+1,0),0)</f>
        <v>16101031-6</v>
      </c>
      <c r="AV228" s="59" t="str">
        <f>IFERROR(VLOOKUP($A228,[2]Mssp!$A$5:$BE$1463,AV$4+1,0),0)</f>
        <v>16101031-7</v>
      </c>
      <c r="AW228" s="59">
        <f>IFERROR(VLOOKUP($A228,[2]Mssp!$A$5:$BE$1463,AW$4+1,0),0)</f>
        <v>0</v>
      </c>
      <c r="AX228" s="59">
        <f>IFERROR(VLOOKUP($A228,[2]Mssp!$A$5:$BE$1463,AX$4+1,0),0)</f>
        <v>0</v>
      </c>
      <c r="AY228" s="59" t="str">
        <f>IFERROR(VLOOKUP($A228,[2]Mssp!$A$5:$BE$1463,AY$4+2,0),0)</f>
        <v>540x850</v>
      </c>
      <c r="AZ228" s="59" t="str">
        <f>IFERROR(VLOOKUP($A228,[2]Mssp!$A$5:$BE$1463,AZ$4+2,0),0)</f>
        <v>F2</v>
      </c>
      <c r="BA228" s="60">
        <v>3000</v>
      </c>
      <c r="BB228" s="61" t="s">
        <v>62</v>
      </c>
      <c r="BC228" s="62"/>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row>
    <row r="229" spans="1:94" ht="45" x14ac:dyDescent="0.25">
      <c r="A229" s="50" t="s">
        <v>827</v>
      </c>
      <c r="B229" s="73" t="s">
        <v>828</v>
      </c>
      <c r="C229" s="50">
        <f t="shared" si="7"/>
        <v>6.6000000000000005</v>
      </c>
      <c r="D229" s="58">
        <v>3</v>
      </c>
      <c r="E229" s="58" t="s">
        <v>113</v>
      </c>
      <c r="F229" s="58">
        <v>7</v>
      </c>
      <c r="G229" s="50" t="s">
        <v>114</v>
      </c>
      <c r="H229" s="50">
        <f>VLOOKUP($A229,'[1]ma sp 02'!$A$5:$BD$1101,H$1,0)</f>
        <v>0.2</v>
      </c>
      <c r="I229" s="50">
        <f>VLOOKUP($A229,'[1]ma sp 02'!$A$5:$BD$1101,I$1,0)</f>
        <v>1.5</v>
      </c>
      <c r="J229" s="50">
        <f>VLOOKUP($A229,'[1]ma sp 02'!$A$5:$BD$1101,J$1,0)</f>
        <v>1.2</v>
      </c>
      <c r="K229" s="50">
        <f>VLOOKUP($A229,'[1]ma sp 02'!$A$5:$BD$1101,K$1,0)</f>
        <v>0.2</v>
      </c>
      <c r="L229" s="50">
        <f>VLOOKUP($A229,'[1]ma sp 02'!$A$5:$BD$1101,L$1,0)</f>
        <v>2.7</v>
      </c>
      <c r="M229" s="50">
        <f>VLOOKUP($A229,'[1]ma sp 02'!$A$5:$BD$1101,M$1,0)</f>
        <v>0.7</v>
      </c>
      <c r="N229" s="50">
        <f>VLOOKUP($A229,'[1]ma sp 02'!$A$5:$BD$1101,N$1,0)</f>
        <v>0</v>
      </c>
      <c r="O229" s="50">
        <f>VLOOKUP($A229,'[1]ma sp 02'!$A$5:$BD$1101,O$1,0)</f>
        <v>0</v>
      </c>
      <c r="P229" s="50">
        <f>VLOOKUP($A229,'[1]ma sp 02'!$A$5:$BD$1101,P$1,0)</f>
        <v>0</v>
      </c>
      <c r="Q229" s="50">
        <f>VLOOKUP($A229,'[1]ma sp 02'!$A$5:$BD$1101,Q$1,0)</f>
        <v>0</v>
      </c>
      <c r="R229" s="50">
        <f>VLOOKUP($A229,'[1]ma sp 02'!$A$5:$BD$1101,R$1,0)</f>
        <v>0</v>
      </c>
      <c r="S229" s="50">
        <f>VLOOKUP($A229,'[1]ma sp 02'!$A$5:$BD$1101,S$1,0)</f>
        <v>0.1</v>
      </c>
      <c r="T229" s="50">
        <f>VLOOKUP($A229,'[1]ma sp 02'!$A$5:$BD$1101,T$1,0)</f>
        <v>0</v>
      </c>
      <c r="U229" s="50">
        <f>VLOOKUP($A229,'[1]ma sp 02'!$A$5:$BD$1101,U$1,0)</f>
        <v>0</v>
      </c>
      <c r="V229" s="50">
        <f>VLOOKUP($A229,'[1]ma sp 02'!$A$5:$BD$1101,V$1,0)</f>
        <v>0</v>
      </c>
      <c r="W229" s="50">
        <f>VLOOKUP($A229,'[1]ma sp 02'!$A$5:$BD$1101,W$1,0)</f>
        <v>0</v>
      </c>
      <c r="X229" s="50">
        <f t="shared" si="6"/>
        <v>7</v>
      </c>
      <c r="Y229" s="57"/>
      <c r="Z229" s="57"/>
      <c r="AA229" s="57"/>
      <c r="AB229" s="57"/>
      <c r="AC229" s="57"/>
      <c r="AD229" s="57"/>
      <c r="AE229" s="58" t="s">
        <v>115</v>
      </c>
      <c r="AF229" s="58" t="s">
        <v>321</v>
      </c>
      <c r="AG229" s="71">
        <f>(0.012*1.4+0.012*1.4+0.075*0.925)*0.74</f>
        <v>7.6201500000000005E-2</v>
      </c>
      <c r="AH229" s="63">
        <f>(2.3/0.75/2)*0.73</f>
        <v>1.1193333333333333</v>
      </c>
      <c r="AI229" s="63">
        <f>(3/0.75/2)*0.73</f>
        <v>1.46</v>
      </c>
      <c r="AJ229" s="58">
        <v>9530</v>
      </c>
      <c r="AK229" s="58">
        <v>9530</v>
      </c>
      <c r="AL229" s="58" t="s">
        <v>117</v>
      </c>
      <c r="AM229" s="52" t="s">
        <v>60</v>
      </c>
      <c r="AN229" s="57">
        <v>270</v>
      </c>
      <c r="AO229" s="52" t="s">
        <v>118</v>
      </c>
      <c r="AP229" s="59">
        <f>IFERROR(VLOOKUP($A229,[2]Mssp!$A$5:$BE$1463,AP$4+1,0),0)</f>
        <v>0</v>
      </c>
      <c r="AQ229" s="59">
        <f>IFERROR(VLOOKUP($A229,[2]Mssp!$A$5:$BE$1463,AQ$4+1,0),0)</f>
        <v>0</v>
      </c>
      <c r="AR229" s="59">
        <f>IFERROR(VLOOKUP($A229,[2]Mssp!$A$5:$BE$1463,AR$4+1,0),0)</f>
        <v>0</v>
      </c>
      <c r="AS229" s="59">
        <f>IFERROR(VLOOKUP($A229,[2]Mssp!$A$5:$BE$1463,AS$4+1,0),0)</f>
        <v>0</v>
      </c>
      <c r="AT229" s="59">
        <f>IFERROR(VLOOKUP($A229,[2]Mssp!$A$5:$BE$1463,AT$4+1,0),0)</f>
        <v>0</v>
      </c>
      <c r="AU229" s="59">
        <f>IFERROR(VLOOKUP($A229,[2]Mssp!$A$5:$BE$1463,AU$4+1,0),0)</f>
        <v>0</v>
      </c>
      <c r="AV229" s="59">
        <f>IFERROR(VLOOKUP($A229,[2]Mssp!$A$5:$BE$1463,AV$4+1,0),0)</f>
        <v>0</v>
      </c>
      <c r="AW229" s="59">
        <f>IFERROR(VLOOKUP($A229,[2]Mssp!$A$5:$BE$1463,AW$4+1,0),0)</f>
        <v>0</v>
      </c>
      <c r="AX229" s="59">
        <f>IFERROR(VLOOKUP($A229,[2]Mssp!$A$5:$BE$1463,AX$4+1,0),0)</f>
        <v>0</v>
      </c>
      <c r="AY229" s="59">
        <f>IFERROR(VLOOKUP($A229,[2]Mssp!$A$5:$BE$1463,AY$4+2,0),0)</f>
        <v>0</v>
      </c>
      <c r="AZ229" s="59">
        <f>IFERROR(VLOOKUP($A229,[2]Mssp!$A$5:$BE$1463,AZ$4+2,0),0)</f>
        <v>0</v>
      </c>
      <c r="BA229" s="60">
        <v>3000</v>
      </c>
      <c r="BB229" s="61" t="s">
        <v>62</v>
      </c>
      <c r="BC229" s="62"/>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row>
    <row r="230" spans="1:94" ht="45" x14ac:dyDescent="0.25">
      <c r="A230" s="50" t="s">
        <v>829</v>
      </c>
      <c r="B230" s="73" t="s">
        <v>830</v>
      </c>
      <c r="C230" s="50">
        <f t="shared" si="7"/>
        <v>1.9</v>
      </c>
      <c r="D230" s="58">
        <v>2</v>
      </c>
      <c r="E230" s="58" t="s">
        <v>592</v>
      </c>
      <c r="F230" s="58">
        <v>6</v>
      </c>
      <c r="G230" s="50" t="s">
        <v>114</v>
      </c>
      <c r="H230" s="50">
        <f>VLOOKUP($A230,'[1]ma sp 02'!$A$5:$BD$1101,H$1,0)</f>
        <v>0.1</v>
      </c>
      <c r="I230" s="50">
        <f>VLOOKUP($A230,'[1]ma sp 02'!$A$5:$BD$1101,I$1,0)</f>
        <v>0.4</v>
      </c>
      <c r="J230" s="50">
        <f>VLOOKUP($A230,'[1]ma sp 02'!$A$5:$BD$1101,J$1,0)</f>
        <v>0.1</v>
      </c>
      <c r="K230" s="50">
        <f>VLOOKUP($A230,'[1]ma sp 02'!$A$5:$BD$1101,K$1,0)</f>
        <v>0.1</v>
      </c>
      <c r="L230" s="50">
        <f>VLOOKUP($A230,'[1]ma sp 02'!$A$5:$BD$1101,L$1,0)</f>
        <v>0.2</v>
      </c>
      <c r="M230" s="50">
        <f>VLOOKUP($A230,'[1]ma sp 02'!$A$5:$BD$1101,M$1,0)</f>
        <v>0.9</v>
      </c>
      <c r="N230" s="50">
        <f>VLOOKUP($A230,'[1]ma sp 02'!$A$5:$BD$1101,N$1,0)</f>
        <v>0</v>
      </c>
      <c r="O230" s="50">
        <f>VLOOKUP($A230,'[1]ma sp 02'!$A$5:$BD$1101,O$1,0)</f>
        <v>0</v>
      </c>
      <c r="P230" s="50">
        <f>VLOOKUP($A230,'[1]ma sp 02'!$A$5:$BD$1101,P$1,0)</f>
        <v>0</v>
      </c>
      <c r="Q230" s="50">
        <f>VLOOKUP($A230,'[1]ma sp 02'!$A$5:$BD$1101,Q$1,0)</f>
        <v>0</v>
      </c>
      <c r="R230" s="50">
        <f>VLOOKUP($A230,'[1]ma sp 02'!$A$5:$BD$1101,R$1,0)</f>
        <v>0.1</v>
      </c>
      <c r="S230" s="50">
        <f>VLOOKUP($A230,'[1]ma sp 02'!$A$5:$BD$1101,S$1,0)</f>
        <v>0</v>
      </c>
      <c r="T230" s="50">
        <f>VLOOKUP($A230,'[1]ma sp 02'!$A$5:$BD$1101,T$1,0)</f>
        <v>0</v>
      </c>
      <c r="U230" s="50">
        <f>VLOOKUP($A230,'[1]ma sp 02'!$A$5:$BD$1101,U$1,0)</f>
        <v>0</v>
      </c>
      <c r="V230" s="50">
        <f>VLOOKUP($A230,'[1]ma sp 02'!$A$5:$BD$1101,V$1,0)</f>
        <v>0</v>
      </c>
      <c r="W230" s="50">
        <f>VLOOKUP($A230,'[1]ma sp 02'!$A$5:$BD$1101,W$1,0)</f>
        <v>0</v>
      </c>
      <c r="X230" s="50">
        <f t="shared" si="6"/>
        <v>7</v>
      </c>
      <c r="Y230" s="57"/>
      <c r="Z230" s="57"/>
      <c r="AA230" s="57"/>
      <c r="AB230" s="57"/>
      <c r="AC230" s="57"/>
      <c r="AD230" s="57"/>
      <c r="AE230" s="58" t="s">
        <v>831</v>
      </c>
      <c r="AF230" s="58" t="s">
        <v>832</v>
      </c>
      <c r="AG230" s="71">
        <f>(0.012*1.4+0.006*2.71+0.075*0.925)*0.64</f>
        <v>6.5558400000000003E-2</v>
      </c>
      <c r="AH230" s="54">
        <f>(2.3/0.75/2)*0.63</f>
        <v>0.96599999999999997</v>
      </c>
      <c r="AI230" s="54">
        <f>(2.3/0.75/2)*0.63</f>
        <v>0.96599999999999997</v>
      </c>
      <c r="AJ230" s="58">
        <v>9530</v>
      </c>
      <c r="AK230" s="58">
        <v>9530</v>
      </c>
      <c r="AL230" s="58" t="s">
        <v>117</v>
      </c>
      <c r="AM230" s="52" t="s">
        <v>74</v>
      </c>
      <c r="AN230" s="57">
        <v>210</v>
      </c>
      <c r="AO230" s="52" t="s">
        <v>612</v>
      </c>
      <c r="AP230" s="59" t="str">
        <f>IFERROR(VLOOKUP($A230,[2]Mssp!$A$5:$BE$1463,AP$4+1,0),0)</f>
        <v>F115666G2-1</v>
      </c>
      <c r="AQ230" s="59" t="str">
        <f>IFERROR(VLOOKUP($A230,[2]Mssp!$A$5:$BE$1463,AQ$4+1,0),0)</f>
        <v>F115666-2</v>
      </c>
      <c r="AR230" s="59" t="str">
        <f>IFERROR(VLOOKUP($A230,[2]Mssp!$A$5:$BE$1463,AR$4+1,0),0)</f>
        <v>F115666-3</v>
      </c>
      <c r="AS230" s="59" t="str">
        <f>IFERROR(VLOOKUP($A230,[2]Mssp!$A$5:$BE$1463,AS$4+1,0),0)</f>
        <v>F115666-4</v>
      </c>
      <c r="AT230" s="59" t="str">
        <f>IFERROR(VLOOKUP($A230,[2]Mssp!$A$5:$BE$1463,AT$4+1,0),0)</f>
        <v>F115666-5</v>
      </c>
      <c r="AU230" s="59" t="str">
        <f>IFERROR(VLOOKUP($A230,[2]Mssp!$A$5:$BE$1463,AU$4+1,0),0)</f>
        <v>F115666-6</v>
      </c>
      <c r="AV230" s="59">
        <f>IFERROR(VLOOKUP($A230,[2]Mssp!$A$5:$BE$1463,AV$4+1,0),0)</f>
        <v>0</v>
      </c>
      <c r="AW230" s="59">
        <f>IFERROR(VLOOKUP($A230,[2]Mssp!$A$5:$BE$1463,AW$4+1,0),0)</f>
        <v>0</v>
      </c>
      <c r="AX230" s="59">
        <f>IFERROR(VLOOKUP($A230,[2]Mssp!$A$5:$BE$1463,AX$4+1,0),0)</f>
        <v>0</v>
      </c>
      <c r="AY230" s="59" t="str">
        <f>IFERROR(VLOOKUP($A230,[2]Mssp!$A$5:$BE$1463,AY$4+2,0),0)</f>
        <v>420x750</v>
      </c>
      <c r="AZ230" s="59" t="str">
        <f>IFERROR(VLOOKUP($A230,[2]Mssp!$A$5:$BE$1463,AZ$4+2,0),0)</f>
        <v>D2</v>
      </c>
      <c r="BA230" s="60"/>
      <c r="BB230" s="61" t="s">
        <v>62</v>
      </c>
      <c r="BC230" s="62"/>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row>
    <row r="231" spans="1:94" ht="45" x14ac:dyDescent="0.25">
      <c r="A231" s="50" t="s">
        <v>833</v>
      </c>
      <c r="B231" s="73" t="s">
        <v>834</v>
      </c>
      <c r="C231" s="50">
        <f t="shared" si="7"/>
        <v>2.8000000000000003</v>
      </c>
      <c r="D231" s="58">
        <v>1</v>
      </c>
      <c r="E231" s="58" t="s">
        <v>131</v>
      </c>
      <c r="F231" s="58">
        <v>6</v>
      </c>
      <c r="G231" s="50" t="s">
        <v>114</v>
      </c>
      <c r="H231" s="50">
        <f>VLOOKUP($A231,'[1]ma sp 02'!$A$5:$BD$1101,H$1,0)</f>
        <v>0.1</v>
      </c>
      <c r="I231" s="50">
        <f>VLOOKUP($A231,'[1]ma sp 02'!$A$5:$BD$1101,I$1,0)</f>
        <v>0.7</v>
      </c>
      <c r="J231" s="50">
        <f>VLOOKUP($A231,'[1]ma sp 02'!$A$5:$BD$1101,J$1,0)</f>
        <v>0.2</v>
      </c>
      <c r="K231" s="50">
        <f>VLOOKUP($A231,'[1]ma sp 02'!$A$5:$BD$1101,K$1,0)</f>
        <v>0.1</v>
      </c>
      <c r="L231" s="50">
        <f>VLOOKUP($A231,'[1]ma sp 02'!$A$5:$BD$1101,L$1,0)</f>
        <v>0.3</v>
      </c>
      <c r="M231" s="50">
        <f>VLOOKUP($A231,'[1]ma sp 02'!$A$5:$BD$1101,M$1,0)</f>
        <v>1.3</v>
      </c>
      <c r="N231" s="50">
        <f>VLOOKUP($A231,'[1]ma sp 02'!$A$5:$BD$1101,N$1,0)</f>
        <v>0</v>
      </c>
      <c r="O231" s="50">
        <f>VLOOKUP($A231,'[1]ma sp 02'!$A$5:$BD$1101,O$1,0)</f>
        <v>0</v>
      </c>
      <c r="P231" s="50">
        <f>VLOOKUP($A231,'[1]ma sp 02'!$A$5:$BD$1101,P$1,0)</f>
        <v>0</v>
      </c>
      <c r="Q231" s="50">
        <f>VLOOKUP($A231,'[1]ma sp 02'!$A$5:$BD$1101,Q$1,0)</f>
        <v>0</v>
      </c>
      <c r="R231" s="50">
        <f>VLOOKUP($A231,'[1]ma sp 02'!$A$5:$BD$1101,R$1,0)</f>
        <v>0.1</v>
      </c>
      <c r="S231" s="50">
        <f>VLOOKUP($A231,'[1]ma sp 02'!$A$5:$BD$1101,S$1,0)</f>
        <v>0</v>
      </c>
      <c r="T231" s="50">
        <f>VLOOKUP($A231,'[1]ma sp 02'!$A$5:$BD$1101,T$1,0)</f>
        <v>0</v>
      </c>
      <c r="U231" s="50">
        <f>VLOOKUP($A231,'[1]ma sp 02'!$A$5:$BD$1101,U$1,0)</f>
        <v>0</v>
      </c>
      <c r="V231" s="50">
        <f>VLOOKUP($A231,'[1]ma sp 02'!$A$5:$BD$1101,V$1,0)</f>
        <v>0</v>
      </c>
      <c r="W231" s="50">
        <f>VLOOKUP($A231,'[1]ma sp 02'!$A$5:$BD$1101,W$1,0)</f>
        <v>0</v>
      </c>
      <c r="X231" s="50">
        <f t="shared" si="6"/>
        <v>7</v>
      </c>
      <c r="Y231" s="57"/>
      <c r="Z231" s="57"/>
      <c r="AA231" s="57"/>
      <c r="AB231" s="57"/>
      <c r="AC231" s="57"/>
      <c r="AD231" s="57"/>
      <c r="AE231" s="58" t="s">
        <v>219</v>
      </c>
      <c r="AF231" s="58" t="s">
        <v>835</v>
      </c>
      <c r="AG231" s="71">
        <f>(0.012*1.4+0.006*2.71+0.075*0.925)*0.62</f>
        <v>6.3509700000000002E-2</v>
      </c>
      <c r="AH231" s="54">
        <f>(2.3/0.75/2)*0.61</f>
        <v>0.93533333333333324</v>
      </c>
      <c r="AI231" s="54">
        <f>(2.3/0.75/2)*0.61</f>
        <v>0.93533333333333324</v>
      </c>
      <c r="AJ231" s="58">
        <v>9530</v>
      </c>
      <c r="AK231" s="58">
        <v>9530</v>
      </c>
      <c r="AL231" s="58" t="s">
        <v>354</v>
      </c>
      <c r="AM231" s="52" t="s">
        <v>74</v>
      </c>
      <c r="AN231" s="57">
        <v>210</v>
      </c>
      <c r="AO231" s="52" t="s">
        <v>612</v>
      </c>
      <c r="AP231" s="59" t="str">
        <f>IFERROR(VLOOKUP($A231,[2]Mssp!$A$5:$BE$1463,AP$4+1,0),0)</f>
        <v>F115667-1</v>
      </c>
      <c r="AQ231" s="59" t="str">
        <f>IFERROR(VLOOKUP($A231,[2]Mssp!$A$5:$BE$1463,AQ$4+1,0),0)</f>
        <v>F115667-2</v>
      </c>
      <c r="AR231" s="59" t="str">
        <f>IFERROR(VLOOKUP($A231,[2]Mssp!$A$5:$BE$1463,AR$4+1,0),0)</f>
        <v>F115667-3</v>
      </c>
      <c r="AS231" s="59" t="str">
        <f>IFERROR(VLOOKUP($A231,[2]Mssp!$A$5:$BE$1463,AS$4+1,0),0)</f>
        <v>F115667-4</v>
      </c>
      <c r="AT231" s="59" t="str">
        <f>IFERROR(VLOOKUP($A231,[2]Mssp!$A$5:$BE$1463,AT$4+1,0),0)</f>
        <v>F115667-5</v>
      </c>
      <c r="AU231" s="59" t="str">
        <f>IFERROR(VLOOKUP($A231,[2]Mssp!$A$5:$BE$1463,AU$4+1,0),0)</f>
        <v>F115667-6</v>
      </c>
      <c r="AV231" s="59">
        <f>IFERROR(VLOOKUP($A231,[2]Mssp!$A$5:$BE$1463,AV$4+1,0),0)</f>
        <v>0</v>
      </c>
      <c r="AW231" s="59">
        <f>IFERROR(VLOOKUP($A231,[2]Mssp!$A$5:$BE$1463,AW$4+1,0),0)</f>
        <v>0</v>
      </c>
      <c r="AX231" s="59">
        <f>IFERROR(VLOOKUP($A231,[2]Mssp!$A$5:$BE$1463,AX$4+1,0),0)</f>
        <v>0</v>
      </c>
      <c r="AY231" s="59" t="str">
        <f>IFERROR(VLOOKUP($A231,[2]Mssp!$A$5:$BE$1463,AY$4+2,0),0)</f>
        <v>420x750</v>
      </c>
      <c r="AZ231" s="59" t="str">
        <f>IFERROR(VLOOKUP($A231,[2]Mssp!$A$5:$BE$1463,AZ$4+2,0),0)</f>
        <v>D2</v>
      </c>
      <c r="BA231" s="60"/>
      <c r="BB231" s="61" t="s">
        <v>62</v>
      </c>
      <c r="BC231" s="62"/>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row>
    <row r="232" spans="1:94" ht="45" x14ac:dyDescent="0.25">
      <c r="A232" s="50" t="s">
        <v>836</v>
      </c>
      <c r="B232" s="73" t="s">
        <v>837</v>
      </c>
      <c r="C232" s="50">
        <f t="shared" si="7"/>
        <v>2.9</v>
      </c>
      <c r="D232" s="58">
        <v>1</v>
      </c>
      <c r="E232" s="58" t="s">
        <v>113</v>
      </c>
      <c r="F232" s="58">
        <v>6</v>
      </c>
      <c r="G232" s="50" t="s">
        <v>114</v>
      </c>
      <c r="H232" s="50">
        <f>VLOOKUP($A232,'[1]ma sp 02'!$A$5:$BD$1101,H$1,0)</f>
        <v>0.2</v>
      </c>
      <c r="I232" s="50">
        <f>VLOOKUP($A232,'[1]ma sp 02'!$A$5:$BD$1101,I$1,0)</f>
        <v>0.7</v>
      </c>
      <c r="J232" s="50">
        <f>VLOOKUP($A232,'[1]ma sp 02'!$A$5:$BD$1101,J$1,0)</f>
        <v>0.2</v>
      </c>
      <c r="K232" s="50">
        <f>VLOOKUP($A232,'[1]ma sp 02'!$A$5:$BD$1101,K$1,0)</f>
        <v>0.1</v>
      </c>
      <c r="L232" s="50">
        <f>VLOOKUP($A232,'[1]ma sp 02'!$A$5:$BD$1101,L$1,0)</f>
        <v>0.3</v>
      </c>
      <c r="M232" s="50">
        <f>VLOOKUP($A232,'[1]ma sp 02'!$A$5:$BD$1101,M$1,0)</f>
        <v>1.3</v>
      </c>
      <c r="N232" s="50">
        <f>VLOOKUP($A232,'[1]ma sp 02'!$A$5:$BD$1101,N$1,0)</f>
        <v>0</v>
      </c>
      <c r="O232" s="50">
        <f>VLOOKUP($A232,'[1]ma sp 02'!$A$5:$BD$1101,O$1,0)</f>
        <v>0</v>
      </c>
      <c r="P232" s="50">
        <f>VLOOKUP($A232,'[1]ma sp 02'!$A$5:$BD$1101,P$1,0)</f>
        <v>0</v>
      </c>
      <c r="Q232" s="50">
        <f>VLOOKUP($A232,'[1]ma sp 02'!$A$5:$BD$1101,Q$1,0)</f>
        <v>0</v>
      </c>
      <c r="R232" s="50">
        <f>VLOOKUP($A232,'[1]ma sp 02'!$A$5:$BD$1101,R$1,0)</f>
        <v>0.1</v>
      </c>
      <c r="S232" s="50">
        <f>VLOOKUP($A232,'[1]ma sp 02'!$A$5:$BD$1101,S$1,0)</f>
        <v>0</v>
      </c>
      <c r="T232" s="50">
        <f>VLOOKUP($A232,'[1]ma sp 02'!$A$5:$BD$1101,T$1,0)</f>
        <v>0</v>
      </c>
      <c r="U232" s="50">
        <f>VLOOKUP($A232,'[1]ma sp 02'!$A$5:$BD$1101,U$1,0)</f>
        <v>0</v>
      </c>
      <c r="V232" s="50">
        <f>VLOOKUP($A232,'[1]ma sp 02'!$A$5:$BD$1101,V$1,0)</f>
        <v>0</v>
      </c>
      <c r="W232" s="50">
        <f>VLOOKUP($A232,'[1]ma sp 02'!$A$5:$BD$1101,W$1,0)</f>
        <v>0</v>
      </c>
      <c r="X232" s="50">
        <f t="shared" si="6"/>
        <v>7</v>
      </c>
      <c r="Y232" s="57"/>
      <c r="Z232" s="57"/>
      <c r="AA232" s="57"/>
      <c r="AB232" s="57"/>
      <c r="AC232" s="57"/>
      <c r="AD232" s="57"/>
      <c r="AE232" s="58" t="s">
        <v>628</v>
      </c>
      <c r="AF232" s="58" t="s">
        <v>838</v>
      </c>
      <c r="AG232" s="71">
        <f>(0.012*1.4+0.006*2.71+0.075*0.925)*0.74</f>
        <v>7.5801899999999992E-2</v>
      </c>
      <c r="AH232" s="54">
        <f>(2.3/0.75/2)*0.73</f>
        <v>1.1193333333333333</v>
      </c>
      <c r="AI232" s="54">
        <f>(2.3/0.75/2)*0.73</f>
        <v>1.1193333333333333</v>
      </c>
      <c r="AJ232" s="58">
        <v>9530</v>
      </c>
      <c r="AK232" s="58">
        <v>9530</v>
      </c>
      <c r="AL232" s="58" t="s">
        <v>354</v>
      </c>
      <c r="AM232" s="52" t="s">
        <v>74</v>
      </c>
      <c r="AN232" s="57">
        <v>240</v>
      </c>
      <c r="AO232" s="52" t="s">
        <v>612</v>
      </c>
      <c r="AP232" s="59" t="str">
        <f>IFERROR(VLOOKUP($A232,[2]Mssp!$A$5:$BE$1463,AP$4+1,0),0)</f>
        <v>F115668-1</v>
      </c>
      <c r="AQ232" s="59" t="str">
        <f>IFERROR(VLOOKUP($A232,[2]Mssp!$A$5:$BE$1463,AQ$4+1,0),0)</f>
        <v>F115668-2</v>
      </c>
      <c r="AR232" s="59" t="str">
        <f>IFERROR(VLOOKUP($A232,[2]Mssp!$A$5:$BE$1463,AR$4+1,0),0)</f>
        <v>F115668-3</v>
      </c>
      <c r="AS232" s="59" t="str">
        <f>IFERROR(VLOOKUP($A232,[2]Mssp!$A$5:$BE$1463,AS$4+1,0),0)</f>
        <v>F115668-4</v>
      </c>
      <c r="AT232" s="59" t="str">
        <f>IFERROR(VLOOKUP($A232,[2]Mssp!$A$5:$BE$1463,AT$4+1,0),0)</f>
        <v>F115668-5</v>
      </c>
      <c r="AU232" s="59" t="str">
        <f>IFERROR(VLOOKUP($A232,[2]Mssp!$A$5:$BE$1463,AU$4+1,0),0)</f>
        <v>F115668-6</v>
      </c>
      <c r="AV232" s="59">
        <f>IFERROR(VLOOKUP($A232,[2]Mssp!$A$5:$BE$1463,AV$4+1,0),0)</f>
        <v>0</v>
      </c>
      <c r="AW232" s="59">
        <f>IFERROR(VLOOKUP($A232,[2]Mssp!$A$5:$BE$1463,AW$4+1,0),0)</f>
        <v>0</v>
      </c>
      <c r="AX232" s="59">
        <f>IFERROR(VLOOKUP($A232,[2]Mssp!$A$5:$BE$1463,AX$4+1,0),0)</f>
        <v>0</v>
      </c>
      <c r="AY232" s="59" t="str">
        <f>IFERROR(VLOOKUP($A232,[2]Mssp!$A$5:$BE$1463,AY$4+2,0),0)</f>
        <v>480x850</v>
      </c>
      <c r="AZ232" s="59" t="str">
        <f>IFERROR(VLOOKUP($A232,[2]Mssp!$A$5:$BE$1463,AZ$4+2,0),0)</f>
        <v>D2</v>
      </c>
      <c r="BA232" s="60"/>
      <c r="BB232" s="61" t="s">
        <v>62</v>
      </c>
      <c r="BC232" s="62"/>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row>
    <row r="233" spans="1:94" ht="45" x14ac:dyDescent="0.25">
      <c r="A233" s="50" t="s">
        <v>839</v>
      </c>
      <c r="B233" s="73" t="s">
        <v>840</v>
      </c>
      <c r="C233" s="50">
        <f t="shared" si="7"/>
        <v>3.7</v>
      </c>
      <c r="D233" s="58">
        <v>2</v>
      </c>
      <c r="E233" s="58" t="s">
        <v>841</v>
      </c>
      <c r="F233" s="58">
        <v>1</v>
      </c>
      <c r="G233" s="50" t="s">
        <v>56</v>
      </c>
      <c r="H233" s="50" t="str">
        <f>VLOOKUP($A233,'[1]ma sp 02'!$A$5:$BD$1101,H$1,0)</f>
        <v xml:space="preserve"> </v>
      </c>
      <c r="I233" s="50">
        <f>VLOOKUP($A233,'[1]ma sp 02'!$A$5:$BD$1101,I$1,0)</f>
        <v>0</v>
      </c>
      <c r="J233" s="50">
        <f>VLOOKUP($A233,'[1]ma sp 02'!$A$5:$BD$1101,J$1,0)</f>
        <v>0</v>
      </c>
      <c r="K233" s="50">
        <f>VLOOKUP($A233,'[1]ma sp 02'!$A$5:$BD$1101,K$1,0)</f>
        <v>0</v>
      </c>
      <c r="L233" s="50">
        <f>VLOOKUP($A233,'[1]ma sp 02'!$A$5:$BD$1101,L$1,0)</f>
        <v>1.3</v>
      </c>
      <c r="M233" s="50">
        <f>VLOOKUP($A233,'[1]ma sp 02'!$A$5:$BD$1101,M$1,0)</f>
        <v>0</v>
      </c>
      <c r="N233" s="50">
        <f>VLOOKUP($A233,'[1]ma sp 02'!$A$5:$BD$1101,N$1,0)</f>
        <v>0</v>
      </c>
      <c r="O233" s="50">
        <f>VLOOKUP($A233,'[1]ma sp 02'!$A$5:$BD$1101,O$1,0)</f>
        <v>0</v>
      </c>
      <c r="P233" s="50">
        <f>VLOOKUP($A233,'[1]ma sp 02'!$A$5:$BD$1101,P$1,0)</f>
        <v>2.2000000000000002</v>
      </c>
      <c r="Q233" s="50">
        <f>VLOOKUP($A233,'[1]ma sp 02'!$A$5:$BD$1101,Q$1,0)</f>
        <v>0.2</v>
      </c>
      <c r="R233" s="50">
        <f>VLOOKUP($A233,'[1]ma sp 02'!$A$5:$BD$1101,R$1,0)</f>
        <v>0</v>
      </c>
      <c r="S233" s="50">
        <f>VLOOKUP($A233,'[1]ma sp 02'!$A$5:$BD$1101,S$1,0)</f>
        <v>0</v>
      </c>
      <c r="T233" s="50">
        <f>VLOOKUP($A233,'[1]ma sp 02'!$A$5:$BD$1101,T$1,0)</f>
        <v>0</v>
      </c>
      <c r="U233" s="50">
        <f>VLOOKUP($A233,'[1]ma sp 02'!$A$5:$BD$1101,U$1,0)</f>
        <v>0</v>
      </c>
      <c r="V233" s="50">
        <f>VLOOKUP($A233,'[1]ma sp 02'!$A$5:$BD$1101,V$1,0)</f>
        <v>0</v>
      </c>
      <c r="W233" s="50">
        <f>VLOOKUP($A233,'[1]ma sp 02'!$A$5:$BD$1101,W$1,0)</f>
        <v>0</v>
      </c>
      <c r="X233" s="50">
        <f t="shared" si="6"/>
        <v>3</v>
      </c>
      <c r="Y233" s="57"/>
      <c r="Z233" s="57"/>
      <c r="AA233" s="57"/>
      <c r="AB233" s="57"/>
      <c r="AC233" s="57"/>
      <c r="AD233" s="57"/>
      <c r="AE233" s="58" t="s">
        <v>842</v>
      </c>
      <c r="AF233" s="57"/>
      <c r="AG233" s="71">
        <f>(0.03*0.91+0.025*0.91)*0.74</f>
        <v>3.7037E-2</v>
      </c>
      <c r="AH233" s="54">
        <f>(2/0.75/2)*0.73</f>
        <v>0.97333333333333327</v>
      </c>
      <c r="AI233" s="57"/>
      <c r="AJ233" s="58">
        <v>9530</v>
      </c>
      <c r="AK233" s="57"/>
      <c r="AL233" s="58">
        <v>2E-3</v>
      </c>
      <c r="AM233" s="52" t="s">
        <v>60</v>
      </c>
      <c r="AN233" s="57">
        <v>350</v>
      </c>
      <c r="AO233" s="52" t="s">
        <v>92</v>
      </c>
      <c r="AP233" s="59">
        <f>IFERROR(VLOOKUP($A233,[2]Mssp!$A$5:$BE$1463,AP$4+1,0),0)</f>
        <v>16110495</v>
      </c>
      <c r="AQ233" s="59">
        <f>IFERROR(VLOOKUP($A233,[2]Mssp!$A$5:$BE$1463,AQ$4+1,0),0)</f>
        <v>0</v>
      </c>
      <c r="AR233" s="59">
        <f>IFERROR(VLOOKUP($A233,[2]Mssp!$A$5:$BE$1463,AR$4+1,0),0)</f>
        <v>0</v>
      </c>
      <c r="AS233" s="59">
        <f>IFERROR(VLOOKUP($A233,[2]Mssp!$A$5:$BE$1463,AS$4+1,0),0)</f>
        <v>0</v>
      </c>
      <c r="AT233" s="59">
        <f>IFERROR(VLOOKUP($A233,[2]Mssp!$A$5:$BE$1463,AT$4+1,0),0)</f>
        <v>0</v>
      </c>
      <c r="AU233" s="59">
        <f>IFERROR(VLOOKUP($A233,[2]Mssp!$A$5:$BE$1463,AU$4+1,0),0)</f>
        <v>0</v>
      </c>
      <c r="AV233" s="59">
        <f>IFERROR(VLOOKUP($A233,[2]Mssp!$A$5:$BE$1463,AV$4+1,0),0)</f>
        <v>0</v>
      </c>
      <c r="AW233" s="59">
        <f>IFERROR(VLOOKUP($A233,[2]Mssp!$A$5:$BE$1463,AW$4+1,0),0)</f>
        <v>0</v>
      </c>
      <c r="AX233" s="59">
        <f>IFERROR(VLOOKUP($A233,[2]Mssp!$A$5:$BE$1463,AX$4+1,0),0)</f>
        <v>0</v>
      </c>
      <c r="AY233" s="59" t="str">
        <f>IFERROR(VLOOKUP($A233,[2]Mssp!$A$5:$BE$1463,AY$4+2,0),0)</f>
        <v xml:space="preserve"> 400x850</v>
      </c>
      <c r="AZ233" s="59" t="str">
        <f>IFERROR(VLOOKUP($A233,[2]Mssp!$A$5:$BE$1463,AZ$4+2,0),0)</f>
        <v>A1</v>
      </c>
      <c r="BA233" s="60"/>
      <c r="BB233" s="61" t="s">
        <v>562</v>
      </c>
      <c r="BC233" s="62"/>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row>
    <row r="234" spans="1:94" ht="45" x14ac:dyDescent="0.25">
      <c r="A234" s="50" t="s">
        <v>843</v>
      </c>
      <c r="B234" s="73" t="s">
        <v>844</v>
      </c>
      <c r="C234" s="50">
        <f t="shared" si="7"/>
        <v>8.82</v>
      </c>
      <c r="D234" s="58">
        <v>1</v>
      </c>
      <c r="E234" s="58" t="s">
        <v>755</v>
      </c>
      <c r="F234" s="58">
        <v>7</v>
      </c>
      <c r="G234" s="50" t="s">
        <v>56</v>
      </c>
      <c r="H234" s="50">
        <f>VLOOKUP($A234,'[1]ma sp 02'!$A$5:$BD$1101,H$1,0)</f>
        <v>0.36</v>
      </c>
      <c r="I234" s="50">
        <f>VLOOKUP($A234,'[1]ma sp 02'!$A$5:$BD$1101,I$1,0)</f>
        <v>0.18</v>
      </c>
      <c r="J234" s="50">
        <f>VLOOKUP($A234,'[1]ma sp 02'!$A$5:$BD$1101,J$1,0)</f>
        <v>0.36</v>
      </c>
      <c r="K234" s="50">
        <f>VLOOKUP($A234,'[1]ma sp 02'!$A$5:$BD$1101,K$1,0)</f>
        <v>0.14000000000000001</v>
      </c>
      <c r="L234" s="50">
        <f>VLOOKUP($A234,'[1]ma sp 02'!$A$5:$BD$1101,L$1,0)</f>
        <v>5.19</v>
      </c>
      <c r="M234" s="50">
        <f>VLOOKUP($A234,'[1]ma sp 02'!$A$5:$BD$1101,M$1,0)</f>
        <v>2</v>
      </c>
      <c r="N234" s="50">
        <f>VLOOKUP($A234,'[1]ma sp 02'!$A$5:$BD$1101,N$1,0)</f>
        <v>0</v>
      </c>
      <c r="O234" s="50">
        <f>VLOOKUP($A234,'[1]ma sp 02'!$A$5:$BD$1101,O$1,0)</f>
        <v>0.41</v>
      </c>
      <c r="P234" s="50">
        <f>VLOOKUP($A234,'[1]ma sp 02'!$A$5:$BD$1101,P$1,0)</f>
        <v>0</v>
      </c>
      <c r="Q234" s="50">
        <f>VLOOKUP($A234,'[1]ma sp 02'!$A$5:$BD$1101,Q$1,0)</f>
        <v>0</v>
      </c>
      <c r="R234" s="50">
        <f>VLOOKUP($A234,'[1]ma sp 02'!$A$5:$BD$1101,R$1,0)</f>
        <v>0</v>
      </c>
      <c r="S234" s="50">
        <f>VLOOKUP($A234,'[1]ma sp 02'!$A$5:$BD$1101,S$1,0)</f>
        <v>0</v>
      </c>
      <c r="T234" s="50">
        <f>VLOOKUP($A234,'[1]ma sp 02'!$A$5:$BD$1101,T$1,0)</f>
        <v>0.18</v>
      </c>
      <c r="U234" s="50">
        <f>VLOOKUP($A234,'[1]ma sp 02'!$A$5:$BD$1101,U$1,0)</f>
        <v>0</v>
      </c>
      <c r="V234" s="50">
        <f>VLOOKUP($A234,'[1]ma sp 02'!$A$5:$BD$1101,V$1,0)</f>
        <v>0</v>
      </c>
      <c r="W234" s="50">
        <f>VLOOKUP($A234,'[1]ma sp 02'!$A$5:$BD$1101,W$1,0)</f>
        <v>0</v>
      </c>
      <c r="X234" s="50">
        <f t="shared" si="6"/>
        <v>8</v>
      </c>
      <c r="Y234" s="57"/>
      <c r="Z234" s="57"/>
      <c r="AA234" s="57"/>
      <c r="AB234" s="57"/>
      <c r="AC234" s="57"/>
      <c r="AD234" s="57"/>
      <c r="AE234" s="57"/>
      <c r="AF234" s="57"/>
      <c r="AG234" s="57"/>
      <c r="AH234" s="57"/>
      <c r="AI234" s="57"/>
      <c r="AJ234" s="57"/>
      <c r="AK234" s="57"/>
      <c r="AL234" s="57"/>
      <c r="AM234" s="52" t="s">
        <v>756</v>
      </c>
      <c r="AN234" s="58">
        <v>690</v>
      </c>
      <c r="AO234" s="52" t="s">
        <v>527</v>
      </c>
      <c r="AP234" s="59" t="str">
        <f>IFERROR(VLOOKUP($A234,[2]Mssp!$A$5:$BE$1463,AP$4+1,0),0)</f>
        <v>1903035-1</v>
      </c>
      <c r="AQ234" s="59" t="str">
        <f>IFERROR(VLOOKUP($A234,[2]Mssp!$A$5:$BE$1463,AQ$4+1,0),0)</f>
        <v>1609242-2</v>
      </c>
      <c r="AR234" s="59" t="str">
        <f>IFERROR(VLOOKUP($A234,[2]Mssp!$A$5:$BE$1463,AR$4+1,0),0)</f>
        <v>17101029-3</v>
      </c>
      <c r="AS234" s="59" t="str">
        <f>IFERROR(VLOOKUP($A234,[2]Mssp!$A$5:$BE$1463,AS$4+1,0),0)</f>
        <v>1710745-4</v>
      </c>
      <c r="AT234" s="59" t="str">
        <f>IFERROR(VLOOKUP($A234,[2]Mssp!$A$5:$BE$1463,AT$4+1,0),0)</f>
        <v>1903484-5</v>
      </c>
      <c r="AU234" s="59" t="str">
        <f>IFERROR(VLOOKUP($A234,[2]Mssp!$A$5:$BE$1463,AU$4+1,0),0)</f>
        <v>1703398-6</v>
      </c>
      <c r="AV234" s="59" t="str">
        <f>IFERROR(VLOOKUP($A234,[2]Mssp!$A$5:$BE$1463,AV$4+1,0),0)</f>
        <v>1903035-7</v>
      </c>
      <c r="AW234" s="59">
        <f>IFERROR(VLOOKUP($A234,[2]Mssp!$A$5:$BE$1463,AW$4+1,0),0)</f>
        <v>0</v>
      </c>
      <c r="AX234" s="59">
        <f>IFERROR(VLOOKUP($A234,[2]Mssp!$A$5:$BE$1463,AX$4+1,0),0)</f>
        <v>0</v>
      </c>
      <c r="AY234" s="59" t="str">
        <f>IFERROR(VLOOKUP($A234,[2]Mssp!$A$5:$BE$1463,AY$4+2,0),0)</f>
        <v>1100x850</v>
      </c>
      <c r="AZ234" s="59" t="str">
        <f>IFERROR(VLOOKUP($A234,[2]Mssp!$A$5:$BE$1463,AZ$4+2,0),0)</f>
        <v>K3</v>
      </c>
      <c r="BA234" s="60" t="s">
        <v>106</v>
      </c>
      <c r="BB234" s="61" t="s">
        <v>107</v>
      </c>
      <c r="BC234" s="62"/>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row>
    <row r="235" spans="1:94" ht="45" x14ac:dyDescent="0.25">
      <c r="A235" s="50" t="s">
        <v>845</v>
      </c>
      <c r="B235" s="73" t="s">
        <v>846</v>
      </c>
      <c r="C235" s="50">
        <f t="shared" si="7"/>
        <v>5.8500000000000005</v>
      </c>
      <c r="D235" s="58">
        <v>2</v>
      </c>
      <c r="E235" s="58" t="s">
        <v>748</v>
      </c>
      <c r="F235" s="58">
        <v>8</v>
      </c>
      <c r="G235" s="50" t="s">
        <v>56</v>
      </c>
      <c r="H235" s="50">
        <f>VLOOKUP($A235,'[1]ma sp 02'!$A$5:$BD$1101,H$1,0)</f>
        <v>0.03</v>
      </c>
      <c r="I235" s="50">
        <f>VLOOKUP($A235,'[1]ma sp 02'!$A$5:$BD$1101,I$1,0)</f>
        <v>3.73</v>
      </c>
      <c r="J235" s="50">
        <f>VLOOKUP($A235,'[1]ma sp 02'!$A$5:$BD$1101,J$1,0)</f>
        <v>0.26</v>
      </c>
      <c r="K235" s="50">
        <f>VLOOKUP($A235,'[1]ma sp 02'!$A$5:$BD$1101,K$1,0)</f>
        <v>7.0000000000000007E-2</v>
      </c>
      <c r="L235" s="50">
        <f>VLOOKUP($A235,'[1]ma sp 02'!$A$5:$BD$1101,L$1,0)</f>
        <v>0.42</v>
      </c>
      <c r="M235" s="50">
        <f>VLOOKUP($A235,'[1]ma sp 02'!$A$5:$BD$1101,M$1,0)</f>
        <v>1.07</v>
      </c>
      <c r="N235" s="50">
        <f>VLOOKUP($A235,'[1]ma sp 02'!$A$5:$BD$1101,N$1,0)</f>
        <v>0</v>
      </c>
      <c r="O235" s="50">
        <f>VLOOKUP($A235,'[1]ma sp 02'!$A$5:$BD$1101,O$1,0)</f>
        <v>0.23</v>
      </c>
      <c r="P235" s="50">
        <f>VLOOKUP($A235,'[1]ma sp 02'!$A$5:$BD$1101,P$1,0)</f>
        <v>0</v>
      </c>
      <c r="Q235" s="50">
        <f>VLOOKUP($A235,'[1]ma sp 02'!$A$5:$BD$1101,Q$1,0)</f>
        <v>0.03</v>
      </c>
      <c r="R235" s="50">
        <f>VLOOKUP($A235,'[1]ma sp 02'!$A$5:$BD$1101,R$1,0)</f>
        <v>0</v>
      </c>
      <c r="S235" s="50">
        <f>VLOOKUP($A235,'[1]ma sp 02'!$A$5:$BD$1101,S$1,0)</f>
        <v>0</v>
      </c>
      <c r="T235" s="50">
        <f>VLOOKUP($A235,'[1]ma sp 02'!$A$5:$BD$1101,T$1,0)</f>
        <v>0.01</v>
      </c>
      <c r="U235" s="50">
        <f>VLOOKUP($A235,'[1]ma sp 02'!$A$5:$BD$1101,U$1,0)</f>
        <v>0</v>
      </c>
      <c r="V235" s="50">
        <f>VLOOKUP($A235,'[1]ma sp 02'!$A$5:$BD$1101,V$1,0)</f>
        <v>0</v>
      </c>
      <c r="W235" s="50">
        <f>VLOOKUP($A235,'[1]ma sp 02'!$A$5:$BD$1101,W$1,0)</f>
        <v>0</v>
      </c>
      <c r="X235" s="50">
        <f t="shared" si="6"/>
        <v>9</v>
      </c>
      <c r="Y235" s="57"/>
      <c r="Z235" s="57"/>
      <c r="AA235" s="57"/>
      <c r="AB235" s="57"/>
      <c r="AC235" s="57"/>
      <c r="AD235" s="57"/>
      <c r="AE235" s="58" t="s">
        <v>749</v>
      </c>
      <c r="AF235" s="57"/>
      <c r="AG235" s="71">
        <f>(0.02*0.91+0.08*0.925)*0.9</f>
        <v>8.2980000000000012E-2</v>
      </c>
      <c r="AH235" s="54">
        <f>(2.3/0.75/2)*0.89</f>
        <v>1.3646666666666665</v>
      </c>
      <c r="AI235" s="57"/>
      <c r="AJ235" s="58">
        <v>9530</v>
      </c>
      <c r="AK235" s="57"/>
      <c r="AL235" s="58">
        <v>2.3E-3</v>
      </c>
      <c r="AM235" s="52" t="s">
        <v>74</v>
      </c>
      <c r="AN235" s="57">
        <v>310</v>
      </c>
      <c r="AO235" s="52" t="s">
        <v>527</v>
      </c>
      <c r="AP235" s="59" t="str">
        <f>IFERROR(VLOOKUP($A235,[2]Mssp!$A$5:$BE$1463,AP$4+1,0),0)</f>
        <v>1903696-1</v>
      </c>
      <c r="AQ235" s="59" t="str">
        <f>IFERROR(VLOOKUP($A235,[2]Mssp!$A$5:$BE$1463,AQ$4+1,0),0)</f>
        <v>19041070-2</v>
      </c>
      <c r="AR235" s="59" t="str">
        <f>IFERROR(VLOOKUP($A235,[2]Mssp!$A$5:$BE$1463,AR$4+1,0),0)</f>
        <v>1611196-3</v>
      </c>
      <c r="AS235" s="59" t="str">
        <f>IFERROR(VLOOKUP($A235,[2]Mssp!$A$5:$BE$1463,AS$4+1,0),0)</f>
        <v>1611196-4</v>
      </c>
      <c r="AT235" s="59" t="str">
        <f>IFERROR(VLOOKUP($A235,[2]Mssp!$A$5:$BE$1463,AT$4+1,0),0)</f>
        <v>1903696-5</v>
      </c>
      <c r="AU235" s="59" t="str">
        <f>IFERROR(VLOOKUP($A235,[2]Mssp!$A$5:$BE$1463,AU$4+1,0),0)</f>
        <v>1611196-6</v>
      </c>
      <c r="AV235" s="59" t="str">
        <f>IFERROR(VLOOKUP($A235,[2]Mssp!$A$5:$BE$1463,AV$4+1,0),0)</f>
        <v>1903696-7</v>
      </c>
      <c r="AW235" s="59" t="str">
        <f>IFERROR(VLOOKUP($A235,[2]Mssp!$A$5:$BE$1463,AW$4+1,0),0)</f>
        <v>21030918-8</v>
      </c>
      <c r="AX235" s="59">
        <f>IFERROR(VLOOKUP($A235,[2]Mssp!$A$5:$BE$1463,AX$4+1,0),0)</f>
        <v>0</v>
      </c>
      <c r="AY235" s="59" t="str">
        <f>IFERROR(VLOOKUP($A235,[2]Mssp!$A$5:$BE$1463,AY$4+2,0),0)</f>
        <v>620x1100</v>
      </c>
      <c r="AZ235" s="59" t="str">
        <f>IFERROR(VLOOKUP($A235,[2]Mssp!$A$5:$BE$1463,AZ$4+2,0),0)</f>
        <v>I2</v>
      </c>
      <c r="BA235" s="60">
        <v>4000</v>
      </c>
      <c r="BB235" s="61" t="s">
        <v>62</v>
      </c>
      <c r="BC235" s="62"/>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row>
    <row r="236" spans="1:94" ht="45" x14ac:dyDescent="0.25">
      <c r="A236" s="50" t="s">
        <v>847</v>
      </c>
      <c r="B236" s="73" t="s">
        <v>848</v>
      </c>
      <c r="C236" s="50">
        <f t="shared" si="7"/>
        <v>9.68</v>
      </c>
      <c r="D236" s="58">
        <v>1</v>
      </c>
      <c r="E236" s="58" t="s">
        <v>755</v>
      </c>
      <c r="F236" s="58">
        <v>7</v>
      </c>
      <c r="G236" s="50" t="s">
        <v>56</v>
      </c>
      <c r="H236" s="50">
        <f>VLOOKUP($A236,'[1]ma sp 02'!$A$5:$BD$1101,H$1,0)</f>
        <v>0.32</v>
      </c>
      <c r="I236" s="50">
        <f>VLOOKUP($A236,'[1]ma sp 02'!$A$5:$BD$1101,I$1,0)</f>
        <v>0</v>
      </c>
      <c r="J236" s="50">
        <f>VLOOKUP($A236,'[1]ma sp 02'!$A$5:$BD$1101,J$1,0)</f>
        <v>0.43</v>
      </c>
      <c r="K236" s="50">
        <f>VLOOKUP($A236,'[1]ma sp 02'!$A$5:$BD$1101,K$1,0)</f>
        <v>0.21</v>
      </c>
      <c r="L236" s="50">
        <f>VLOOKUP($A236,'[1]ma sp 02'!$A$5:$BD$1101,L$1,0)</f>
        <v>5.85</v>
      </c>
      <c r="M236" s="50">
        <f>VLOOKUP($A236,'[1]ma sp 02'!$A$5:$BD$1101,M$1,0)</f>
        <v>2.13</v>
      </c>
      <c r="N236" s="50">
        <f>VLOOKUP($A236,'[1]ma sp 02'!$A$5:$BD$1101,N$1,0)</f>
        <v>0</v>
      </c>
      <c r="O236" s="50">
        <f>VLOOKUP($A236,'[1]ma sp 02'!$A$5:$BD$1101,O$1,0)</f>
        <v>0.53</v>
      </c>
      <c r="P236" s="50">
        <f>VLOOKUP($A236,'[1]ma sp 02'!$A$5:$BD$1101,P$1,0)</f>
        <v>0</v>
      </c>
      <c r="Q236" s="50">
        <f>VLOOKUP($A236,'[1]ma sp 02'!$A$5:$BD$1101,Q$1,0)</f>
        <v>0</v>
      </c>
      <c r="R236" s="50">
        <f>VLOOKUP($A236,'[1]ma sp 02'!$A$5:$BD$1101,R$1,0)</f>
        <v>0</v>
      </c>
      <c r="S236" s="50">
        <f>VLOOKUP($A236,'[1]ma sp 02'!$A$5:$BD$1101,S$1,0)</f>
        <v>0</v>
      </c>
      <c r="T236" s="50">
        <f>VLOOKUP($A236,'[1]ma sp 02'!$A$5:$BD$1101,T$1,0)</f>
        <v>0.21</v>
      </c>
      <c r="U236" s="50">
        <f>VLOOKUP($A236,'[1]ma sp 02'!$A$5:$BD$1101,U$1,0)</f>
        <v>0</v>
      </c>
      <c r="V236" s="50">
        <f>VLOOKUP($A236,'[1]ma sp 02'!$A$5:$BD$1101,V$1,0)</f>
        <v>0</v>
      </c>
      <c r="W236" s="50">
        <f>VLOOKUP($A236,'[1]ma sp 02'!$A$5:$BD$1101,W$1,0)</f>
        <v>0</v>
      </c>
      <c r="X236" s="50">
        <f t="shared" si="6"/>
        <v>7</v>
      </c>
      <c r="Y236" s="57"/>
      <c r="Z236" s="57"/>
      <c r="AA236" s="57"/>
      <c r="AB236" s="57"/>
      <c r="AC236" s="57"/>
      <c r="AD236" s="57"/>
      <c r="AE236" s="57"/>
      <c r="AF236" s="57"/>
      <c r="AG236" s="57"/>
      <c r="AH236" s="57"/>
      <c r="AI236" s="57"/>
      <c r="AJ236" s="57"/>
      <c r="AK236" s="57"/>
      <c r="AL236" s="57"/>
      <c r="AM236" s="52" t="s">
        <v>756</v>
      </c>
      <c r="AN236" s="58">
        <v>670</v>
      </c>
      <c r="AO236" s="52" t="s">
        <v>527</v>
      </c>
      <c r="AP236" s="59" t="str">
        <f>IFERROR(VLOOKUP($A236,[2]Mssp!$A$5:$BE$1463,AP$4+1,0),0)</f>
        <v>1903035-1</v>
      </c>
      <c r="AQ236" s="59" t="str">
        <f>IFERROR(VLOOKUP($A236,[2]Mssp!$A$5:$BE$1463,AQ$4+1,0),0)</f>
        <v>1609242-2</v>
      </c>
      <c r="AR236" s="59" t="str">
        <f>IFERROR(VLOOKUP($A236,[2]Mssp!$A$5:$BE$1463,AR$4+1,0),0)</f>
        <v>17101029-3</v>
      </c>
      <c r="AS236" s="59" t="str">
        <f>IFERROR(VLOOKUP($A236,[2]Mssp!$A$5:$BE$1463,AS$4+1,0),0)</f>
        <v>1710745-4</v>
      </c>
      <c r="AT236" s="59" t="str">
        <f>IFERROR(VLOOKUP($A236,[2]Mssp!$A$5:$BE$1463,AT$4+1,0),0)</f>
        <v>19031034-5</v>
      </c>
      <c r="AU236" s="59" t="str">
        <f>IFERROR(VLOOKUP($A236,[2]Mssp!$A$5:$BE$1463,AU$4+1,0),0)</f>
        <v>1703399-6</v>
      </c>
      <c r="AV236" s="59" t="str">
        <f>IFERROR(VLOOKUP($A236,[2]Mssp!$A$5:$BE$1463,AV$4+1,0),0)</f>
        <v>1903035-7</v>
      </c>
      <c r="AW236" s="59">
        <f>IFERROR(VLOOKUP($A236,[2]Mssp!$A$5:$BE$1463,AW$4+1,0),0)</f>
        <v>0</v>
      </c>
      <c r="AX236" s="59">
        <f>IFERROR(VLOOKUP($A236,[2]Mssp!$A$5:$BE$1463,AX$4+1,0),0)</f>
        <v>0</v>
      </c>
      <c r="AY236" s="59" t="str">
        <f>IFERROR(VLOOKUP($A236,[2]Mssp!$A$5:$BE$1463,AY$4+2,0),0)</f>
        <v>1100x850</v>
      </c>
      <c r="AZ236" s="59" t="str">
        <f>IFERROR(VLOOKUP($A236,[2]Mssp!$A$5:$BE$1463,AZ$4+2,0),0)</f>
        <v>K3</v>
      </c>
      <c r="BA236" s="60" t="s">
        <v>106</v>
      </c>
      <c r="BB236" s="61" t="s">
        <v>107</v>
      </c>
      <c r="BC236" s="62"/>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row>
    <row r="237" spans="1:94" ht="45" x14ac:dyDescent="0.25">
      <c r="A237" s="50" t="s">
        <v>849</v>
      </c>
      <c r="B237" s="73" t="s">
        <v>850</v>
      </c>
      <c r="C237" s="50">
        <f t="shared" si="7"/>
        <v>6.3699999999999992</v>
      </c>
      <c r="D237" s="58">
        <v>1</v>
      </c>
      <c r="E237" s="58" t="s">
        <v>755</v>
      </c>
      <c r="F237" s="58">
        <v>7</v>
      </c>
      <c r="G237" s="50" t="s">
        <v>56</v>
      </c>
      <c r="H237" s="50">
        <f>VLOOKUP($A237,'[1]ma sp 02'!$A$5:$BD$1101,H$1,0)</f>
        <v>0.17</v>
      </c>
      <c r="I237" s="50">
        <f>VLOOKUP($A237,'[1]ma sp 02'!$A$5:$BD$1101,I$1,0)</f>
        <v>1.63</v>
      </c>
      <c r="J237" s="50">
        <f>VLOOKUP($A237,'[1]ma sp 02'!$A$5:$BD$1101,J$1,0)</f>
        <v>0.54</v>
      </c>
      <c r="K237" s="50">
        <f>VLOOKUP($A237,'[1]ma sp 02'!$A$5:$BD$1101,K$1,0)</f>
        <v>0.25</v>
      </c>
      <c r="L237" s="50">
        <f>VLOOKUP($A237,'[1]ma sp 02'!$A$5:$BD$1101,L$1,0)</f>
        <v>2.09</v>
      </c>
      <c r="M237" s="50">
        <f>VLOOKUP($A237,'[1]ma sp 02'!$A$5:$BD$1101,M$1,0)</f>
        <v>1.1399999999999999</v>
      </c>
      <c r="N237" s="50">
        <f>VLOOKUP($A237,'[1]ma sp 02'!$A$5:$BD$1101,N$1,0)</f>
        <v>0</v>
      </c>
      <c r="O237" s="50">
        <f>VLOOKUP($A237,'[1]ma sp 02'!$A$5:$BD$1101,O$1,0)</f>
        <v>0.01</v>
      </c>
      <c r="P237" s="50">
        <f>VLOOKUP($A237,'[1]ma sp 02'!$A$5:$BD$1101,P$1,0)</f>
        <v>0</v>
      </c>
      <c r="Q237" s="50">
        <f>VLOOKUP($A237,'[1]ma sp 02'!$A$5:$BD$1101,Q$1,0)</f>
        <v>0</v>
      </c>
      <c r="R237" s="50">
        <f>VLOOKUP($A237,'[1]ma sp 02'!$A$5:$BD$1101,R$1,0)</f>
        <v>0</v>
      </c>
      <c r="S237" s="50">
        <f>VLOOKUP($A237,'[1]ma sp 02'!$A$5:$BD$1101,S$1,0)</f>
        <v>0</v>
      </c>
      <c r="T237" s="50">
        <f>VLOOKUP($A237,'[1]ma sp 02'!$A$5:$BD$1101,T$1,0)</f>
        <v>0.54</v>
      </c>
      <c r="U237" s="50">
        <f>VLOOKUP($A237,'[1]ma sp 02'!$A$5:$BD$1101,U$1,0)</f>
        <v>0</v>
      </c>
      <c r="V237" s="50">
        <f>VLOOKUP($A237,'[1]ma sp 02'!$A$5:$BD$1101,V$1,0)</f>
        <v>0</v>
      </c>
      <c r="W237" s="50">
        <f>VLOOKUP($A237,'[1]ma sp 02'!$A$5:$BD$1101,W$1,0)</f>
        <v>0</v>
      </c>
      <c r="X237" s="50">
        <f t="shared" si="6"/>
        <v>8</v>
      </c>
      <c r="Y237" s="57"/>
      <c r="Z237" s="57"/>
      <c r="AA237" s="57"/>
      <c r="AB237" s="57"/>
      <c r="AC237" s="57"/>
      <c r="AD237" s="57"/>
      <c r="AE237" s="57"/>
      <c r="AF237" s="57"/>
      <c r="AG237" s="57"/>
      <c r="AH237" s="57"/>
      <c r="AI237" s="57"/>
      <c r="AJ237" s="57"/>
      <c r="AK237" s="57"/>
      <c r="AL237" s="57"/>
      <c r="AM237" s="52" t="s">
        <v>756</v>
      </c>
      <c r="AN237" s="58">
        <v>670</v>
      </c>
      <c r="AO237" s="52" t="s">
        <v>527</v>
      </c>
      <c r="AP237" s="59" t="str">
        <f>IFERROR(VLOOKUP($A237,[2]Mssp!$A$5:$BE$1463,AP$4+1,0),0)</f>
        <v>1903066-1</v>
      </c>
      <c r="AQ237" s="59" t="str">
        <f>IFERROR(VLOOKUP($A237,[2]Mssp!$A$5:$BE$1463,AQ$4+1,0),0)</f>
        <v>1609553-2</v>
      </c>
      <c r="AR237" s="59" t="str">
        <f>IFERROR(VLOOKUP($A237,[2]Mssp!$A$5:$BE$1463,AR$4+1,0),0)</f>
        <v>1609553-3</v>
      </c>
      <c r="AS237" s="59" t="str">
        <f>IFERROR(VLOOKUP($A237,[2]Mssp!$A$5:$BE$1463,AS$4+1,0),0)</f>
        <v>1609553-4</v>
      </c>
      <c r="AT237" s="59" t="str">
        <f>IFERROR(VLOOKUP($A237,[2]Mssp!$A$5:$BE$1463,AT$4+1,0),0)</f>
        <v>19031034-5</v>
      </c>
      <c r="AU237" s="59" t="str">
        <f>IFERROR(VLOOKUP($A237,[2]Mssp!$A$5:$BE$1463,AU$4+1,0),0)</f>
        <v>1611200-6</v>
      </c>
      <c r="AV237" s="59" t="str">
        <f>IFERROR(VLOOKUP($A237,[2]Mssp!$A$5:$BE$1463,AV$4+1,0),0)</f>
        <v>1903066-7</v>
      </c>
      <c r="AW237" s="59">
        <f>IFERROR(VLOOKUP($A237,[2]Mssp!$A$5:$BE$1463,AW$4+1,0),0)</f>
        <v>0</v>
      </c>
      <c r="AX237" s="59">
        <f>IFERROR(VLOOKUP($A237,[2]Mssp!$A$5:$BE$1463,AX$4+1,0),0)</f>
        <v>0</v>
      </c>
      <c r="AY237" s="59" t="str">
        <f>IFERROR(VLOOKUP($A237,[2]Mssp!$A$5:$BE$1463,AY$4+2,0),0)</f>
        <v>1100x850</v>
      </c>
      <c r="AZ237" s="59" t="str">
        <f>IFERROR(VLOOKUP($A237,[2]Mssp!$A$5:$BE$1463,AZ$4+2,0),0)</f>
        <v>K3</v>
      </c>
      <c r="BA237" s="60" t="s">
        <v>106</v>
      </c>
      <c r="BB237" s="61" t="s">
        <v>107</v>
      </c>
      <c r="BC237" s="62"/>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c r="CK237" s="9"/>
      <c r="CL237" s="9"/>
      <c r="CM237" s="9"/>
      <c r="CN237" s="9"/>
      <c r="CO237" s="9"/>
      <c r="CP237" s="9"/>
    </row>
    <row r="238" spans="1:94" ht="45" x14ac:dyDescent="0.25">
      <c r="A238" s="50" t="s">
        <v>851</v>
      </c>
      <c r="B238" s="73" t="s">
        <v>852</v>
      </c>
      <c r="C238" s="50">
        <f t="shared" si="7"/>
        <v>7.13</v>
      </c>
      <c r="D238" s="58">
        <v>1</v>
      </c>
      <c r="E238" s="58" t="s">
        <v>755</v>
      </c>
      <c r="F238" s="58">
        <v>7</v>
      </c>
      <c r="G238" s="50" t="s">
        <v>56</v>
      </c>
      <c r="H238" s="50">
        <f>VLOOKUP($A238,'[1]ma sp 02'!$A$5:$BD$1101,H$1,0)</f>
        <v>0.95</v>
      </c>
      <c r="I238" s="50">
        <f>VLOOKUP($A238,'[1]ma sp 02'!$A$5:$BD$1101,I$1,0)</f>
        <v>0</v>
      </c>
      <c r="J238" s="50">
        <f>VLOOKUP($A238,'[1]ma sp 02'!$A$5:$BD$1101,J$1,0)</f>
        <v>0.56999999999999995</v>
      </c>
      <c r="K238" s="50">
        <f>VLOOKUP($A238,'[1]ma sp 02'!$A$5:$BD$1101,K$1,0)</f>
        <v>0.56999999999999995</v>
      </c>
      <c r="L238" s="50">
        <f>VLOOKUP($A238,'[1]ma sp 02'!$A$5:$BD$1101,L$1,0)</f>
        <v>4.37</v>
      </c>
      <c r="M238" s="50">
        <f>VLOOKUP($A238,'[1]ma sp 02'!$A$5:$BD$1101,M$1,0)</f>
        <v>0</v>
      </c>
      <c r="N238" s="50">
        <f>VLOOKUP($A238,'[1]ma sp 02'!$A$5:$BD$1101,N$1,0)</f>
        <v>0</v>
      </c>
      <c r="O238" s="50">
        <f>VLOOKUP($A238,'[1]ma sp 02'!$A$5:$BD$1101,O$1,0)</f>
        <v>0.28999999999999998</v>
      </c>
      <c r="P238" s="50">
        <f>VLOOKUP($A238,'[1]ma sp 02'!$A$5:$BD$1101,P$1,0)</f>
        <v>0</v>
      </c>
      <c r="Q238" s="50">
        <f>VLOOKUP($A238,'[1]ma sp 02'!$A$5:$BD$1101,Q$1,0)</f>
        <v>0</v>
      </c>
      <c r="R238" s="50">
        <f>VLOOKUP($A238,'[1]ma sp 02'!$A$5:$BD$1101,R$1,0)</f>
        <v>0</v>
      </c>
      <c r="S238" s="50">
        <f>VLOOKUP($A238,'[1]ma sp 02'!$A$5:$BD$1101,S$1,0)</f>
        <v>0</v>
      </c>
      <c r="T238" s="50">
        <f>VLOOKUP($A238,'[1]ma sp 02'!$A$5:$BD$1101,T$1,0)</f>
        <v>0.38</v>
      </c>
      <c r="U238" s="50">
        <f>VLOOKUP($A238,'[1]ma sp 02'!$A$5:$BD$1101,U$1,0)</f>
        <v>0</v>
      </c>
      <c r="V238" s="50">
        <f>VLOOKUP($A238,'[1]ma sp 02'!$A$5:$BD$1101,V$1,0)</f>
        <v>0</v>
      </c>
      <c r="W238" s="50">
        <f>VLOOKUP($A238,'[1]ma sp 02'!$A$5:$BD$1101,W$1,0)</f>
        <v>0</v>
      </c>
      <c r="X238" s="50">
        <f t="shared" si="6"/>
        <v>6</v>
      </c>
      <c r="Y238" s="57"/>
      <c r="Z238" s="57"/>
      <c r="AA238" s="57"/>
      <c r="AB238" s="57"/>
      <c r="AC238" s="57"/>
      <c r="AD238" s="57"/>
      <c r="AE238" s="57"/>
      <c r="AF238" s="57"/>
      <c r="AG238" s="57"/>
      <c r="AH238" s="57"/>
      <c r="AI238" s="57"/>
      <c r="AJ238" s="57"/>
      <c r="AK238" s="57"/>
      <c r="AL238" s="57"/>
      <c r="AM238" s="52" t="s">
        <v>756</v>
      </c>
      <c r="AN238" s="58">
        <v>670</v>
      </c>
      <c r="AO238" s="52" t="s">
        <v>527</v>
      </c>
      <c r="AP238" s="59" t="str">
        <f>IFERROR(VLOOKUP($A238,[2]Mssp!$A$5:$BE$1463,AP$4+1,0),0)</f>
        <v>17101029-1</v>
      </c>
      <c r="AQ238" s="59" t="str">
        <f>IFERROR(VLOOKUP($A238,[2]Mssp!$A$5:$BE$1463,AQ$4+1,0),0)</f>
        <v>1609242-2</v>
      </c>
      <c r="AR238" s="59" t="str">
        <f>IFERROR(VLOOKUP($A238,[2]Mssp!$A$5:$BE$1463,AR$4+1,0),0)</f>
        <v>17101029-3</v>
      </c>
      <c r="AS238" s="59" t="str">
        <f>IFERROR(VLOOKUP($A238,[2]Mssp!$A$5:$BE$1463,AS$4+1,0),0)</f>
        <v>1710745-4</v>
      </c>
      <c r="AT238" s="59" t="str">
        <f>IFERROR(VLOOKUP($A238,[2]Mssp!$A$5:$BE$1463,AT$4+1,0),0)</f>
        <v>1611199-5</v>
      </c>
      <c r="AU238" s="59" t="str">
        <f>IFERROR(VLOOKUP($A238,[2]Mssp!$A$5:$BE$1463,AU$4+1,0),0)</f>
        <v>1611199-6</v>
      </c>
      <c r="AV238" s="59" t="str">
        <f>IFERROR(VLOOKUP($A238,[2]Mssp!$A$5:$BE$1463,AV$4+1,0),0)</f>
        <v>1903062-7</v>
      </c>
      <c r="AW238" s="59">
        <f>IFERROR(VLOOKUP($A238,[2]Mssp!$A$5:$BE$1463,AW$4+1,0),0)</f>
        <v>0</v>
      </c>
      <c r="AX238" s="59">
        <f>IFERROR(VLOOKUP($A238,[2]Mssp!$A$5:$BE$1463,AX$4+1,0),0)</f>
        <v>0</v>
      </c>
      <c r="AY238" s="59" t="str">
        <f>IFERROR(VLOOKUP($A238,[2]Mssp!$A$5:$BE$1463,AY$4+2,0),0)</f>
        <v>1100x850</v>
      </c>
      <c r="AZ238" s="59" t="str">
        <f>IFERROR(VLOOKUP($A238,[2]Mssp!$A$5:$BE$1463,AZ$4+2,0),0)</f>
        <v>K3</v>
      </c>
      <c r="BA238" s="60" t="s">
        <v>106</v>
      </c>
      <c r="BB238" s="61" t="s">
        <v>107</v>
      </c>
      <c r="BC238" s="62"/>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c r="CP238" s="9"/>
    </row>
    <row r="239" spans="1:94" ht="45" x14ac:dyDescent="0.25">
      <c r="A239" s="50" t="s">
        <v>853</v>
      </c>
      <c r="B239" s="73" t="s">
        <v>854</v>
      </c>
      <c r="C239" s="50">
        <f t="shared" si="7"/>
        <v>2.0499999999999998</v>
      </c>
      <c r="D239" s="58">
        <v>2</v>
      </c>
      <c r="E239" s="58" t="s">
        <v>855</v>
      </c>
      <c r="F239" s="58">
        <v>1</v>
      </c>
      <c r="G239" s="50" t="s">
        <v>56</v>
      </c>
      <c r="H239" s="50">
        <f>VLOOKUP($A239,'[1]ma sp 02'!$A$5:$BD$1101,H$1,0)</f>
        <v>0</v>
      </c>
      <c r="I239" s="50">
        <f>VLOOKUP($A239,'[1]ma sp 02'!$A$5:$BD$1101,I$1,0)</f>
        <v>0</v>
      </c>
      <c r="J239" s="50">
        <f>VLOOKUP($A239,'[1]ma sp 02'!$A$5:$BD$1101,J$1,0)</f>
        <v>0.1</v>
      </c>
      <c r="K239" s="50">
        <f>VLOOKUP($A239,'[1]ma sp 02'!$A$5:$BD$1101,K$1,0)</f>
        <v>0</v>
      </c>
      <c r="L239" s="50">
        <f>VLOOKUP($A239,'[1]ma sp 02'!$A$5:$BD$1101,L$1,0)</f>
        <v>0.6</v>
      </c>
      <c r="M239" s="50">
        <f>VLOOKUP($A239,'[1]ma sp 02'!$A$5:$BD$1101,M$1,0)</f>
        <v>0.8</v>
      </c>
      <c r="N239" s="50">
        <f>VLOOKUP($A239,'[1]ma sp 02'!$A$5:$BD$1101,N$1,0)</f>
        <v>0</v>
      </c>
      <c r="O239" s="50">
        <f>VLOOKUP($A239,'[1]ma sp 02'!$A$5:$BD$1101,O$1,0)</f>
        <v>0.05</v>
      </c>
      <c r="P239" s="50">
        <f>VLOOKUP($A239,'[1]ma sp 02'!$A$5:$BD$1101,P$1,0)</f>
        <v>0</v>
      </c>
      <c r="Q239" s="50">
        <f>VLOOKUP($A239,'[1]ma sp 02'!$A$5:$BD$1101,Q$1,0)</f>
        <v>0.5</v>
      </c>
      <c r="R239" s="50">
        <f>VLOOKUP($A239,'[1]ma sp 02'!$A$5:$BD$1101,R$1,0)</f>
        <v>0</v>
      </c>
      <c r="S239" s="50">
        <f>VLOOKUP($A239,'[1]ma sp 02'!$A$5:$BD$1101,S$1,0)</f>
        <v>0</v>
      </c>
      <c r="T239" s="50">
        <f>VLOOKUP($A239,'[1]ma sp 02'!$A$5:$BD$1101,T$1,0)</f>
        <v>0</v>
      </c>
      <c r="U239" s="50">
        <f>VLOOKUP($A239,'[1]ma sp 02'!$A$5:$BD$1101,U$1,0)</f>
        <v>0</v>
      </c>
      <c r="V239" s="50">
        <f>VLOOKUP($A239,'[1]ma sp 02'!$A$5:$BD$1101,V$1,0)</f>
        <v>0</v>
      </c>
      <c r="W239" s="50">
        <f>VLOOKUP($A239,'[1]ma sp 02'!$A$5:$BD$1101,W$1,0)</f>
        <v>0</v>
      </c>
      <c r="X239" s="50">
        <f t="shared" si="6"/>
        <v>5</v>
      </c>
      <c r="Y239" s="57"/>
      <c r="Z239" s="57"/>
      <c r="AA239" s="57"/>
      <c r="AB239" s="57"/>
      <c r="AC239" s="57"/>
      <c r="AD239" s="57"/>
      <c r="AE239" s="58" t="s">
        <v>856</v>
      </c>
      <c r="AF239" s="57"/>
      <c r="AG239" s="71">
        <f>(0.03*0.91+0.025*0.91)*0.66</f>
        <v>3.3033000000000007E-2</v>
      </c>
      <c r="AH239" s="63">
        <f>(2/0.75/2)*0.65</f>
        <v>0.8666666666666667</v>
      </c>
      <c r="AI239" s="57"/>
      <c r="AJ239" s="58">
        <v>9530</v>
      </c>
      <c r="AK239" s="57"/>
      <c r="AL239" s="58">
        <v>2E-3</v>
      </c>
      <c r="AM239" s="52" t="s">
        <v>60</v>
      </c>
      <c r="AN239" s="57">
        <v>260</v>
      </c>
      <c r="AO239" s="52" t="s">
        <v>92</v>
      </c>
      <c r="AP239" s="59" t="str">
        <f>IFERROR(VLOOKUP($A239,[2]Mssp!$A$5:$BE$1463,AP$4+1,0),0)</f>
        <v>16110494</v>
      </c>
      <c r="AQ239" s="59">
        <f>IFERROR(VLOOKUP($A239,[2]Mssp!$A$5:$BE$1463,AQ$4+1,0),0)</f>
        <v>0</v>
      </c>
      <c r="AR239" s="59">
        <f>IFERROR(VLOOKUP($A239,[2]Mssp!$A$5:$BE$1463,AR$4+1,0),0)</f>
        <v>0</v>
      </c>
      <c r="AS239" s="59">
        <f>IFERROR(VLOOKUP($A239,[2]Mssp!$A$5:$BE$1463,AS$4+1,0),0)</f>
        <v>0</v>
      </c>
      <c r="AT239" s="59">
        <f>IFERROR(VLOOKUP($A239,[2]Mssp!$A$5:$BE$1463,AT$4+1,0),0)</f>
        <v>0</v>
      </c>
      <c r="AU239" s="59">
        <f>IFERROR(VLOOKUP($A239,[2]Mssp!$A$5:$BE$1463,AU$4+1,0),0)</f>
        <v>0</v>
      </c>
      <c r="AV239" s="59">
        <f>IFERROR(VLOOKUP($A239,[2]Mssp!$A$5:$BE$1463,AV$4+1,0),0)</f>
        <v>0</v>
      </c>
      <c r="AW239" s="59">
        <f>IFERROR(VLOOKUP($A239,[2]Mssp!$A$5:$BE$1463,AW$4+1,0),0)</f>
        <v>0</v>
      </c>
      <c r="AX239" s="59">
        <f>IFERROR(VLOOKUP($A239,[2]Mssp!$A$5:$BE$1463,AX$4+1,0),0)</f>
        <v>0</v>
      </c>
      <c r="AY239" s="59" t="str">
        <f>IFERROR(VLOOKUP($A239,[2]Mssp!$A$5:$BE$1463,AY$4+2,0),0)</f>
        <v>400x850</v>
      </c>
      <c r="AZ239" s="59" t="str">
        <f>IFERROR(VLOOKUP($A239,[2]Mssp!$A$5:$BE$1463,AZ$4+2,0),0)</f>
        <v>A1</v>
      </c>
      <c r="BA239" s="60"/>
      <c r="BB239" s="61" t="s">
        <v>62</v>
      </c>
      <c r="BC239" s="62"/>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c r="CO239" s="9"/>
      <c r="CP239" s="9"/>
    </row>
    <row r="240" spans="1:94" ht="45" x14ac:dyDescent="0.25">
      <c r="A240" s="50" t="s">
        <v>857</v>
      </c>
      <c r="B240" s="73" t="s">
        <v>858</v>
      </c>
      <c r="C240" s="50">
        <f t="shared" si="7"/>
        <v>4.3</v>
      </c>
      <c r="D240" s="58">
        <v>2</v>
      </c>
      <c r="E240" s="58" t="s">
        <v>495</v>
      </c>
      <c r="F240" s="58">
        <v>5</v>
      </c>
      <c r="G240" s="50" t="s">
        <v>56</v>
      </c>
      <c r="H240" s="50">
        <f>VLOOKUP($A240,'[1]ma sp 02'!$A$5:$BD$1101,H$1,0)</f>
        <v>0.2</v>
      </c>
      <c r="I240" s="50">
        <f>VLOOKUP($A240,'[1]ma sp 02'!$A$5:$BD$1101,I$1,0)</f>
        <v>0</v>
      </c>
      <c r="J240" s="50">
        <f>VLOOKUP($A240,'[1]ma sp 02'!$A$5:$BD$1101,J$1,0)</f>
        <v>2.1</v>
      </c>
      <c r="K240" s="50">
        <f>VLOOKUP($A240,'[1]ma sp 02'!$A$5:$BD$1101,K$1,0)</f>
        <v>0.5</v>
      </c>
      <c r="L240" s="50">
        <f>VLOOKUP($A240,'[1]ma sp 02'!$A$5:$BD$1101,L$1,0)</f>
        <v>0.6</v>
      </c>
      <c r="M240" s="50">
        <f>VLOOKUP($A240,'[1]ma sp 02'!$A$5:$BD$1101,M$1,0)</f>
        <v>0.8</v>
      </c>
      <c r="N240" s="50">
        <f>VLOOKUP($A240,'[1]ma sp 02'!$A$5:$BD$1101,N$1,0)</f>
        <v>0</v>
      </c>
      <c r="O240" s="50">
        <f>VLOOKUP($A240,'[1]ma sp 02'!$A$5:$BD$1101,O$1,0)</f>
        <v>0</v>
      </c>
      <c r="P240" s="50">
        <f>VLOOKUP($A240,'[1]ma sp 02'!$A$5:$BD$1101,P$1,0)</f>
        <v>0</v>
      </c>
      <c r="Q240" s="50">
        <f>VLOOKUP($A240,'[1]ma sp 02'!$A$5:$BD$1101,Q$1,0)</f>
        <v>0</v>
      </c>
      <c r="R240" s="50">
        <f>VLOOKUP($A240,'[1]ma sp 02'!$A$5:$BD$1101,R$1,0)</f>
        <v>0</v>
      </c>
      <c r="S240" s="50">
        <f>VLOOKUP($A240,'[1]ma sp 02'!$A$5:$BD$1101,S$1,0)</f>
        <v>0.1</v>
      </c>
      <c r="T240" s="50">
        <f>VLOOKUP($A240,'[1]ma sp 02'!$A$5:$BD$1101,T$1,0)</f>
        <v>0</v>
      </c>
      <c r="U240" s="50">
        <f>VLOOKUP($A240,'[1]ma sp 02'!$A$5:$BD$1101,U$1,0)</f>
        <v>0</v>
      </c>
      <c r="V240" s="50">
        <f>VLOOKUP($A240,'[1]ma sp 02'!$A$5:$BD$1101,V$1,0)</f>
        <v>0</v>
      </c>
      <c r="W240" s="50">
        <f>VLOOKUP($A240,'[1]ma sp 02'!$A$5:$BD$1101,W$1,0)</f>
        <v>0</v>
      </c>
      <c r="X240" s="50">
        <f t="shared" si="6"/>
        <v>6</v>
      </c>
      <c r="Y240" s="57"/>
      <c r="Z240" s="57"/>
      <c r="AA240" s="57"/>
      <c r="AB240" s="57"/>
      <c r="AC240" s="57"/>
      <c r="AD240" s="57"/>
      <c r="AE240" s="58" t="s">
        <v>859</v>
      </c>
      <c r="AF240" s="57"/>
      <c r="AG240" s="71">
        <f>(0.02*0.91+0.06*0.925)*0.66</f>
        <v>4.8642000000000005E-2</v>
      </c>
      <c r="AH240" s="63">
        <f>(2.3/0.75/2)*0.65</f>
        <v>0.99666666666666659</v>
      </c>
      <c r="AI240" s="57"/>
      <c r="AJ240" s="58">
        <v>9530</v>
      </c>
      <c r="AK240" s="57"/>
      <c r="AL240" s="58">
        <v>2.3E-3</v>
      </c>
      <c r="AM240" s="52" t="s">
        <v>60</v>
      </c>
      <c r="AN240" s="57">
        <v>260</v>
      </c>
      <c r="AO240" s="52" t="s">
        <v>92</v>
      </c>
      <c r="AP240" s="59" t="str">
        <f>IFERROR(VLOOKUP($A240,[2]Mssp!$A$5:$BE$1463,AP$4+1,0),0)</f>
        <v>1611757-1</v>
      </c>
      <c r="AQ240" s="59" t="str">
        <f>IFERROR(VLOOKUP($A240,[2]Mssp!$A$5:$BE$1463,AQ$4+1,0),0)</f>
        <v>1611757-2</v>
      </c>
      <c r="AR240" s="59" t="str">
        <f>IFERROR(VLOOKUP($A240,[2]Mssp!$A$5:$BE$1463,AR$4+1,0),0)</f>
        <v>1611757-3</v>
      </c>
      <c r="AS240" s="59" t="str">
        <f>IFERROR(VLOOKUP($A240,[2]Mssp!$A$5:$BE$1463,AS$4+1,0),0)</f>
        <v>1611757-4</v>
      </c>
      <c r="AT240" s="59" t="str">
        <f>IFERROR(VLOOKUP($A240,[2]Mssp!$A$5:$BE$1463,AT$4+1,0),0)</f>
        <v>1611757-5</v>
      </c>
      <c r="AU240" s="59">
        <f>IFERROR(VLOOKUP($A240,[2]Mssp!$A$5:$BE$1463,AU$4+1,0),0)</f>
        <v>0</v>
      </c>
      <c r="AV240" s="59">
        <f>IFERROR(VLOOKUP($A240,[2]Mssp!$A$5:$BE$1463,AV$4+1,0),0)</f>
        <v>0</v>
      </c>
      <c r="AW240" s="59">
        <f>IFERROR(VLOOKUP($A240,[2]Mssp!$A$5:$BE$1463,AW$4+1,0),0)</f>
        <v>0</v>
      </c>
      <c r="AX240" s="59">
        <f>IFERROR(VLOOKUP($A240,[2]Mssp!$A$5:$BE$1463,AX$4+1,0),0)</f>
        <v>0</v>
      </c>
      <c r="AY240" s="59" t="str">
        <f>IFERROR(VLOOKUP($A240,[2]Mssp!$A$5:$BE$1463,AY$4+2,0),0)</f>
        <v>520x750</v>
      </c>
      <c r="AZ240" s="59" t="str">
        <f>IFERROR(VLOOKUP($A240,[2]Mssp!$A$5:$BE$1463,AZ$4+2,0),0)</f>
        <v>A1</v>
      </c>
      <c r="BA240" s="60">
        <v>2500</v>
      </c>
      <c r="BB240" s="61" t="s">
        <v>62</v>
      </c>
      <c r="BC240" s="62"/>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c r="CO240" s="9"/>
      <c r="CP240" s="9"/>
    </row>
    <row r="241" spans="1:94" ht="45" x14ac:dyDescent="0.25">
      <c r="A241" s="50" t="s">
        <v>860</v>
      </c>
      <c r="B241" s="73" t="s">
        <v>861</v>
      </c>
      <c r="C241" s="50">
        <f t="shared" si="7"/>
        <v>4.13</v>
      </c>
      <c r="D241" s="58">
        <v>3</v>
      </c>
      <c r="E241" s="58" t="s">
        <v>437</v>
      </c>
      <c r="F241" s="58">
        <v>7</v>
      </c>
      <c r="G241" s="50" t="s">
        <v>114</v>
      </c>
      <c r="H241" s="50">
        <f>VLOOKUP($A241,'[1]ma sp 02'!$A$5:$BD$1101,H$1,0)</f>
        <v>0.2</v>
      </c>
      <c r="I241" s="50">
        <f>VLOOKUP($A241,'[1]ma sp 02'!$A$5:$BD$1101,I$1,0)</f>
        <v>1</v>
      </c>
      <c r="J241" s="50">
        <f>VLOOKUP($A241,'[1]ma sp 02'!$A$5:$BD$1101,J$1,0)</f>
        <v>0.01</v>
      </c>
      <c r="K241" s="50">
        <f>VLOOKUP($A241,'[1]ma sp 02'!$A$5:$BD$1101,K$1,0)</f>
        <v>0.01</v>
      </c>
      <c r="L241" s="50">
        <f>VLOOKUP($A241,'[1]ma sp 02'!$A$5:$BD$1101,L$1,0)</f>
        <v>0.41</v>
      </c>
      <c r="M241" s="50">
        <f>VLOOKUP($A241,'[1]ma sp 02'!$A$5:$BD$1101,M$1,0)</f>
        <v>2.0299999999999998</v>
      </c>
      <c r="N241" s="50">
        <f>VLOOKUP($A241,'[1]ma sp 02'!$A$5:$BD$1101,N$1,0)</f>
        <v>0</v>
      </c>
      <c r="O241" s="50">
        <f>VLOOKUP($A241,'[1]ma sp 02'!$A$5:$BD$1101,O$1,0)</f>
        <v>0.46</v>
      </c>
      <c r="P241" s="50">
        <f>VLOOKUP($A241,'[1]ma sp 02'!$A$5:$BD$1101,P$1,0)</f>
        <v>0.01</v>
      </c>
      <c r="Q241" s="50">
        <f>VLOOKUP($A241,'[1]ma sp 02'!$A$5:$BD$1101,Q$1,0)</f>
        <v>0</v>
      </c>
      <c r="R241" s="50">
        <f>VLOOKUP($A241,'[1]ma sp 02'!$A$5:$BD$1101,R$1,0)</f>
        <v>0</v>
      </c>
      <c r="S241" s="50">
        <f>VLOOKUP($A241,'[1]ma sp 02'!$A$5:$BD$1101,S$1,0)</f>
        <v>0</v>
      </c>
      <c r="T241" s="50">
        <f>VLOOKUP($A241,'[1]ma sp 02'!$A$5:$BD$1101,T$1,0)</f>
        <v>0</v>
      </c>
      <c r="U241" s="50">
        <f>VLOOKUP($A241,'[1]ma sp 02'!$A$5:$BD$1101,U$1,0)</f>
        <v>0</v>
      </c>
      <c r="V241" s="50">
        <f>VLOOKUP($A241,'[1]ma sp 02'!$A$5:$BD$1101,V$1,0)</f>
        <v>0</v>
      </c>
      <c r="W241" s="50">
        <f>VLOOKUP($A241,'[1]ma sp 02'!$A$5:$BD$1101,W$1,0)</f>
        <v>0</v>
      </c>
      <c r="X241" s="50">
        <f t="shared" si="6"/>
        <v>8</v>
      </c>
      <c r="Y241" s="58"/>
      <c r="Z241" s="57"/>
      <c r="AA241" s="57"/>
      <c r="AB241" s="57"/>
      <c r="AC241" s="57"/>
      <c r="AD241" s="57"/>
      <c r="AE241" s="58" t="s">
        <v>66</v>
      </c>
      <c r="AF241" s="58" t="s">
        <v>412</v>
      </c>
      <c r="AG241" s="71">
        <f>(0.012*1.4+0.012*1.4+0.075*0.925)*0.68</f>
        <v>7.0023000000000016E-2</v>
      </c>
      <c r="AH241" s="63">
        <f>(2.3/0.75/2)*0.67</f>
        <v>1.0273333333333332</v>
      </c>
      <c r="AI241" s="63">
        <f>(2.3/0.75/2)*0.67</f>
        <v>1.0273333333333332</v>
      </c>
      <c r="AJ241" s="58">
        <v>9530</v>
      </c>
      <c r="AK241" s="58">
        <v>9530</v>
      </c>
      <c r="AL241" s="58" t="s">
        <v>354</v>
      </c>
      <c r="AM241" s="52" t="s">
        <v>74</v>
      </c>
      <c r="AN241" s="58">
        <v>135</v>
      </c>
      <c r="AO241" s="52" t="s">
        <v>461</v>
      </c>
      <c r="AP241" s="59">
        <f>IFERROR(VLOOKUP($A241,[2]Mssp!$A$5:$BE$1463,AP$4+1,0),0)</f>
        <v>0</v>
      </c>
      <c r="AQ241" s="59">
        <f>IFERROR(VLOOKUP($A241,[2]Mssp!$A$5:$BE$1463,AQ$4+1,0),0)</f>
        <v>0</v>
      </c>
      <c r="AR241" s="59">
        <f>IFERROR(VLOOKUP($A241,[2]Mssp!$A$5:$BE$1463,AR$4+1,0),0)</f>
        <v>0</v>
      </c>
      <c r="AS241" s="59">
        <f>IFERROR(VLOOKUP($A241,[2]Mssp!$A$5:$BE$1463,AS$4+1,0),0)</f>
        <v>0</v>
      </c>
      <c r="AT241" s="59">
        <f>IFERROR(VLOOKUP($A241,[2]Mssp!$A$5:$BE$1463,AT$4+1,0),0)</f>
        <v>0</v>
      </c>
      <c r="AU241" s="59">
        <f>IFERROR(VLOOKUP($A241,[2]Mssp!$A$5:$BE$1463,AU$4+1,0),0)</f>
        <v>0</v>
      </c>
      <c r="AV241" s="59">
        <f>IFERROR(VLOOKUP($A241,[2]Mssp!$A$5:$BE$1463,AV$4+1,0),0)</f>
        <v>0</v>
      </c>
      <c r="AW241" s="59">
        <f>IFERROR(VLOOKUP($A241,[2]Mssp!$A$5:$BE$1463,AW$4+1,0),0)</f>
        <v>0</v>
      </c>
      <c r="AX241" s="59">
        <f>IFERROR(VLOOKUP($A241,[2]Mssp!$A$5:$BE$1463,AX$4+1,0),0)</f>
        <v>0</v>
      </c>
      <c r="AY241" s="59">
        <f>IFERROR(VLOOKUP($A241,[2]Mssp!$A$5:$BE$1463,AY$4+2,0),0)</f>
        <v>0</v>
      </c>
      <c r="AZ241" s="59">
        <f>IFERROR(VLOOKUP($A241,[2]Mssp!$A$5:$BE$1463,AZ$4+2,0),0)</f>
        <v>0</v>
      </c>
      <c r="BA241" s="60">
        <v>12000</v>
      </c>
      <c r="BB241" s="61" t="s">
        <v>62</v>
      </c>
      <c r="BC241" s="62"/>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c r="CK241" s="9"/>
      <c r="CL241" s="9"/>
      <c r="CM241" s="9"/>
      <c r="CN241" s="9"/>
      <c r="CO241" s="9"/>
      <c r="CP241" s="9"/>
    </row>
    <row r="242" spans="1:94" ht="45" x14ac:dyDescent="0.25">
      <c r="A242" s="50" t="s">
        <v>862</v>
      </c>
      <c r="B242" s="73" t="s">
        <v>863</v>
      </c>
      <c r="C242" s="50">
        <f t="shared" si="7"/>
        <v>2.8</v>
      </c>
      <c r="D242" s="58">
        <v>3</v>
      </c>
      <c r="E242" s="58" t="s">
        <v>864</v>
      </c>
      <c r="F242" s="58">
        <v>5</v>
      </c>
      <c r="G242" s="50" t="s">
        <v>56</v>
      </c>
      <c r="H242" s="50">
        <f>VLOOKUP($A242,'[1]ma sp 02'!$A$5:$BD$1101,H$1,0)</f>
        <v>0.2</v>
      </c>
      <c r="I242" s="50">
        <f>VLOOKUP($A242,'[1]ma sp 02'!$A$5:$BD$1101,I$1,0)</f>
        <v>0</v>
      </c>
      <c r="J242" s="50">
        <f>VLOOKUP($A242,'[1]ma sp 02'!$A$5:$BD$1101,J$1,0)</f>
        <v>0.2</v>
      </c>
      <c r="K242" s="50">
        <f>VLOOKUP($A242,'[1]ma sp 02'!$A$5:$BD$1101,K$1,0)</f>
        <v>0.4</v>
      </c>
      <c r="L242" s="50">
        <f>VLOOKUP($A242,'[1]ma sp 02'!$A$5:$BD$1101,L$1,0)</f>
        <v>1.7</v>
      </c>
      <c r="M242" s="50">
        <f>VLOOKUP($A242,'[1]ma sp 02'!$A$5:$BD$1101,M$1,0)</f>
        <v>0</v>
      </c>
      <c r="N242" s="50">
        <f>VLOOKUP($A242,'[1]ma sp 02'!$A$5:$BD$1101,N$1,0)</f>
        <v>0</v>
      </c>
      <c r="O242" s="50">
        <f>VLOOKUP($A242,'[1]ma sp 02'!$A$5:$BD$1101,O$1,0)</f>
        <v>0</v>
      </c>
      <c r="P242" s="50">
        <f>VLOOKUP($A242,'[1]ma sp 02'!$A$5:$BD$1101,P$1,0)</f>
        <v>0</v>
      </c>
      <c r="Q242" s="50">
        <f>VLOOKUP($A242,'[1]ma sp 02'!$A$5:$BD$1101,Q$1,0)</f>
        <v>0</v>
      </c>
      <c r="R242" s="50">
        <f>VLOOKUP($A242,'[1]ma sp 02'!$A$5:$BD$1101,R$1,0)</f>
        <v>0.3</v>
      </c>
      <c r="S242" s="50">
        <f>VLOOKUP($A242,'[1]ma sp 02'!$A$5:$BD$1101,S$1,0)</f>
        <v>0</v>
      </c>
      <c r="T242" s="50">
        <f>VLOOKUP($A242,'[1]ma sp 02'!$A$5:$BD$1101,T$1,0)</f>
        <v>0</v>
      </c>
      <c r="U242" s="50">
        <f>VLOOKUP($A242,'[1]ma sp 02'!$A$5:$BD$1101,U$1,0)</f>
        <v>0</v>
      </c>
      <c r="V242" s="50">
        <f>VLOOKUP($A242,'[1]ma sp 02'!$A$5:$BD$1101,V$1,0)</f>
        <v>0</v>
      </c>
      <c r="W242" s="50">
        <f>VLOOKUP($A242,'[1]ma sp 02'!$A$5:$BD$1101,W$1,0)</f>
        <v>0</v>
      </c>
      <c r="X242" s="50">
        <f t="shared" si="6"/>
        <v>5</v>
      </c>
      <c r="Y242" s="57"/>
      <c r="Z242" s="57"/>
      <c r="AA242" s="57"/>
      <c r="AB242" s="57"/>
      <c r="AC242" s="57"/>
      <c r="AD242" s="57"/>
      <c r="AE242" s="58" t="s">
        <v>865</v>
      </c>
      <c r="AF242" s="57"/>
      <c r="AG242" s="71">
        <f>(0.02*0.91+0.065*0.925)*0.71</f>
        <v>5.561075E-2</v>
      </c>
      <c r="AH242" s="63">
        <f>(2.3/0.75/2)*0.7</f>
        <v>1.0733333333333333</v>
      </c>
      <c r="AI242" s="57"/>
      <c r="AJ242" s="58">
        <v>9530</v>
      </c>
      <c r="AK242" s="57"/>
      <c r="AL242" s="58">
        <v>2.3E-3</v>
      </c>
      <c r="AM242" s="52" t="s">
        <v>74</v>
      </c>
      <c r="AN242" s="57">
        <v>85</v>
      </c>
      <c r="AO242" s="52" t="s">
        <v>612</v>
      </c>
      <c r="AP242" s="59">
        <f>IFERROR(VLOOKUP($A242,[2]Mssp!$A$5:$BE$1463,AP$4+1,0),0)</f>
        <v>0</v>
      </c>
      <c r="AQ242" s="59">
        <f>IFERROR(VLOOKUP($A242,[2]Mssp!$A$5:$BE$1463,AQ$4+1,0),0)</f>
        <v>0</v>
      </c>
      <c r="AR242" s="59">
        <f>IFERROR(VLOOKUP($A242,[2]Mssp!$A$5:$BE$1463,AR$4+1,0),0)</f>
        <v>0</v>
      </c>
      <c r="AS242" s="59">
        <f>IFERROR(VLOOKUP($A242,[2]Mssp!$A$5:$BE$1463,AS$4+1,0),0)</f>
        <v>0</v>
      </c>
      <c r="AT242" s="59">
        <f>IFERROR(VLOOKUP($A242,[2]Mssp!$A$5:$BE$1463,AT$4+1,0),0)</f>
        <v>0</v>
      </c>
      <c r="AU242" s="59">
        <f>IFERROR(VLOOKUP($A242,[2]Mssp!$A$5:$BE$1463,AU$4+1,0),0)</f>
        <v>0</v>
      </c>
      <c r="AV242" s="59">
        <f>IFERROR(VLOOKUP($A242,[2]Mssp!$A$5:$BE$1463,AV$4+1,0),0)</f>
        <v>0</v>
      </c>
      <c r="AW242" s="59">
        <f>IFERROR(VLOOKUP($A242,[2]Mssp!$A$5:$BE$1463,AW$4+1,0),0)</f>
        <v>0</v>
      </c>
      <c r="AX242" s="59">
        <f>IFERROR(VLOOKUP($A242,[2]Mssp!$A$5:$BE$1463,AX$4+1,0),0)</f>
        <v>0</v>
      </c>
      <c r="AY242" s="59">
        <f>IFERROR(VLOOKUP($A242,[2]Mssp!$A$5:$BE$1463,AY$4+2,0),0)</f>
        <v>0</v>
      </c>
      <c r="AZ242" s="59">
        <f>IFERROR(VLOOKUP($A242,[2]Mssp!$A$5:$BE$1463,AZ$4+2,0),0)</f>
        <v>0</v>
      </c>
      <c r="BA242" s="60">
        <v>17000</v>
      </c>
      <c r="BB242" s="61" t="s">
        <v>62</v>
      </c>
      <c r="BC242" s="62"/>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row>
    <row r="243" spans="1:94" ht="45" x14ac:dyDescent="0.25">
      <c r="A243" s="50" t="s">
        <v>866</v>
      </c>
      <c r="B243" s="73" t="s">
        <v>867</v>
      </c>
      <c r="C243" s="50">
        <f t="shared" si="7"/>
        <v>5.6</v>
      </c>
      <c r="D243" s="58">
        <v>3</v>
      </c>
      <c r="E243" s="58" t="s">
        <v>131</v>
      </c>
      <c r="F243" s="58">
        <v>7</v>
      </c>
      <c r="G243" s="50" t="s">
        <v>114</v>
      </c>
      <c r="H243" s="50">
        <f>VLOOKUP($A243,'[1]ma sp 02'!$A$5:$BD$1101,H$1,0)</f>
        <v>0.1</v>
      </c>
      <c r="I243" s="50">
        <f>VLOOKUP($A243,'[1]ma sp 02'!$A$5:$BD$1101,I$1,0)</f>
        <v>3.6</v>
      </c>
      <c r="J243" s="50">
        <f>VLOOKUP($A243,'[1]ma sp 02'!$A$5:$BD$1101,J$1,0)</f>
        <v>0.2</v>
      </c>
      <c r="K243" s="50">
        <f>VLOOKUP($A243,'[1]ma sp 02'!$A$5:$BD$1101,K$1,0)</f>
        <v>0.1</v>
      </c>
      <c r="L243" s="50">
        <f>VLOOKUP($A243,'[1]ma sp 02'!$A$5:$BD$1101,L$1,0)</f>
        <v>0.4</v>
      </c>
      <c r="M243" s="50">
        <f>VLOOKUP($A243,'[1]ma sp 02'!$A$5:$BD$1101,M$1,0)</f>
        <v>1.1000000000000001</v>
      </c>
      <c r="N243" s="50">
        <f>VLOOKUP($A243,'[1]ma sp 02'!$A$5:$BD$1101,N$1,0)</f>
        <v>0</v>
      </c>
      <c r="O243" s="50">
        <f>VLOOKUP($A243,'[1]ma sp 02'!$A$5:$BD$1101,O$1,0)</f>
        <v>0</v>
      </c>
      <c r="P243" s="50">
        <f>VLOOKUP($A243,'[1]ma sp 02'!$A$5:$BD$1101,P$1,0)</f>
        <v>0.1</v>
      </c>
      <c r="Q243" s="50" t="str">
        <f>VLOOKUP($A243,'[1]ma sp 02'!$A$5:$BD$1101,Q$1,0)</f>
        <v xml:space="preserve"> </v>
      </c>
      <c r="R243" s="50" t="str">
        <f>VLOOKUP($A243,'[1]ma sp 02'!$A$5:$BD$1101,R$1,0)</f>
        <v xml:space="preserve"> </v>
      </c>
      <c r="S243" s="50">
        <f>VLOOKUP($A243,'[1]ma sp 02'!$A$5:$BD$1101,S$1,0)</f>
        <v>0</v>
      </c>
      <c r="T243" s="50">
        <f>VLOOKUP($A243,'[1]ma sp 02'!$A$5:$BD$1101,T$1,0)</f>
        <v>0</v>
      </c>
      <c r="U243" s="50">
        <f>VLOOKUP($A243,'[1]ma sp 02'!$A$5:$BD$1101,U$1,0)</f>
        <v>0</v>
      </c>
      <c r="V243" s="50">
        <f>VLOOKUP($A243,'[1]ma sp 02'!$A$5:$BD$1101,V$1,0)</f>
        <v>0</v>
      </c>
      <c r="W243" s="50">
        <f>VLOOKUP($A243,'[1]ma sp 02'!$A$5:$BD$1101,W$1,0)</f>
        <v>0</v>
      </c>
      <c r="X243" s="50">
        <f t="shared" si="6"/>
        <v>7</v>
      </c>
      <c r="Y243" s="57"/>
      <c r="Z243" s="57"/>
      <c r="AA243" s="57"/>
      <c r="AB243" s="57"/>
      <c r="AC243" s="57"/>
      <c r="AD243" s="57"/>
      <c r="AE243" s="58" t="s">
        <v>78</v>
      </c>
      <c r="AF243" s="58" t="s">
        <v>324</v>
      </c>
      <c r="AG243" s="71">
        <f>(0.012*1.4+0.012*1.4+0.075*0.925)*0.62</f>
        <v>6.3844500000000012E-2</v>
      </c>
      <c r="AH243" s="63">
        <f>(2.3/0.75/2)*0.61</f>
        <v>0.93533333333333324</v>
      </c>
      <c r="AI243" s="63">
        <f>(2.3/0.75/2)*0.61</f>
        <v>0.93533333333333324</v>
      </c>
      <c r="AJ243" s="58">
        <v>9530</v>
      </c>
      <c r="AK243" s="58">
        <v>9530</v>
      </c>
      <c r="AL243" s="58" t="s">
        <v>354</v>
      </c>
      <c r="AM243" s="52" t="s">
        <v>74</v>
      </c>
      <c r="AN243" s="57">
        <v>125</v>
      </c>
      <c r="AO243" s="52" t="s">
        <v>461</v>
      </c>
      <c r="AP243" s="59" t="str">
        <f>IFERROR(VLOOKUP($A243,[2]Mssp!$A$5:$BE$1463,AP$4+1,0),0)</f>
        <v>1612235-1</v>
      </c>
      <c r="AQ243" s="59" t="str">
        <f>IFERROR(VLOOKUP($A243,[2]Mssp!$A$5:$BE$1463,AQ$4+1,0),0)</f>
        <v>1612235-2</v>
      </c>
      <c r="AR243" s="59" t="str">
        <f>IFERROR(VLOOKUP($A243,[2]Mssp!$A$5:$BE$1463,AR$4+1,0),0)</f>
        <v>1612235-3</v>
      </c>
      <c r="AS243" s="59" t="str">
        <f>IFERROR(VLOOKUP($A243,[2]Mssp!$A$5:$BE$1463,AS$4+1,0),0)</f>
        <v>1612235-4</v>
      </c>
      <c r="AT243" s="59" t="str">
        <f>IFERROR(VLOOKUP($A243,[2]Mssp!$A$5:$BE$1463,AT$4+1,0),0)</f>
        <v>1612235-5</v>
      </c>
      <c r="AU243" s="59" t="str">
        <f>IFERROR(VLOOKUP($A243,[2]Mssp!$A$5:$BE$1463,AU$4+1,0),0)</f>
        <v>1612235-6</v>
      </c>
      <c r="AV243" s="59" t="str">
        <f>IFERROR(VLOOKUP($A243,[2]Mssp!$A$5:$BE$1463,AV$4+1,0),0)</f>
        <v>1612235-7</v>
      </c>
      <c r="AW243" s="59">
        <f>IFERROR(VLOOKUP($A243,[2]Mssp!$A$5:$BE$1463,AW$4+1,0),0)</f>
        <v>0</v>
      </c>
      <c r="AX243" s="59">
        <f>IFERROR(VLOOKUP($A243,[2]Mssp!$A$5:$BE$1463,AX$4+1,0),0)</f>
        <v>0</v>
      </c>
      <c r="AY243" s="59" t="str">
        <f>IFERROR(VLOOKUP($A243,[2]Mssp!$A$5:$BE$1463,AY$4+2,0),0)</f>
        <v>500x750</v>
      </c>
      <c r="AZ243" s="59" t="str">
        <f>IFERROR(VLOOKUP($A243,[2]Mssp!$A$5:$BE$1463,AZ$4+2,0),0)</f>
        <v>T1</v>
      </c>
      <c r="BA243" s="60">
        <v>15000</v>
      </c>
      <c r="BB243" s="61" t="s">
        <v>62</v>
      </c>
      <c r="BC243" s="62"/>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c r="CK243" s="9"/>
      <c r="CL243" s="9"/>
      <c r="CM243" s="9"/>
      <c r="CN243" s="9"/>
      <c r="CO243" s="9"/>
      <c r="CP243" s="9"/>
    </row>
    <row r="244" spans="1:94" ht="45" x14ac:dyDescent="0.25">
      <c r="A244" s="50" t="s">
        <v>868</v>
      </c>
      <c r="B244" s="73" t="s">
        <v>869</v>
      </c>
      <c r="C244" s="50">
        <f t="shared" si="7"/>
        <v>4.2</v>
      </c>
      <c r="D244" s="58">
        <v>4</v>
      </c>
      <c r="E244" s="58" t="s">
        <v>331</v>
      </c>
      <c r="F244" s="58">
        <v>7</v>
      </c>
      <c r="G244" s="50" t="s">
        <v>114</v>
      </c>
      <c r="H244" s="50">
        <f>VLOOKUP($A244,'[1]ma sp 02'!$A$5:$BD$1101,H$1,0)</f>
        <v>0.3</v>
      </c>
      <c r="I244" s="50">
        <f>VLOOKUP($A244,'[1]ma sp 02'!$A$5:$BD$1101,I$1,0)</f>
        <v>2.1</v>
      </c>
      <c r="J244" s="50">
        <f>VLOOKUP($A244,'[1]ma sp 02'!$A$5:$BD$1101,J$1,0)</f>
        <v>0.1</v>
      </c>
      <c r="K244" s="50">
        <f>VLOOKUP($A244,'[1]ma sp 02'!$A$5:$BD$1101,K$1,0)</f>
        <v>0.1</v>
      </c>
      <c r="L244" s="50">
        <f>VLOOKUP($A244,'[1]ma sp 02'!$A$5:$BD$1101,L$1,0)</f>
        <v>0.8</v>
      </c>
      <c r="M244" s="50">
        <f>VLOOKUP($A244,'[1]ma sp 02'!$A$5:$BD$1101,M$1,0)</f>
        <v>0.7</v>
      </c>
      <c r="N244" s="50">
        <f>VLOOKUP($A244,'[1]ma sp 02'!$A$5:$BD$1101,N$1,0)</f>
        <v>0</v>
      </c>
      <c r="O244" s="50">
        <f>VLOOKUP($A244,'[1]ma sp 02'!$A$5:$BD$1101,O$1,0)</f>
        <v>0</v>
      </c>
      <c r="P244" s="50">
        <f>VLOOKUP($A244,'[1]ma sp 02'!$A$5:$BD$1101,P$1,0)</f>
        <v>0.1</v>
      </c>
      <c r="Q244" s="50">
        <f>VLOOKUP($A244,'[1]ma sp 02'!$A$5:$BD$1101,Q$1,0)</f>
        <v>0</v>
      </c>
      <c r="R244" s="50">
        <f>VLOOKUP($A244,'[1]ma sp 02'!$A$5:$BD$1101,R$1,0)</f>
        <v>0</v>
      </c>
      <c r="S244" s="50">
        <f>VLOOKUP($A244,'[1]ma sp 02'!$A$5:$BD$1101,S$1,0)</f>
        <v>0</v>
      </c>
      <c r="T244" s="50">
        <f>VLOOKUP($A244,'[1]ma sp 02'!$A$5:$BD$1101,T$1,0)</f>
        <v>0</v>
      </c>
      <c r="U244" s="50">
        <f>VLOOKUP($A244,'[1]ma sp 02'!$A$5:$BD$1101,U$1,0)</f>
        <v>0</v>
      </c>
      <c r="V244" s="50">
        <f>VLOOKUP($A244,'[1]ma sp 02'!$A$5:$BD$1101,V$1,0)</f>
        <v>0</v>
      </c>
      <c r="W244" s="50">
        <f>VLOOKUP($A244,'[1]ma sp 02'!$A$5:$BD$1101,W$1,0)</f>
        <v>0</v>
      </c>
      <c r="X244" s="50">
        <f t="shared" si="6"/>
        <v>7</v>
      </c>
      <c r="Y244" s="57"/>
      <c r="Z244" s="57"/>
      <c r="AA244" s="57"/>
      <c r="AB244" s="57"/>
      <c r="AC244" s="57"/>
      <c r="AD244" s="57"/>
      <c r="AE244" s="58" t="s">
        <v>57</v>
      </c>
      <c r="AF244" s="58" t="s">
        <v>58</v>
      </c>
      <c r="AG244" s="71">
        <f>(0.02*0.91+0.04*0.925)*0.59</f>
        <v>3.2568E-2</v>
      </c>
      <c r="AH244" s="63">
        <f>(2.3/0.75/2)*0.58</f>
        <v>0.8893333333333332</v>
      </c>
      <c r="AI244" s="54">
        <f>(2.2/0.75/2)*0.69</f>
        <v>1.012</v>
      </c>
      <c r="AJ244" s="58">
        <v>9530</v>
      </c>
      <c r="AK244" s="58">
        <v>9530</v>
      </c>
      <c r="AL244" s="58" t="s">
        <v>870</v>
      </c>
      <c r="AM244" s="52" t="s">
        <v>60</v>
      </c>
      <c r="AN244" s="57">
        <v>115</v>
      </c>
      <c r="AO244" s="52" t="s">
        <v>118</v>
      </c>
      <c r="AP244" s="59" t="str">
        <f>IFERROR(VLOOKUP($A244,[2]Mssp!$A$5:$BE$1463,AP$4+1,0),0)</f>
        <v>1612405-1</v>
      </c>
      <c r="AQ244" s="59" t="str">
        <f>IFERROR(VLOOKUP($A244,[2]Mssp!$A$5:$BE$1463,AQ$4+1,0),0)</f>
        <v>1612405-2</v>
      </c>
      <c r="AR244" s="59" t="str">
        <f>IFERROR(VLOOKUP($A244,[2]Mssp!$A$5:$BE$1463,AR$4+1,0),0)</f>
        <v>1612405-3</v>
      </c>
      <c r="AS244" s="59" t="str">
        <f>IFERROR(VLOOKUP($A244,[2]Mssp!$A$5:$BE$1463,AS$4+1,0),0)</f>
        <v>1612405-4</v>
      </c>
      <c r="AT244" s="59" t="str">
        <f>IFERROR(VLOOKUP($A244,[2]Mssp!$A$5:$BE$1463,AT$4+1,0),0)</f>
        <v>1612405-5</v>
      </c>
      <c r="AU244" s="59" t="str">
        <f>IFERROR(VLOOKUP($A244,[2]Mssp!$A$5:$BE$1463,AU$4+1,0),0)</f>
        <v>1612405-6</v>
      </c>
      <c r="AV244" s="59" t="str">
        <f>IFERROR(VLOOKUP($A244,[2]Mssp!$A$5:$BE$1463,AV$4+1,0),0)</f>
        <v>1612405-7</v>
      </c>
      <c r="AW244" s="59">
        <f>IFERROR(VLOOKUP($A244,[2]Mssp!$A$5:$BE$1463,AW$4+1,0),0)</f>
        <v>0</v>
      </c>
      <c r="AX244" s="59">
        <f>IFERROR(VLOOKUP($A244,[2]Mssp!$A$5:$BE$1463,AX$4+1,0),0)</f>
        <v>0</v>
      </c>
      <c r="AY244" s="59" t="str">
        <f>IFERROR(VLOOKUP($A244,[2]Mssp!$A$5:$BE$1463,AY$4+2,0),0)</f>
        <v>460x750</v>
      </c>
      <c r="AZ244" s="59" t="str">
        <f>IFERROR(VLOOKUP($A244,[2]Mssp!$A$5:$BE$1463,AZ$4+2,0),0)</f>
        <v>F2</v>
      </c>
      <c r="BA244" s="60">
        <v>18000</v>
      </c>
      <c r="BB244" s="61" t="s">
        <v>62</v>
      </c>
      <c r="BC244" s="62"/>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row>
    <row r="245" spans="1:94" ht="30" x14ac:dyDescent="0.25">
      <c r="A245" s="50" t="s">
        <v>871</v>
      </c>
      <c r="B245" s="52" t="s">
        <v>872</v>
      </c>
      <c r="C245" s="50">
        <f t="shared" si="7"/>
        <v>10.462</v>
      </c>
      <c r="D245" s="58">
        <v>1</v>
      </c>
      <c r="E245" s="58" t="s">
        <v>873</v>
      </c>
      <c r="F245" s="58">
        <v>7</v>
      </c>
      <c r="G245" s="50" t="s">
        <v>559</v>
      </c>
      <c r="H245" s="50">
        <f>VLOOKUP($A245,'[1]ma sp 02'!$A$5:$BD$1101,H$1,0)</f>
        <v>0.38</v>
      </c>
      <c r="I245" s="50">
        <f>VLOOKUP($A245,'[1]ma sp 02'!$A$5:$BD$1101,I$1,0)</f>
        <v>3.66</v>
      </c>
      <c r="J245" s="50">
        <f>VLOOKUP($A245,'[1]ma sp 02'!$A$5:$BD$1101,J$1,0)</f>
        <v>0.46</v>
      </c>
      <c r="K245" s="50">
        <f>VLOOKUP($A245,'[1]ma sp 02'!$A$5:$BD$1101,K$1,0)</f>
        <v>0.15</v>
      </c>
      <c r="L245" s="50">
        <f>VLOOKUP($A245,'[1]ma sp 02'!$A$5:$BD$1101,L$1,0)</f>
        <v>3.81</v>
      </c>
      <c r="M245" s="50">
        <f>VLOOKUP($A245,'[1]ma sp 02'!$A$5:$BD$1101,M$1,0)</f>
        <v>1.982</v>
      </c>
      <c r="N245" s="50">
        <f>VLOOKUP($A245,'[1]ma sp 02'!$A$5:$BD$1101,N$1,0)</f>
        <v>0</v>
      </c>
      <c r="O245" s="50">
        <f>VLOOKUP($A245,'[1]ma sp 02'!$A$5:$BD$1101,O$1,0)</f>
        <v>0.01</v>
      </c>
      <c r="P245" s="50">
        <f>VLOOKUP($A245,'[1]ma sp 02'!$A$5:$BD$1101,P$1,0)</f>
        <v>0</v>
      </c>
      <c r="Q245" s="50">
        <f>VLOOKUP($A245,'[1]ma sp 02'!$A$5:$BD$1101,Q$1,0)</f>
        <v>0</v>
      </c>
      <c r="R245" s="50">
        <f>VLOOKUP($A245,'[1]ma sp 02'!$A$5:$BD$1101,R$1,0)</f>
        <v>0</v>
      </c>
      <c r="S245" s="50">
        <f>VLOOKUP($A245,'[1]ma sp 02'!$A$5:$BD$1101,S$1,0)</f>
        <v>0</v>
      </c>
      <c r="T245" s="50">
        <f>VLOOKUP($A245,'[1]ma sp 02'!$A$5:$BD$1101,T$1,0)</f>
        <v>0.01</v>
      </c>
      <c r="U245" s="50">
        <f>VLOOKUP($A245,'[1]ma sp 02'!$A$5:$BD$1101,U$1,0)</f>
        <v>0</v>
      </c>
      <c r="V245" s="50">
        <f>VLOOKUP($A245,'[1]ma sp 02'!$A$5:$BD$1101,V$1,0)</f>
        <v>0</v>
      </c>
      <c r="W245" s="50">
        <f>VLOOKUP($A245,'[1]ma sp 02'!$A$5:$BD$1101,W$1,0)</f>
        <v>0</v>
      </c>
      <c r="X245" s="50">
        <f t="shared" si="6"/>
        <v>8</v>
      </c>
      <c r="Y245" s="57"/>
      <c r="Z245" s="57"/>
      <c r="AA245" s="57"/>
      <c r="AB245" s="57"/>
      <c r="AC245" s="57"/>
      <c r="AD245" s="57"/>
      <c r="AE245" s="58" t="s">
        <v>874</v>
      </c>
      <c r="AF245" s="57"/>
      <c r="AG245" s="71">
        <f>(0.012*1.4+0.012*1.4+0.03*0.925)*0.7</f>
        <v>4.2944999999999997E-2</v>
      </c>
      <c r="AH245" s="63">
        <f>(2.2/0.75/2)*0.69</f>
        <v>1.012</v>
      </c>
      <c r="AI245" s="57"/>
      <c r="AJ245" s="58">
        <v>9530</v>
      </c>
      <c r="AK245" s="57"/>
      <c r="AL245" s="58">
        <v>2.5000000000000001E-3</v>
      </c>
      <c r="AM245" s="52" t="s">
        <v>74</v>
      </c>
      <c r="AN245" s="57">
        <v>200</v>
      </c>
      <c r="AO245" s="52" t="s">
        <v>527</v>
      </c>
      <c r="AP245" s="59" t="str">
        <f>IFERROR(VLOOKUP($A245,[2]Mssp!$A$5:$BE$1463,AP$4+1,0),0)</f>
        <v>1612337-1</v>
      </c>
      <c r="AQ245" s="59" t="str">
        <f>IFERROR(VLOOKUP($A245,[2]Mssp!$A$5:$BE$1463,AQ$4+1,0),0)</f>
        <v>1612337-2</v>
      </c>
      <c r="AR245" s="59" t="str">
        <f>IFERROR(VLOOKUP($A245,[2]Mssp!$A$5:$BE$1463,AR$4+1,0),0)</f>
        <v>1612337-3</v>
      </c>
      <c r="AS245" s="59" t="str">
        <f>IFERROR(VLOOKUP($A245,[2]Mssp!$A$5:$BE$1463,AS$4+1,0),0)</f>
        <v>1612337-4</v>
      </c>
      <c r="AT245" s="59" t="str">
        <f>IFERROR(VLOOKUP($A245,[2]Mssp!$A$5:$BE$1463,AT$4+1,0),0)</f>
        <v>1612337-5</v>
      </c>
      <c r="AU245" s="59" t="str">
        <f>IFERROR(VLOOKUP($A245,[2]Mssp!$A$5:$BE$1463,AU$4+1,0),0)</f>
        <v>1704431-6</v>
      </c>
      <c r="AV245" s="59" t="str">
        <f>IFERROR(VLOOKUP($A245,[2]Mssp!$A$5:$BE$1463,AV$4+1,0),0)</f>
        <v>1612337-7</v>
      </c>
      <c r="AW245" s="59">
        <f>IFERROR(VLOOKUP($A245,[2]Mssp!$A$5:$BE$1463,AW$4+1,0),0)</f>
        <v>0</v>
      </c>
      <c r="AX245" s="59">
        <f>IFERROR(VLOOKUP($A245,[2]Mssp!$A$5:$BE$1463,AX$4+1,0),0)</f>
        <v>0</v>
      </c>
      <c r="AY245" s="59" t="str">
        <f>IFERROR(VLOOKUP($A245,[2]Mssp!$A$5:$BE$1463,AY$4+2,0),0)</f>
        <v>400x750</v>
      </c>
      <c r="AZ245" s="59" t="str">
        <f>IFERROR(VLOOKUP($A245,[2]Mssp!$A$5:$BE$1463,AZ$4+2,0),0)</f>
        <v>I2</v>
      </c>
      <c r="BA245" s="60"/>
      <c r="BB245" s="61" t="s">
        <v>251</v>
      </c>
      <c r="BC245" s="62"/>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row>
    <row r="246" spans="1:94" ht="30" x14ac:dyDescent="0.25">
      <c r="A246" s="50" t="s">
        <v>875</v>
      </c>
      <c r="B246" s="73" t="s">
        <v>876</v>
      </c>
      <c r="C246" s="50">
        <f t="shared" si="7"/>
        <v>9.3000000000000025</v>
      </c>
      <c r="D246" s="58">
        <v>1</v>
      </c>
      <c r="E246" s="58" t="s">
        <v>877</v>
      </c>
      <c r="F246" s="58">
        <v>7</v>
      </c>
      <c r="G246" s="50" t="s">
        <v>559</v>
      </c>
      <c r="H246" s="50">
        <f>VLOOKUP($A246,'[1]ma sp 02'!$A$5:$BD$1101,H$1,0)</f>
        <v>0.1</v>
      </c>
      <c r="I246" s="50">
        <f>VLOOKUP($A246,'[1]ma sp 02'!$A$5:$BD$1101,I$1,0)</f>
        <v>3.2</v>
      </c>
      <c r="J246" s="50">
        <f>VLOOKUP($A246,'[1]ma sp 02'!$A$5:$BD$1101,J$1,0)</f>
        <v>0.5</v>
      </c>
      <c r="K246" s="50">
        <f>VLOOKUP($A246,'[1]ma sp 02'!$A$5:$BD$1101,K$1,0)</f>
        <v>1</v>
      </c>
      <c r="L246" s="50">
        <f>VLOOKUP($A246,'[1]ma sp 02'!$A$5:$BD$1101,L$1,0)</f>
        <v>1.4</v>
      </c>
      <c r="M246" s="50">
        <f>VLOOKUP($A246,'[1]ma sp 02'!$A$5:$BD$1101,M$1,0)</f>
        <v>1.9</v>
      </c>
      <c r="N246" s="50">
        <f>VLOOKUP($A246,'[1]ma sp 02'!$A$5:$BD$1101,N$1,0)</f>
        <v>0</v>
      </c>
      <c r="O246" s="50">
        <f>VLOOKUP($A246,'[1]ma sp 02'!$A$5:$BD$1101,O$1,0)</f>
        <v>0.9</v>
      </c>
      <c r="P246" s="50">
        <f>VLOOKUP($A246,'[1]ma sp 02'!$A$5:$BD$1101,P$1,0)</f>
        <v>0</v>
      </c>
      <c r="Q246" s="50">
        <f>VLOOKUP($A246,'[1]ma sp 02'!$A$5:$BD$1101,Q$1,0)</f>
        <v>0</v>
      </c>
      <c r="R246" s="50">
        <f>VLOOKUP($A246,'[1]ma sp 02'!$A$5:$BD$1101,R$1,0)</f>
        <v>0</v>
      </c>
      <c r="S246" s="50">
        <f>VLOOKUP($A246,'[1]ma sp 02'!$A$5:$BD$1101,S$1,0)</f>
        <v>0</v>
      </c>
      <c r="T246" s="50">
        <f>VLOOKUP($A246,'[1]ma sp 02'!$A$5:$BD$1101,T$1,0)</f>
        <v>0.3</v>
      </c>
      <c r="U246" s="50">
        <f>VLOOKUP($A246,'[1]ma sp 02'!$A$5:$BD$1101,U$1,0)</f>
        <v>0</v>
      </c>
      <c r="V246" s="50">
        <f>VLOOKUP($A246,'[1]ma sp 02'!$A$5:$BD$1101,V$1,0)</f>
        <v>0</v>
      </c>
      <c r="W246" s="50">
        <f>VLOOKUP($A246,'[1]ma sp 02'!$A$5:$BD$1101,W$1,0)</f>
        <v>0</v>
      </c>
      <c r="X246" s="50">
        <f t="shared" si="6"/>
        <v>8</v>
      </c>
      <c r="Y246" s="57"/>
      <c r="Z246" s="57"/>
      <c r="AA246" s="57"/>
      <c r="AB246" s="57"/>
      <c r="AC246" s="57"/>
      <c r="AD246" s="57"/>
      <c r="AE246" s="58" t="s">
        <v>878</v>
      </c>
      <c r="AF246" s="57"/>
      <c r="AG246" s="71">
        <f>(0.015*1.15+0.085*0.925)*0.58</f>
        <v>5.5607500000000004E-2</v>
      </c>
      <c r="AH246" s="63">
        <f>(2.5/0.75/2)*0.57</f>
        <v>0.95</v>
      </c>
      <c r="AI246" s="57"/>
      <c r="AJ246" s="58">
        <v>9530</v>
      </c>
      <c r="AK246" s="57"/>
      <c r="AL246" s="58">
        <v>4.0000000000000001E-3</v>
      </c>
      <c r="AM246" s="52" t="s">
        <v>74</v>
      </c>
      <c r="AN246" s="57">
        <v>410</v>
      </c>
      <c r="AO246" s="52" t="s">
        <v>527</v>
      </c>
      <c r="AP246" s="59" t="str">
        <f>IFERROR(VLOOKUP($A246,[2]Mssp!$A$5:$BE$1463,AP$4+1,0),0)</f>
        <v>1612350-1</v>
      </c>
      <c r="AQ246" s="59" t="str">
        <f>IFERROR(VLOOKUP($A246,[2]Mssp!$A$5:$BE$1463,AQ$4+1,0),0)</f>
        <v>1612350-2</v>
      </c>
      <c r="AR246" s="59" t="str">
        <f>IFERROR(VLOOKUP($A246,[2]Mssp!$A$5:$BE$1463,AR$4+1,0),0)</f>
        <v>1612350-3</v>
      </c>
      <c r="AS246" s="59" t="str">
        <f>IFERROR(VLOOKUP($A246,[2]Mssp!$A$5:$BE$1463,AS$4+1,0),0)</f>
        <v>1612350-4</v>
      </c>
      <c r="AT246" s="59" t="str">
        <f>IFERROR(VLOOKUP($A246,[2]Mssp!$A$5:$BE$1463,AT$4+1,0),0)</f>
        <v>1612350-5</v>
      </c>
      <c r="AU246" s="59" t="str">
        <f>IFERROR(VLOOKUP($A246,[2]Mssp!$A$5:$BE$1463,AU$4+1,0),0)</f>
        <v>1704432-6</v>
      </c>
      <c r="AV246" s="59" t="str">
        <f>IFERROR(VLOOKUP($A246,[2]Mssp!$A$5:$BE$1463,AV$4+1,0),0)</f>
        <v>1612350-7</v>
      </c>
      <c r="AW246" s="59">
        <f>IFERROR(VLOOKUP($A246,[2]Mssp!$A$5:$BE$1463,AW$4+1,0),0)</f>
        <v>0</v>
      </c>
      <c r="AX246" s="59">
        <f>IFERROR(VLOOKUP($A246,[2]Mssp!$A$5:$BE$1463,AX$4+1,0),0)</f>
        <v>0</v>
      </c>
      <c r="AY246" s="59" t="str">
        <f>IFERROR(VLOOKUP($A246,[2]Mssp!$A$5:$BE$1463,AY$4+2,0),0)</f>
        <v>410x750</v>
      </c>
      <c r="AZ246" s="59" t="str">
        <f>IFERROR(VLOOKUP($A246,[2]Mssp!$A$5:$BE$1463,AZ$4+2,0),0)</f>
        <v>J1</v>
      </c>
      <c r="BA246" s="60"/>
      <c r="BB246" s="61" t="s">
        <v>251</v>
      </c>
      <c r="BC246" s="62"/>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9"/>
      <c r="CK246" s="9"/>
      <c r="CL246" s="9"/>
      <c r="CM246" s="9"/>
      <c r="CN246" s="9"/>
      <c r="CO246" s="9"/>
      <c r="CP246" s="9"/>
    </row>
    <row r="247" spans="1:94" ht="45" x14ac:dyDescent="0.25">
      <c r="A247" s="50" t="s">
        <v>879</v>
      </c>
      <c r="B247" s="73" t="s">
        <v>880</v>
      </c>
      <c r="C247" s="50">
        <f t="shared" si="7"/>
        <v>3.5000000000000004</v>
      </c>
      <c r="D247" s="58">
        <v>3</v>
      </c>
      <c r="E247" s="58" t="s">
        <v>351</v>
      </c>
      <c r="F247" s="58">
        <v>6</v>
      </c>
      <c r="G247" s="50" t="s">
        <v>114</v>
      </c>
      <c r="H247" s="50">
        <f>VLOOKUP($A247,'[1]ma sp 02'!$A$5:$BD$1101,H$1,0)</f>
        <v>0.1</v>
      </c>
      <c r="I247" s="50">
        <f>VLOOKUP($A247,'[1]ma sp 02'!$A$5:$BD$1101,I$1,0)</f>
        <v>2.1</v>
      </c>
      <c r="J247" s="50">
        <f>VLOOKUP($A247,'[1]ma sp 02'!$A$5:$BD$1101,J$1,0)</f>
        <v>0.2</v>
      </c>
      <c r="K247" s="50">
        <f>VLOOKUP($A247,'[1]ma sp 02'!$A$5:$BD$1101,K$1,0)</f>
        <v>0</v>
      </c>
      <c r="L247" s="50">
        <f>VLOOKUP($A247,'[1]ma sp 02'!$A$5:$BD$1101,L$1,0)</f>
        <v>0.5</v>
      </c>
      <c r="M247" s="50">
        <f>VLOOKUP($A247,'[1]ma sp 02'!$A$5:$BD$1101,M$1,0)</f>
        <v>0.4</v>
      </c>
      <c r="N247" s="50">
        <f>VLOOKUP($A247,'[1]ma sp 02'!$A$5:$BD$1101,N$1,0)</f>
        <v>0</v>
      </c>
      <c r="O247" s="50">
        <f>VLOOKUP($A247,'[1]ma sp 02'!$A$5:$BD$1101,O$1,0)</f>
        <v>0</v>
      </c>
      <c r="P247" s="50">
        <f>VLOOKUP($A247,'[1]ma sp 02'!$A$5:$BD$1101,P$1,0)</f>
        <v>0.1</v>
      </c>
      <c r="Q247" s="50">
        <f>VLOOKUP($A247,'[1]ma sp 02'!$A$5:$BD$1101,Q$1,0)</f>
        <v>0</v>
      </c>
      <c r="R247" s="50">
        <f>VLOOKUP($A247,'[1]ma sp 02'!$A$5:$BD$1101,R$1,0)</f>
        <v>0.1</v>
      </c>
      <c r="S247" s="50">
        <f>VLOOKUP($A247,'[1]ma sp 02'!$A$5:$BD$1101,S$1,0)</f>
        <v>0</v>
      </c>
      <c r="T247" s="50">
        <f>VLOOKUP($A247,'[1]ma sp 02'!$A$5:$BD$1101,T$1,0)</f>
        <v>0</v>
      </c>
      <c r="U247" s="50">
        <f>VLOOKUP($A247,'[1]ma sp 02'!$A$5:$BD$1101,U$1,0)</f>
        <v>0</v>
      </c>
      <c r="V247" s="50">
        <f>VLOOKUP($A247,'[1]ma sp 02'!$A$5:$BD$1101,V$1,0)</f>
        <v>0</v>
      </c>
      <c r="W247" s="50">
        <f>VLOOKUP($A247,'[1]ma sp 02'!$A$5:$BD$1101,W$1,0)</f>
        <v>0</v>
      </c>
      <c r="X247" s="50">
        <f t="shared" si="6"/>
        <v>7</v>
      </c>
      <c r="Y247" s="57"/>
      <c r="Z247" s="57"/>
      <c r="AA247" s="57"/>
      <c r="AB247" s="57"/>
      <c r="AC247" s="57"/>
      <c r="AD247" s="57"/>
      <c r="AE247" s="58" t="s">
        <v>499</v>
      </c>
      <c r="AF247" s="58" t="s">
        <v>881</v>
      </c>
      <c r="AG247" s="71">
        <f>(0.012*1.4+0.012*2.71+0.075*0.925)*0.8</f>
        <v>9.4956000000000013E-2</v>
      </c>
      <c r="AH247" s="63">
        <f>(2.3/0.75/2)*0.79</f>
        <v>1.2113333333333334</v>
      </c>
      <c r="AI247" s="63">
        <f>(2.3/0.75/2)*0.79</f>
        <v>1.2113333333333334</v>
      </c>
      <c r="AJ247" s="58">
        <v>9530</v>
      </c>
      <c r="AK247" s="58">
        <v>9530</v>
      </c>
      <c r="AL247" s="58" t="s">
        <v>354</v>
      </c>
      <c r="AM247" s="52" t="s">
        <v>611</v>
      </c>
      <c r="AN247" s="57">
        <v>260</v>
      </c>
      <c r="AO247" s="52" t="s">
        <v>612</v>
      </c>
      <c r="AP247" s="59" t="str">
        <f>IFERROR(VLOOKUP($A247,[2]Mssp!$A$5:$BE$1463,AP$4+1,0),0)</f>
        <v>F116232-1</v>
      </c>
      <c r="AQ247" s="59" t="str">
        <f>IFERROR(VLOOKUP($A247,[2]Mssp!$A$5:$BE$1463,AQ$4+1,0),0)</f>
        <v>F116232-2</v>
      </c>
      <c r="AR247" s="59" t="str">
        <f>IFERROR(VLOOKUP($A247,[2]Mssp!$A$5:$BE$1463,AR$4+1,0),0)</f>
        <v>F116232-3</v>
      </c>
      <c r="AS247" s="59" t="str">
        <f>IFERROR(VLOOKUP($A247,[2]Mssp!$A$5:$BE$1463,AS$4+1,0),0)</f>
        <v>F116232-4</v>
      </c>
      <c r="AT247" s="59" t="str">
        <f>IFERROR(VLOOKUP($A247,[2]Mssp!$A$5:$BE$1463,AT$4+1,0),0)</f>
        <v>F116232-5</v>
      </c>
      <c r="AU247" s="59" t="str">
        <f>IFERROR(VLOOKUP($A247,[2]Mssp!$A$5:$BE$1463,AU$4+1,0),0)</f>
        <v>F116232-6</v>
      </c>
      <c r="AV247" s="59" t="str">
        <f>IFERROR(VLOOKUP($A247,[2]Mssp!$A$5:$BE$1463,AV$4+1,0),0)</f>
        <v>F116232-7</v>
      </c>
      <c r="AW247" s="59">
        <f>IFERROR(VLOOKUP($A247,[2]Mssp!$A$5:$BE$1463,AW$4+1,0),0)</f>
        <v>0</v>
      </c>
      <c r="AX247" s="59">
        <f>IFERROR(VLOOKUP($A247,[2]Mssp!$A$5:$BE$1463,AX$4+1,0),0)</f>
        <v>0</v>
      </c>
      <c r="AY247" s="59" t="str">
        <f>IFERROR(VLOOKUP($A247,[2]Mssp!$A$5:$BE$1463,AY$4+2,0),0)</f>
        <v>450x850</v>
      </c>
      <c r="AZ247" s="59" t="str">
        <f>IFERROR(VLOOKUP($A247,[2]Mssp!$A$5:$BE$1463,AZ$4+2,0),0)</f>
        <v>D2</v>
      </c>
      <c r="BA247" s="60"/>
      <c r="BB247" s="61" t="s">
        <v>107</v>
      </c>
      <c r="BC247" s="62"/>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c r="CO247" s="9"/>
      <c r="CP247" s="9"/>
    </row>
    <row r="248" spans="1:94" ht="45" x14ac:dyDescent="0.25">
      <c r="A248" s="50" t="s">
        <v>882</v>
      </c>
      <c r="B248" s="73" t="s">
        <v>883</v>
      </c>
      <c r="C248" s="50">
        <f t="shared" si="7"/>
        <v>0</v>
      </c>
      <c r="D248" s="58">
        <v>3</v>
      </c>
      <c r="E248" s="58" t="s">
        <v>113</v>
      </c>
      <c r="F248" s="58">
        <v>0</v>
      </c>
      <c r="G248" s="50" t="s">
        <v>114</v>
      </c>
      <c r="H248" s="50">
        <f>VLOOKUP($A248,'[1]ma sp 02'!$A$5:$BD$1101,H$1,0)</f>
        <v>0</v>
      </c>
      <c r="I248" s="50">
        <f>VLOOKUP($A248,'[1]ma sp 02'!$A$5:$BD$1101,I$1,0)</f>
        <v>0</v>
      </c>
      <c r="J248" s="50">
        <f>VLOOKUP($A248,'[1]ma sp 02'!$A$5:$BD$1101,J$1,0)</f>
        <v>0</v>
      </c>
      <c r="K248" s="50">
        <f>VLOOKUP($A248,'[1]ma sp 02'!$A$5:$BD$1101,K$1,0)</f>
        <v>0</v>
      </c>
      <c r="L248" s="50">
        <f>VLOOKUP($A248,'[1]ma sp 02'!$A$5:$BD$1101,L$1,0)</f>
        <v>0</v>
      </c>
      <c r="M248" s="50">
        <f>VLOOKUP($A248,'[1]ma sp 02'!$A$5:$BD$1101,M$1,0)</f>
        <v>0</v>
      </c>
      <c r="N248" s="50">
        <f>VLOOKUP($A248,'[1]ma sp 02'!$A$5:$BD$1101,N$1,0)</f>
        <v>0</v>
      </c>
      <c r="O248" s="50">
        <f>VLOOKUP($A248,'[1]ma sp 02'!$A$5:$BD$1101,O$1,0)</f>
        <v>0</v>
      </c>
      <c r="P248" s="50">
        <f>VLOOKUP($A248,'[1]ma sp 02'!$A$5:$BD$1101,P$1,0)</f>
        <v>0</v>
      </c>
      <c r="Q248" s="50">
        <f>VLOOKUP($A248,'[1]ma sp 02'!$A$5:$BD$1101,Q$1,0)</f>
        <v>0</v>
      </c>
      <c r="R248" s="50">
        <f>VLOOKUP($A248,'[1]ma sp 02'!$A$5:$BD$1101,R$1,0)</f>
        <v>0</v>
      </c>
      <c r="S248" s="50">
        <f>VLOOKUP($A248,'[1]ma sp 02'!$A$5:$BD$1101,S$1,0)</f>
        <v>0</v>
      </c>
      <c r="T248" s="50">
        <f>VLOOKUP($A248,'[1]ma sp 02'!$A$5:$BD$1101,T$1,0)</f>
        <v>0</v>
      </c>
      <c r="U248" s="50">
        <f>VLOOKUP($A248,'[1]ma sp 02'!$A$5:$BD$1101,U$1,0)</f>
        <v>0</v>
      </c>
      <c r="V248" s="50">
        <f>VLOOKUP($A248,'[1]ma sp 02'!$A$5:$BD$1101,V$1,0)</f>
        <v>0</v>
      </c>
      <c r="W248" s="50">
        <f>VLOOKUP($A248,'[1]ma sp 02'!$A$5:$BD$1101,W$1,0)</f>
        <v>0</v>
      </c>
      <c r="X248" s="50">
        <f t="shared" si="6"/>
        <v>0</v>
      </c>
      <c r="Y248" s="57"/>
      <c r="Z248" s="57"/>
      <c r="AA248" s="57"/>
      <c r="AB248" s="57"/>
      <c r="AC248" s="57"/>
      <c r="AD248" s="57"/>
      <c r="AE248" s="58" t="s">
        <v>628</v>
      </c>
      <c r="AF248" s="58" t="s">
        <v>838</v>
      </c>
      <c r="AG248" s="71">
        <f>(0.012*1.4+0.006*2.71+0.075*0.925)*0.74</f>
        <v>7.5801899999999992E-2</v>
      </c>
      <c r="AH248" s="63">
        <f>(1.8/0.75/2)*0.73</f>
        <v>0.876</v>
      </c>
      <c r="AI248" s="63">
        <f>(3.3/0.75/2)*0.73</f>
        <v>1.6059999999999999</v>
      </c>
      <c r="AJ248" s="58">
        <v>9530</v>
      </c>
      <c r="AK248" s="58">
        <v>9530</v>
      </c>
      <c r="AL248" s="58" t="s">
        <v>884</v>
      </c>
      <c r="AM248" s="52" t="s">
        <v>74</v>
      </c>
      <c r="AN248" s="57">
        <v>170</v>
      </c>
      <c r="AO248" s="52" t="s">
        <v>612</v>
      </c>
      <c r="AP248" s="59">
        <f>IFERROR(VLOOKUP($A248,[2]Mssp!$A$5:$BE$1463,AP$4+1,0),0)</f>
        <v>0</v>
      </c>
      <c r="AQ248" s="59">
        <f>IFERROR(VLOOKUP($A248,[2]Mssp!$A$5:$BE$1463,AQ$4+1,0),0)</f>
        <v>0</v>
      </c>
      <c r="AR248" s="59">
        <f>IFERROR(VLOOKUP($A248,[2]Mssp!$A$5:$BE$1463,AR$4+1,0),0)</f>
        <v>0</v>
      </c>
      <c r="AS248" s="59">
        <f>IFERROR(VLOOKUP($A248,[2]Mssp!$A$5:$BE$1463,AS$4+1,0),0)</f>
        <v>0</v>
      </c>
      <c r="AT248" s="59">
        <f>IFERROR(VLOOKUP($A248,[2]Mssp!$A$5:$BE$1463,AT$4+1,0),0)</f>
        <v>0</v>
      </c>
      <c r="AU248" s="59">
        <f>IFERROR(VLOOKUP($A248,[2]Mssp!$A$5:$BE$1463,AU$4+1,0),0)</f>
        <v>0</v>
      </c>
      <c r="AV248" s="59">
        <f>IFERROR(VLOOKUP($A248,[2]Mssp!$A$5:$BE$1463,AV$4+1,0),0)</f>
        <v>0</v>
      </c>
      <c r="AW248" s="59">
        <f>IFERROR(VLOOKUP($A248,[2]Mssp!$A$5:$BE$1463,AW$4+1,0),0)</f>
        <v>0</v>
      </c>
      <c r="AX248" s="59">
        <f>IFERROR(VLOOKUP($A248,[2]Mssp!$A$5:$BE$1463,AX$4+1,0),0)</f>
        <v>0</v>
      </c>
      <c r="AY248" s="59">
        <f>IFERROR(VLOOKUP($A248,[2]Mssp!$A$5:$BE$1463,AY$4+2,0),0)</f>
        <v>0</v>
      </c>
      <c r="AZ248" s="59">
        <f>IFERROR(VLOOKUP($A248,[2]Mssp!$A$5:$BE$1463,AZ$4+2,0),0)</f>
        <v>0</v>
      </c>
      <c r="BA248" s="60"/>
      <c r="BB248" s="61" t="s">
        <v>62</v>
      </c>
      <c r="BC248" s="62"/>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9"/>
      <c r="CK248" s="9"/>
      <c r="CL248" s="9"/>
      <c r="CM248" s="9"/>
      <c r="CN248" s="9"/>
      <c r="CO248" s="9"/>
      <c r="CP248" s="9"/>
    </row>
    <row r="249" spans="1:94" ht="45" x14ac:dyDescent="0.25">
      <c r="A249" s="50" t="s">
        <v>885</v>
      </c>
      <c r="B249" s="73" t="s">
        <v>886</v>
      </c>
      <c r="C249" s="50">
        <f t="shared" si="7"/>
        <v>6.4090000000000007</v>
      </c>
      <c r="D249" s="58">
        <v>2</v>
      </c>
      <c r="E249" s="58" t="s">
        <v>887</v>
      </c>
      <c r="F249" s="58">
        <v>6</v>
      </c>
      <c r="G249" s="50" t="s">
        <v>114</v>
      </c>
      <c r="H249" s="50">
        <f>VLOOKUP($A249,'[1]ma sp 02'!$A$5:$BD$1101,H$1,0)</f>
        <v>0.16</v>
      </c>
      <c r="I249" s="50">
        <f>VLOOKUP($A249,'[1]ma sp 02'!$A$5:$BD$1101,I$1,0)</f>
        <v>3.31</v>
      </c>
      <c r="J249" s="50">
        <f>VLOOKUP($A249,'[1]ma sp 02'!$A$5:$BD$1101,J$1,0)</f>
        <v>0.63</v>
      </c>
      <c r="K249" s="50">
        <f>VLOOKUP($A249,'[1]ma sp 02'!$A$5:$BD$1101,K$1,0)</f>
        <v>0.09</v>
      </c>
      <c r="L249" s="50">
        <f>VLOOKUP($A249,'[1]ma sp 02'!$A$5:$BD$1101,L$1,0)</f>
        <v>0.61</v>
      </c>
      <c r="M249" s="50">
        <f>VLOOKUP($A249,'[1]ma sp 02'!$A$5:$BD$1101,M$1,0)</f>
        <v>0.83899999999999997</v>
      </c>
      <c r="N249" s="50">
        <f>VLOOKUP($A249,'[1]ma sp 02'!$A$5:$BD$1101,N$1,0)</f>
        <v>0</v>
      </c>
      <c r="O249" s="50">
        <f>VLOOKUP($A249,'[1]ma sp 02'!$A$5:$BD$1101,O$1,0)</f>
        <v>0.77</v>
      </c>
      <c r="P249" s="50">
        <f>VLOOKUP($A249,'[1]ma sp 02'!$A$5:$BD$1101,P$1,0)</f>
        <v>0</v>
      </c>
      <c r="Q249" s="50">
        <f>VLOOKUP($A249,'[1]ma sp 02'!$A$5:$BD$1101,Q$1,0)</f>
        <v>0</v>
      </c>
      <c r="R249" s="50">
        <f>VLOOKUP($A249,'[1]ma sp 02'!$A$5:$BD$1101,R$1,0)</f>
        <v>0</v>
      </c>
      <c r="S249" s="50">
        <f>VLOOKUP($A249,'[1]ma sp 02'!$A$5:$BD$1101,S$1,0)</f>
        <v>0</v>
      </c>
      <c r="T249" s="50">
        <f>VLOOKUP($A249,'[1]ma sp 02'!$A$5:$BD$1101,T$1,0)</f>
        <v>0</v>
      </c>
      <c r="U249" s="50">
        <f>VLOOKUP($A249,'[1]ma sp 02'!$A$5:$BD$1101,U$1,0)</f>
        <v>0</v>
      </c>
      <c r="V249" s="50">
        <f>VLOOKUP($A249,'[1]ma sp 02'!$A$5:$BD$1101,V$1,0)</f>
        <v>0</v>
      </c>
      <c r="W249" s="50">
        <f>VLOOKUP($A249,'[1]ma sp 02'!$A$5:$BD$1101,W$1,0)</f>
        <v>0</v>
      </c>
      <c r="X249" s="50">
        <f t="shared" si="6"/>
        <v>7</v>
      </c>
      <c r="Y249" s="57"/>
      <c r="Z249" s="57"/>
      <c r="AA249" s="57"/>
      <c r="AB249" s="57"/>
      <c r="AC249" s="57"/>
      <c r="AD249" s="57"/>
      <c r="AE249" s="58" t="s">
        <v>888</v>
      </c>
      <c r="AF249" s="58" t="s">
        <v>889</v>
      </c>
      <c r="AG249" s="71">
        <f>(0.012*1.4+0.006*2.71+0.075*0.925)*0.6</f>
        <v>6.1460999999999995E-2</v>
      </c>
      <c r="AH249" s="63">
        <f>(2.3/0.75/2)*0.59</f>
        <v>0.90466666666666651</v>
      </c>
      <c r="AI249" s="63">
        <f>(3/0.75/2)*0.59</f>
        <v>1.18</v>
      </c>
      <c r="AJ249" s="58">
        <v>9530</v>
      </c>
      <c r="AK249" s="58">
        <v>9530</v>
      </c>
      <c r="AL249" s="58" t="s">
        <v>354</v>
      </c>
      <c r="AM249" s="52" t="s">
        <v>611</v>
      </c>
      <c r="AN249" s="57">
        <v>290</v>
      </c>
      <c r="AO249" s="52" t="s">
        <v>612</v>
      </c>
      <c r="AP249" s="59" t="str">
        <f>IFERROR(VLOOKUP($A249,[2]Mssp!$A$5:$BE$1463,AP$4+1,0),0)</f>
        <v>F116420G1-1</v>
      </c>
      <c r="AQ249" s="59" t="str">
        <f>IFERROR(VLOOKUP($A249,[2]Mssp!$A$5:$BE$1463,AQ$4+1,0),0)</f>
        <v>F116420-2</v>
      </c>
      <c r="AR249" s="59" t="str">
        <f>IFERROR(VLOOKUP($A249,[2]Mssp!$A$5:$BE$1463,AR$4+1,0),0)</f>
        <v>F116420-3</v>
      </c>
      <c r="AS249" s="59" t="str">
        <f>IFERROR(VLOOKUP($A249,[2]Mssp!$A$5:$BE$1463,AS$4+1,0),0)</f>
        <v>F116420-4</v>
      </c>
      <c r="AT249" s="59" t="str">
        <f>IFERROR(VLOOKUP($A249,[2]Mssp!$A$5:$BE$1463,AT$4+1,0),0)</f>
        <v>F116420-5</v>
      </c>
      <c r="AU249" s="59" t="str">
        <f>IFERROR(VLOOKUP($A249,[2]Mssp!$A$5:$BE$1463,AU$4+1,0),0)</f>
        <v>F116420-6</v>
      </c>
      <c r="AV249" s="59">
        <f>IFERROR(VLOOKUP($A249,[2]Mssp!$A$5:$BE$1463,AV$4+1,0),0)</f>
        <v>0</v>
      </c>
      <c r="AW249" s="59">
        <f>IFERROR(VLOOKUP($A249,[2]Mssp!$A$5:$BE$1463,AW$4+1,0),0)</f>
        <v>0</v>
      </c>
      <c r="AX249" s="59">
        <f>IFERROR(VLOOKUP($A249,[2]Mssp!$A$5:$BE$1463,AX$4+1,0),0)</f>
        <v>0</v>
      </c>
      <c r="AY249" s="59" t="str">
        <f>IFERROR(VLOOKUP($A249,[2]Mssp!$A$5:$BE$1463,AY$4+2,0),0)</f>
        <v>450x750</v>
      </c>
      <c r="AZ249" s="59" t="str">
        <f>IFERROR(VLOOKUP($A249,[2]Mssp!$A$5:$BE$1463,AZ$4+2,0),0)</f>
        <v>D2</v>
      </c>
      <c r="BA249" s="60"/>
      <c r="BB249" s="61" t="s">
        <v>107</v>
      </c>
      <c r="BC249" s="62"/>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row>
    <row r="250" spans="1:94" ht="45" x14ac:dyDescent="0.25">
      <c r="A250" s="50" t="s">
        <v>890</v>
      </c>
      <c r="B250" s="73" t="s">
        <v>891</v>
      </c>
      <c r="C250" s="50">
        <f t="shared" si="7"/>
        <v>6</v>
      </c>
      <c r="D250" s="58">
        <v>2</v>
      </c>
      <c r="E250" s="58" t="s">
        <v>887</v>
      </c>
      <c r="F250" s="58">
        <v>6</v>
      </c>
      <c r="G250" s="50" t="s">
        <v>114</v>
      </c>
      <c r="H250" s="50">
        <f>VLOOKUP($A250,'[1]ma sp 02'!$A$5:$BD$1101,H$1,0)</f>
        <v>0.1</v>
      </c>
      <c r="I250" s="50">
        <f>VLOOKUP($A250,'[1]ma sp 02'!$A$5:$BD$1101,I$1,0)</f>
        <v>3.8</v>
      </c>
      <c r="J250" s="50">
        <f>VLOOKUP($A250,'[1]ma sp 02'!$A$5:$BD$1101,J$1,0)</f>
        <v>0.1</v>
      </c>
      <c r="K250" s="50">
        <f>VLOOKUP($A250,'[1]ma sp 02'!$A$5:$BD$1101,K$1,0)</f>
        <v>1.9</v>
      </c>
      <c r="L250" s="50">
        <f>VLOOKUP($A250,'[1]ma sp 02'!$A$5:$BD$1101,L$1,0)</f>
        <v>0.1</v>
      </c>
      <c r="M250" s="50">
        <f>VLOOKUP($A250,'[1]ma sp 02'!$A$5:$BD$1101,M$1,0)</f>
        <v>0</v>
      </c>
      <c r="N250" s="50">
        <f>VLOOKUP($A250,'[1]ma sp 02'!$A$5:$BD$1101,N$1,0)</f>
        <v>0</v>
      </c>
      <c r="O250" s="50">
        <f>VLOOKUP($A250,'[1]ma sp 02'!$A$5:$BD$1101,O$1,0)</f>
        <v>0</v>
      </c>
      <c r="P250" s="50">
        <f>VLOOKUP($A250,'[1]ma sp 02'!$A$5:$BD$1101,P$1,0)</f>
        <v>0</v>
      </c>
      <c r="Q250" s="50">
        <f>VLOOKUP($A250,'[1]ma sp 02'!$A$5:$BD$1101,Q$1,0)</f>
        <v>0</v>
      </c>
      <c r="R250" s="50">
        <f>VLOOKUP($A250,'[1]ma sp 02'!$A$5:$BD$1101,R$1,0)</f>
        <v>0</v>
      </c>
      <c r="S250" s="50">
        <f>VLOOKUP($A250,'[1]ma sp 02'!$A$5:$BD$1101,S$1,0)</f>
        <v>0</v>
      </c>
      <c r="T250" s="50">
        <f>VLOOKUP($A250,'[1]ma sp 02'!$A$5:$BD$1101,T$1,0)</f>
        <v>0</v>
      </c>
      <c r="U250" s="50">
        <f>VLOOKUP($A250,'[1]ma sp 02'!$A$5:$BD$1101,U$1,0)</f>
        <v>0</v>
      </c>
      <c r="V250" s="50">
        <f>VLOOKUP($A250,'[1]ma sp 02'!$A$5:$BD$1101,V$1,0)</f>
        <v>0</v>
      </c>
      <c r="W250" s="50">
        <f>VLOOKUP($A250,'[1]ma sp 02'!$A$5:$BD$1101,W$1,0)</f>
        <v>0</v>
      </c>
      <c r="X250" s="50">
        <f t="shared" si="6"/>
        <v>5</v>
      </c>
      <c r="Y250" s="57"/>
      <c r="Z250" s="57"/>
      <c r="AA250" s="57"/>
      <c r="AB250" s="57"/>
      <c r="AC250" s="57"/>
      <c r="AD250" s="57"/>
      <c r="AE250" s="58" t="s">
        <v>888</v>
      </c>
      <c r="AF250" s="58" t="s">
        <v>889</v>
      </c>
      <c r="AG250" s="71">
        <f>(0.012*1.4+0.006*2.71+0.075*0.925)*0.6</f>
        <v>6.1460999999999995E-2</v>
      </c>
      <c r="AH250" s="63">
        <f>(2.3/0.75/2)*0.59</f>
        <v>0.90466666666666651</v>
      </c>
      <c r="AI250" s="63">
        <f>(3/0.75/2)*0.59</f>
        <v>1.18</v>
      </c>
      <c r="AJ250" s="58">
        <v>9530</v>
      </c>
      <c r="AK250" s="58">
        <v>9530</v>
      </c>
      <c r="AL250" s="58" t="s">
        <v>354</v>
      </c>
      <c r="AM250" s="52" t="s">
        <v>611</v>
      </c>
      <c r="AN250" s="57">
        <v>290</v>
      </c>
      <c r="AO250" s="52" t="s">
        <v>612</v>
      </c>
      <c r="AP250" s="59" t="str">
        <f>IFERROR(VLOOKUP($A250,[2]Mssp!$A$5:$BE$1463,AP$4+1,0),0)</f>
        <v>F116421-1</v>
      </c>
      <c r="AQ250" s="59" t="str">
        <f>IFERROR(VLOOKUP($A250,[2]Mssp!$A$5:$BE$1463,AQ$4+1,0),0)</f>
        <v>F116421-2</v>
      </c>
      <c r="AR250" s="59" t="str">
        <f>IFERROR(VLOOKUP($A250,[2]Mssp!$A$5:$BE$1463,AR$4+1,0),0)</f>
        <v>F116421-3</v>
      </c>
      <c r="AS250" s="59" t="str">
        <f>IFERROR(VLOOKUP($A250,[2]Mssp!$A$5:$BE$1463,AS$4+1,0),0)</f>
        <v>F116421-4</v>
      </c>
      <c r="AT250" s="59" t="str">
        <f>IFERROR(VLOOKUP($A250,[2]Mssp!$A$5:$BE$1463,AT$4+1,0),0)</f>
        <v>F116421-5</v>
      </c>
      <c r="AU250" s="59">
        <f>IFERROR(VLOOKUP($A250,[2]Mssp!$A$5:$BE$1463,AU$4+1,0),0)</f>
        <v>0</v>
      </c>
      <c r="AV250" s="59">
        <f>IFERROR(VLOOKUP($A250,[2]Mssp!$A$5:$BE$1463,AV$4+1,0),0)</f>
        <v>0</v>
      </c>
      <c r="AW250" s="59">
        <f>IFERROR(VLOOKUP($A250,[2]Mssp!$A$5:$BE$1463,AW$4+1,0),0)</f>
        <v>0</v>
      </c>
      <c r="AX250" s="59">
        <f>IFERROR(VLOOKUP($A250,[2]Mssp!$A$5:$BE$1463,AX$4+1,0),0)</f>
        <v>0</v>
      </c>
      <c r="AY250" s="59" t="str">
        <f>IFERROR(VLOOKUP($A250,[2]Mssp!$A$5:$BE$1463,AY$4+2,0),0)</f>
        <v>450x750</v>
      </c>
      <c r="AZ250" s="59" t="str">
        <f>IFERROR(VLOOKUP($A250,[2]Mssp!$A$5:$BE$1463,AZ$4+2,0),0)</f>
        <v>D2</v>
      </c>
      <c r="BA250" s="60"/>
      <c r="BB250" s="61" t="s">
        <v>107</v>
      </c>
      <c r="BC250" s="62"/>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row>
    <row r="251" spans="1:94" ht="45" x14ac:dyDescent="0.25">
      <c r="A251" s="50" t="s">
        <v>892</v>
      </c>
      <c r="B251" s="73" t="s">
        <v>893</v>
      </c>
      <c r="C251" s="50">
        <f t="shared" si="7"/>
        <v>3.9000000000000004</v>
      </c>
      <c r="D251" s="58">
        <v>3</v>
      </c>
      <c r="E251" s="58" t="s">
        <v>437</v>
      </c>
      <c r="F251" s="58">
        <v>5</v>
      </c>
      <c r="G251" s="50" t="s">
        <v>114</v>
      </c>
      <c r="H251" s="50">
        <f>VLOOKUP($A251,'[1]ma sp 02'!$A$5:$BD$1101,H$1,0)</f>
        <v>0.1</v>
      </c>
      <c r="I251" s="50">
        <f>VLOOKUP($A251,'[1]ma sp 02'!$A$5:$BD$1101,I$1,0)</f>
        <v>2.2000000000000002</v>
      </c>
      <c r="J251" s="50">
        <f>VLOOKUP($A251,'[1]ma sp 02'!$A$5:$BD$1101,J$1,0)</f>
        <v>0.2</v>
      </c>
      <c r="K251" s="50">
        <f>VLOOKUP($A251,'[1]ma sp 02'!$A$5:$BD$1101,K$1,0)</f>
        <v>0.5</v>
      </c>
      <c r="L251" s="50">
        <f>VLOOKUP($A251,'[1]ma sp 02'!$A$5:$BD$1101,L$1,0)</f>
        <v>0.2</v>
      </c>
      <c r="M251" s="50">
        <f>VLOOKUP($A251,'[1]ma sp 02'!$A$5:$BD$1101,M$1,0)</f>
        <v>0.7</v>
      </c>
      <c r="N251" s="50">
        <f>VLOOKUP($A251,'[1]ma sp 02'!$A$5:$BD$1101,N$1,0)</f>
        <v>0</v>
      </c>
      <c r="O251" s="50">
        <f>VLOOKUP($A251,'[1]ma sp 02'!$A$5:$BD$1101,O$1,0)</f>
        <v>0</v>
      </c>
      <c r="P251" s="50">
        <f>VLOOKUP($A251,'[1]ma sp 02'!$A$5:$BD$1101,P$1,0)</f>
        <v>0</v>
      </c>
      <c r="Q251" s="50">
        <f>VLOOKUP($A251,'[1]ma sp 02'!$A$5:$BD$1101,Q$1,0)</f>
        <v>0</v>
      </c>
      <c r="R251" s="50">
        <f>VLOOKUP($A251,'[1]ma sp 02'!$A$5:$BD$1101,R$1,0)</f>
        <v>0</v>
      </c>
      <c r="S251" s="50">
        <f>VLOOKUP($A251,'[1]ma sp 02'!$A$5:$BD$1101,S$1,0)</f>
        <v>0</v>
      </c>
      <c r="T251" s="50">
        <f>VLOOKUP($A251,'[1]ma sp 02'!$A$5:$BD$1101,T$1,0)</f>
        <v>0</v>
      </c>
      <c r="U251" s="50">
        <f>VLOOKUP($A251,'[1]ma sp 02'!$A$5:$BD$1101,U$1,0)</f>
        <v>0</v>
      </c>
      <c r="V251" s="50">
        <f>VLOOKUP($A251,'[1]ma sp 02'!$A$5:$BD$1101,V$1,0)</f>
        <v>0</v>
      </c>
      <c r="W251" s="50">
        <f>VLOOKUP($A251,'[1]ma sp 02'!$A$5:$BD$1101,W$1,0)</f>
        <v>0</v>
      </c>
      <c r="X251" s="50">
        <f t="shared" si="6"/>
        <v>6</v>
      </c>
      <c r="Y251" s="57"/>
      <c r="Z251" s="57"/>
      <c r="AA251" s="57"/>
      <c r="AB251" s="57"/>
      <c r="AC251" s="57"/>
      <c r="AD251" s="57"/>
      <c r="AE251" s="58" t="s">
        <v>66</v>
      </c>
      <c r="AF251" s="58" t="s">
        <v>412</v>
      </c>
      <c r="AG251" s="71">
        <f>(0.012*1.4+0.012*1.4+0.075*0.925)*0.68</f>
        <v>7.0023000000000016E-2</v>
      </c>
      <c r="AH251" s="63">
        <f>(2.3/0.75/2)*0.67</f>
        <v>1.0273333333333332</v>
      </c>
      <c r="AI251" s="63">
        <f>(2.3/0.75/2)*0.67</f>
        <v>1.0273333333333332</v>
      </c>
      <c r="AJ251" s="58">
        <v>9530</v>
      </c>
      <c r="AK251" s="58">
        <v>9530</v>
      </c>
      <c r="AL251" s="58" t="s">
        <v>354</v>
      </c>
      <c r="AM251" s="52" t="s">
        <v>104</v>
      </c>
      <c r="AN251" s="57">
        <v>220</v>
      </c>
      <c r="AO251" s="52" t="s">
        <v>439</v>
      </c>
      <c r="AP251" s="59" t="str">
        <f>IFERROR(VLOOKUP($A251,[2]Mssp!$A$5:$BE$1463,AP$4+1,0),0)</f>
        <v>F416293-1</v>
      </c>
      <c r="AQ251" s="59" t="str">
        <f>IFERROR(VLOOKUP($A251,[2]Mssp!$A$5:$BE$1463,AQ$4+1,0),0)</f>
        <v>F416293-2</v>
      </c>
      <c r="AR251" s="59" t="str">
        <f>IFERROR(VLOOKUP($A251,[2]Mssp!$A$5:$BE$1463,AR$4+1,0),0)</f>
        <v>F416293-3</v>
      </c>
      <c r="AS251" s="59" t="str">
        <f>IFERROR(VLOOKUP($A251,[2]Mssp!$A$5:$BE$1463,AS$4+1,0),0)</f>
        <v>F416293-4</v>
      </c>
      <c r="AT251" s="59" t="str">
        <f>IFERROR(VLOOKUP($A251,[2]Mssp!$A$5:$BE$1463,AT$4+1,0),0)</f>
        <v>F416293-5</v>
      </c>
      <c r="AU251" s="59">
        <f>IFERROR(VLOOKUP($A251,[2]Mssp!$A$5:$BE$1463,AU$4+1,0),0)</f>
        <v>0</v>
      </c>
      <c r="AV251" s="59">
        <f>IFERROR(VLOOKUP($A251,[2]Mssp!$A$5:$BE$1463,AV$4+1,0),0)</f>
        <v>0</v>
      </c>
      <c r="AW251" s="59">
        <f>IFERROR(VLOOKUP($A251,[2]Mssp!$A$5:$BE$1463,AW$4+1,0),0)</f>
        <v>0</v>
      </c>
      <c r="AX251" s="59">
        <f>IFERROR(VLOOKUP($A251,[2]Mssp!$A$5:$BE$1463,AX$4+1,0),0)</f>
        <v>0</v>
      </c>
      <c r="AY251" s="59" t="str">
        <f>IFERROR(VLOOKUP($A251,[2]Mssp!$A$5:$BE$1463,AY$4+2,0),0)</f>
        <v xml:space="preserve"> 750x417</v>
      </c>
      <c r="AZ251" s="59" t="str">
        <f>IFERROR(VLOOKUP($A251,[2]Mssp!$A$5:$BE$1463,AZ$4+2,0),0)</f>
        <v>O1</v>
      </c>
      <c r="BA251" s="60" t="s">
        <v>144</v>
      </c>
      <c r="BB251" s="61" t="s">
        <v>107</v>
      </c>
      <c r="BC251" s="62"/>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row>
    <row r="252" spans="1:94" ht="45" x14ac:dyDescent="0.25">
      <c r="A252" s="50" t="s">
        <v>894</v>
      </c>
      <c r="B252" s="96" t="s">
        <v>895</v>
      </c>
      <c r="C252" s="50">
        <f t="shared" si="7"/>
        <v>6.8000000000000007</v>
      </c>
      <c r="D252" s="58">
        <v>3</v>
      </c>
      <c r="E252" s="58" t="s">
        <v>113</v>
      </c>
      <c r="F252" s="58">
        <v>6</v>
      </c>
      <c r="G252" s="50" t="s">
        <v>114</v>
      </c>
      <c r="H252" s="50">
        <f>VLOOKUP($A252,'[1]ma sp 02'!$A$5:$BD$1101,H$1,0)</f>
        <v>0.1</v>
      </c>
      <c r="I252" s="50">
        <f>VLOOKUP($A252,'[1]ma sp 02'!$A$5:$BD$1101,I$1,0)</f>
        <v>2.4</v>
      </c>
      <c r="J252" s="50">
        <f>VLOOKUP($A252,'[1]ma sp 02'!$A$5:$BD$1101,J$1,0)</f>
        <v>0.1</v>
      </c>
      <c r="K252" s="50">
        <f>VLOOKUP($A252,'[1]ma sp 02'!$A$5:$BD$1101,K$1,0)</f>
        <v>0.1</v>
      </c>
      <c r="L252" s="50">
        <f>VLOOKUP($A252,'[1]ma sp 02'!$A$5:$BD$1101,L$1,0)</f>
        <v>1.7</v>
      </c>
      <c r="M252" s="50">
        <f>VLOOKUP($A252,'[1]ma sp 02'!$A$5:$BD$1101,M$1,0)</f>
        <v>2</v>
      </c>
      <c r="N252" s="50">
        <f>VLOOKUP($A252,'[1]ma sp 02'!$A$5:$BD$1101,N$1,0)</f>
        <v>0</v>
      </c>
      <c r="O252" s="50">
        <f>VLOOKUP($A252,'[1]ma sp 02'!$A$5:$BD$1101,O$1,0)</f>
        <v>0</v>
      </c>
      <c r="P252" s="50">
        <f>VLOOKUP($A252,'[1]ma sp 02'!$A$5:$BD$1101,P$1,0)</f>
        <v>0.4</v>
      </c>
      <c r="Q252" s="50">
        <f>VLOOKUP($A252,'[1]ma sp 02'!$A$5:$BD$1101,Q$1,0)</f>
        <v>0</v>
      </c>
      <c r="R252" s="50">
        <f>VLOOKUP($A252,'[1]ma sp 02'!$A$5:$BD$1101,R$1,0)</f>
        <v>0</v>
      </c>
      <c r="S252" s="50">
        <f>VLOOKUP($A252,'[1]ma sp 02'!$A$5:$BD$1101,S$1,0)</f>
        <v>0</v>
      </c>
      <c r="T252" s="50">
        <f>VLOOKUP($A252,'[1]ma sp 02'!$A$5:$BD$1101,T$1,0)</f>
        <v>0</v>
      </c>
      <c r="U252" s="50">
        <f>VLOOKUP($A252,'[1]ma sp 02'!$A$5:$BD$1101,U$1,0)</f>
        <v>0</v>
      </c>
      <c r="V252" s="50">
        <f>VLOOKUP($A252,'[1]ma sp 02'!$A$5:$BD$1101,V$1,0)</f>
        <v>0</v>
      </c>
      <c r="W252" s="50">
        <f>VLOOKUP($A252,'[1]ma sp 02'!$A$5:$BD$1101,W$1,0)</f>
        <v>0</v>
      </c>
      <c r="X252" s="50">
        <f t="shared" si="6"/>
        <v>7</v>
      </c>
      <c r="Y252" s="57"/>
      <c r="Z252" s="57"/>
      <c r="AA252" s="57"/>
      <c r="AB252" s="57"/>
      <c r="AC252" s="57"/>
      <c r="AD252" s="57"/>
      <c r="AE252" s="58" t="s">
        <v>115</v>
      </c>
      <c r="AF252" s="58" t="s">
        <v>321</v>
      </c>
      <c r="AG252" s="71">
        <f>(0.012*1.4+0.012*1.4+0.075*0.925)*0.74</f>
        <v>7.6201500000000005E-2</v>
      </c>
      <c r="AH252" s="63">
        <f t="shared" ref="AH252:AI254" si="8">(2.3/0.75/2)*0.73</f>
        <v>1.1193333333333333</v>
      </c>
      <c r="AI252" s="63">
        <f t="shared" si="8"/>
        <v>1.1193333333333333</v>
      </c>
      <c r="AJ252" s="58">
        <v>9530</v>
      </c>
      <c r="AK252" s="58">
        <v>9530</v>
      </c>
      <c r="AL252" s="58" t="s">
        <v>354</v>
      </c>
      <c r="AM252" s="52" t="s">
        <v>104</v>
      </c>
      <c r="AN252" s="57">
        <v>240</v>
      </c>
      <c r="AO252" s="52" t="s">
        <v>439</v>
      </c>
      <c r="AP252" s="59" t="str">
        <f>IFERROR(VLOOKUP($A252,[2]Mssp!$A$5:$BE$1463,AP$4+1,0),0)</f>
        <v>1703542-1</v>
      </c>
      <c r="AQ252" s="59" t="str">
        <f>IFERROR(VLOOKUP($A252,[2]Mssp!$A$5:$BE$1463,AQ$4+1,0),0)</f>
        <v>1703542-2</v>
      </c>
      <c r="AR252" s="59" t="str">
        <f>IFERROR(VLOOKUP($A252,[2]Mssp!$A$5:$BE$1463,AR$4+1,0),0)</f>
        <v>1703542-3</v>
      </c>
      <c r="AS252" s="59" t="str">
        <f>IFERROR(VLOOKUP($A252,[2]Mssp!$A$5:$BE$1463,AS$4+1,0),0)</f>
        <v>1703542-4</v>
      </c>
      <c r="AT252" s="59" t="str">
        <f>IFERROR(VLOOKUP($A252,[2]Mssp!$A$5:$BE$1463,AT$4+1,0),0)</f>
        <v>1703542-5</v>
      </c>
      <c r="AU252" s="59" t="str">
        <f>IFERROR(VLOOKUP($A252,[2]Mssp!$A$5:$BE$1463,AU$4+1,0),0)</f>
        <v>1703542-6</v>
      </c>
      <c r="AV252" s="59">
        <f>IFERROR(VLOOKUP($A252,[2]Mssp!$A$5:$BE$1463,AV$4+1,0),0)</f>
        <v>0</v>
      </c>
      <c r="AW252" s="59">
        <f>IFERROR(VLOOKUP($A252,[2]Mssp!$A$5:$BE$1463,AW$4+1,0),0)</f>
        <v>0</v>
      </c>
      <c r="AX252" s="59">
        <f>IFERROR(VLOOKUP($A252,[2]Mssp!$A$5:$BE$1463,AX$4+1,0),0)</f>
        <v>0</v>
      </c>
      <c r="AY252" s="59" t="str">
        <f>IFERROR(VLOOKUP($A252,[2]Mssp!$A$5:$BE$1463,AY$4+2,0),0)</f>
        <v>480x750</v>
      </c>
      <c r="AZ252" s="59" t="str">
        <f>IFERROR(VLOOKUP($A252,[2]Mssp!$A$5:$BE$1463,AZ$4+2,0),0)</f>
        <v>O1</v>
      </c>
      <c r="BA252" s="60" t="s">
        <v>144</v>
      </c>
      <c r="BB252" s="61" t="s">
        <v>107</v>
      </c>
      <c r="BC252" s="62"/>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row>
    <row r="253" spans="1:94" ht="45" x14ac:dyDescent="0.25">
      <c r="A253" s="50" t="s">
        <v>896</v>
      </c>
      <c r="B253" s="73" t="s">
        <v>897</v>
      </c>
      <c r="C253" s="50">
        <f t="shared" si="7"/>
        <v>4.4000000000000004</v>
      </c>
      <c r="D253" s="58">
        <v>3</v>
      </c>
      <c r="E253" s="58" t="s">
        <v>113</v>
      </c>
      <c r="F253" s="58">
        <v>5</v>
      </c>
      <c r="G253" s="50" t="s">
        <v>114</v>
      </c>
      <c r="H253" s="50">
        <f>VLOOKUP($A253,'[1]ma sp 02'!$A$5:$BD$1101,H$1,0)</f>
        <v>0.1</v>
      </c>
      <c r="I253" s="50">
        <f>VLOOKUP($A253,'[1]ma sp 02'!$A$5:$BD$1101,I$1,0)</f>
        <v>3.5</v>
      </c>
      <c r="J253" s="50">
        <f>VLOOKUP($A253,'[1]ma sp 02'!$A$5:$BD$1101,J$1,0)</f>
        <v>0.2</v>
      </c>
      <c r="K253" s="50">
        <f>VLOOKUP($A253,'[1]ma sp 02'!$A$5:$BD$1101,K$1,0)</f>
        <v>0.3</v>
      </c>
      <c r="L253" s="50">
        <f>VLOOKUP($A253,'[1]ma sp 02'!$A$5:$BD$1101,L$1,0)</f>
        <v>0.3</v>
      </c>
      <c r="M253" s="50">
        <f>VLOOKUP($A253,'[1]ma sp 02'!$A$5:$BD$1101,M$1,0)</f>
        <v>0</v>
      </c>
      <c r="N253" s="50">
        <f>VLOOKUP($A253,'[1]ma sp 02'!$A$5:$BD$1101,N$1,0)</f>
        <v>0</v>
      </c>
      <c r="O253" s="50">
        <f>VLOOKUP($A253,'[1]ma sp 02'!$A$5:$BD$1101,O$1,0)</f>
        <v>0</v>
      </c>
      <c r="P253" s="50">
        <f>VLOOKUP($A253,'[1]ma sp 02'!$A$5:$BD$1101,P$1,0)</f>
        <v>0</v>
      </c>
      <c r="Q253" s="50">
        <f>VLOOKUP($A253,'[1]ma sp 02'!$A$5:$BD$1101,Q$1,0)</f>
        <v>0</v>
      </c>
      <c r="R253" s="50">
        <f>VLOOKUP($A253,'[1]ma sp 02'!$A$5:$BD$1101,R$1,0)</f>
        <v>0</v>
      </c>
      <c r="S253" s="50">
        <f>VLOOKUP($A253,'[1]ma sp 02'!$A$5:$BD$1101,S$1,0)</f>
        <v>0</v>
      </c>
      <c r="T253" s="50">
        <f>VLOOKUP($A253,'[1]ma sp 02'!$A$5:$BD$1101,T$1,0)</f>
        <v>0</v>
      </c>
      <c r="U253" s="50">
        <f>VLOOKUP($A253,'[1]ma sp 02'!$A$5:$BD$1101,U$1,0)</f>
        <v>0</v>
      </c>
      <c r="V253" s="50">
        <f>VLOOKUP($A253,'[1]ma sp 02'!$A$5:$BD$1101,V$1,0)</f>
        <v>0</v>
      </c>
      <c r="W253" s="50">
        <f>VLOOKUP($A253,'[1]ma sp 02'!$A$5:$BD$1101,W$1,0)</f>
        <v>0</v>
      </c>
      <c r="X253" s="50">
        <f t="shared" si="6"/>
        <v>5</v>
      </c>
      <c r="Y253" s="57"/>
      <c r="Z253" s="57"/>
      <c r="AA253" s="57"/>
      <c r="AB253" s="57"/>
      <c r="AC253" s="57"/>
      <c r="AD253" s="57"/>
      <c r="AE253" s="58" t="s">
        <v>115</v>
      </c>
      <c r="AF253" s="58" t="s">
        <v>321</v>
      </c>
      <c r="AG253" s="71">
        <f>(0.012*1.4+0.012*1.4+0.075*0.925)*0.74</f>
        <v>7.6201500000000005E-2</v>
      </c>
      <c r="AH253" s="63">
        <f t="shared" si="8"/>
        <v>1.1193333333333333</v>
      </c>
      <c r="AI253" s="63">
        <f t="shared" si="8"/>
        <v>1.1193333333333333</v>
      </c>
      <c r="AJ253" s="58">
        <v>9530</v>
      </c>
      <c r="AK253" s="58">
        <v>9530</v>
      </c>
      <c r="AL253" s="58" t="s">
        <v>354</v>
      </c>
      <c r="AM253" s="52" t="s">
        <v>104</v>
      </c>
      <c r="AN253" s="57">
        <v>240</v>
      </c>
      <c r="AO253" s="52" t="s">
        <v>439</v>
      </c>
      <c r="AP253" s="59" t="str">
        <f>IFERROR(VLOOKUP($A253,[2]Mssp!$A$5:$BE$1463,AP$4+1,0),0)</f>
        <v>1703541-1</v>
      </c>
      <c r="AQ253" s="59" t="str">
        <f>IFERROR(VLOOKUP($A253,[2]Mssp!$A$5:$BE$1463,AQ$4+1,0),0)</f>
        <v>1703541-2</v>
      </c>
      <c r="AR253" s="59" t="str">
        <f>IFERROR(VLOOKUP($A253,[2]Mssp!$A$5:$BE$1463,AR$4+1,0),0)</f>
        <v>1703541-3</v>
      </c>
      <c r="AS253" s="59" t="str">
        <f>IFERROR(VLOOKUP($A253,[2]Mssp!$A$5:$BE$1463,AS$4+1,0),0)</f>
        <v>1703541-4</v>
      </c>
      <c r="AT253" s="59" t="str">
        <f>IFERROR(VLOOKUP($A253,[2]Mssp!$A$5:$BE$1463,AT$4+1,0),0)</f>
        <v>1703541-5</v>
      </c>
      <c r="AU253" s="59">
        <f>IFERROR(VLOOKUP($A253,[2]Mssp!$A$5:$BE$1463,AU$4+1,0),0)</f>
        <v>0</v>
      </c>
      <c r="AV253" s="59">
        <f>IFERROR(VLOOKUP($A253,[2]Mssp!$A$5:$BE$1463,AV$4+1,0),0)</f>
        <v>0</v>
      </c>
      <c r="AW253" s="59">
        <f>IFERROR(VLOOKUP($A253,[2]Mssp!$A$5:$BE$1463,AW$4+1,0),0)</f>
        <v>0</v>
      </c>
      <c r="AX253" s="59">
        <f>IFERROR(VLOOKUP($A253,[2]Mssp!$A$5:$BE$1463,AX$4+1,0),0)</f>
        <v>0</v>
      </c>
      <c r="AY253" s="59" t="str">
        <f>IFERROR(VLOOKUP($A253,[2]Mssp!$A$5:$BE$1463,AY$4+2,0),0)</f>
        <v>480x750</v>
      </c>
      <c r="AZ253" s="59" t="str">
        <f>IFERROR(VLOOKUP($A253,[2]Mssp!$A$5:$BE$1463,AZ$4+2,0),0)</f>
        <v>O1</v>
      </c>
      <c r="BA253" s="60" t="s">
        <v>144</v>
      </c>
      <c r="BB253" s="61" t="s">
        <v>107</v>
      </c>
      <c r="BC253" s="62"/>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row>
    <row r="254" spans="1:94" ht="45" x14ac:dyDescent="0.25">
      <c r="A254" s="50" t="s">
        <v>898</v>
      </c>
      <c r="B254" s="73" t="s">
        <v>899</v>
      </c>
      <c r="C254" s="50">
        <f t="shared" si="7"/>
        <v>7.1000000000000005</v>
      </c>
      <c r="D254" s="58">
        <v>3</v>
      </c>
      <c r="E254" s="58" t="s">
        <v>113</v>
      </c>
      <c r="F254" s="58">
        <v>6</v>
      </c>
      <c r="G254" s="50" t="s">
        <v>114</v>
      </c>
      <c r="H254" s="50">
        <f>VLOOKUP($A254,'[1]ma sp 02'!$A$5:$BD$1101,H$1,0)</f>
        <v>0.1</v>
      </c>
      <c r="I254" s="50">
        <f>VLOOKUP($A254,'[1]ma sp 02'!$A$5:$BD$1101,I$1,0)</f>
        <v>2.7</v>
      </c>
      <c r="J254" s="50">
        <f>VLOOKUP($A254,'[1]ma sp 02'!$A$5:$BD$1101,J$1,0)</f>
        <v>0.1</v>
      </c>
      <c r="K254" s="50">
        <f>VLOOKUP($A254,'[1]ma sp 02'!$A$5:$BD$1101,K$1,0)</f>
        <v>0.1</v>
      </c>
      <c r="L254" s="50">
        <f>VLOOKUP($A254,'[1]ma sp 02'!$A$5:$BD$1101,L$1,0)</f>
        <v>1.8</v>
      </c>
      <c r="M254" s="50">
        <f>VLOOKUP($A254,'[1]ma sp 02'!$A$5:$BD$1101,M$1,0)</f>
        <v>2</v>
      </c>
      <c r="N254" s="50">
        <f>VLOOKUP($A254,'[1]ma sp 02'!$A$5:$BD$1101,N$1,0)</f>
        <v>0</v>
      </c>
      <c r="O254" s="50">
        <f>VLOOKUP($A254,'[1]ma sp 02'!$A$5:$BD$1101,O$1,0)</f>
        <v>0</v>
      </c>
      <c r="P254" s="50">
        <f>VLOOKUP($A254,'[1]ma sp 02'!$A$5:$BD$1101,P$1,0)</f>
        <v>0.3</v>
      </c>
      <c r="Q254" s="50">
        <f>VLOOKUP($A254,'[1]ma sp 02'!$A$5:$BD$1101,Q$1,0)</f>
        <v>0</v>
      </c>
      <c r="R254" s="50">
        <f>VLOOKUP($A254,'[1]ma sp 02'!$A$5:$BD$1101,R$1,0)</f>
        <v>0</v>
      </c>
      <c r="S254" s="50">
        <f>VLOOKUP($A254,'[1]ma sp 02'!$A$5:$BD$1101,S$1,0)</f>
        <v>0</v>
      </c>
      <c r="T254" s="50">
        <f>VLOOKUP($A254,'[1]ma sp 02'!$A$5:$BD$1101,T$1,0)</f>
        <v>0</v>
      </c>
      <c r="U254" s="50">
        <f>VLOOKUP($A254,'[1]ma sp 02'!$A$5:$BD$1101,U$1,0)</f>
        <v>0</v>
      </c>
      <c r="V254" s="50">
        <f>VLOOKUP($A254,'[1]ma sp 02'!$A$5:$BD$1101,V$1,0)</f>
        <v>0</v>
      </c>
      <c r="W254" s="50">
        <f>VLOOKUP($A254,'[1]ma sp 02'!$A$5:$BD$1101,W$1,0)</f>
        <v>0</v>
      </c>
      <c r="X254" s="50">
        <f t="shared" si="6"/>
        <v>7</v>
      </c>
      <c r="Y254" s="57"/>
      <c r="Z254" s="57"/>
      <c r="AA254" s="57"/>
      <c r="AB254" s="57"/>
      <c r="AC254" s="57"/>
      <c r="AD254" s="57"/>
      <c r="AE254" s="58" t="s">
        <v>115</v>
      </c>
      <c r="AF254" s="58" t="s">
        <v>321</v>
      </c>
      <c r="AG254" s="71">
        <f>(0.012*1.4+0.012*1.4+0.075*0.925)*0.74</f>
        <v>7.6201500000000005E-2</v>
      </c>
      <c r="AH254" s="63">
        <f t="shared" si="8"/>
        <v>1.1193333333333333</v>
      </c>
      <c r="AI254" s="63">
        <f t="shared" si="8"/>
        <v>1.1193333333333333</v>
      </c>
      <c r="AJ254" s="58">
        <v>9530</v>
      </c>
      <c r="AK254" s="58">
        <v>9530</v>
      </c>
      <c r="AL254" s="58" t="s">
        <v>354</v>
      </c>
      <c r="AM254" s="52" t="s">
        <v>104</v>
      </c>
      <c r="AN254" s="57">
        <v>240</v>
      </c>
      <c r="AO254" s="52" t="s">
        <v>439</v>
      </c>
      <c r="AP254" s="59">
        <f>IFERROR(VLOOKUP($A254,[2]Mssp!$A$5:$BE$1463,AP$4+1,0),0)</f>
        <v>0</v>
      </c>
      <c r="AQ254" s="59">
        <f>IFERROR(VLOOKUP($A254,[2]Mssp!$A$5:$BE$1463,AQ$4+1,0),0)</f>
        <v>0</v>
      </c>
      <c r="AR254" s="59">
        <f>IFERROR(VLOOKUP($A254,[2]Mssp!$A$5:$BE$1463,AR$4+1,0),0)</f>
        <v>0</v>
      </c>
      <c r="AS254" s="59">
        <f>IFERROR(VLOOKUP($A254,[2]Mssp!$A$5:$BE$1463,AS$4+1,0),0)</f>
        <v>0</v>
      </c>
      <c r="AT254" s="59">
        <f>IFERROR(VLOOKUP($A254,[2]Mssp!$A$5:$BE$1463,AT$4+1,0),0)</f>
        <v>0</v>
      </c>
      <c r="AU254" s="59">
        <f>IFERROR(VLOOKUP($A254,[2]Mssp!$A$5:$BE$1463,AU$4+1,0),0)</f>
        <v>0</v>
      </c>
      <c r="AV254" s="59">
        <f>IFERROR(VLOOKUP($A254,[2]Mssp!$A$5:$BE$1463,AV$4+1,0),0)</f>
        <v>0</v>
      </c>
      <c r="AW254" s="59">
        <f>IFERROR(VLOOKUP($A254,[2]Mssp!$A$5:$BE$1463,AW$4+1,0),0)</f>
        <v>0</v>
      </c>
      <c r="AX254" s="59">
        <f>IFERROR(VLOOKUP($A254,[2]Mssp!$A$5:$BE$1463,AX$4+1,0),0)</f>
        <v>0</v>
      </c>
      <c r="AY254" s="59">
        <f>IFERROR(VLOOKUP($A254,[2]Mssp!$A$5:$BE$1463,AY$4+2,0),0)</f>
        <v>0</v>
      </c>
      <c r="AZ254" s="59">
        <f>IFERROR(VLOOKUP($A254,[2]Mssp!$A$5:$BE$1463,AZ$4+2,0),0)</f>
        <v>0</v>
      </c>
      <c r="BA254" s="60" t="s">
        <v>144</v>
      </c>
      <c r="BB254" s="61" t="s">
        <v>107</v>
      </c>
      <c r="BC254" s="62"/>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row>
    <row r="255" spans="1:94" ht="45" x14ac:dyDescent="0.25">
      <c r="A255" s="50" t="s">
        <v>900</v>
      </c>
      <c r="B255" s="73" t="s">
        <v>901</v>
      </c>
      <c r="C255" s="50">
        <f t="shared" si="7"/>
        <v>5.8</v>
      </c>
      <c r="D255" s="58">
        <v>3</v>
      </c>
      <c r="E255" s="58" t="s">
        <v>455</v>
      </c>
      <c r="F255" s="58">
        <v>7</v>
      </c>
      <c r="G255" s="50" t="s">
        <v>114</v>
      </c>
      <c r="H255" s="50">
        <f>VLOOKUP($A255,'[1]ma sp 02'!$A$5:$BD$1101,H$1,0)</f>
        <v>0.2</v>
      </c>
      <c r="I255" s="50">
        <f>VLOOKUP($A255,'[1]ma sp 02'!$A$5:$BD$1101,I$1,0)</f>
        <v>3.2</v>
      </c>
      <c r="J255" s="50">
        <f>VLOOKUP($A255,'[1]ma sp 02'!$A$5:$BD$1101,J$1,0)</f>
        <v>0.3</v>
      </c>
      <c r="K255" s="50">
        <f>VLOOKUP($A255,'[1]ma sp 02'!$A$5:$BD$1101,K$1,0)</f>
        <v>0.1</v>
      </c>
      <c r="L255" s="50">
        <f>VLOOKUP($A255,'[1]ma sp 02'!$A$5:$BD$1101,L$1,0)</f>
        <v>1.4</v>
      </c>
      <c r="M255" s="50">
        <f>VLOOKUP($A255,'[1]ma sp 02'!$A$5:$BD$1101,M$1,0)</f>
        <v>0</v>
      </c>
      <c r="N255" s="50">
        <f>VLOOKUP($A255,'[1]ma sp 02'!$A$5:$BD$1101,N$1,0)</f>
        <v>0</v>
      </c>
      <c r="O255" s="50">
        <f>VLOOKUP($A255,'[1]ma sp 02'!$A$5:$BD$1101,O$1,0)</f>
        <v>0.1</v>
      </c>
      <c r="P255" s="50">
        <f>VLOOKUP($A255,'[1]ma sp 02'!$A$5:$BD$1101,P$1,0)</f>
        <v>0.5</v>
      </c>
      <c r="Q255" s="50">
        <f>VLOOKUP($A255,'[1]ma sp 02'!$A$5:$BD$1101,Q$1,0)</f>
        <v>0</v>
      </c>
      <c r="R255" s="50">
        <f>VLOOKUP($A255,'[1]ma sp 02'!$A$5:$BD$1101,R$1,0)</f>
        <v>0</v>
      </c>
      <c r="S255" s="50">
        <f>VLOOKUP($A255,'[1]ma sp 02'!$A$5:$BD$1101,S$1,0)</f>
        <v>0</v>
      </c>
      <c r="T255" s="50">
        <f>VLOOKUP($A255,'[1]ma sp 02'!$A$5:$BD$1101,T$1,0)</f>
        <v>0</v>
      </c>
      <c r="U255" s="50">
        <f>VLOOKUP($A255,'[1]ma sp 02'!$A$5:$BD$1101,U$1,0)</f>
        <v>0</v>
      </c>
      <c r="V255" s="50">
        <f>VLOOKUP($A255,'[1]ma sp 02'!$A$5:$BD$1101,V$1,0)</f>
        <v>0</v>
      </c>
      <c r="W255" s="50">
        <f>VLOOKUP($A255,'[1]ma sp 02'!$A$5:$BD$1101,W$1,0)</f>
        <v>0</v>
      </c>
      <c r="X255" s="50">
        <f t="shared" si="6"/>
        <v>7</v>
      </c>
      <c r="Y255" s="57"/>
      <c r="Z255" s="57"/>
      <c r="AA255" s="57"/>
      <c r="AB255" s="57"/>
      <c r="AC255" s="57"/>
      <c r="AD255" s="57"/>
      <c r="AE255" s="58" t="s">
        <v>456</v>
      </c>
      <c r="AF255" s="58" t="s">
        <v>457</v>
      </c>
      <c r="AG255" s="71">
        <f>(0.012*1.4+0.012*1.4+0.075*0.925)*0.77</f>
        <v>7.9290750000000007E-2</v>
      </c>
      <c r="AH255" s="63">
        <f>(2.3/0.75/2)*0.76</f>
        <v>1.1653333333333333</v>
      </c>
      <c r="AI255" s="63">
        <f>(2.3/0.75/2)*0.76</f>
        <v>1.1653333333333333</v>
      </c>
      <c r="AJ255" s="58">
        <v>9530</v>
      </c>
      <c r="AK255" s="58">
        <v>9530</v>
      </c>
      <c r="AL255" s="58" t="s">
        <v>354</v>
      </c>
      <c r="AM255" s="52" t="s">
        <v>74</v>
      </c>
      <c r="AN255" s="57">
        <v>100</v>
      </c>
      <c r="AO255" s="52" t="s">
        <v>348</v>
      </c>
      <c r="AP255" s="59" t="str">
        <f>IFERROR(VLOOKUP($A255,[2]Mssp!$A$5:$BE$1463,AP$4+1,0),0)</f>
        <v>1703749-1</v>
      </c>
      <c r="AQ255" s="59" t="str">
        <f>IFERROR(VLOOKUP($A255,[2]Mssp!$A$5:$BE$1463,AQ$4+1,0),0)</f>
        <v>1703749-2</v>
      </c>
      <c r="AR255" s="59" t="str">
        <f>IFERROR(VLOOKUP($A255,[2]Mssp!$A$5:$BE$1463,AR$4+1,0),0)</f>
        <v>1703749-3</v>
      </c>
      <c r="AS255" s="59" t="str">
        <f>IFERROR(VLOOKUP($A255,[2]Mssp!$A$5:$BE$1463,AS$4+1,0),0)</f>
        <v>1703749-4</v>
      </c>
      <c r="AT255" s="59" t="str">
        <f>IFERROR(VLOOKUP($A255,[2]Mssp!$A$5:$BE$1463,AT$4+1,0),0)</f>
        <v>1703749-5</v>
      </c>
      <c r="AU255" s="59" t="str">
        <f>IFERROR(VLOOKUP($A255,[2]Mssp!$A$5:$BE$1463,AU$4+1,0),0)</f>
        <v>1703749-6</v>
      </c>
      <c r="AV255" s="59" t="str">
        <f>IFERROR(VLOOKUP($A255,[2]Mssp!$A$5:$BE$1463,AV$4+1,0),0)</f>
        <v>1703749-7</v>
      </c>
      <c r="AW255" s="59">
        <f>IFERROR(VLOOKUP($A255,[2]Mssp!$A$5:$BE$1463,AW$4+1,0),0)</f>
        <v>0</v>
      </c>
      <c r="AX255" s="59">
        <f>IFERROR(VLOOKUP($A255,[2]Mssp!$A$5:$BE$1463,AX$4+1,0),0)</f>
        <v>0</v>
      </c>
      <c r="AY255" s="59" t="str">
        <f>IFERROR(VLOOKUP($A255,[2]Mssp!$A$5:$BE$1463,AY$4+2,0),0)</f>
        <v>400x850</v>
      </c>
      <c r="AZ255" s="59" t="str">
        <f>IFERROR(VLOOKUP($A255,[2]Mssp!$A$5:$BE$1463,AZ$4+2,0),0)</f>
        <v>T1</v>
      </c>
      <c r="BA255" s="60">
        <v>15000</v>
      </c>
      <c r="BB255" s="61" t="s">
        <v>62</v>
      </c>
      <c r="BC255" s="62"/>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row>
    <row r="256" spans="1:94" ht="45" x14ac:dyDescent="0.25">
      <c r="A256" s="50" t="s">
        <v>902</v>
      </c>
      <c r="B256" s="73" t="s">
        <v>903</v>
      </c>
      <c r="C256" s="50">
        <f t="shared" si="7"/>
        <v>3.8000000000000003</v>
      </c>
      <c r="D256" s="58">
        <v>2</v>
      </c>
      <c r="E256" s="58" t="s">
        <v>351</v>
      </c>
      <c r="F256" s="58">
        <v>7</v>
      </c>
      <c r="G256" s="50" t="s">
        <v>114</v>
      </c>
      <c r="H256" s="50">
        <f>VLOOKUP($A256,'[1]ma sp 02'!$A$5:$BD$1101,H$1,0)</f>
        <v>0.1</v>
      </c>
      <c r="I256" s="50">
        <f>VLOOKUP($A256,'[1]ma sp 02'!$A$5:$BD$1101,I$1,0)</f>
        <v>2.5</v>
      </c>
      <c r="J256" s="50">
        <f>VLOOKUP($A256,'[1]ma sp 02'!$A$5:$BD$1101,J$1,0)</f>
        <v>0.1</v>
      </c>
      <c r="K256" s="50">
        <f>VLOOKUP($A256,'[1]ma sp 02'!$A$5:$BD$1101,K$1,0)</f>
        <v>0.1</v>
      </c>
      <c r="L256" s="50">
        <f>VLOOKUP($A256,'[1]ma sp 02'!$A$5:$BD$1101,L$1,0)</f>
        <v>0.6</v>
      </c>
      <c r="M256" s="50">
        <f>VLOOKUP($A256,'[1]ma sp 02'!$A$5:$BD$1101,M$1,0)</f>
        <v>0</v>
      </c>
      <c r="N256" s="50">
        <f>VLOOKUP($A256,'[1]ma sp 02'!$A$5:$BD$1101,N$1,0)</f>
        <v>0</v>
      </c>
      <c r="O256" s="50">
        <f>VLOOKUP($A256,'[1]ma sp 02'!$A$5:$BD$1101,O$1,0)</f>
        <v>0.3</v>
      </c>
      <c r="P256" s="50">
        <f>VLOOKUP($A256,'[1]ma sp 02'!$A$5:$BD$1101,P$1,0)</f>
        <v>0.1</v>
      </c>
      <c r="Q256" s="50">
        <f>VLOOKUP($A256,'[1]ma sp 02'!$A$5:$BD$1101,Q$1,0)</f>
        <v>0</v>
      </c>
      <c r="R256" s="50">
        <f>VLOOKUP($A256,'[1]ma sp 02'!$A$5:$BD$1101,R$1,0)</f>
        <v>0</v>
      </c>
      <c r="S256" s="50">
        <f>VLOOKUP($A256,'[1]ma sp 02'!$A$5:$BD$1101,S$1,0)</f>
        <v>0</v>
      </c>
      <c r="T256" s="50">
        <f>VLOOKUP($A256,'[1]ma sp 02'!$A$5:$BD$1101,T$1,0)</f>
        <v>0</v>
      </c>
      <c r="U256" s="50">
        <f>VLOOKUP($A256,'[1]ma sp 02'!$A$5:$BD$1101,U$1,0)</f>
        <v>0</v>
      </c>
      <c r="V256" s="50">
        <f>VLOOKUP($A256,'[1]ma sp 02'!$A$5:$BD$1101,V$1,0)</f>
        <v>0</v>
      </c>
      <c r="W256" s="50">
        <f>VLOOKUP($A256,'[1]ma sp 02'!$A$5:$BD$1101,W$1,0)</f>
        <v>0</v>
      </c>
      <c r="X256" s="50">
        <f t="shared" si="6"/>
        <v>7</v>
      </c>
      <c r="Y256" s="57"/>
      <c r="Z256" s="57"/>
      <c r="AA256" s="57"/>
      <c r="AB256" s="57"/>
      <c r="AC256" s="57"/>
      <c r="AD256" s="57"/>
      <c r="AE256" s="58" t="s">
        <v>352</v>
      </c>
      <c r="AF256" s="58" t="s">
        <v>353</v>
      </c>
      <c r="AG256" s="71">
        <f>(0.012*1.4+0.012*1.4+0.075*0.925)*0.8</f>
        <v>8.2380000000000009E-2</v>
      </c>
      <c r="AH256" s="63">
        <f>(2.3/0.75/2)*0.79</f>
        <v>1.2113333333333334</v>
      </c>
      <c r="AI256" s="63">
        <f>(2.3/0.75/2)*0.79</f>
        <v>1.2113333333333334</v>
      </c>
      <c r="AJ256" s="58">
        <v>9530</v>
      </c>
      <c r="AK256" s="58">
        <v>9530</v>
      </c>
      <c r="AL256" s="58" t="s">
        <v>354</v>
      </c>
      <c r="AM256" s="52" t="s">
        <v>74</v>
      </c>
      <c r="AN256" s="57">
        <v>135</v>
      </c>
      <c r="AO256" s="52" t="s">
        <v>348</v>
      </c>
      <c r="AP256" s="59" t="str">
        <f>IFERROR(VLOOKUP($A256,[2]Mssp!$A$5:$BE$1463,AP$4+1,0),0)</f>
        <v>17031055-1</v>
      </c>
      <c r="AQ256" s="59" t="str">
        <f>IFERROR(VLOOKUP($A256,[2]Mssp!$A$5:$BE$1463,AQ$4+1,0),0)</f>
        <v>17031055-2</v>
      </c>
      <c r="AR256" s="59" t="str">
        <f>IFERROR(VLOOKUP($A256,[2]Mssp!$A$5:$BE$1463,AR$4+1,0),0)</f>
        <v>17031055-3</v>
      </c>
      <c r="AS256" s="59" t="str">
        <f>IFERROR(VLOOKUP($A256,[2]Mssp!$A$5:$BE$1463,AS$4+1,0),0)</f>
        <v>17031055-4</v>
      </c>
      <c r="AT256" s="59" t="str">
        <f>IFERROR(VLOOKUP($A256,[2]Mssp!$A$5:$BE$1463,AT$4+1,0),0)</f>
        <v>17031055-5</v>
      </c>
      <c r="AU256" s="59" t="str">
        <f>IFERROR(VLOOKUP($A256,[2]Mssp!$A$5:$BE$1463,AU$4+1,0),0)</f>
        <v>17031055-6</v>
      </c>
      <c r="AV256" s="59" t="str">
        <f>IFERROR(VLOOKUP($A256,[2]Mssp!$A$5:$BE$1463,AV$4+1,0),0)</f>
        <v>17031055-7</v>
      </c>
      <c r="AW256" s="59">
        <f>IFERROR(VLOOKUP($A256,[2]Mssp!$A$5:$BE$1463,AW$4+1,0),0)</f>
        <v>0</v>
      </c>
      <c r="AX256" s="59">
        <f>IFERROR(VLOOKUP($A256,[2]Mssp!$A$5:$BE$1463,AX$4+1,0),0)</f>
        <v>0</v>
      </c>
      <c r="AY256" s="59" t="str">
        <f>IFERROR(VLOOKUP($A256,[2]Mssp!$A$5:$BE$1463,AY$4+2,0),0)</f>
        <v>405x850</v>
      </c>
      <c r="AZ256" s="59" t="str">
        <f>IFERROR(VLOOKUP($A256,[2]Mssp!$A$5:$BE$1463,AZ$4+2,0),0)</f>
        <v>T1</v>
      </c>
      <c r="BA256" s="60">
        <v>7000</v>
      </c>
      <c r="BB256" s="61" t="s">
        <v>62</v>
      </c>
      <c r="BC256" s="62"/>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c r="CP256" s="9"/>
    </row>
    <row r="257" spans="1:94" ht="45" x14ac:dyDescent="0.25">
      <c r="A257" s="50" t="s">
        <v>904</v>
      </c>
      <c r="B257" s="73" t="s">
        <v>905</v>
      </c>
      <c r="C257" s="50">
        <f t="shared" si="7"/>
        <v>5.8</v>
      </c>
      <c r="D257" s="58">
        <v>2</v>
      </c>
      <c r="E257" s="58" t="s">
        <v>393</v>
      </c>
      <c r="F257" s="58">
        <v>7</v>
      </c>
      <c r="G257" s="50" t="s">
        <v>114</v>
      </c>
      <c r="H257" s="50">
        <f>VLOOKUP($A257,'[1]ma sp 02'!$A$5:$BD$1101,H$1,0)</f>
        <v>0.1</v>
      </c>
      <c r="I257" s="50">
        <f>VLOOKUP($A257,'[1]ma sp 02'!$A$5:$BD$1101,I$1,0)</f>
        <v>4</v>
      </c>
      <c r="J257" s="50">
        <f>VLOOKUP($A257,'[1]ma sp 02'!$A$5:$BD$1101,J$1,0)</f>
        <v>0.2</v>
      </c>
      <c r="K257" s="50">
        <f>VLOOKUP($A257,'[1]ma sp 02'!$A$5:$BD$1101,K$1,0)</f>
        <v>0.1</v>
      </c>
      <c r="L257" s="50">
        <f>VLOOKUP($A257,'[1]ma sp 02'!$A$5:$BD$1101,L$1,0)</f>
        <v>0.2</v>
      </c>
      <c r="M257" s="50">
        <f>VLOOKUP($A257,'[1]ma sp 02'!$A$5:$BD$1101,M$1,0)</f>
        <v>0</v>
      </c>
      <c r="N257" s="50">
        <f>VLOOKUP($A257,'[1]ma sp 02'!$A$5:$BD$1101,N$1,0)</f>
        <v>0</v>
      </c>
      <c r="O257" s="50">
        <f>VLOOKUP($A257,'[1]ma sp 02'!$A$5:$BD$1101,O$1,0)</f>
        <v>1</v>
      </c>
      <c r="P257" s="50">
        <f>VLOOKUP($A257,'[1]ma sp 02'!$A$5:$BD$1101,P$1,0)</f>
        <v>0.2</v>
      </c>
      <c r="Q257" s="50">
        <f>VLOOKUP($A257,'[1]ma sp 02'!$A$5:$BD$1101,Q$1,0)</f>
        <v>0</v>
      </c>
      <c r="R257" s="50">
        <f>VLOOKUP($A257,'[1]ma sp 02'!$A$5:$BD$1101,R$1,0)</f>
        <v>0</v>
      </c>
      <c r="S257" s="50">
        <f>VLOOKUP($A257,'[1]ma sp 02'!$A$5:$BD$1101,S$1,0)</f>
        <v>0</v>
      </c>
      <c r="T257" s="50">
        <f>VLOOKUP($A257,'[1]ma sp 02'!$A$5:$BD$1101,T$1,0)</f>
        <v>0</v>
      </c>
      <c r="U257" s="50">
        <f>VLOOKUP($A257,'[1]ma sp 02'!$A$5:$BD$1101,U$1,0)</f>
        <v>0</v>
      </c>
      <c r="V257" s="50">
        <f>VLOOKUP($A257,'[1]ma sp 02'!$A$5:$BD$1101,V$1,0)</f>
        <v>0</v>
      </c>
      <c r="W257" s="50">
        <f>VLOOKUP($A257,'[1]ma sp 02'!$A$5:$BD$1101,W$1,0)</f>
        <v>0</v>
      </c>
      <c r="X257" s="50">
        <f t="shared" si="6"/>
        <v>7</v>
      </c>
      <c r="Y257" s="57"/>
      <c r="Z257" s="57"/>
      <c r="AA257" s="57"/>
      <c r="AB257" s="57"/>
      <c r="AC257" s="57"/>
      <c r="AD257" s="57"/>
      <c r="AE257" s="58" t="s">
        <v>394</v>
      </c>
      <c r="AF257" s="58" t="s">
        <v>906</v>
      </c>
      <c r="AG257" s="71">
        <f>(0.012*1.4+0.012*1.4+0.075*0.925)*0.66</f>
        <v>6.796350000000001E-2</v>
      </c>
      <c r="AH257" s="63">
        <f>(2.3/0.75/2)*0.65</f>
        <v>0.99666666666666659</v>
      </c>
      <c r="AI257" s="63">
        <f>(2.3/0.75/2)*0.65</f>
        <v>0.99666666666666659</v>
      </c>
      <c r="AJ257" s="58">
        <v>9530</v>
      </c>
      <c r="AK257" s="58">
        <v>9530</v>
      </c>
      <c r="AL257" s="58" t="s">
        <v>354</v>
      </c>
      <c r="AM257" s="52" t="s">
        <v>74</v>
      </c>
      <c r="AN257" s="57">
        <v>210</v>
      </c>
      <c r="AO257" s="52" t="s">
        <v>907</v>
      </c>
      <c r="AP257" s="59">
        <f>IFERROR(VLOOKUP($A257,[2]Mssp!$A$5:$BE$1463,AP$4+1,0),0)</f>
        <v>0</v>
      </c>
      <c r="AQ257" s="59">
        <f>IFERROR(VLOOKUP($A257,[2]Mssp!$A$5:$BE$1463,AQ$4+1,0),0)</f>
        <v>0</v>
      </c>
      <c r="AR257" s="59">
        <f>IFERROR(VLOOKUP($A257,[2]Mssp!$A$5:$BE$1463,AR$4+1,0),0)</f>
        <v>0</v>
      </c>
      <c r="AS257" s="59">
        <f>IFERROR(VLOOKUP($A257,[2]Mssp!$A$5:$BE$1463,AS$4+1,0),0)</f>
        <v>0</v>
      </c>
      <c r="AT257" s="59">
        <f>IFERROR(VLOOKUP($A257,[2]Mssp!$A$5:$BE$1463,AT$4+1,0),0)</f>
        <v>0</v>
      </c>
      <c r="AU257" s="59">
        <f>IFERROR(VLOOKUP($A257,[2]Mssp!$A$5:$BE$1463,AU$4+1,0),0)</f>
        <v>0</v>
      </c>
      <c r="AV257" s="59">
        <f>IFERROR(VLOOKUP($A257,[2]Mssp!$A$5:$BE$1463,AV$4+1,0),0)</f>
        <v>0</v>
      </c>
      <c r="AW257" s="59">
        <f>IFERROR(VLOOKUP($A257,[2]Mssp!$A$5:$BE$1463,AW$4+1,0),0)</f>
        <v>0</v>
      </c>
      <c r="AX257" s="59">
        <f>IFERROR(VLOOKUP($A257,[2]Mssp!$A$5:$BE$1463,AX$4+1,0),0)</f>
        <v>0</v>
      </c>
      <c r="AY257" s="59">
        <f>IFERROR(VLOOKUP($A257,[2]Mssp!$A$5:$BE$1463,AY$4+2,0),0)</f>
        <v>0</v>
      </c>
      <c r="AZ257" s="59">
        <f>IFERROR(VLOOKUP($A257,[2]Mssp!$A$5:$BE$1463,AZ$4+2,0),0)</f>
        <v>0</v>
      </c>
      <c r="BA257" s="60">
        <v>6000</v>
      </c>
      <c r="BB257" s="61" t="s">
        <v>62</v>
      </c>
      <c r="BC257" s="62"/>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c r="CP257" s="9"/>
    </row>
    <row r="258" spans="1:94" ht="30" x14ac:dyDescent="0.25">
      <c r="A258" s="50" t="s">
        <v>908</v>
      </c>
      <c r="B258" s="73" t="s">
        <v>909</v>
      </c>
      <c r="C258" s="50">
        <f t="shared" si="7"/>
        <v>6.53</v>
      </c>
      <c r="D258" s="58">
        <v>2</v>
      </c>
      <c r="E258" s="58" t="s">
        <v>910</v>
      </c>
      <c r="F258" s="58">
        <v>6</v>
      </c>
      <c r="G258" s="50" t="s">
        <v>56</v>
      </c>
      <c r="H258" s="50">
        <f>VLOOKUP($A258,'[1]ma sp 02'!$A$5:$BD$1101,H$1,0)</f>
        <v>0.1</v>
      </c>
      <c r="I258" s="50">
        <f>VLOOKUP($A258,'[1]ma sp 02'!$A$5:$BD$1101,I$1,0)</f>
        <v>3.26</v>
      </c>
      <c r="J258" s="50">
        <f>VLOOKUP($A258,'[1]ma sp 02'!$A$5:$BD$1101,J$1,0)</f>
        <v>0.45</v>
      </c>
      <c r="K258" s="50">
        <f>VLOOKUP($A258,'[1]ma sp 02'!$A$5:$BD$1101,K$1,0)</f>
        <v>0</v>
      </c>
      <c r="L258" s="50">
        <f>VLOOKUP($A258,'[1]ma sp 02'!$A$5:$BD$1101,L$1,0)</f>
        <v>2.35</v>
      </c>
      <c r="M258" s="50">
        <f>VLOOKUP($A258,'[1]ma sp 02'!$A$5:$BD$1101,M$1,0)</f>
        <v>0.15</v>
      </c>
      <c r="N258" s="50">
        <f>VLOOKUP($A258,'[1]ma sp 02'!$A$5:$BD$1101,N$1,0)</f>
        <v>0</v>
      </c>
      <c r="O258" s="50">
        <f>VLOOKUP($A258,'[1]ma sp 02'!$A$5:$BD$1101,O$1,0)</f>
        <v>0.01</v>
      </c>
      <c r="P258" s="50">
        <f>VLOOKUP($A258,'[1]ma sp 02'!$A$5:$BD$1101,P$1,0)</f>
        <v>0.06</v>
      </c>
      <c r="Q258" s="50">
        <f>VLOOKUP($A258,'[1]ma sp 02'!$A$5:$BD$1101,Q$1,0)</f>
        <v>0.15</v>
      </c>
      <c r="R258" s="50">
        <f>VLOOKUP($A258,'[1]ma sp 02'!$A$5:$BD$1101,R$1,0)</f>
        <v>0</v>
      </c>
      <c r="S258" s="50">
        <f>VLOOKUP($A258,'[1]ma sp 02'!$A$5:$BD$1101,S$1,0)</f>
        <v>0</v>
      </c>
      <c r="T258" s="50">
        <f>VLOOKUP($A258,'[1]ma sp 02'!$A$5:$BD$1101,T$1,0)</f>
        <v>0</v>
      </c>
      <c r="U258" s="50">
        <f>VLOOKUP($A258,'[1]ma sp 02'!$A$5:$BD$1101,U$1,0)</f>
        <v>0</v>
      </c>
      <c r="V258" s="50">
        <f>VLOOKUP($A258,'[1]ma sp 02'!$A$5:$BD$1101,V$1,0)</f>
        <v>0</v>
      </c>
      <c r="W258" s="50">
        <f>VLOOKUP($A258,'[1]ma sp 02'!$A$5:$BD$1101,W$1,0)</f>
        <v>0</v>
      </c>
      <c r="X258" s="50">
        <f t="shared" si="6"/>
        <v>8</v>
      </c>
      <c r="Y258" s="57"/>
      <c r="Z258" s="57"/>
      <c r="AA258" s="57"/>
      <c r="AB258" s="57"/>
      <c r="AC258" s="57"/>
      <c r="AD258" s="57"/>
      <c r="AE258" s="58" t="s">
        <v>911</v>
      </c>
      <c r="AF258" s="57"/>
      <c r="AG258" s="71">
        <f>(0.02*0.91+0.09*0.925)*0.9</f>
        <v>9.1305000000000011E-2</v>
      </c>
      <c r="AH258" s="63">
        <f>(2.5/0.75/2)*0.89</f>
        <v>1.4833333333333334</v>
      </c>
      <c r="AI258" s="63"/>
      <c r="AJ258" s="58">
        <v>9530</v>
      </c>
      <c r="AK258" s="57"/>
      <c r="AL258" s="58">
        <v>2.3E-3</v>
      </c>
      <c r="AM258" s="52" t="s">
        <v>74</v>
      </c>
      <c r="AN258" s="57">
        <v>310</v>
      </c>
      <c r="AO258" s="52" t="s">
        <v>387</v>
      </c>
      <c r="AP258" s="59" t="str">
        <f>IFERROR(VLOOKUP($A258,[2]Mssp!$A$5:$BE$1463,AP$4+1,0),0)</f>
        <v>18101257-1</v>
      </c>
      <c r="AQ258" s="59" t="str">
        <f>IFERROR(VLOOKUP($A258,[2]Mssp!$A$5:$BE$1463,AQ$4+1,0),0)</f>
        <v>1704290-2</v>
      </c>
      <c r="AR258" s="59" t="str">
        <f>IFERROR(VLOOKUP($A258,[2]Mssp!$A$5:$BE$1463,AR$4+1,0),0)</f>
        <v>1704290-3</v>
      </c>
      <c r="AS258" s="59" t="str">
        <f>IFERROR(VLOOKUP($A258,[2]Mssp!$A$5:$BE$1463,AS$4+1,0),0)</f>
        <v>1704290-4</v>
      </c>
      <c r="AT258" s="59" t="str">
        <f>IFERROR(VLOOKUP($A258,[2]Mssp!$A$5:$BE$1463,AT$4+1,0),0)</f>
        <v>1704290-5</v>
      </c>
      <c r="AU258" s="59" t="str">
        <f>IFERROR(VLOOKUP($A258,[2]Mssp!$A$5:$BE$1463,AU$4+1,0),0)</f>
        <v>1704290-6</v>
      </c>
      <c r="AV258" s="59">
        <f>IFERROR(VLOOKUP($A258,[2]Mssp!$A$5:$BE$1463,AV$4+1,0),0)</f>
        <v>0</v>
      </c>
      <c r="AW258" s="59">
        <f>IFERROR(VLOOKUP($A258,[2]Mssp!$A$5:$BE$1463,AW$4+1,0),0)</f>
        <v>0</v>
      </c>
      <c r="AX258" s="59">
        <f>IFERROR(VLOOKUP($A258,[2]Mssp!$A$5:$BE$1463,AX$4+1,0),0)</f>
        <v>0</v>
      </c>
      <c r="AY258" s="59" t="str">
        <f>IFERROR(VLOOKUP($A258,[2]Mssp!$A$5:$BE$1463,AY$4+2,0),0)</f>
        <v>620x1100</v>
      </c>
      <c r="AZ258" s="59" t="str">
        <f>IFERROR(VLOOKUP($A258,[2]Mssp!$A$5:$BE$1463,AZ$4+2,0),0)</f>
        <v>O1</v>
      </c>
      <c r="BA258" s="60">
        <v>3500</v>
      </c>
      <c r="BB258" s="61" t="s">
        <v>251</v>
      </c>
      <c r="BC258" s="62"/>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c r="CP258" s="9"/>
    </row>
    <row r="259" spans="1:94" ht="45" x14ac:dyDescent="0.25">
      <c r="A259" s="50" t="s">
        <v>912</v>
      </c>
      <c r="B259" s="73" t="s">
        <v>913</v>
      </c>
      <c r="C259" s="50">
        <f t="shared" si="7"/>
        <v>4.96</v>
      </c>
      <c r="D259" s="58">
        <v>3</v>
      </c>
      <c r="E259" s="58" t="s">
        <v>455</v>
      </c>
      <c r="F259" s="58">
        <v>7</v>
      </c>
      <c r="G259" s="50" t="s">
        <v>530</v>
      </c>
      <c r="H259" s="50">
        <f>VLOOKUP($A259,'[1]ma sp 02'!$A$5:$BD$1101,H$1,0)</f>
        <v>0.1</v>
      </c>
      <c r="I259" s="50">
        <f>VLOOKUP($A259,'[1]ma sp 02'!$A$5:$BD$1101,I$1,0)</f>
        <v>3</v>
      </c>
      <c r="J259" s="50">
        <f>VLOOKUP($A259,'[1]ma sp 02'!$A$5:$BD$1101,J$1,0)</f>
        <v>0.1</v>
      </c>
      <c r="K259" s="50">
        <f>VLOOKUP($A259,'[1]ma sp 02'!$A$5:$BD$1101,K$1,0)</f>
        <v>0.16</v>
      </c>
      <c r="L259" s="50">
        <f>VLOOKUP($A259,'[1]ma sp 02'!$A$5:$BD$1101,L$1,0)</f>
        <v>1.3</v>
      </c>
      <c r="M259" s="50">
        <f>VLOOKUP($A259,'[1]ma sp 02'!$A$5:$BD$1101,M$1,0)</f>
        <v>0</v>
      </c>
      <c r="N259" s="50">
        <f>VLOOKUP($A259,'[1]ma sp 02'!$A$5:$BD$1101,N$1,0)</f>
        <v>0</v>
      </c>
      <c r="O259" s="50">
        <f>VLOOKUP($A259,'[1]ma sp 02'!$A$5:$BD$1101,O$1,0)</f>
        <v>0</v>
      </c>
      <c r="P259" s="50">
        <f>VLOOKUP($A259,'[1]ma sp 02'!$A$5:$BD$1101,P$1,0)</f>
        <v>0.2</v>
      </c>
      <c r="Q259" s="50">
        <f>VLOOKUP($A259,'[1]ma sp 02'!$A$5:$BD$1101,Q$1,0)</f>
        <v>0</v>
      </c>
      <c r="R259" s="50">
        <f>VLOOKUP($A259,'[1]ma sp 02'!$A$5:$BD$1101,R$1,0)</f>
        <v>0.1</v>
      </c>
      <c r="S259" s="50">
        <f>VLOOKUP($A259,'[1]ma sp 02'!$A$5:$BD$1101,S$1,0)</f>
        <v>0</v>
      </c>
      <c r="T259" s="50">
        <f>VLOOKUP($A259,'[1]ma sp 02'!$A$5:$BD$1101,T$1,0)</f>
        <v>0</v>
      </c>
      <c r="U259" s="50">
        <f>VLOOKUP($A259,'[1]ma sp 02'!$A$5:$BD$1101,U$1,0)</f>
        <v>0</v>
      </c>
      <c r="V259" s="50">
        <f>VLOOKUP($A259,'[1]ma sp 02'!$A$5:$BD$1101,V$1,0)</f>
        <v>0</v>
      </c>
      <c r="W259" s="50">
        <f>VLOOKUP($A259,'[1]ma sp 02'!$A$5:$BD$1101,W$1,0)</f>
        <v>0</v>
      </c>
      <c r="X259" s="50">
        <f t="shared" si="6"/>
        <v>7</v>
      </c>
      <c r="Y259" s="57"/>
      <c r="Z259" s="57"/>
      <c r="AA259" s="57"/>
      <c r="AB259" s="57"/>
      <c r="AC259" s="57"/>
      <c r="AD259" s="57"/>
      <c r="AE259" s="58" t="s">
        <v>456</v>
      </c>
      <c r="AF259" s="58" t="s">
        <v>457</v>
      </c>
      <c r="AG259" s="71">
        <f>(0.012*1.4+0.012*1.4+0.075*0.925)*0.77</f>
        <v>7.9290750000000007E-2</v>
      </c>
      <c r="AH259" s="63">
        <f>(2.3/0.75/2)*0.76</f>
        <v>1.1653333333333333</v>
      </c>
      <c r="AI259" s="63">
        <f>(2.3/0.75/2)*0.76</f>
        <v>1.1653333333333333</v>
      </c>
      <c r="AJ259" s="58">
        <v>9530</v>
      </c>
      <c r="AK259" s="58">
        <v>9530</v>
      </c>
      <c r="AL259" s="58" t="s">
        <v>354</v>
      </c>
      <c r="AM259" s="52" t="s">
        <v>74</v>
      </c>
      <c r="AN259" s="57">
        <v>97</v>
      </c>
      <c r="AO259" s="97" t="s">
        <v>553</v>
      </c>
      <c r="AP259" s="59" t="str">
        <f>IFERROR(VLOOKUP($A259,[2]Mssp!$A$5:$BE$1463,AP$4+1,0),0)</f>
        <v>18091255-1</v>
      </c>
      <c r="AQ259" s="59" t="str">
        <f>IFERROR(VLOOKUP($A259,[2]Mssp!$A$5:$BE$1463,AQ$4+1,0),0)</f>
        <v>1705790-2</v>
      </c>
      <c r="AR259" s="59" t="str">
        <f>IFERROR(VLOOKUP($A259,[2]Mssp!$A$5:$BE$1463,AR$4+1,0),0)</f>
        <v>1705790-3</v>
      </c>
      <c r="AS259" s="59" t="str">
        <f>IFERROR(VLOOKUP($A259,[2]Mssp!$A$5:$BE$1463,AS$4+1,0),0)</f>
        <v>1705790-4</v>
      </c>
      <c r="AT259" s="59" t="str">
        <f>IFERROR(VLOOKUP($A259,[2]Mssp!$A$5:$BE$1463,AT$4+1,0),0)</f>
        <v>1705790-5</v>
      </c>
      <c r="AU259" s="59" t="str">
        <f>IFERROR(VLOOKUP($A259,[2]Mssp!$A$5:$BE$1463,AU$4+1,0),0)</f>
        <v>1705790-6</v>
      </c>
      <c r="AV259" s="59" t="str">
        <f>IFERROR(VLOOKUP($A259,[2]Mssp!$A$5:$BE$1463,AV$4+1,0),0)</f>
        <v>1705790-7</v>
      </c>
      <c r="AW259" s="59">
        <f>IFERROR(VLOOKUP($A259,[2]Mssp!$A$5:$BE$1463,AW$4+1,0),0)</f>
        <v>0</v>
      </c>
      <c r="AX259" s="59">
        <f>IFERROR(VLOOKUP($A259,[2]Mssp!$A$5:$BE$1463,AX$4+1,0),0)</f>
        <v>0</v>
      </c>
      <c r="AY259" s="59" t="str">
        <f>IFERROR(VLOOKUP($A259,[2]Mssp!$A$5:$BE$1463,AY$4+2,0),0)</f>
        <v>485x850</v>
      </c>
      <c r="AZ259" s="59" t="str">
        <f>IFERROR(VLOOKUP($A259,[2]Mssp!$A$5:$BE$1463,AZ$4+2,0),0)</f>
        <v>O2</v>
      </c>
      <c r="BA259" s="60">
        <v>15000</v>
      </c>
      <c r="BB259" s="61" t="s">
        <v>62</v>
      </c>
      <c r="BC259" s="62"/>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c r="CP259" s="9"/>
    </row>
    <row r="260" spans="1:94" ht="75" x14ac:dyDescent="0.25">
      <c r="A260" s="77" t="s">
        <v>914</v>
      </c>
      <c r="B260" s="73" t="s">
        <v>915</v>
      </c>
      <c r="C260" s="50">
        <f t="shared" si="7"/>
        <v>1.262</v>
      </c>
      <c r="D260" s="58">
        <v>3</v>
      </c>
      <c r="E260" s="58" t="s">
        <v>113</v>
      </c>
      <c r="F260" s="58">
        <v>5</v>
      </c>
      <c r="G260" s="50" t="s">
        <v>530</v>
      </c>
      <c r="H260" s="50">
        <f>VLOOKUP($A260,'[1]ma sp 02'!$A$5:$BD$1101,H$1,0)</f>
        <v>0</v>
      </c>
      <c r="I260" s="50">
        <f>VLOOKUP($A260,'[1]ma sp 02'!$A$5:$BD$1101,I$1,0)</f>
        <v>0.08</v>
      </c>
      <c r="J260" s="50">
        <f>VLOOKUP($A260,'[1]ma sp 02'!$A$5:$BD$1101,J$1,0)</f>
        <v>0.02</v>
      </c>
      <c r="K260" s="50">
        <f>VLOOKUP($A260,'[1]ma sp 02'!$A$5:$BD$1101,K$1,0)</f>
        <v>0.11</v>
      </c>
      <c r="L260" s="50">
        <f>VLOOKUP($A260,'[1]ma sp 02'!$A$5:$BD$1101,L$1,0)</f>
        <v>0.01</v>
      </c>
      <c r="M260" s="50">
        <f>VLOOKUP($A260,'[1]ma sp 02'!$A$5:$BD$1101,M$1,0)</f>
        <v>7.1999999999999995E-2</v>
      </c>
      <c r="N260" s="50">
        <f>VLOOKUP($A260,'[1]ma sp 02'!$A$5:$BD$1101,N$1,0)</f>
        <v>0.97</v>
      </c>
      <c r="O260" s="50">
        <f>VLOOKUP($A260,'[1]ma sp 02'!$A$5:$BD$1101,O$1,0)</f>
        <v>0</v>
      </c>
      <c r="P260" s="50">
        <f>VLOOKUP($A260,'[1]ma sp 02'!$A$5:$BD$1101,P$1,0)</f>
        <v>0</v>
      </c>
      <c r="Q260" s="50">
        <f>VLOOKUP($A260,'[1]ma sp 02'!$A$5:$BD$1101,Q$1,0)</f>
        <v>0</v>
      </c>
      <c r="R260" s="50">
        <f>VLOOKUP($A260,'[1]ma sp 02'!$A$5:$BD$1101,R$1,0)</f>
        <v>0</v>
      </c>
      <c r="S260" s="50">
        <f>VLOOKUP($A260,'[1]ma sp 02'!$A$5:$BD$1101,S$1,0)</f>
        <v>0</v>
      </c>
      <c r="T260" s="50">
        <f>VLOOKUP($A260,'[1]ma sp 02'!$A$5:$BD$1101,T$1,0)</f>
        <v>0</v>
      </c>
      <c r="U260" s="50">
        <f>VLOOKUP($A260,'[1]ma sp 02'!$A$5:$BD$1101,U$1,0)</f>
        <v>0</v>
      </c>
      <c r="V260" s="50">
        <f>VLOOKUP($A260,'[1]ma sp 02'!$A$5:$BD$1101,V$1,0)</f>
        <v>0</v>
      </c>
      <c r="W260" s="50">
        <f>VLOOKUP($A260,'[1]ma sp 02'!$A$5:$BD$1101,W$1,0)</f>
        <v>0</v>
      </c>
      <c r="X260" s="50">
        <f t="shared" si="6"/>
        <v>6</v>
      </c>
      <c r="Y260" s="57"/>
      <c r="Z260" s="57"/>
      <c r="AA260" s="57"/>
      <c r="AB260" s="57"/>
      <c r="AC260" s="57"/>
      <c r="AD260" s="57"/>
      <c r="AE260" s="58" t="s">
        <v>115</v>
      </c>
      <c r="AF260" s="58" t="s">
        <v>321</v>
      </c>
      <c r="AG260" s="82">
        <v>7.6201500000000005E-2</v>
      </c>
      <c r="AH260" s="54">
        <v>1.1193333333333333</v>
      </c>
      <c r="AI260" s="54">
        <v>1.46</v>
      </c>
      <c r="AJ260" s="58">
        <v>9530</v>
      </c>
      <c r="AK260" s="58">
        <v>9530</v>
      </c>
      <c r="AL260" s="58" t="s">
        <v>117</v>
      </c>
      <c r="AM260" s="52" t="s">
        <v>60</v>
      </c>
      <c r="AN260" s="57">
        <v>270</v>
      </c>
      <c r="AO260" s="52" t="s">
        <v>916</v>
      </c>
      <c r="AP260" s="59">
        <f>IFERROR(VLOOKUP($A260,[2]Mssp!$A$5:$BE$1463,AP$4+1,0),0)</f>
        <v>0</v>
      </c>
      <c r="AQ260" s="59">
        <f>IFERROR(VLOOKUP($A260,[2]Mssp!$A$5:$BE$1463,AQ$4+1,0),0)</f>
        <v>0</v>
      </c>
      <c r="AR260" s="59">
        <f>IFERROR(VLOOKUP($A260,[2]Mssp!$A$5:$BE$1463,AR$4+1,0),0)</f>
        <v>0</v>
      </c>
      <c r="AS260" s="59">
        <f>IFERROR(VLOOKUP($A260,[2]Mssp!$A$5:$BE$1463,AS$4+1,0),0)</f>
        <v>0</v>
      </c>
      <c r="AT260" s="59">
        <f>IFERROR(VLOOKUP($A260,[2]Mssp!$A$5:$BE$1463,AT$4+1,0),0)</f>
        <v>0</v>
      </c>
      <c r="AU260" s="59">
        <f>IFERROR(VLOOKUP($A260,[2]Mssp!$A$5:$BE$1463,AU$4+1,0),0)</f>
        <v>0</v>
      </c>
      <c r="AV260" s="59">
        <f>IFERROR(VLOOKUP($A260,[2]Mssp!$A$5:$BE$1463,AV$4+1,0),0)</f>
        <v>0</v>
      </c>
      <c r="AW260" s="59">
        <f>IFERROR(VLOOKUP($A260,[2]Mssp!$A$5:$BE$1463,AW$4+1,0),0)</f>
        <v>0</v>
      </c>
      <c r="AX260" s="59">
        <f>IFERROR(VLOOKUP($A260,[2]Mssp!$A$5:$BE$1463,AX$4+1,0),0)</f>
        <v>0</v>
      </c>
      <c r="AY260" s="59">
        <f>IFERROR(VLOOKUP($A260,[2]Mssp!$A$5:$BE$1463,AY$4+2,0),0)</f>
        <v>0</v>
      </c>
      <c r="AZ260" s="59">
        <f>IFERROR(VLOOKUP($A260,[2]Mssp!$A$5:$BE$1463,AZ$4+2,0),0)</f>
        <v>0</v>
      </c>
      <c r="BA260" s="60">
        <v>4000</v>
      </c>
      <c r="BB260" s="61" t="s">
        <v>119</v>
      </c>
      <c r="BC260" s="62"/>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c r="CP260" s="9"/>
    </row>
    <row r="261" spans="1:94" ht="75" x14ac:dyDescent="0.25">
      <c r="A261" s="77" t="s">
        <v>917</v>
      </c>
      <c r="B261" s="73" t="s">
        <v>918</v>
      </c>
      <c r="C261" s="50">
        <f t="shared" si="7"/>
        <v>5.7680000000000007</v>
      </c>
      <c r="D261" s="58">
        <v>3</v>
      </c>
      <c r="E261" s="58" t="s">
        <v>690</v>
      </c>
      <c r="F261" s="58">
        <v>5</v>
      </c>
      <c r="G261" s="50" t="s">
        <v>530</v>
      </c>
      <c r="H261" s="50">
        <f>VLOOKUP($A261,'[1]ma sp 02'!$A$5:$BD$1101,H$1,0)</f>
        <v>0.01</v>
      </c>
      <c r="I261" s="50">
        <f>VLOOKUP($A261,'[1]ma sp 02'!$A$5:$BD$1101,I$1,0)</f>
        <v>0.51</v>
      </c>
      <c r="J261" s="50">
        <f>VLOOKUP($A261,'[1]ma sp 02'!$A$5:$BD$1101,J$1,0)</f>
        <v>0.26</v>
      </c>
      <c r="K261" s="50">
        <f>VLOOKUP($A261,'[1]ma sp 02'!$A$5:$BD$1101,K$1,0)</f>
        <v>0.21</v>
      </c>
      <c r="L261" s="50">
        <f>VLOOKUP($A261,'[1]ma sp 02'!$A$5:$BD$1101,L$1,0)</f>
        <v>0.01</v>
      </c>
      <c r="M261" s="50">
        <f>VLOOKUP($A261,'[1]ma sp 02'!$A$5:$BD$1101,M$1,0)</f>
        <v>0.67800000000000005</v>
      </c>
      <c r="N261" s="50">
        <f>VLOOKUP($A261,'[1]ma sp 02'!$A$5:$BD$1101,N$1,0)</f>
        <v>3.93</v>
      </c>
      <c r="O261" s="50">
        <f>VLOOKUP($A261,'[1]ma sp 02'!$A$5:$BD$1101,O$1,0)</f>
        <v>0</v>
      </c>
      <c r="P261" s="50">
        <f>VLOOKUP($A261,'[1]ma sp 02'!$A$5:$BD$1101,P$1,0)</f>
        <v>0.16</v>
      </c>
      <c r="Q261" s="50">
        <f>VLOOKUP($A261,'[1]ma sp 02'!$A$5:$BD$1101,Q$1,0)</f>
        <v>0</v>
      </c>
      <c r="R261" s="50">
        <f>VLOOKUP($A261,'[1]ma sp 02'!$A$5:$BD$1101,R$1,0)</f>
        <v>0</v>
      </c>
      <c r="S261" s="50">
        <f>VLOOKUP($A261,'[1]ma sp 02'!$A$5:$BD$1101,S$1,0)</f>
        <v>0</v>
      </c>
      <c r="T261" s="50">
        <f>VLOOKUP($A261,'[1]ma sp 02'!$A$5:$BD$1101,T$1,0)</f>
        <v>0</v>
      </c>
      <c r="U261" s="50">
        <f>VLOOKUP($A261,'[1]ma sp 02'!$A$5:$BD$1101,U$1,0)</f>
        <v>0</v>
      </c>
      <c r="V261" s="50">
        <f>VLOOKUP($A261,'[1]ma sp 02'!$A$5:$BD$1101,V$1,0)</f>
        <v>0</v>
      </c>
      <c r="W261" s="50">
        <f>VLOOKUP($A261,'[1]ma sp 02'!$A$5:$BD$1101,W$1,0)</f>
        <v>0</v>
      </c>
      <c r="X261" s="50">
        <f t="shared" si="6"/>
        <v>8</v>
      </c>
      <c r="Y261" s="57"/>
      <c r="Z261" s="57"/>
      <c r="AA261" s="57"/>
      <c r="AB261" s="57"/>
      <c r="AC261" s="57"/>
      <c r="AD261" s="57"/>
      <c r="AE261" s="58" t="s">
        <v>373</v>
      </c>
      <c r="AF261" s="58" t="s">
        <v>374</v>
      </c>
      <c r="AG261" s="71">
        <f>(0.012*1.4+0.012*1.4+0.075*0.925)*0.92</f>
        <v>9.4737000000000016E-2</v>
      </c>
      <c r="AH261" s="63">
        <f>(2.3/0.75/2)*0.91</f>
        <v>1.3953333333333333</v>
      </c>
      <c r="AI261" s="63">
        <f>(3/0.75/2)*0.91</f>
        <v>1.82</v>
      </c>
      <c r="AJ261" s="58">
        <v>9530</v>
      </c>
      <c r="AK261" s="58">
        <v>9530</v>
      </c>
      <c r="AL261" s="58" t="s">
        <v>117</v>
      </c>
      <c r="AM261" s="52" t="s">
        <v>60</v>
      </c>
      <c r="AN261" s="57">
        <v>335</v>
      </c>
      <c r="AO261" s="52" t="s">
        <v>916</v>
      </c>
      <c r="AP261" s="59">
        <f>IFERROR(VLOOKUP($A261,[2]Mssp!$A$5:$BE$1463,AP$4+1,0),0)</f>
        <v>0</v>
      </c>
      <c r="AQ261" s="59">
        <f>IFERROR(VLOOKUP($A261,[2]Mssp!$A$5:$BE$1463,AQ$4+1,0),0)</f>
        <v>0</v>
      </c>
      <c r="AR261" s="59">
        <f>IFERROR(VLOOKUP($A261,[2]Mssp!$A$5:$BE$1463,AR$4+1,0),0)</f>
        <v>0</v>
      </c>
      <c r="AS261" s="59">
        <f>IFERROR(VLOOKUP($A261,[2]Mssp!$A$5:$BE$1463,AS$4+1,0),0)</f>
        <v>0</v>
      </c>
      <c r="AT261" s="59">
        <f>IFERROR(VLOOKUP($A261,[2]Mssp!$A$5:$BE$1463,AT$4+1,0),0)</f>
        <v>0</v>
      </c>
      <c r="AU261" s="59">
        <f>IFERROR(VLOOKUP($A261,[2]Mssp!$A$5:$BE$1463,AU$4+1,0),0)</f>
        <v>0</v>
      </c>
      <c r="AV261" s="59">
        <f>IFERROR(VLOOKUP($A261,[2]Mssp!$A$5:$BE$1463,AV$4+1,0),0)</f>
        <v>0</v>
      </c>
      <c r="AW261" s="59">
        <f>IFERROR(VLOOKUP($A261,[2]Mssp!$A$5:$BE$1463,AW$4+1,0),0)</f>
        <v>0</v>
      </c>
      <c r="AX261" s="59">
        <f>IFERROR(VLOOKUP($A261,[2]Mssp!$A$5:$BE$1463,AX$4+1,0),0)</f>
        <v>0</v>
      </c>
      <c r="AY261" s="59">
        <f>IFERROR(VLOOKUP($A261,[2]Mssp!$A$5:$BE$1463,AY$4+2,0),0)</f>
        <v>0</v>
      </c>
      <c r="AZ261" s="59">
        <f>IFERROR(VLOOKUP($A261,[2]Mssp!$A$5:$BE$1463,AZ$4+2,0),0)</f>
        <v>0</v>
      </c>
      <c r="BA261" s="60">
        <v>2000</v>
      </c>
      <c r="BB261" s="61" t="s">
        <v>119</v>
      </c>
      <c r="BC261" s="62"/>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row>
    <row r="262" spans="1:94" ht="75" x14ac:dyDescent="0.25">
      <c r="A262" s="77" t="s">
        <v>919</v>
      </c>
      <c r="B262" s="73" t="s">
        <v>920</v>
      </c>
      <c r="C262" s="50">
        <f t="shared" si="7"/>
        <v>6.3579999999999997</v>
      </c>
      <c r="D262" s="58">
        <v>2</v>
      </c>
      <c r="E262" s="58" t="s">
        <v>484</v>
      </c>
      <c r="F262" s="58">
        <v>5</v>
      </c>
      <c r="G262" s="50" t="s">
        <v>530</v>
      </c>
      <c r="H262" s="50">
        <f>VLOOKUP($A262,'[1]ma sp 02'!$A$5:$BD$1101,H$1,0)</f>
        <v>0.06</v>
      </c>
      <c r="I262" s="50">
        <f>VLOOKUP($A262,'[1]ma sp 02'!$A$5:$BD$1101,I$1,0)</f>
        <v>1.02</v>
      </c>
      <c r="J262" s="50">
        <f>VLOOKUP($A262,'[1]ma sp 02'!$A$5:$BD$1101,J$1,0)</f>
        <v>0.01</v>
      </c>
      <c r="K262" s="50">
        <f>VLOOKUP($A262,'[1]ma sp 02'!$A$5:$BD$1101,K$1,0)</f>
        <v>0.56000000000000005</v>
      </c>
      <c r="L262" s="50">
        <f>VLOOKUP($A262,'[1]ma sp 02'!$A$5:$BD$1101,L$1,0)</f>
        <v>0.06</v>
      </c>
      <c r="M262" s="50">
        <f>VLOOKUP($A262,'[1]ma sp 02'!$A$5:$BD$1101,M$1,0)</f>
        <v>0.83799999999999997</v>
      </c>
      <c r="N262" s="50">
        <f>VLOOKUP($A262,'[1]ma sp 02'!$A$5:$BD$1101,N$1,0)</f>
        <v>3.44</v>
      </c>
      <c r="O262" s="50">
        <f>VLOOKUP($A262,'[1]ma sp 02'!$A$5:$BD$1101,O$1,0)</f>
        <v>0</v>
      </c>
      <c r="P262" s="50">
        <f>VLOOKUP($A262,'[1]ma sp 02'!$A$5:$BD$1101,P$1,0)</f>
        <v>0.03</v>
      </c>
      <c r="Q262" s="50">
        <f>VLOOKUP($A262,'[1]ma sp 02'!$A$5:$BD$1101,Q$1,0)</f>
        <v>0</v>
      </c>
      <c r="R262" s="50">
        <f>VLOOKUP($A262,'[1]ma sp 02'!$A$5:$BD$1101,R$1,0)</f>
        <v>0</v>
      </c>
      <c r="S262" s="50">
        <f>VLOOKUP($A262,'[1]ma sp 02'!$A$5:$BD$1101,S$1,0)</f>
        <v>0</v>
      </c>
      <c r="T262" s="50">
        <f>VLOOKUP($A262,'[1]ma sp 02'!$A$5:$BD$1101,T$1,0)</f>
        <v>0.34</v>
      </c>
      <c r="U262" s="50">
        <f>VLOOKUP($A262,'[1]ma sp 02'!$A$5:$BD$1101,U$1,0)</f>
        <v>0</v>
      </c>
      <c r="V262" s="50">
        <f>VLOOKUP($A262,'[1]ma sp 02'!$A$5:$BD$1101,V$1,0)</f>
        <v>0</v>
      </c>
      <c r="W262" s="50">
        <f>VLOOKUP($A262,'[1]ma sp 02'!$A$5:$BD$1101,W$1,0)</f>
        <v>0</v>
      </c>
      <c r="X262" s="50">
        <f t="shared" si="6"/>
        <v>9</v>
      </c>
      <c r="Y262" s="57"/>
      <c r="Z262" s="57"/>
      <c r="AA262" s="57"/>
      <c r="AB262" s="57"/>
      <c r="AC262" s="57"/>
      <c r="AD262" s="57"/>
      <c r="AE262" s="58" t="s">
        <v>485</v>
      </c>
      <c r="AF262" s="58" t="s">
        <v>921</v>
      </c>
      <c r="AG262" s="71">
        <f>(0.012*1.4+0.012*1.4+0.075*0.925)*0.76</f>
        <v>7.8261000000000011E-2</v>
      </c>
      <c r="AH262" s="63">
        <f>+(2.3/0.75/2)*0.75</f>
        <v>1.1499999999999999</v>
      </c>
      <c r="AI262" s="63">
        <f>(3/0.75/2)*0.75</f>
        <v>1.5</v>
      </c>
      <c r="AJ262" s="58">
        <v>9530</v>
      </c>
      <c r="AK262" s="58">
        <v>9530</v>
      </c>
      <c r="AL262" s="58" t="s">
        <v>117</v>
      </c>
      <c r="AM262" s="52" t="s">
        <v>60</v>
      </c>
      <c r="AN262" s="57">
        <v>420</v>
      </c>
      <c r="AO262" s="52" t="s">
        <v>916</v>
      </c>
      <c r="AP262" s="59">
        <f>IFERROR(VLOOKUP($A262,[2]Mssp!$A$5:$BE$1463,AP$4+1,0),0)</f>
        <v>0</v>
      </c>
      <c r="AQ262" s="59">
        <f>IFERROR(VLOOKUP($A262,[2]Mssp!$A$5:$BE$1463,AQ$4+1,0),0)</f>
        <v>0</v>
      </c>
      <c r="AR262" s="59">
        <f>IFERROR(VLOOKUP($A262,[2]Mssp!$A$5:$BE$1463,AR$4+1,0),0)</f>
        <v>0</v>
      </c>
      <c r="AS262" s="59">
        <f>IFERROR(VLOOKUP($A262,[2]Mssp!$A$5:$BE$1463,AS$4+1,0),0)</f>
        <v>0</v>
      </c>
      <c r="AT262" s="59">
        <f>IFERROR(VLOOKUP($A262,[2]Mssp!$A$5:$BE$1463,AT$4+1,0),0)</f>
        <v>0</v>
      </c>
      <c r="AU262" s="59">
        <f>IFERROR(VLOOKUP($A262,[2]Mssp!$A$5:$BE$1463,AU$4+1,0),0)</f>
        <v>0</v>
      </c>
      <c r="AV262" s="59">
        <f>IFERROR(VLOOKUP($A262,[2]Mssp!$A$5:$BE$1463,AV$4+1,0),0)</f>
        <v>0</v>
      </c>
      <c r="AW262" s="59">
        <f>IFERROR(VLOOKUP($A262,[2]Mssp!$A$5:$BE$1463,AW$4+1,0),0)</f>
        <v>0</v>
      </c>
      <c r="AX262" s="59">
        <f>IFERROR(VLOOKUP($A262,[2]Mssp!$A$5:$BE$1463,AX$4+1,0),0)</f>
        <v>0</v>
      </c>
      <c r="AY262" s="59">
        <f>IFERROR(VLOOKUP($A262,[2]Mssp!$A$5:$BE$1463,AY$4+2,0),0)</f>
        <v>0</v>
      </c>
      <c r="AZ262" s="59">
        <f>IFERROR(VLOOKUP($A262,[2]Mssp!$A$5:$BE$1463,AZ$4+2,0),0)</f>
        <v>0</v>
      </c>
      <c r="BA262" s="60">
        <v>1500</v>
      </c>
      <c r="BB262" s="61" t="s">
        <v>119</v>
      </c>
      <c r="BC262" s="62"/>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row>
    <row r="263" spans="1:94" ht="75" x14ac:dyDescent="0.25">
      <c r="A263" s="77" t="s">
        <v>922</v>
      </c>
      <c r="B263" s="73" t="s">
        <v>923</v>
      </c>
      <c r="C263" s="50">
        <f t="shared" si="7"/>
        <v>4.3959999999999999</v>
      </c>
      <c r="D263" s="58">
        <v>2</v>
      </c>
      <c r="E263" s="58" t="s">
        <v>484</v>
      </c>
      <c r="F263" s="58">
        <v>5</v>
      </c>
      <c r="G263" s="50" t="s">
        <v>530</v>
      </c>
      <c r="H263" s="50">
        <f>VLOOKUP($A263,'[1]ma sp 02'!$A$5:$BD$1101,H$1,0)</f>
        <v>0</v>
      </c>
      <c r="I263" s="50">
        <f>VLOOKUP($A263,'[1]ma sp 02'!$A$5:$BD$1101,I$1,0)</f>
        <v>0.65</v>
      </c>
      <c r="J263" s="50">
        <f>VLOOKUP($A263,'[1]ma sp 02'!$A$5:$BD$1101,J$1,0)</f>
        <v>0.02</v>
      </c>
      <c r="K263" s="50">
        <f>VLOOKUP($A263,'[1]ma sp 02'!$A$5:$BD$1101,K$1,0)</f>
        <v>0.03</v>
      </c>
      <c r="L263" s="50">
        <f>VLOOKUP($A263,'[1]ma sp 02'!$A$5:$BD$1101,L$1,0)</f>
        <v>0.02</v>
      </c>
      <c r="M263" s="50">
        <f>VLOOKUP($A263,'[1]ma sp 02'!$A$5:$BD$1101,M$1,0)</f>
        <v>0.44600000000000001</v>
      </c>
      <c r="N263" s="50">
        <f>VLOOKUP($A263,'[1]ma sp 02'!$A$5:$BD$1101,N$1,0)</f>
        <v>3.23</v>
      </c>
      <c r="O263" s="50">
        <f>VLOOKUP($A263,'[1]ma sp 02'!$A$5:$BD$1101,O$1,0)</f>
        <v>0</v>
      </c>
      <c r="P263" s="50">
        <f>VLOOKUP($A263,'[1]ma sp 02'!$A$5:$BD$1101,P$1,0)</f>
        <v>0</v>
      </c>
      <c r="Q263" s="50">
        <f>VLOOKUP($A263,'[1]ma sp 02'!$A$5:$BD$1101,Q$1,0)</f>
        <v>0</v>
      </c>
      <c r="R263" s="50">
        <f>VLOOKUP($A263,'[1]ma sp 02'!$A$5:$BD$1101,R$1,0)</f>
        <v>0</v>
      </c>
      <c r="S263" s="50">
        <f>VLOOKUP($A263,'[1]ma sp 02'!$A$5:$BD$1101,S$1,0)</f>
        <v>0</v>
      </c>
      <c r="T263" s="50">
        <f>VLOOKUP($A263,'[1]ma sp 02'!$A$5:$BD$1101,T$1,0)</f>
        <v>0</v>
      </c>
      <c r="U263" s="50">
        <f>VLOOKUP($A263,'[1]ma sp 02'!$A$5:$BD$1101,U$1,0)</f>
        <v>0</v>
      </c>
      <c r="V263" s="50">
        <f>VLOOKUP($A263,'[1]ma sp 02'!$A$5:$BD$1101,V$1,0)</f>
        <v>0</v>
      </c>
      <c r="W263" s="50">
        <f>VLOOKUP($A263,'[1]ma sp 02'!$A$5:$BD$1101,W$1,0)</f>
        <v>0</v>
      </c>
      <c r="X263" s="50">
        <f t="shared" si="6"/>
        <v>6</v>
      </c>
      <c r="Y263" s="57"/>
      <c r="Z263" s="57"/>
      <c r="AA263" s="57"/>
      <c r="AB263" s="57"/>
      <c r="AC263" s="57"/>
      <c r="AD263" s="57"/>
      <c r="AE263" s="58" t="s">
        <v>485</v>
      </c>
      <c r="AF263" s="58" t="s">
        <v>921</v>
      </c>
      <c r="AG263" s="71">
        <f>(0.012*1.4+0.012*1.4+0.075*0.925)*0.76</f>
        <v>7.8261000000000011E-2</v>
      </c>
      <c r="AH263" s="63">
        <f>+(2.3/0.75/2)*0.75</f>
        <v>1.1499999999999999</v>
      </c>
      <c r="AI263" s="63">
        <f>(3/0.75/2)*0.75</f>
        <v>1.5</v>
      </c>
      <c r="AJ263" s="58">
        <v>9530</v>
      </c>
      <c r="AK263" s="58">
        <v>9530</v>
      </c>
      <c r="AL263" s="58" t="s">
        <v>117</v>
      </c>
      <c r="AM263" s="52" t="s">
        <v>60</v>
      </c>
      <c r="AN263" s="57">
        <v>420</v>
      </c>
      <c r="AO263" s="52" t="s">
        <v>916</v>
      </c>
      <c r="AP263" s="59">
        <f>IFERROR(VLOOKUP($A263,[2]Mssp!$A$5:$BE$1463,AP$4+1,0),0)</f>
        <v>0</v>
      </c>
      <c r="AQ263" s="59">
        <f>IFERROR(VLOOKUP($A263,[2]Mssp!$A$5:$BE$1463,AQ$4+1,0),0)</f>
        <v>0</v>
      </c>
      <c r="AR263" s="59">
        <f>IFERROR(VLOOKUP($A263,[2]Mssp!$A$5:$BE$1463,AR$4+1,0),0)</f>
        <v>0</v>
      </c>
      <c r="AS263" s="59">
        <f>IFERROR(VLOOKUP($A263,[2]Mssp!$A$5:$BE$1463,AS$4+1,0),0)</f>
        <v>0</v>
      </c>
      <c r="AT263" s="59">
        <f>IFERROR(VLOOKUP($A263,[2]Mssp!$A$5:$BE$1463,AT$4+1,0),0)</f>
        <v>0</v>
      </c>
      <c r="AU263" s="59">
        <f>IFERROR(VLOOKUP($A263,[2]Mssp!$A$5:$BE$1463,AU$4+1,0),0)</f>
        <v>0</v>
      </c>
      <c r="AV263" s="59">
        <f>IFERROR(VLOOKUP($A263,[2]Mssp!$A$5:$BE$1463,AV$4+1,0),0)</f>
        <v>0</v>
      </c>
      <c r="AW263" s="59">
        <f>IFERROR(VLOOKUP($A263,[2]Mssp!$A$5:$BE$1463,AW$4+1,0),0)</f>
        <v>0</v>
      </c>
      <c r="AX263" s="59">
        <f>IFERROR(VLOOKUP($A263,[2]Mssp!$A$5:$BE$1463,AX$4+1,0),0)</f>
        <v>0</v>
      </c>
      <c r="AY263" s="59">
        <f>IFERROR(VLOOKUP($A263,[2]Mssp!$A$5:$BE$1463,AY$4+2,0),0)</f>
        <v>0</v>
      </c>
      <c r="AZ263" s="59">
        <f>IFERROR(VLOOKUP($A263,[2]Mssp!$A$5:$BE$1463,AZ$4+2,0),0)</f>
        <v>0</v>
      </c>
      <c r="BA263" s="60">
        <v>1500</v>
      </c>
      <c r="BB263" s="61" t="s">
        <v>119</v>
      </c>
      <c r="BC263" s="62"/>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c r="CP263" s="9"/>
    </row>
    <row r="264" spans="1:94" ht="45" x14ac:dyDescent="0.25">
      <c r="A264" s="50" t="s">
        <v>924</v>
      </c>
      <c r="B264" s="73" t="s">
        <v>925</v>
      </c>
      <c r="C264" s="50">
        <f t="shared" si="7"/>
        <v>6</v>
      </c>
      <c r="D264" s="58">
        <v>3</v>
      </c>
      <c r="E264" s="58" t="s">
        <v>926</v>
      </c>
      <c r="F264" s="58">
        <v>7</v>
      </c>
      <c r="G264" s="50" t="s">
        <v>530</v>
      </c>
      <c r="H264" s="50">
        <f>VLOOKUP($A264,'[1]ma sp 02'!$A$5:$BD$1101,H$1,0)</f>
        <v>0.6</v>
      </c>
      <c r="I264" s="50">
        <f>VLOOKUP($A264,'[1]ma sp 02'!$A$5:$BD$1101,I$1,0)</f>
        <v>3</v>
      </c>
      <c r="J264" s="50">
        <f>VLOOKUP($A264,'[1]ma sp 02'!$A$5:$BD$1101,J$1,0)</f>
        <v>0.8</v>
      </c>
      <c r="K264" s="50">
        <f>VLOOKUP($A264,'[1]ma sp 02'!$A$5:$BD$1101,K$1,0)</f>
        <v>0.4</v>
      </c>
      <c r="L264" s="50">
        <f>VLOOKUP($A264,'[1]ma sp 02'!$A$5:$BD$1101,L$1,0)</f>
        <v>0.1</v>
      </c>
      <c r="M264" s="50">
        <f>VLOOKUP($A264,'[1]ma sp 02'!$A$5:$BD$1101,M$1,0)</f>
        <v>0</v>
      </c>
      <c r="N264" s="50">
        <f>VLOOKUP($A264,'[1]ma sp 02'!$A$5:$BD$1101,N$1,0)</f>
        <v>0</v>
      </c>
      <c r="O264" s="50">
        <f>VLOOKUP($A264,'[1]ma sp 02'!$A$5:$BD$1101,O$1,0)</f>
        <v>0</v>
      </c>
      <c r="P264" s="50">
        <f>VLOOKUP($A264,'[1]ma sp 02'!$A$5:$BD$1101,P$1,0)</f>
        <v>1</v>
      </c>
      <c r="Q264" s="50">
        <f>VLOOKUP($A264,'[1]ma sp 02'!$A$5:$BD$1101,Q$1,0)</f>
        <v>0</v>
      </c>
      <c r="R264" s="50">
        <f>VLOOKUP($A264,'[1]ma sp 02'!$A$5:$BD$1101,R$1,0)</f>
        <v>0.1</v>
      </c>
      <c r="S264" s="50">
        <f>VLOOKUP($A264,'[1]ma sp 02'!$A$5:$BD$1101,S$1,0)</f>
        <v>0</v>
      </c>
      <c r="T264" s="50">
        <f>VLOOKUP($A264,'[1]ma sp 02'!$A$5:$BD$1101,T$1,0)</f>
        <v>0</v>
      </c>
      <c r="U264" s="50">
        <f>VLOOKUP($A264,'[1]ma sp 02'!$A$5:$BD$1101,U$1,0)</f>
        <v>0</v>
      </c>
      <c r="V264" s="50">
        <f>VLOOKUP($A264,'[1]ma sp 02'!$A$5:$BD$1101,V$1,0)</f>
        <v>0</v>
      </c>
      <c r="W264" s="50">
        <f>VLOOKUP($A264,'[1]ma sp 02'!$A$5:$BD$1101,W$1,0)</f>
        <v>0</v>
      </c>
      <c r="X264" s="50">
        <f t="shared" ref="X264:X329" si="9">COUNTIF(H264:W264, "&gt;0")</f>
        <v>7</v>
      </c>
      <c r="Y264" s="57"/>
      <c r="Z264" s="57"/>
      <c r="AA264" s="57"/>
      <c r="AB264" s="57"/>
      <c r="AC264" s="57"/>
      <c r="AD264" s="57"/>
      <c r="AE264" s="58" t="s">
        <v>927</v>
      </c>
      <c r="AF264" s="58" t="s">
        <v>928</v>
      </c>
      <c r="AG264" s="71">
        <f>(0.012*1.4+0.012*1.4+0.075*0.925)*0.632</f>
        <v>6.5080200000000005E-2</v>
      </c>
      <c r="AH264" s="63">
        <f>(2.3/0.75/2)*0.622</f>
        <v>0.95373333333333321</v>
      </c>
      <c r="AI264" s="63">
        <f>(2.3/0.75/2)*0.622</f>
        <v>0.95373333333333321</v>
      </c>
      <c r="AJ264" s="58">
        <v>9530</v>
      </c>
      <c r="AK264" s="58">
        <v>9530</v>
      </c>
      <c r="AL264" s="58" t="s">
        <v>354</v>
      </c>
      <c r="AM264" s="97" t="s">
        <v>74</v>
      </c>
      <c r="AN264" s="57">
        <v>145</v>
      </c>
      <c r="AO264" s="97" t="s">
        <v>553</v>
      </c>
      <c r="AP264" s="59" t="str">
        <f>IFERROR(VLOOKUP($A264,[2]Mssp!$A$5:$BE$1463,AP$4+1,0),0)</f>
        <v>17051024-1</v>
      </c>
      <c r="AQ264" s="59" t="str">
        <f>IFERROR(VLOOKUP($A264,[2]Mssp!$A$5:$BE$1463,AQ$4+1,0),0)</f>
        <v>17051024-2</v>
      </c>
      <c r="AR264" s="59" t="str">
        <f>IFERROR(VLOOKUP($A264,[2]Mssp!$A$5:$BE$1463,AR$4+1,0),0)</f>
        <v>17051024-3</v>
      </c>
      <c r="AS264" s="59" t="str">
        <f>IFERROR(VLOOKUP($A264,[2]Mssp!$A$5:$BE$1463,AS$4+1,0),0)</f>
        <v>17051024-4</v>
      </c>
      <c r="AT264" s="59" t="str">
        <f>IFERROR(VLOOKUP($A264,[2]Mssp!$A$5:$BE$1463,AT$4+1,0),0)</f>
        <v>17051024-5</v>
      </c>
      <c r="AU264" s="59" t="str">
        <f>IFERROR(VLOOKUP($A264,[2]Mssp!$A$5:$BE$1463,AU$4+1,0),0)</f>
        <v>17051024-6</v>
      </c>
      <c r="AV264" s="59" t="str">
        <f>IFERROR(VLOOKUP($A264,[2]Mssp!$A$5:$BE$1463,AV$4+1,0),0)</f>
        <v>17051024-7</v>
      </c>
      <c r="AW264" s="59">
        <f>IFERROR(VLOOKUP($A264,[2]Mssp!$A$5:$BE$1463,AW$4+1,0),0)</f>
        <v>0</v>
      </c>
      <c r="AX264" s="59">
        <f>IFERROR(VLOOKUP($A264,[2]Mssp!$A$5:$BE$1463,AX$4+1,0),0)</f>
        <v>0</v>
      </c>
      <c r="AY264" s="59" t="str">
        <f>IFERROR(VLOOKUP($A264,[2]Mssp!$A$5:$BE$1463,AY$4+2,0),0)</f>
        <v>435x750</v>
      </c>
      <c r="AZ264" s="59" t="str">
        <f>IFERROR(VLOOKUP($A264,[2]Mssp!$A$5:$BE$1463,AZ$4+2,0),0)</f>
        <v>O2</v>
      </c>
      <c r="BA264" s="60">
        <v>12000</v>
      </c>
      <c r="BB264" s="61" t="s">
        <v>62</v>
      </c>
      <c r="BC264" s="62"/>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c r="CP264" s="9"/>
    </row>
    <row r="265" spans="1:94" ht="45" x14ac:dyDescent="0.25">
      <c r="A265" s="50" t="s">
        <v>929</v>
      </c>
      <c r="B265" s="73" t="s">
        <v>930</v>
      </c>
      <c r="C265" s="50">
        <f t="shared" si="7"/>
        <v>6.26</v>
      </c>
      <c r="D265" s="58">
        <v>2</v>
      </c>
      <c r="E265" s="58" t="s">
        <v>437</v>
      </c>
      <c r="F265" s="58">
        <v>7</v>
      </c>
      <c r="G265" s="50" t="s">
        <v>530</v>
      </c>
      <c r="H265" s="50">
        <f>VLOOKUP($A265,'[1]ma sp 02'!$A$5:$BD$1101,H$1,0)</f>
        <v>0.18</v>
      </c>
      <c r="I265" s="50">
        <f>VLOOKUP($A265,'[1]ma sp 02'!$A$5:$BD$1101,I$1,0)</f>
        <v>2.8</v>
      </c>
      <c r="J265" s="50">
        <f>VLOOKUP($A265,'[1]ma sp 02'!$A$5:$BD$1101,J$1,0)</f>
        <v>0.1</v>
      </c>
      <c r="K265" s="50">
        <f>VLOOKUP($A265,'[1]ma sp 02'!$A$5:$BD$1101,K$1,0)</f>
        <v>0.28000000000000003</v>
      </c>
      <c r="L265" s="50">
        <f>VLOOKUP($A265,'[1]ma sp 02'!$A$5:$BD$1101,L$1,0)</f>
        <v>1</v>
      </c>
      <c r="M265" s="50">
        <f>VLOOKUP($A265,'[1]ma sp 02'!$A$5:$BD$1101,M$1,0)</f>
        <v>0.7</v>
      </c>
      <c r="N265" s="50">
        <f>VLOOKUP($A265,'[1]ma sp 02'!$A$5:$BD$1101,N$1,0)</f>
        <v>0</v>
      </c>
      <c r="O265" s="50">
        <f>VLOOKUP($A265,'[1]ma sp 02'!$A$5:$BD$1101,O$1,0)</f>
        <v>0</v>
      </c>
      <c r="P265" s="50">
        <f>VLOOKUP($A265,'[1]ma sp 02'!$A$5:$BD$1101,P$1,0)</f>
        <v>1.1000000000000001</v>
      </c>
      <c r="Q265" s="50">
        <f>VLOOKUP($A265,'[1]ma sp 02'!$A$5:$BD$1101,Q$1,0)</f>
        <v>0</v>
      </c>
      <c r="R265" s="50">
        <f>VLOOKUP($A265,'[1]ma sp 02'!$A$5:$BD$1101,R$1,0)</f>
        <v>0.1</v>
      </c>
      <c r="S265" s="50">
        <f>VLOOKUP($A265,'[1]ma sp 02'!$A$5:$BD$1101,S$1,0)</f>
        <v>0</v>
      </c>
      <c r="T265" s="50">
        <f>VLOOKUP($A265,'[1]ma sp 02'!$A$5:$BD$1101,T$1,0)</f>
        <v>0</v>
      </c>
      <c r="U265" s="50">
        <f>VLOOKUP($A265,'[1]ma sp 02'!$A$5:$BD$1101,U$1,0)</f>
        <v>0</v>
      </c>
      <c r="V265" s="50">
        <f>VLOOKUP($A265,'[1]ma sp 02'!$A$5:$BD$1101,V$1,0)</f>
        <v>0</v>
      </c>
      <c r="W265" s="50">
        <f>VLOOKUP($A265,'[1]ma sp 02'!$A$5:$BD$1101,W$1,0)</f>
        <v>0</v>
      </c>
      <c r="X265" s="50">
        <f t="shared" si="9"/>
        <v>8</v>
      </c>
      <c r="Y265" s="57"/>
      <c r="Z265" s="57"/>
      <c r="AA265" s="57"/>
      <c r="AB265" s="57"/>
      <c r="AC265" s="57"/>
      <c r="AD265" s="57"/>
      <c r="AE265" s="58" t="s">
        <v>66</v>
      </c>
      <c r="AF265" s="58" t="s">
        <v>412</v>
      </c>
      <c r="AG265" s="71">
        <f>(0.012*1.4+0.012*1.4+0.075*0.925)*0.68</f>
        <v>7.0023000000000016E-2</v>
      </c>
      <c r="AH265" s="63">
        <f>(2.3/0.75/2)*0.67</f>
        <v>1.0273333333333332</v>
      </c>
      <c r="AI265" s="63">
        <f>(2.3/0.75/2)*0.67</f>
        <v>1.0273333333333332</v>
      </c>
      <c r="AJ265" s="58">
        <v>9530</v>
      </c>
      <c r="AK265" s="58">
        <v>9530</v>
      </c>
      <c r="AL265" s="58" t="s">
        <v>354</v>
      </c>
      <c r="AM265" s="97" t="s">
        <v>74</v>
      </c>
      <c r="AN265" s="57">
        <v>115</v>
      </c>
      <c r="AO265" s="97" t="s">
        <v>553</v>
      </c>
      <c r="AP265" s="59" t="str">
        <f>IFERROR(VLOOKUP($A265,[2]Mssp!$A$5:$BE$1463,AP$4+1,0),0)</f>
        <v>20050199-1</v>
      </c>
      <c r="AQ265" s="59" t="str">
        <f>IFERROR(VLOOKUP($A265,[2]Mssp!$A$5:$BE$1463,AQ$4+1,0),0)</f>
        <v>17051023-2</v>
      </c>
      <c r="AR265" s="59" t="str">
        <f>IFERROR(VLOOKUP($A265,[2]Mssp!$A$5:$BE$1463,AR$4+1,0),0)</f>
        <v>17051023-3</v>
      </c>
      <c r="AS265" s="59" t="str">
        <f>IFERROR(VLOOKUP($A265,[2]Mssp!$A$5:$BE$1463,AS$4+1,0),0)</f>
        <v>17051023-4</v>
      </c>
      <c r="AT265" s="59" t="str">
        <f>IFERROR(VLOOKUP($A265,[2]Mssp!$A$5:$BE$1463,AT$4+1,0),0)</f>
        <v>20050199-5</v>
      </c>
      <c r="AU265" s="59" t="str">
        <f>IFERROR(VLOOKUP($A265,[2]Mssp!$A$5:$BE$1463,AU$4+1,0),0)</f>
        <v>20050199-6</v>
      </c>
      <c r="AV265" s="59" t="str">
        <f>IFERROR(VLOOKUP($A265,[2]Mssp!$A$5:$BE$1463,AV$4+1,0),0)</f>
        <v>17051023-7</v>
      </c>
      <c r="AW265" s="59">
        <f>IFERROR(VLOOKUP($A265,[2]Mssp!$A$5:$BE$1463,AW$4+1,0),0)</f>
        <v>0</v>
      </c>
      <c r="AX265" s="59">
        <f>IFERROR(VLOOKUP($A265,[2]Mssp!$A$5:$BE$1463,AX$4+1,0),0)</f>
        <v>0</v>
      </c>
      <c r="AY265" s="59" t="str">
        <f>IFERROR(VLOOKUP($A265,[2]Mssp!$A$5:$BE$1463,AY$4+2,0),0)</f>
        <v>460x750</v>
      </c>
      <c r="AZ265" s="59" t="str">
        <f>IFERROR(VLOOKUP($A265,[2]Mssp!$A$5:$BE$1463,AZ$4+2,0),0)</f>
        <v>O2</v>
      </c>
      <c r="BA265" s="60">
        <v>10000</v>
      </c>
      <c r="BB265" s="61" t="s">
        <v>62</v>
      </c>
      <c r="BC265" s="62"/>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c r="CP265" s="9"/>
    </row>
    <row r="266" spans="1:94" ht="75" x14ac:dyDescent="0.25">
      <c r="A266" s="77" t="s">
        <v>931</v>
      </c>
      <c r="B266" s="73" t="s">
        <v>932</v>
      </c>
      <c r="C266" s="50">
        <f t="shared" si="7"/>
        <v>5.4189999999999996</v>
      </c>
      <c r="D266" s="58">
        <v>3</v>
      </c>
      <c r="E266" s="58" t="s">
        <v>113</v>
      </c>
      <c r="F266" s="58">
        <v>5</v>
      </c>
      <c r="G266" s="50" t="s">
        <v>530</v>
      </c>
      <c r="H266" s="50">
        <f>VLOOKUP($A266,'[1]ma sp 02'!$A$5:$BD$1101,H$1,0)</f>
        <v>0.12</v>
      </c>
      <c r="I266" s="50">
        <f>VLOOKUP($A266,'[1]ma sp 02'!$A$5:$BD$1101,I$1,0)</f>
        <v>0.7</v>
      </c>
      <c r="J266" s="50">
        <f>VLOOKUP($A266,'[1]ma sp 02'!$A$5:$BD$1101,J$1,0)</f>
        <v>0.23</v>
      </c>
      <c r="K266" s="50">
        <f>VLOOKUP($A266,'[1]ma sp 02'!$A$5:$BD$1101,K$1,0)</f>
        <v>0.23</v>
      </c>
      <c r="L266" s="50">
        <f>VLOOKUP($A266,'[1]ma sp 02'!$A$5:$BD$1101,L$1,0)</f>
        <v>0.06</v>
      </c>
      <c r="M266" s="50">
        <f>VLOOKUP($A266,'[1]ma sp 02'!$A$5:$BD$1101,M$1,0)</f>
        <v>0.34899999999999998</v>
      </c>
      <c r="N266" s="50">
        <f>VLOOKUP($A266,'[1]ma sp 02'!$A$5:$BD$1101,N$1,0)</f>
        <v>3.61</v>
      </c>
      <c r="O266" s="50">
        <f>VLOOKUP($A266,'[1]ma sp 02'!$A$5:$BD$1101,O$1,0)</f>
        <v>0.12</v>
      </c>
      <c r="P266" s="50">
        <f>VLOOKUP($A266,'[1]ma sp 02'!$A$5:$BD$1101,P$1,0)</f>
        <v>0</v>
      </c>
      <c r="Q266" s="50">
        <f>VLOOKUP($A266,'[1]ma sp 02'!$A$5:$BD$1101,Q$1,0)</f>
        <v>0</v>
      </c>
      <c r="R266" s="50">
        <f>VLOOKUP($A266,'[1]ma sp 02'!$A$5:$BD$1101,R$1,0)</f>
        <v>0</v>
      </c>
      <c r="S266" s="50">
        <f>VLOOKUP($A266,'[1]ma sp 02'!$A$5:$BD$1101,S$1,0)</f>
        <v>0</v>
      </c>
      <c r="T266" s="50">
        <f>VLOOKUP($A266,'[1]ma sp 02'!$A$5:$BD$1101,T$1,0)</f>
        <v>0</v>
      </c>
      <c r="U266" s="50">
        <f>VLOOKUP($A266,'[1]ma sp 02'!$A$5:$BD$1101,U$1,0)</f>
        <v>0</v>
      </c>
      <c r="V266" s="50">
        <f>VLOOKUP($A266,'[1]ma sp 02'!$A$5:$BD$1101,V$1,0)</f>
        <v>0</v>
      </c>
      <c r="W266" s="50">
        <f>VLOOKUP($A266,'[1]ma sp 02'!$A$5:$BD$1101,W$1,0)</f>
        <v>0</v>
      </c>
      <c r="X266" s="50">
        <f t="shared" si="9"/>
        <v>8</v>
      </c>
      <c r="Y266" s="57"/>
      <c r="Z266" s="57"/>
      <c r="AA266" s="57"/>
      <c r="AB266" s="57"/>
      <c r="AC266" s="57"/>
      <c r="AD266" s="57"/>
      <c r="AE266" s="58" t="s">
        <v>115</v>
      </c>
      <c r="AF266" s="58" t="s">
        <v>321</v>
      </c>
      <c r="AG266" s="71">
        <f>(0.012*1.4+0.012*1.4+0.075*0.925)*0.74</f>
        <v>7.6201500000000005E-2</v>
      </c>
      <c r="AH266" s="63">
        <f>(2.3/0.75/2)*0.73</f>
        <v>1.1193333333333333</v>
      </c>
      <c r="AI266" s="63">
        <f>(3/0.75/2)*0.73</f>
        <v>1.46</v>
      </c>
      <c r="AJ266" s="58">
        <v>9530</v>
      </c>
      <c r="AK266" s="58">
        <v>9530</v>
      </c>
      <c r="AL266" s="58" t="s">
        <v>117</v>
      </c>
      <c r="AM266" s="52" t="s">
        <v>60</v>
      </c>
      <c r="AN266" s="57">
        <v>270</v>
      </c>
      <c r="AO266" s="52" t="s">
        <v>916</v>
      </c>
      <c r="AP266" s="59">
        <f>IFERROR(VLOOKUP($A266,[2]Mssp!$A$5:$BE$1463,AP$4+1,0),0)</f>
        <v>0</v>
      </c>
      <c r="AQ266" s="59">
        <f>IFERROR(VLOOKUP($A266,[2]Mssp!$A$5:$BE$1463,AQ$4+1,0),0)</f>
        <v>0</v>
      </c>
      <c r="AR266" s="59">
        <f>IFERROR(VLOOKUP($A266,[2]Mssp!$A$5:$BE$1463,AR$4+1,0),0)</f>
        <v>0</v>
      </c>
      <c r="AS266" s="59">
        <f>IFERROR(VLOOKUP($A266,[2]Mssp!$A$5:$BE$1463,AS$4+1,0),0)</f>
        <v>0</v>
      </c>
      <c r="AT266" s="59">
        <f>IFERROR(VLOOKUP($A266,[2]Mssp!$A$5:$BE$1463,AT$4+1,0),0)</f>
        <v>0</v>
      </c>
      <c r="AU266" s="59">
        <f>IFERROR(VLOOKUP($A266,[2]Mssp!$A$5:$BE$1463,AU$4+1,0),0)</f>
        <v>0</v>
      </c>
      <c r="AV266" s="59">
        <f>IFERROR(VLOOKUP($A266,[2]Mssp!$A$5:$BE$1463,AV$4+1,0),0)</f>
        <v>0</v>
      </c>
      <c r="AW266" s="59">
        <f>IFERROR(VLOOKUP($A266,[2]Mssp!$A$5:$BE$1463,AW$4+1,0),0)</f>
        <v>0</v>
      </c>
      <c r="AX266" s="59">
        <f>IFERROR(VLOOKUP($A266,[2]Mssp!$A$5:$BE$1463,AX$4+1,0),0)</f>
        <v>0</v>
      </c>
      <c r="AY266" s="59">
        <f>IFERROR(VLOOKUP($A266,[2]Mssp!$A$5:$BE$1463,AY$4+2,0),0)</f>
        <v>0</v>
      </c>
      <c r="AZ266" s="59">
        <f>IFERROR(VLOOKUP($A266,[2]Mssp!$A$5:$BE$1463,AZ$4+2,0),0)</f>
        <v>0</v>
      </c>
      <c r="BA266" s="60">
        <v>4000</v>
      </c>
      <c r="BB266" s="61" t="s">
        <v>119</v>
      </c>
      <c r="BC266" s="62"/>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c r="CP266" s="9"/>
    </row>
    <row r="267" spans="1:94" ht="75" x14ac:dyDescent="0.25">
      <c r="A267" s="77" t="s">
        <v>933</v>
      </c>
      <c r="B267" s="73" t="s">
        <v>934</v>
      </c>
      <c r="C267" s="50">
        <f t="shared" si="7"/>
        <v>4.8170000000000002</v>
      </c>
      <c r="D267" s="58">
        <v>3</v>
      </c>
      <c r="E267" s="58" t="s">
        <v>690</v>
      </c>
      <c r="F267" s="58">
        <v>5</v>
      </c>
      <c r="G267" s="50" t="s">
        <v>530</v>
      </c>
      <c r="H267" s="50">
        <f>VLOOKUP($A267,'[1]ma sp 02'!$A$5:$BD$1101,H$1,0)</f>
        <v>0</v>
      </c>
      <c r="I267" s="50">
        <f>VLOOKUP($A267,'[1]ma sp 02'!$A$5:$BD$1101,I$1,0)</f>
        <v>0.24</v>
      </c>
      <c r="J267" s="50">
        <f>VLOOKUP($A267,'[1]ma sp 02'!$A$5:$BD$1101,J$1,0)</f>
        <v>0.48</v>
      </c>
      <c r="K267" s="50">
        <f>VLOOKUP($A267,'[1]ma sp 02'!$A$5:$BD$1101,K$1,0)</f>
        <v>0</v>
      </c>
      <c r="L267" s="50">
        <f>VLOOKUP($A267,'[1]ma sp 02'!$A$5:$BD$1101,L$1,0)</f>
        <v>0.01</v>
      </c>
      <c r="M267" s="50">
        <f>VLOOKUP($A267,'[1]ma sp 02'!$A$5:$BD$1101,M$1,0)</f>
        <v>0.76700000000000002</v>
      </c>
      <c r="N267" s="50">
        <f>VLOOKUP($A267,'[1]ma sp 02'!$A$5:$BD$1101,N$1,0)</f>
        <v>3.31</v>
      </c>
      <c r="O267" s="50">
        <f>VLOOKUP($A267,'[1]ma sp 02'!$A$5:$BD$1101,O$1,0)</f>
        <v>0.01</v>
      </c>
      <c r="P267" s="50">
        <f>VLOOKUP($A267,'[1]ma sp 02'!$A$5:$BD$1101,P$1,0)</f>
        <v>0</v>
      </c>
      <c r="Q267" s="50">
        <f>VLOOKUP($A267,'[1]ma sp 02'!$A$5:$BD$1101,Q$1,0)</f>
        <v>0</v>
      </c>
      <c r="R267" s="50">
        <f>VLOOKUP($A267,'[1]ma sp 02'!$A$5:$BD$1101,R$1,0)</f>
        <v>0</v>
      </c>
      <c r="S267" s="50">
        <f>VLOOKUP($A267,'[1]ma sp 02'!$A$5:$BD$1101,S$1,0)</f>
        <v>0</v>
      </c>
      <c r="T267" s="50">
        <f>VLOOKUP($A267,'[1]ma sp 02'!$A$5:$BD$1101,T$1,0)</f>
        <v>0</v>
      </c>
      <c r="U267" s="50">
        <f>VLOOKUP($A267,'[1]ma sp 02'!$A$5:$BD$1101,U$1,0)</f>
        <v>0</v>
      </c>
      <c r="V267" s="50">
        <f>VLOOKUP($A267,'[1]ma sp 02'!$A$5:$BD$1101,V$1,0)</f>
        <v>0</v>
      </c>
      <c r="W267" s="50">
        <f>VLOOKUP($A267,'[1]ma sp 02'!$A$5:$BD$1101,W$1,0)</f>
        <v>0</v>
      </c>
      <c r="X267" s="50">
        <f t="shared" si="9"/>
        <v>6</v>
      </c>
      <c r="Y267" s="57"/>
      <c r="Z267" s="57"/>
      <c r="AA267" s="57"/>
      <c r="AB267" s="57"/>
      <c r="AC267" s="57"/>
      <c r="AD267" s="57"/>
      <c r="AE267" s="58" t="s">
        <v>373</v>
      </c>
      <c r="AF267" s="58" t="s">
        <v>374</v>
      </c>
      <c r="AG267" s="71">
        <f>(0.012*1.4+0.012*1.4+0.075*0.925)*0.92</f>
        <v>9.4737000000000016E-2</v>
      </c>
      <c r="AH267" s="63">
        <f>(2.3/0.75/2)*0.91</f>
        <v>1.3953333333333333</v>
      </c>
      <c r="AI267" s="63">
        <f>(3/0.75/2)*0.91</f>
        <v>1.82</v>
      </c>
      <c r="AJ267" s="58">
        <v>9530</v>
      </c>
      <c r="AK267" s="58">
        <v>9530</v>
      </c>
      <c r="AL267" s="58" t="s">
        <v>117</v>
      </c>
      <c r="AM267" s="52" t="s">
        <v>60</v>
      </c>
      <c r="AN267" s="57">
        <v>335</v>
      </c>
      <c r="AO267" s="52" t="s">
        <v>916</v>
      </c>
      <c r="AP267" s="59">
        <f>IFERROR(VLOOKUP($A267,[2]Mssp!$A$5:$BE$1463,AP$4+1,0),0)</f>
        <v>0</v>
      </c>
      <c r="AQ267" s="59">
        <f>IFERROR(VLOOKUP($A267,[2]Mssp!$A$5:$BE$1463,AQ$4+1,0),0)</f>
        <v>0</v>
      </c>
      <c r="AR267" s="59">
        <f>IFERROR(VLOOKUP($A267,[2]Mssp!$A$5:$BE$1463,AR$4+1,0),0)</f>
        <v>0</v>
      </c>
      <c r="AS267" s="59">
        <f>IFERROR(VLOOKUP($A267,[2]Mssp!$A$5:$BE$1463,AS$4+1,0),0)</f>
        <v>0</v>
      </c>
      <c r="AT267" s="59">
        <f>IFERROR(VLOOKUP($A267,[2]Mssp!$A$5:$BE$1463,AT$4+1,0),0)</f>
        <v>0</v>
      </c>
      <c r="AU267" s="59">
        <f>IFERROR(VLOOKUP($A267,[2]Mssp!$A$5:$BE$1463,AU$4+1,0),0)</f>
        <v>0</v>
      </c>
      <c r="AV267" s="59">
        <f>IFERROR(VLOOKUP($A267,[2]Mssp!$A$5:$BE$1463,AV$4+1,0),0)</f>
        <v>0</v>
      </c>
      <c r="AW267" s="59">
        <f>IFERROR(VLOOKUP($A267,[2]Mssp!$A$5:$BE$1463,AW$4+1,0),0)</f>
        <v>0</v>
      </c>
      <c r="AX267" s="59">
        <f>IFERROR(VLOOKUP($A267,[2]Mssp!$A$5:$BE$1463,AX$4+1,0),0)</f>
        <v>0</v>
      </c>
      <c r="AY267" s="59">
        <f>IFERROR(VLOOKUP($A267,[2]Mssp!$A$5:$BE$1463,AY$4+2,0),0)</f>
        <v>0</v>
      </c>
      <c r="AZ267" s="59">
        <f>IFERROR(VLOOKUP($A267,[2]Mssp!$A$5:$BE$1463,AZ$4+2,0),0)</f>
        <v>0</v>
      </c>
      <c r="BA267" s="60">
        <v>2500</v>
      </c>
      <c r="BB267" s="61" t="s">
        <v>119</v>
      </c>
      <c r="BC267" s="62"/>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c r="CP267" s="9"/>
    </row>
    <row r="268" spans="1:94" ht="75" x14ac:dyDescent="0.25">
      <c r="A268" s="77" t="s">
        <v>935</v>
      </c>
      <c r="B268" s="73" t="s">
        <v>936</v>
      </c>
      <c r="C268" s="50">
        <f t="shared" si="7"/>
        <v>5.1069999999999993</v>
      </c>
      <c r="D268" s="58">
        <v>2</v>
      </c>
      <c r="E268" s="58" t="s">
        <v>484</v>
      </c>
      <c r="F268" s="58">
        <v>5</v>
      </c>
      <c r="G268" s="50" t="s">
        <v>530</v>
      </c>
      <c r="H268" s="50">
        <f>VLOOKUP($A268,'[1]ma sp 02'!$A$5:$BD$1101,H$1,0)</f>
        <v>0</v>
      </c>
      <c r="I268" s="50">
        <f>VLOOKUP($A268,'[1]ma sp 02'!$A$5:$BD$1101,I$1,0)</f>
        <v>0.63</v>
      </c>
      <c r="J268" s="50">
        <f>VLOOKUP($A268,'[1]ma sp 02'!$A$5:$BD$1101,J$1,0)</f>
        <v>0.28999999999999998</v>
      </c>
      <c r="K268" s="50">
        <f>VLOOKUP($A268,'[1]ma sp 02'!$A$5:$BD$1101,K$1,0)</f>
        <v>0</v>
      </c>
      <c r="L268" s="50">
        <f>VLOOKUP($A268,'[1]ma sp 02'!$A$5:$BD$1101,L$1,0)</f>
        <v>0.11</v>
      </c>
      <c r="M268" s="50">
        <f>VLOOKUP($A268,'[1]ma sp 02'!$A$5:$BD$1101,M$1,0)</f>
        <v>0.68700000000000006</v>
      </c>
      <c r="N268" s="50">
        <f>VLOOKUP($A268,'[1]ma sp 02'!$A$5:$BD$1101,N$1,0)</f>
        <v>3.38</v>
      </c>
      <c r="O268" s="50">
        <f>VLOOKUP($A268,'[1]ma sp 02'!$A$5:$BD$1101,O$1,0)</f>
        <v>0.01</v>
      </c>
      <c r="P268" s="50">
        <f>VLOOKUP($A268,'[1]ma sp 02'!$A$5:$BD$1101,P$1,0)</f>
        <v>0</v>
      </c>
      <c r="Q268" s="50">
        <f>VLOOKUP($A268,'[1]ma sp 02'!$A$5:$BD$1101,Q$1,0)</f>
        <v>0</v>
      </c>
      <c r="R268" s="50">
        <f>VLOOKUP($A268,'[1]ma sp 02'!$A$5:$BD$1101,R$1,0)</f>
        <v>0</v>
      </c>
      <c r="S268" s="50">
        <f>VLOOKUP($A268,'[1]ma sp 02'!$A$5:$BD$1101,S$1,0)</f>
        <v>0</v>
      </c>
      <c r="T268" s="50">
        <f>VLOOKUP($A268,'[1]ma sp 02'!$A$5:$BD$1101,T$1,0)</f>
        <v>0</v>
      </c>
      <c r="U268" s="50">
        <f>VLOOKUP($A268,'[1]ma sp 02'!$A$5:$BD$1101,U$1,0)</f>
        <v>0</v>
      </c>
      <c r="V268" s="50">
        <f>VLOOKUP($A268,'[1]ma sp 02'!$A$5:$BD$1101,V$1,0)</f>
        <v>0</v>
      </c>
      <c r="W268" s="50">
        <f>VLOOKUP($A268,'[1]ma sp 02'!$A$5:$BD$1101,W$1,0)</f>
        <v>0</v>
      </c>
      <c r="X268" s="50">
        <f t="shared" si="9"/>
        <v>6</v>
      </c>
      <c r="Y268" s="57"/>
      <c r="Z268" s="57"/>
      <c r="AA268" s="57"/>
      <c r="AB268" s="57"/>
      <c r="AC268" s="57"/>
      <c r="AD268" s="57"/>
      <c r="AE268" s="58" t="s">
        <v>485</v>
      </c>
      <c r="AF268" s="58" t="s">
        <v>921</v>
      </c>
      <c r="AG268" s="71">
        <f>(0.012*1.4+0.012*1.4+0.075*0.925)*0.76</f>
        <v>7.8261000000000011E-2</v>
      </c>
      <c r="AH268" s="63">
        <f>+(2.3/0.75/2)*0.75</f>
        <v>1.1499999999999999</v>
      </c>
      <c r="AI268" s="63">
        <f>(3/0.75/2)*0.75</f>
        <v>1.5</v>
      </c>
      <c r="AJ268" s="58">
        <v>9530</v>
      </c>
      <c r="AK268" s="58">
        <v>9530</v>
      </c>
      <c r="AL268" s="58" t="s">
        <v>117</v>
      </c>
      <c r="AM268" s="52" t="s">
        <v>60</v>
      </c>
      <c r="AN268" s="57">
        <v>420</v>
      </c>
      <c r="AO268" s="52" t="s">
        <v>916</v>
      </c>
      <c r="AP268" s="59">
        <f>IFERROR(VLOOKUP($A268,[2]Mssp!$A$5:$BE$1463,AP$4+1,0),0)</f>
        <v>0</v>
      </c>
      <c r="AQ268" s="59">
        <f>IFERROR(VLOOKUP($A268,[2]Mssp!$A$5:$BE$1463,AQ$4+1,0),0)</f>
        <v>0</v>
      </c>
      <c r="AR268" s="59">
        <f>IFERROR(VLOOKUP($A268,[2]Mssp!$A$5:$BE$1463,AR$4+1,0),0)</f>
        <v>0</v>
      </c>
      <c r="AS268" s="59">
        <f>IFERROR(VLOOKUP($A268,[2]Mssp!$A$5:$BE$1463,AS$4+1,0),0)</f>
        <v>0</v>
      </c>
      <c r="AT268" s="59">
        <f>IFERROR(VLOOKUP($A268,[2]Mssp!$A$5:$BE$1463,AT$4+1,0),0)</f>
        <v>0</v>
      </c>
      <c r="AU268" s="59">
        <f>IFERROR(VLOOKUP($A268,[2]Mssp!$A$5:$BE$1463,AU$4+1,0),0)</f>
        <v>0</v>
      </c>
      <c r="AV268" s="59">
        <f>IFERROR(VLOOKUP($A268,[2]Mssp!$A$5:$BE$1463,AV$4+1,0),0)</f>
        <v>0</v>
      </c>
      <c r="AW268" s="59">
        <f>IFERROR(VLOOKUP($A268,[2]Mssp!$A$5:$BE$1463,AW$4+1,0),0)</f>
        <v>0</v>
      </c>
      <c r="AX268" s="59">
        <f>IFERROR(VLOOKUP($A268,[2]Mssp!$A$5:$BE$1463,AX$4+1,0),0)</f>
        <v>0</v>
      </c>
      <c r="AY268" s="59">
        <f>IFERROR(VLOOKUP($A268,[2]Mssp!$A$5:$BE$1463,AY$4+2,0),0)</f>
        <v>0</v>
      </c>
      <c r="AZ268" s="59">
        <f>IFERROR(VLOOKUP($A268,[2]Mssp!$A$5:$BE$1463,AZ$4+2,0),0)</f>
        <v>0</v>
      </c>
      <c r="BA268" s="60">
        <v>1500</v>
      </c>
      <c r="BB268" s="61" t="s">
        <v>119</v>
      </c>
      <c r="BC268" s="62"/>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c r="CP268" s="9"/>
    </row>
    <row r="269" spans="1:94" ht="75" x14ac:dyDescent="0.25">
      <c r="A269" s="77" t="s">
        <v>937</v>
      </c>
      <c r="B269" s="73" t="s">
        <v>938</v>
      </c>
      <c r="C269" s="50">
        <f t="shared" ref="C269:C337" si="10">SUM(H269:W269)</f>
        <v>6.7</v>
      </c>
      <c r="D269" s="58">
        <v>2</v>
      </c>
      <c r="E269" s="58" t="s">
        <v>484</v>
      </c>
      <c r="F269" s="58">
        <v>5</v>
      </c>
      <c r="G269" s="50" t="s">
        <v>530</v>
      </c>
      <c r="H269" s="50">
        <f>VLOOKUP($A269,'[1]ma sp 02'!$A$5:$BD$1101,H$1,0)</f>
        <v>0.1</v>
      </c>
      <c r="I269" s="50">
        <f>VLOOKUP($A269,'[1]ma sp 02'!$A$5:$BD$1101,I$1,0)</f>
        <v>0.6</v>
      </c>
      <c r="J269" s="50">
        <f>VLOOKUP($A269,'[1]ma sp 02'!$A$5:$BD$1101,J$1,0)</f>
        <v>0.2</v>
      </c>
      <c r="K269" s="50">
        <f>VLOOKUP($A269,'[1]ma sp 02'!$A$5:$BD$1101,K$1,0)</f>
        <v>0.9</v>
      </c>
      <c r="L269" s="50">
        <f>VLOOKUP($A269,'[1]ma sp 02'!$A$5:$BD$1101,L$1,0)</f>
        <v>0.1</v>
      </c>
      <c r="M269" s="50">
        <f>VLOOKUP($A269,'[1]ma sp 02'!$A$5:$BD$1101,M$1,0)</f>
        <v>0.5</v>
      </c>
      <c r="N269" s="50">
        <f>VLOOKUP($A269,'[1]ma sp 02'!$A$5:$BD$1101,N$1,0)</f>
        <v>3.5</v>
      </c>
      <c r="O269" s="50">
        <f>VLOOKUP($A269,'[1]ma sp 02'!$A$5:$BD$1101,O$1,0)</f>
        <v>0.8</v>
      </c>
      <c r="P269" s="50">
        <f>VLOOKUP($A269,'[1]ma sp 02'!$A$5:$BD$1101,P$1,0)</f>
        <v>0</v>
      </c>
      <c r="Q269" s="50">
        <f>VLOOKUP($A269,'[1]ma sp 02'!$A$5:$BD$1101,Q$1,0)</f>
        <v>0</v>
      </c>
      <c r="R269" s="50">
        <f>VLOOKUP($A269,'[1]ma sp 02'!$A$5:$BD$1101,R$1,0)</f>
        <v>0</v>
      </c>
      <c r="S269" s="50">
        <f>VLOOKUP($A269,'[1]ma sp 02'!$A$5:$BD$1101,S$1,0)</f>
        <v>0</v>
      </c>
      <c r="T269" s="50">
        <f>VLOOKUP($A269,'[1]ma sp 02'!$A$5:$BD$1101,T$1,0)</f>
        <v>0</v>
      </c>
      <c r="U269" s="50">
        <f>VLOOKUP($A269,'[1]ma sp 02'!$A$5:$BD$1101,U$1,0)</f>
        <v>0</v>
      </c>
      <c r="V269" s="50">
        <f>VLOOKUP($A269,'[1]ma sp 02'!$A$5:$BD$1101,V$1,0)</f>
        <v>0</v>
      </c>
      <c r="W269" s="50">
        <f>VLOOKUP($A269,'[1]ma sp 02'!$A$5:$BD$1101,W$1,0)</f>
        <v>0</v>
      </c>
      <c r="X269" s="50">
        <f t="shared" si="9"/>
        <v>8</v>
      </c>
      <c r="Y269" s="57"/>
      <c r="Z269" s="57"/>
      <c r="AA269" s="57"/>
      <c r="AB269" s="57"/>
      <c r="AC269" s="57"/>
      <c r="AD269" s="57"/>
      <c r="AE269" s="58" t="s">
        <v>485</v>
      </c>
      <c r="AF269" s="58" t="s">
        <v>921</v>
      </c>
      <c r="AG269" s="71">
        <f>(0.012*1.4+0.012*1.4+0.075*0.925)*0.76</f>
        <v>7.8261000000000011E-2</v>
      </c>
      <c r="AH269" s="63">
        <f>+(2.3/0.75/2)*0.75</f>
        <v>1.1499999999999999</v>
      </c>
      <c r="AI269" s="63">
        <f>(3/0.75/2)*0.75</f>
        <v>1.5</v>
      </c>
      <c r="AJ269" s="58">
        <v>9530</v>
      </c>
      <c r="AK269" s="58">
        <v>9530</v>
      </c>
      <c r="AL269" s="58" t="s">
        <v>117</v>
      </c>
      <c r="AM269" s="52" t="s">
        <v>60</v>
      </c>
      <c r="AN269" s="57">
        <v>420</v>
      </c>
      <c r="AO269" s="52" t="s">
        <v>916</v>
      </c>
      <c r="AP269" s="59">
        <f>IFERROR(VLOOKUP($A269,[2]Mssp!$A$5:$BE$1463,AP$4+1,0),0)</f>
        <v>0</v>
      </c>
      <c r="AQ269" s="59">
        <f>IFERROR(VLOOKUP($A269,[2]Mssp!$A$5:$BE$1463,AQ$4+1,0),0)</f>
        <v>0</v>
      </c>
      <c r="AR269" s="59">
        <f>IFERROR(VLOOKUP($A269,[2]Mssp!$A$5:$BE$1463,AR$4+1,0),0)</f>
        <v>0</v>
      </c>
      <c r="AS269" s="59">
        <f>IFERROR(VLOOKUP($A269,[2]Mssp!$A$5:$BE$1463,AS$4+1,0),0)</f>
        <v>0</v>
      </c>
      <c r="AT269" s="59">
        <f>IFERROR(VLOOKUP($A269,[2]Mssp!$A$5:$BE$1463,AT$4+1,0),0)</f>
        <v>0</v>
      </c>
      <c r="AU269" s="59">
        <f>IFERROR(VLOOKUP($A269,[2]Mssp!$A$5:$BE$1463,AU$4+1,0),0)</f>
        <v>0</v>
      </c>
      <c r="AV269" s="59">
        <f>IFERROR(VLOOKUP($A269,[2]Mssp!$A$5:$BE$1463,AV$4+1,0),0)</f>
        <v>0</v>
      </c>
      <c r="AW269" s="59">
        <f>IFERROR(VLOOKUP($A269,[2]Mssp!$A$5:$BE$1463,AW$4+1,0),0)</f>
        <v>0</v>
      </c>
      <c r="AX269" s="59">
        <f>IFERROR(VLOOKUP($A269,[2]Mssp!$A$5:$BE$1463,AX$4+1,0),0)</f>
        <v>0</v>
      </c>
      <c r="AY269" s="59">
        <f>IFERROR(VLOOKUP($A269,[2]Mssp!$A$5:$BE$1463,AY$4+2,0),0)</f>
        <v>0</v>
      </c>
      <c r="AZ269" s="59">
        <f>IFERROR(VLOOKUP($A269,[2]Mssp!$A$5:$BE$1463,AZ$4+2,0),0)</f>
        <v>0</v>
      </c>
      <c r="BA269" s="60">
        <v>1500</v>
      </c>
      <c r="BB269" s="61" t="s">
        <v>119</v>
      </c>
      <c r="BC269" s="62"/>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9"/>
      <c r="CK269" s="9"/>
      <c r="CL269" s="9"/>
      <c r="CM269" s="9"/>
      <c r="CN269" s="9"/>
      <c r="CO269" s="9"/>
      <c r="CP269" s="9"/>
    </row>
    <row r="270" spans="1:94" ht="45" x14ac:dyDescent="0.25">
      <c r="A270" s="50" t="s">
        <v>939</v>
      </c>
      <c r="B270" s="73" t="s">
        <v>940</v>
      </c>
      <c r="C270" s="50">
        <f t="shared" si="10"/>
        <v>4.43</v>
      </c>
      <c r="D270" s="58">
        <v>3</v>
      </c>
      <c r="E270" s="58" t="s">
        <v>113</v>
      </c>
      <c r="F270" s="58">
        <v>7</v>
      </c>
      <c r="G270" s="50" t="s">
        <v>530</v>
      </c>
      <c r="H270" s="50">
        <f>VLOOKUP($A270,'[1]ma sp 02'!$A$5:$BD$1101,H$1,0)</f>
        <v>0.23</v>
      </c>
      <c r="I270" s="50">
        <f>VLOOKUP($A270,'[1]ma sp 02'!$A$5:$BD$1101,I$1,0)</f>
        <v>2</v>
      </c>
      <c r="J270" s="50">
        <f>VLOOKUP($A270,'[1]ma sp 02'!$A$5:$BD$1101,J$1,0)</f>
        <v>0.1</v>
      </c>
      <c r="K270" s="50">
        <f>VLOOKUP($A270,'[1]ma sp 02'!$A$5:$BD$1101,K$1,0)</f>
        <v>0.1</v>
      </c>
      <c r="L270" s="50">
        <f>VLOOKUP($A270,'[1]ma sp 02'!$A$5:$BD$1101,L$1,0)</f>
        <v>0.4</v>
      </c>
      <c r="M270" s="50">
        <f>VLOOKUP($A270,'[1]ma sp 02'!$A$5:$BD$1101,M$1,0)</f>
        <v>0.8</v>
      </c>
      <c r="N270" s="50">
        <f>VLOOKUP($A270,'[1]ma sp 02'!$A$5:$BD$1101,N$1,0)</f>
        <v>0</v>
      </c>
      <c r="O270" s="50">
        <f>VLOOKUP($A270,'[1]ma sp 02'!$A$5:$BD$1101,O$1,0)</f>
        <v>0.7</v>
      </c>
      <c r="P270" s="50">
        <f>VLOOKUP($A270,'[1]ma sp 02'!$A$5:$BD$1101,P$1,0)</f>
        <v>0.1</v>
      </c>
      <c r="Q270" s="50">
        <f>VLOOKUP($A270,'[1]ma sp 02'!$A$5:$BD$1101,Q$1,0)</f>
        <v>0</v>
      </c>
      <c r="R270" s="50">
        <f>VLOOKUP($A270,'[1]ma sp 02'!$A$5:$BD$1101,R$1,0)</f>
        <v>0</v>
      </c>
      <c r="S270" s="50">
        <f>VLOOKUP($A270,'[1]ma sp 02'!$A$5:$BD$1101,S$1,0)</f>
        <v>0</v>
      </c>
      <c r="T270" s="50">
        <f>VLOOKUP($A270,'[1]ma sp 02'!$A$5:$BD$1101,T$1,0)</f>
        <v>0</v>
      </c>
      <c r="U270" s="50">
        <f>VLOOKUP($A270,'[1]ma sp 02'!$A$5:$BD$1101,U$1,0)</f>
        <v>0</v>
      </c>
      <c r="V270" s="50">
        <f>VLOOKUP($A270,'[1]ma sp 02'!$A$5:$BD$1101,V$1,0)</f>
        <v>0</v>
      </c>
      <c r="W270" s="50">
        <f>VLOOKUP($A270,'[1]ma sp 02'!$A$5:$BD$1101,W$1,0)</f>
        <v>0</v>
      </c>
      <c r="X270" s="50">
        <f t="shared" si="9"/>
        <v>8</v>
      </c>
      <c r="Y270" s="57"/>
      <c r="Z270" s="57"/>
      <c r="AA270" s="57"/>
      <c r="AB270" s="57"/>
      <c r="AC270" s="57"/>
      <c r="AD270" s="57"/>
      <c r="AE270" s="58" t="s">
        <v>115</v>
      </c>
      <c r="AF270" s="58" t="s">
        <v>321</v>
      </c>
      <c r="AG270" s="71">
        <f>(0.012*1.4+0.012*1.4+0.075*0.925)*0.74</f>
        <v>7.6201500000000005E-2</v>
      </c>
      <c r="AH270" s="63">
        <f>(2.3/0.75/2)*0.73</f>
        <v>1.1193333333333333</v>
      </c>
      <c r="AI270" s="63">
        <f>(3/0.75/2)*0.73</f>
        <v>1.46</v>
      </c>
      <c r="AJ270" s="58">
        <v>9530</v>
      </c>
      <c r="AK270" s="58">
        <v>9530</v>
      </c>
      <c r="AL270" s="58" t="s">
        <v>117</v>
      </c>
      <c r="AM270" s="52" t="s">
        <v>74</v>
      </c>
      <c r="AN270" s="57">
        <v>160</v>
      </c>
      <c r="AO270" s="52" t="s">
        <v>461</v>
      </c>
      <c r="AP270" s="59">
        <f>IFERROR(VLOOKUP($A270,[2]Mssp!$A$5:$BE$1463,AP$4+1,0),0)</f>
        <v>0</v>
      </c>
      <c r="AQ270" s="59">
        <f>IFERROR(VLOOKUP($A270,[2]Mssp!$A$5:$BE$1463,AQ$4+1,0),0)</f>
        <v>0</v>
      </c>
      <c r="AR270" s="59">
        <f>IFERROR(VLOOKUP($A270,[2]Mssp!$A$5:$BE$1463,AR$4+1,0),0)</f>
        <v>0</v>
      </c>
      <c r="AS270" s="59">
        <f>IFERROR(VLOOKUP($A270,[2]Mssp!$A$5:$BE$1463,AS$4+1,0),0)</f>
        <v>0</v>
      </c>
      <c r="AT270" s="59">
        <f>IFERROR(VLOOKUP($A270,[2]Mssp!$A$5:$BE$1463,AT$4+1,0),0)</f>
        <v>0</v>
      </c>
      <c r="AU270" s="59">
        <f>IFERROR(VLOOKUP($A270,[2]Mssp!$A$5:$BE$1463,AU$4+1,0),0)</f>
        <v>0</v>
      </c>
      <c r="AV270" s="59">
        <f>IFERROR(VLOOKUP($A270,[2]Mssp!$A$5:$BE$1463,AV$4+1,0),0)</f>
        <v>0</v>
      </c>
      <c r="AW270" s="59">
        <f>IFERROR(VLOOKUP($A270,[2]Mssp!$A$5:$BE$1463,AW$4+1,0),0)</f>
        <v>0</v>
      </c>
      <c r="AX270" s="59">
        <f>IFERROR(VLOOKUP($A270,[2]Mssp!$A$5:$BE$1463,AX$4+1,0),0)</f>
        <v>0</v>
      </c>
      <c r="AY270" s="59">
        <f>IFERROR(VLOOKUP($A270,[2]Mssp!$A$5:$BE$1463,AY$4+2,0),0)</f>
        <v>0</v>
      </c>
      <c r="AZ270" s="59">
        <f>IFERROR(VLOOKUP($A270,[2]Mssp!$A$5:$BE$1463,AZ$4+2,0),0)</f>
        <v>0</v>
      </c>
      <c r="BA270" s="60">
        <v>10000</v>
      </c>
      <c r="BB270" s="61" t="s">
        <v>62</v>
      </c>
      <c r="BC270" s="62"/>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row>
    <row r="271" spans="1:94" ht="45" x14ac:dyDescent="0.25">
      <c r="A271" s="50" t="s">
        <v>941</v>
      </c>
      <c r="B271" s="73" t="s">
        <v>942</v>
      </c>
      <c r="C271" s="50">
        <f t="shared" si="10"/>
        <v>2.3000000000000003</v>
      </c>
      <c r="D271" s="58">
        <v>3</v>
      </c>
      <c r="E271" s="58" t="s">
        <v>158</v>
      </c>
      <c r="F271" s="58">
        <v>5</v>
      </c>
      <c r="G271" s="50" t="s">
        <v>184</v>
      </c>
      <c r="H271" s="50">
        <f>VLOOKUP($A271,'[1]ma sp 02'!$A$5:$BD$1101,H$1,0)</f>
        <v>0.3</v>
      </c>
      <c r="I271" s="50">
        <f>VLOOKUP($A271,'[1]ma sp 02'!$A$5:$BD$1101,I$1,0)</f>
        <v>0</v>
      </c>
      <c r="J271" s="50">
        <f>VLOOKUP($A271,'[1]ma sp 02'!$A$5:$BD$1101,J$1,0)</f>
        <v>0.1</v>
      </c>
      <c r="K271" s="50">
        <f>VLOOKUP($A271,'[1]ma sp 02'!$A$5:$BD$1101,K$1,0)</f>
        <v>0.1</v>
      </c>
      <c r="L271" s="50">
        <f>VLOOKUP($A271,'[1]ma sp 02'!$A$5:$BD$1101,L$1,0)</f>
        <v>1.2</v>
      </c>
      <c r="M271" s="50">
        <f>VLOOKUP($A271,'[1]ma sp 02'!$A$5:$BD$1101,M$1,0)</f>
        <v>0.4</v>
      </c>
      <c r="N271" s="50">
        <f>VLOOKUP($A271,'[1]ma sp 02'!$A$5:$BD$1101,N$1,0)</f>
        <v>0</v>
      </c>
      <c r="O271" s="50">
        <f>VLOOKUP($A271,'[1]ma sp 02'!$A$5:$BD$1101,O$1,0)</f>
        <v>0</v>
      </c>
      <c r="P271" s="50">
        <f>VLOOKUP($A271,'[1]ma sp 02'!$A$5:$BD$1101,P$1,0)</f>
        <v>0.1</v>
      </c>
      <c r="Q271" s="50">
        <f>VLOOKUP($A271,'[1]ma sp 02'!$A$5:$BD$1101,Q$1,0)</f>
        <v>0</v>
      </c>
      <c r="R271" s="50">
        <f>VLOOKUP($A271,'[1]ma sp 02'!$A$5:$BD$1101,R$1,0)</f>
        <v>0.1</v>
      </c>
      <c r="S271" s="50">
        <f>VLOOKUP($A271,'[1]ma sp 02'!$A$5:$BD$1101,S$1,0)</f>
        <v>0</v>
      </c>
      <c r="T271" s="50">
        <f>VLOOKUP($A271,'[1]ma sp 02'!$A$5:$BD$1101,T$1,0)</f>
        <v>0</v>
      </c>
      <c r="U271" s="50">
        <f>VLOOKUP($A271,'[1]ma sp 02'!$A$5:$BD$1101,U$1,0)</f>
        <v>0</v>
      </c>
      <c r="V271" s="50">
        <f>VLOOKUP($A271,'[1]ma sp 02'!$A$5:$BD$1101,V$1,0)</f>
        <v>0</v>
      </c>
      <c r="W271" s="50">
        <f>VLOOKUP($A271,'[1]ma sp 02'!$A$5:$BD$1101,W$1,0)</f>
        <v>0</v>
      </c>
      <c r="X271" s="50">
        <f t="shared" si="9"/>
        <v>7</v>
      </c>
      <c r="Y271" s="57"/>
      <c r="Z271" s="57"/>
      <c r="AA271" s="57"/>
      <c r="AB271" s="57"/>
      <c r="AC271" s="57"/>
      <c r="AD271" s="57"/>
      <c r="AE271" s="58" t="s">
        <v>943</v>
      </c>
      <c r="AF271" s="57"/>
      <c r="AG271" s="71">
        <f>(0.02*0.91+0.065*0.925)*0.8</f>
        <v>6.2660000000000007E-2</v>
      </c>
      <c r="AH271" s="63">
        <f>(2.3/0.75/2)*0.79</f>
        <v>1.2113333333333334</v>
      </c>
      <c r="AI271" s="63"/>
      <c r="AJ271" s="58">
        <v>9530</v>
      </c>
      <c r="AK271" s="57"/>
      <c r="AL271" s="58">
        <v>2.3E-3</v>
      </c>
      <c r="AM271" s="52" t="s">
        <v>74</v>
      </c>
      <c r="AN271" s="58">
        <v>90</v>
      </c>
      <c r="AO271" s="52" t="s">
        <v>612</v>
      </c>
      <c r="AP271" s="59">
        <f>IFERROR(VLOOKUP($A271,[2]Mssp!$A$5:$BE$1463,AP$4+1,0),0)</f>
        <v>0</v>
      </c>
      <c r="AQ271" s="59">
        <f>IFERROR(VLOOKUP($A271,[2]Mssp!$A$5:$BE$1463,AQ$4+1,0),0)</f>
        <v>0</v>
      </c>
      <c r="AR271" s="59">
        <f>IFERROR(VLOOKUP($A271,[2]Mssp!$A$5:$BE$1463,AR$4+1,0),0)</f>
        <v>0</v>
      </c>
      <c r="AS271" s="59">
        <f>IFERROR(VLOOKUP($A271,[2]Mssp!$A$5:$BE$1463,AS$4+1,0),0)</f>
        <v>0</v>
      </c>
      <c r="AT271" s="59">
        <f>IFERROR(VLOOKUP($A271,[2]Mssp!$A$5:$BE$1463,AT$4+1,0),0)</f>
        <v>0</v>
      </c>
      <c r="AU271" s="59">
        <f>IFERROR(VLOOKUP($A271,[2]Mssp!$A$5:$BE$1463,AU$4+1,0),0)</f>
        <v>0</v>
      </c>
      <c r="AV271" s="59">
        <f>IFERROR(VLOOKUP($A271,[2]Mssp!$A$5:$BE$1463,AV$4+1,0),0)</f>
        <v>0</v>
      </c>
      <c r="AW271" s="59">
        <f>IFERROR(VLOOKUP($A271,[2]Mssp!$A$5:$BE$1463,AW$4+1,0),0)</f>
        <v>0</v>
      </c>
      <c r="AX271" s="59">
        <f>IFERROR(VLOOKUP($A271,[2]Mssp!$A$5:$BE$1463,AX$4+1,0),0)</f>
        <v>0</v>
      </c>
      <c r="AY271" s="59">
        <f>IFERROR(VLOOKUP($A271,[2]Mssp!$A$5:$BE$1463,AY$4+2,0),0)</f>
        <v>0</v>
      </c>
      <c r="AZ271" s="59">
        <f>IFERROR(VLOOKUP($A271,[2]Mssp!$A$5:$BE$1463,AZ$4+2,0),0)</f>
        <v>0</v>
      </c>
      <c r="BA271" s="60">
        <v>16800</v>
      </c>
      <c r="BB271" s="61" t="s">
        <v>62</v>
      </c>
      <c r="BC271" s="62"/>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c r="CK271" s="9"/>
      <c r="CL271" s="9"/>
      <c r="CM271" s="9"/>
      <c r="CN271" s="9"/>
      <c r="CO271" s="9"/>
      <c r="CP271" s="9"/>
    </row>
    <row r="272" spans="1:94" ht="45" x14ac:dyDescent="0.25">
      <c r="A272" s="50" t="s">
        <v>944</v>
      </c>
      <c r="B272" s="73" t="s">
        <v>945</v>
      </c>
      <c r="C272" s="50">
        <f t="shared" si="10"/>
        <v>4.6000000000000005</v>
      </c>
      <c r="D272" s="58">
        <v>2</v>
      </c>
      <c r="E272" s="58" t="s">
        <v>428</v>
      </c>
      <c r="F272" s="58">
        <v>6</v>
      </c>
      <c r="G272" s="50" t="s">
        <v>530</v>
      </c>
      <c r="H272" s="50">
        <f>VLOOKUP($A272,'[1]ma sp 02'!$A$5:$BD$1101,H$1,0)</f>
        <v>0.3</v>
      </c>
      <c r="I272" s="50">
        <f>VLOOKUP($A272,'[1]ma sp 02'!$A$5:$BD$1101,I$1,0)</f>
        <v>2</v>
      </c>
      <c r="J272" s="50">
        <f>VLOOKUP($A272,'[1]ma sp 02'!$A$5:$BD$1101,J$1,0)</f>
        <v>0.2</v>
      </c>
      <c r="K272" s="50">
        <f>VLOOKUP($A272,'[1]ma sp 02'!$A$5:$BD$1101,K$1,0)</f>
        <v>0.1</v>
      </c>
      <c r="L272" s="50">
        <f>VLOOKUP($A272,'[1]ma sp 02'!$A$5:$BD$1101,L$1,0)</f>
        <v>0.2</v>
      </c>
      <c r="M272" s="50">
        <f>VLOOKUP($A272,'[1]ma sp 02'!$A$5:$BD$1101,M$1,0)</f>
        <v>1</v>
      </c>
      <c r="N272" s="50">
        <f>VLOOKUP($A272,'[1]ma sp 02'!$A$5:$BD$1101,N$1,0)</f>
        <v>0</v>
      </c>
      <c r="O272" s="50">
        <f>VLOOKUP($A272,'[1]ma sp 02'!$A$5:$BD$1101,O$1,0)</f>
        <v>0</v>
      </c>
      <c r="P272" s="50">
        <f>VLOOKUP($A272,'[1]ma sp 02'!$A$5:$BD$1101,P$1,0)</f>
        <v>0.8</v>
      </c>
      <c r="Q272" s="50">
        <f>VLOOKUP($A272,'[1]ma sp 02'!$A$5:$BD$1101,Q$1,0)</f>
        <v>0</v>
      </c>
      <c r="R272" s="50">
        <f>VLOOKUP($A272,'[1]ma sp 02'!$A$5:$BD$1101,R$1,0)</f>
        <v>0</v>
      </c>
      <c r="S272" s="50">
        <f>VLOOKUP($A272,'[1]ma sp 02'!$A$5:$BD$1101,S$1,0)</f>
        <v>0</v>
      </c>
      <c r="T272" s="50">
        <f>VLOOKUP($A272,'[1]ma sp 02'!$A$5:$BD$1101,T$1,0)</f>
        <v>0</v>
      </c>
      <c r="U272" s="50">
        <f>VLOOKUP($A272,'[1]ma sp 02'!$A$5:$BD$1101,U$1,0)</f>
        <v>0</v>
      </c>
      <c r="V272" s="50">
        <f>VLOOKUP($A272,'[1]ma sp 02'!$A$5:$BD$1101,V$1,0)</f>
        <v>0</v>
      </c>
      <c r="W272" s="50">
        <f>VLOOKUP($A272,'[1]ma sp 02'!$A$5:$BD$1101,W$1,0)</f>
        <v>0</v>
      </c>
      <c r="X272" s="50">
        <f t="shared" si="9"/>
        <v>7</v>
      </c>
      <c r="Y272" s="57"/>
      <c r="Z272" s="57"/>
      <c r="AA272" s="57"/>
      <c r="AB272" s="57"/>
      <c r="AC272" s="57"/>
      <c r="AD272" s="57"/>
      <c r="AE272" s="58" t="s">
        <v>946</v>
      </c>
      <c r="AF272" s="58" t="s">
        <v>947</v>
      </c>
      <c r="AG272" s="71">
        <f>(0.012*1.4+0.006*2.71+0.075*0.925)*0.78</f>
        <v>7.9899300000000006E-2</v>
      </c>
      <c r="AH272" s="63">
        <f>(2.3/0.75/2)*0.77</f>
        <v>1.1806666666666665</v>
      </c>
      <c r="AI272" s="63">
        <f>(2.3/0.75/2)*0.77</f>
        <v>1.1806666666666665</v>
      </c>
      <c r="AJ272" s="58">
        <v>9530</v>
      </c>
      <c r="AK272" s="58">
        <v>9530</v>
      </c>
      <c r="AL272" s="58" t="s">
        <v>354</v>
      </c>
      <c r="AM272" s="52" t="s">
        <v>74</v>
      </c>
      <c r="AN272" s="58">
        <v>140</v>
      </c>
      <c r="AO272" s="52" t="s">
        <v>948</v>
      </c>
      <c r="AP272" s="59">
        <f>IFERROR(VLOOKUP($A272,[2]Mssp!$A$5:$BE$1463,AP$4+1,0),0)</f>
        <v>0</v>
      </c>
      <c r="AQ272" s="59">
        <f>IFERROR(VLOOKUP($A272,[2]Mssp!$A$5:$BE$1463,AQ$4+1,0),0)</f>
        <v>0</v>
      </c>
      <c r="AR272" s="59">
        <f>IFERROR(VLOOKUP($A272,[2]Mssp!$A$5:$BE$1463,AR$4+1,0),0)</f>
        <v>0</v>
      </c>
      <c r="AS272" s="59">
        <f>IFERROR(VLOOKUP($A272,[2]Mssp!$A$5:$BE$1463,AS$4+1,0),0)</f>
        <v>0</v>
      </c>
      <c r="AT272" s="59">
        <f>IFERROR(VLOOKUP($A272,[2]Mssp!$A$5:$BE$1463,AT$4+1,0),0)</f>
        <v>0</v>
      </c>
      <c r="AU272" s="59">
        <f>IFERROR(VLOOKUP($A272,[2]Mssp!$A$5:$BE$1463,AU$4+1,0),0)</f>
        <v>0</v>
      </c>
      <c r="AV272" s="59">
        <f>IFERROR(VLOOKUP($A272,[2]Mssp!$A$5:$BE$1463,AV$4+1,0),0)</f>
        <v>0</v>
      </c>
      <c r="AW272" s="59">
        <f>IFERROR(VLOOKUP($A272,[2]Mssp!$A$5:$BE$1463,AW$4+1,0),0)</f>
        <v>0</v>
      </c>
      <c r="AX272" s="59">
        <f>IFERROR(VLOOKUP($A272,[2]Mssp!$A$5:$BE$1463,AX$4+1,0),0)</f>
        <v>0</v>
      </c>
      <c r="AY272" s="59">
        <f>IFERROR(VLOOKUP($A272,[2]Mssp!$A$5:$BE$1463,AY$4+2,0),0)</f>
        <v>0</v>
      </c>
      <c r="AZ272" s="59">
        <f>IFERROR(VLOOKUP($A272,[2]Mssp!$A$5:$BE$1463,AZ$4+2,0),0)</f>
        <v>0</v>
      </c>
      <c r="BA272" s="60">
        <v>7000</v>
      </c>
      <c r="BB272" s="61" t="s">
        <v>62</v>
      </c>
      <c r="BC272" s="62"/>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c r="CK272" s="9"/>
      <c r="CL272" s="9"/>
      <c r="CM272" s="9"/>
      <c r="CN272" s="9"/>
      <c r="CO272" s="9"/>
      <c r="CP272" s="9"/>
    </row>
    <row r="273" spans="1:94" ht="30" x14ac:dyDescent="0.25">
      <c r="A273" s="50" t="s">
        <v>949</v>
      </c>
      <c r="B273" s="73" t="s">
        <v>950</v>
      </c>
      <c r="C273" s="50"/>
      <c r="D273" s="58">
        <v>4</v>
      </c>
      <c r="E273" s="58" t="s">
        <v>192</v>
      </c>
      <c r="F273" s="58">
        <v>3</v>
      </c>
      <c r="G273" s="50"/>
      <c r="H273" s="50">
        <f>VLOOKUP($A273,'[1]ma sp 02'!$A$5:$BD$1101,H$1,0)</f>
        <v>0.10199999999999999</v>
      </c>
      <c r="I273" s="50">
        <f>VLOOKUP($A273,'[1]ma sp 02'!$A$5:$BD$1101,I$1,0)</f>
        <v>1.3240000000000001</v>
      </c>
      <c r="J273" s="50">
        <f>VLOOKUP($A273,'[1]ma sp 02'!$A$5:$BD$1101,J$1,0)</f>
        <v>0</v>
      </c>
      <c r="K273" s="50">
        <f>VLOOKUP($A273,'[1]ma sp 02'!$A$5:$BD$1101,K$1,0)</f>
        <v>0</v>
      </c>
      <c r="L273" s="50">
        <f>VLOOKUP($A273,'[1]ma sp 02'!$A$5:$BD$1101,L$1,0)</f>
        <v>0</v>
      </c>
      <c r="M273" s="50">
        <f>VLOOKUP($A273,'[1]ma sp 02'!$A$5:$BD$1101,M$1,0)</f>
        <v>0</v>
      </c>
      <c r="N273" s="50">
        <f>VLOOKUP($A273,'[1]ma sp 02'!$A$5:$BD$1101,N$1,0)</f>
        <v>0</v>
      </c>
      <c r="O273" s="50">
        <f>VLOOKUP($A273,'[1]ma sp 02'!$A$5:$BD$1101,O$1,0)</f>
        <v>0.01</v>
      </c>
      <c r="P273" s="50">
        <f>VLOOKUP($A273,'[1]ma sp 02'!$A$5:$BD$1101,P$1,0)</f>
        <v>0</v>
      </c>
      <c r="Q273" s="50">
        <f>VLOOKUP($A273,'[1]ma sp 02'!$A$5:$BD$1101,Q$1,0)</f>
        <v>0</v>
      </c>
      <c r="R273" s="50">
        <f>VLOOKUP($A273,'[1]ma sp 02'!$A$5:$BD$1101,R$1,0)</f>
        <v>0</v>
      </c>
      <c r="S273" s="50">
        <f>VLOOKUP($A273,'[1]ma sp 02'!$A$5:$BD$1101,S$1,0)</f>
        <v>0</v>
      </c>
      <c r="T273" s="50">
        <f>VLOOKUP($A273,'[1]ma sp 02'!$A$5:$BD$1101,T$1,0)</f>
        <v>0</v>
      </c>
      <c r="U273" s="50">
        <f>VLOOKUP($A273,'[1]ma sp 02'!$A$5:$BD$1101,U$1,0)</f>
        <v>0</v>
      </c>
      <c r="V273" s="50">
        <f>VLOOKUP($A273,'[1]ma sp 02'!$A$5:$BD$1101,V$1,0)</f>
        <v>0</v>
      </c>
      <c r="W273" s="50">
        <f>VLOOKUP($A273,'[1]ma sp 02'!$A$5:$BD$1101,W$1,0)</f>
        <v>0</v>
      </c>
      <c r="X273" s="50"/>
      <c r="Y273" s="57"/>
      <c r="Z273" s="57"/>
      <c r="AA273" s="57"/>
      <c r="AB273" s="57"/>
      <c r="AC273" s="57"/>
      <c r="AD273" s="57"/>
      <c r="AE273" s="58" t="s">
        <v>193</v>
      </c>
      <c r="AF273" s="58"/>
      <c r="AG273" s="71">
        <f>(0.02*0.91+0.035*0.91)*0.64</f>
        <v>3.2032000000000005E-2</v>
      </c>
      <c r="AH273" s="63">
        <f>(2.3/0.75/2)*0.77</f>
        <v>1.1806666666666665</v>
      </c>
      <c r="AI273" s="63"/>
      <c r="AJ273" s="58">
        <v>9530</v>
      </c>
      <c r="AK273" s="58"/>
      <c r="AL273" s="58">
        <v>2E-3</v>
      </c>
      <c r="AM273" s="52" t="s">
        <v>951</v>
      </c>
      <c r="AN273" s="58">
        <v>155</v>
      </c>
      <c r="AO273" s="52" t="s">
        <v>195</v>
      </c>
      <c r="AP273" s="59" t="str">
        <f>IFERROR(VLOOKUP($A273,[2]Mssp!$A$5:$BE$1463,AP$4+1,0),0)</f>
        <v>F118291-1</v>
      </c>
      <c r="AQ273" s="59" t="str">
        <f>IFERROR(VLOOKUP($A273,[2]Mssp!$A$5:$BE$1463,AQ$4+1,0),0)</f>
        <v>F118291-2</v>
      </c>
      <c r="AR273" s="59" t="str">
        <f>IFERROR(VLOOKUP($A273,[2]Mssp!$A$5:$BE$1463,AR$4+1,0),0)</f>
        <v>F118291-3</v>
      </c>
      <c r="AS273" s="59">
        <f>IFERROR(VLOOKUP($A273,[2]Mssp!$A$5:$BE$1463,AS$4+1,0),0)</f>
        <v>0</v>
      </c>
      <c r="AT273" s="59">
        <f>IFERROR(VLOOKUP($A273,[2]Mssp!$A$5:$BE$1463,AT$4+1,0),0)</f>
        <v>0</v>
      </c>
      <c r="AU273" s="59">
        <f>IFERROR(VLOOKUP($A273,[2]Mssp!$A$5:$BE$1463,AU$4+1,0),0)</f>
        <v>0</v>
      </c>
      <c r="AV273" s="59">
        <f>IFERROR(VLOOKUP($A273,[2]Mssp!$A$5:$BE$1463,AV$4+1,0),0)</f>
        <v>0</v>
      </c>
      <c r="AW273" s="59">
        <f>IFERROR(VLOOKUP($A273,[2]Mssp!$A$5:$BE$1463,AW$4+1,0),0)</f>
        <v>0</v>
      </c>
      <c r="AX273" s="59">
        <f>IFERROR(VLOOKUP($A273,[2]Mssp!$A$5:$BE$1463,AX$4+1,0),0)</f>
        <v>0</v>
      </c>
      <c r="AY273" s="59" t="str">
        <f>IFERROR(VLOOKUP($A273,[2]Mssp!$A$5:$BE$1463,AY$4+2,0),0)</f>
        <v>462x750</v>
      </c>
      <c r="AZ273" s="59" t="str">
        <f>IFERROR(VLOOKUP($A273,[2]Mssp!$A$5:$BE$1463,AZ$4+2,0),0)</f>
        <v>A1</v>
      </c>
      <c r="BA273" s="60"/>
      <c r="BB273" s="61" t="s">
        <v>952</v>
      </c>
      <c r="BC273" s="62"/>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c r="CK273" s="9"/>
      <c r="CL273" s="9"/>
      <c r="CM273" s="9"/>
      <c r="CN273" s="9"/>
      <c r="CO273" s="9"/>
      <c r="CP273" s="9"/>
    </row>
    <row r="274" spans="1:94" ht="45" x14ac:dyDescent="0.25">
      <c r="A274" s="50" t="s">
        <v>953</v>
      </c>
      <c r="B274" s="73" t="s">
        <v>954</v>
      </c>
      <c r="C274" s="50">
        <f t="shared" si="10"/>
        <v>4.2</v>
      </c>
      <c r="D274" s="58">
        <v>1</v>
      </c>
      <c r="E274" s="58" t="s">
        <v>955</v>
      </c>
      <c r="F274" s="58">
        <v>3</v>
      </c>
      <c r="G274" s="50" t="s">
        <v>956</v>
      </c>
      <c r="H274" s="50">
        <f>VLOOKUP($A274,'[1]ma sp 02'!$A$5:$BD$1101,H$1,0)</f>
        <v>0</v>
      </c>
      <c r="I274" s="50">
        <f>VLOOKUP($A274,'[1]ma sp 02'!$A$5:$BD$1101,I$1,0)</f>
        <v>0</v>
      </c>
      <c r="J274" s="50">
        <f>VLOOKUP($A274,'[1]ma sp 02'!$A$5:$BD$1101,J$1,0)</f>
        <v>1.6</v>
      </c>
      <c r="K274" s="50">
        <f>VLOOKUP($A274,'[1]ma sp 02'!$A$5:$BD$1101,K$1,0)</f>
        <v>0</v>
      </c>
      <c r="L274" s="50">
        <f>VLOOKUP($A274,'[1]ma sp 02'!$A$5:$BD$1101,L$1,0)</f>
        <v>0.9</v>
      </c>
      <c r="M274" s="50">
        <f>VLOOKUP($A274,'[1]ma sp 02'!$A$5:$BD$1101,M$1,0)</f>
        <v>0</v>
      </c>
      <c r="N274" s="50">
        <f>VLOOKUP($A274,'[1]ma sp 02'!$A$5:$BD$1101,N$1,0)</f>
        <v>0</v>
      </c>
      <c r="O274" s="50">
        <f>VLOOKUP($A274,'[1]ma sp 02'!$A$5:$BD$1101,O$1,0)</f>
        <v>0</v>
      </c>
      <c r="P274" s="50">
        <f>VLOOKUP($A274,'[1]ma sp 02'!$A$5:$BD$1101,P$1,0)</f>
        <v>1.5</v>
      </c>
      <c r="Q274" s="50">
        <f>VLOOKUP($A274,'[1]ma sp 02'!$A$5:$BD$1101,Q$1,0)</f>
        <v>0.2</v>
      </c>
      <c r="R274" s="50">
        <f>VLOOKUP($A274,'[1]ma sp 02'!$A$5:$BD$1101,R$1,0)</f>
        <v>0</v>
      </c>
      <c r="S274" s="50">
        <f>VLOOKUP($A274,'[1]ma sp 02'!$A$5:$BD$1101,S$1,0)</f>
        <v>0</v>
      </c>
      <c r="T274" s="50">
        <f>VLOOKUP($A274,'[1]ma sp 02'!$A$5:$BD$1101,T$1,0)</f>
        <v>0</v>
      </c>
      <c r="U274" s="50">
        <f>VLOOKUP($A274,'[1]ma sp 02'!$A$5:$BD$1101,U$1,0)</f>
        <v>0</v>
      </c>
      <c r="V274" s="50">
        <f>VLOOKUP($A274,'[1]ma sp 02'!$A$5:$BD$1101,V$1,0)</f>
        <v>0</v>
      </c>
      <c r="W274" s="50">
        <f>VLOOKUP($A274,'[1]ma sp 02'!$A$5:$BD$1101,W$1,0)</f>
        <v>0</v>
      </c>
      <c r="X274" s="50">
        <f t="shared" si="9"/>
        <v>4</v>
      </c>
      <c r="Y274" s="57"/>
      <c r="Z274" s="57"/>
      <c r="AA274" s="57"/>
      <c r="AB274" s="57"/>
      <c r="AC274" s="57"/>
      <c r="AD274" s="57"/>
      <c r="AE274" s="52" t="s">
        <v>957</v>
      </c>
      <c r="AF274" s="57"/>
      <c r="AG274" s="71">
        <f>(0.04*0.925+0.06*0.925)*1.27</f>
        <v>0.117475</v>
      </c>
      <c r="AH274" s="63">
        <f>(2.3/0.75/2)*1.26</f>
        <v>1.9319999999999999</v>
      </c>
      <c r="AI274" s="63"/>
      <c r="AJ274" s="58">
        <v>9530</v>
      </c>
      <c r="AK274" s="57"/>
      <c r="AL274" s="58">
        <v>2E-3</v>
      </c>
      <c r="AM274" s="52" t="s">
        <v>958</v>
      </c>
      <c r="AN274" s="58">
        <v>1270</v>
      </c>
      <c r="AO274" s="52" t="s">
        <v>959</v>
      </c>
      <c r="AP274" s="59">
        <f>IFERROR(VLOOKUP($A274,[2]Mssp!$A$5:$BE$1463,AP$4+1,0),0)</f>
        <v>0</v>
      </c>
      <c r="AQ274" s="59">
        <f>IFERROR(VLOOKUP($A274,[2]Mssp!$A$5:$BE$1463,AQ$4+1,0),0)</f>
        <v>0</v>
      </c>
      <c r="AR274" s="59">
        <f>IFERROR(VLOOKUP($A274,[2]Mssp!$A$5:$BE$1463,AR$4+1,0),0)</f>
        <v>0</v>
      </c>
      <c r="AS274" s="59">
        <f>IFERROR(VLOOKUP($A274,[2]Mssp!$A$5:$BE$1463,AS$4+1,0),0)</f>
        <v>0</v>
      </c>
      <c r="AT274" s="59">
        <f>IFERROR(VLOOKUP($A274,[2]Mssp!$A$5:$BE$1463,AT$4+1,0),0)</f>
        <v>0</v>
      </c>
      <c r="AU274" s="59">
        <f>IFERROR(VLOOKUP($A274,[2]Mssp!$A$5:$BE$1463,AU$4+1,0),0)</f>
        <v>0</v>
      </c>
      <c r="AV274" s="59">
        <f>IFERROR(VLOOKUP($A274,[2]Mssp!$A$5:$BE$1463,AV$4+1,0),0)</f>
        <v>0</v>
      </c>
      <c r="AW274" s="59">
        <f>IFERROR(VLOOKUP($A274,[2]Mssp!$A$5:$BE$1463,AW$4+1,0),0)</f>
        <v>0</v>
      </c>
      <c r="AX274" s="59">
        <f>IFERROR(VLOOKUP($A274,[2]Mssp!$A$5:$BE$1463,AX$4+1,0),0)</f>
        <v>0</v>
      </c>
      <c r="AY274" s="59">
        <f>IFERROR(VLOOKUP($A274,[2]Mssp!$A$5:$BE$1463,AY$4+2,0),0)</f>
        <v>0</v>
      </c>
      <c r="AZ274" s="59">
        <f>IFERROR(VLOOKUP($A274,[2]Mssp!$A$5:$BE$1463,AZ$4+2,0),0)</f>
        <v>0</v>
      </c>
      <c r="BA274" s="60" t="s">
        <v>106</v>
      </c>
      <c r="BB274" s="61" t="s">
        <v>107</v>
      </c>
      <c r="BC274" s="62"/>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c r="CK274" s="9"/>
      <c r="CL274" s="9"/>
      <c r="CM274" s="9"/>
      <c r="CN274" s="9"/>
      <c r="CO274" s="9"/>
      <c r="CP274" s="9"/>
    </row>
    <row r="275" spans="1:94" ht="60" x14ac:dyDescent="0.25">
      <c r="A275" s="50" t="s">
        <v>960</v>
      </c>
      <c r="B275" s="73" t="s">
        <v>961</v>
      </c>
      <c r="C275" s="50">
        <f t="shared" si="10"/>
        <v>0</v>
      </c>
      <c r="D275" s="58">
        <v>1</v>
      </c>
      <c r="E275" s="58" t="s">
        <v>131</v>
      </c>
      <c r="F275" s="58">
        <v>0</v>
      </c>
      <c r="G275" s="50" t="s">
        <v>530</v>
      </c>
      <c r="H275" s="50">
        <f>VLOOKUP($A275,'[1]ma sp 02'!$A$5:$BD$1101,H$1,0)</f>
        <v>0</v>
      </c>
      <c r="I275" s="50">
        <f>VLOOKUP($A275,'[1]ma sp 02'!$A$5:$BD$1101,I$1,0)</f>
        <v>0</v>
      </c>
      <c r="J275" s="50">
        <f>VLOOKUP($A275,'[1]ma sp 02'!$A$5:$BD$1101,J$1,0)</f>
        <v>0</v>
      </c>
      <c r="K275" s="50">
        <f>VLOOKUP($A275,'[1]ma sp 02'!$A$5:$BD$1101,K$1,0)</f>
        <v>0</v>
      </c>
      <c r="L275" s="50">
        <f>VLOOKUP($A275,'[1]ma sp 02'!$A$5:$BD$1101,L$1,0)</f>
        <v>0</v>
      </c>
      <c r="M275" s="50">
        <f>VLOOKUP($A275,'[1]ma sp 02'!$A$5:$BD$1101,M$1,0)</f>
        <v>0</v>
      </c>
      <c r="N275" s="50">
        <f>VLOOKUP($A275,'[1]ma sp 02'!$A$5:$BD$1101,N$1,0)</f>
        <v>0</v>
      </c>
      <c r="O275" s="50">
        <f>VLOOKUP($A275,'[1]ma sp 02'!$A$5:$BD$1101,O$1,0)</f>
        <v>0</v>
      </c>
      <c r="P275" s="50">
        <f>VLOOKUP($A275,'[1]ma sp 02'!$A$5:$BD$1101,P$1,0)</f>
        <v>0</v>
      </c>
      <c r="Q275" s="50">
        <f>VLOOKUP($A275,'[1]ma sp 02'!$A$5:$BD$1101,Q$1,0)</f>
        <v>0</v>
      </c>
      <c r="R275" s="50">
        <f>VLOOKUP($A275,'[1]ma sp 02'!$A$5:$BD$1101,R$1,0)</f>
        <v>0</v>
      </c>
      <c r="S275" s="50">
        <f>VLOOKUP($A275,'[1]ma sp 02'!$A$5:$BD$1101,S$1,0)</f>
        <v>0</v>
      </c>
      <c r="T275" s="50">
        <f>VLOOKUP($A275,'[1]ma sp 02'!$A$5:$BD$1101,T$1,0)</f>
        <v>0</v>
      </c>
      <c r="U275" s="50">
        <f>VLOOKUP($A275,'[1]ma sp 02'!$A$5:$BD$1101,U$1,0)</f>
        <v>0</v>
      </c>
      <c r="V275" s="50">
        <f>VLOOKUP($A275,'[1]ma sp 02'!$A$5:$BD$1101,V$1,0)</f>
        <v>0</v>
      </c>
      <c r="W275" s="50">
        <f>VLOOKUP($A275,'[1]ma sp 02'!$A$5:$BD$1101,W$1,0)</f>
        <v>0</v>
      </c>
      <c r="X275" s="50">
        <f t="shared" si="9"/>
        <v>0</v>
      </c>
      <c r="Y275" s="57"/>
      <c r="Z275" s="57"/>
      <c r="AA275" s="57"/>
      <c r="AB275" s="57"/>
      <c r="AC275" s="57"/>
      <c r="AD275" s="57"/>
      <c r="AE275" s="58" t="s">
        <v>213</v>
      </c>
      <c r="AF275" s="57"/>
      <c r="AG275" s="71">
        <f>(0.012*1.4+0.055*0.925)*0.62</f>
        <v>4.1958499999999996E-2</v>
      </c>
      <c r="AH275" s="63">
        <f>(2.3/0.75/2)*0.61</f>
        <v>0.93533333333333324</v>
      </c>
      <c r="AI275" s="63"/>
      <c r="AJ275" s="58">
        <v>9530</v>
      </c>
      <c r="AK275" s="57"/>
      <c r="AL275" s="58">
        <v>2.3E-3</v>
      </c>
      <c r="AM275" s="52" t="s">
        <v>194</v>
      </c>
      <c r="AN275" s="58">
        <v>600</v>
      </c>
      <c r="AO275" s="52" t="s">
        <v>962</v>
      </c>
      <c r="AP275" s="59">
        <f>IFERROR(VLOOKUP($A275,[2]Mssp!$A$5:$BE$1463,AP$4+1,0),0)</f>
        <v>0</v>
      </c>
      <c r="AQ275" s="59">
        <f>IFERROR(VLOOKUP($A275,[2]Mssp!$A$5:$BE$1463,AQ$4+1,0),0)</f>
        <v>0</v>
      </c>
      <c r="AR275" s="59">
        <f>IFERROR(VLOOKUP($A275,[2]Mssp!$A$5:$BE$1463,AR$4+1,0),0)</f>
        <v>0</v>
      </c>
      <c r="AS275" s="59">
        <f>IFERROR(VLOOKUP($A275,[2]Mssp!$A$5:$BE$1463,AS$4+1,0),0)</f>
        <v>0</v>
      </c>
      <c r="AT275" s="59">
        <f>IFERROR(VLOOKUP($A275,[2]Mssp!$A$5:$BE$1463,AT$4+1,0),0)</f>
        <v>0</v>
      </c>
      <c r="AU275" s="59">
        <f>IFERROR(VLOOKUP($A275,[2]Mssp!$A$5:$BE$1463,AU$4+1,0),0)</f>
        <v>0</v>
      </c>
      <c r="AV275" s="59">
        <f>IFERROR(VLOOKUP($A275,[2]Mssp!$A$5:$BE$1463,AV$4+1,0),0)</f>
        <v>0</v>
      </c>
      <c r="AW275" s="59">
        <f>IFERROR(VLOOKUP($A275,[2]Mssp!$A$5:$BE$1463,AW$4+1,0),0)</f>
        <v>0</v>
      </c>
      <c r="AX275" s="59">
        <f>IFERROR(VLOOKUP($A275,[2]Mssp!$A$5:$BE$1463,AX$4+1,0),0)</f>
        <v>0</v>
      </c>
      <c r="AY275" s="59">
        <f>IFERROR(VLOOKUP($A275,[2]Mssp!$A$5:$BE$1463,AY$4+2,0),0)</f>
        <v>0</v>
      </c>
      <c r="AZ275" s="59">
        <f>IFERROR(VLOOKUP($A275,[2]Mssp!$A$5:$BE$1463,AZ$4+2,0),0)</f>
        <v>0</v>
      </c>
      <c r="BA275" s="60" t="s">
        <v>106</v>
      </c>
      <c r="BB275" s="61" t="s">
        <v>963</v>
      </c>
      <c r="BC275" s="62"/>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c r="CK275" s="9"/>
      <c r="CL275" s="9"/>
      <c r="CM275" s="9"/>
      <c r="CN275" s="9"/>
      <c r="CO275" s="9"/>
      <c r="CP275" s="9"/>
    </row>
    <row r="276" spans="1:94" ht="45" x14ac:dyDescent="0.25">
      <c r="A276" s="50" t="s">
        <v>964</v>
      </c>
      <c r="B276" s="73" t="s">
        <v>965</v>
      </c>
      <c r="C276" s="50">
        <f t="shared" si="10"/>
        <v>5.7</v>
      </c>
      <c r="D276" s="58">
        <v>1</v>
      </c>
      <c r="E276" s="58" t="s">
        <v>966</v>
      </c>
      <c r="F276" s="58">
        <v>6</v>
      </c>
      <c r="G276" s="50" t="s">
        <v>530</v>
      </c>
      <c r="H276" s="50">
        <f>VLOOKUP($A276,'[1]ma sp 02'!$A$5:$BD$1101,H$1,0)</f>
        <v>0.4</v>
      </c>
      <c r="I276" s="50">
        <f>VLOOKUP($A276,'[1]ma sp 02'!$A$5:$BD$1101,I$1,0)</f>
        <v>3.4</v>
      </c>
      <c r="J276" s="50">
        <f>VLOOKUP($A276,'[1]ma sp 02'!$A$5:$BD$1101,J$1,0)</f>
        <v>0.4</v>
      </c>
      <c r="K276" s="50">
        <f>VLOOKUP($A276,'[1]ma sp 02'!$A$5:$BD$1101,K$1,0)</f>
        <v>0.4</v>
      </c>
      <c r="L276" s="50">
        <f>VLOOKUP($A276,'[1]ma sp 02'!$A$5:$BD$1101,L$1,0)</f>
        <v>0.1</v>
      </c>
      <c r="M276" s="50">
        <f>VLOOKUP($A276,'[1]ma sp 02'!$A$5:$BD$1101,M$1,0)</f>
        <v>0</v>
      </c>
      <c r="N276" s="50">
        <f>VLOOKUP($A276,'[1]ma sp 02'!$A$5:$BD$1101,N$1,0)</f>
        <v>0</v>
      </c>
      <c r="O276" s="50">
        <f>VLOOKUP($A276,'[1]ma sp 02'!$A$5:$BD$1101,O$1,0)</f>
        <v>1</v>
      </c>
      <c r="P276" s="50">
        <f>VLOOKUP($A276,'[1]ma sp 02'!$A$5:$BD$1101,P$1,0)</f>
        <v>0</v>
      </c>
      <c r="Q276" s="50">
        <f>VLOOKUP($A276,'[1]ma sp 02'!$A$5:$BD$1101,Q$1,0)</f>
        <v>0</v>
      </c>
      <c r="R276" s="50">
        <f>VLOOKUP($A276,'[1]ma sp 02'!$A$5:$BD$1101,R$1,0)</f>
        <v>0</v>
      </c>
      <c r="S276" s="50">
        <f>VLOOKUP($A276,'[1]ma sp 02'!$A$5:$BD$1101,S$1,0)</f>
        <v>0</v>
      </c>
      <c r="T276" s="50">
        <f>VLOOKUP($A276,'[1]ma sp 02'!$A$5:$BD$1101,T$1,0)</f>
        <v>0</v>
      </c>
      <c r="U276" s="50">
        <f>VLOOKUP($A276,'[1]ma sp 02'!$A$5:$BD$1101,U$1,0)</f>
        <v>0</v>
      </c>
      <c r="V276" s="50">
        <f>VLOOKUP($A276,'[1]ma sp 02'!$A$5:$BD$1101,V$1,0)</f>
        <v>0</v>
      </c>
      <c r="W276" s="50">
        <f>VLOOKUP($A276,'[1]ma sp 02'!$A$5:$BD$1101,W$1,0)</f>
        <v>0</v>
      </c>
      <c r="X276" s="50">
        <f t="shared" si="9"/>
        <v>6</v>
      </c>
      <c r="Y276" s="57"/>
      <c r="Z276" s="57"/>
      <c r="AA276" s="57"/>
      <c r="AB276" s="57"/>
      <c r="AC276" s="57"/>
      <c r="AD276" s="57"/>
      <c r="AE276" s="58" t="s">
        <v>967</v>
      </c>
      <c r="AF276" s="58" t="s">
        <v>968</v>
      </c>
      <c r="AG276" s="71">
        <f>(0.012*1.4+0.006*2.71+0.075*0.925)*0.59</f>
        <v>6.0436649999999995E-2</v>
      </c>
      <c r="AH276" s="63">
        <f>(2.3/0.75/2)*0.58</f>
        <v>0.8893333333333332</v>
      </c>
      <c r="AI276" s="63">
        <f>(2.3/0.75/2)*0.58</f>
        <v>0.8893333333333332</v>
      </c>
      <c r="AJ276" s="58">
        <v>9530</v>
      </c>
      <c r="AK276" s="58">
        <v>9530</v>
      </c>
      <c r="AL276" s="58" t="s">
        <v>354</v>
      </c>
      <c r="AM276" s="52" t="s">
        <v>74</v>
      </c>
      <c r="AN276" s="58">
        <v>225</v>
      </c>
      <c r="AO276" s="52" t="s">
        <v>612</v>
      </c>
      <c r="AP276" s="59" t="str">
        <f>IFERROR(VLOOKUP($A276,[2]Mssp!$A$5:$BE$1463,AP$4+1,0),0)</f>
        <v>F416562-1</v>
      </c>
      <c r="AQ276" s="59" t="str">
        <f>IFERROR(VLOOKUP($A276,[2]Mssp!$A$5:$BE$1463,AQ$4+1,0),0)</f>
        <v>F416562-2</v>
      </c>
      <c r="AR276" s="59" t="str">
        <f>IFERROR(VLOOKUP($A276,[2]Mssp!$A$5:$BE$1463,AR$4+1,0),0)</f>
        <v>F416562-3</v>
      </c>
      <c r="AS276" s="59" t="str">
        <f>IFERROR(VLOOKUP($A276,[2]Mssp!$A$5:$BE$1463,AS$4+1,0),0)</f>
        <v>F416562-4</v>
      </c>
      <c r="AT276" s="59" t="str">
        <f>IFERROR(VLOOKUP($A276,[2]Mssp!$A$5:$BE$1463,AT$4+1,0),0)</f>
        <v>F416562-5</v>
      </c>
      <c r="AU276" s="59" t="str">
        <f>IFERROR(VLOOKUP($A276,[2]Mssp!$A$5:$BE$1463,AU$4+1,0),0)</f>
        <v>F416562-6</v>
      </c>
      <c r="AV276" s="59">
        <f>IFERROR(VLOOKUP($A276,[2]Mssp!$A$5:$BE$1463,AV$4+1,0),0)</f>
        <v>0</v>
      </c>
      <c r="AW276" s="59">
        <f>IFERROR(VLOOKUP($A276,[2]Mssp!$A$5:$BE$1463,AW$4+1,0),0)</f>
        <v>0</v>
      </c>
      <c r="AX276" s="59">
        <f>IFERROR(VLOOKUP($A276,[2]Mssp!$A$5:$BE$1463,AX$4+1,0),0)</f>
        <v>0</v>
      </c>
      <c r="AY276" s="59" t="str">
        <f>IFERROR(VLOOKUP($A276,[2]Mssp!$A$5:$BE$1463,AY$4+2,0),0)</f>
        <v>450x750</v>
      </c>
      <c r="AZ276" s="59" t="str">
        <f>IFERROR(VLOOKUP($A276,[2]Mssp!$A$5:$BE$1463,AZ$4+2,0),0)</f>
        <v>D2</v>
      </c>
      <c r="BA276" s="60">
        <v>2700</v>
      </c>
      <c r="BB276" s="61" t="s">
        <v>62</v>
      </c>
      <c r="BC276" s="62"/>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row>
    <row r="277" spans="1:94" ht="45" x14ac:dyDescent="0.25">
      <c r="A277" s="50" t="s">
        <v>969</v>
      </c>
      <c r="B277" s="73" t="s">
        <v>970</v>
      </c>
      <c r="C277" s="50">
        <f t="shared" si="10"/>
        <v>5.8</v>
      </c>
      <c r="D277" s="58">
        <v>3</v>
      </c>
      <c r="E277" s="58" t="s">
        <v>641</v>
      </c>
      <c r="F277" s="58">
        <v>7</v>
      </c>
      <c r="G277" s="50" t="s">
        <v>184</v>
      </c>
      <c r="H277" s="50">
        <f>VLOOKUP($A277,'[1]ma sp 02'!$A$5:$BD$1101,H$1,0)</f>
        <v>0.2</v>
      </c>
      <c r="I277" s="50">
        <f>VLOOKUP($A277,'[1]ma sp 02'!$A$5:$BD$1101,I$1,0)</f>
        <v>3.4</v>
      </c>
      <c r="J277" s="50">
        <f>VLOOKUP($A277,'[1]ma sp 02'!$A$5:$BD$1101,J$1,0)</f>
        <v>0.3</v>
      </c>
      <c r="K277" s="50">
        <f>VLOOKUP($A277,'[1]ma sp 02'!$A$5:$BD$1101,K$1,0)</f>
        <v>0.6</v>
      </c>
      <c r="L277" s="50">
        <f>VLOOKUP($A277,'[1]ma sp 02'!$A$5:$BD$1101,L$1,0)</f>
        <v>0.1</v>
      </c>
      <c r="M277" s="50">
        <f>VLOOKUP($A277,'[1]ma sp 02'!$A$5:$BD$1101,M$1,0)</f>
        <v>0.9</v>
      </c>
      <c r="N277" s="50">
        <f>VLOOKUP($A277,'[1]ma sp 02'!$A$5:$BD$1101,N$1,0)</f>
        <v>0</v>
      </c>
      <c r="O277" s="50">
        <f>VLOOKUP($A277,'[1]ma sp 02'!$A$5:$BD$1101,O$1,0)</f>
        <v>0</v>
      </c>
      <c r="P277" s="50">
        <f>VLOOKUP($A277,'[1]ma sp 02'!$A$5:$BD$1101,P$1,0)</f>
        <v>0</v>
      </c>
      <c r="Q277" s="50">
        <f>VLOOKUP($A277,'[1]ma sp 02'!$A$5:$BD$1101,Q$1,0)</f>
        <v>0</v>
      </c>
      <c r="R277" s="50">
        <f>VLOOKUP($A277,'[1]ma sp 02'!$A$5:$BD$1101,R$1,0)</f>
        <v>0</v>
      </c>
      <c r="S277" s="50">
        <f>VLOOKUP($A277,'[1]ma sp 02'!$A$5:$BD$1101,S$1,0)</f>
        <v>0.3</v>
      </c>
      <c r="T277" s="50">
        <f>VLOOKUP($A277,'[1]ma sp 02'!$A$5:$BD$1101,T$1,0)</f>
        <v>0</v>
      </c>
      <c r="U277" s="50">
        <f>VLOOKUP($A277,'[1]ma sp 02'!$A$5:$BD$1101,U$1,0)</f>
        <v>0</v>
      </c>
      <c r="V277" s="50">
        <f>VLOOKUP($A277,'[1]ma sp 02'!$A$5:$BD$1101,V$1,0)</f>
        <v>0</v>
      </c>
      <c r="W277" s="50">
        <f>VLOOKUP($A277,'[1]ma sp 02'!$A$5:$BD$1101,W$1,0)</f>
        <v>0</v>
      </c>
      <c r="X277" s="50">
        <f t="shared" si="9"/>
        <v>7</v>
      </c>
      <c r="Y277" s="57"/>
      <c r="Z277" s="57"/>
      <c r="AA277" s="57"/>
      <c r="AB277" s="57"/>
      <c r="AC277" s="57"/>
      <c r="AD277" s="57"/>
      <c r="AE277" s="58" t="s">
        <v>115</v>
      </c>
      <c r="AF277" s="58" t="s">
        <v>642</v>
      </c>
      <c r="AG277" s="71">
        <f>(0.02*0.91+0.012*1.4+0.075*0.925)*0.74</f>
        <v>7.7237500000000001E-2</v>
      </c>
      <c r="AH277" s="63">
        <f>(2.3/0.75/2)*0.73</f>
        <v>1.1193333333333333</v>
      </c>
      <c r="AI277" s="63">
        <f>(3/0.75/2)*0.73</f>
        <v>1.46</v>
      </c>
      <c r="AJ277" s="58">
        <v>9530</v>
      </c>
      <c r="AK277" s="58">
        <v>9530</v>
      </c>
      <c r="AL277" s="58" t="s">
        <v>117</v>
      </c>
      <c r="AM277" s="52" t="s">
        <v>60</v>
      </c>
      <c r="AN277" s="58">
        <v>270</v>
      </c>
      <c r="AO277" s="52" t="s">
        <v>118</v>
      </c>
      <c r="AP277" s="59" t="str">
        <f>IFERROR(VLOOKUP($A277,[2]Mssp!$A$5:$BE$1463,AP$4+1,0),0)</f>
        <v>1607495-1</v>
      </c>
      <c r="AQ277" s="59" t="str">
        <f>IFERROR(VLOOKUP($A277,[2]Mssp!$A$5:$BE$1463,AQ$4+1,0),0)</f>
        <v>1812617-2</v>
      </c>
      <c r="AR277" s="59" t="str">
        <f>IFERROR(VLOOKUP($A277,[2]Mssp!$A$5:$BE$1463,AR$4+1,0),0)</f>
        <v>1607495-3</v>
      </c>
      <c r="AS277" s="59" t="str">
        <f>IFERROR(VLOOKUP($A277,[2]Mssp!$A$5:$BE$1463,AS$4+1,0),0)</f>
        <v>1607495-4</v>
      </c>
      <c r="AT277" s="59" t="str">
        <f>IFERROR(VLOOKUP($A277,[2]Mssp!$A$5:$BE$1463,AT$4+1,0),0)</f>
        <v>1607495-5</v>
      </c>
      <c r="AU277" s="59" t="str">
        <f>IFERROR(VLOOKUP($A277,[2]Mssp!$A$5:$BE$1463,AU$4+1,0),0)</f>
        <v>1607495-6</v>
      </c>
      <c r="AV277" s="59" t="str">
        <f>IFERROR(VLOOKUP($A277,[2]Mssp!$A$5:$BE$1463,AV$4+1,0),0)</f>
        <v>1607495-7</v>
      </c>
      <c r="AW277" s="59">
        <f>IFERROR(VLOOKUP($A277,[2]Mssp!$A$5:$BE$1463,AW$4+1,0),0)</f>
        <v>0</v>
      </c>
      <c r="AX277" s="59">
        <f>IFERROR(VLOOKUP($A277,[2]Mssp!$A$5:$BE$1463,AX$4+1,0),0)</f>
        <v>0</v>
      </c>
      <c r="AY277" s="59" t="str">
        <f>IFERROR(VLOOKUP($A277,[2]Mssp!$A$5:$BE$1463,AY$4+2,0),0)</f>
        <v>540x850</v>
      </c>
      <c r="AZ277" s="59" t="str">
        <f>IFERROR(VLOOKUP($A277,[2]Mssp!$A$5:$BE$1463,AZ$4+2,0),0)</f>
        <v>F1</v>
      </c>
      <c r="BA277" s="60">
        <v>3500</v>
      </c>
      <c r="BB277" s="61" t="s">
        <v>62</v>
      </c>
      <c r="BC277" s="62"/>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c r="CK277" s="9"/>
      <c r="CL277" s="9"/>
      <c r="CM277" s="9"/>
      <c r="CN277" s="9"/>
      <c r="CO277" s="9"/>
      <c r="CP277" s="9"/>
    </row>
    <row r="278" spans="1:94" ht="45" x14ac:dyDescent="0.25">
      <c r="A278" s="50" t="s">
        <v>971</v>
      </c>
      <c r="B278" s="73" t="s">
        <v>972</v>
      </c>
      <c r="C278" s="50">
        <f t="shared" si="10"/>
        <v>0</v>
      </c>
      <c r="D278" s="58">
        <v>2</v>
      </c>
      <c r="E278" s="58" t="s">
        <v>973</v>
      </c>
      <c r="F278" s="58">
        <v>0</v>
      </c>
      <c r="G278" s="50" t="s">
        <v>559</v>
      </c>
      <c r="H278" s="50">
        <f>VLOOKUP($A278,'[1]ma sp 02'!$A$5:$BD$1101,H$1,0)</f>
        <v>0</v>
      </c>
      <c r="I278" s="50">
        <f>VLOOKUP($A278,'[1]ma sp 02'!$A$5:$BD$1101,I$1,0)</f>
        <v>0</v>
      </c>
      <c r="J278" s="50">
        <f>VLOOKUP($A278,'[1]ma sp 02'!$A$5:$BD$1101,J$1,0)</f>
        <v>0</v>
      </c>
      <c r="K278" s="50">
        <f>VLOOKUP($A278,'[1]ma sp 02'!$A$5:$BD$1101,K$1,0)</f>
        <v>0</v>
      </c>
      <c r="L278" s="50">
        <f>VLOOKUP($A278,'[1]ma sp 02'!$A$5:$BD$1101,L$1,0)</f>
        <v>0</v>
      </c>
      <c r="M278" s="50">
        <f>VLOOKUP($A278,'[1]ma sp 02'!$A$5:$BD$1101,M$1,0)</f>
        <v>0</v>
      </c>
      <c r="N278" s="50">
        <f>VLOOKUP($A278,'[1]ma sp 02'!$A$5:$BD$1101,N$1,0)</f>
        <v>0</v>
      </c>
      <c r="O278" s="50">
        <f>VLOOKUP($A278,'[1]ma sp 02'!$A$5:$BD$1101,O$1,0)</f>
        <v>0</v>
      </c>
      <c r="P278" s="50">
        <f>VLOOKUP($A278,'[1]ma sp 02'!$A$5:$BD$1101,P$1,0)</f>
        <v>0</v>
      </c>
      <c r="Q278" s="50">
        <f>VLOOKUP($A278,'[1]ma sp 02'!$A$5:$BD$1101,Q$1,0)</f>
        <v>0</v>
      </c>
      <c r="R278" s="50">
        <f>VLOOKUP($A278,'[1]ma sp 02'!$A$5:$BD$1101,R$1,0)</f>
        <v>0</v>
      </c>
      <c r="S278" s="50">
        <f>VLOOKUP($A278,'[1]ma sp 02'!$A$5:$BD$1101,S$1,0)</f>
        <v>0</v>
      </c>
      <c r="T278" s="50">
        <f>VLOOKUP($A278,'[1]ma sp 02'!$A$5:$BD$1101,T$1,0)</f>
        <v>0</v>
      </c>
      <c r="U278" s="50">
        <f>VLOOKUP($A278,'[1]ma sp 02'!$A$5:$BD$1101,U$1,0)</f>
        <v>0</v>
      </c>
      <c r="V278" s="50">
        <f>VLOOKUP($A278,'[1]ma sp 02'!$A$5:$BD$1101,V$1,0)</f>
        <v>0</v>
      </c>
      <c r="W278" s="50">
        <f>VLOOKUP($A278,'[1]ma sp 02'!$A$5:$BD$1101,W$1,0)</f>
        <v>0</v>
      </c>
      <c r="X278" s="50">
        <f t="shared" si="9"/>
        <v>0</v>
      </c>
      <c r="Y278" s="57"/>
      <c r="Z278" s="57"/>
      <c r="AA278" s="57"/>
      <c r="AB278" s="57"/>
      <c r="AC278" s="57"/>
      <c r="AD278" s="57"/>
      <c r="AE278" s="58" t="s">
        <v>353</v>
      </c>
      <c r="AF278" s="57"/>
      <c r="AG278" s="71">
        <f>(0.015*1.15+0.075*0.925)*0.8</f>
        <v>6.9300000000000014E-2</v>
      </c>
      <c r="AH278" s="63">
        <f>(1.8/0.75/2)*0.79</f>
        <v>0.94799999999999995</v>
      </c>
      <c r="AI278" s="63"/>
      <c r="AJ278" s="58">
        <v>9530</v>
      </c>
      <c r="AK278" s="57"/>
      <c r="AL278" s="58">
        <v>1.8E-3</v>
      </c>
      <c r="AM278" s="52" t="s">
        <v>74</v>
      </c>
      <c r="AN278" s="58">
        <v>260</v>
      </c>
      <c r="AO278" s="52" t="s">
        <v>974</v>
      </c>
      <c r="AP278" s="59">
        <f>IFERROR(VLOOKUP($A278,[2]Mssp!$A$5:$BE$1463,AP$4+1,0),0)</f>
        <v>0</v>
      </c>
      <c r="AQ278" s="59">
        <f>IFERROR(VLOOKUP($A278,[2]Mssp!$A$5:$BE$1463,AQ$4+1,0),0)</f>
        <v>0</v>
      </c>
      <c r="AR278" s="59">
        <f>IFERROR(VLOOKUP($A278,[2]Mssp!$A$5:$BE$1463,AR$4+1,0),0)</f>
        <v>0</v>
      </c>
      <c r="AS278" s="59">
        <f>IFERROR(VLOOKUP($A278,[2]Mssp!$A$5:$BE$1463,AS$4+1,0),0)</f>
        <v>0</v>
      </c>
      <c r="AT278" s="59">
        <f>IFERROR(VLOOKUP($A278,[2]Mssp!$A$5:$BE$1463,AT$4+1,0),0)</f>
        <v>0</v>
      </c>
      <c r="AU278" s="59">
        <f>IFERROR(VLOOKUP($A278,[2]Mssp!$A$5:$BE$1463,AU$4+1,0),0)</f>
        <v>0</v>
      </c>
      <c r="AV278" s="59">
        <f>IFERROR(VLOOKUP($A278,[2]Mssp!$A$5:$BE$1463,AV$4+1,0),0)</f>
        <v>0</v>
      </c>
      <c r="AW278" s="59">
        <f>IFERROR(VLOOKUP($A278,[2]Mssp!$A$5:$BE$1463,AW$4+1,0),0)</f>
        <v>0</v>
      </c>
      <c r="AX278" s="59">
        <f>IFERROR(VLOOKUP($A278,[2]Mssp!$A$5:$BE$1463,AX$4+1,0),0)</f>
        <v>0</v>
      </c>
      <c r="AY278" s="59">
        <f>IFERROR(VLOOKUP($A278,[2]Mssp!$A$5:$BE$1463,AY$4+2,0),0)</f>
        <v>0</v>
      </c>
      <c r="AZ278" s="59">
        <f>IFERROR(VLOOKUP($A278,[2]Mssp!$A$5:$BE$1463,AZ$4+2,0),0)</f>
        <v>0</v>
      </c>
      <c r="BA278" s="60">
        <v>4000</v>
      </c>
      <c r="BB278" s="61" t="s">
        <v>62</v>
      </c>
      <c r="BC278" s="62"/>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c r="CK278" s="9"/>
      <c r="CL278" s="9"/>
      <c r="CM278" s="9"/>
      <c r="CN278" s="9"/>
      <c r="CO278" s="9"/>
      <c r="CP278" s="9"/>
    </row>
    <row r="279" spans="1:94" ht="45" x14ac:dyDescent="0.25">
      <c r="A279" s="50" t="s">
        <v>975</v>
      </c>
      <c r="B279" s="73" t="s">
        <v>976</v>
      </c>
      <c r="C279" s="50">
        <f t="shared" si="10"/>
        <v>7.9999999999999991</v>
      </c>
      <c r="D279" s="58">
        <v>2</v>
      </c>
      <c r="E279" s="58" t="s">
        <v>484</v>
      </c>
      <c r="F279" s="58">
        <v>7</v>
      </c>
      <c r="G279" s="50" t="s">
        <v>530</v>
      </c>
      <c r="H279" s="50">
        <f>VLOOKUP($A279,'[1]ma sp 02'!$A$5:$BD$1101,H$1,0)</f>
        <v>0.4</v>
      </c>
      <c r="I279" s="50">
        <f>VLOOKUP($A279,'[1]ma sp 02'!$A$5:$BD$1101,I$1,0)</f>
        <v>3</v>
      </c>
      <c r="J279" s="50">
        <f>VLOOKUP($A279,'[1]ma sp 02'!$A$5:$BD$1101,J$1,0)</f>
        <v>0.6</v>
      </c>
      <c r="K279" s="50">
        <f>VLOOKUP($A279,'[1]ma sp 02'!$A$5:$BD$1101,K$1,0)</f>
        <v>2</v>
      </c>
      <c r="L279" s="50">
        <f>VLOOKUP($A279,'[1]ma sp 02'!$A$5:$BD$1101,L$1,0)</f>
        <v>0.8</v>
      </c>
      <c r="M279" s="50">
        <f>VLOOKUP($A279,'[1]ma sp 02'!$A$5:$BD$1101,M$1,0)</f>
        <v>1</v>
      </c>
      <c r="N279" s="50">
        <f>VLOOKUP($A279,'[1]ma sp 02'!$A$5:$BD$1101,N$1,0)</f>
        <v>0</v>
      </c>
      <c r="O279" s="50">
        <f>VLOOKUP($A279,'[1]ma sp 02'!$A$5:$BD$1101,O$1,0)</f>
        <v>0.1</v>
      </c>
      <c r="P279" s="50">
        <f>VLOOKUP($A279,'[1]ma sp 02'!$A$5:$BD$1101,P$1,0)</f>
        <v>0</v>
      </c>
      <c r="Q279" s="50">
        <f>VLOOKUP($A279,'[1]ma sp 02'!$A$5:$BD$1101,Q$1,0)</f>
        <v>0</v>
      </c>
      <c r="R279" s="50">
        <f>VLOOKUP($A279,'[1]ma sp 02'!$A$5:$BD$1101,R$1,0)</f>
        <v>0.1</v>
      </c>
      <c r="S279" s="50">
        <f>VLOOKUP($A279,'[1]ma sp 02'!$A$5:$BD$1101,S$1,0)</f>
        <v>0</v>
      </c>
      <c r="T279" s="50">
        <f>VLOOKUP($A279,'[1]ma sp 02'!$A$5:$BD$1101,T$1,0)</f>
        <v>0</v>
      </c>
      <c r="U279" s="50">
        <f>VLOOKUP($A279,'[1]ma sp 02'!$A$5:$BD$1101,U$1,0)</f>
        <v>0</v>
      </c>
      <c r="V279" s="50">
        <f>VLOOKUP($A279,'[1]ma sp 02'!$A$5:$BD$1101,V$1,0)</f>
        <v>0</v>
      </c>
      <c r="W279" s="50">
        <f>VLOOKUP($A279,'[1]ma sp 02'!$A$5:$BD$1101,W$1,0)</f>
        <v>0</v>
      </c>
      <c r="X279" s="50">
        <f t="shared" si="9"/>
        <v>8</v>
      </c>
      <c r="Y279" s="57"/>
      <c r="Z279" s="57"/>
      <c r="AA279" s="57"/>
      <c r="AB279" s="57"/>
      <c r="AC279" s="57"/>
      <c r="AD279" s="57"/>
      <c r="AE279" s="52" t="s">
        <v>977</v>
      </c>
      <c r="AF279" s="58" t="s">
        <v>520</v>
      </c>
      <c r="AG279" s="71">
        <f>(0.012*1.4+0.1*0.925)*0.76+(0.012*1.4+0.012*1.4)*0.38</f>
        <v>9.5836000000000005E-2</v>
      </c>
      <c r="AH279" s="63">
        <f>(2.3/0.75/2)*0.75</f>
        <v>1.1499999999999999</v>
      </c>
      <c r="AI279" s="63">
        <f>(3/0.75/2)*0.75</f>
        <v>1.5</v>
      </c>
      <c r="AJ279" s="58">
        <v>9530</v>
      </c>
      <c r="AK279" s="58">
        <v>9530</v>
      </c>
      <c r="AL279" s="58" t="s">
        <v>117</v>
      </c>
      <c r="AM279" s="52" t="s">
        <v>74</v>
      </c>
      <c r="AN279" s="58">
        <v>290</v>
      </c>
      <c r="AO279" s="52" t="s">
        <v>657</v>
      </c>
      <c r="AP279" s="59" t="str">
        <f>IFERROR(VLOOKUP($A279,[2]Mssp!$A$5:$BE$1463,AP$4+1,0),0)</f>
        <v>F118475-1</v>
      </c>
      <c r="AQ279" s="59" t="str">
        <f>IFERROR(VLOOKUP($A279,[2]Mssp!$A$5:$BE$1463,AQ$4+1,0),0)</f>
        <v>F118475-2</v>
      </c>
      <c r="AR279" s="59" t="str">
        <f>IFERROR(VLOOKUP($A279,[2]Mssp!$A$5:$BE$1463,AR$4+1,0),0)</f>
        <v>F118475-3</v>
      </c>
      <c r="AS279" s="59" t="str">
        <f>IFERROR(VLOOKUP($A279,[2]Mssp!$A$5:$BE$1463,AS$4+1,0),0)</f>
        <v>F118475-4</v>
      </c>
      <c r="AT279" s="59" t="str">
        <f>IFERROR(VLOOKUP($A279,[2]Mssp!$A$5:$BE$1463,AT$4+1,0),0)</f>
        <v>F118475-5</v>
      </c>
      <c r="AU279" s="59" t="str">
        <f>IFERROR(VLOOKUP($A279,[2]Mssp!$A$5:$BE$1463,AU$4+1,0),0)</f>
        <v>F118475-6</v>
      </c>
      <c r="AV279" s="59" t="str">
        <f>IFERROR(VLOOKUP($A279,[2]Mssp!$A$5:$BE$1463,AV$4+1,0),0)</f>
        <v>F118475-7</v>
      </c>
      <c r="AW279" s="59">
        <f>IFERROR(VLOOKUP($A279,[2]Mssp!$A$5:$BE$1463,AW$4+1,0),0)</f>
        <v>0</v>
      </c>
      <c r="AX279" s="59">
        <f>IFERROR(VLOOKUP($A279,[2]Mssp!$A$5:$BE$1463,AX$4+1,0),0)</f>
        <v>0</v>
      </c>
      <c r="AY279" s="59" t="str">
        <f>IFERROR(VLOOKUP($A279,[2]Mssp!$A$5:$BE$1463,AY$4+2,0),0)</f>
        <v>580x850</v>
      </c>
      <c r="AZ279" s="59" t="str">
        <f>IFERROR(VLOOKUP($A279,[2]Mssp!$A$5:$BE$1463,AZ$4+2,0),0)</f>
        <v>O2</v>
      </c>
      <c r="BA279" s="60">
        <v>2500</v>
      </c>
      <c r="BB279" s="61" t="s">
        <v>62</v>
      </c>
      <c r="BC279" s="62"/>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c r="CK279" s="9"/>
      <c r="CL279" s="9"/>
      <c r="CM279" s="9"/>
      <c r="CN279" s="9"/>
      <c r="CO279" s="9"/>
      <c r="CP279" s="9"/>
    </row>
    <row r="280" spans="1:94" ht="45" x14ac:dyDescent="0.25">
      <c r="A280" s="50" t="s">
        <v>978</v>
      </c>
      <c r="B280" s="73" t="s">
        <v>979</v>
      </c>
      <c r="C280" s="50">
        <f t="shared" si="10"/>
        <v>0</v>
      </c>
      <c r="D280" s="58">
        <v>2</v>
      </c>
      <c r="E280" s="58" t="s">
        <v>484</v>
      </c>
      <c r="F280" s="58">
        <v>7</v>
      </c>
      <c r="G280" s="50" t="s">
        <v>530</v>
      </c>
      <c r="H280" s="50">
        <f>VLOOKUP($A280,'[1]ma sp 02'!$A$5:$BD$1101,H$1,0)</f>
        <v>0</v>
      </c>
      <c r="I280" s="50">
        <f>VLOOKUP($A280,'[1]ma sp 02'!$A$5:$BD$1101,I$1,0)</f>
        <v>0</v>
      </c>
      <c r="J280" s="50">
        <f>VLOOKUP($A280,'[1]ma sp 02'!$A$5:$BD$1101,J$1,0)</f>
        <v>0</v>
      </c>
      <c r="K280" s="50">
        <f>VLOOKUP($A280,'[1]ma sp 02'!$A$5:$BD$1101,K$1,0)</f>
        <v>0</v>
      </c>
      <c r="L280" s="50">
        <f>VLOOKUP($A280,'[1]ma sp 02'!$A$5:$BD$1101,L$1,0)</f>
        <v>0</v>
      </c>
      <c r="M280" s="50">
        <f>VLOOKUP($A280,'[1]ma sp 02'!$A$5:$BD$1101,M$1,0)</f>
        <v>0</v>
      </c>
      <c r="N280" s="50">
        <f>VLOOKUP($A280,'[1]ma sp 02'!$A$5:$BD$1101,N$1,0)</f>
        <v>0</v>
      </c>
      <c r="O280" s="50">
        <f>VLOOKUP($A280,'[1]ma sp 02'!$A$5:$BD$1101,O$1,0)</f>
        <v>0</v>
      </c>
      <c r="P280" s="50">
        <f>VLOOKUP($A280,'[1]ma sp 02'!$A$5:$BD$1101,P$1,0)</f>
        <v>0</v>
      </c>
      <c r="Q280" s="50">
        <f>VLOOKUP($A280,'[1]ma sp 02'!$A$5:$BD$1101,Q$1,0)</f>
        <v>0</v>
      </c>
      <c r="R280" s="50">
        <f>VLOOKUP($A280,'[1]ma sp 02'!$A$5:$BD$1101,R$1,0)</f>
        <v>0</v>
      </c>
      <c r="S280" s="50">
        <f>VLOOKUP($A280,'[1]ma sp 02'!$A$5:$BD$1101,S$1,0)</f>
        <v>0</v>
      </c>
      <c r="T280" s="50">
        <f>VLOOKUP($A280,'[1]ma sp 02'!$A$5:$BD$1101,T$1,0)</f>
        <v>0</v>
      </c>
      <c r="U280" s="50">
        <f>VLOOKUP($A280,'[1]ma sp 02'!$A$5:$BD$1101,U$1,0)</f>
        <v>0</v>
      </c>
      <c r="V280" s="50">
        <f>VLOOKUP($A280,'[1]ma sp 02'!$A$5:$BD$1101,V$1,0)</f>
        <v>0</v>
      </c>
      <c r="W280" s="50">
        <f>VLOOKUP($A280,'[1]ma sp 02'!$A$5:$BD$1101,W$1,0)</f>
        <v>0</v>
      </c>
      <c r="X280" s="50">
        <f t="shared" si="9"/>
        <v>0</v>
      </c>
      <c r="Y280" s="57"/>
      <c r="Z280" s="57"/>
      <c r="AA280" s="57"/>
      <c r="AB280" s="57"/>
      <c r="AC280" s="57"/>
      <c r="AD280" s="57"/>
      <c r="AE280" s="52" t="s">
        <v>977</v>
      </c>
      <c r="AF280" s="58" t="s">
        <v>520</v>
      </c>
      <c r="AG280" s="71">
        <f>(0.012*1.4+0.1*0.925)*0.76+(0.012*1.4+0.012*1.4)*0.38</f>
        <v>9.5836000000000005E-2</v>
      </c>
      <c r="AH280" s="63">
        <f>(2.3/0.75/2)*0.75</f>
        <v>1.1499999999999999</v>
      </c>
      <c r="AI280" s="63">
        <f>(3/0.75/2)*0.75</f>
        <v>1.5</v>
      </c>
      <c r="AJ280" s="58">
        <v>9530</v>
      </c>
      <c r="AK280" s="58">
        <v>9530</v>
      </c>
      <c r="AL280" s="58" t="s">
        <v>117</v>
      </c>
      <c r="AM280" s="52" t="s">
        <v>74</v>
      </c>
      <c r="AN280" s="58">
        <v>290</v>
      </c>
      <c r="AO280" s="52" t="s">
        <v>657</v>
      </c>
      <c r="AP280" s="59">
        <f>IFERROR(VLOOKUP($A280,[2]Mssp!$A$5:$BE$1463,AP$4+1,0),0)</f>
        <v>0</v>
      </c>
      <c r="AQ280" s="59">
        <f>IFERROR(VLOOKUP($A280,[2]Mssp!$A$5:$BE$1463,AQ$4+1,0),0)</f>
        <v>0</v>
      </c>
      <c r="AR280" s="59">
        <f>IFERROR(VLOOKUP($A280,[2]Mssp!$A$5:$BE$1463,AR$4+1,0),0)</f>
        <v>0</v>
      </c>
      <c r="AS280" s="59">
        <f>IFERROR(VLOOKUP($A280,[2]Mssp!$A$5:$BE$1463,AS$4+1,0),0)</f>
        <v>0</v>
      </c>
      <c r="AT280" s="59">
        <f>IFERROR(VLOOKUP($A280,[2]Mssp!$A$5:$BE$1463,AT$4+1,0),0)</f>
        <v>0</v>
      </c>
      <c r="AU280" s="59">
        <f>IFERROR(VLOOKUP($A280,[2]Mssp!$A$5:$BE$1463,AU$4+1,0),0)</f>
        <v>0</v>
      </c>
      <c r="AV280" s="59">
        <f>IFERROR(VLOOKUP($A280,[2]Mssp!$A$5:$BE$1463,AV$4+1,0),0)</f>
        <v>0</v>
      </c>
      <c r="AW280" s="59">
        <f>IFERROR(VLOOKUP($A280,[2]Mssp!$A$5:$BE$1463,AW$4+1,0),0)</f>
        <v>0</v>
      </c>
      <c r="AX280" s="59">
        <f>IFERROR(VLOOKUP($A280,[2]Mssp!$A$5:$BE$1463,AX$4+1,0),0)</f>
        <v>0</v>
      </c>
      <c r="AY280" s="59">
        <f>IFERROR(VLOOKUP($A280,[2]Mssp!$A$5:$BE$1463,AY$4+2,0),0)</f>
        <v>0</v>
      </c>
      <c r="AZ280" s="59">
        <f>IFERROR(VLOOKUP($A280,[2]Mssp!$A$5:$BE$1463,AZ$4+2,0),0)</f>
        <v>0</v>
      </c>
      <c r="BA280" s="60">
        <v>2500</v>
      </c>
      <c r="BB280" s="61" t="s">
        <v>62</v>
      </c>
      <c r="BC280" s="62"/>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c r="CK280" s="9"/>
      <c r="CL280" s="9"/>
      <c r="CM280" s="9"/>
      <c r="CN280" s="9"/>
      <c r="CO280" s="9"/>
      <c r="CP280" s="9"/>
    </row>
    <row r="281" spans="1:94" ht="45" x14ac:dyDescent="0.25">
      <c r="A281" s="50" t="s">
        <v>980</v>
      </c>
      <c r="B281" s="73" t="s">
        <v>981</v>
      </c>
      <c r="C281" s="50">
        <f t="shared" si="10"/>
        <v>5.88</v>
      </c>
      <c r="D281" s="58">
        <v>1</v>
      </c>
      <c r="E281" s="58" t="s">
        <v>982</v>
      </c>
      <c r="F281" s="58">
        <v>6</v>
      </c>
      <c r="G281" s="50" t="s">
        <v>530</v>
      </c>
      <c r="H281" s="50">
        <f>VLOOKUP($A281,'[1]ma sp 02'!$A$5:$BD$1101,H$1,0)</f>
        <v>0.5</v>
      </c>
      <c r="I281" s="50">
        <f>VLOOKUP($A281,'[1]ma sp 02'!$A$5:$BD$1101,I$1,0)</f>
        <v>2.5</v>
      </c>
      <c r="J281" s="50">
        <f>VLOOKUP($A281,'[1]ma sp 02'!$A$5:$BD$1101,J$1,0)</f>
        <v>0.35</v>
      </c>
      <c r="K281" s="50">
        <f>VLOOKUP($A281,'[1]ma sp 02'!$A$5:$BD$1101,K$1,0)</f>
        <v>0.43</v>
      </c>
      <c r="L281" s="50">
        <f>VLOOKUP($A281,'[1]ma sp 02'!$A$5:$BD$1101,L$1,0)</f>
        <v>2</v>
      </c>
      <c r="M281" s="50">
        <f>VLOOKUP($A281,'[1]ma sp 02'!$A$5:$BD$1101,M$1,0)</f>
        <v>0</v>
      </c>
      <c r="N281" s="50">
        <f>VLOOKUP($A281,'[1]ma sp 02'!$A$5:$BD$1101,N$1,0)</f>
        <v>0</v>
      </c>
      <c r="O281" s="50">
        <f>VLOOKUP($A281,'[1]ma sp 02'!$A$5:$BD$1101,O$1,0)</f>
        <v>0.1</v>
      </c>
      <c r="P281" s="50">
        <f>VLOOKUP($A281,'[1]ma sp 02'!$A$5:$BD$1101,P$1,0)</f>
        <v>0</v>
      </c>
      <c r="Q281" s="50">
        <f>VLOOKUP($A281,'[1]ma sp 02'!$A$5:$BD$1101,Q$1,0)</f>
        <v>0</v>
      </c>
      <c r="R281" s="50">
        <f>VLOOKUP($A281,'[1]ma sp 02'!$A$5:$BD$1101,R$1,0)</f>
        <v>0</v>
      </c>
      <c r="S281" s="50">
        <f>VLOOKUP($A281,'[1]ma sp 02'!$A$5:$BD$1101,S$1,0)</f>
        <v>0</v>
      </c>
      <c r="T281" s="50">
        <f>VLOOKUP($A281,'[1]ma sp 02'!$A$5:$BD$1101,T$1,0)</f>
        <v>0</v>
      </c>
      <c r="U281" s="50">
        <f>VLOOKUP($A281,'[1]ma sp 02'!$A$5:$BD$1101,U$1,0)</f>
        <v>0</v>
      </c>
      <c r="V281" s="50">
        <f>VLOOKUP($A281,'[1]ma sp 02'!$A$5:$BD$1101,V$1,0)</f>
        <v>0</v>
      </c>
      <c r="W281" s="50">
        <f>VLOOKUP($A281,'[1]ma sp 02'!$A$5:$BD$1101,W$1,0)</f>
        <v>0</v>
      </c>
      <c r="X281" s="50">
        <f t="shared" si="9"/>
        <v>6</v>
      </c>
      <c r="Y281" s="57"/>
      <c r="Z281" s="57"/>
      <c r="AA281" s="57"/>
      <c r="AB281" s="57"/>
      <c r="AC281" s="57"/>
      <c r="AD281" s="57"/>
      <c r="AE281" s="58" t="s">
        <v>983</v>
      </c>
      <c r="AF281" s="57"/>
      <c r="AG281" s="71">
        <f>(0.015*1.15+0.1*0.925)*0.48</f>
        <v>5.2680000000000005E-2</v>
      </c>
      <c r="AH281" s="63">
        <f>(2.5/0.75/2)*0.47</f>
        <v>0.78333333333333333</v>
      </c>
      <c r="AI281" s="63"/>
      <c r="AJ281" s="58">
        <v>9530</v>
      </c>
      <c r="AK281" s="57"/>
      <c r="AL281" s="58">
        <v>2.5000000000000001E-3</v>
      </c>
      <c r="AM281" s="52" t="s">
        <v>386</v>
      </c>
      <c r="AN281" s="58">
        <v>350</v>
      </c>
      <c r="AO281" s="52" t="s">
        <v>657</v>
      </c>
      <c r="AP281" s="59" t="str">
        <f>IFERROR(VLOOKUP($A281,[2]Mssp!$A$5:$BE$1463,AP$4+1,0),0)</f>
        <v>F118476-1</v>
      </c>
      <c r="AQ281" s="59" t="str">
        <f>IFERROR(VLOOKUP($A281,[2]Mssp!$A$5:$BE$1463,AQ$4+1,0),0)</f>
        <v>F118476-2</v>
      </c>
      <c r="AR281" s="59" t="str">
        <f>IFERROR(VLOOKUP($A281,[2]Mssp!$A$5:$BE$1463,AR$4+1,0),0)</f>
        <v>F118476-3</v>
      </c>
      <c r="AS281" s="59" t="str">
        <f>IFERROR(VLOOKUP($A281,[2]Mssp!$A$5:$BE$1463,AS$4+1,0),0)</f>
        <v>F118476-4</v>
      </c>
      <c r="AT281" s="59" t="str">
        <f>IFERROR(VLOOKUP($A281,[2]Mssp!$A$5:$BE$1463,AT$4+1,0),0)</f>
        <v>F118476-5</v>
      </c>
      <c r="AU281" s="59" t="str">
        <f>IFERROR(VLOOKUP($A281,[2]Mssp!$A$5:$BE$1463,AU$4+1,0),0)</f>
        <v>F118476-6</v>
      </c>
      <c r="AV281" s="59">
        <f>IFERROR(VLOOKUP($A281,[2]Mssp!$A$5:$BE$1463,AV$4+1,0),0)</f>
        <v>0</v>
      </c>
      <c r="AW281" s="59">
        <f>IFERROR(VLOOKUP($A281,[2]Mssp!$A$5:$BE$1463,AW$4+1,0),0)</f>
        <v>0</v>
      </c>
      <c r="AX281" s="59">
        <f>IFERROR(VLOOKUP($A281,[2]Mssp!$A$5:$BE$1463,AX$4+1,0),0)</f>
        <v>0</v>
      </c>
      <c r="AY281" s="59" t="str">
        <f>IFERROR(VLOOKUP($A281,[2]Mssp!$A$5:$BE$1463,AY$4+2,0),0)</f>
        <v>700 x 750</v>
      </c>
      <c r="AZ281" s="59" t="str">
        <f>IFERROR(VLOOKUP($A281,[2]Mssp!$A$5:$BE$1463,AZ$4+2,0),0)</f>
        <v>O2</v>
      </c>
      <c r="BA281" s="60">
        <v>1500</v>
      </c>
      <c r="BB281" s="61" t="s">
        <v>62</v>
      </c>
      <c r="BC281" s="62"/>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9"/>
      <c r="CK281" s="9"/>
      <c r="CL281" s="9"/>
      <c r="CM281" s="9"/>
      <c r="CN281" s="9"/>
      <c r="CO281" s="9"/>
      <c r="CP281" s="9"/>
    </row>
    <row r="282" spans="1:94" ht="45" x14ac:dyDescent="0.25">
      <c r="A282" s="50" t="s">
        <v>984</v>
      </c>
      <c r="B282" s="73" t="s">
        <v>985</v>
      </c>
      <c r="C282" s="50">
        <f t="shared" si="10"/>
        <v>0</v>
      </c>
      <c r="D282" s="58">
        <v>1</v>
      </c>
      <c r="E282" s="58" t="s">
        <v>982</v>
      </c>
      <c r="F282" s="58">
        <v>6</v>
      </c>
      <c r="G282" s="50" t="s">
        <v>530</v>
      </c>
      <c r="H282" s="50">
        <f>VLOOKUP($A282,'[1]ma sp 02'!$A$5:$BD$1101,H$1,0)</f>
        <v>0</v>
      </c>
      <c r="I282" s="50">
        <f>VLOOKUP($A282,'[1]ma sp 02'!$A$5:$BD$1101,I$1,0)</f>
        <v>0</v>
      </c>
      <c r="J282" s="50">
        <f>VLOOKUP($A282,'[1]ma sp 02'!$A$5:$BD$1101,J$1,0)</f>
        <v>0</v>
      </c>
      <c r="K282" s="50">
        <f>VLOOKUP($A282,'[1]ma sp 02'!$A$5:$BD$1101,K$1,0)</f>
        <v>0</v>
      </c>
      <c r="L282" s="50">
        <f>VLOOKUP($A282,'[1]ma sp 02'!$A$5:$BD$1101,L$1,0)</f>
        <v>0</v>
      </c>
      <c r="M282" s="50">
        <f>VLOOKUP($A282,'[1]ma sp 02'!$A$5:$BD$1101,M$1,0)</f>
        <v>0</v>
      </c>
      <c r="N282" s="50">
        <f>VLOOKUP($A282,'[1]ma sp 02'!$A$5:$BD$1101,N$1,0)</f>
        <v>0</v>
      </c>
      <c r="O282" s="50">
        <f>VLOOKUP($A282,'[1]ma sp 02'!$A$5:$BD$1101,O$1,0)</f>
        <v>0</v>
      </c>
      <c r="P282" s="50">
        <f>VLOOKUP($A282,'[1]ma sp 02'!$A$5:$BD$1101,P$1,0)</f>
        <v>0</v>
      </c>
      <c r="Q282" s="50">
        <f>VLOOKUP($A282,'[1]ma sp 02'!$A$5:$BD$1101,Q$1,0)</f>
        <v>0</v>
      </c>
      <c r="R282" s="50">
        <f>VLOOKUP($A282,'[1]ma sp 02'!$A$5:$BD$1101,R$1,0)</f>
        <v>0</v>
      </c>
      <c r="S282" s="50">
        <f>VLOOKUP($A282,'[1]ma sp 02'!$A$5:$BD$1101,S$1,0)</f>
        <v>0</v>
      </c>
      <c r="T282" s="50">
        <f>VLOOKUP($A282,'[1]ma sp 02'!$A$5:$BD$1101,T$1,0)</f>
        <v>0</v>
      </c>
      <c r="U282" s="50">
        <f>VLOOKUP($A282,'[1]ma sp 02'!$A$5:$BD$1101,U$1,0)</f>
        <v>0</v>
      </c>
      <c r="V282" s="50">
        <f>VLOOKUP($A282,'[1]ma sp 02'!$A$5:$BD$1101,V$1,0)</f>
        <v>0</v>
      </c>
      <c r="W282" s="50">
        <f>VLOOKUP($A282,'[1]ma sp 02'!$A$5:$BD$1101,W$1,0)</f>
        <v>0</v>
      </c>
      <c r="X282" s="50">
        <f t="shared" si="9"/>
        <v>0</v>
      </c>
      <c r="Y282" s="57"/>
      <c r="Z282" s="57"/>
      <c r="AA282" s="57"/>
      <c r="AB282" s="57"/>
      <c r="AC282" s="57"/>
      <c r="AD282" s="57"/>
      <c r="AE282" s="58" t="s">
        <v>983</v>
      </c>
      <c r="AF282" s="57"/>
      <c r="AG282" s="71">
        <f>(0.015*1.15+0.1*0.925)*0.48</f>
        <v>5.2680000000000005E-2</v>
      </c>
      <c r="AH282" s="63">
        <f>(2.5/0.75/2)*0.47</f>
        <v>0.78333333333333333</v>
      </c>
      <c r="AI282" s="63"/>
      <c r="AJ282" s="58">
        <v>9530</v>
      </c>
      <c r="AK282" s="57"/>
      <c r="AL282" s="58">
        <v>2.5000000000000001E-3</v>
      </c>
      <c r="AM282" s="52" t="s">
        <v>386</v>
      </c>
      <c r="AN282" s="58">
        <v>350</v>
      </c>
      <c r="AO282" s="52" t="s">
        <v>657</v>
      </c>
      <c r="AP282" s="59">
        <f>IFERROR(VLOOKUP($A282,[2]Mssp!$A$5:$BE$1463,AP$4+1,0),0)</f>
        <v>0</v>
      </c>
      <c r="AQ282" s="59">
        <f>IFERROR(VLOOKUP($A282,[2]Mssp!$A$5:$BE$1463,AQ$4+1,0),0)</f>
        <v>0</v>
      </c>
      <c r="AR282" s="59">
        <f>IFERROR(VLOOKUP($A282,[2]Mssp!$A$5:$BE$1463,AR$4+1,0),0)</f>
        <v>0</v>
      </c>
      <c r="AS282" s="59">
        <f>IFERROR(VLOOKUP($A282,[2]Mssp!$A$5:$BE$1463,AS$4+1,0),0)</f>
        <v>0</v>
      </c>
      <c r="AT282" s="59">
        <f>IFERROR(VLOOKUP($A282,[2]Mssp!$A$5:$BE$1463,AT$4+1,0),0)</f>
        <v>0</v>
      </c>
      <c r="AU282" s="59">
        <f>IFERROR(VLOOKUP($A282,[2]Mssp!$A$5:$BE$1463,AU$4+1,0),0)</f>
        <v>0</v>
      </c>
      <c r="AV282" s="59">
        <f>IFERROR(VLOOKUP($A282,[2]Mssp!$A$5:$BE$1463,AV$4+1,0),0)</f>
        <v>0</v>
      </c>
      <c r="AW282" s="59">
        <f>IFERROR(VLOOKUP($A282,[2]Mssp!$A$5:$BE$1463,AW$4+1,0),0)</f>
        <v>0</v>
      </c>
      <c r="AX282" s="59">
        <f>IFERROR(VLOOKUP($A282,[2]Mssp!$A$5:$BE$1463,AX$4+1,0),0)</f>
        <v>0</v>
      </c>
      <c r="AY282" s="59">
        <f>IFERROR(VLOOKUP($A282,[2]Mssp!$A$5:$BE$1463,AY$4+2,0),0)</f>
        <v>0</v>
      </c>
      <c r="AZ282" s="59">
        <f>IFERROR(VLOOKUP($A282,[2]Mssp!$A$5:$BE$1463,AZ$4+2,0),0)</f>
        <v>0</v>
      </c>
      <c r="BA282" s="60">
        <v>1500</v>
      </c>
      <c r="BB282" s="61" t="s">
        <v>62</v>
      </c>
      <c r="BC282" s="62"/>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c r="CK282" s="9"/>
      <c r="CL282" s="9"/>
      <c r="CM282" s="9"/>
      <c r="CN282" s="9"/>
      <c r="CO282" s="9"/>
      <c r="CP282" s="9"/>
    </row>
    <row r="283" spans="1:94" ht="45" x14ac:dyDescent="0.25">
      <c r="A283" s="50" t="s">
        <v>986</v>
      </c>
      <c r="B283" s="73" t="s">
        <v>987</v>
      </c>
      <c r="C283" s="50">
        <f t="shared" si="10"/>
        <v>6</v>
      </c>
      <c r="D283" s="58">
        <v>1</v>
      </c>
      <c r="E283" s="58" t="s">
        <v>988</v>
      </c>
      <c r="F283" s="58">
        <v>2</v>
      </c>
      <c r="G283" s="50" t="s">
        <v>184</v>
      </c>
      <c r="H283" s="50">
        <f>VLOOKUP($A283,'[1]ma sp 02'!$A$5:$BD$1101,H$1,0)</f>
        <v>0</v>
      </c>
      <c r="I283" s="50">
        <f>VLOOKUP($A283,'[1]ma sp 02'!$A$5:$BD$1101,I$1,0)</f>
        <v>0</v>
      </c>
      <c r="J283" s="50">
        <f>VLOOKUP($A283,'[1]ma sp 02'!$A$5:$BD$1101,J$1,0)</f>
        <v>2.2000000000000002</v>
      </c>
      <c r="K283" s="50">
        <f>VLOOKUP($A283,'[1]ma sp 02'!$A$5:$BD$1101,K$1,0)</f>
        <v>0.6</v>
      </c>
      <c r="L283" s="50">
        <f>VLOOKUP($A283,'[1]ma sp 02'!$A$5:$BD$1101,L$1,0)</f>
        <v>0</v>
      </c>
      <c r="M283" s="50">
        <f>VLOOKUP($A283,'[1]ma sp 02'!$A$5:$BD$1101,M$1,0)</f>
        <v>1.4</v>
      </c>
      <c r="N283" s="50">
        <f>VLOOKUP($A283,'[1]ma sp 02'!$A$5:$BD$1101,N$1,0)</f>
        <v>0</v>
      </c>
      <c r="O283" s="50">
        <f>VLOOKUP($A283,'[1]ma sp 02'!$A$5:$BD$1101,O$1,0)</f>
        <v>0</v>
      </c>
      <c r="P283" s="50">
        <f>VLOOKUP($A283,'[1]ma sp 02'!$A$5:$BD$1101,P$1,0)</f>
        <v>1.8</v>
      </c>
      <c r="Q283" s="50">
        <f>VLOOKUP($A283,'[1]ma sp 02'!$A$5:$BD$1101,Q$1,0)</f>
        <v>0</v>
      </c>
      <c r="R283" s="50">
        <f>VLOOKUP($A283,'[1]ma sp 02'!$A$5:$BD$1101,R$1,0)</f>
        <v>0</v>
      </c>
      <c r="S283" s="50">
        <f>VLOOKUP($A283,'[1]ma sp 02'!$A$5:$BD$1101,S$1,0)</f>
        <v>0</v>
      </c>
      <c r="T283" s="50">
        <f>VLOOKUP($A283,'[1]ma sp 02'!$A$5:$BD$1101,T$1,0)</f>
        <v>0</v>
      </c>
      <c r="U283" s="50">
        <f>VLOOKUP($A283,'[1]ma sp 02'!$A$5:$BD$1101,U$1,0)</f>
        <v>0</v>
      </c>
      <c r="V283" s="50">
        <f>VLOOKUP($A283,'[1]ma sp 02'!$A$5:$BD$1101,V$1,0)</f>
        <v>0</v>
      </c>
      <c r="W283" s="50">
        <f>VLOOKUP($A283,'[1]ma sp 02'!$A$5:$BD$1101,W$1,0)</f>
        <v>0</v>
      </c>
      <c r="X283" s="50">
        <f t="shared" si="9"/>
        <v>4</v>
      </c>
      <c r="Y283" s="57"/>
      <c r="Z283" s="57"/>
      <c r="AA283" s="57"/>
      <c r="AB283" s="57"/>
      <c r="AC283" s="57"/>
      <c r="AD283" s="57"/>
      <c r="AE283" s="58" t="s">
        <v>955</v>
      </c>
      <c r="AF283" s="57"/>
      <c r="AG283" s="71">
        <f>(0.06*0.925+0.04*0.925)*1.27</f>
        <v>0.117475</v>
      </c>
      <c r="AH283" s="63">
        <f>(2.3/0.75/2)*1.26</f>
        <v>1.9319999999999999</v>
      </c>
      <c r="AI283" s="63"/>
      <c r="AJ283" s="58">
        <v>9530</v>
      </c>
      <c r="AK283" s="57"/>
      <c r="AL283" s="58">
        <v>2E-3</v>
      </c>
      <c r="AM283" s="52" t="s">
        <v>958</v>
      </c>
      <c r="AN283" s="58">
        <v>1270</v>
      </c>
      <c r="AO283" s="52" t="s">
        <v>959</v>
      </c>
      <c r="AP283" s="59">
        <f>IFERROR(VLOOKUP($A283,[2]Mssp!$A$5:$BE$1463,AP$4+1,0),0)</f>
        <v>0</v>
      </c>
      <c r="AQ283" s="59">
        <f>IFERROR(VLOOKUP($A283,[2]Mssp!$A$5:$BE$1463,AQ$4+1,0),0)</f>
        <v>0</v>
      </c>
      <c r="AR283" s="59">
        <f>IFERROR(VLOOKUP($A283,[2]Mssp!$A$5:$BE$1463,AR$4+1,0),0)</f>
        <v>0</v>
      </c>
      <c r="AS283" s="59">
        <f>IFERROR(VLOOKUP($A283,[2]Mssp!$A$5:$BE$1463,AS$4+1,0),0)</f>
        <v>0</v>
      </c>
      <c r="AT283" s="59">
        <f>IFERROR(VLOOKUP($A283,[2]Mssp!$A$5:$BE$1463,AT$4+1,0),0)</f>
        <v>0</v>
      </c>
      <c r="AU283" s="59">
        <f>IFERROR(VLOOKUP($A283,[2]Mssp!$A$5:$BE$1463,AU$4+1,0),0)</f>
        <v>0</v>
      </c>
      <c r="AV283" s="59">
        <f>IFERROR(VLOOKUP($A283,[2]Mssp!$A$5:$BE$1463,AV$4+1,0),0)</f>
        <v>0</v>
      </c>
      <c r="AW283" s="59">
        <f>IFERROR(VLOOKUP($A283,[2]Mssp!$A$5:$BE$1463,AW$4+1,0),0)</f>
        <v>0</v>
      </c>
      <c r="AX283" s="59">
        <f>IFERROR(VLOOKUP($A283,[2]Mssp!$A$5:$BE$1463,AX$4+1,0),0)</f>
        <v>0</v>
      </c>
      <c r="AY283" s="59">
        <f>IFERROR(VLOOKUP($A283,[2]Mssp!$A$5:$BE$1463,AY$4+2,0),0)</f>
        <v>0</v>
      </c>
      <c r="AZ283" s="59">
        <f>IFERROR(VLOOKUP($A283,[2]Mssp!$A$5:$BE$1463,AZ$4+2,0),0)</f>
        <v>0</v>
      </c>
      <c r="BA283" s="60" t="s">
        <v>106</v>
      </c>
      <c r="BB283" s="61" t="s">
        <v>107</v>
      </c>
      <c r="BC283" s="62"/>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c r="CK283" s="9"/>
      <c r="CL283" s="9"/>
      <c r="CM283" s="9"/>
      <c r="CN283" s="9"/>
      <c r="CO283" s="9"/>
      <c r="CP283" s="9"/>
    </row>
    <row r="284" spans="1:94" ht="45" x14ac:dyDescent="0.25">
      <c r="A284" s="50" t="s">
        <v>989</v>
      </c>
      <c r="B284" s="73" t="s">
        <v>990</v>
      </c>
      <c r="C284" s="50">
        <f t="shared" si="10"/>
        <v>0</v>
      </c>
      <c r="D284" s="58">
        <v>1</v>
      </c>
      <c r="E284" s="58" t="s">
        <v>988</v>
      </c>
      <c r="F284" s="58">
        <v>1</v>
      </c>
      <c r="G284" s="50" t="s">
        <v>184</v>
      </c>
      <c r="H284" s="50">
        <f>VLOOKUP($A284,'[1]ma sp 02'!$A$5:$BD$1101,H$1,0)</f>
        <v>0</v>
      </c>
      <c r="I284" s="50">
        <f>VLOOKUP($A284,'[1]ma sp 02'!$A$5:$BD$1101,I$1,0)</f>
        <v>0</v>
      </c>
      <c r="J284" s="50">
        <f>VLOOKUP($A284,'[1]ma sp 02'!$A$5:$BD$1101,J$1,0)</f>
        <v>0</v>
      </c>
      <c r="K284" s="50">
        <f>VLOOKUP($A284,'[1]ma sp 02'!$A$5:$BD$1101,K$1,0)</f>
        <v>0</v>
      </c>
      <c r="L284" s="50">
        <f>VLOOKUP($A284,'[1]ma sp 02'!$A$5:$BD$1101,L$1,0)</f>
        <v>0</v>
      </c>
      <c r="M284" s="50">
        <f>VLOOKUP($A284,'[1]ma sp 02'!$A$5:$BD$1101,M$1,0)</f>
        <v>0</v>
      </c>
      <c r="N284" s="50">
        <f>VLOOKUP($A284,'[1]ma sp 02'!$A$5:$BD$1101,N$1,0)</f>
        <v>0</v>
      </c>
      <c r="O284" s="50">
        <f>VLOOKUP($A284,'[1]ma sp 02'!$A$5:$BD$1101,O$1,0)</f>
        <v>0</v>
      </c>
      <c r="P284" s="50">
        <f>VLOOKUP($A284,'[1]ma sp 02'!$A$5:$BD$1101,P$1,0)</f>
        <v>0</v>
      </c>
      <c r="Q284" s="50">
        <f>VLOOKUP($A284,'[1]ma sp 02'!$A$5:$BD$1101,Q$1,0)</f>
        <v>0</v>
      </c>
      <c r="R284" s="50">
        <f>VLOOKUP($A284,'[1]ma sp 02'!$A$5:$BD$1101,R$1,0)</f>
        <v>0</v>
      </c>
      <c r="S284" s="50">
        <f>VLOOKUP($A284,'[1]ma sp 02'!$A$5:$BD$1101,S$1,0)</f>
        <v>0</v>
      </c>
      <c r="T284" s="50">
        <f>VLOOKUP($A284,'[1]ma sp 02'!$A$5:$BD$1101,T$1,0)</f>
        <v>0</v>
      </c>
      <c r="U284" s="50">
        <f>VLOOKUP($A284,'[1]ma sp 02'!$A$5:$BD$1101,U$1,0)</f>
        <v>0</v>
      </c>
      <c r="V284" s="50">
        <f>VLOOKUP($A284,'[1]ma sp 02'!$A$5:$BD$1101,V$1,0)</f>
        <v>0</v>
      </c>
      <c r="W284" s="50">
        <f>VLOOKUP($A284,'[1]ma sp 02'!$A$5:$BD$1101,W$1,0)</f>
        <v>0</v>
      </c>
      <c r="X284" s="50">
        <f t="shared" si="9"/>
        <v>0</v>
      </c>
      <c r="Y284" s="57"/>
      <c r="Z284" s="57"/>
      <c r="AA284" s="57"/>
      <c r="AB284" s="57"/>
      <c r="AC284" s="57"/>
      <c r="AD284" s="57"/>
      <c r="AE284" s="58" t="s">
        <v>955</v>
      </c>
      <c r="AF284" s="57"/>
      <c r="AG284" s="71">
        <f>(0.06*0.925+0.04*0.925)*1.27</f>
        <v>0.117475</v>
      </c>
      <c r="AH284" s="63">
        <f>(2.3/0.75/2)*1.26</f>
        <v>1.9319999999999999</v>
      </c>
      <c r="AI284" s="63"/>
      <c r="AJ284" s="58">
        <v>9530</v>
      </c>
      <c r="AK284" s="57"/>
      <c r="AL284" s="58">
        <v>2E-3</v>
      </c>
      <c r="AM284" s="52" t="s">
        <v>958</v>
      </c>
      <c r="AN284" s="58">
        <v>1270</v>
      </c>
      <c r="AO284" s="52" t="s">
        <v>959</v>
      </c>
      <c r="AP284" s="59">
        <f>IFERROR(VLOOKUP($A284,[2]Mssp!$A$5:$BE$1463,AP$4+1,0),0)</f>
        <v>0</v>
      </c>
      <c r="AQ284" s="59">
        <f>IFERROR(VLOOKUP($A284,[2]Mssp!$A$5:$BE$1463,AQ$4+1,0),0)</f>
        <v>0</v>
      </c>
      <c r="AR284" s="59">
        <f>IFERROR(VLOOKUP($A284,[2]Mssp!$A$5:$BE$1463,AR$4+1,0),0)</f>
        <v>0</v>
      </c>
      <c r="AS284" s="59">
        <f>IFERROR(VLOOKUP($A284,[2]Mssp!$A$5:$BE$1463,AS$4+1,0),0)</f>
        <v>0</v>
      </c>
      <c r="AT284" s="59">
        <f>IFERROR(VLOOKUP($A284,[2]Mssp!$A$5:$BE$1463,AT$4+1,0),0)</f>
        <v>0</v>
      </c>
      <c r="AU284" s="59">
        <f>IFERROR(VLOOKUP($A284,[2]Mssp!$A$5:$BE$1463,AU$4+1,0),0)</f>
        <v>0</v>
      </c>
      <c r="AV284" s="59">
        <f>IFERROR(VLOOKUP($A284,[2]Mssp!$A$5:$BE$1463,AV$4+1,0),0)</f>
        <v>0</v>
      </c>
      <c r="AW284" s="59">
        <f>IFERROR(VLOOKUP($A284,[2]Mssp!$A$5:$BE$1463,AW$4+1,0),0)</f>
        <v>0</v>
      </c>
      <c r="AX284" s="59">
        <f>IFERROR(VLOOKUP($A284,[2]Mssp!$A$5:$BE$1463,AX$4+1,0),0)</f>
        <v>0</v>
      </c>
      <c r="AY284" s="59">
        <f>IFERROR(VLOOKUP($A284,[2]Mssp!$A$5:$BE$1463,AY$4+2,0),0)</f>
        <v>0</v>
      </c>
      <c r="AZ284" s="59">
        <f>IFERROR(VLOOKUP($A284,[2]Mssp!$A$5:$BE$1463,AZ$4+2,0),0)</f>
        <v>0</v>
      </c>
      <c r="BA284" s="60" t="s">
        <v>106</v>
      </c>
      <c r="BB284" s="61" t="s">
        <v>107</v>
      </c>
      <c r="BC284" s="62"/>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c r="CK284" s="9"/>
      <c r="CL284" s="9"/>
      <c r="CM284" s="9"/>
      <c r="CN284" s="9"/>
      <c r="CO284" s="9"/>
      <c r="CP284" s="9"/>
    </row>
    <row r="285" spans="1:94" ht="45" x14ac:dyDescent="0.25">
      <c r="A285" s="50" t="s">
        <v>991</v>
      </c>
      <c r="B285" s="73" t="s">
        <v>992</v>
      </c>
      <c r="C285" s="50" t="e">
        <f t="shared" si="10"/>
        <v>#REF!</v>
      </c>
      <c r="D285" s="58">
        <v>4</v>
      </c>
      <c r="E285" s="58" t="s">
        <v>393</v>
      </c>
      <c r="F285" s="58">
        <v>5</v>
      </c>
      <c r="G285" s="50" t="str">
        <f>LEFT(E285,3)</f>
        <v>PET</v>
      </c>
      <c r="H285" s="50">
        <f>VLOOKUP($A285,'[1]ma sp 02'!$A$5:$BD$1101,H$1,0)</f>
        <v>0.06</v>
      </c>
      <c r="I285" s="50">
        <f>VLOOKUP($A285,'[1]ma sp 02'!$A$5:$BD$1101,I$1,0)</f>
        <v>3.51</v>
      </c>
      <c r="J285" s="50">
        <f>VLOOKUP($A285,'[1]ma sp 02'!$A$5:$BD$1101,J$1,0)</f>
        <v>0.64</v>
      </c>
      <c r="K285" s="50">
        <f>VLOOKUP($A285,'[1]ma sp 02'!$A$5:$BD$1101,K$1,0)</f>
        <v>0.56999999999999995</v>
      </c>
      <c r="L285" s="50">
        <f>VLOOKUP($A285,'[1]ma sp 02'!$A$5:$BD$1101,L$1,0)</f>
        <v>1.0900000000000001</v>
      </c>
      <c r="M285" s="50">
        <f>VLOOKUP($A285,'[1]ma sp 02'!$A$5:$BD$1101,M$1,0)</f>
        <v>0.89400000000000002</v>
      </c>
      <c r="N285" s="50" t="e">
        <f>VLOOKUP($A285,'[1]ma sp 02'!$A$5:$BD$1101,N$1,0)</f>
        <v>#REF!</v>
      </c>
      <c r="O285" s="50" t="e">
        <f>VLOOKUP($A285,'[1]ma sp 02'!$A$5:$BD$1101,O$1,0)</f>
        <v>#REF!</v>
      </c>
      <c r="P285" s="50" t="e">
        <f>VLOOKUP($A285,'[1]ma sp 02'!$A$5:$BD$1101,P$1,0)</f>
        <v>#REF!</v>
      </c>
      <c r="Q285" s="50" t="e">
        <f>VLOOKUP($A285,'[1]ma sp 02'!$A$5:$BD$1101,Q$1,0)</f>
        <v>#REF!</v>
      </c>
      <c r="R285" s="50" t="e">
        <f>VLOOKUP($A285,'[1]ma sp 02'!$A$5:$BD$1101,R$1,0)</f>
        <v>#REF!</v>
      </c>
      <c r="S285" s="50" t="e">
        <f>VLOOKUP($A285,'[1]ma sp 02'!$A$5:$BD$1101,S$1,0)</f>
        <v>#REF!</v>
      </c>
      <c r="T285" s="50" t="e">
        <f>VLOOKUP($A285,'[1]ma sp 02'!$A$5:$BD$1101,T$1,0)</f>
        <v>#REF!</v>
      </c>
      <c r="U285" s="50" t="e">
        <f>VLOOKUP($A285,'[1]ma sp 02'!$A$5:$BD$1101,U$1,0)</f>
        <v>#REF!</v>
      </c>
      <c r="V285" s="50" t="e">
        <f>VLOOKUP($A285,'[1]ma sp 02'!$A$5:$BD$1101,V$1,0)</f>
        <v>#REF!</v>
      </c>
      <c r="W285" s="50" t="e">
        <f>VLOOKUP($A285,'[1]ma sp 02'!$A$5:$BD$1101,W$1,0)</f>
        <v>#REF!</v>
      </c>
      <c r="X285" s="50">
        <f t="shared" si="9"/>
        <v>6</v>
      </c>
      <c r="Y285" s="58"/>
      <c r="Z285" s="58"/>
      <c r="AA285" s="58"/>
      <c r="AB285" s="58"/>
      <c r="AC285" s="58"/>
      <c r="AD285" s="58"/>
      <c r="AE285" s="58" t="s">
        <v>993</v>
      </c>
      <c r="AF285" s="58" t="s">
        <v>994</v>
      </c>
      <c r="AG285" s="71">
        <f>(0.012*1.4+0.06*2.71+0.055*0.925)*0.66</f>
        <v>0.15198150000000002</v>
      </c>
      <c r="AH285" s="63">
        <f>(2.3/0.75/2)*0.65</f>
        <v>0.99666666666666659</v>
      </c>
      <c r="AI285" s="63">
        <f>(2.5/0.75/2)*0.65</f>
        <v>1.0833333333333335</v>
      </c>
      <c r="AJ285" s="58">
        <v>9530</v>
      </c>
      <c r="AK285" s="58">
        <v>9530</v>
      </c>
      <c r="AL285" s="58" t="s">
        <v>995</v>
      </c>
      <c r="AM285" s="52" t="s">
        <v>142</v>
      </c>
      <c r="AN285" s="58">
        <v>160</v>
      </c>
      <c r="AO285" s="52" t="s">
        <v>996</v>
      </c>
      <c r="AP285" s="59" t="str">
        <f>IFERROR(VLOOKUP($A285,[2]Mssp!$A$5:$BE$1463,AP$4+1,0),0)</f>
        <v>F118539G2-1</v>
      </c>
      <c r="AQ285" s="59" t="str">
        <f>IFERROR(VLOOKUP($A285,[2]Mssp!$A$5:$BE$1463,AQ$4+1,0),0)</f>
        <v>F118539-2</v>
      </c>
      <c r="AR285" s="59" t="str">
        <f>IFERROR(VLOOKUP($A285,[2]Mssp!$A$5:$BE$1463,AR$4+1,0),0)</f>
        <v>F118539-3</v>
      </c>
      <c r="AS285" s="59" t="str">
        <f>IFERROR(VLOOKUP($A285,[2]Mssp!$A$5:$BE$1463,AS$4+1,0),0)</f>
        <v>F118539-4</v>
      </c>
      <c r="AT285" s="59" t="str">
        <f>IFERROR(VLOOKUP($A285,[2]Mssp!$A$5:$BE$1463,AT$4+1,0),0)</f>
        <v>F118539-5</v>
      </c>
      <c r="AU285" s="59">
        <f>IFERROR(VLOOKUP($A285,[2]Mssp!$A$5:$BE$1463,AU$4+1,0),0)</f>
        <v>0</v>
      </c>
      <c r="AV285" s="59">
        <f>IFERROR(VLOOKUP($A285,[2]Mssp!$A$5:$BE$1463,AV$4+1,0),0)</f>
        <v>0</v>
      </c>
      <c r="AW285" s="59">
        <f>IFERROR(VLOOKUP($A285,[2]Mssp!$A$5:$BE$1463,AW$4+1,0),0)</f>
        <v>0</v>
      </c>
      <c r="AX285" s="59">
        <f>IFERROR(VLOOKUP($A285,[2]Mssp!$A$5:$BE$1463,AX$4+1,0),0)</f>
        <v>0</v>
      </c>
      <c r="AY285" s="59" t="str">
        <f>IFERROR(VLOOKUP($A285,[2]Mssp!$A$5:$BE$1463,AY$4+2,0),0)</f>
        <v>428x750</v>
      </c>
      <c r="AZ285" s="59" t="str">
        <f>IFERROR(VLOOKUP($A285,[2]Mssp!$A$5:$BE$1463,AZ$4+2,0),0)</f>
        <v>O2</v>
      </c>
      <c r="BA285" s="60" t="s">
        <v>144</v>
      </c>
      <c r="BB285" s="61" t="s">
        <v>107</v>
      </c>
      <c r="BC285" s="62"/>
      <c r="BD285" s="9"/>
      <c r="BE285" s="9"/>
      <c r="BF285" s="9"/>
      <c r="BG285" s="9"/>
      <c r="BH285" s="9"/>
      <c r="BI285" s="9"/>
      <c r="BJ285" s="58"/>
      <c r="BK285" s="58"/>
      <c r="BL285" s="58"/>
      <c r="BM285" s="58"/>
      <c r="BN285" s="58"/>
      <c r="BO285" s="58"/>
      <c r="BP285" s="58"/>
      <c r="BQ285" s="58"/>
      <c r="BR285" s="58"/>
      <c r="BS285" s="58"/>
      <c r="BT285" s="58"/>
      <c r="BU285" s="58"/>
      <c r="BV285" s="58"/>
      <c r="BW285" s="58"/>
      <c r="BX285" s="58"/>
      <c r="BY285" s="58"/>
      <c r="BZ285" s="58"/>
      <c r="CA285" s="58"/>
      <c r="CB285" s="58"/>
      <c r="CC285" s="58"/>
      <c r="CD285" s="58"/>
      <c r="CE285" s="58"/>
      <c r="CF285" s="58"/>
      <c r="CG285" s="58"/>
      <c r="CH285" s="9"/>
      <c r="CI285" s="58"/>
      <c r="CJ285" s="58"/>
      <c r="CK285" s="58"/>
      <c r="CL285" s="58"/>
      <c r="CM285" s="58"/>
      <c r="CN285" s="58"/>
      <c r="CO285" s="58"/>
      <c r="CP285" s="58"/>
    </row>
    <row r="286" spans="1:94" ht="60" x14ac:dyDescent="0.25">
      <c r="A286" s="50" t="s">
        <v>997</v>
      </c>
      <c r="B286" s="73" t="s">
        <v>998</v>
      </c>
      <c r="C286" s="50" t="e">
        <f t="shared" si="10"/>
        <v>#REF!</v>
      </c>
      <c r="D286" s="58">
        <v>1</v>
      </c>
      <c r="E286" s="58" t="s">
        <v>331</v>
      </c>
      <c r="F286" s="58">
        <v>4</v>
      </c>
      <c r="G286" s="50" t="str">
        <f>LEFT(E286,3)</f>
        <v>PET</v>
      </c>
      <c r="H286" s="50">
        <f>VLOOKUP($A286,'[1]ma sp 02'!$A$5:$BD$1101,H$1,0)</f>
        <v>0.01</v>
      </c>
      <c r="I286" s="50" t="e">
        <f>VLOOKUP($A286,'[1]ma sp 02'!$A$5:$BD$1101,I$1,0)</f>
        <v>#REF!</v>
      </c>
      <c r="J286" s="50">
        <f>VLOOKUP($A286,'[1]ma sp 02'!$A$5:$BD$1101,J$1,0)</f>
        <v>1.37</v>
      </c>
      <c r="K286" s="50">
        <f>VLOOKUP($A286,'[1]ma sp 02'!$A$5:$BD$1101,K$1,0)</f>
        <v>1.49</v>
      </c>
      <c r="L286" s="50">
        <f>VLOOKUP($A286,'[1]ma sp 02'!$A$5:$BD$1101,L$1,0)</f>
        <v>2.36</v>
      </c>
      <c r="M286" s="50">
        <f>VLOOKUP($A286,'[1]ma sp 02'!$A$5:$BD$1101,M$1,0)</f>
        <v>0.996</v>
      </c>
      <c r="N286" s="50" t="e">
        <f>VLOOKUP($A286,'[1]ma sp 02'!$A$5:$BD$1101,N$1,0)</f>
        <v>#REF!</v>
      </c>
      <c r="O286" s="50" t="e">
        <f>VLOOKUP($A286,'[1]ma sp 02'!$A$5:$BD$1101,O$1,0)</f>
        <v>#REF!</v>
      </c>
      <c r="P286" s="50" t="e">
        <f>VLOOKUP($A286,'[1]ma sp 02'!$A$5:$BD$1101,P$1,0)</f>
        <v>#REF!</v>
      </c>
      <c r="Q286" s="50" t="e">
        <f>VLOOKUP($A286,'[1]ma sp 02'!$A$5:$BD$1101,Q$1,0)</f>
        <v>#REF!</v>
      </c>
      <c r="R286" s="50" t="e">
        <f>VLOOKUP($A286,'[1]ma sp 02'!$A$5:$BD$1101,R$1,0)</f>
        <v>#REF!</v>
      </c>
      <c r="S286" s="50" t="e">
        <f>VLOOKUP($A286,'[1]ma sp 02'!$A$5:$BD$1101,S$1,0)</f>
        <v>#REF!</v>
      </c>
      <c r="T286" s="50" t="e">
        <f>VLOOKUP($A286,'[1]ma sp 02'!$A$5:$BD$1101,T$1,0)</f>
        <v>#REF!</v>
      </c>
      <c r="U286" s="50" t="e">
        <f>VLOOKUP($A286,'[1]ma sp 02'!$A$5:$BD$1101,U$1,0)</f>
        <v>#REF!</v>
      </c>
      <c r="V286" s="50" t="e">
        <f>VLOOKUP($A286,'[1]ma sp 02'!$A$5:$BD$1101,V$1,0)</f>
        <v>#REF!</v>
      </c>
      <c r="W286" s="50" t="e">
        <f>VLOOKUP($A286,'[1]ma sp 02'!$A$5:$BD$1101,W$1,0)</f>
        <v>#REF!</v>
      </c>
      <c r="X286" s="50">
        <f t="shared" si="9"/>
        <v>5</v>
      </c>
      <c r="Y286" s="58"/>
      <c r="Z286" s="58"/>
      <c r="AA286" s="58"/>
      <c r="AB286" s="58"/>
      <c r="AC286" s="58"/>
      <c r="AD286" s="58"/>
      <c r="AE286" s="58" t="s">
        <v>999</v>
      </c>
      <c r="AF286" s="58"/>
      <c r="AG286" s="71">
        <f>(0.012*1.4+1.4*0.925)*0.7</f>
        <v>0.91825999999999985</v>
      </c>
      <c r="AH286" s="63">
        <f>(3/0.75/2)*0.7</f>
        <v>1.4</v>
      </c>
      <c r="AI286" s="63"/>
      <c r="AJ286" s="58">
        <v>9530</v>
      </c>
      <c r="AK286" s="58"/>
      <c r="AL286" s="58">
        <v>3.0000000000000001E-3</v>
      </c>
      <c r="AM286" s="52" t="s">
        <v>1000</v>
      </c>
      <c r="AN286" s="58">
        <v>230</v>
      </c>
      <c r="AO286" s="52" t="s">
        <v>996</v>
      </c>
      <c r="AP286" s="59" t="str">
        <f>IFERROR(VLOOKUP($A286,[2]Mssp!$A$5:$BE$1463,AP$4+1,0),0)</f>
        <v>F118705G2-1</v>
      </c>
      <c r="AQ286" s="59" t="str">
        <f>IFERROR(VLOOKUP($A286,[2]Mssp!$A$5:$BE$1463,AQ$4+1,0),0)</f>
        <v>F118705G1-2</v>
      </c>
      <c r="AR286" s="59" t="str">
        <f>IFERROR(VLOOKUP($A286,[2]Mssp!$A$5:$BE$1463,AR$4+1,0),0)</f>
        <v>F118705G1-3</v>
      </c>
      <c r="AS286" s="59" t="str">
        <f>IFERROR(VLOOKUP($A286,[2]Mssp!$A$5:$BE$1463,AS$4+1,0),0)</f>
        <v>F118705-4</v>
      </c>
      <c r="AT286" s="59">
        <f>IFERROR(VLOOKUP($A286,[2]Mssp!$A$5:$BE$1463,AT$4+1,0),0)</f>
        <v>0</v>
      </c>
      <c r="AU286" s="59">
        <f>IFERROR(VLOOKUP($A286,[2]Mssp!$A$5:$BE$1463,AU$4+1,0),0)</f>
        <v>0</v>
      </c>
      <c r="AV286" s="59">
        <f>IFERROR(VLOOKUP($A286,[2]Mssp!$A$5:$BE$1463,AV$4+1,0),0)</f>
        <v>0</v>
      </c>
      <c r="AW286" s="59">
        <f>IFERROR(VLOOKUP($A286,[2]Mssp!$A$5:$BE$1463,AW$4+1,0),0)</f>
        <v>0</v>
      </c>
      <c r="AX286" s="59">
        <f>IFERROR(VLOOKUP($A286,[2]Mssp!$A$5:$BE$1463,AX$4+1,0),0)</f>
        <v>0</v>
      </c>
      <c r="AY286" s="59" t="str">
        <f>IFERROR(VLOOKUP($A286,[2]Mssp!$A$5:$BE$1463,AY$4+2,0),0)</f>
        <v>460x750</v>
      </c>
      <c r="AZ286" s="59" t="str">
        <f>IFERROR(VLOOKUP($A286,[2]Mssp!$A$5:$BE$1463,AZ$4+2,0),0)</f>
        <v>O2</v>
      </c>
      <c r="BA286" s="60">
        <v>900</v>
      </c>
      <c r="BB286" s="61" t="s">
        <v>62</v>
      </c>
      <c r="BC286" s="62"/>
      <c r="BD286" s="9"/>
      <c r="BE286" s="9"/>
      <c r="BF286" s="9"/>
      <c r="BG286" s="9"/>
      <c r="BH286" s="9"/>
      <c r="BI286" s="9"/>
      <c r="BJ286" s="58"/>
      <c r="BK286" s="58"/>
      <c r="BL286" s="58"/>
      <c r="BM286" s="58"/>
      <c r="BN286" s="58"/>
      <c r="BO286" s="58"/>
      <c r="BP286" s="58"/>
      <c r="BQ286" s="58"/>
      <c r="BR286" s="58"/>
      <c r="BS286" s="58"/>
      <c r="BT286" s="58"/>
      <c r="BU286" s="58"/>
      <c r="BV286" s="58"/>
      <c r="BW286" s="58"/>
      <c r="BX286" s="58"/>
      <c r="BY286" s="58"/>
      <c r="BZ286" s="58"/>
      <c r="CA286" s="58"/>
      <c r="CB286" s="58"/>
      <c r="CC286" s="58"/>
      <c r="CD286" s="58"/>
      <c r="CE286" s="58"/>
      <c r="CF286" s="58"/>
      <c r="CG286" s="58"/>
      <c r="CH286" s="9"/>
      <c r="CI286" s="58"/>
      <c r="CJ286" s="58"/>
      <c r="CK286" s="58"/>
      <c r="CL286" s="58"/>
      <c r="CM286" s="58"/>
      <c r="CN286" s="58"/>
      <c r="CO286" s="58"/>
      <c r="CP286" s="58"/>
    </row>
    <row r="287" spans="1:94" ht="45" x14ac:dyDescent="0.25">
      <c r="A287" s="50" t="s">
        <v>1001</v>
      </c>
      <c r="B287" s="73" t="s">
        <v>1002</v>
      </c>
      <c r="C287" s="50">
        <f t="shared" si="10"/>
        <v>3.9439999999999995</v>
      </c>
      <c r="D287" s="58">
        <v>5</v>
      </c>
      <c r="E287" s="58" t="s">
        <v>131</v>
      </c>
      <c r="F287" s="58">
        <v>5</v>
      </c>
      <c r="G287" s="50" t="s">
        <v>530</v>
      </c>
      <c r="H287" s="50">
        <f>VLOOKUP($A287,'[1]ma sp 02'!$A$5:$BD$1101,H$1,0)</f>
        <v>0.13500000000000001</v>
      </c>
      <c r="I287" s="50">
        <f>VLOOKUP($A287,'[1]ma sp 02'!$A$5:$BD$1101,I$1,0)</f>
        <v>1.8939999999999999</v>
      </c>
      <c r="J287" s="50">
        <f>VLOOKUP($A287,'[1]ma sp 02'!$A$5:$BD$1101,J$1,0)</f>
        <v>1.218</v>
      </c>
      <c r="K287" s="50">
        <f>VLOOKUP($A287,'[1]ma sp 02'!$A$5:$BD$1101,K$1,0)</f>
        <v>0.67700000000000005</v>
      </c>
      <c r="L287" s="50">
        <f>VLOOKUP($A287,'[1]ma sp 02'!$A$5:$BD$1101,L$1,0)</f>
        <v>0.01</v>
      </c>
      <c r="M287" s="50">
        <f>VLOOKUP($A287,'[1]ma sp 02'!$A$5:$BD$1101,M$1,0)</f>
        <v>0</v>
      </c>
      <c r="N287" s="50">
        <f>VLOOKUP($A287,'[1]ma sp 02'!$A$5:$BD$1101,N$1,0)</f>
        <v>0</v>
      </c>
      <c r="O287" s="50">
        <f>VLOOKUP($A287,'[1]ma sp 02'!$A$5:$BD$1101,O$1,0)</f>
        <v>0</v>
      </c>
      <c r="P287" s="50">
        <f>VLOOKUP($A287,'[1]ma sp 02'!$A$5:$BD$1101,P$1,0)</f>
        <v>0</v>
      </c>
      <c r="Q287" s="50">
        <f>VLOOKUP($A287,'[1]ma sp 02'!$A$5:$BD$1101,Q$1,0)</f>
        <v>0</v>
      </c>
      <c r="R287" s="50">
        <f>VLOOKUP($A287,'[1]ma sp 02'!$A$5:$BD$1101,R$1,0)</f>
        <v>0.01</v>
      </c>
      <c r="S287" s="50">
        <f>VLOOKUP($A287,'[1]ma sp 02'!$A$5:$BD$1101,S$1,0)</f>
        <v>0</v>
      </c>
      <c r="T287" s="50">
        <f>VLOOKUP($A287,'[1]ma sp 02'!$A$5:$BD$1101,T$1,0)</f>
        <v>0</v>
      </c>
      <c r="U287" s="50">
        <f>VLOOKUP($A287,'[1]ma sp 02'!$A$5:$BD$1101,U$1,0)</f>
        <v>0</v>
      </c>
      <c r="V287" s="50">
        <f>VLOOKUP($A287,'[1]ma sp 02'!$A$5:$BD$1101,V$1,0)</f>
        <v>0</v>
      </c>
      <c r="W287" s="50">
        <f>VLOOKUP($A287,'[1]ma sp 02'!$A$5:$BD$1101,W$1,0)</f>
        <v>0</v>
      </c>
      <c r="X287" s="50">
        <f t="shared" si="9"/>
        <v>6</v>
      </c>
      <c r="Y287" s="57"/>
      <c r="Z287" s="57"/>
      <c r="AA287" s="57"/>
      <c r="AB287" s="57"/>
      <c r="AC287" s="57"/>
      <c r="AD287" s="57"/>
      <c r="AE287" s="58" t="s">
        <v>219</v>
      </c>
      <c r="AF287" s="58" t="s">
        <v>1003</v>
      </c>
      <c r="AG287" s="71">
        <f>(0.012*1.4+0.006*2.71+0.075*0.925)*0.62</f>
        <v>6.3509700000000002E-2</v>
      </c>
      <c r="AH287" s="63">
        <f>(2.3/0.75/2)*0.61</f>
        <v>0.93533333333333324</v>
      </c>
      <c r="AI287" s="63">
        <f>(3/0.75/2)*0.61</f>
        <v>1.22</v>
      </c>
      <c r="AJ287" s="58">
        <v>9530</v>
      </c>
      <c r="AK287" s="58">
        <v>9530</v>
      </c>
      <c r="AL287" s="77" t="s">
        <v>1004</v>
      </c>
      <c r="AM287" s="52" t="s">
        <v>104</v>
      </c>
      <c r="AN287" s="58">
        <v>120</v>
      </c>
      <c r="AO287" s="52" t="s">
        <v>1005</v>
      </c>
      <c r="AP287" s="59" t="str">
        <f>IFERROR(VLOOKUP($A287,[2]Mssp!$A$5:$BE$1463,AP$4+1,0),0)</f>
        <v>1708889-1</v>
      </c>
      <c r="AQ287" s="59" t="str">
        <f>IFERROR(VLOOKUP($A287,[2]Mssp!$A$5:$BE$1463,AQ$4+1,0),0)</f>
        <v>1708889-2</v>
      </c>
      <c r="AR287" s="59" t="str">
        <f>IFERROR(VLOOKUP($A287,[2]Mssp!$A$5:$BE$1463,AR$4+1,0),0)</f>
        <v>1708889-3</v>
      </c>
      <c r="AS287" s="59" t="str">
        <f>IFERROR(VLOOKUP($A287,[2]Mssp!$A$5:$BE$1463,AS$4+1,0),0)</f>
        <v>1708889-4</v>
      </c>
      <c r="AT287" s="59" t="str">
        <f>IFERROR(VLOOKUP($A287,[2]Mssp!$A$5:$BE$1463,AT$4+1,0),0)</f>
        <v>1708889-5</v>
      </c>
      <c r="AU287" s="59">
        <f>IFERROR(VLOOKUP($A287,[2]Mssp!$A$5:$BE$1463,AU$4+1,0),0)</f>
        <v>0</v>
      </c>
      <c r="AV287" s="59">
        <f>IFERROR(VLOOKUP($A287,[2]Mssp!$A$5:$BE$1463,AV$4+1,0),0)</f>
        <v>0</v>
      </c>
      <c r="AW287" s="59">
        <f>IFERROR(VLOOKUP($A287,[2]Mssp!$A$5:$BE$1463,AW$4+1,0),0)</f>
        <v>0</v>
      </c>
      <c r="AX287" s="59">
        <f>IFERROR(VLOOKUP($A287,[2]Mssp!$A$5:$BE$1463,AX$4+1,0),0)</f>
        <v>0</v>
      </c>
      <c r="AY287" s="59" t="str">
        <f>IFERROR(VLOOKUP($A287,[2]Mssp!$A$5:$BE$1463,AY$4+2,0),0)</f>
        <v>400x750</v>
      </c>
      <c r="AZ287" s="59" t="str">
        <f>IFERROR(VLOOKUP($A287,[2]Mssp!$A$5:$BE$1463,AZ$4+2,0),0)</f>
        <v>O2</v>
      </c>
      <c r="BA287" s="60" t="s">
        <v>1006</v>
      </c>
      <c r="BB287" s="61" t="s">
        <v>107</v>
      </c>
      <c r="BC287" s="62"/>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c r="CK287" s="9"/>
      <c r="CL287" s="9"/>
      <c r="CM287" s="9"/>
      <c r="CN287" s="9"/>
      <c r="CO287" s="9"/>
      <c r="CP287" s="9"/>
    </row>
    <row r="288" spans="1:94" ht="45" x14ac:dyDescent="0.25">
      <c r="A288" s="50" t="s">
        <v>1007</v>
      </c>
      <c r="B288" s="73" t="s">
        <v>1008</v>
      </c>
      <c r="C288" s="50">
        <f t="shared" si="10"/>
        <v>0</v>
      </c>
      <c r="D288" s="58">
        <v>2</v>
      </c>
      <c r="E288" s="58" t="s">
        <v>1009</v>
      </c>
      <c r="F288" s="58">
        <v>0</v>
      </c>
      <c r="G288" s="50" t="s">
        <v>1010</v>
      </c>
      <c r="H288" s="50">
        <f>VLOOKUP($A288,'[1]ma sp 02'!$A$5:$BD$1101,H$1,0)</f>
        <v>0</v>
      </c>
      <c r="I288" s="50">
        <f>VLOOKUP($A288,'[1]ma sp 02'!$A$5:$BD$1101,I$1,0)</f>
        <v>0</v>
      </c>
      <c r="J288" s="50">
        <f>VLOOKUP($A288,'[1]ma sp 02'!$A$5:$BD$1101,J$1,0)</f>
        <v>0</v>
      </c>
      <c r="K288" s="50">
        <f>VLOOKUP($A288,'[1]ma sp 02'!$A$5:$BD$1101,K$1,0)</f>
        <v>0</v>
      </c>
      <c r="L288" s="50">
        <f>VLOOKUP($A288,'[1]ma sp 02'!$A$5:$BD$1101,L$1,0)</f>
        <v>0</v>
      </c>
      <c r="M288" s="50">
        <f>VLOOKUP($A288,'[1]ma sp 02'!$A$5:$BD$1101,M$1,0)</f>
        <v>0</v>
      </c>
      <c r="N288" s="50">
        <f>VLOOKUP($A288,'[1]ma sp 02'!$A$5:$BD$1101,N$1,0)</f>
        <v>0</v>
      </c>
      <c r="O288" s="50">
        <f>VLOOKUP($A288,'[1]ma sp 02'!$A$5:$BD$1101,O$1,0)</f>
        <v>0</v>
      </c>
      <c r="P288" s="50">
        <f>VLOOKUP($A288,'[1]ma sp 02'!$A$5:$BD$1101,P$1,0)</f>
        <v>0</v>
      </c>
      <c r="Q288" s="50">
        <f>VLOOKUP($A288,'[1]ma sp 02'!$A$5:$BD$1101,Q$1,0)</f>
        <v>0</v>
      </c>
      <c r="R288" s="50">
        <f>VLOOKUP($A288,'[1]ma sp 02'!$A$5:$BD$1101,R$1,0)</f>
        <v>0</v>
      </c>
      <c r="S288" s="50">
        <f>VLOOKUP($A288,'[1]ma sp 02'!$A$5:$BD$1101,S$1,0)</f>
        <v>0</v>
      </c>
      <c r="T288" s="50">
        <f>VLOOKUP($A288,'[1]ma sp 02'!$A$5:$BD$1101,T$1,0)</f>
        <v>0</v>
      </c>
      <c r="U288" s="50">
        <f>VLOOKUP($A288,'[1]ma sp 02'!$A$5:$BD$1101,U$1,0)</f>
        <v>0</v>
      </c>
      <c r="V288" s="50">
        <f>VLOOKUP($A288,'[1]ma sp 02'!$A$5:$BD$1101,V$1,0)</f>
        <v>0</v>
      </c>
      <c r="W288" s="50">
        <f>VLOOKUP($A288,'[1]ma sp 02'!$A$5:$BD$1101,W$1,0)</f>
        <v>0</v>
      </c>
      <c r="X288" s="50">
        <f t="shared" si="9"/>
        <v>0</v>
      </c>
      <c r="Y288" s="57"/>
      <c r="Z288" s="57"/>
      <c r="AA288" s="57"/>
      <c r="AB288" s="57"/>
      <c r="AC288" s="57"/>
      <c r="AD288" s="57"/>
      <c r="AE288" s="58" t="s">
        <v>500</v>
      </c>
      <c r="AF288" s="57"/>
      <c r="AG288" s="71">
        <f>(0.012*1.4+0.6*0.925)*0.8</f>
        <v>0.45744000000000007</v>
      </c>
      <c r="AH288" s="63">
        <f>(2.3/0.75/2)*0.79</f>
        <v>1.2113333333333334</v>
      </c>
      <c r="AI288" s="63"/>
      <c r="AJ288" s="58">
        <v>9530</v>
      </c>
      <c r="AK288" s="57"/>
      <c r="AL288" s="58">
        <v>2.3E-3</v>
      </c>
      <c r="AM288" s="52" t="s">
        <v>958</v>
      </c>
      <c r="AN288" s="58">
        <v>400</v>
      </c>
      <c r="AO288" s="52" t="s">
        <v>962</v>
      </c>
      <c r="AP288" s="59">
        <f>IFERROR(VLOOKUP($A288,[2]Mssp!$A$5:$BE$1463,AP$4+1,0),0)</f>
        <v>0</v>
      </c>
      <c r="AQ288" s="59">
        <f>IFERROR(VLOOKUP($A288,[2]Mssp!$A$5:$BE$1463,AQ$4+1,0),0)</f>
        <v>0</v>
      </c>
      <c r="AR288" s="59">
        <f>IFERROR(VLOOKUP($A288,[2]Mssp!$A$5:$BE$1463,AR$4+1,0),0)</f>
        <v>0</v>
      </c>
      <c r="AS288" s="59">
        <f>IFERROR(VLOOKUP($A288,[2]Mssp!$A$5:$BE$1463,AS$4+1,0),0)</f>
        <v>0</v>
      </c>
      <c r="AT288" s="59">
        <f>IFERROR(VLOOKUP($A288,[2]Mssp!$A$5:$BE$1463,AT$4+1,0),0)</f>
        <v>0</v>
      </c>
      <c r="AU288" s="59">
        <f>IFERROR(VLOOKUP($A288,[2]Mssp!$A$5:$BE$1463,AU$4+1,0),0)</f>
        <v>0</v>
      </c>
      <c r="AV288" s="59">
        <f>IFERROR(VLOOKUP($A288,[2]Mssp!$A$5:$BE$1463,AV$4+1,0),0)</f>
        <v>0</v>
      </c>
      <c r="AW288" s="59">
        <f>IFERROR(VLOOKUP($A288,[2]Mssp!$A$5:$BE$1463,AW$4+1,0),0)</f>
        <v>0</v>
      </c>
      <c r="AX288" s="59">
        <f>IFERROR(VLOOKUP($A288,[2]Mssp!$A$5:$BE$1463,AX$4+1,0),0)</f>
        <v>0</v>
      </c>
      <c r="AY288" s="59">
        <f>IFERROR(VLOOKUP($A288,[2]Mssp!$A$5:$BE$1463,AY$4+2,0),0)</f>
        <v>0</v>
      </c>
      <c r="AZ288" s="59">
        <f>IFERROR(VLOOKUP($A288,[2]Mssp!$A$5:$BE$1463,AZ$4+2,0),0)</f>
        <v>0</v>
      </c>
      <c r="BA288" s="60" t="s">
        <v>106</v>
      </c>
      <c r="BB288" s="61" t="s">
        <v>107</v>
      </c>
      <c r="BC288" s="62"/>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9"/>
      <c r="CK288" s="9"/>
      <c r="CL288" s="9"/>
      <c r="CM288" s="9"/>
      <c r="CN288" s="9"/>
      <c r="CO288" s="9"/>
      <c r="CP288" s="9"/>
    </row>
    <row r="289" spans="1:94" ht="45" x14ac:dyDescent="0.25">
      <c r="A289" s="50" t="s">
        <v>1011</v>
      </c>
      <c r="B289" s="73" t="s">
        <v>1012</v>
      </c>
      <c r="C289" s="50">
        <f t="shared" si="10"/>
        <v>0</v>
      </c>
      <c r="D289" s="58">
        <v>1</v>
      </c>
      <c r="E289" s="58" t="s">
        <v>1013</v>
      </c>
      <c r="F289" s="58">
        <v>1</v>
      </c>
      <c r="G289" s="50" t="s">
        <v>184</v>
      </c>
      <c r="H289" s="50">
        <f>VLOOKUP($A289,'[1]ma sp 02'!$A$5:$BD$1101,H$1,0)</f>
        <v>0</v>
      </c>
      <c r="I289" s="50">
        <f>VLOOKUP($A289,'[1]ma sp 02'!$A$5:$BD$1101,I$1,0)</f>
        <v>0</v>
      </c>
      <c r="J289" s="50">
        <f>VLOOKUP($A289,'[1]ma sp 02'!$A$5:$BD$1101,J$1,0)</f>
        <v>0</v>
      </c>
      <c r="K289" s="50">
        <f>VLOOKUP($A289,'[1]ma sp 02'!$A$5:$BD$1101,K$1,0)</f>
        <v>0</v>
      </c>
      <c r="L289" s="50">
        <f>VLOOKUP($A289,'[1]ma sp 02'!$A$5:$BD$1101,L$1,0)</f>
        <v>0</v>
      </c>
      <c r="M289" s="50">
        <f>VLOOKUP($A289,'[1]ma sp 02'!$A$5:$BD$1101,M$1,0)</f>
        <v>0</v>
      </c>
      <c r="N289" s="50">
        <f>VLOOKUP($A289,'[1]ma sp 02'!$A$5:$BD$1101,N$1,0)</f>
        <v>0</v>
      </c>
      <c r="O289" s="50">
        <f>VLOOKUP($A289,'[1]ma sp 02'!$A$5:$BD$1101,O$1,0)</f>
        <v>0</v>
      </c>
      <c r="P289" s="50">
        <f>VLOOKUP($A289,'[1]ma sp 02'!$A$5:$BD$1101,P$1,0)</f>
        <v>0</v>
      </c>
      <c r="Q289" s="50">
        <f>VLOOKUP($A289,'[1]ma sp 02'!$A$5:$BD$1101,Q$1,0)</f>
        <v>0</v>
      </c>
      <c r="R289" s="50">
        <f>VLOOKUP($A289,'[1]ma sp 02'!$A$5:$BD$1101,R$1,0)</f>
        <v>0</v>
      </c>
      <c r="S289" s="50">
        <f>VLOOKUP($A289,'[1]ma sp 02'!$A$5:$BD$1101,S$1,0)</f>
        <v>0</v>
      </c>
      <c r="T289" s="50">
        <f>VLOOKUP($A289,'[1]ma sp 02'!$A$5:$BD$1101,T$1,0)</f>
        <v>0</v>
      </c>
      <c r="U289" s="50">
        <f>VLOOKUP($A289,'[1]ma sp 02'!$A$5:$BD$1101,U$1,0)</f>
        <v>0</v>
      </c>
      <c r="V289" s="50">
        <f>VLOOKUP($A289,'[1]ma sp 02'!$A$5:$BD$1101,V$1,0)</f>
        <v>0</v>
      </c>
      <c r="W289" s="50">
        <f>VLOOKUP($A289,'[1]ma sp 02'!$A$5:$BD$1101,W$1,0)</f>
        <v>0</v>
      </c>
      <c r="X289" s="50">
        <f t="shared" si="9"/>
        <v>0</v>
      </c>
      <c r="Y289" s="57"/>
      <c r="Z289" s="57"/>
      <c r="AA289" s="57"/>
      <c r="AB289" s="57"/>
      <c r="AC289" s="57"/>
      <c r="AD289" s="57"/>
      <c r="AE289" s="58" t="s">
        <v>1014</v>
      </c>
      <c r="AF289" s="57"/>
      <c r="AG289" s="71">
        <f>(0.04*0.925+0.025*0.925)*1.27</f>
        <v>7.6358750000000017E-2</v>
      </c>
      <c r="AH289" s="63">
        <f>(2.3/0.75/2)*1.26</f>
        <v>1.9319999999999999</v>
      </c>
      <c r="AI289" s="63"/>
      <c r="AJ289" s="58">
        <v>9530</v>
      </c>
      <c r="AK289" s="57"/>
      <c r="AL289" s="58">
        <v>2E-3</v>
      </c>
      <c r="AM289" s="52" t="s">
        <v>958</v>
      </c>
      <c r="AN289" s="58">
        <v>1270</v>
      </c>
      <c r="AO289" s="52" t="s">
        <v>959</v>
      </c>
      <c r="AP289" s="59">
        <f>IFERROR(VLOOKUP($A289,[2]Mssp!$A$5:$BE$1463,AP$4+1,0),0)</f>
        <v>0</v>
      </c>
      <c r="AQ289" s="59">
        <f>IFERROR(VLOOKUP($A289,[2]Mssp!$A$5:$BE$1463,AQ$4+1,0),0)</f>
        <v>0</v>
      </c>
      <c r="AR289" s="59">
        <f>IFERROR(VLOOKUP($A289,[2]Mssp!$A$5:$BE$1463,AR$4+1,0),0)</f>
        <v>0</v>
      </c>
      <c r="AS289" s="59">
        <f>IFERROR(VLOOKUP($A289,[2]Mssp!$A$5:$BE$1463,AS$4+1,0),0)</f>
        <v>0</v>
      </c>
      <c r="AT289" s="59">
        <f>IFERROR(VLOOKUP($A289,[2]Mssp!$A$5:$BE$1463,AT$4+1,0),0)</f>
        <v>0</v>
      </c>
      <c r="AU289" s="59">
        <f>IFERROR(VLOOKUP($A289,[2]Mssp!$A$5:$BE$1463,AU$4+1,0),0)</f>
        <v>0</v>
      </c>
      <c r="AV289" s="59">
        <f>IFERROR(VLOOKUP($A289,[2]Mssp!$A$5:$BE$1463,AV$4+1,0),0)</f>
        <v>0</v>
      </c>
      <c r="AW289" s="59">
        <f>IFERROR(VLOOKUP($A289,[2]Mssp!$A$5:$BE$1463,AW$4+1,0),0)</f>
        <v>0</v>
      </c>
      <c r="AX289" s="59">
        <f>IFERROR(VLOOKUP($A289,[2]Mssp!$A$5:$BE$1463,AX$4+1,0),0)</f>
        <v>0</v>
      </c>
      <c r="AY289" s="59">
        <f>IFERROR(VLOOKUP($A289,[2]Mssp!$A$5:$BE$1463,AY$4+2,0),0)</f>
        <v>0</v>
      </c>
      <c r="AZ289" s="59">
        <f>IFERROR(VLOOKUP($A289,[2]Mssp!$A$5:$BE$1463,AZ$4+2,0),0)</f>
        <v>0</v>
      </c>
      <c r="BA289" s="60" t="s">
        <v>106</v>
      </c>
      <c r="BB289" s="61" t="s">
        <v>107</v>
      </c>
      <c r="BC289" s="62"/>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c r="CK289" s="9"/>
      <c r="CL289" s="9"/>
      <c r="CM289" s="9"/>
      <c r="CN289" s="9"/>
      <c r="CO289" s="9"/>
      <c r="CP289" s="9"/>
    </row>
    <row r="290" spans="1:94" ht="75" x14ac:dyDescent="0.25">
      <c r="A290" s="50" t="s">
        <v>1015</v>
      </c>
      <c r="B290" s="73" t="s">
        <v>1016</v>
      </c>
      <c r="C290" s="50">
        <f t="shared" si="10"/>
        <v>9.1099999999999977</v>
      </c>
      <c r="D290" s="58">
        <v>2</v>
      </c>
      <c r="E290" s="58" t="s">
        <v>649</v>
      </c>
      <c r="F290" s="58">
        <v>7</v>
      </c>
      <c r="G290" s="50" t="s">
        <v>184</v>
      </c>
      <c r="H290" s="50">
        <f>VLOOKUP($A290,'[1]ma sp 02'!$A$5:$BD$1101,H$1,0)</f>
        <v>0.09</v>
      </c>
      <c r="I290" s="50">
        <f>VLOOKUP($A290,'[1]ma sp 02'!$A$5:$BD$1101,I$1,0)</f>
        <v>4.3899999999999997</v>
      </c>
      <c r="J290" s="50">
        <f>VLOOKUP($A290,'[1]ma sp 02'!$A$5:$BD$1101,J$1,0)</f>
        <v>0.89</v>
      </c>
      <c r="K290" s="50">
        <f>VLOOKUP($A290,'[1]ma sp 02'!$A$5:$BD$1101,K$1,0)</f>
        <v>0.01</v>
      </c>
      <c r="L290" s="50">
        <f>VLOOKUP($A290,'[1]ma sp 02'!$A$5:$BD$1101,L$1,0)</f>
        <v>2.09</v>
      </c>
      <c r="M290" s="50">
        <f>VLOOKUP($A290,'[1]ma sp 02'!$A$5:$BD$1101,M$1,0)</f>
        <v>1.38</v>
      </c>
      <c r="N290" s="50">
        <f>VLOOKUP($A290,'[1]ma sp 02'!$A$5:$BD$1101,N$1,0)</f>
        <v>0</v>
      </c>
      <c r="O290" s="50">
        <f>VLOOKUP($A290,'[1]ma sp 02'!$A$5:$BD$1101,O$1,0)</f>
        <v>0.01</v>
      </c>
      <c r="P290" s="50">
        <f>VLOOKUP($A290,'[1]ma sp 02'!$A$5:$BD$1101,P$1,0)</f>
        <v>0.03</v>
      </c>
      <c r="Q290" s="50">
        <f>VLOOKUP($A290,'[1]ma sp 02'!$A$5:$BD$1101,Q$1,0)</f>
        <v>0.06</v>
      </c>
      <c r="R290" s="50">
        <f>VLOOKUP($A290,'[1]ma sp 02'!$A$5:$BD$1101,R$1,0)</f>
        <v>0</v>
      </c>
      <c r="S290" s="50">
        <f>VLOOKUP($A290,'[1]ma sp 02'!$A$5:$BD$1101,S$1,0)</f>
        <v>0.16</v>
      </c>
      <c r="T290" s="50">
        <f>VLOOKUP($A290,'[1]ma sp 02'!$A$5:$BD$1101,T$1,0)</f>
        <v>0</v>
      </c>
      <c r="U290" s="50">
        <f>VLOOKUP($A290,'[1]ma sp 02'!$A$5:$BD$1101,U$1,0)</f>
        <v>0</v>
      </c>
      <c r="V290" s="50">
        <f>VLOOKUP($A290,'[1]ma sp 02'!$A$5:$BD$1101,V$1,0)</f>
        <v>0</v>
      </c>
      <c r="W290" s="50">
        <f>VLOOKUP($A290,'[1]ma sp 02'!$A$5:$BD$1101,W$1,0)</f>
        <v>0</v>
      </c>
      <c r="X290" s="50">
        <f t="shared" si="9"/>
        <v>10</v>
      </c>
      <c r="Y290" s="57"/>
      <c r="Z290" s="57"/>
      <c r="AA290" s="57"/>
      <c r="AB290" s="57"/>
      <c r="AC290" s="57"/>
      <c r="AD290" s="57"/>
      <c r="AE290" s="58" t="s">
        <v>485</v>
      </c>
      <c r="AF290" s="58" t="s">
        <v>650</v>
      </c>
      <c r="AG290" s="71">
        <f>(0.02*0.91+0.012*1.4+0.075*0.925)*0.76</f>
        <v>7.9325000000000007E-2</v>
      </c>
      <c r="AH290" s="63">
        <f>(2.3/0.75/2)*0.75</f>
        <v>1.1499999999999999</v>
      </c>
      <c r="AI290" s="63">
        <f>(3/0.75/2)*0.75</f>
        <v>1.5</v>
      </c>
      <c r="AJ290" s="58">
        <v>9530</v>
      </c>
      <c r="AK290" s="58">
        <v>9530</v>
      </c>
      <c r="AL290" s="58" t="s">
        <v>117</v>
      </c>
      <c r="AM290" s="52" t="s">
        <v>60</v>
      </c>
      <c r="AN290" s="58">
        <v>420</v>
      </c>
      <c r="AO290" s="52" t="s">
        <v>118</v>
      </c>
      <c r="AP290" s="59" t="str">
        <f>IFERROR(VLOOKUP($A290,[2]Mssp!$A$5:$BE$1463,AP$4+1,0),0)</f>
        <v>1708584-1</v>
      </c>
      <c r="AQ290" s="59" t="str">
        <f>IFERROR(VLOOKUP($A290,[2]Mssp!$A$5:$BE$1463,AQ$4+1,0),0)</f>
        <v>1708584-2</v>
      </c>
      <c r="AR290" s="59" t="str">
        <f>IFERROR(VLOOKUP($A290,[2]Mssp!$A$5:$BE$1463,AR$4+1,0),0)</f>
        <v>1708584-3</v>
      </c>
      <c r="AS290" s="59" t="str">
        <f>IFERROR(VLOOKUP($A290,[2]Mssp!$A$5:$BE$1463,AS$4+1,0),0)</f>
        <v>1708584-4</v>
      </c>
      <c r="AT290" s="59" t="str">
        <f>IFERROR(VLOOKUP($A290,[2]Mssp!$A$5:$BE$1463,AT$4+1,0),0)</f>
        <v>1708584-5</v>
      </c>
      <c r="AU290" s="59" t="str">
        <f>IFERROR(VLOOKUP($A290,[2]Mssp!$A$5:$BE$1463,AU$4+1,0),0)</f>
        <v>1708584-6</v>
      </c>
      <c r="AV290" s="59" t="str">
        <f>IFERROR(VLOOKUP($A290,[2]Mssp!$A$5:$BE$1463,AV$4+1,0),0)</f>
        <v>1607497-7</v>
      </c>
      <c r="AW290" s="59">
        <f>IFERROR(VLOOKUP($A290,[2]Mssp!$A$5:$BE$1463,AW$4+1,0),0)</f>
        <v>0</v>
      </c>
      <c r="AX290" s="59">
        <f>IFERROR(VLOOKUP($A290,[2]Mssp!$A$5:$BE$1463,AX$4+1,0),0)</f>
        <v>0</v>
      </c>
      <c r="AY290" s="59" t="str">
        <f>IFERROR(VLOOKUP($A290,[2]Mssp!$A$5:$BE$1463,AY$4+2,0),0)</f>
        <v>420x850</v>
      </c>
      <c r="AZ290" s="59" t="str">
        <f>IFERROR(VLOOKUP($A290,[2]Mssp!$A$5:$BE$1463,AZ$4+2,0),0)</f>
        <v>F2</v>
      </c>
      <c r="BA290" s="60">
        <v>1500</v>
      </c>
      <c r="BB290" s="61" t="s">
        <v>119</v>
      </c>
      <c r="BC290" s="62"/>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c r="CJ290" s="9"/>
      <c r="CK290" s="9"/>
      <c r="CL290" s="9"/>
      <c r="CM290" s="9"/>
      <c r="CN290" s="9"/>
      <c r="CO290" s="9"/>
      <c r="CP290" s="9"/>
    </row>
    <row r="291" spans="1:94" ht="45" x14ac:dyDescent="0.25">
      <c r="A291" s="50" t="s">
        <v>1017</v>
      </c>
      <c r="B291" s="73" t="s">
        <v>1018</v>
      </c>
      <c r="C291" s="50">
        <f t="shared" si="10"/>
        <v>1.55</v>
      </c>
      <c r="D291" s="58">
        <v>5</v>
      </c>
      <c r="E291" s="58" t="s">
        <v>1019</v>
      </c>
      <c r="F291" s="58">
        <v>3</v>
      </c>
      <c r="G291" s="50" t="s">
        <v>184</v>
      </c>
      <c r="H291" s="50">
        <f>VLOOKUP($A291,'[1]ma sp 02'!$A$5:$BD$1101,H$1,0)</f>
        <v>0.11</v>
      </c>
      <c r="I291" s="50">
        <f>VLOOKUP($A291,'[1]ma sp 02'!$A$5:$BD$1101,I$1,0)</f>
        <v>0</v>
      </c>
      <c r="J291" s="50">
        <f>VLOOKUP($A291,'[1]ma sp 02'!$A$5:$BD$1101,J$1,0)</f>
        <v>0</v>
      </c>
      <c r="K291" s="50">
        <f>VLOOKUP($A291,'[1]ma sp 02'!$A$5:$BD$1101,K$1,0)</f>
        <v>0.35</v>
      </c>
      <c r="L291" s="50">
        <f>VLOOKUP($A291,'[1]ma sp 02'!$A$5:$BD$1101,L$1,0)</f>
        <v>0.73</v>
      </c>
      <c r="M291" s="50">
        <f>VLOOKUP($A291,'[1]ma sp 02'!$A$5:$BD$1101,M$1,0)</f>
        <v>0</v>
      </c>
      <c r="N291" s="50">
        <f>VLOOKUP($A291,'[1]ma sp 02'!$A$5:$BD$1101,N$1,0)</f>
        <v>0</v>
      </c>
      <c r="O291" s="50">
        <f>VLOOKUP($A291,'[1]ma sp 02'!$A$5:$BD$1101,O$1,0)</f>
        <v>0</v>
      </c>
      <c r="P291" s="50">
        <f>VLOOKUP($A291,'[1]ma sp 02'!$A$5:$BD$1101,P$1,0)</f>
        <v>0.1</v>
      </c>
      <c r="Q291" s="50">
        <f>VLOOKUP($A291,'[1]ma sp 02'!$A$5:$BD$1101,Q$1,0)</f>
        <v>0.25</v>
      </c>
      <c r="R291" s="50">
        <f>VLOOKUP($A291,'[1]ma sp 02'!$A$5:$BD$1101,R$1,0)</f>
        <v>0</v>
      </c>
      <c r="S291" s="50">
        <f>VLOOKUP($A291,'[1]ma sp 02'!$A$5:$BD$1101,S$1,0)</f>
        <v>0</v>
      </c>
      <c r="T291" s="50">
        <f>VLOOKUP($A291,'[1]ma sp 02'!$A$5:$BD$1101,T$1,0)</f>
        <v>0.01</v>
      </c>
      <c r="U291" s="50">
        <f>VLOOKUP($A291,'[1]ma sp 02'!$A$5:$BD$1101,U$1,0)</f>
        <v>0</v>
      </c>
      <c r="V291" s="50">
        <f>VLOOKUP($A291,'[1]ma sp 02'!$A$5:$BD$1101,V$1,0)</f>
        <v>0</v>
      </c>
      <c r="W291" s="50">
        <f>VLOOKUP($A291,'[1]ma sp 02'!$A$5:$BD$1101,W$1,0)</f>
        <v>0</v>
      </c>
      <c r="X291" s="50">
        <f t="shared" si="9"/>
        <v>6</v>
      </c>
      <c r="Y291" s="57"/>
      <c r="Z291" s="57"/>
      <c r="AA291" s="57"/>
      <c r="AB291" s="57"/>
      <c r="AC291" s="57"/>
      <c r="AD291" s="57"/>
      <c r="AE291" s="58" t="s">
        <v>1020</v>
      </c>
      <c r="AF291" s="57"/>
      <c r="AG291" s="71">
        <f>(0.02*0.91+0.025*0.91)*0.945</f>
        <v>3.8697749999999996E-2</v>
      </c>
      <c r="AH291" s="63">
        <f>(1.8/0.75/2)*0.935</f>
        <v>1.1220000000000001</v>
      </c>
      <c r="AI291" s="63"/>
      <c r="AJ291" s="58">
        <v>9530</v>
      </c>
      <c r="AK291" s="57"/>
      <c r="AL291" s="58">
        <v>1.8E-3</v>
      </c>
      <c r="AM291" s="52" t="s">
        <v>142</v>
      </c>
      <c r="AN291" s="58">
        <v>185</v>
      </c>
      <c r="AO291" s="52" t="s">
        <v>295</v>
      </c>
      <c r="AP291" s="59" t="str">
        <f>IFERROR(VLOOKUP($A291,[2]Mssp!$A$5:$BE$1463,AP$4+1,0),0)</f>
        <v>F118711-1</v>
      </c>
      <c r="AQ291" s="59" t="str">
        <f>IFERROR(VLOOKUP($A291,[2]Mssp!$A$5:$BE$1463,AQ$4+1,0),0)</f>
        <v>F118711-2</v>
      </c>
      <c r="AR291" s="59" t="str">
        <f>IFERROR(VLOOKUP($A291,[2]Mssp!$A$5:$BE$1463,AR$4+1,0),0)</f>
        <v>F118711-3</v>
      </c>
      <c r="AS291" s="59">
        <f>IFERROR(VLOOKUP($A291,[2]Mssp!$A$5:$BE$1463,AS$4+1,0),0)</f>
        <v>0</v>
      </c>
      <c r="AT291" s="59">
        <f>IFERROR(VLOOKUP($A291,[2]Mssp!$A$5:$BE$1463,AT$4+1,0),0)</f>
        <v>0</v>
      </c>
      <c r="AU291" s="59">
        <f>IFERROR(VLOOKUP($A291,[2]Mssp!$A$5:$BE$1463,AU$4+1,0),0)</f>
        <v>0</v>
      </c>
      <c r="AV291" s="59">
        <f>IFERROR(VLOOKUP($A291,[2]Mssp!$A$5:$BE$1463,AV$4+1,0),0)</f>
        <v>0</v>
      </c>
      <c r="AW291" s="59">
        <f>IFERROR(VLOOKUP($A291,[2]Mssp!$A$5:$BE$1463,AW$4+1,0),0)</f>
        <v>0</v>
      </c>
      <c r="AX291" s="59">
        <f>IFERROR(VLOOKUP($A291,[2]Mssp!$A$5:$BE$1463,AX$4+1,0),0)</f>
        <v>0</v>
      </c>
      <c r="AY291" s="59" t="str">
        <f>IFERROR(VLOOKUP($A291,[2]Mssp!$A$5:$BE$1463,AY$4+2,0),0)</f>
        <v>400x1100</v>
      </c>
      <c r="AZ291" s="59" t="str">
        <f>IFERROR(VLOOKUP($A291,[2]Mssp!$A$5:$BE$1463,AZ$4+2,0),0)</f>
        <v>P1</v>
      </c>
      <c r="BA291" s="60" t="s">
        <v>175</v>
      </c>
      <c r="BB291" s="61" t="s">
        <v>107</v>
      </c>
      <c r="BC291" s="62"/>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9"/>
      <c r="CK291" s="9"/>
      <c r="CL291" s="9"/>
      <c r="CM291" s="9"/>
      <c r="CN291" s="9"/>
      <c r="CO291" s="9"/>
      <c r="CP291" s="9"/>
    </row>
    <row r="292" spans="1:94" ht="45" x14ac:dyDescent="0.25">
      <c r="A292" s="77" t="s">
        <v>1021</v>
      </c>
      <c r="B292" s="81" t="s">
        <v>1022</v>
      </c>
      <c r="C292" s="77">
        <f t="shared" si="10"/>
        <v>9.7099999999999991</v>
      </c>
      <c r="D292" s="77">
        <v>2</v>
      </c>
      <c r="E292" s="77" t="s">
        <v>1023</v>
      </c>
      <c r="F292" s="77">
        <v>7</v>
      </c>
      <c r="G292" s="77" t="s">
        <v>184</v>
      </c>
      <c r="H292" s="50">
        <f>VLOOKUP($A292,'[1]ma sp 02'!$A$5:$BD$1101,H$1,0)</f>
        <v>0.08</v>
      </c>
      <c r="I292" s="50">
        <f>VLOOKUP($A292,'[1]ma sp 02'!$A$5:$BD$1101,I$1,0)</f>
        <v>4.8099999999999996</v>
      </c>
      <c r="J292" s="50">
        <f>VLOOKUP($A292,'[1]ma sp 02'!$A$5:$BD$1101,J$1,0)</f>
        <v>0</v>
      </c>
      <c r="K292" s="50">
        <f>VLOOKUP($A292,'[1]ma sp 02'!$A$5:$BD$1101,K$1,0)</f>
        <v>0.04</v>
      </c>
      <c r="L292" s="50">
        <f>VLOOKUP($A292,'[1]ma sp 02'!$A$5:$BD$1101,L$1,0)</f>
        <v>1.95</v>
      </c>
      <c r="M292" s="50">
        <f>VLOOKUP($A292,'[1]ma sp 02'!$A$5:$BD$1101,M$1,0)</f>
        <v>0.8</v>
      </c>
      <c r="N292" s="50">
        <f>VLOOKUP($A292,'[1]ma sp 02'!$A$5:$BD$1101,N$1,0)</f>
        <v>0</v>
      </c>
      <c r="O292" s="50">
        <f>VLOOKUP($A292,'[1]ma sp 02'!$A$5:$BD$1101,O$1,0)</f>
        <v>0</v>
      </c>
      <c r="P292" s="50">
        <f>VLOOKUP($A292,'[1]ma sp 02'!$A$5:$BD$1101,P$1,0)</f>
        <v>1.79</v>
      </c>
      <c r="Q292" s="50">
        <f>VLOOKUP($A292,'[1]ma sp 02'!$A$5:$BD$1101,Q$1,0)</f>
        <v>0.24</v>
      </c>
      <c r="R292" s="50">
        <f>VLOOKUP($A292,'[1]ma sp 02'!$A$5:$BD$1101,R$1,0)</f>
        <v>0</v>
      </c>
      <c r="S292" s="50">
        <f>VLOOKUP($A292,'[1]ma sp 02'!$A$5:$BD$1101,S$1,0)</f>
        <v>0</v>
      </c>
      <c r="T292" s="50">
        <f>VLOOKUP($A292,'[1]ma sp 02'!$A$5:$BD$1101,T$1,0)</f>
        <v>0</v>
      </c>
      <c r="U292" s="50">
        <f>VLOOKUP($A292,'[1]ma sp 02'!$A$5:$BD$1101,U$1,0)</f>
        <v>0</v>
      </c>
      <c r="V292" s="50">
        <f>VLOOKUP($A292,'[1]ma sp 02'!$A$5:$BD$1101,V$1,0)</f>
        <v>0</v>
      </c>
      <c r="W292" s="50">
        <f>VLOOKUP($A292,'[1]ma sp 02'!$A$5:$BD$1101,W$1,0)</f>
        <v>0</v>
      </c>
      <c r="X292" s="50">
        <f t="shared" si="9"/>
        <v>7</v>
      </c>
      <c r="Y292" s="98"/>
      <c r="Z292" s="98"/>
      <c r="AA292" s="98"/>
      <c r="AB292" s="98"/>
      <c r="AC292" s="98"/>
      <c r="AD292" s="98"/>
      <c r="AE292" s="77" t="s">
        <v>1024</v>
      </c>
      <c r="AF292" s="77"/>
      <c r="AG292" s="99">
        <f>(0.02*0.91+0.012*1.4+0.03*0.925)*0.8</f>
        <v>5.0200000000000002E-2</v>
      </c>
      <c r="AH292" s="100">
        <f>(2.3/0.75/2)*0.78</f>
        <v>1.196</v>
      </c>
      <c r="AI292" s="100"/>
      <c r="AJ292" s="77">
        <v>9530</v>
      </c>
      <c r="AK292" s="77"/>
      <c r="AL292" s="77">
        <v>2.3E-3</v>
      </c>
      <c r="AM292" s="101" t="s">
        <v>386</v>
      </c>
      <c r="AN292" s="77">
        <v>280</v>
      </c>
      <c r="AO292" s="101" t="s">
        <v>295</v>
      </c>
      <c r="AP292" s="59" t="str">
        <f>IFERROR(VLOOKUP($A292,[2]Mssp!$A$5:$BE$1463,AP$4+1,0),0)</f>
        <v>F118710-1</v>
      </c>
      <c r="AQ292" s="59" t="str">
        <f>IFERROR(VLOOKUP($A292,[2]Mssp!$A$5:$BE$1463,AQ$4+1,0),0)</f>
        <v>F118710-2</v>
      </c>
      <c r="AR292" s="59" t="str">
        <f>IFERROR(VLOOKUP($A292,[2]Mssp!$A$5:$BE$1463,AR$4+1,0),0)</f>
        <v>F118710-3</v>
      </c>
      <c r="AS292" s="59" t="str">
        <f>IFERROR(VLOOKUP($A292,[2]Mssp!$A$5:$BE$1463,AS$4+1,0),0)</f>
        <v>F118710-4</v>
      </c>
      <c r="AT292" s="59" t="str">
        <f>IFERROR(VLOOKUP($A292,[2]Mssp!$A$5:$BE$1463,AT$4+1,0),0)</f>
        <v>F118710-5</v>
      </c>
      <c r="AU292" s="59" t="str">
        <f>IFERROR(VLOOKUP($A292,[2]Mssp!$A$5:$BE$1463,AU$4+1,0),0)</f>
        <v>F118710-6</v>
      </c>
      <c r="AV292" s="59" t="str">
        <f>IFERROR(VLOOKUP($A292,[2]Mssp!$A$5:$BE$1463,AV$4+1,0),0)</f>
        <v>F118710-7</v>
      </c>
      <c r="AW292" s="59">
        <f>IFERROR(VLOOKUP($A292,[2]Mssp!$A$5:$BE$1463,AW$4+1,0),0)</f>
        <v>0</v>
      </c>
      <c r="AX292" s="59">
        <f>IFERROR(VLOOKUP($A292,[2]Mssp!$A$5:$BE$1463,AX$4+1,0),0)</f>
        <v>0</v>
      </c>
      <c r="AY292" s="59">
        <f>IFERROR(VLOOKUP($A292,[2]Mssp!$A$5:$BE$1463,AY$4+2,0),0)</f>
        <v>0</v>
      </c>
      <c r="AZ292" s="59" t="str">
        <f>IFERROR(VLOOKUP($A292,[2]Mssp!$A$5:$BE$1463,AZ$4+2,0),0)</f>
        <v>P1</v>
      </c>
      <c r="BA292" s="102">
        <v>4000</v>
      </c>
      <c r="BB292" s="103" t="s">
        <v>62</v>
      </c>
      <c r="BC292" s="104"/>
      <c r="BD292" s="105"/>
      <c r="BE292" s="105"/>
      <c r="BF292" s="105"/>
      <c r="BG292" s="105"/>
      <c r="BH292" s="105"/>
      <c r="BI292" s="105"/>
      <c r="BJ292" s="105"/>
      <c r="BK292" s="105"/>
      <c r="BL292" s="105"/>
      <c r="BM292" s="105"/>
      <c r="BN292" s="105"/>
      <c r="BO292" s="105"/>
      <c r="BP292" s="105"/>
      <c r="BQ292" s="105"/>
      <c r="BR292" s="105"/>
      <c r="BS292" s="105"/>
      <c r="BT292" s="105"/>
      <c r="BU292" s="105"/>
      <c r="BV292" s="105"/>
      <c r="BW292" s="105"/>
      <c r="BX292" s="105"/>
      <c r="BY292" s="105"/>
      <c r="BZ292" s="105"/>
      <c r="CA292" s="105"/>
      <c r="CB292" s="105"/>
      <c r="CC292" s="105"/>
      <c r="CD292" s="105"/>
      <c r="CE292" s="105"/>
      <c r="CF292" s="105"/>
      <c r="CG292" s="105"/>
      <c r="CH292" s="9"/>
      <c r="CI292" s="105"/>
      <c r="CJ292" s="105"/>
      <c r="CK292" s="105"/>
      <c r="CL292" s="105"/>
      <c r="CM292" s="105"/>
      <c r="CN292" s="105"/>
      <c r="CO292" s="105"/>
      <c r="CP292" s="105"/>
    </row>
    <row r="293" spans="1:94" ht="45" x14ac:dyDescent="0.25">
      <c r="A293" s="50" t="s">
        <v>1025</v>
      </c>
      <c r="B293" s="73" t="s">
        <v>1026</v>
      </c>
      <c r="C293" s="50">
        <f t="shared" si="10"/>
        <v>8.0500000000000007</v>
      </c>
      <c r="D293" s="58">
        <v>1</v>
      </c>
      <c r="E293" s="58" t="s">
        <v>1027</v>
      </c>
      <c r="F293" s="58">
        <v>5</v>
      </c>
      <c r="G293" s="50" t="s">
        <v>184</v>
      </c>
      <c r="H293" s="50">
        <f>VLOOKUP($A293,'[1]ma sp 02'!$A$5:$BD$1101,H$1,0)</f>
        <v>0.35</v>
      </c>
      <c r="I293" s="50">
        <f>VLOOKUP($A293,'[1]ma sp 02'!$A$5:$BD$1101,I$1,0)</f>
        <v>3</v>
      </c>
      <c r="J293" s="50">
        <f>VLOOKUP($A293,'[1]ma sp 02'!$A$5:$BD$1101,J$1,0)</f>
        <v>1.8</v>
      </c>
      <c r="K293" s="50">
        <f>VLOOKUP($A293,'[1]ma sp 02'!$A$5:$BD$1101,K$1,0)</f>
        <v>0.8</v>
      </c>
      <c r="L293" s="50">
        <f>VLOOKUP($A293,'[1]ma sp 02'!$A$5:$BD$1101,L$1,0)</f>
        <v>0.4</v>
      </c>
      <c r="M293" s="50">
        <f>VLOOKUP($A293,'[1]ma sp 02'!$A$5:$BD$1101,M$1,0)</f>
        <v>0.5</v>
      </c>
      <c r="N293" s="50">
        <f>VLOOKUP($A293,'[1]ma sp 02'!$A$5:$BD$1101,N$1,0)</f>
        <v>0</v>
      </c>
      <c r="O293" s="50">
        <f>VLOOKUP($A293,'[1]ma sp 02'!$A$5:$BD$1101,O$1,0)</f>
        <v>0</v>
      </c>
      <c r="P293" s="50">
        <f>VLOOKUP($A293,'[1]ma sp 02'!$A$5:$BD$1101,P$1,0)</f>
        <v>0</v>
      </c>
      <c r="Q293" s="50">
        <f>VLOOKUP($A293,'[1]ma sp 02'!$A$5:$BD$1101,Q$1,0)</f>
        <v>0</v>
      </c>
      <c r="R293" s="50">
        <f>VLOOKUP($A293,'[1]ma sp 02'!$A$5:$BD$1101,R$1,0)</f>
        <v>1.2</v>
      </c>
      <c r="S293" s="50">
        <f>VLOOKUP($A293,'[1]ma sp 02'!$A$5:$BD$1101,S$1,0)</f>
        <v>0</v>
      </c>
      <c r="T293" s="50">
        <f>VLOOKUP($A293,'[1]ma sp 02'!$A$5:$BD$1101,T$1,0)</f>
        <v>0</v>
      </c>
      <c r="U293" s="50">
        <f>VLOOKUP($A293,'[1]ma sp 02'!$A$5:$BD$1101,U$1,0)</f>
        <v>0</v>
      </c>
      <c r="V293" s="50">
        <f>VLOOKUP($A293,'[1]ma sp 02'!$A$5:$BD$1101,V$1,0)</f>
        <v>0</v>
      </c>
      <c r="W293" s="50">
        <f>VLOOKUP($A293,'[1]ma sp 02'!$A$5:$BD$1101,W$1,0)</f>
        <v>0</v>
      </c>
      <c r="X293" s="50">
        <f t="shared" si="9"/>
        <v>7</v>
      </c>
      <c r="Y293" s="57"/>
      <c r="Z293" s="57"/>
      <c r="AA293" s="57"/>
      <c r="AB293" s="57"/>
      <c r="AC293" s="57"/>
      <c r="AD293" s="57"/>
      <c r="AE293" s="58" t="s">
        <v>1028</v>
      </c>
      <c r="AF293" s="58" t="s">
        <v>1029</v>
      </c>
      <c r="AG293" s="71">
        <f>(0.02*0.91+0.012*1.4+0.09*0.925)*0.69</f>
        <v>8.1592499999999998E-2</v>
      </c>
      <c r="AH293" s="63">
        <f>(2.3/0.75/2)*0.68</f>
        <v>1.0426666666666666</v>
      </c>
      <c r="AI293" s="63">
        <f>(3/0.75/2)*0.68</f>
        <v>1.36</v>
      </c>
      <c r="AJ293" s="58">
        <v>9530</v>
      </c>
      <c r="AK293" s="58">
        <v>9530</v>
      </c>
      <c r="AL293" s="58" t="s">
        <v>117</v>
      </c>
      <c r="AM293" s="52" t="s">
        <v>1030</v>
      </c>
      <c r="AN293" s="58">
        <v>180</v>
      </c>
      <c r="AO293" s="52" t="s">
        <v>543</v>
      </c>
      <c r="AP293" s="59" t="str">
        <f>IFERROR(VLOOKUP($A293,[2]Mssp!$A$5:$BE$1463,AP$4+1,0),0)</f>
        <v>F118717-1</v>
      </c>
      <c r="AQ293" s="59" t="str">
        <f>IFERROR(VLOOKUP($A293,[2]Mssp!$A$5:$BE$1463,AQ$4+1,0),0)</f>
        <v>F118717-2</v>
      </c>
      <c r="AR293" s="59" t="str">
        <f>IFERROR(VLOOKUP($A293,[2]Mssp!$A$5:$BE$1463,AR$4+1,0),0)</f>
        <v>F118717-3</v>
      </c>
      <c r="AS293" s="59" t="str">
        <f>IFERROR(VLOOKUP($A293,[2]Mssp!$A$5:$BE$1463,AS$4+1,0),0)</f>
        <v>F118717-4</v>
      </c>
      <c r="AT293" s="59" t="str">
        <f>IFERROR(VLOOKUP($A293,[2]Mssp!$A$5:$BE$1463,AT$4+1,0),0)</f>
        <v>F118717-5</v>
      </c>
      <c r="AU293" s="59" t="str">
        <f>IFERROR(VLOOKUP($A293,[2]Mssp!$A$5:$BE$1463,AU$4+1,0),0)</f>
        <v>F118715-6</v>
      </c>
      <c r="AV293" s="59">
        <f>IFERROR(VLOOKUP($A293,[2]Mssp!$A$5:$BE$1463,AV$4+1,0),0)</f>
        <v>0</v>
      </c>
      <c r="AW293" s="59">
        <f>IFERROR(VLOOKUP($A293,[2]Mssp!$A$5:$BE$1463,AW$4+1,0),0)</f>
        <v>0</v>
      </c>
      <c r="AX293" s="59">
        <f>IFERROR(VLOOKUP($A293,[2]Mssp!$A$5:$BE$1463,AX$4+1,0),0)</f>
        <v>0</v>
      </c>
      <c r="AY293" s="59" t="str">
        <f>IFERROR(VLOOKUP($A293,[2]Mssp!$A$5:$BE$1463,AY$4+2,0),0)</f>
        <v>540x750</v>
      </c>
      <c r="AZ293" s="59">
        <f>IFERROR(VLOOKUP($A293,[2]Mssp!$A$5:$BE$1463,AZ$4+2,0),0)</f>
        <v>0</v>
      </c>
      <c r="BA293" s="60">
        <v>2000</v>
      </c>
      <c r="BB293" s="61" t="s">
        <v>62</v>
      </c>
      <c r="BC293" s="62"/>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c r="CK293" s="9"/>
      <c r="CL293" s="9"/>
      <c r="CM293" s="9"/>
      <c r="CN293" s="9"/>
      <c r="CO293" s="9"/>
      <c r="CP293" s="9"/>
    </row>
    <row r="294" spans="1:94" ht="45" x14ac:dyDescent="0.25">
      <c r="A294" s="77" t="s">
        <v>1031</v>
      </c>
      <c r="B294" s="81" t="s">
        <v>1032</v>
      </c>
      <c r="C294" s="50">
        <f t="shared" si="10"/>
        <v>8.0500000000000007</v>
      </c>
      <c r="D294" s="58">
        <v>1</v>
      </c>
      <c r="E294" s="58" t="s">
        <v>1027</v>
      </c>
      <c r="F294" s="58">
        <v>5</v>
      </c>
      <c r="G294" s="50" t="s">
        <v>184</v>
      </c>
      <c r="H294" s="50">
        <f>VLOOKUP($A294,'[1]ma sp 02'!$A$5:$BD$1101,H$1,0)</f>
        <v>0.35</v>
      </c>
      <c r="I294" s="50">
        <f>VLOOKUP($A294,'[1]ma sp 02'!$A$5:$BD$1101,I$1,0)</f>
        <v>3</v>
      </c>
      <c r="J294" s="50">
        <f>VLOOKUP($A294,'[1]ma sp 02'!$A$5:$BD$1101,J$1,0)</f>
        <v>1.8</v>
      </c>
      <c r="K294" s="50">
        <f>VLOOKUP($A294,'[1]ma sp 02'!$A$5:$BD$1101,K$1,0)</f>
        <v>0.8</v>
      </c>
      <c r="L294" s="50">
        <f>VLOOKUP($A294,'[1]ma sp 02'!$A$5:$BD$1101,L$1,0)</f>
        <v>0.4</v>
      </c>
      <c r="M294" s="50">
        <f>VLOOKUP($A294,'[1]ma sp 02'!$A$5:$BD$1101,M$1,0)</f>
        <v>0.5</v>
      </c>
      <c r="N294" s="50">
        <f>VLOOKUP($A294,'[1]ma sp 02'!$A$5:$BD$1101,N$1,0)</f>
        <v>0</v>
      </c>
      <c r="O294" s="50">
        <f>VLOOKUP($A294,'[1]ma sp 02'!$A$5:$BD$1101,O$1,0)</f>
        <v>0</v>
      </c>
      <c r="P294" s="50">
        <f>VLOOKUP($A294,'[1]ma sp 02'!$A$5:$BD$1101,P$1,0)</f>
        <v>0</v>
      </c>
      <c r="Q294" s="50">
        <f>VLOOKUP($A294,'[1]ma sp 02'!$A$5:$BD$1101,Q$1,0)</f>
        <v>0</v>
      </c>
      <c r="R294" s="50">
        <f>VLOOKUP($A294,'[1]ma sp 02'!$A$5:$BD$1101,R$1,0)</f>
        <v>1.2</v>
      </c>
      <c r="S294" s="50">
        <f>VLOOKUP($A294,'[1]ma sp 02'!$A$5:$BD$1101,S$1,0)</f>
        <v>0</v>
      </c>
      <c r="T294" s="50">
        <f>VLOOKUP($A294,'[1]ma sp 02'!$A$5:$BD$1101,T$1,0)</f>
        <v>0</v>
      </c>
      <c r="U294" s="50">
        <f>VLOOKUP($A294,'[1]ma sp 02'!$A$5:$BD$1101,U$1,0)</f>
        <v>0</v>
      </c>
      <c r="V294" s="50">
        <f>VLOOKUP($A294,'[1]ma sp 02'!$A$5:$BD$1101,V$1,0)</f>
        <v>0</v>
      </c>
      <c r="W294" s="50">
        <f>VLOOKUP($A294,'[1]ma sp 02'!$A$5:$BD$1101,W$1,0)</f>
        <v>0</v>
      </c>
      <c r="X294" s="50">
        <f t="shared" si="9"/>
        <v>7</v>
      </c>
      <c r="Y294" s="57"/>
      <c r="Z294" s="57"/>
      <c r="AA294" s="57"/>
      <c r="AB294" s="57"/>
      <c r="AC294" s="57"/>
      <c r="AD294" s="57"/>
      <c r="AE294" s="58" t="s">
        <v>1028</v>
      </c>
      <c r="AF294" s="58" t="s">
        <v>1029</v>
      </c>
      <c r="AG294" s="71">
        <f>(0.02*0.91+0.012*1.4+0.09*0.925)*0.69</f>
        <v>8.1592499999999998E-2</v>
      </c>
      <c r="AH294" s="63">
        <f>(2.3/0.75/2)*0.68</f>
        <v>1.0426666666666666</v>
      </c>
      <c r="AI294" s="63">
        <f>(3/0.75/2)*0.68</f>
        <v>1.36</v>
      </c>
      <c r="AJ294" s="58">
        <v>9530</v>
      </c>
      <c r="AK294" s="58">
        <v>9530</v>
      </c>
      <c r="AL294" s="58" t="s">
        <v>117</v>
      </c>
      <c r="AM294" s="52" t="s">
        <v>1033</v>
      </c>
      <c r="AN294" s="58">
        <v>180</v>
      </c>
      <c r="AO294" s="52" t="s">
        <v>543</v>
      </c>
      <c r="AP294" s="59" t="str">
        <f>IFERROR(VLOOKUP($A294,[2]Mssp!$A$5:$BE$1463,AP$4+1,0),0)</f>
        <v>F118715-1</v>
      </c>
      <c r="AQ294" s="59" t="str">
        <f>IFERROR(VLOOKUP($A294,[2]Mssp!$A$5:$BE$1463,AQ$4+1,0),0)</f>
        <v>F118715-2</v>
      </c>
      <c r="AR294" s="59" t="str">
        <f>IFERROR(VLOOKUP($A294,[2]Mssp!$A$5:$BE$1463,AR$4+1,0),0)</f>
        <v>F118715-3</v>
      </c>
      <c r="AS294" s="59" t="str">
        <f>IFERROR(VLOOKUP($A294,[2]Mssp!$A$5:$BE$1463,AS$4+1,0),0)</f>
        <v>F118715-4</v>
      </c>
      <c r="AT294" s="59" t="str">
        <f>IFERROR(VLOOKUP($A294,[2]Mssp!$A$5:$BE$1463,AT$4+1,0),0)</f>
        <v>F118715-5</v>
      </c>
      <c r="AU294" s="59" t="str">
        <f>IFERROR(VLOOKUP($A294,[2]Mssp!$A$5:$BE$1463,AU$4+1,0),0)</f>
        <v>F118715-6</v>
      </c>
      <c r="AV294" s="59">
        <f>IFERROR(VLOOKUP($A294,[2]Mssp!$A$5:$BE$1463,AV$4+1,0),0)</f>
        <v>0</v>
      </c>
      <c r="AW294" s="59">
        <f>IFERROR(VLOOKUP($A294,[2]Mssp!$A$5:$BE$1463,AW$4+1,0),0)</f>
        <v>0</v>
      </c>
      <c r="AX294" s="59">
        <f>IFERROR(VLOOKUP($A294,[2]Mssp!$A$5:$BE$1463,AX$4+1,0),0)</f>
        <v>0</v>
      </c>
      <c r="AY294" s="59" t="str">
        <f>IFERROR(VLOOKUP($A294,[2]Mssp!$A$5:$BE$1463,AY$4+2,0),0)</f>
        <v>540x750</v>
      </c>
      <c r="AZ294" s="59">
        <f>IFERROR(VLOOKUP($A294,[2]Mssp!$A$5:$BE$1463,AZ$4+2,0),0)</f>
        <v>0</v>
      </c>
      <c r="BA294" s="60">
        <v>2000</v>
      </c>
      <c r="BB294" s="61" t="s">
        <v>62</v>
      </c>
      <c r="BC294" s="62"/>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c r="CK294" s="9"/>
      <c r="CL294" s="9"/>
      <c r="CM294" s="9"/>
      <c r="CN294" s="9"/>
      <c r="CO294" s="9"/>
      <c r="CP294" s="9"/>
    </row>
    <row r="295" spans="1:94" ht="45" x14ac:dyDescent="0.25">
      <c r="A295" s="50" t="s">
        <v>1034</v>
      </c>
      <c r="B295" s="73" t="s">
        <v>1035</v>
      </c>
      <c r="C295" s="50">
        <f t="shared" si="10"/>
        <v>0</v>
      </c>
      <c r="D295" s="58">
        <v>2</v>
      </c>
      <c r="E295" s="58" t="s">
        <v>1036</v>
      </c>
      <c r="F295" s="58">
        <v>0</v>
      </c>
      <c r="G295" s="50" t="s">
        <v>559</v>
      </c>
      <c r="H295" s="50">
        <f>VLOOKUP($A295,'[1]ma sp 02'!$A$5:$BD$1101,H$1,0)</f>
        <v>0</v>
      </c>
      <c r="I295" s="50">
        <f>VLOOKUP($A295,'[1]ma sp 02'!$A$5:$BD$1101,I$1,0)</f>
        <v>0</v>
      </c>
      <c r="J295" s="50">
        <f>VLOOKUP($A295,'[1]ma sp 02'!$A$5:$BD$1101,J$1,0)</f>
        <v>0</v>
      </c>
      <c r="K295" s="50">
        <f>VLOOKUP($A295,'[1]ma sp 02'!$A$5:$BD$1101,K$1,0)</f>
        <v>0</v>
      </c>
      <c r="L295" s="50">
        <f>VLOOKUP($A295,'[1]ma sp 02'!$A$5:$BD$1101,L$1,0)</f>
        <v>0</v>
      </c>
      <c r="M295" s="50">
        <f>VLOOKUP($A295,'[1]ma sp 02'!$A$5:$BD$1101,M$1,0)</f>
        <v>0</v>
      </c>
      <c r="N295" s="50">
        <f>VLOOKUP($A295,'[1]ma sp 02'!$A$5:$BD$1101,N$1,0)</f>
        <v>0</v>
      </c>
      <c r="O295" s="50">
        <f>VLOOKUP($A295,'[1]ma sp 02'!$A$5:$BD$1101,O$1,0)</f>
        <v>0</v>
      </c>
      <c r="P295" s="50">
        <f>VLOOKUP($A295,'[1]ma sp 02'!$A$5:$BD$1101,P$1,0)</f>
        <v>0</v>
      </c>
      <c r="Q295" s="50">
        <f>VLOOKUP($A295,'[1]ma sp 02'!$A$5:$BD$1101,Q$1,0)</f>
        <v>0</v>
      </c>
      <c r="R295" s="50">
        <f>VLOOKUP($A295,'[1]ma sp 02'!$A$5:$BD$1101,R$1,0)</f>
        <v>0</v>
      </c>
      <c r="S295" s="50">
        <f>VLOOKUP($A295,'[1]ma sp 02'!$A$5:$BD$1101,S$1,0)</f>
        <v>0</v>
      </c>
      <c r="T295" s="50">
        <f>VLOOKUP($A295,'[1]ma sp 02'!$A$5:$BD$1101,T$1,0)</f>
        <v>0</v>
      </c>
      <c r="U295" s="50">
        <f>VLOOKUP($A295,'[1]ma sp 02'!$A$5:$BD$1101,U$1,0)</f>
        <v>0</v>
      </c>
      <c r="V295" s="50">
        <f>VLOOKUP($A295,'[1]ma sp 02'!$A$5:$BD$1101,V$1,0)</f>
        <v>0</v>
      </c>
      <c r="W295" s="50">
        <f>VLOOKUP($A295,'[1]ma sp 02'!$A$5:$BD$1101,W$1,0)</f>
        <v>0</v>
      </c>
      <c r="X295" s="50">
        <f t="shared" si="9"/>
        <v>0</v>
      </c>
      <c r="Y295" s="57"/>
      <c r="Z295" s="57"/>
      <c r="AA295" s="57"/>
      <c r="AB295" s="57"/>
      <c r="AC295" s="57"/>
      <c r="AD295" s="57"/>
      <c r="AE295" s="58" t="s">
        <v>1037</v>
      </c>
      <c r="AF295" s="57"/>
      <c r="AG295" s="71">
        <f>(0.015*1.15+0.075*0.925)*1</f>
        <v>8.6625000000000008E-2</v>
      </c>
      <c r="AH295" s="63">
        <f>(2.3/0.75/2)*0.99</f>
        <v>1.5179999999999998</v>
      </c>
      <c r="AI295" s="63"/>
      <c r="AJ295" s="58">
        <v>9530</v>
      </c>
      <c r="AK295" s="57"/>
      <c r="AL295" s="58">
        <v>2.3E-3</v>
      </c>
      <c r="AM295" s="52" t="s">
        <v>74</v>
      </c>
      <c r="AN295" s="58">
        <v>300</v>
      </c>
      <c r="AO295" s="52" t="s">
        <v>1038</v>
      </c>
      <c r="AP295" s="59">
        <f>IFERROR(VLOOKUP($A295,[2]Mssp!$A$5:$BE$1463,AP$4+1,0),0)</f>
        <v>0</v>
      </c>
      <c r="AQ295" s="59">
        <f>IFERROR(VLOOKUP($A295,[2]Mssp!$A$5:$BE$1463,AQ$4+1,0),0)</f>
        <v>0</v>
      </c>
      <c r="AR295" s="59">
        <f>IFERROR(VLOOKUP($A295,[2]Mssp!$A$5:$BE$1463,AR$4+1,0),0)</f>
        <v>0</v>
      </c>
      <c r="AS295" s="59">
        <f>IFERROR(VLOOKUP($A295,[2]Mssp!$A$5:$BE$1463,AS$4+1,0),0)</f>
        <v>0</v>
      </c>
      <c r="AT295" s="59">
        <f>IFERROR(VLOOKUP($A295,[2]Mssp!$A$5:$BE$1463,AT$4+1,0),0)</f>
        <v>0</v>
      </c>
      <c r="AU295" s="59">
        <f>IFERROR(VLOOKUP($A295,[2]Mssp!$A$5:$BE$1463,AU$4+1,0),0)</f>
        <v>0</v>
      </c>
      <c r="AV295" s="59">
        <f>IFERROR(VLOOKUP($A295,[2]Mssp!$A$5:$BE$1463,AV$4+1,0),0)</f>
        <v>0</v>
      </c>
      <c r="AW295" s="59">
        <f>IFERROR(VLOOKUP($A295,[2]Mssp!$A$5:$BE$1463,AW$4+1,0),0)</f>
        <v>0</v>
      </c>
      <c r="AX295" s="59">
        <f>IFERROR(VLOOKUP($A295,[2]Mssp!$A$5:$BE$1463,AX$4+1,0),0)</f>
        <v>0</v>
      </c>
      <c r="AY295" s="59">
        <f>IFERROR(VLOOKUP($A295,[2]Mssp!$A$5:$BE$1463,AY$4+2,0),0)</f>
        <v>0</v>
      </c>
      <c r="AZ295" s="59">
        <f>IFERROR(VLOOKUP($A295,[2]Mssp!$A$5:$BE$1463,AZ$4+2,0),0)</f>
        <v>0</v>
      </c>
      <c r="BA295" s="60">
        <v>2500</v>
      </c>
      <c r="BB295" s="61" t="s">
        <v>62</v>
      </c>
      <c r="BC295" s="62"/>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c r="CK295" s="9"/>
      <c r="CL295" s="9"/>
      <c r="CM295" s="9"/>
      <c r="CN295" s="9"/>
      <c r="CO295" s="9"/>
      <c r="CP295" s="9"/>
    </row>
    <row r="296" spans="1:94" ht="45" x14ac:dyDescent="0.25">
      <c r="A296" s="50" t="s">
        <v>1039</v>
      </c>
      <c r="B296" s="73" t="s">
        <v>1040</v>
      </c>
      <c r="C296" s="50">
        <f t="shared" si="10"/>
        <v>0</v>
      </c>
      <c r="D296" s="58">
        <v>2</v>
      </c>
      <c r="E296" s="58" t="s">
        <v>1036</v>
      </c>
      <c r="F296" s="58">
        <v>0</v>
      </c>
      <c r="G296" s="50" t="s">
        <v>559</v>
      </c>
      <c r="H296" s="50">
        <f>VLOOKUP($A296,'[1]ma sp 02'!$A$5:$BD$1101,H$1,0)</f>
        <v>0</v>
      </c>
      <c r="I296" s="50">
        <f>VLOOKUP($A296,'[1]ma sp 02'!$A$5:$BD$1101,I$1,0)</f>
        <v>0</v>
      </c>
      <c r="J296" s="50">
        <f>VLOOKUP($A296,'[1]ma sp 02'!$A$5:$BD$1101,J$1,0)</f>
        <v>0</v>
      </c>
      <c r="K296" s="50">
        <f>VLOOKUP($A296,'[1]ma sp 02'!$A$5:$BD$1101,K$1,0)</f>
        <v>0</v>
      </c>
      <c r="L296" s="50">
        <f>VLOOKUP($A296,'[1]ma sp 02'!$A$5:$BD$1101,L$1,0)</f>
        <v>0</v>
      </c>
      <c r="M296" s="50">
        <f>VLOOKUP($A296,'[1]ma sp 02'!$A$5:$BD$1101,M$1,0)</f>
        <v>0</v>
      </c>
      <c r="N296" s="50">
        <f>VLOOKUP($A296,'[1]ma sp 02'!$A$5:$BD$1101,N$1,0)</f>
        <v>0</v>
      </c>
      <c r="O296" s="50">
        <f>VLOOKUP($A296,'[1]ma sp 02'!$A$5:$BD$1101,O$1,0)</f>
        <v>0</v>
      </c>
      <c r="P296" s="50">
        <f>VLOOKUP($A296,'[1]ma sp 02'!$A$5:$BD$1101,P$1,0)</f>
        <v>0</v>
      </c>
      <c r="Q296" s="50">
        <f>VLOOKUP($A296,'[1]ma sp 02'!$A$5:$BD$1101,Q$1,0)</f>
        <v>0</v>
      </c>
      <c r="R296" s="50">
        <f>VLOOKUP($A296,'[1]ma sp 02'!$A$5:$BD$1101,R$1,0)</f>
        <v>0</v>
      </c>
      <c r="S296" s="50">
        <f>VLOOKUP($A296,'[1]ma sp 02'!$A$5:$BD$1101,S$1,0)</f>
        <v>0</v>
      </c>
      <c r="T296" s="50">
        <f>VLOOKUP($A296,'[1]ma sp 02'!$A$5:$BD$1101,T$1,0)</f>
        <v>0</v>
      </c>
      <c r="U296" s="50">
        <f>VLOOKUP($A296,'[1]ma sp 02'!$A$5:$BD$1101,U$1,0)</f>
        <v>0</v>
      </c>
      <c r="V296" s="50">
        <f>VLOOKUP($A296,'[1]ma sp 02'!$A$5:$BD$1101,V$1,0)</f>
        <v>0</v>
      </c>
      <c r="W296" s="50">
        <f>VLOOKUP($A296,'[1]ma sp 02'!$A$5:$BD$1101,W$1,0)</f>
        <v>0</v>
      </c>
      <c r="X296" s="50">
        <f t="shared" si="9"/>
        <v>0</v>
      </c>
      <c r="Y296" s="57"/>
      <c r="Z296" s="57"/>
      <c r="AA296" s="57"/>
      <c r="AB296" s="57"/>
      <c r="AC296" s="57"/>
      <c r="AD296" s="57"/>
      <c r="AE296" s="58" t="s">
        <v>1037</v>
      </c>
      <c r="AF296" s="57"/>
      <c r="AG296" s="71">
        <f>(0.015*1.15+0.075*0.925)*1</f>
        <v>8.6625000000000008E-2</v>
      </c>
      <c r="AH296" s="63">
        <f>(2.3/0.75/2)*0.99</f>
        <v>1.5179999999999998</v>
      </c>
      <c r="AI296" s="63"/>
      <c r="AJ296" s="58">
        <v>9530</v>
      </c>
      <c r="AK296" s="57"/>
      <c r="AL296" s="58">
        <v>2.3E-3</v>
      </c>
      <c r="AM296" s="52" t="s">
        <v>74</v>
      </c>
      <c r="AN296" s="58">
        <v>350</v>
      </c>
      <c r="AO296" s="52" t="s">
        <v>1038</v>
      </c>
      <c r="AP296" s="59">
        <f>IFERROR(VLOOKUP($A296,[2]Mssp!$A$5:$BE$1463,AP$4+1,0),0)</f>
        <v>0</v>
      </c>
      <c r="AQ296" s="59">
        <f>IFERROR(VLOOKUP($A296,[2]Mssp!$A$5:$BE$1463,AQ$4+1,0),0)</f>
        <v>0</v>
      </c>
      <c r="AR296" s="59">
        <f>IFERROR(VLOOKUP($A296,[2]Mssp!$A$5:$BE$1463,AR$4+1,0),0)</f>
        <v>0</v>
      </c>
      <c r="AS296" s="59">
        <f>IFERROR(VLOOKUP($A296,[2]Mssp!$A$5:$BE$1463,AS$4+1,0),0)</f>
        <v>0</v>
      </c>
      <c r="AT296" s="59">
        <f>IFERROR(VLOOKUP($A296,[2]Mssp!$A$5:$BE$1463,AT$4+1,0),0)</f>
        <v>0</v>
      </c>
      <c r="AU296" s="59">
        <f>IFERROR(VLOOKUP($A296,[2]Mssp!$A$5:$BE$1463,AU$4+1,0),0)</f>
        <v>0</v>
      </c>
      <c r="AV296" s="59">
        <f>IFERROR(VLOOKUP($A296,[2]Mssp!$A$5:$BE$1463,AV$4+1,0),0)</f>
        <v>0</v>
      </c>
      <c r="AW296" s="59">
        <f>IFERROR(VLOOKUP($A296,[2]Mssp!$A$5:$BE$1463,AW$4+1,0),0)</f>
        <v>0</v>
      </c>
      <c r="AX296" s="59">
        <f>IFERROR(VLOOKUP($A296,[2]Mssp!$A$5:$BE$1463,AX$4+1,0),0)</f>
        <v>0</v>
      </c>
      <c r="AY296" s="59">
        <f>IFERROR(VLOOKUP($A296,[2]Mssp!$A$5:$BE$1463,AY$4+2,0),0)</f>
        <v>0</v>
      </c>
      <c r="AZ296" s="59">
        <f>IFERROR(VLOOKUP($A296,[2]Mssp!$A$5:$BE$1463,AZ$4+2,0),0)</f>
        <v>0</v>
      </c>
      <c r="BA296" s="60">
        <v>2000</v>
      </c>
      <c r="BB296" s="61" t="s">
        <v>62</v>
      </c>
      <c r="BC296" s="62"/>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9"/>
      <c r="CK296" s="9"/>
      <c r="CL296" s="9"/>
      <c r="CM296" s="9"/>
      <c r="CN296" s="9"/>
      <c r="CO296" s="9"/>
      <c r="CP296" s="9"/>
    </row>
    <row r="297" spans="1:94" ht="45" x14ac:dyDescent="0.25">
      <c r="A297" s="50" t="s">
        <v>1041</v>
      </c>
      <c r="B297" s="73" t="s">
        <v>1042</v>
      </c>
      <c r="C297" s="50">
        <f t="shared" si="10"/>
        <v>0</v>
      </c>
      <c r="D297" s="58">
        <v>1</v>
      </c>
      <c r="E297" s="58" t="s">
        <v>731</v>
      </c>
      <c r="F297" s="58">
        <v>0</v>
      </c>
      <c r="G297" s="50" t="s">
        <v>530</v>
      </c>
      <c r="H297" s="50">
        <f>VLOOKUP($A297,'[1]ma sp 02'!$A$5:$BD$1101,H$1,0)</f>
        <v>0</v>
      </c>
      <c r="I297" s="50">
        <f>VLOOKUP($A297,'[1]ma sp 02'!$A$5:$BD$1101,I$1,0)</f>
        <v>0</v>
      </c>
      <c r="J297" s="50">
        <f>VLOOKUP($A297,'[1]ma sp 02'!$A$5:$BD$1101,J$1,0)</f>
        <v>0</v>
      </c>
      <c r="K297" s="50">
        <f>VLOOKUP($A297,'[1]ma sp 02'!$A$5:$BD$1101,K$1,0)</f>
        <v>0</v>
      </c>
      <c r="L297" s="50">
        <f>VLOOKUP($A297,'[1]ma sp 02'!$A$5:$BD$1101,L$1,0)</f>
        <v>0</v>
      </c>
      <c r="M297" s="50">
        <f>VLOOKUP($A297,'[1]ma sp 02'!$A$5:$BD$1101,M$1,0)</f>
        <v>0</v>
      </c>
      <c r="N297" s="50">
        <f>VLOOKUP($A297,'[1]ma sp 02'!$A$5:$BD$1101,N$1,0)</f>
        <v>0</v>
      </c>
      <c r="O297" s="50">
        <f>VLOOKUP($A297,'[1]ma sp 02'!$A$5:$BD$1101,O$1,0)</f>
        <v>0</v>
      </c>
      <c r="P297" s="50">
        <f>VLOOKUP($A297,'[1]ma sp 02'!$A$5:$BD$1101,P$1,0)</f>
        <v>0</v>
      </c>
      <c r="Q297" s="50">
        <f>VLOOKUP($A297,'[1]ma sp 02'!$A$5:$BD$1101,Q$1,0)</f>
        <v>0</v>
      </c>
      <c r="R297" s="50">
        <f>VLOOKUP($A297,'[1]ma sp 02'!$A$5:$BD$1101,R$1,0)</f>
        <v>0</v>
      </c>
      <c r="S297" s="50">
        <f>VLOOKUP($A297,'[1]ma sp 02'!$A$5:$BD$1101,S$1,0)</f>
        <v>0</v>
      </c>
      <c r="T297" s="50">
        <f>VLOOKUP($A297,'[1]ma sp 02'!$A$5:$BD$1101,T$1,0)</f>
        <v>0</v>
      </c>
      <c r="U297" s="50">
        <f>VLOOKUP($A297,'[1]ma sp 02'!$A$5:$BD$1101,U$1,0)</f>
        <v>0</v>
      </c>
      <c r="V297" s="50">
        <f>VLOOKUP($A297,'[1]ma sp 02'!$A$5:$BD$1101,V$1,0)</f>
        <v>0</v>
      </c>
      <c r="W297" s="50">
        <f>VLOOKUP($A297,'[1]ma sp 02'!$A$5:$BD$1101,W$1,0)</f>
        <v>0</v>
      </c>
      <c r="X297" s="50">
        <f t="shared" si="9"/>
        <v>0</v>
      </c>
      <c r="Y297" s="57"/>
      <c r="Z297" s="57"/>
      <c r="AA297" s="57"/>
      <c r="AB297" s="57"/>
      <c r="AC297" s="57"/>
      <c r="AD297" s="57"/>
      <c r="AE297" s="58" t="s">
        <v>732</v>
      </c>
      <c r="AF297" s="58" t="s">
        <v>1043</v>
      </c>
      <c r="AG297" s="71">
        <f>(0.012*1.4+0.006*2.71+0.075*0.925)*0.58</f>
        <v>5.9412299999999994E-2</v>
      </c>
      <c r="AH297" s="63">
        <f>(2.3/0.75/2)*0.57</f>
        <v>0.87399999999999989</v>
      </c>
      <c r="AI297" s="63">
        <f>(3/0.75/2)*0.57</f>
        <v>1.1399999999999999</v>
      </c>
      <c r="AJ297" s="58">
        <v>9530</v>
      </c>
      <c r="AK297" s="58">
        <v>9530</v>
      </c>
      <c r="AL297" s="58" t="s">
        <v>117</v>
      </c>
      <c r="AM297" s="52" t="s">
        <v>958</v>
      </c>
      <c r="AN297" s="58">
        <v>570</v>
      </c>
      <c r="AO297" s="52" t="s">
        <v>962</v>
      </c>
      <c r="AP297" s="59">
        <f>IFERROR(VLOOKUP($A297,[2]Mssp!$A$5:$BE$1463,AP$4+1,0),0)</f>
        <v>0</v>
      </c>
      <c r="AQ297" s="59">
        <f>IFERROR(VLOOKUP($A297,[2]Mssp!$A$5:$BE$1463,AQ$4+1,0),0)</f>
        <v>0</v>
      </c>
      <c r="AR297" s="59">
        <f>IFERROR(VLOOKUP($A297,[2]Mssp!$A$5:$BE$1463,AR$4+1,0),0)</f>
        <v>0</v>
      </c>
      <c r="AS297" s="59">
        <f>IFERROR(VLOOKUP($A297,[2]Mssp!$A$5:$BE$1463,AS$4+1,0),0)</f>
        <v>0</v>
      </c>
      <c r="AT297" s="59">
        <f>IFERROR(VLOOKUP($A297,[2]Mssp!$A$5:$BE$1463,AT$4+1,0),0)</f>
        <v>0</v>
      </c>
      <c r="AU297" s="59">
        <f>IFERROR(VLOOKUP($A297,[2]Mssp!$A$5:$BE$1463,AU$4+1,0),0)</f>
        <v>0</v>
      </c>
      <c r="AV297" s="59">
        <f>IFERROR(VLOOKUP($A297,[2]Mssp!$A$5:$BE$1463,AV$4+1,0),0)</f>
        <v>0</v>
      </c>
      <c r="AW297" s="59">
        <f>IFERROR(VLOOKUP($A297,[2]Mssp!$A$5:$BE$1463,AW$4+1,0),0)</f>
        <v>0</v>
      </c>
      <c r="AX297" s="59">
        <f>IFERROR(VLOOKUP($A297,[2]Mssp!$A$5:$BE$1463,AX$4+1,0),0)</f>
        <v>0</v>
      </c>
      <c r="AY297" s="59">
        <f>IFERROR(VLOOKUP($A297,[2]Mssp!$A$5:$BE$1463,AY$4+2,0),0)</f>
        <v>0</v>
      </c>
      <c r="AZ297" s="59">
        <f>IFERROR(VLOOKUP($A297,[2]Mssp!$A$5:$BE$1463,AZ$4+2,0),0)</f>
        <v>0</v>
      </c>
      <c r="BA297" s="60" t="s">
        <v>106</v>
      </c>
      <c r="BB297" s="61" t="s">
        <v>107</v>
      </c>
      <c r="BC297" s="62"/>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c r="CO297" s="9"/>
      <c r="CP297" s="9"/>
    </row>
    <row r="298" spans="1:94" ht="45" x14ac:dyDescent="0.25">
      <c r="A298" s="50" t="s">
        <v>1044</v>
      </c>
      <c r="B298" s="73" t="s">
        <v>1045</v>
      </c>
      <c r="C298" s="50">
        <f t="shared" si="10"/>
        <v>0</v>
      </c>
      <c r="D298" s="58">
        <v>1</v>
      </c>
      <c r="E298" s="58" t="s">
        <v>1046</v>
      </c>
      <c r="F298" s="58">
        <v>0</v>
      </c>
      <c r="G298" s="50" t="s">
        <v>1010</v>
      </c>
      <c r="H298" s="50">
        <f>VLOOKUP($A298,'[1]ma sp 02'!$A$5:$BD$1101,H$1,0)</f>
        <v>0</v>
      </c>
      <c r="I298" s="50">
        <f>VLOOKUP($A298,'[1]ma sp 02'!$A$5:$BD$1101,I$1,0)</f>
        <v>0</v>
      </c>
      <c r="J298" s="50">
        <f>VLOOKUP($A298,'[1]ma sp 02'!$A$5:$BD$1101,J$1,0)</f>
        <v>0</v>
      </c>
      <c r="K298" s="50">
        <f>VLOOKUP($A298,'[1]ma sp 02'!$A$5:$BD$1101,K$1,0)</f>
        <v>0</v>
      </c>
      <c r="L298" s="50">
        <f>VLOOKUP($A298,'[1]ma sp 02'!$A$5:$BD$1101,L$1,0)</f>
        <v>0</v>
      </c>
      <c r="M298" s="50">
        <f>VLOOKUP($A298,'[1]ma sp 02'!$A$5:$BD$1101,M$1,0)</f>
        <v>0</v>
      </c>
      <c r="N298" s="50">
        <f>VLOOKUP($A298,'[1]ma sp 02'!$A$5:$BD$1101,N$1,0)</f>
        <v>0</v>
      </c>
      <c r="O298" s="50">
        <f>VLOOKUP($A298,'[1]ma sp 02'!$A$5:$BD$1101,O$1,0)</f>
        <v>0</v>
      </c>
      <c r="P298" s="50">
        <f>VLOOKUP($A298,'[1]ma sp 02'!$A$5:$BD$1101,P$1,0)</f>
        <v>0</v>
      </c>
      <c r="Q298" s="50">
        <f>VLOOKUP($A298,'[1]ma sp 02'!$A$5:$BD$1101,Q$1,0)</f>
        <v>0</v>
      </c>
      <c r="R298" s="50">
        <f>VLOOKUP($A298,'[1]ma sp 02'!$A$5:$BD$1101,R$1,0)</f>
        <v>0</v>
      </c>
      <c r="S298" s="50">
        <f>VLOOKUP($A298,'[1]ma sp 02'!$A$5:$BD$1101,S$1,0)</f>
        <v>0</v>
      </c>
      <c r="T298" s="50">
        <f>VLOOKUP($A298,'[1]ma sp 02'!$A$5:$BD$1101,T$1,0)</f>
        <v>0</v>
      </c>
      <c r="U298" s="50">
        <f>VLOOKUP($A298,'[1]ma sp 02'!$A$5:$BD$1101,U$1,0)</f>
        <v>0</v>
      </c>
      <c r="V298" s="50">
        <f>VLOOKUP($A298,'[1]ma sp 02'!$A$5:$BD$1101,V$1,0)</f>
        <v>0</v>
      </c>
      <c r="W298" s="50">
        <f>VLOOKUP($A298,'[1]ma sp 02'!$A$5:$BD$1101,W$1,0)</f>
        <v>0</v>
      </c>
      <c r="X298" s="50">
        <f t="shared" si="9"/>
        <v>0</v>
      </c>
      <c r="Y298" s="57"/>
      <c r="Z298" s="57"/>
      <c r="AA298" s="57"/>
      <c r="AB298" s="57"/>
      <c r="AC298" s="57"/>
      <c r="AD298" s="57"/>
      <c r="AE298" s="58" t="s">
        <v>1047</v>
      </c>
      <c r="AF298" s="57"/>
      <c r="AG298" s="71">
        <f>(0.012*1.4+0.06*0.925)*1</f>
        <v>7.2300000000000003E-2</v>
      </c>
      <c r="AH298" s="63">
        <f>(2.3/0.75/2)*0.999</f>
        <v>1.5317999999999998</v>
      </c>
      <c r="AI298" s="63"/>
      <c r="AJ298" s="58">
        <v>9530</v>
      </c>
      <c r="AK298" s="57"/>
      <c r="AL298" s="58">
        <v>2.3E-3</v>
      </c>
      <c r="AM298" s="52" t="s">
        <v>958</v>
      </c>
      <c r="AN298" s="58">
        <v>1000</v>
      </c>
      <c r="AO298" s="52" t="s">
        <v>962</v>
      </c>
      <c r="AP298" s="59">
        <f>IFERROR(VLOOKUP($A298,[2]Mssp!$A$5:$BE$1463,AP$4+1,0),0)</f>
        <v>0</v>
      </c>
      <c r="AQ298" s="59">
        <f>IFERROR(VLOOKUP($A298,[2]Mssp!$A$5:$BE$1463,AQ$4+1,0),0)</f>
        <v>0</v>
      </c>
      <c r="AR298" s="59">
        <f>IFERROR(VLOOKUP($A298,[2]Mssp!$A$5:$BE$1463,AR$4+1,0),0)</f>
        <v>0</v>
      </c>
      <c r="AS298" s="59">
        <f>IFERROR(VLOOKUP($A298,[2]Mssp!$A$5:$BE$1463,AS$4+1,0),0)</f>
        <v>0</v>
      </c>
      <c r="AT298" s="59">
        <f>IFERROR(VLOOKUP($A298,[2]Mssp!$A$5:$BE$1463,AT$4+1,0),0)</f>
        <v>0</v>
      </c>
      <c r="AU298" s="59">
        <f>IFERROR(VLOOKUP($A298,[2]Mssp!$A$5:$BE$1463,AU$4+1,0),0)</f>
        <v>0</v>
      </c>
      <c r="AV298" s="59">
        <f>IFERROR(VLOOKUP($A298,[2]Mssp!$A$5:$BE$1463,AV$4+1,0),0)</f>
        <v>0</v>
      </c>
      <c r="AW298" s="59">
        <f>IFERROR(VLOOKUP($A298,[2]Mssp!$A$5:$BE$1463,AW$4+1,0),0)</f>
        <v>0</v>
      </c>
      <c r="AX298" s="59">
        <f>IFERROR(VLOOKUP($A298,[2]Mssp!$A$5:$BE$1463,AX$4+1,0),0)</f>
        <v>0</v>
      </c>
      <c r="AY298" s="59">
        <f>IFERROR(VLOOKUP($A298,[2]Mssp!$A$5:$BE$1463,AY$4+2,0),0)</f>
        <v>0</v>
      </c>
      <c r="AZ298" s="59">
        <f>IFERROR(VLOOKUP($A298,[2]Mssp!$A$5:$BE$1463,AZ$4+2,0),0)</f>
        <v>0</v>
      </c>
      <c r="BA298" s="60" t="s">
        <v>106</v>
      </c>
      <c r="BB298" s="61" t="s">
        <v>107</v>
      </c>
      <c r="BC298" s="62"/>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c r="CP298" s="9"/>
    </row>
    <row r="299" spans="1:94" ht="45" x14ac:dyDescent="0.25">
      <c r="A299" s="50" t="s">
        <v>1048</v>
      </c>
      <c r="B299" s="73" t="s">
        <v>1049</v>
      </c>
      <c r="C299" s="50">
        <f t="shared" si="10"/>
        <v>0</v>
      </c>
      <c r="D299" s="58">
        <v>1</v>
      </c>
      <c r="E299" s="58" t="s">
        <v>1050</v>
      </c>
      <c r="F299" s="58">
        <v>3</v>
      </c>
      <c r="G299" s="50" t="s">
        <v>530</v>
      </c>
      <c r="H299" s="50">
        <f>VLOOKUP($A299,'[1]ma sp 02'!$A$5:$BD$1101,H$1,0)</f>
        <v>0</v>
      </c>
      <c r="I299" s="50">
        <f>VLOOKUP($A299,'[1]ma sp 02'!$A$5:$BD$1101,I$1,0)</f>
        <v>0</v>
      </c>
      <c r="J299" s="50">
        <f>VLOOKUP($A299,'[1]ma sp 02'!$A$5:$BD$1101,J$1,0)</f>
        <v>0</v>
      </c>
      <c r="K299" s="50">
        <f>VLOOKUP($A299,'[1]ma sp 02'!$A$5:$BD$1101,K$1,0)</f>
        <v>0</v>
      </c>
      <c r="L299" s="50">
        <f>VLOOKUP($A299,'[1]ma sp 02'!$A$5:$BD$1101,L$1,0)</f>
        <v>0</v>
      </c>
      <c r="M299" s="50">
        <f>VLOOKUP($A299,'[1]ma sp 02'!$A$5:$BD$1101,M$1,0)</f>
        <v>0</v>
      </c>
      <c r="N299" s="50">
        <f>VLOOKUP($A299,'[1]ma sp 02'!$A$5:$BD$1101,N$1,0)</f>
        <v>0</v>
      </c>
      <c r="O299" s="50">
        <f>VLOOKUP($A299,'[1]ma sp 02'!$A$5:$BD$1101,O$1,0)</f>
        <v>0</v>
      </c>
      <c r="P299" s="50">
        <f>VLOOKUP($A299,'[1]ma sp 02'!$A$5:$BD$1101,P$1,0)</f>
        <v>0</v>
      </c>
      <c r="Q299" s="50">
        <f>VLOOKUP($A299,'[1]ma sp 02'!$A$5:$BD$1101,Q$1,0)</f>
        <v>0</v>
      </c>
      <c r="R299" s="50">
        <f>VLOOKUP($A299,'[1]ma sp 02'!$A$5:$BD$1101,R$1,0)</f>
        <v>0</v>
      </c>
      <c r="S299" s="50">
        <f>VLOOKUP($A299,'[1]ma sp 02'!$A$5:$BD$1101,S$1,0)</f>
        <v>0</v>
      </c>
      <c r="T299" s="50">
        <f>VLOOKUP($A299,'[1]ma sp 02'!$A$5:$BD$1101,T$1,0)</f>
        <v>0</v>
      </c>
      <c r="U299" s="50">
        <f>VLOOKUP($A299,'[1]ma sp 02'!$A$5:$BD$1101,U$1,0)</f>
        <v>0</v>
      </c>
      <c r="V299" s="50">
        <f>VLOOKUP($A299,'[1]ma sp 02'!$A$5:$BD$1101,V$1,0)</f>
        <v>0</v>
      </c>
      <c r="W299" s="50">
        <f>VLOOKUP($A299,'[1]ma sp 02'!$A$5:$BD$1101,W$1,0)</f>
        <v>0</v>
      </c>
      <c r="X299" s="50">
        <f t="shared" si="9"/>
        <v>0</v>
      </c>
      <c r="Y299" s="57"/>
      <c r="Z299" s="57"/>
      <c r="AA299" s="57"/>
      <c r="AB299" s="57"/>
      <c r="AC299" s="57"/>
      <c r="AD299" s="57"/>
      <c r="AE299" s="58" t="s">
        <v>1051</v>
      </c>
      <c r="AF299" s="57"/>
      <c r="AG299" s="71">
        <f>(0.06*0.925+0.03*0.925)*1.27</f>
        <v>0.1057275</v>
      </c>
      <c r="AH299" s="63">
        <f>(2.3/0.75/2)*1.26</f>
        <v>1.9319999999999999</v>
      </c>
      <c r="AI299" s="63"/>
      <c r="AJ299" s="58">
        <v>9530</v>
      </c>
      <c r="AK299" s="57"/>
      <c r="AL299" s="58">
        <v>2E-3</v>
      </c>
      <c r="AM299" s="52" t="s">
        <v>958</v>
      </c>
      <c r="AN299" s="58">
        <v>1270</v>
      </c>
      <c r="AO299" s="52" t="s">
        <v>959</v>
      </c>
      <c r="AP299" s="59">
        <f>IFERROR(VLOOKUP($A299,[2]Mssp!$A$5:$BE$1463,AP$4+1,0),0)</f>
        <v>0</v>
      </c>
      <c r="AQ299" s="59">
        <f>IFERROR(VLOOKUP($A299,[2]Mssp!$A$5:$BE$1463,AQ$4+1,0),0)</f>
        <v>0</v>
      </c>
      <c r="AR299" s="59">
        <f>IFERROR(VLOOKUP($A299,[2]Mssp!$A$5:$BE$1463,AR$4+1,0),0)</f>
        <v>0</v>
      </c>
      <c r="AS299" s="59">
        <f>IFERROR(VLOOKUP($A299,[2]Mssp!$A$5:$BE$1463,AS$4+1,0),0)</f>
        <v>0</v>
      </c>
      <c r="AT299" s="59">
        <f>IFERROR(VLOOKUP($A299,[2]Mssp!$A$5:$BE$1463,AT$4+1,0),0)</f>
        <v>0</v>
      </c>
      <c r="AU299" s="59">
        <f>IFERROR(VLOOKUP($A299,[2]Mssp!$A$5:$BE$1463,AU$4+1,0),0)</f>
        <v>0</v>
      </c>
      <c r="AV299" s="59">
        <f>IFERROR(VLOOKUP($A299,[2]Mssp!$A$5:$BE$1463,AV$4+1,0),0)</f>
        <v>0</v>
      </c>
      <c r="AW299" s="59">
        <f>IFERROR(VLOOKUP($A299,[2]Mssp!$A$5:$BE$1463,AW$4+1,0),0)</f>
        <v>0</v>
      </c>
      <c r="AX299" s="59">
        <f>IFERROR(VLOOKUP($A299,[2]Mssp!$A$5:$BE$1463,AX$4+1,0),0)</f>
        <v>0</v>
      </c>
      <c r="AY299" s="59">
        <f>IFERROR(VLOOKUP($A299,[2]Mssp!$A$5:$BE$1463,AY$4+2,0),0)</f>
        <v>0</v>
      </c>
      <c r="AZ299" s="59">
        <f>IFERROR(VLOOKUP($A299,[2]Mssp!$A$5:$BE$1463,AZ$4+2,0),0)</f>
        <v>0</v>
      </c>
      <c r="BA299" s="60" t="s">
        <v>106</v>
      </c>
      <c r="BB299" s="61" t="s">
        <v>107</v>
      </c>
      <c r="BC299" s="62"/>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c r="CO299" s="9"/>
      <c r="CP299" s="9"/>
    </row>
    <row r="300" spans="1:94" ht="45" x14ac:dyDescent="0.25">
      <c r="A300" s="50" t="s">
        <v>1052</v>
      </c>
      <c r="B300" s="73" t="s">
        <v>1053</v>
      </c>
      <c r="C300" s="50">
        <f t="shared" si="10"/>
        <v>0</v>
      </c>
      <c r="D300" s="58">
        <v>1</v>
      </c>
      <c r="E300" s="58" t="s">
        <v>1054</v>
      </c>
      <c r="F300" s="58">
        <v>3</v>
      </c>
      <c r="G300" s="50" t="s">
        <v>184</v>
      </c>
      <c r="H300" s="50">
        <f>VLOOKUP($A300,'[1]ma sp 02'!$A$5:$BD$1101,H$1,0)</f>
        <v>0</v>
      </c>
      <c r="I300" s="50">
        <f>VLOOKUP($A300,'[1]ma sp 02'!$A$5:$BD$1101,I$1,0)</f>
        <v>0</v>
      </c>
      <c r="J300" s="50">
        <f>VLOOKUP($A300,'[1]ma sp 02'!$A$5:$BD$1101,J$1,0)</f>
        <v>0</v>
      </c>
      <c r="K300" s="50">
        <f>VLOOKUP($A300,'[1]ma sp 02'!$A$5:$BD$1101,K$1,0)</f>
        <v>0</v>
      </c>
      <c r="L300" s="50">
        <f>VLOOKUP($A300,'[1]ma sp 02'!$A$5:$BD$1101,L$1,0)</f>
        <v>0</v>
      </c>
      <c r="M300" s="50">
        <f>VLOOKUP($A300,'[1]ma sp 02'!$A$5:$BD$1101,M$1,0)</f>
        <v>0</v>
      </c>
      <c r="N300" s="50">
        <f>VLOOKUP($A300,'[1]ma sp 02'!$A$5:$BD$1101,N$1,0)</f>
        <v>0</v>
      </c>
      <c r="O300" s="50">
        <f>VLOOKUP($A300,'[1]ma sp 02'!$A$5:$BD$1101,O$1,0)</f>
        <v>0</v>
      </c>
      <c r="P300" s="50">
        <f>VLOOKUP($A300,'[1]ma sp 02'!$A$5:$BD$1101,P$1,0)</f>
        <v>0</v>
      </c>
      <c r="Q300" s="50">
        <f>VLOOKUP($A300,'[1]ma sp 02'!$A$5:$BD$1101,Q$1,0)</f>
        <v>0</v>
      </c>
      <c r="R300" s="50">
        <f>VLOOKUP($A300,'[1]ma sp 02'!$A$5:$BD$1101,R$1,0)</f>
        <v>0</v>
      </c>
      <c r="S300" s="50">
        <f>VLOOKUP($A300,'[1]ma sp 02'!$A$5:$BD$1101,S$1,0)</f>
        <v>0</v>
      </c>
      <c r="T300" s="50">
        <f>VLOOKUP($A300,'[1]ma sp 02'!$A$5:$BD$1101,T$1,0)</f>
        <v>0</v>
      </c>
      <c r="U300" s="50">
        <f>VLOOKUP($A300,'[1]ma sp 02'!$A$5:$BD$1101,U$1,0)</f>
        <v>0</v>
      </c>
      <c r="V300" s="50">
        <f>VLOOKUP($A300,'[1]ma sp 02'!$A$5:$BD$1101,V$1,0)</f>
        <v>0</v>
      </c>
      <c r="W300" s="50">
        <f>VLOOKUP($A300,'[1]ma sp 02'!$A$5:$BD$1101,W$1,0)</f>
        <v>0</v>
      </c>
      <c r="X300" s="50">
        <f t="shared" si="9"/>
        <v>0</v>
      </c>
      <c r="Y300" s="57"/>
      <c r="Z300" s="57"/>
      <c r="AA300" s="57"/>
      <c r="AB300" s="57"/>
      <c r="AC300" s="57"/>
      <c r="AD300" s="57"/>
      <c r="AE300" s="58" t="s">
        <v>1055</v>
      </c>
      <c r="AF300" s="57"/>
      <c r="AG300" s="71">
        <f>(0.06*0.925+0.03*0.925)*1.27</f>
        <v>0.1057275</v>
      </c>
      <c r="AH300" s="63">
        <f>(2.3/0.75/2)*1.26</f>
        <v>1.9319999999999999</v>
      </c>
      <c r="AI300" s="63"/>
      <c r="AJ300" s="58">
        <v>9530</v>
      </c>
      <c r="AK300" s="57"/>
      <c r="AL300" s="58">
        <v>2E-3</v>
      </c>
      <c r="AM300" s="52" t="s">
        <v>958</v>
      </c>
      <c r="AN300" s="58">
        <v>1270</v>
      </c>
      <c r="AO300" s="52" t="s">
        <v>959</v>
      </c>
      <c r="AP300" s="59">
        <f>IFERROR(VLOOKUP($A300,[2]Mssp!$A$5:$BE$1463,AP$4+1,0),0)</f>
        <v>0</v>
      </c>
      <c r="AQ300" s="59">
        <f>IFERROR(VLOOKUP($A300,[2]Mssp!$A$5:$BE$1463,AQ$4+1,0),0)</f>
        <v>0</v>
      </c>
      <c r="AR300" s="59">
        <f>IFERROR(VLOOKUP($A300,[2]Mssp!$A$5:$BE$1463,AR$4+1,0),0)</f>
        <v>0</v>
      </c>
      <c r="AS300" s="59">
        <f>IFERROR(VLOOKUP($A300,[2]Mssp!$A$5:$BE$1463,AS$4+1,0),0)</f>
        <v>0</v>
      </c>
      <c r="AT300" s="59">
        <f>IFERROR(VLOOKUP($A300,[2]Mssp!$A$5:$BE$1463,AT$4+1,0),0)</f>
        <v>0</v>
      </c>
      <c r="AU300" s="59">
        <f>IFERROR(VLOOKUP($A300,[2]Mssp!$A$5:$BE$1463,AU$4+1,0),0)</f>
        <v>0</v>
      </c>
      <c r="AV300" s="59">
        <f>IFERROR(VLOOKUP($A300,[2]Mssp!$A$5:$BE$1463,AV$4+1,0),0)</f>
        <v>0</v>
      </c>
      <c r="AW300" s="59">
        <f>IFERROR(VLOOKUP($A300,[2]Mssp!$A$5:$BE$1463,AW$4+1,0),0)</f>
        <v>0</v>
      </c>
      <c r="AX300" s="59">
        <f>IFERROR(VLOOKUP($A300,[2]Mssp!$A$5:$BE$1463,AX$4+1,0),0)</f>
        <v>0</v>
      </c>
      <c r="AY300" s="59">
        <f>IFERROR(VLOOKUP($A300,[2]Mssp!$A$5:$BE$1463,AY$4+2,0),0)</f>
        <v>0</v>
      </c>
      <c r="AZ300" s="59">
        <f>IFERROR(VLOOKUP($A300,[2]Mssp!$A$5:$BE$1463,AZ$4+2,0),0)</f>
        <v>0</v>
      </c>
      <c r="BA300" s="60" t="s">
        <v>106</v>
      </c>
      <c r="BB300" s="61" t="s">
        <v>107</v>
      </c>
      <c r="BC300" s="62"/>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c r="CP300" s="9"/>
    </row>
    <row r="301" spans="1:94" ht="45" x14ac:dyDescent="0.25">
      <c r="A301" s="50" t="s">
        <v>1056</v>
      </c>
      <c r="B301" s="73" t="s">
        <v>1057</v>
      </c>
      <c r="C301" s="50">
        <f t="shared" si="10"/>
        <v>0</v>
      </c>
      <c r="D301" s="58">
        <v>1</v>
      </c>
      <c r="E301" s="58" t="s">
        <v>1058</v>
      </c>
      <c r="F301" s="58">
        <v>0</v>
      </c>
      <c r="G301" s="50" t="s">
        <v>1010</v>
      </c>
      <c r="H301" s="50">
        <f>VLOOKUP($A301,'[1]ma sp 02'!$A$5:$BD$1101,H$1,0)</f>
        <v>0</v>
      </c>
      <c r="I301" s="50">
        <f>VLOOKUP($A301,'[1]ma sp 02'!$A$5:$BD$1101,I$1,0)</f>
        <v>0</v>
      </c>
      <c r="J301" s="50">
        <f>VLOOKUP($A301,'[1]ma sp 02'!$A$5:$BD$1101,J$1,0)</f>
        <v>0</v>
      </c>
      <c r="K301" s="50">
        <f>VLOOKUP($A301,'[1]ma sp 02'!$A$5:$BD$1101,K$1,0)</f>
        <v>0</v>
      </c>
      <c r="L301" s="50">
        <f>VLOOKUP($A301,'[1]ma sp 02'!$A$5:$BD$1101,L$1,0)</f>
        <v>0</v>
      </c>
      <c r="M301" s="50">
        <f>VLOOKUP($A301,'[1]ma sp 02'!$A$5:$BD$1101,M$1,0)</f>
        <v>0</v>
      </c>
      <c r="N301" s="50">
        <f>VLOOKUP($A301,'[1]ma sp 02'!$A$5:$BD$1101,N$1,0)</f>
        <v>0</v>
      </c>
      <c r="O301" s="50">
        <f>VLOOKUP($A301,'[1]ma sp 02'!$A$5:$BD$1101,O$1,0)</f>
        <v>0</v>
      </c>
      <c r="P301" s="50">
        <f>VLOOKUP($A301,'[1]ma sp 02'!$A$5:$BD$1101,P$1,0)</f>
        <v>0</v>
      </c>
      <c r="Q301" s="50">
        <f>VLOOKUP($A301,'[1]ma sp 02'!$A$5:$BD$1101,Q$1,0)</f>
        <v>0</v>
      </c>
      <c r="R301" s="50">
        <f>VLOOKUP($A301,'[1]ma sp 02'!$A$5:$BD$1101,R$1,0)</f>
        <v>0</v>
      </c>
      <c r="S301" s="50">
        <f>VLOOKUP($A301,'[1]ma sp 02'!$A$5:$BD$1101,S$1,0)</f>
        <v>0</v>
      </c>
      <c r="T301" s="50">
        <f>VLOOKUP($A301,'[1]ma sp 02'!$A$5:$BD$1101,T$1,0)</f>
        <v>0</v>
      </c>
      <c r="U301" s="50">
        <f>VLOOKUP($A301,'[1]ma sp 02'!$A$5:$BD$1101,U$1,0)</f>
        <v>0</v>
      </c>
      <c r="V301" s="50">
        <f>VLOOKUP($A301,'[1]ma sp 02'!$A$5:$BD$1101,V$1,0)</f>
        <v>0</v>
      </c>
      <c r="W301" s="50">
        <f>VLOOKUP($A301,'[1]ma sp 02'!$A$5:$BD$1101,W$1,0)</f>
        <v>0</v>
      </c>
      <c r="X301" s="50">
        <f t="shared" si="9"/>
        <v>0</v>
      </c>
      <c r="Y301" s="57"/>
      <c r="Z301" s="57"/>
      <c r="AA301" s="57"/>
      <c r="AB301" s="57"/>
      <c r="AC301" s="57"/>
      <c r="AD301" s="57"/>
      <c r="AE301" s="58" t="s">
        <v>1059</v>
      </c>
      <c r="AF301" s="57"/>
      <c r="AG301" s="71">
        <f>(0.012*1.4+0.045*0.925)*1.1</f>
        <v>6.4267500000000005E-2</v>
      </c>
      <c r="AH301" s="63">
        <f>(2.3/0.75/2)*1.09</f>
        <v>1.6713333333333333</v>
      </c>
      <c r="AI301" s="63"/>
      <c r="AJ301" s="58">
        <v>9530</v>
      </c>
      <c r="AK301" s="57"/>
      <c r="AL301" s="58">
        <v>2.3E-3</v>
      </c>
      <c r="AM301" s="52" t="s">
        <v>958</v>
      </c>
      <c r="AN301" s="58">
        <v>1100</v>
      </c>
      <c r="AO301" s="52" t="s">
        <v>962</v>
      </c>
      <c r="AP301" s="59">
        <f>IFERROR(VLOOKUP($A301,[2]Mssp!$A$5:$BE$1463,AP$4+1,0),0)</f>
        <v>0</v>
      </c>
      <c r="AQ301" s="59">
        <f>IFERROR(VLOOKUP($A301,[2]Mssp!$A$5:$BE$1463,AQ$4+1,0),0)</f>
        <v>0</v>
      </c>
      <c r="AR301" s="59">
        <f>IFERROR(VLOOKUP($A301,[2]Mssp!$A$5:$BE$1463,AR$4+1,0),0)</f>
        <v>0</v>
      </c>
      <c r="AS301" s="59">
        <f>IFERROR(VLOOKUP($A301,[2]Mssp!$A$5:$BE$1463,AS$4+1,0),0)</f>
        <v>0</v>
      </c>
      <c r="AT301" s="59">
        <f>IFERROR(VLOOKUP($A301,[2]Mssp!$A$5:$BE$1463,AT$4+1,0),0)</f>
        <v>0</v>
      </c>
      <c r="AU301" s="59">
        <f>IFERROR(VLOOKUP($A301,[2]Mssp!$A$5:$BE$1463,AU$4+1,0),0)</f>
        <v>0</v>
      </c>
      <c r="AV301" s="59">
        <f>IFERROR(VLOOKUP($A301,[2]Mssp!$A$5:$BE$1463,AV$4+1,0),0)</f>
        <v>0</v>
      </c>
      <c r="AW301" s="59">
        <f>IFERROR(VLOOKUP($A301,[2]Mssp!$A$5:$BE$1463,AW$4+1,0),0)</f>
        <v>0</v>
      </c>
      <c r="AX301" s="59">
        <f>IFERROR(VLOOKUP($A301,[2]Mssp!$A$5:$BE$1463,AX$4+1,0),0)</f>
        <v>0</v>
      </c>
      <c r="AY301" s="59">
        <f>IFERROR(VLOOKUP($A301,[2]Mssp!$A$5:$BE$1463,AY$4+2,0),0)</f>
        <v>0</v>
      </c>
      <c r="AZ301" s="59">
        <f>IFERROR(VLOOKUP($A301,[2]Mssp!$A$5:$BE$1463,AZ$4+2,0),0)</f>
        <v>0</v>
      </c>
      <c r="BA301" s="60" t="s">
        <v>106</v>
      </c>
      <c r="BB301" s="61" t="s">
        <v>107</v>
      </c>
      <c r="BC301" s="62"/>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9"/>
      <c r="CK301" s="9"/>
      <c r="CL301" s="9"/>
      <c r="CM301" s="9"/>
      <c r="CN301" s="9"/>
      <c r="CO301" s="9"/>
      <c r="CP301" s="9"/>
    </row>
    <row r="302" spans="1:94" ht="45" x14ac:dyDescent="0.25">
      <c r="A302" s="50" t="s">
        <v>1060</v>
      </c>
      <c r="B302" s="73" t="s">
        <v>1061</v>
      </c>
      <c r="C302" s="50">
        <f t="shared" si="10"/>
        <v>5</v>
      </c>
      <c r="D302" s="58">
        <v>1</v>
      </c>
      <c r="E302" s="58" t="s">
        <v>1055</v>
      </c>
      <c r="F302" s="58">
        <v>1</v>
      </c>
      <c r="G302" s="50" t="s">
        <v>184</v>
      </c>
      <c r="H302" s="50">
        <f>VLOOKUP($A302,'[1]ma sp 02'!$A$5:$BD$1101,H$1,0)</f>
        <v>0</v>
      </c>
      <c r="I302" s="50">
        <f>VLOOKUP($A302,'[1]ma sp 02'!$A$5:$BD$1101,I$1,0)</f>
        <v>0</v>
      </c>
      <c r="J302" s="50">
        <f>VLOOKUP($A302,'[1]ma sp 02'!$A$5:$BD$1101,J$1,0)</f>
        <v>0</v>
      </c>
      <c r="K302" s="50">
        <f>VLOOKUP($A302,'[1]ma sp 02'!$A$5:$BD$1101,K$1,0)</f>
        <v>0</v>
      </c>
      <c r="L302" s="50">
        <f>VLOOKUP($A302,'[1]ma sp 02'!$A$5:$BD$1101,L$1,0)</f>
        <v>0</v>
      </c>
      <c r="M302" s="50">
        <f>VLOOKUP($A302,'[1]ma sp 02'!$A$5:$BD$1101,M$1,0)</f>
        <v>0</v>
      </c>
      <c r="N302" s="50">
        <f>VLOOKUP($A302,'[1]ma sp 02'!$A$5:$BD$1101,N$1,0)</f>
        <v>0</v>
      </c>
      <c r="O302" s="50">
        <f>VLOOKUP($A302,'[1]ma sp 02'!$A$5:$BD$1101,O$1,0)</f>
        <v>0</v>
      </c>
      <c r="P302" s="50">
        <f>VLOOKUP($A302,'[1]ma sp 02'!$A$5:$BD$1101,P$1,0)</f>
        <v>5</v>
      </c>
      <c r="Q302" s="50">
        <f>VLOOKUP($A302,'[1]ma sp 02'!$A$5:$BD$1101,Q$1,0)</f>
        <v>0</v>
      </c>
      <c r="R302" s="50">
        <f>VLOOKUP($A302,'[1]ma sp 02'!$A$5:$BD$1101,R$1,0)</f>
        <v>0</v>
      </c>
      <c r="S302" s="50">
        <f>VLOOKUP($A302,'[1]ma sp 02'!$A$5:$BD$1101,S$1,0)</f>
        <v>0</v>
      </c>
      <c r="T302" s="50">
        <f>VLOOKUP($A302,'[1]ma sp 02'!$A$5:$BD$1101,T$1,0)</f>
        <v>0</v>
      </c>
      <c r="U302" s="50">
        <f>VLOOKUP($A302,'[1]ma sp 02'!$A$5:$BD$1101,U$1,0)</f>
        <v>0</v>
      </c>
      <c r="V302" s="50">
        <f>VLOOKUP($A302,'[1]ma sp 02'!$A$5:$BD$1101,V$1,0)</f>
        <v>0</v>
      </c>
      <c r="W302" s="50">
        <f>VLOOKUP($A302,'[1]ma sp 02'!$A$5:$BD$1101,W$1,0)</f>
        <v>0</v>
      </c>
      <c r="X302" s="50">
        <f t="shared" si="9"/>
        <v>1</v>
      </c>
      <c r="Y302" s="57"/>
      <c r="Z302" s="57"/>
      <c r="AA302" s="57"/>
      <c r="AB302" s="57"/>
      <c r="AC302" s="57"/>
      <c r="AD302" s="57"/>
      <c r="AE302" s="58" t="s">
        <v>1062</v>
      </c>
      <c r="AF302" s="57"/>
      <c r="AG302" s="71">
        <f>(0.06*0.925+0.03*0.925)*1.27</f>
        <v>0.1057275</v>
      </c>
      <c r="AH302" s="63">
        <f>(2.3/0.75/2)*1.26</f>
        <v>1.9319999999999999</v>
      </c>
      <c r="AI302" s="63"/>
      <c r="AJ302" s="58">
        <v>9530</v>
      </c>
      <c r="AK302" s="57"/>
      <c r="AL302" s="58">
        <v>2E-3</v>
      </c>
      <c r="AM302" s="52" t="s">
        <v>958</v>
      </c>
      <c r="AN302" s="58">
        <v>1270</v>
      </c>
      <c r="AO302" s="52" t="s">
        <v>959</v>
      </c>
      <c r="AP302" s="59">
        <f>IFERROR(VLOOKUP($A302,[2]Mssp!$A$5:$BE$1463,AP$4+1,0),0)</f>
        <v>0</v>
      </c>
      <c r="AQ302" s="59">
        <f>IFERROR(VLOOKUP($A302,[2]Mssp!$A$5:$BE$1463,AQ$4+1,0),0)</f>
        <v>0</v>
      </c>
      <c r="AR302" s="59">
        <f>IFERROR(VLOOKUP($A302,[2]Mssp!$A$5:$BE$1463,AR$4+1,0),0)</f>
        <v>0</v>
      </c>
      <c r="AS302" s="59">
        <f>IFERROR(VLOOKUP($A302,[2]Mssp!$A$5:$BE$1463,AS$4+1,0),0)</f>
        <v>0</v>
      </c>
      <c r="AT302" s="59">
        <f>IFERROR(VLOOKUP($A302,[2]Mssp!$A$5:$BE$1463,AT$4+1,0),0)</f>
        <v>0</v>
      </c>
      <c r="AU302" s="59">
        <f>IFERROR(VLOOKUP($A302,[2]Mssp!$A$5:$BE$1463,AU$4+1,0),0)</f>
        <v>0</v>
      </c>
      <c r="AV302" s="59">
        <f>IFERROR(VLOOKUP($A302,[2]Mssp!$A$5:$BE$1463,AV$4+1,0),0)</f>
        <v>0</v>
      </c>
      <c r="AW302" s="59">
        <f>IFERROR(VLOOKUP($A302,[2]Mssp!$A$5:$BE$1463,AW$4+1,0),0)</f>
        <v>0</v>
      </c>
      <c r="AX302" s="59">
        <f>IFERROR(VLOOKUP($A302,[2]Mssp!$A$5:$BE$1463,AX$4+1,0),0)</f>
        <v>0</v>
      </c>
      <c r="AY302" s="59">
        <f>IFERROR(VLOOKUP($A302,[2]Mssp!$A$5:$BE$1463,AY$4+2,0),0)</f>
        <v>0</v>
      </c>
      <c r="AZ302" s="59">
        <f>IFERROR(VLOOKUP($A302,[2]Mssp!$A$5:$BE$1463,AZ$4+2,0),0)</f>
        <v>0</v>
      </c>
      <c r="BA302" s="60" t="s">
        <v>106</v>
      </c>
      <c r="BB302" s="61" t="s">
        <v>107</v>
      </c>
      <c r="BC302" s="62"/>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9"/>
      <c r="CK302" s="9"/>
      <c r="CL302" s="9"/>
      <c r="CM302" s="9"/>
      <c r="CN302" s="9"/>
      <c r="CO302" s="9"/>
      <c r="CP302" s="9"/>
    </row>
    <row r="303" spans="1:94" ht="45" x14ac:dyDescent="0.25">
      <c r="A303" s="50" t="s">
        <v>1063</v>
      </c>
      <c r="B303" s="73" t="s">
        <v>1064</v>
      </c>
      <c r="C303" s="50">
        <f t="shared" si="10"/>
        <v>0</v>
      </c>
      <c r="D303" s="58">
        <v>1</v>
      </c>
      <c r="E303" s="58" t="s">
        <v>1058</v>
      </c>
      <c r="F303" s="58">
        <v>0</v>
      </c>
      <c r="G303" s="50" t="s">
        <v>1010</v>
      </c>
      <c r="H303" s="50">
        <f>VLOOKUP($A303,'[1]ma sp 02'!$A$5:$BD$1101,H$1,0)</f>
        <v>0</v>
      </c>
      <c r="I303" s="50">
        <f>VLOOKUP($A303,'[1]ma sp 02'!$A$5:$BD$1101,I$1,0)</f>
        <v>0</v>
      </c>
      <c r="J303" s="50">
        <f>VLOOKUP($A303,'[1]ma sp 02'!$A$5:$BD$1101,J$1,0)</f>
        <v>0</v>
      </c>
      <c r="K303" s="50">
        <f>VLOOKUP($A303,'[1]ma sp 02'!$A$5:$BD$1101,K$1,0)</f>
        <v>0</v>
      </c>
      <c r="L303" s="50">
        <f>VLOOKUP($A303,'[1]ma sp 02'!$A$5:$BD$1101,L$1,0)</f>
        <v>0</v>
      </c>
      <c r="M303" s="50">
        <f>VLOOKUP($A303,'[1]ma sp 02'!$A$5:$BD$1101,M$1,0)</f>
        <v>0</v>
      </c>
      <c r="N303" s="50">
        <f>VLOOKUP($A303,'[1]ma sp 02'!$A$5:$BD$1101,N$1,0)</f>
        <v>0</v>
      </c>
      <c r="O303" s="50">
        <f>VLOOKUP($A303,'[1]ma sp 02'!$A$5:$BD$1101,O$1,0)</f>
        <v>0</v>
      </c>
      <c r="P303" s="50">
        <f>VLOOKUP($A303,'[1]ma sp 02'!$A$5:$BD$1101,P$1,0)</f>
        <v>0</v>
      </c>
      <c r="Q303" s="50">
        <f>VLOOKUP($A303,'[1]ma sp 02'!$A$5:$BD$1101,Q$1,0)</f>
        <v>0</v>
      </c>
      <c r="R303" s="50">
        <f>VLOOKUP($A303,'[1]ma sp 02'!$A$5:$BD$1101,R$1,0)</f>
        <v>0</v>
      </c>
      <c r="S303" s="50">
        <f>VLOOKUP($A303,'[1]ma sp 02'!$A$5:$BD$1101,S$1,0)</f>
        <v>0</v>
      </c>
      <c r="T303" s="50">
        <f>VLOOKUP($A303,'[1]ma sp 02'!$A$5:$BD$1101,T$1,0)</f>
        <v>0</v>
      </c>
      <c r="U303" s="50">
        <f>VLOOKUP($A303,'[1]ma sp 02'!$A$5:$BD$1101,U$1,0)</f>
        <v>0</v>
      </c>
      <c r="V303" s="50">
        <f>VLOOKUP($A303,'[1]ma sp 02'!$A$5:$BD$1101,V$1,0)</f>
        <v>0</v>
      </c>
      <c r="W303" s="50">
        <f>VLOOKUP($A303,'[1]ma sp 02'!$A$5:$BD$1101,W$1,0)</f>
        <v>0</v>
      </c>
      <c r="X303" s="50">
        <f t="shared" si="9"/>
        <v>0</v>
      </c>
      <c r="Y303" s="57"/>
      <c r="Z303" s="57"/>
      <c r="AA303" s="57"/>
      <c r="AB303" s="57"/>
      <c r="AC303" s="57"/>
      <c r="AD303" s="57"/>
      <c r="AE303" s="58" t="s">
        <v>1065</v>
      </c>
      <c r="AF303" s="57"/>
      <c r="AG303" s="71">
        <f>(0.012*1.4+0.06*0.925)*1.1</f>
        <v>7.9530000000000003E-2</v>
      </c>
      <c r="AH303" s="63">
        <f>(2.3/0.75/2)*1.09</f>
        <v>1.6713333333333333</v>
      </c>
      <c r="AI303" s="63"/>
      <c r="AJ303" s="58">
        <v>9530</v>
      </c>
      <c r="AK303" s="57"/>
      <c r="AL303" s="58">
        <v>2.3E-3</v>
      </c>
      <c r="AM303" s="52" t="s">
        <v>958</v>
      </c>
      <c r="AN303" s="58">
        <v>1100</v>
      </c>
      <c r="AO303" s="52" t="s">
        <v>962</v>
      </c>
      <c r="AP303" s="59">
        <f>IFERROR(VLOOKUP($A303,[2]Mssp!$A$5:$BE$1463,AP$4+1,0),0)</f>
        <v>0</v>
      </c>
      <c r="AQ303" s="59">
        <f>IFERROR(VLOOKUP($A303,[2]Mssp!$A$5:$BE$1463,AQ$4+1,0),0)</f>
        <v>0</v>
      </c>
      <c r="AR303" s="59">
        <f>IFERROR(VLOOKUP($A303,[2]Mssp!$A$5:$BE$1463,AR$4+1,0),0)</f>
        <v>0</v>
      </c>
      <c r="AS303" s="59">
        <f>IFERROR(VLOOKUP($A303,[2]Mssp!$A$5:$BE$1463,AS$4+1,0),0)</f>
        <v>0</v>
      </c>
      <c r="AT303" s="59">
        <f>IFERROR(VLOOKUP($A303,[2]Mssp!$A$5:$BE$1463,AT$4+1,0),0)</f>
        <v>0</v>
      </c>
      <c r="AU303" s="59">
        <f>IFERROR(VLOOKUP($A303,[2]Mssp!$A$5:$BE$1463,AU$4+1,0),0)</f>
        <v>0</v>
      </c>
      <c r="AV303" s="59">
        <f>IFERROR(VLOOKUP($A303,[2]Mssp!$A$5:$BE$1463,AV$4+1,0),0)</f>
        <v>0</v>
      </c>
      <c r="AW303" s="59">
        <f>IFERROR(VLOOKUP($A303,[2]Mssp!$A$5:$BE$1463,AW$4+1,0),0)</f>
        <v>0</v>
      </c>
      <c r="AX303" s="59">
        <f>IFERROR(VLOOKUP($A303,[2]Mssp!$A$5:$BE$1463,AX$4+1,0),0)</f>
        <v>0</v>
      </c>
      <c r="AY303" s="59">
        <f>IFERROR(VLOOKUP($A303,[2]Mssp!$A$5:$BE$1463,AY$4+2,0),0)</f>
        <v>0</v>
      </c>
      <c r="AZ303" s="59">
        <f>IFERROR(VLOOKUP($A303,[2]Mssp!$A$5:$BE$1463,AZ$4+2,0),0)</f>
        <v>0</v>
      </c>
      <c r="BA303" s="60" t="s">
        <v>106</v>
      </c>
      <c r="BB303" s="61" t="s">
        <v>107</v>
      </c>
      <c r="BC303" s="62"/>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c r="CK303" s="9"/>
      <c r="CL303" s="9"/>
      <c r="CM303" s="9"/>
      <c r="CN303" s="9"/>
      <c r="CO303" s="9"/>
      <c r="CP303" s="9"/>
    </row>
    <row r="304" spans="1:94" ht="45" x14ac:dyDescent="0.25">
      <c r="A304" s="50" t="s">
        <v>1066</v>
      </c>
      <c r="B304" s="52" t="s">
        <v>1067</v>
      </c>
      <c r="C304" s="50">
        <f t="shared" si="10"/>
        <v>1.6</v>
      </c>
      <c r="D304" s="58">
        <v>1</v>
      </c>
      <c r="E304" s="58" t="s">
        <v>1068</v>
      </c>
      <c r="F304" s="58">
        <v>3</v>
      </c>
      <c r="G304" s="50" t="s">
        <v>530</v>
      </c>
      <c r="H304" s="50">
        <f>VLOOKUP($A304,'[1]ma sp 02'!$A$5:$BD$1101,H$1,0)</f>
        <v>0</v>
      </c>
      <c r="I304" s="50">
        <f>VLOOKUP($A304,'[1]ma sp 02'!$A$5:$BD$1101,I$1,0)</f>
        <v>0.5</v>
      </c>
      <c r="J304" s="50">
        <f>VLOOKUP($A304,'[1]ma sp 02'!$A$5:$BD$1101,J$1,0)</f>
        <v>0</v>
      </c>
      <c r="K304" s="50">
        <f>VLOOKUP($A304,'[1]ma sp 02'!$A$5:$BD$1101,K$1,0)</f>
        <v>0</v>
      </c>
      <c r="L304" s="50">
        <f>VLOOKUP($A304,'[1]ma sp 02'!$A$5:$BD$1101,L$1,0)</f>
        <v>0.7</v>
      </c>
      <c r="M304" s="50">
        <f>VLOOKUP($A304,'[1]ma sp 02'!$A$5:$BD$1101,M$1,0)</f>
        <v>0</v>
      </c>
      <c r="N304" s="50">
        <f>VLOOKUP($A304,'[1]ma sp 02'!$A$5:$BD$1101,N$1,0)</f>
        <v>0</v>
      </c>
      <c r="O304" s="50">
        <f>VLOOKUP($A304,'[1]ma sp 02'!$A$5:$BD$1101,O$1,0)</f>
        <v>0</v>
      </c>
      <c r="P304" s="50">
        <f>VLOOKUP($A304,'[1]ma sp 02'!$A$5:$BD$1101,P$1,0)</f>
        <v>0.4</v>
      </c>
      <c r="Q304" s="50">
        <f>VLOOKUP($A304,'[1]ma sp 02'!$A$5:$BD$1101,Q$1,0)</f>
        <v>0</v>
      </c>
      <c r="R304" s="50">
        <f>VLOOKUP($A304,'[1]ma sp 02'!$A$5:$BD$1101,R$1,0)</f>
        <v>0</v>
      </c>
      <c r="S304" s="50">
        <f>VLOOKUP($A304,'[1]ma sp 02'!$A$5:$BD$1101,S$1,0)</f>
        <v>0</v>
      </c>
      <c r="T304" s="50">
        <f>VLOOKUP($A304,'[1]ma sp 02'!$A$5:$BD$1101,T$1,0)</f>
        <v>0</v>
      </c>
      <c r="U304" s="50">
        <f>VLOOKUP($A304,'[1]ma sp 02'!$A$5:$BD$1101,U$1,0)</f>
        <v>0</v>
      </c>
      <c r="V304" s="50">
        <f>VLOOKUP($A304,'[1]ma sp 02'!$A$5:$BD$1101,V$1,0)</f>
        <v>0</v>
      </c>
      <c r="W304" s="50">
        <f>VLOOKUP($A304,'[1]ma sp 02'!$A$5:$BD$1101,W$1,0)</f>
        <v>0</v>
      </c>
      <c r="X304" s="50">
        <f t="shared" si="9"/>
        <v>3</v>
      </c>
      <c r="Y304" s="57"/>
      <c r="Z304" s="57"/>
      <c r="AA304" s="57"/>
      <c r="AB304" s="57"/>
      <c r="AC304" s="57"/>
      <c r="AD304" s="57"/>
      <c r="AE304" s="58" t="s">
        <v>594</v>
      </c>
      <c r="AF304" s="57"/>
      <c r="AG304" s="71">
        <f>(0.015*1.15+0.075*0.925)*0.64</f>
        <v>5.5440000000000003E-2</v>
      </c>
      <c r="AH304" s="63">
        <f>(2/0.75/2)*0.63</f>
        <v>0.84</v>
      </c>
      <c r="AI304" s="63"/>
      <c r="AJ304" s="58">
        <v>9530</v>
      </c>
      <c r="AK304" s="57"/>
      <c r="AL304" s="58">
        <v>2E-3</v>
      </c>
      <c r="AM304" s="52" t="s">
        <v>74</v>
      </c>
      <c r="AN304" s="58">
        <v>220</v>
      </c>
      <c r="AO304" s="52" t="s">
        <v>1069</v>
      </c>
      <c r="AP304" s="59" t="str">
        <f>IFERROR(VLOOKUP($A304,[2]Mssp!$A$5:$BE$1463,AP$4+1,0),0)</f>
        <v>1710415-1</v>
      </c>
      <c r="AQ304" s="59" t="str">
        <f>IFERROR(VLOOKUP($A304,[2]Mssp!$A$5:$BE$1463,AQ$4+1,0),0)</f>
        <v>1710415-2</v>
      </c>
      <c r="AR304" s="59" t="str">
        <f>IFERROR(VLOOKUP($A304,[2]Mssp!$A$5:$BE$1463,AR$4+1,0),0)</f>
        <v>1710415-3</v>
      </c>
      <c r="AS304" s="59">
        <f>IFERROR(VLOOKUP($A304,[2]Mssp!$A$5:$BE$1463,AS$4+1,0),0)</f>
        <v>0</v>
      </c>
      <c r="AT304" s="59">
        <f>IFERROR(VLOOKUP($A304,[2]Mssp!$A$5:$BE$1463,AT$4+1,0),0)</f>
        <v>0</v>
      </c>
      <c r="AU304" s="59">
        <f>IFERROR(VLOOKUP($A304,[2]Mssp!$A$5:$BE$1463,AU$4+1,0),0)</f>
        <v>0</v>
      </c>
      <c r="AV304" s="59">
        <f>IFERROR(VLOOKUP($A304,[2]Mssp!$A$5:$BE$1463,AV$4+1,0),0)</f>
        <v>0</v>
      </c>
      <c r="AW304" s="59">
        <f>IFERROR(VLOOKUP($A304,[2]Mssp!$A$5:$BE$1463,AW$4+1,0),0)</f>
        <v>0</v>
      </c>
      <c r="AX304" s="59">
        <f>IFERROR(VLOOKUP($A304,[2]Mssp!$A$5:$BE$1463,AX$4+1,0),0)</f>
        <v>0</v>
      </c>
      <c r="AY304" s="59" t="str">
        <f>IFERROR(VLOOKUP($A304,[2]Mssp!$A$5:$BE$1463,AY$4+2,0),0)</f>
        <v>440x750</v>
      </c>
      <c r="AZ304" s="59" t="str">
        <f>IFERROR(VLOOKUP($A304,[2]Mssp!$A$5:$BE$1463,AZ$4+2,0),0)</f>
        <v>P1</v>
      </c>
      <c r="BA304" s="60">
        <v>3000</v>
      </c>
      <c r="BB304" s="61" t="s">
        <v>62</v>
      </c>
      <c r="BC304" s="62"/>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9"/>
      <c r="CK304" s="9"/>
      <c r="CL304" s="9"/>
      <c r="CM304" s="9"/>
      <c r="CN304" s="9"/>
      <c r="CO304" s="9"/>
      <c r="CP304" s="9"/>
    </row>
    <row r="305" spans="1:94" ht="45" x14ac:dyDescent="0.25">
      <c r="A305" s="50" t="s">
        <v>1070</v>
      </c>
      <c r="B305" s="52" t="s">
        <v>1071</v>
      </c>
      <c r="C305" s="50">
        <f t="shared" si="10"/>
        <v>6.8299999999999992</v>
      </c>
      <c r="D305" s="58">
        <v>4</v>
      </c>
      <c r="E305" s="58" t="s">
        <v>90</v>
      </c>
      <c r="F305" s="58">
        <v>8</v>
      </c>
      <c r="G305" s="50" t="s">
        <v>184</v>
      </c>
      <c r="H305" s="50">
        <f>VLOOKUP($A305,'[1]ma sp 02'!$A$5:$BD$1101,H$1,0)</f>
        <v>0.28000000000000003</v>
      </c>
      <c r="I305" s="50">
        <f>VLOOKUP($A305,'[1]ma sp 02'!$A$5:$BD$1101,I$1,0)</f>
        <v>3.73</v>
      </c>
      <c r="J305" s="50">
        <f>VLOOKUP($A305,'[1]ma sp 02'!$A$5:$BD$1101,J$1,0)</f>
        <v>0.01</v>
      </c>
      <c r="K305" s="50">
        <f>VLOOKUP($A305,'[1]ma sp 02'!$A$5:$BD$1101,K$1,0)</f>
        <v>0.17</v>
      </c>
      <c r="L305" s="50">
        <f>VLOOKUP($A305,'[1]ma sp 02'!$A$5:$BD$1101,L$1,0)</f>
        <v>1.07</v>
      </c>
      <c r="M305" s="50">
        <f>VLOOKUP($A305,'[1]ma sp 02'!$A$5:$BD$1101,M$1,0)</f>
        <v>0.97</v>
      </c>
      <c r="N305" s="50">
        <f>VLOOKUP($A305,'[1]ma sp 02'!$A$5:$BD$1101,N$1,0)</f>
        <v>0</v>
      </c>
      <c r="O305" s="50">
        <f>VLOOKUP($A305,'[1]ma sp 02'!$A$5:$BD$1101,O$1,0)</f>
        <v>0.04</v>
      </c>
      <c r="P305" s="50">
        <f>VLOOKUP($A305,'[1]ma sp 02'!$A$5:$BD$1101,P$1,0)</f>
        <v>0.1</v>
      </c>
      <c r="Q305" s="50">
        <f>VLOOKUP($A305,'[1]ma sp 02'!$A$5:$BD$1101,Q$1,0)</f>
        <v>0.46</v>
      </c>
      <c r="R305" s="50">
        <f>VLOOKUP($A305,'[1]ma sp 02'!$A$5:$BD$1101,R$1,0)</f>
        <v>0</v>
      </c>
      <c r="S305" s="50">
        <f>VLOOKUP($A305,'[1]ma sp 02'!$A$5:$BD$1101,S$1,0)</f>
        <v>0</v>
      </c>
      <c r="T305" s="50">
        <f>VLOOKUP($A305,'[1]ma sp 02'!$A$5:$BD$1101,T$1,0)</f>
        <v>0</v>
      </c>
      <c r="U305" s="50">
        <f>VLOOKUP($A305,'[1]ma sp 02'!$A$5:$BD$1101,U$1,0)</f>
        <v>0</v>
      </c>
      <c r="V305" s="50">
        <f>VLOOKUP($A305,'[1]ma sp 02'!$A$5:$BD$1101,V$1,0)</f>
        <v>0</v>
      </c>
      <c r="W305" s="50">
        <f>VLOOKUP($A305,'[1]ma sp 02'!$A$5:$BD$1101,W$1,0)</f>
        <v>0</v>
      </c>
      <c r="X305" s="50">
        <f t="shared" si="9"/>
        <v>9</v>
      </c>
      <c r="Y305" s="57"/>
      <c r="Z305" s="57"/>
      <c r="AA305" s="57"/>
      <c r="AB305" s="57"/>
      <c r="AC305" s="57"/>
      <c r="AD305" s="57"/>
      <c r="AE305" s="58" t="s">
        <v>91</v>
      </c>
      <c r="AF305" s="57"/>
      <c r="AG305" s="71">
        <f>(0.02*0.91+0.025*0.7)*0.68</f>
        <v>2.4275999999999999E-2</v>
      </c>
      <c r="AH305" s="63">
        <f>(2.3/0.75/2)*0.69</f>
        <v>1.0579999999999998</v>
      </c>
      <c r="AI305" s="63"/>
      <c r="AJ305" s="58">
        <v>9530</v>
      </c>
      <c r="AK305" s="57"/>
      <c r="AL305" s="58">
        <v>2.3E-3</v>
      </c>
      <c r="AM305" s="52" t="s">
        <v>142</v>
      </c>
      <c r="AN305" s="58">
        <v>170</v>
      </c>
      <c r="AO305" s="52" t="s">
        <v>61</v>
      </c>
      <c r="AP305" s="59" t="str">
        <f>IFERROR(VLOOKUP($A305,[2]Mssp!$A$5:$BE$1463,AP$4+1,0),0)</f>
        <v>F119027G2-1</v>
      </c>
      <c r="AQ305" s="59" t="str">
        <f>IFERROR(VLOOKUP($A305,[2]Mssp!$A$5:$BE$1463,AQ$4+1,0),0)</f>
        <v>F119025 -2</v>
      </c>
      <c r="AR305" s="59" t="str">
        <f>IFERROR(VLOOKUP($A305,[2]Mssp!$A$5:$BE$1463,AR$4+1,0),0)</f>
        <v>F119025 -3</v>
      </c>
      <c r="AS305" s="59" t="str">
        <f>IFERROR(VLOOKUP($A305,[2]Mssp!$A$5:$BE$1463,AS$4+1,0),0)</f>
        <v>F119025G3-4</v>
      </c>
      <c r="AT305" s="59" t="str">
        <f>IFERROR(VLOOKUP($A305,[2]Mssp!$A$5:$BE$1463,AT$4+1,0),0)</f>
        <v>F119027-5</v>
      </c>
      <c r="AU305" s="59" t="str">
        <f>IFERROR(VLOOKUP($A305,[2]Mssp!$A$5:$BE$1463,AU$4+1,0),0)</f>
        <v>F119027-6</v>
      </c>
      <c r="AV305" s="59" t="str">
        <f>IFERROR(VLOOKUP($A305,[2]Mssp!$A$5:$BE$1463,AV$4+1,0),0)</f>
        <v>F119027G1NG1-7</v>
      </c>
      <c r="AW305" s="59" t="str">
        <f>IFERROR(VLOOKUP($A305,[2]Mssp!$A$5:$BE$1463,AW$4+1,0),0)</f>
        <v>F119025 -8</v>
      </c>
      <c r="AX305" s="59">
        <f>IFERROR(VLOOKUP($A305,[2]Mssp!$A$5:$BE$1463,AX$4+1,0),0)</f>
        <v>0</v>
      </c>
      <c r="AY305" s="59" t="str">
        <f>IFERROR(VLOOKUP($A305,[2]Mssp!$A$5:$BE$1463,AY$4+2,0),0)</f>
        <v>500x850</v>
      </c>
      <c r="AZ305" s="59" t="str">
        <f>IFERROR(VLOOKUP($A305,[2]Mssp!$A$5:$BE$1463,AZ$4+2,0),0)</f>
        <v>C1</v>
      </c>
      <c r="BA305" s="60" t="s">
        <v>144</v>
      </c>
      <c r="BB305" s="61" t="s">
        <v>341</v>
      </c>
      <c r="BC305" s="62"/>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c r="CK305" s="9"/>
      <c r="CL305" s="9"/>
      <c r="CM305" s="9"/>
      <c r="CN305" s="9"/>
      <c r="CO305" s="9"/>
      <c r="CP305" s="9"/>
    </row>
    <row r="306" spans="1:94" ht="45" x14ac:dyDescent="0.25">
      <c r="A306" s="50" t="s">
        <v>1072</v>
      </c>
      <c r="B306" s="52" t="s">
        <v>1073</v>
      </c>
      <c r="C306" s="50">
        <f t="shared" si="10"/>
        <v>6.78</v>
      </c>
      <c r="D306" s="58">
        <v>4</v>
      </c>
      <c r="E306" s="58" t="s">
        <v>90</v>
      </c>
      <c r="F306" s="58">
        <v>8</v>
      </c>
      <c r="G306" s="50" t="s">
        <v>184</v>
      </c>
      <c r="H306" s="50">
        <f>VLOOKUP($A306,'[1]ma sp 02'!$A$5:$BD$1101,H$1,0)</f>
        <v>0.27</v>
      </c>
      <c r="I306" s="50">
        <f>VLOOKUP($A306,'[1]ma sp 02'!$A$5:$BD$1101,I$1,0)</f>
        <v>3.48</v>
      </c>
      <c r="J306" s="50">
        <f>VLOOKUP($A306,'[1]ma sp 02'!$A$5:$BD$1101,J$1,0)</f>
        <v>0</v>
      </c>
      <c r="K306" s="50">
        <f>VLOOKUP($A306,'[1]ma sp 02'!$A$5:$BD$1101,K$1,0)</f>
        <v>0.17</v>
      </c>
      <c r="L306" s="50">
        <f>VLOOKUP($A306,'[1]ma sp 02'!$A$5:$BD$1101,L$1,0)</f>
        <v>1.1200000000000001</v>
      </c>
      <c r="M306" s="50">
        <f>VLOOKUP($A306,'[1]ma sp 02'!$A$5:$BD$1101,M$1,0)</f>
        <v>0.97</v>
      </c>
      <c r="N306" s="50">
        <f>VLOOKUP($A306,'[1]ma sp 02'!$A$5:$BD$1101,N$1,0)</f>
        <v>0</v>
      </c>
      <c r="O306" s="50">
        <f>VLOOKUP($A306,'[1]ma sp 02'!$A$5:$BD$1101,O$1,0)</f>
        <v>0.03</v>
      </c>
      <c r="P306" s="50">
        <f>VLOOKUP($A306,'[1]ma sp 02'!$A$5:$BD$1101,P$1,0)</f>
        <v>0.46</v>
      </c>
      <c r="Q306" s="50">
        <f>VLOOKUP($A306,'[1]ma sp 02'!$A$5:$BD$1101,Q$1,0)</f>
        <v>0.28000000000000003</v>
      </c>
      <c r="R306" s="50">
        <f>VLOOKUP($A306,'[1]ma sp 02'!$A$5:$BD$1101,R$1,0)</f>
        <v>0</v>
      </c>
      <c r="S306" s="50">
        <f>VLOOKUP($A306,'[1]ma sp 02'!$A$5:$BD$1101,S$1,0)</f>
        <v>0</v>
      </c>
      <c r="T306" s="50">
        <f>VLOOKUP($A306,'[1]ma sp 02'!$A$5:$BD$1101,T$1,0)</f>
        <v>0</v>
      </c>
      <c r="U306" s="50">
        <f>VLOOKUP($A306,'[1]ma sp 02'!$A$5:$BD$1101,U$1,0)</f>
        <v>0</v>
      </c>
      <c r="V306" s="50">
        <f>VLOOKUP($A306,'[1]ma sp 02'!$A$5:$BD$1101,V$1,0)</f>
        <v>0</v>
      </c>
      <c r="W306" s="50">
        <f>VLOOKUP($A306,'[1]ma sp 02'!$A$5:$BD$1101,W$1,0)</f>
        <v>0</v>
      </c>
      <c r="X306" s="50">
        <f t="shared" si="9"/>
        <v>8</v>
      </c>
      <c r="Y306" s="57"/>
      <c r="Z306" s="57"/>
      <c r="AA306" s="57"/>
      <c r="AB306" s="57"/>
      <c r="AC306" s="57"/>
      <c r="AD306" s="57"/>
      <c r="AE306" s="58" t="s">
        <v>91</v>
      </c>
      <c r="AF306" s="57"/>
      <c r="AG306" s="71">
        <f>(0.02*0.91+0.025*0.7)*0.68</f>
        <v>2.4275999999999999E-2</v>
      </c>
      <c r="AH306" s="63">
        <f>(2.3/0.75/2)*0.69</f>
        <v>1.0579999999999998</v>
      </c>
      <c r="AI306" s="63"/>
      <c r="AJ306" s="58">
        <v>9530</v>
      </c>
      <c r="AK306" s="57"/>
      <c r="AL306" s="58">
        <v>2.3E-3</v>
      </c>
      <c r="AM306" s="52" t="s">
        <v>142</v>
      </c>
      <c r="AN306" s="58">
        <v>170</v>
      </c>
      <c r="AO306" s="52" t="s">
        <v>61</v>
      </c>
      <c r="AP306" s="59" t="str">
        <f>IFERROR(VLOOKUP($A306,[2]Mssp!$A$5:$BE$1463,AP$4+1,0),0)</f>
        <v>F119025 -1</v>
      </c>
      <c r="AQ306" s="59" t="str">
        <f>IFERROR(VLOOKUP($A306,[2]Mssp!$A$5:$BE$1463,AQ$4+1,0),0)</f>
        <v>F119025 -2</v>
      </c>
      <c r="AR306" s="59" t="str">
        <f>IFERROR(VLOOKUP($A306,[2]Mssp!$A$5:$BE$1463,AR$4+1,0),0)</f>
        <v>F119025 -3</v>
      </c>
      <c r="AS306" s="59" t="str">
        <f>IFERROR(VLOOKUP($A306,[2]Mssp!$A$5:$BE$1463,AS$4+1,0),0)</f>
        <v>F119025G3NG1-4</v>
      </c>
      <c r="AT306" s="59" t="str">
        <f>IFERROR(VLOOKUP($A306,[2]Mssp!$A$5:$BE$1463,AT$4+1,0),0)</f>
        <v>F119025 -5</v>
      </c>
      <c r="AU306" s="59" t="str">
        <f>IFERROR(VLOOKUP($A306,[2]Mssp!$A$5:$BE$1463,AU$4+1,0),0)</f>
        <v>F119025-6</v>
      </c>
      <c r="AV306" s="59" t="str">
        <f>IFERROR(VLOOKUP($A306,[2]Mssp!$A$5:$BE$1463,AV$4+1,0),0)</f>
        <v>F119025 -7</v>
      </c>
      <c r="AW306" s="59" t="str">
        <f>IFERROR(VLOOKUP($A306,[2]Mssp!$A$5:$BE$1463,AW$4+1,0),0)</f>
        <v>F119025 -8</v>
      </c>
      <c r="AX306" s="59">
        <f>IFERROR(VLOOKUP($A306,[2]Mssp!$A$5:$BE$1463,AX$4+1,0),0)</f>
        <v>0</v>
      </c>
      <c r="AY306" s="59">
        <f>IFERROR(VLOOKUP($A306,[2]Mssp!$A$5:$BE$1463,AY$4+2,0),0)</f>
        <v>0</v>
      </c>
      <c r="AZ306" s="59" t="str">
        <f>IFERROR(VLOOKUP($A306,[2]Mssp!$A$5:$BE$1463,AZ$4+2,0),0)</f>
        <v>C2</v>
      </c>
      <c r="BA306" s="60" t="s">
        <v>144</v>
      </c>
      <c r="BB306" s="61" t="s">
        <v>341</v>
      </c>
      <c r="BC306" s="62"/>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9"/>
      <c r="CK306" s="9"/>
      <c r="CL306" s="9"/>
      <c r="CM306" s="9"/>
      <c r="CN306" s="9"/>
      <c r="CO306" s="9"/>
      <c r="CP306" s="9"/>
    </row>
    <row r="307" spans="1:94" ht="45" x14ac:dyDescent="0.25">
      <c r="A307" s="50" t="s">
        <v>1074</v>
      </c>
      <c r="B307" s="73" t="s">
        <v>1075</v>
      </c>
      <c r="C307" s="50">
        <f t="shared" si="10"/>
        <v>6.4</v>
      </c>
      <c r="D307" s="58">
        <v>2</v>
      </c>
      <c r="E307" s="58" t="s">
        <v>437</v>
      </c>
      <c r="F307" s="58">
        <v>6</v>
      </c>
      <c r="G307" s="50" t="s">
        <v>530</v>
      </c>
      <c r="H307" s="50">
        <f>VLOOKUP($A307,'[1]ma sp 02'!$A$5:$BD$1101,H$1,0)</f>
        <v>0.1</v>
      </c>
      <c r="I307" s="50">
        <f>VLOOKUP($A307,'[1]ma sp 02'!$A$5:$BD$1101,I$1,0)</f>
        <v>2.6</v>
      </c>
      <c r="J307" s="50">
        <f>VLOOKUP($A307,'[1]ma sp 02'!$A$5:$BD$1101,J$1,0)</f>
        <v>0.4</v>
      </c>
      <c r="K307" s="50">
        <f>VLOOKUP($A307,'[1]ma sp 02'!$A$5:$BD$1101,K$1,0)</f>
        <v>1.3</v>
      </c>
      <c r="L307" s="50">
        <f>VLOOKUP($A307,'[1]ma sp 02'!$A$5:$BD$1101,L$1,0)</f>
        <v>0.7</v>
      </c>
      <c r="M307" s="50">
        <f>VLOOKUP($A307,'[1]ma sp 02'!$A$5:$BD$1101,M$1,0)</f>
        <v>0</v>
      </c>
      <c r="N307" s="50">
        <f>VLOOKUP($A307,'[1]ma sp 02'!$A$5:$BD$1101,N$1,0)</f>
        <v>0</v>
      </c>
      <c r="O307" s="50">
        <f>VLOOKUP($A307,'[1]ma sp 02'!$A$5:$BD$1101,O$1,0)</f>
        <v>0</v>
      </c>
      <c r="P307" s="50">
        <f>VLOOKUP($A307,'[1]ma sp 02'!$A$5:$BD$1101,P$1,0)</f>
        <v>1.2</v>
      </c>
      <c r="Q307" s="50">
        <f>VLOOKUP($A307,'[1]ma sp 02'!$A$5:$BD$1101,Q$1,0)</f>
        <v>0</v>
      </c>
      <c r="R307" s="50">
        <f>VLOOKUP($A307,'[1]ma sp 02'!$A$5:$BD$1101,R$1,0)</f>
        <v>0.1</v>
      </c>
      <c r="S307" s="50">
        <f>VLOOKUP($A307,'[1]ma sp 02'!$A$5:$BD$1101,S$1,0)</f>
        <v>0</v>
      </c>
      <c r="T307" s="50">
        <f>VLOOKUP($A307,'[1]ma sp 02'!$A$5:$BD$1101,T$1,0)</f>
        <v>0</v>
      </c>
      <c r="U307" s="50">
        <f>VLOOKUP($A307,'[1]ma sp 02'!$A$5:$BD$1101,U$1,0)</f>
        <v>0</v>
      </c>
      <c r="V307" s="50">
        <f>VLOOKUP($A307,'[1]ma sp 02'!$A$5:$BD$1101,V$1,0)</f>
        <v>0</v>
      </c>
      <c r="W307" s="50">
        <f>VLOOKUP($A307,'[1]ma sp 02'!$A$5:$BD$1101,W$1,0)</f>
        <v>0</v>
      </c>
      <c r="X307" s="50">
        <f t="shared" si="9"/>
        <v>7</v>
      </c>
      <c r="Y307" s="57"/>
      <c r="Z307" s="57"/>
      <c r="AA307" s="57"/>
      <c r="AB307" s="57"/>
      <c r="AC307" s="57"/>
      <c r="AD307" s="57"/>
      <c r="AE307" s="58" t="s">
        <v>1076</v>
      </c>
      <c r="AF307" s="57"/>
      <c r="AG307" s="71">
        <f>(0.012*1.4+0.06*0.925)*0.68</f>
        <v>4.9164000000000006E-2</v>
      </c>
      <c r="AH307" s="63">
        <f>(3/0.75/2)*0.67</f>
        <v>1.34</v>
      </c>
      <c r="AI307" s="63"/>
      <c r="AJ307" s="58">
        <v>9530</v>
      </c>
      <c r="AK307" s="57"/>
      <c r="AL307" s="58">
        <v>3.0000000000000001E-3</v>
      </c>
      <c r="AM307" s="52" t="s">
        <v>142</v>
      </c>
      <c r="AN307" s="58">
        <v>330</v>
      </c>
      <c r="AO307" s="52" t="s">
        <v>1077</v>
      </c>
      <c r="AP307" s="59" t="str">
        <f>IFERROR(VLOOKUP($A307,[2]Mssp!$A$5:$BE$1463,AP$4+1,0),0)</f>
        <v>1710303-1</v>
      </c>
      <c r="AQ307" s="59" t="str">
        <f>IFERROR(VLOOKUP($A307,[2]Mssp!$A$5:$BE$1463,AQ$4+1,0),0)</f>
        <v>20081310-2</v>
      </c>
      <c r="AR307" s="59" t="str">
        <f>IFERROR(VLOOKUP($A307,[2]Mssp!$A$5:$BE$1463,AR$4+1,0),0)</f>
        <v>20081310-3</v>
      </c>
      <c r="AS307" s="59" t="str">
        <f>IFERROR(VLOOKUP($A307,[2]Mssp!$A$5:$BE$1463,AS$4+1,0),0)</f>
        <v>1710303-4</v>
      </c>
      <c r="AT307" s="59" t="str">
        <f>IFERROR(VLOOKUP($A307,[2]Mssp!$A$5:$BE$1463,AT$4+1,0),0)</f>
        <v>1710303-5</v>
      </c>
      <c r="AU307" s="59" t="str">
        <f>IFERROR(VLOOKUP($A307,[2]Mssp!$A$5:$BE$1463,AU$4+1,0),0)</f>
        <v>1710303-6</v>
      </c>
      <c r="AV307" s="59">
        <f>IFERROR(VLOOKUP($A307,[2]Mssp!$A$5:$BE$1463,AV$4+1,0),0)</f>
        <v>0</v>
      </c>
      <c r="AW307" s="59">
        <f>IFERROR(VLOOKUP($A307,[2]Mssp!$A$5:$BE$1463,AW$4+1,0),0)</f>
        <v>0</v>
      </c>
      <c r="AX307" s="59">
        <f>IFERROR(VLOOKUP($A307,[2]Mssp!$A$5:$BE$1463,AX$4+1,0),0)</f>
        <v>0</v>
      </c>
      <c r="AY307" s="59" t="str">
        <f>IFERROR(VLOOKUP($A307,[2]Mssp!$A$5:$BE$1463,AY$4+2,0),0)</f>
        <v>430x750</v>
      </c>
      <c r="AZ307" s="59" t="str">
        <f>IFERROR(VLOOKUP($A307,[2]Mssp!$A$5:$BE$1463,AZ$4+2,0),0)</f>
        <v>U1</v>
      </c>
      <c r="BA307" s="60" t="s">
        <v>106</v>
      </c>
      <c r="BB307" s="61" t="s">
        <v>107</v>
      </c>
      <c r="BC307" s="62"/>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c r="CK307" s="9"/>
      <c r="CL307" s="9"/>
      <c r="CM307" s="9"/>
      <c r="CN307" s="9"/>
      <c r="CO307" s="9"/>
      <c r="CP307" s="9"/>
    </row>
    <row r="308" spans="1:94" ht="45" x14ac:dyDescent="0.25">
      <c r="A308" s="50" t="s">
        <v>1078</v>
      </c>
      <c r="B308" s="73" t="s">
        <v>1079</v>
      </c>
      <c r="C308" s="50">
        <f t="shared" si="10"/>
        <v>0</v>
      </c>
      <c r="D308" s="58">
        <v>2</v>
      </c>
      <c r="E308" s="58" t="s">
        <v>1080</v>
      </c>
      <c r="F308" s="58">
        <v>0</v>
      </c>
      <c r="G308" s="50" t="s">
        <v>1010</v>
      </c>
      <c r="H308" s="50">
        <f>VLOOKUP($A308,'[1]ma sp 02'!$A$5:$BD$1101,H$1,0)</f>
        <v>0</v>
      </c>
      <c r="I308" s="50">
        <f>VLOOKUP($A308,'[1]ma sp 02'!$A$5:$BD$1101,I$1,0)</f>
        <v>0</v>
      </c>
      <c r="J308" s="50">
        <f>VLOOKUP($A308,'[1]ma sp 02'!$A$5:$BD$1101,J$1,0)</f>
        <v>0</v>
      </c>
      <c r="K308" s="50">
        <f>VLOOKUP($A308,'[1]ma sp 02'!$A$5:$BD$1101,K$1,0)</f>
        <v>0</v>
      </c>
      <c r="L308" s="50">
        <f>VLOOKUP($A308,'[1]ma sp 02'!$A$5:$BD$1101,L$1,0)</f>
        <v>0</v>
      </c>
      <c r="M308" s="50">
        <f>VLOOKUP($A308,'[1]ma sp 02'!$A$5:$BD$1101,M$1,0)</f>
        <v>0</v>
      </c>
      <c r="N308" s="50">
        <f>VLOOKUP($A308,'[1]ma sp 02'!$A$5:$BD$1101,N$1,0)</f>
        <v>0</v>
      </c>
      <c r="O308" s="50">
        <f>VLOOKUP($A308,'[1]ma sp 02'!$A$5:$BD$1101,O$1,0)</f>
        <v>0</v>
      </c>
      <c r="P308" s="50">
        <f>VLOOKUP($A308,'[1]ma sp 02'!$A$5:$BD$1101,P$1,0)</f>
        <v>0</v>
      </c>
      <c r="Q308" s="50">
        <f>VLOOKUP($A308,'[1]ma sp 02'!$A$5:$BD$1101,Q$1,0)</f>
        <v>0</v>
      </c>
      <c r="R308" s="50">
        <f>VLOOKUP($A308,'[1]ma sp 02'!$A$5:$BD$1101,R$1,0)</f>
        <v>0</v>
      </c>
      <c r="S308" s="50">
        <f>VLOOKUP($A308,'[1]ma sp 02'!$A$5:$BD$1101,S$1,0)</f>
        <v>0</v>
      </c>
      <c r="T308" s="50">
        <f>VLOOKUP($A308,'[1]ma sp 02'!$A$5:$BD$1101,T$1,0)</f>
        <v>0</v>
      </c>
      <c r="U308" s="50">
        <f>VLOOKUP($A308,'[1]ma sp 02'!$A$5:$BD$1101,U$1,0)</f>
        <v>0</v>
      </c>
      <c r="V308" s="50">
        <f>VLOOKUP($A308,'[1]ma sp 02'!$A$5:$BD$1101,V$1,0)</f>
        <v>0</v>
      </c>
      <c r="W308" s="50">
        <f>VLOOKUP($A308,'[1]ma sp 02'!$A$5:$BD$1101,W$1,0)</f>
        <v>0</v>
      </c>
      <c r="X308" s="50">
        <f t="shared" si="9"/>
        <v>0</v>
      </c>
      <c r="Y308" s="57"/>
      <c r="Z308" s="57"/>
      <c r="AA308" s="57"/>
      <c r="AB308" s="57"/>
      <c r="AC308" s="57"/>
      <c r="AD308" s="57"/>
      <c r="AE308" s="58" t="s">
        <v>1081</v>
      </c>
      <c r="AF308" s="57"/>
      <c r="AG308" s="71">
        <f>(0.012*1.4+0.06*0.925)*0.97</f>
        <v>7.0130999999999999E-2</v>
      </c>
      <c r="AH308" s="63">
        <f>(2.3/0.75/2)*0.96</f>
        <v>1.4719999999999998</v>
      </c>
      <c r="AI308" s="63"/>
      <c r="AJ308" s="58">
        <v>9530</v>
      </c>
      <c r="AK308" s="57"/>
      <c r="AL308" s="58">
        <v>2.3E-3</v>
      </c>
      <c r="AM308" s="52" t="s">
        <v>958</v>
      </c>
      <c r="AN308" s="58">
        <v>480</v>
      </c>
      <c r="AO308" s="52" t="s">
        <v>962</v>
      </c>
      <c r="AP308" s="59">
        <f>IFERROR(VLOOKUP($A308,[2]Mssp!$A$5:$BE$1463,AP$4+1,0),0)</f>
        <v>0</v>
      </c>
      <c r="AQ308" s="59">
        <f>IFERROR(VLOOKUP($A308,[2]Mssp!$A$5:$BE$1463,AQ$4+1,0),0)</f>
        <v>0</v>
      </c>
      <c r="AR308" s="59">
        <f>IFERROR(VLOOKUP($A308,[2]Mssp!$A$5:$BE$1463,AR$4+1,0),0)</f>
        <v>0</v>
      </c>
      <c r="AS308" s="59">
        <f>IFERROR(VLOOKUP($A308,[2]Mssp!$A$5:$BE$1463,AS$4+1,0),0)</f>
        <v>0</v>
      </c>
      <c r="AT308" s="59">
        <f>IFERROR(VLOOKUP($A308,[2]Mssp!$A$5:$BE$1463,AT$4+1,0),0)</f>
        <v>0</v>
      </c>
      <c r="AU308" s="59">
        <f>IFERROR(VLOOKUP($A308,[2]Mssp!$A$5:$BE$1463,AU$4+1,0),0)</f>
        <v>0</v>
      </c>
      <c r="AV308" s="59">
        <f>IFERROR(VLOOKUP($A308,[2]Mssp!$A$5:$BE$1463,AV$4+1,0),0)</f>
        <v>0</v>
      </c>
      <c r="AW308" s="59">
        <f>IFERROR(VLOOKUP($A308,[2]Mssp!$A$5:$BE$1463,AW$4+1,0),0)</f>
        <v>0</v>
      </c>
      <c r="AX308" s="59">
        <f>IFERROR(VLOOKUP($A308,[2]Mssp!$A$5:$BE$1463,AX$4+1,0),0)</f>
        <v>0</v>
      </c>
      <c r="AY308" s="59">
        <f>IFERROR(VLOOKUP($A308,[2]Mssp!$A$5:$BE$1463,AY$4+2,0),0)</f>
        <v>0</v>
      </c>
      <c r="AZ308" s="59">
        <f>IFERROR(VLOOKUP($A308,[2]Mssp!$A$5:$BE$1463,AZ$4+2,0),0)</f>
        <v>0</v>
      </c>
      <c r="BA308" s="60" t="s">
        <v>106</v>
      </c>
      <c r="BB308" s="61" t="s">
        <v>107</v>
      </c>
      <c r="BC308" s="62"/>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9"/>
      <c r="CK308" s="9"/>
      <c r="CL308" s="9"/>
      <c r="CM308" s="9"/>
      <c r="CN308" s="9"/>
      <c r="CO308" s="9"/>
      <c r="CP308" s="9"/>
    </row>
    <row r="309" spans="1:94" ht="45" x14ac:dyDescent="0.25">
      <c r="A309" s="50" t="s">
        <v>1082</v>
      </c>
      <c r="B309" s="73" t="s">
        <v>1083</v>
      </c>
      <c r="C309" s="50">
        <f t="shared" si="10"/>
        <v>0</v>
      </c>
      <c r="D309" s="58">
        <v>1</v>
      </c>
      <c r="E309" s="58" t="s">
        <v>1084</v>
      </c>
      <c r="F309" s="58">
        <v>0</v>
      </c>
      <c r="G309" s="50" t="s">
        <v>1010</v>
      </c>
      <c r="H309" s="50">
        <f>VLOOKUP($A309,'[1]ma sp 02'!$A$5:$BD$1101,H$1,0)</f>
        <v>0</v>
      </c>
      <c r="I309" s="50">
        <f>VLOOKUP($A309,'[1]ma sp 02'!$A$5:$BD$1101,I$1,0)</f>
        <v>0</v>
      </c>
      <c r="J309" s="50">
        <f>VLOOKUP($A309,'[1]ma sp 02'!$A$5:$BD$1101,J$1,0)</f>
        <v>0</v>
      </c>
      <c r="K309" s="50">
        <f>VLOOKUP($A309,'[1]ma sp 02'!$A$5:$BD$1101,K$1,0)</f>
        <v>0</v>
      </c>
      <c r="L309" s="50">
        <f>VLOOKUP($A309,'[1]ma sp 02'!$A$5:$BD$1101,L$1,0)</f>
        <v>0</v>
      </c>
      <c r="M309" s="50">
        <f>VLOOKUP($A309,'[1]ma sp 02'!$A$5:$BD$1101,M$1,0)</f>
        <v>0</v>
      </c>
      <c r="N309" s="50">
        <f>VLOOKUP($A309,'[1]ma sp 02'!$A$5:$BD$1101,N$1,0)</f>
        <v>0</v>
      </c>
      <c r="O309" s="50">
        <f>VLOOKUP($A309,'[1]ma sp 02'!$A$5:$BD$1101,O$1,0)</f>
        <v>0</v>
      </c>
      <c r="P309" s="50">
        <f>VLOOKUP($A309,'[1]ma sp 02'!$A$5:$BD$1101,P$1,0)</f>
        <v>0</v>
      </c>
      <c r="Q309" s="50">
        <f>VLOOKUP($A309,'[1]ma sp 02'!$A$5:$BD$1101,Q$1,0)</f>
        <v>0</v>
      </c>
      <c r="R309" s="50">
        <f>VLOOKUP($A309,'[1]ma sp 02'!$A$5:$BD$1101,R$1,0)</f>
        <v>0</v>
      </c>
      <c r="S309" s="50">
        <f>VLOOKUP($A309,'[1]ma sp 02'!$A$5:$BD$1101,S$1,0)</f>
        <v>0</v>
      </c>
      <c r="T309" s="50">
        <f>VLOOKUP($A309,'[1]ma sp 02'!$A$5:$BD$1101,T$1,0)</f>
        <v>0</v>
      </c>
      <c r="U309" s="50">
        <f>VLOOKUP($A309,'[1]ma sp 02'!$A$5:$BD$1101,U$1,0)</f>
        <v>0</v>
      </c>
      <c r="V309" s="50">
        <f>VLOOKUP($A309,'[1]ma sp 02'!$A$5:$BD$1101,V$1,0)</f>
        <v>0</v>
      </c>
      <c r="W309" s="50">
        <f>VLOOKUP($A309,'[1]ma sp 02'!$A$5:$BD$1101,W$1,0)</f>
        <v>0</v>
      </c>
      <c r="X309" s="50">
        <f t="shared" si="9"/>
        <v>0</v>
      </c>
      <c r="Y309" s="57"/>
      <c r="Z309" s="57"/>
      <c r="AA309" s="57"/>
      <c r="AB309" s="57"/>
      <c r="AC309" s="57"/>
      <c r="AD309" s="57"/>
      <c r="AE309" s="58" t="s">
        <v>1085</v>
      </c>
      <c r="AF309" s="57"/>
      <c r="AG309" s="71">
        <f>(0.012*1.4+0.06*0.925)*0.52</f>
        <v>3.7596000000000004E-2</v>
      </c>
      <c r="AH309" s="63">
        <f>(2.3/0.75/2)*0.51</f>
        <v>0.78199999999999992</v>
      </c>
      <c r="AI309" s="63"/>
      <c r="AJ309" s="58">
        <v>9530</v>
      </c>
      <c r="AK309" s="57"/>
      <c r="AL309" s="58">
        <v>2.3E-3</v>
      </c>
      <c r="AM309" s="52" t="s">
        <v>958</v>
      </c>
      <c r="AN309" s="58">
        <v>510</v>
      </c>
      <c r="AO309" s="52" t="s">
        <v>962</v>
      </c>
      <c r="AP309" s="59">
        <f>IFERROR(VLOOKUP($A309,[2]Mssp!$A$5:$BE$1463,AP$4+1,0),0)</f>
        <v>0</v>
      </c>
      <c r="AQ309" s="59">
        <f>IFERROR(VLOOKUP($A309,[2]Mssp!$A$5:$BE$1463,AQ$4+1,0),0)</f>
        <v>0</v>
      </c>
      <c r="AR309" s="59">
        <f>IFERROR(VLOOKUP($A309,[2]Mssp!$A$5:$BE$1463,AR$4+1,0),0)</f>
        <v>0</v>
      </c>
      <c r="AS309" s="59">
        <f>IFERROR(VLOOKUP($A309,[2]Mssp!$A$5:$BE$1463,AS$4+1,0),0)</f>
        <v>0</v>
      </c>
      <c r="AT309" s="59">
        <f>IFERROR(VLOOKUP($A309,[2]Mssp!$A$5:$BE$1463,AT$4+1,0),0)</f>
        <v>0</v>
      </c>
      <c r="AU309" s="59">
        <f>IFERROR(VLOOKUP($A309,[2]Mssp!$A$5:$BE$1463,AU$4+1,0),0)</f>
        <v>0</v>
      </c>
      <c r="AV309" s="59">
        <f>IFERROR(VLOOKUP($A309,[2]Mssp!$A$5:$BE$1463,AV$4+1,0),0)</f>
        <v>0</v>
      </c>
      <c r="AW309" s="59">
        <f>IFERROR(VLOOKUP($A309,[2]Mssp!$A$5:$BE$1463,AW$4+1,0),0)</f>
        <v>0</v>
      </c>
      <c r="AX309" s="59">
        <f>IFERROR(VLOOKUP($A309,[2]Mssp!$A$5:$BE$1463,AX$4+1,0),0)</f>
        <v>0</v>
      </c>
      <c r="AY309" s="59">
        <f>IFERROR(VLOOKUP($A309,[2]Mssp!$A$5:$BE$1463,AY$4+2,0),0)</f>
        <v>0</v>
      </c>
      <c r="AZ309" s="59">
        <f>IFERROR(VLOOKUP($A309,[2]Mssp!$A$5:$BE$1463,AZ$4+2,0),0)</f>
        <v>0</v>
      </c>
      <c r="BA309" s="60" t="s">
        <v>106</v>
      </c>
      <c r="BB309" s="61" t="s">
        <v>107</v>
      </c>
      <c r="BC309" s="62"/>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c r="CK309" s="9"/>
      <c r="CL309" s="9"/>
      <c r="CM309" s="9"/>
      <c r="CN309" s="9"/>
      <c r="CO309" s="9"/>
      <c r="CP309" s="9"/>
    </row>
    <row r="310" spans="1:94" ht="45" x14ac:dyDescent="0.25">
      <c r="A310" s="50" t="s">
        <v>1086</v>
      </c>
      <c r="B310" s="73" t="s">
        <v>1087</v>
      </c>
      <c r="C310" s="50">
        <f t="shared" si="10"/>
        <v>0</v>
      </c>
      <c r="D310" s="58">
        <v>1</v>
      </c>
      <c r="E310" s="58" t="s">
        <v>1088</v>
      </c>
      <c r="F310" s="58">
        <v>0</v>
      </c>
      <c r="G310" s="50" t="s">
        <v>1010</v>
      </c>
      <c r="H310" s="50">
        <f>VLOOKUP($A310,'[1]ma sp 02'!$A$5:$BD$1101,H$1,0)</f>
        <v>0</v>
      </c>
      <c r="I310" s="50">
        <f>VLOOKUP($A310,'[1]ma sp 02'!$A$5:$BD$1101,I$1,0)</f>
        <v>0</v>
      </c>
      <c r="J310" s="50">
        <f>VLOOKUP($A310,'[1]ma sp 02'!$A$5:$BD$1101,J$1,0)</f>
        <v>0</v>
      </c>
      <c r="K310" s="50">
        <f>VLOOKUP($A310,'[1]ma sp 02'!$A$5:$BD$1101,K$1,0)</f>
        <v>0</v>
      </c>
      <c r="L310" s="50">
        <f>VLOOKUP($A310,'[1]ma sp 02'!$A$5:$BD$1101,L$1,0)</f>
        <v>0</v>
      </c>
      <c r="M310" s="50">
        <f>VLOOKUP($A310,'[1]ma sp 02'!$A$5:$BD$1101,M$1,0)</f>
        <v>0</v>
      </c>
      <c r="N310" s="50">
        <f>VLOOKUP($A310,'[1]ma sp 02'!$A$5:$BD$1101,N$1,0)</f>
        <v>0</v>
      </c>
      <c r="O310" s="50">
        <f>VLOOKUP($A310,'[1]ma sp 02'!$A$5:$BD$1101,O$1,0)</f>
        <v>0</v>
      </c>
      <c r="P310" s="50">
        <f>VLOOKUP($A310,'[1]ma sp 02'!$A$5:$BD$1101,P$1,0)</f>
        <v>0</v>
      </c>
      <c r="Q310" s="50">
        <f>VLOOKUP($A310,'[1]ma sp 02'!$A$5:$BD$1101,Q$1,0)</f>
        <v>0</v>
      </c>
      <c r="R310" s="50">
        <f>VLOOKUP($A310,'[1]ma sp 02'!$A$5:$BD$1101,R$1,0)</f>
        <v>0</v>
      </c>
      <c r="S310" s="50">
        <f>VLOOKUP($A310,'[1]ma sp 02'!$A$5:$BD$1101,S$1,0)</f>
        <v>0</v>
      </c>
      <c r="T310" s="50">
        <f>VLOOKUP($A310,'[1]ma sp 02'!$A$5:$BD$1101,T$1,0)</f>
        <v>0</v>
      </c>
      <c r="U310" s="50">
        <f>VLOOKUP($A310,'[1]ma sp 02'!$A$5:$BD$1101,U$1,0)</f>
        <v>0</v>
      </c>
      <c r="V310" s="50">
        <f>VLOOKUP($A310,'[1]ma sp 02'!$A$5:$BD$1101,V$1,0)</f>
        <v>0</v>
      </c>
      <c r="W310" s="50">
        <f>VLOOKUP($A310,'[1]ma sp 02'!$A$5:$BD$1101,W$1,0)</f>
        <v>0</v>
      </c>
      <c r="X310" s="50">
        <f t="shared" si="9"/>
        <v>0</v>
      </c>
      <c r="Y310" s="57"/>
      <c r="Z310" s="57"/>
      <c r="AA310" s="57"/>
      <c r="AB310" s="57"/>
      <c r="AC310" s="57"/>
      <c r="AD310" s="57"/>
      <c r="AE310" s="58" t="s">
        <v>1089</v>
      </c>
      <c r="AF310" s="57"/>
      <c r="AG310" s="71">
        <f>(0.012*1.4+0.06*0.925)*0.95</f>
        <v>6.8684999999999996E-2</v>
      </c>
      <c r="AH310" s="63">
        <f>(2.3/0.75/2)*0.94</f>
        <v>1.4413333333333331</v>
      </c>
      <c r="AI310" s="63"/>
      <c r="AJ310" s="58">
        <v>9530</v>
      </c>
      <c r="AK310" s="57"/>
      <c r="AL310" s="58">
        <v>2.3E-3</v>
      </c>
      <c r="AM310" s="52" t="s">
        <v>958</v>
      </c>
      <c r="AN310" s="58">
        <v>950</v>
      </c>
      <c r="AO310" s="52" t="s">
        <v>962</v>
      </c>
      <c r="AP310" s="59">
        <f>IFERROR(VLOOKUP($A310,[2]Mssp!$A$5:$BE$1463,AP$4+1,0),0)</f>
        <v>0</v>
      </c>
      <c r="AQ310" s="59">
        <f>IFERROR(VLOOKUP($A310,[2]Mssp!$A$5:$BE$1463,AQ$4+1,0),0)</f>
        <v>0</v>
      </c>
      <c r="AR310" s="59">
        <f>IFERROR(VLOOKUP($A310,[2]Mssp!$A$5:$BE$1463,AR$4+1,0),0)</f>
        <v>0</v>
      </c>
      <c r="AS310" s="59">
        <f>IFERROR(VLOOKUP($A310,[2]Mssp!$A$5:$BE$1463,AS$4+1,0),0)</f>
        <v>0</v>
      </c>
      <c r="AT310" s="59">
        <f>IFERROR(VLOOKUP($A310,[2]Mssp!$A$5:$BE$1463,AT$4+1,0),0)</f>
        <v>0</v>
      </c>
      <c r="AU310" s="59">
        <f>IFERROR(VLOOKUP($A310,[2]Mssp!$A$5:$BE$1463,AU$4+1,0),0)</f>
        <v>0</v>
      </c>
      <c r="AV310" s="59">
        <f>IFERROR(VLOOKUP($A310,[2]Mssp!$A$5:$BE$1463,AV$4+1,0),0)</f>
        <v>0</v>
      </c>
      <c r="AW310" s="59">
        <f>IFERROR(VLOOKUP($A310,[2]Mssp!$A$5:$BE$1463,AW$4+1,0),0)</f>
        <v>0</v>
      </c>
      <c r="AX310" s="59">
        <f>IFERROR(VLOOKUP($A310,[2]Mssp!$A$5:$BE$1463,AX$4+1,0),0)</f>
        <v>0</v>
      </c>
      <c r="AY310" s="59">
        <f>IFERROR(VLOOKUP($A310,[2]Mssp!$A$5:$BE$1463,AY$4+2,0),0)</f>
        <v>0</v>
      </c>
      <c r="AZ310" s="59">
        <f>IFERROR(VLOOKUP($A310,[2]Mssp!$A$5:$BE$1463,AZ$4+2,0),0)</f>
        <v>0</v>
      </c>
      <c r="BA310" s="60" t="s">
        <v>106</v>
      </c>
      <c r="BB310" s="61" t="s">
        <v>107</v>
      </c>
      <c r="BC310" s="62"/>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c r="CK310" s="9"/>
      <c r="CL310" s="9"/>
      <c r="CM310" s="9"/>
      <c r="CN310" s="9"/>
      <c r="CO310" s="9"/>
      <c r="CP310" s="9"/>
    </row>
    <row r="311" spans="1:94" ht="45" x14ac:dyDescent="0.25">
      <c r="A311" s="50" t="s">
        <v>1090</v>
      </c>
      <c r="B311" s="73" t="s">
        <v>1091</v>
      </c>
      <c r="C311" s="50">
        <f t="shared" si="10"/>
        <v>0</v>
      </c>
      <c r="D311" s="58">
        <v>2</v>
      </c>
      <c r="E311" s="58" t="s">
        <v>178</v>
      </c>
      <c r="F311" s="58">
        <v>6</v>
      </c>
      <c r="G311" s="50" t="s">
        <v>184</v>
      </c>
      <c r="H311" s="50">
        <f>VLOOKUP($A311,'[1]ma sp 02'!$A$5:$BD$1101,H$1,0)</f>
        <v>0</v>
      </c>
      <c r="I311" s="50">
        <f>VLOOKUP($A311,'[1]ma sp 02'!$A$5:$BD$1101,I$1,0)</f>
        <v>0</v>
      </c>
      <c r="J311" s="50">
        <f>VLOOKUP($A311,'[1]ma sp 02'!$A$5:$BD$1101,J$1,0)</f>
        <v>0</v>
      </c>
      <c r="K311" s="50">
        <f>VLOOKUP($A311,'[1]ma sp 02'!$A$5:$BD$1101,K$1,0)</f>
        <v>0</v>
      </c>
      <c r="L311" s="50">
        <f>VLOOKUP($A311,'[1]ma sp 02'!$A$5:$BD$1101,L$1,0)</f>
        <v>0</v>
      </c>
      <c r="M311" s="50">
        <f>VLOOKUP($A311,'[1]ma sp 02'!$A$5:$BD$1101,M$1,0)</f>
        <v>0</v>
      </c>
      <c r="N311" s="50">
        <f>VLOOKUP($A311,'[1]ma sp 02'!$A$5:$BD$1101,N$1,0)</f>
        <v>0</v>
      </c>
      <c r="O311" s="50">
        <f>VLOOKUP($A311,'[1]ma sp 02'!$A$5:$BD$1101,O$1,0)</f>
        <v>0</v>
      </c>
      <c r="P311" s="50">
        <f>VLOOKUP($A311,'[1]ma sp 02'!$A$5:$BD$1101,P$1,0)</f>
        <v>0</v>
      </c>
      <c r="Q311" s="50">
        <f>VLOOKUP($A311,'[1]ma sp 02'!$A$5:$BD$1101,Q$1,0)</f>
        <v>0</v>
      </c>
      <c r="R311" s="50">
        <f>VLOOKUP($A311,'[1]ma sp 02'!$A$5:$BD$1101,R$1,0)</f>
        <v>0</v>
      </c>
      <c r="S311" s="50">
        <f>VLOOKUP($A311,'[1]ma sp 02'!$A$5:$BD$1101,S$1,0)</f>
        <v>0</v>
      </c>
      <c r="T311" s="50">
        <f>VLOOKUP($A311,'[1]ma sp 02'!$A$5:$BD$1101,T$1,0)</f>
        <v>0</v>
      </c>
      <c r="U311" s="50">
        <f>VLOOKUP($A311,'[1]ma sp 02'!$A$5:$BD$1101,U$1,0)</f>
        <v>0</v>
      </c>
      <c r="V311" s="50">
        <f>VLOOKUP($A311,'[1]ma sp 02'!$A$5:$BD$1101,V$1,0)</f>
        <v>0</v>
      </c>
      <c r="W311" s="50">
        <f>VLOOKUP($A311,'[1]ma sp 02'!$A$5:$BD$1101,W$1,0)</f>
        <v>0</v>
      </c>
      <c r="X311" s="50">
        <f t="shared" si="9"/>
        <v>0</v>
      </c>
      <c r="Y311" s="57"/>
      <c r="Z311" s="57"/>
      <c r="AA311" s="57"/>
      <c r="AB311" s="57"/>
      <c r="AC311" s="57"/>
      <c r="AD311" s="57"/>
      <c r="AE311" s="58" t="s">
        <v>335</v>
      </c>
      <c r="AF311" s="57"/>
      <c r="AG311" s="71">
        <f>(0.02*0.91+0.07*0.925)*0.73</f>
        <v>6.0553500000000017E-2</v>
      </c>
      <c r="AH311" s="63">
        <f>(2.3/0.75/2)*0.72</f>
        <v>1.1039999999999999</v>
      </c>
      <c r="AI311" s="63"/>
      <c r="AJ311" s="58">
        <v>9530</v>
      </c>
      <c r="AK311" s="57"/>
      <c r="AL311" s="58">
        <v>2.3E-3</v>
      </c>
      <c r="AM311" s="52" t="s">
        <v>104</v>
      </c>
      <c r="AN311" s="58">
        <v>354</v>
      </c>
      <c r="AO311" s="52" t="s">
        <v>180</v>
      </c>
      <c r="AP311" s="59" t="str">
        <f>IFERROR(VLOOKUP($A311,[2]Mssp!$A$5:$BE$1463,AP$4+1,0),0)</f>
        <v>1710373-1</v>
      </c>
      <c r="AQ311" s="59" t="str">
        <f>IFERROR(VLOOKUP($A311,[2]Mssp!$A$5:$BE$1463,AQ$4+1,0),0)</f>
        <v>1710373-2</v>
      </c>
      <c r="AR311" s="59" t="str">
        <f>IFERROR(VLOOKUP($A311,[2]Mssp!$A$5:$BE$1463,AR$4+1,0),0)</f>
        <v>1710373-3</v>
      </c>
      <c r="AS311" s="59" t="str">
        <f>IFERROR(VLOOKUP($A311,[2]Mssp!$A$5:$BE$1463,AS$4+1,0),0)</f>
        <v>1710373-4</v>
      </c>
      <c r="AT311" s="59" t="str">
        <f>IFERROR(VLOOKUP($A311,[2]Mssp!$A$5:$BE$1463,AT$4+1,0),0)</f>
        <v>1710373-5</v>
      </c>
      <c r="AU311" s="59" t="str">
        <f>IFERROR(VLOOKUP($A311,[2]Mssp!$A$5:$BE$1463,AU$4+1,0),0)</f>
        <v>1710373-6</v>
      </c>
      <c r="AV311" s="59">
        <f>IFERROR(VLOOKUP($A311,[2]Mssp!$A$5:$BE$1463,AV$4+1,0),0)</f>
        <v>0</v>
      </c>
      <c r="AW311" s="59">
        <f>IFERROR(VLOOKUP($A311,[2]Mssp!$A$5:$BE$1463,AW$4+1,0),0)</f>
        <v>0</v>
      </c>
      <c r="AX311" s="59">
        <f>IFERROR(VLOOKUP($A311,[2]Mssp!$A$5:$BE$1463,AX$4+1,0),0)</f>
        <v>0</v>
      </c>
      <c r="AY311" s="59" t="str">
        <f>IFERROR(VLOOKUP($A311,[2]Mssp!$A$5:$BE$1463,AY$4+2,0),0)</f>
        <v>532x850</v>
      </c>
      <c r="AZ311" s="59" t="str">
        <f>IFERROR(VLOOKUP($A311,[2]Mssp!$A$5:$BE$1463,AZ$4+2,0),0)</f>
        <v>V2</v>
      </c>
      <c r="BA311" s="60" t="s">
        <v>106</v>
      </c>
      <c r="BB311" s="61" t="s">
        <v>107</v>
      </c>
      <c r="BC311" s="62"/>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c r="CK311" s="9"/>
      <c r="CL311" s="9"/>
      <c r="CM311" s="9"/>
      <c r="CN311" s="9"/>
      <c r="CO311" s="9"/>
      <c r="CP311" s="9"/>
    </row>
    <row r="312" spans="1:94" ht="45" x14ac:dyDescent="0.25">
      <c r="A312" s="50" t="s">
        <v>1092</v>
      </c>
      <c r="B312" s="73" t="s">
        <v>1093</v>
      </c>
      <c r="C312" s="50">
        <f t="shared" si="10"/>
        <v>0</v>
      </c>
      <c r="D312" s="58">
        <v>2</v>
      </c>
      <c r="E312" s="58" t="s">
        <v>178</v>
      </c>
      <c r="F312" s="58">
        <v>6</v>
      </c>
      <c r="G312" s="50" t="s">
        <v>184</v>
      </c>
      <c r="H312" s="50">
        <f>VLOOKUP($A312,'[1]ma sp 02'!$A$5:$BD$1101,H$1,0)</f>
        <v>0</v>
      </c>
      <c r="I312" s="50">
        <f>VLOOKUP($A312,'[1]ma sp 02'!$A$5:$BD$1101,I$1,0)</f>
        <v>0</v>
      </c>
      <c r="J312" s="50">
        <f>VLOOKUP($A312,'[1]ma sp 02'!$A$5:$BD$1101,J$1,0)</f>
        <v>0</v>
      </c>
      <c r="K312" s="50">
        <f>VLOOKUP($A312,'[1]ma sp 02'!$A$5:$BD$1101,K$1,0)</f>
        <v>0</v>
      </c>
      <c r="L312" s="50">
        <f>VLOOKUP($A312,'[1]ma sp 02'!$A$5:$BD$1101,L$1,0)</f>
        <v>0</v>
      </c>
      <c r="M312" s="50">
        <f>VLOOKUP($A312,'[1]ma sp 02'!$A$5:$BD$1101,M$1,0)</f>
        <v>0</v>
      </c>
      <c r="N312" s="50">
        <f>VLOOKUP($A312,'[1]ma sp 02'!$A$5:$BD$1101,N$1,0)</f>
        <v>0</v>
      </c>
      <c r="O312" s="50">
        <f>VLOOKUP($A312,'[1]ma sp 02'!$A$5:$BD$1101,O$1,0)</f>
        <v>0</v>
      </c>
      <c r="P312" s="50">
        <f>VLOOKUP($A312,'[1]ma sp 02'!$A$5:$BD$1101,P$1,0)</f>
        <v>0</v>
      </c>
      <c r="Q312" s="50">
        <f>VLOOKUP($A312,'[1]ma sp 02'!$A$5:$BD$1101,Q$1,0)</f>
        <v>0</v>
      </c>
      <c r="R312" s="50">
        <f>VLOOKUP($A312,'[1]ma sp 02'!$A$5:$BD$1101,R$1,0)</f>
        <v>0</v>
      </c>
      <c r="S312" s="50">
        <f>VLOOKUP($A312,'[1]ma sp 02'!$A$5:$BD$1101,S$1,0)</f>
        <v>0</v>
      </c>
      <c r="T312" s="50">
        <f>VLOOKUP($A312,'[1]ma sp 02'!$A$5:$BD$1101,T$1,0)</f>
        <v>0</v>
      </c>
      <c r="U312" s="50">
        <f>VLOOKUP($A312,'[1]ma sp 02'!$A$5:$BD$1101,U$1,0)</f>
        <v>0</v>
      </c>
      <c r="V312" s="50">
        <f>VLOOKUP($A312,'[1]ma sp 02'!$A$5:$BD$1101,V$1,0)</f>
        <v>0</v>
      </c>
      <c r="W312" s="50">
        <f>VLOOKUP($A312,'[1]ma sp 02'!$A$5:$BD$1101,W$1,0)</f>
        <v>0</v>
      </c>
      <c r="X312" s="50">
        <f t="shared" si="9"/>
        <v>0</v>
      </c>
      <c r="Y312" s="57"/>
      <c r="Z312" s="57"/>
      <c r="AA312" s="57"/>
      <c r="AB312" s="57"/>
      <c r="AC312" s="57"/>
      <c r="AD312" s="57"/>
      <c r="AE312" s="58" t="s">
        <v>335</v>
      </c>
      <c r="AF312" s="57"/>
      <c r="AG312" s="71">
        <f>(0.02*0.91+0.07*0.925)*0.73</f>
        <v>6.0553500000000017E-2</v>
      </c>
      <c r="AH312" s="63">
        <f>(2.3/0.75/2)*0.72</f>
        <v>1.1039999999999999</v>
      </c>
      <c r="AI312" s="63"/>
      <c r="AJ312" s="58">
        <v>9530</v>
      </c>
      <c r="AK312" s="57"/>
      <c r="AL312" s="58">
        <v>2.3E-3</v>
      </c>
      <c r="AM312" s="52" t="s">
        <v>104</v>
      </c>
      <c r="AN312" s="58">
        <v>354</v>
      </c>
      <c r="AO312" s="52" t="s">
        <v>180</v>
      </c>
      <c r="AP312" s="59" t="str">
        <f>IFERROR(VLOOKUP($A312,[2]Mssp!$A$5:$BE$1463,AP$4+1,0),0)</f>
        <v>1710374-1</v>
      </c>
      <c r="AQ312" s="59" t="str">
        <f>IFERROR(VLOOKUP($A312,[2]Mssp!$A$5:$BE$1463,AQ$4+1,0),0)</f>
        <v>1710374-2</v>
      </c>
      <c r="AR312" s="59" t="str">
        <f>IFERROR(VLOOKUP($A312,[2]Mssp!$A$5:$BE$1463,AR$4+1,0),0)</f>
        <v>1710374-3</v>
      </c>
      <c r="AS312" s="59" t="str">
        <f>IFERROR(VLOOKUP($A312,[2]Mssp!$A$5:$BE$1463,AS$4+1,0),0)</f>
        <v>1710374-4</v>
      </c>
      <c r="AT312" s="59" t="str">
        <f>IFERROR(VLOOKUP($A312,[2]Mssp!$A$5:$BE$1463,AT$4+1,0),0)</f>
        <v>1710374-5</v>
      </c>
      <c r="AU312" s="59" t="str">
        <f>IFERROR(VLOOKUP($A312,[2]Mssp!$A$5:$BE$1463,AU$4+1,0),0)</f>
        <v>1710373-6</v>
      </c>
      <c r="AV312" s="59">
        <f>IFERROR(VLOOKUP($A312,[2]Mssp!$A$5:$BE$1463,AV$4+1,0),0)</f>
        <v>0</v>
      </c>
      <c r="AW312" s="59">
        <f>IFERROR(VLOOKUP($A312,[2]Mssp!$A$5:$BE$1463,AW$4+1,0),0)</f>
        <v>0</v>
      </c>
      <c r="AX312" s="59">
        <f>IFERROR(VLOOKUP($A312,[2]Mssp!$A$5:$BE$1463,AX$4+1,0),0)</f>
        <v>0</v>
      </c>
      <c r="AY312" s="59" t="str">
        <f>IFERROR(VLOOKUP($A312,[2]Mssp!$A$5:$BE$1463,AY$4+2,0),0)</f>
        <v>532x850</v>
      </c>
      <c r="AZ312" s="59" t="str">
        <f>IFERROR(VLOOKUP($A312,[2]Mssp!$A$5:$BE$1463,AZ$4+2,0),0)</f>
        <v>V2</v>
      </c>
      <c r="BA312" s="60" t="s">
        <v>106</v>
      </c>
      <c r="BB312" s="61" t="s">
        <v>107</v>
      </c>
      <c r="BC312" s="62"/>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9"/>
      <c r="CK312" s="9"/>
      <c r="CL312" s="9"/>
      <c r="CM312" s="9"/>
      <c r="CN312" s="9"/>
      <c r="CO312" s="9"/>
      <c r="CP312" s="9"/>
    </row>
    <row r="313" spans="1:94" ht="75" x14ac:dyDescent="0.25">
      <c r="A313" s="50" t="s">
        <v>1094</v>
      </c>
      <c r="B313" s="73" t="s">
        <v>1095</v>
      </c>
      <c r="C313" s="50">
        <f>SUM(H313:W313)</f>
        <v>0</v>
      </c>
      <c r="D313" s="58">
        <v>2</v>
      </c>
      <c r="E313" s="58" t="s">
        <v>484</v>
      </c>
      <c r="F313" s="58">
        <v>7</v>
      </c>
      <c r="G313" s="50" t="s">
        <v>530</v>
      </c>
      <c r="H313" s="50">
        <f>VLOOKUP($A313,'[1]ma sp 02'!$A$5:$BD$1101,H$1,0)</f>
        <v>0</v>
      </c>
      <c r="I313" s="50">
        <f>VLOOKUP($A313,'[1]ma sp 02'!$A$5:$BD$1101,I$1,0)</f>
        <v>0</v>
      </c>
      <c r="J313" s="50">
        <f>VLOOKUP($A313,'[1]ma sp 02'!$A$5:$BD$1101,J$1,0)</f>
        <v>0</v>
      </c>
      <c r="K313" s="50">
        <f>VLOOKUP($A313,'[1]ma sp 02'!$A$5:$BD$1101,K$1,0)</f>
        <v>0</v>
      </c>
      <c r="L313" s="50">
        <f>VLOOKUP($A313,'[1]ma sp 02'!$A$5:$BD$1101,L$1,0)</f>
        <v>0</v>
      </c>
      <c r="M313" s="50">
        <f>VLOOKUP($A313,'[1]ma sp 02'!$A$5:$BD$1101,M$1,0)</f>
        <v>0</v>
      </c>
      <c r="N313" s="50">
        <f>VLOOKUP($A313,'[1]ma sp 02'!$A$5:$BD$1101,N$1,0)</f>
        <v>0</v>
      </c>
      <c r="O313" s="50">
        <f>VLOOKUP($A313,'[1]ma sp 02'!$A$5:$BD$1101,O$1,0)</f>
        <v>0</v>
      </c>
      <c r="P313" s="50">
        <f>VLOOKUP($A313,'[1]ma sp 02'!$A$5:$BD$1101,P$1,0)</f>
        <v>0</v>
      </c>
      <c r="Q313" s="50">
        <f>VLOOKUP($A313,'[1]ma sp 02'!$A$5:$BD$1101,Q$1,0)</f>
        <v>0</v>
      </c>
      <c r="R313" s="50">
        <f>VLOOKUP($A313,'[1]ma sp 02'!$A$5:$BD$1101,R$1,0)</f>
        <v>0</v>
      </c>
      <c r="S313" s="50">
        <f>VLOOKUP($A313,'[1]ma sp 02'!$A$5:$BD$1101,S$1,0)</f>
        <v>0</v>
      </c>
      <c r="T313" s="50">
        <f>VLOOKUP($A313,'[1]ma sp 02'!$A$5:$BD$1101,T$1,0)</f>
        <v>0</v>
      </c>
      <c r="U313" s="50">
        <f>VLOOKUP($A313,'[1]ma sp 02'!$A$5:$BD$1101,U$1,0)</f>
        <v>0</v>
      </c>
      <c r="V313" s="50">
        <f>VLOOKUP($A313,'[1]ma sp 02'!$A$5:$BD$1101,V$1,0)</f>
        <v>0</v>
      </c>
      <c r="W313" s="50">
        <f>VLOOKUP($A313,'[1]ma sp 02'!$A$5:$BD$1101,W$1,0)</f>
        <v>0</v>
      </c>
      <c r="X313" s="50">
        <f t="shared" si="9"/>
        <v>0</v>
      </c>
      <c r="Y313" s="57"/>
      <c r="Z313" s="57"/>
      <c r="AA313" s="57"/>
      <c r="AB313" s="57"/>
      <c r="AC313" s="57"/>
      <c r="AD313" s="57"/>
      <c r="AE313" s="58" t="s">
        <v>485</v>
      </c>
      <c r="AF313" s="52" t="s">
        <v>486</v>
      </c>
      <c r="AG313" s="71">
        <f>(0.012*1.4+0.012*1.4+0.075*0.925)*0.76</f>
        <v>7.8261000000000011E-2</v>
      </c>
      <c r="AH313" s="63">
        <f>(2.3/0.75/2)*0.75</f>
        <v>1.1499999999999999</v>
      </c>
      <c r="AI313" s="63">
        <f>(3/0.75/2)*0.75</f>
        <v>1.5</v>
      </c>
      <c r="AJ313" s="58">
        <v>9530</v>
      </c>
      <c r="AK313" s="58">
        <v>9530</v>
      </c>
      <c r="AL313" s="58" t="s">
        <v>117</v>
      </c>
      <c r="AM313" s="52" t="s">
        <v>1096</v>
      </c>
      <c r="AN313" s="58">
        <v>420</v>
      </c>
      <c r="AO313" s="52" t="s">
        <v>118</v>
      </c>
      <c r="AP313" s="59" t="str">
        <f>IFERROR(VLOOKUP($A313,[2]Mssp!$A$5:$BE$1463,AP$4+1,0),0)</f>
        <v>1708584-1</v>
      </c>
      <c r="AQ313" s="59" t="str">
        <f>IFERROR(VLOOKUP($A313,[2]Mssp!$A$5:$BE$1463,AQ$4+1,0),0)</f>
        <v>1708584-2</v>
      </c>
      <c r="AR313" s="59" t="str">
        <f>IFERROR(VLOOKUP($A313,[2]Mssp!$A$5:$BE$1463,AR$4+1,0),0)</f>
        <v>1708584-3</v>
      </c>
      <c r="AS313" s="59" t="str">
        <f>IFERROR(VLOOKUP($A313,[2]Mssp!$A$5:$BE$1463,AS$4+1,0),0)</f>
        <v>1708584-4</v>
      </c>
      <c r="AT313" s="59" t="str">
        <f>IFERROR(VLOOKUP($A313,[2]Mssp!$A$5:$BE$1463,AT$4+1,0),0)</f>
        <v>1708584-5</v>
      </c>
      <c r="AU313" s="59" t="str">
        <f>IFERROR(VLOOKUP($A313,[2]Mssp!$A$5:$BE$1463,AU$4+1,0),0)</f>
        <v>1708584-6</v>
      </c>
      <c r="AV313" s="59" t="str">
        <f>IFERROR(VLOOKUP($A313,[2]Mssp!$A$5:$BE$1463,AV$4+1,0),0)</f>
        <v>1607497-7</v>
      </c>
      <c r="AW313" s="59">
        <f>IFERROR(VLOOKUP($A313,[2]Mssp!$A$5:$BE$1463,AW$4+1,0),0)</f>
        <v>0</v>
      </c>
      <c r="AX313" s="59">
        <f>IFERROR(VLOOKUP($A313,[2]Mssp!$A$5:$BE$1463,AX$4+1,0),0)</f>
        <v>0</v>
      </c>
      <c r="AY313" s="59" t="str">
        <f>IFERROR(VLOOKUP($A313,[2]Mssp!$A$5:$BE$1463,AY$4+2,0),0)</f>
        <v>420x850</v>
      </c>
      <c r="AZ313" s="59" t="str">
        <f>IFERROR(VLOOKUP($A313,[2]Mssp!$A$5:$BE$1463,AZ$4+2,0),0)</f>
        <v>F2+ F1</v>
      </c>
      <c r="BA313" s="60">
        <v>1500</v>
      </c>
      <c r="BB313" s="61" t="s">
        <v>119</v>
      </c>
      <c r="BC313" s="62"/>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c r="CK313" s="9"/>
      <c r="CL313" s="9"/>
      <c r="CM313" s="9"/>
      <c r="CN313" s="9"/>
      <c r="CO313" s="9"/>
      <c r="CP313" s="9"/>
    </row>
    <row r="314" spans="1:94" ht="30" x14ac:dyDescent="0.25">
      <c r="A314" s="50" t="s">
        <v>1097</v>
      </c>
      <c r="B314" s="73" t="s">
        <v>1098</v>
      </c>
      <c r="C314" s="50">
        <f t="shared" si="10"/>
        <v>0</v>
      </c>
      <c r="D314" s="58">
        <v>3</v>
      </c>
      <c r="E314" s="58" t="s">
        <v>82</v>
      </c>
      <c r="F314" s="58">
        <v>0</v>
      </c>
      <c r="G314" s="50" t="s">
        <v>530</v>
      </c>
      <c r="H314" s="50">
        <f>VLOOKUP($A314,'[1]ma sp 02'!$A$5:$BD$1101,H$1,0)</f>
        <v>0</v>
      </c>
      <c r="I314" s="50">
        <f>VLOOKUP($A314,'[1]ma sp 02'!$A$5:$BD$1101,I$1,0)</f>
        <v>0</v>
      </c>
      <c r="J314" s="50">
        <f>VLOOKUP($A314,'[1]ma sp 02'!$A$5:$BD$1101,J$1,0)</f>
        <v>0</v>
      </c>
      <c r="K314" s="50">
        <f>VLOOKUP($A314,'[1]ma sp 02'!$A$5:$BD$1101,K$1,0)</f>
        <v>0</v>
      </c>
      <c r="L314" s="50">
        <f>VLOOKUP($A314,'[1]ma sp 02'!$A$5:$BD$1101,L$1,0)</f>
        <v>0</v>
      </c>
      <c r="M314" s="50">
        <f>VLOOKUP($A314,'[1]ma sp 02'!$A$5:$BD$1101,M$1,0)</f>
        <v>0</v>
      </c>
      <c r="N314" s="50">
        <f>VLOOKUP($A314,'[1]ma sp 02'!$A$5:$BD$1101,N$1,0)</f>
        <v>0</v>
      </c>
      <c r="O314" s="50">
        <f>VLOOKUP($A314,'[1]ma sp 02'!$A$5:$BD$1101,O$1,0)</f>
        <v>0</v>
      </c>
      <c r="P314" s="50">
        <f>VLOOKUP($A314,'[1]ma sp 02'!$A$5:$BD$1101,P$1,0)</f>
        <v>0</v>
      </c>
      <c r="Q314" s="50">
        <f>VLOOKUP($A314,'[1]ma sp 02'!$A$5:$BD$1101,Q$1,0)</f>
        <v>0</v>
      </c>
      <c r="R314" s="50">
        <f>VLOOKUP($A314,'[1]ma sp 02'!$A$5:$BD$1101,R$1,0)</f>
        <v>0</v>
      </c>
      <c r="S314" s="50">
        <f>VLOOKUP($A314,'[1]ma sp 02'!$A$5:$BD$1101,S$1,0)</f>
        <v>0</v>
      </c>
      <c r="T314" s="50">
        <f>VLOOKUP($A314,'[1]ma sp 02'!$A$5:$BD$1101,T$1,0)</f>
        <v>0</v>
      </c>
      <c r="U314" s="50">
        <f>VLOOKUP($A314,'[1]ma sp 02'!$A$5:$BD$1101,U$1,0)</f>
        <v>0</v>
      </c>
      <c r="V314" s="50">
        <f>VLOOKUP($A314,'[1]ma sp 02'!$A$5:$BD$1101,V$1,0)</f>
        <v>0</v>
      </c>
      <c r="W314" s="50">
        <f>VLOOKUP($A314,'[1]ma sp 02'!$A$5:$BD$1101,W$1,0)</f>
        <v>0</v>
      </c>
      <c r="X314" s="50">
        <f t="shared" si="9"/>
        <v>0</v>
      </c>
      <c r="Y314" s="57"/>
      <c r="Z314" s="57"/>
      <c r="AA314" s="57"/>
      <c r="AB314" s="57"/>
      <c r="AC314" s="57"/>
      <c r="AD314" s="57"/>
      <c r="AE314" s="58" t="s">
        <v>1099</v>
      </c>
      <c r="AF314" s="57"/>
      <c r="AG314" s="71">
        <f>(0.012*1.4+0.035*0.91)*0.67</f>
        <v>3.2595499999999999E-2</v>
      </c>
      <c r="AH314" s="63">
        <f>(2.3/0.75/2)*0.66</f>
        <v>1.012</v>
      </c>
      <c r="AI314" s="63"/>
      <c r="AJ314" s="58">
        <v>9530</v>
      </c>
      <c r="AK314" s="57"/>
      <c r="AL314" s="58">
        <v>2.3E-3</v>
      </c>
      <c r="AM314" s="52" t="s">
        <v>1100</v>
      </c>
      <c r="AN314" s="58">
        <v>220</v>
      </c>
      <c r="AO314" s="52" t="s">
        <v>1101</v>
      </c>
      <c r="AP314" s="59">
        <f>IFERROR(VLOOKUP($A314,[2]Mssp!$A$5:$BE$1463,AP$4+1,0),0)</f>
        <v>0</v>
      </c>
      <c r="AQ314" s="59">
        <f>IFERROR(VLOOKUP($A314,[2]Mssp!$A$5:$BE$1463,AQ$4+1,0),0)</f>
        <v>0</v>
      </c>
      <c r="AR314" s="59">
        <f>IFERROR(VLOOKUP($A314,[2]Mssp!$A$5:$BE$1463,AR$4+1,0),0)</f>
        <v>0</v>
      </c>
      <c r="AS314" s="59">
        <f>IFERROR(VLOOKUP($A314,[2]Mssp!$A$5:$BE$1463,AS$4+1,0),0)</f>
        <v>0</v>
      </c>
      <c r="AT314" s="59">
        <f>IFERROR(VLOOKUP($A314,[2]Mssp!$A$5:$BE$1463,AT$4+1,0),0)</f>
        <v>0</v>
      </c>
      <c r="AU314" s="59">
        <f>IFERROR(VLOOKUP($A314,[2]Mssp!$A$5:$BE$1463,AU$4+1,0),0)</f>
        <v>0</v>
      </c>
      <c r="AV314" s="59">
        <f>IFERROR(VLOOKUP($A314,[2]Mssp!$A$5:$BE$1463,AV$4+1,0),0)</f>
        <v>0</v>
      </c>
      <c r="AW314" s="59">
        <f>IFERROR(VLOOKUP($A314,[2]Mssp!$A$5:$BE$1463,AW$4+1,0),0)</f>
        <v>0</v>
      </c>
      <c r="AX314" s="59">
        <f>IFERROR(VLOOKUP($A314,[2]Mssp!$A$5:$BE$1463,AX$4+1,0),0)</f>
        <v>0</v>
      </c>
      <c r="AY314" s="59">
        <f>IFERROR(VLOOKUP($A314,[2]Mssp!$A$5:$BE$1463,AY$4+2,0),0)</f>
        <v>0</v>
      </c>
      <c r="AZ314" s="59">
        <f>IFERROR(VLOOKUP($A314,[2]Mssp!$A$5:$BE$1463,AZ$4+2,0),0)</f>
        <v>0</v>
      </c>
      <c r="BA314" s="60" t="s">
        <v>175</v>
      </c>
      <c r="BB314" s="61" t="s">
        <v>107</v>
      </c>
      <c r="BC314" s="62"/>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9"/>
      <c r="CK314" s="9"/>
      <c r="CL314" s="9"/>
      <c r="CM314" s="9"/>
      <c r="CN314" s="9"/>
      <c r="CO314" s="9"/>
      <c r="CP314" s="9"/>
    </row>
    <row r="315" spans="1:94" ht="60" x14ac:dyDescent="0.25">
      <c r="A315" s="50" t="s">
        <v>1102</v>
      </c>
      <c r="B315" s="73" t="s">
        <v>1103</v>
      </c>
      <c r="C315" s="50">
        <f t="shared" si="10"/>
        <v>8.27</v>
      </c>
      <c r="D315" s="58">
        <v>2</v>
      </c>
      <c r="E315" s="58" t="s">
        <v>748</v>
      </c>
      <c r="F315" s="58">
        <v>8</v>
      </c>
      <c r="G315" s="50" t="s">
        <v>184</v>
      </c>
      <c r="H315" s="50">
        <f>VLOOKUP($A315,'[1]ma sp 02'!$A$5:$BD$1101,H$1,0)</f>
        <v>0.23</v>
      </c>
      <c r="I315" s="50">
        <f>VLOOKUP($A315,'[1]ma sp 02'!$A$5:$BD$1101,I$1,0)</f>
        <v>4.7699999999999996</v>
      </c>
      <c r="J315" s="50">
        <f>VLOOKUP($A315,'[1]ma sp 02'!$A$5:$BD$1101,J$1,0)</f>
        <v>0.1</v>
      </c>
      <c r="K315" s="50">
        <f>VLOOKUP($A315,'[1]ma sp 02'!$A$5:$BD$1101,K$1,0)</f>
        <v>0.28999999999999998</v>
      </c>
      <c r="L315" s="50">
        <f>VLOOKUP($A315,'[1]ma sp 02'!$A$5:$BD$1101,L$1,0)</f>
        <v>1.79</v>
      </c>
      <c r="M315" s="50">
        <f>VLOOKUP($A315,'[1]ma sp 02'!$A$5:$BD$1101,M$1,0)</f>
        <v>0.78</v>
      </c>
      <c r="N315" s="50">
        <f>VLOOKUP($A315,'[1]ma sp 02'!$A$5:$BD$1101,N$1,0)</f>
        <v>0</v>
      </c>
      <c r="O315" s="50">
        <f>VLOOKUP($A315,'[1]ma sp 02'!$A$5:$BD$1101,O$1,0)</f>
        <v>0.23</v>
      </c>
      <c r="P315" s="50">
        <f>VLOOKUP($A315,'[1]ma sp 02'!$A$5:$BD$1101,P$1,0)</f>
        <v>0.03</v>
      </c>
      <c r="Q315" s="50">
        <f>VLOOKUP($A315,'[1]ma sp 02'!$A$5:$BD$1101,Q$1,0)</f>
        <v>0</v>
      </c>
      <c r="R315" s="50">
        <f>VLOOKUP($A315,'[1]ma sp 02'!$A$5:$BD$1101,R$1,0)</f>
        <v>0</v>
      </c>
      <c r="S315" s="50">
        <f>VLOOKUP($A315,'[1]ma sp 02'!$A$5:$BD$1101,S$1,0)</f>
        <v>0</v>
      </c>
      <c r="T315" s="50">
        <f>VLOOKUP($A315,'[1]ma sp 02'!$A$5:$BD$1101,T$1,0)</f>
        <v>0.05</v>
      </c>
      <c r="U315" s="50">
        <f>VLOOKUP($A315,'[1]ma sp 02'!$A$5:$BD$1101,U$1,0)</f>
        <v>0</v>
      </c>
      <c r="V315" s="50">
        <f>VLOOKUP($A315,'[1]ma sp 02'!$A$5:$BD$1101,V$1,0)</f>
        <v>0</v>
      </c>
      <c r="W315" s="50">
        <f>VLOOKUP($A315,'[1]ma sp 02'!$A$5:$BD$1101,W$1,0)</f>
        <v>0</v>
      </c>
      <c r="X315" s="50">
        <f t="shared" si="9"/>
        <v>9</v>
      </c>
      <c r="Y315" s="57"/>
      <c r="Z315" s="57"/>
      <c r="AA315" s="57"/>
      <c r="AB315" s="57"/>
      <c r="AC315" s="57"/>
      <c r="AD315" s="57"/>
      <c r="AE315" s="58" t="s">
        <v>749</v>
      </c>
      <c r="AF315" s="57"/>
      <c r="AG315" s="71">
        <f>(0.02*0.91+0.08*0.925)*0.9</f>
        <v>8.2980000000000012E-2</v>
      </c>
      <c r="AH315" s="63">
        <f>(2.3/0.75/2)*0.89</f>
        <v>1.3646666666666665</v>
      </c>
      <c r="AI315" s="63"/>
      <c r="AJ315" s="58">
        <v>9530</v>
      </c>
      <c r="AK315" s="57"/>
      <c r="AL315" s="58">
        <v>2.3E-3</v>
      </c>
      <c r="AM315" s="52" t="s">
        <v>1104</v>
      </c>
      <c r="AN315" s="58">
        <v>310</v>
      </c>
      <c r="AO315" s="52" t="s">
        <v>527</v>
      </c>
      <c r="AP315" s="59" t="str">
        <f>IFERROR(VLOOKUP($A315,[2]Mssp!$A$5:$BE$1463,AP$4+1,0),0)</f>
        <v>1902525-1</v>
      </c>
      <c r="AQ315" s="59" t="str">
        <f>IFERROR(VLOOKUP($A315,[2]Mssp!$A$5:$BE$1463,AQ$4+1,0),0)</f>
        <v>1903063-2</v>
      </c>
      <c r="AR315" s="59" t="str">
        <f>IFERROR(VLOOKUP($A315,[2]Mssp!$A$5:$BE$1463,AR$4+1,0),0)</f>
        <v>1609240-3</v>
      </c>
      <c r="AS315" s="59" t="str">
        <f>IFERROR(VLOOKUP($A315,[2]Mssp!$A$5:$BE$1463,AS$4+1,0),0)</f>
        <v>1903063-4</v>
      </c>
      <c r="AT315" s="59" t="str">
        <f>IFERROR(VLOOKUP($A315,[2]Mssp!$A$5:$BE$1463,AT$4+1,0),0)</f>
        <v>1902525-5</v>
      </c>
      <c r="AU315" s="59" t="str">
        <f>IFERROR(VLOOKUP($A315,[2]Mssp!$A$5:$BE$1463,AU$4+1,0),0)</f>
        <v>1710724-6</v>
      </c>
      <c r="AV315" s="59" t="str">
        <f>IFERROR(VLOOKUP($A315,[2]Mssp!$A$5:$BE$1463,AV$4+1,0),0)</f>
        <v>1710724-7</v>
      </c>
      <c r="AW315" s="59" t="str">
        <f>IFERROR(VLOOKUP($A315,[2]Mssp!$A$5:$BE$1463,AW$4+1,0),0)</f>
        <v>1807922-8</v>
      </c>
      <c r="AX315" s="59">
        <f>IFERROR(VLOOKUP($A315,[2]Mssp!$A$5:$BE$1463,AX$4+1,0),0)</f>
        <v>0</v>
      </c>
      <c r="AY315" s="59" t="str">
        <f>IFERROR(VLOOKUP($A315,[2]Mssp!$A$5:$BE$1463,AY$4+2,0),0)</f>
        <v>620x1100</v>
      </c>
      <c r="AZ315" s="59" t="str">
        <f>IFERROR(VLOOKUP($A315,[2]Mssp!$A$5:$BE$1463,AZ$4+2,0),0)</f>
        <v>I2</v>
      </c>
      <c r="BA315" s="60">
        <v>4000</v>
      </c>
      <c r="BB315" s="61" t="s">
        <v>251</v>
      </c>
      <c r="BC315" s="62"/>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c r="CK315" s="9"/>
      <c r="CL315" s="9"/>
      <c r="CM315" s="9"/>
      <c r="CN315" s="9"/>
      <c r="CO315" s="9"/>
      <c r="CP315" s="9"/>
    </row>
    <row r="316" spans="1:94" ht="45" x14ac:dyDescent="0.25">
      <c r="A316" s="50" t="s">
        <v>1105</v>
      </c>
      <c r="B316" s="73" t="s">
        <v>1106</v>
      </c>
      <c r="C316" s="50"/>
      <c r="D316" s="58">
        <v>1</v>
      </c>
      <c r="E316" s="58" t="s">
        <v>1107</v>
      </c>
      <c r="F316" s="58">
        <v>7</v>
      </c>
      <c r="G316" s="50"/>
      <c r="H316" s="50">
        <f>VLOOKUP($A316,'[1]ma sp 02'!$A$5:$BD$1101,H$1,0)</f>
        <v>0.01</v>
      </c>
      <c r="I316" s="50">
        <f>VLOOKUP($A316,'[1]ma sp 02'!$A$5:$BD$1101,I$1,0)</f>
        <v>0</v>
      </c>
      <c r="J316" s="50">
        <f>VLOOKUP($A316,'[1]ma sp 02'!$A$5:$BD$1101,J$1,0)</f>
        <v>0.01</v>
      </c>
      <c r="K316" s="50">
        <f>VLOOKUP($A316,'[1]ma sp 02'!$A$5:$BD$1101,K$1,0)</f>
        <v>0.39</v>
      </c>
      <c r="L316" s="50">
        <f>VLOOKUP($A316,'[1]ma sp 02'!$A$5:$BD$1101,L$1,0)</f>
        <v>6.5</v>
      </c>
      <c r="M316" s="50">
        <f>VLOOKUP($A316,'[1]ma sp 02'!$A$5:$BD$1101,M$1,0)</f>
        <v>0</v>
      </c>
      <c r="N316" s="50">
        <f>VLOOKUP($A316,'[1]ma sp 02'!$A$5:$BD$1101,N$1,0)</f>
        <v>0</v>
      </c>
      <c r="O316" s="50">
        <f>VLOOKUP($A316,'[1]ma sp 02'!$A$5:$BD$1101,O$1,0)</f>
        <v>0.01</v>
      </c>
      <c r="P316" s="50">
        <f>VLOOKUP($A316,'[1]ma sp 02'!$A$5:$BD$1101,P$1,0)</f>
        <v>0</v>
      </c>
      <c r="Q316" s="50">
        <f>VLOOKUP($A316,'[1]ma sp 02'!$A$5:$BD$1101,Q$1,0)</f>
        <v>0</v>
      </c>
      <c r="R316" s="50">
        <f>VLOOKUP($A316,'[1]ma sp 02'!$A$5:$BD$1101,R$1,0)</f>
        <v>0</v>
      </c>
      <c r="S316" s="50">
        <f>VLOOKUP($A316,'[1]ma sp 02'!$A$5:$BD$1101,S$1,0)</f>
        <v>0</v>
      </c>
      <c r="T316" s="50">
        <f>VLOOKUP($A316,'[1]ma sp 02'!$A$5:$BD$1101,T$1,0)</f>
        <v>0.01</v>
      </c>
      <c r="U316" s="50">
        <f>VLOOKUP($A316,'[1]ma sp 02'!$A$5:$BD$1101,U$1,0)</f>
        <v>0</v>
      </c>
      <c r="V316" s="50">
        <f>VLOOKUP($A316,'[1]ma sp 02'!$A$5:$BD$1101,V$1,0)</f>
        <v>0</v>
      </c>
      <c r="W316" s="50">
        <f>VLOOKUP($A316,'[1]ma sp 02'!$A$5:$BD$1101,W$1,0)</f>
        <v>0</v>
      </c>
      <c r="X316" s="50"/>
      <c r="Y316" s="57"/>
      <c r="Z316" s="57"/>
      <c r="AA316" s="57"/>
      <c r="AB316" s="57"/>
      <c r="AC316" s="57"/>
      <c r="AD316" s="57"/>
      <c r="AE316" s="58"/>
      <c r="AF316" s="57"/>
      <c r="AG316" s="71"/>
      <c r="AH316" s="63"/>
      <c r="AI316" s="63"/>
      <c r="AJ316" s="58"/>
      <c r="AK316" s="57"/>
      <c r="AL316" s="58"/>
      <c r="AM316" s="52" t="s">
        <v>756</v>
      </c>
      <c r="AN316" s="58"/>
      <c r="AO316" s="52" t="s">
        <v>527</v>
      </c>
      <c r="AP316" s="59" t="str">
        <f>IFERROR(VLOOKUP($A316,[2]Mssp!$A$5:$BE$1463,AP$4+1,0),0)</f>
        <v>17101029-1</v>
      </c>
      <c r="AQ316" s="59" t="str">
        <f>IFERROR(VLOOKUP($A316,[2]Mssp!$A$5:$BE$1463,AQ$4+1,0),0)</f>
        <v>1602242-2</v>
      </c>
      <c r="AR316" s="59" t="str">
        <f>IFERROR(VLOOKUP($A316,[2]Mssp!$A$5:$BE$1463,AR$4+1,0),0)</f>
        <v>17101029-3</v>
      </c>
      <c r="AS316" s="59" t="str">
        <f>IFERROR(VLOOKUP($A316,[2]Mssp!$A$5:$BE$1463,AS$4+1,0),0)</f>
        <v>1710745-4</v>
      </c>
      <c r="AT316" s="59" t="str">
        <f>IFERROR(VLOOKUP($A316,[2]Mssp!$A$5:$BE$1463,AT$4+1,0),0)</f>
        <v>1903064-5</v>
      </c>
      <c r="AU316" s="59" t="str">
        <f>IFERROR(VLOOKUP($A316,[2]Mssp!$A$5:$BE$1463,AU$4+1,0),0)</f>
        <v>1710723-6</v>
      </c>
      <c r="AV316" s="59" t="str">
        <f>IFERROR(VLOOKUP($A316,[2]Mssp!$A$5:$BE$1463,AV$4+1,0),0)</f>
        <v>1903064-7</v>
      </c>
      <c r="AW316" s="59">
        <f>IFERROR(VLOOKUP($A316,[2]Mssp!$A$5:$BE$1463,AW$4+1,0),0)</f>
        <v>0</v>
      </c>
      <c r="AX316" s="59">
        <f>IFERROR(VLOOKUP($A316,[2]Mssp!$A$5:$BE$1463,AX$4+1,0),0)</f>
        <v>0</v>
      </c>
      <c r="AY316" s="59" t="str">
        <f>IFERROR(VLOOKUP($A316,[2]Mssp!$A$5:$BE$1463,AY$4+2,0),0)</f>
        <v>1100x850</v>
      </c>
      <c r="AZ316" s="59" t="str">
        <f>IFERROR(VLOOKUP($A316,[2]Mssp!$A$5:$BE$1463,AZ$4+2,0),0)</f>
        <v>K4</v>
      </c>
      <c r="BA316" s="60"/>
      <c r="BB316" s="61"/>
      <c r="BC316" s="62"/>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c r="CK316" s="9"/>
      <c r="CL316" s="9"/>
      <c r="CM316" s="9"/>
      <c r="CN316" s="9"/>
      <c r="CO316" s="9"/>
      <c r="CP316" s="9"/>
    </row>
    <row r="317" spans="1:94" ht="45" x14ac:dyDescent="0.25">
      <c r="A317" s="50" t="s">
        <v>1108</v>
      </c>
      <c r="B317" s="73" t="s">
        <v>1109</v>
      </c>
      <c r="C317" s="50">
        <f t="shared" si="10"/>
        <v>0</v>
      </c>
      <c r="D317" s="58">
        <v>1</v>
      </c>
      <c r="E317" s="58" t="s">
        <v>1110</v>
      </c>
      <c r="F317" s="58">
        <v>0</v>
      </c>
      <c r="G317" s="50" t="s">
        <v>530</v>
      </c>
      <c r="H317" s="50">
        <f>VLOOKUP($A317,'[1]ma sp 02'!$A$5:$BD$1101,H$1,0)</f>
        <v>0</v>
      </c>
      <c r="I317" s="50">
        <f>VLOOKUP($A317,'[1]ma sp 02'!$A$5:$BD$1101,I$1,0)</f>
        <v>0</v>
      </c>
      <c r="J317" s="50">
        <f>VLOOKUP($A317,'[1]ma sp 02'!$A$5:$BD$1101,J$1,0)</f>
        <v>0</v>
      </c>
      <c r="K317" s="50">
        <f>VLOOKUP($A317,'[1]ma sp 02'!$A$5:$BD$1101,K$1,0)</f>
        <v>0</v>
      </c>
      <c r="L317" s="50">
        <f>VLOOKUP($A317,'[1]ma sp 02'!$A$5:$BD$1101,L$1,0)</f>
        <v>0</v>
      </c>
      <c r="M317" s="50">
        <f>VLOOKUP($A317,'[1]ma sp 02'!$A$5:$BD$1101,M$1,0)</f>
        <v>0</v>
      </c>
      <c r="N317" s="50">
        <f>VLOOKUP($A317,'[1]ma sp 02'!$A$5:$BD$1101,N$1,0)</f>
        <v>0</v>
      </c>
      <c r="O317" s="50">
        <f>VLOOKUP($A317,'[1]ma sp 02'!$A$5:$BD$1101,O$1,0)</f>
        <v>0</v>
      </c>
      <c r="P317" s="50">
        <f>VLOOKUP($A317,'[1]ma sp 02'!$A$5:$BD$1101,P$1,0)</f>
        <v>0</v>
      </c>
      <c r="Q317" s="50">
        <f>VLOOKUP($A317,'[1]ma sp 02'!$A$5:$BD$1101,Q$1,0)</f>
        <v>0</v>
      </c>
      <c r="R317" s="50">
        <f>VLOOKUP($A317,'[1]ma sp 02'!$A$5:$BD$1101,R$1,0)</f>
        <v>0</v>
      </c>
      <c r="S317" s="50">
        <f>VLOOKUP($A317,'[1]ma sp 02'!$A$5:$BD$1101,S$1,0)</f>
        <v>0</v>
      </c>
      <c r="T317" s="50">
        <f>VLOOKUP($A317,'[1]ma sp 02'!$A$5:$BD$1101,T$1,0)</f>
        <v>0</v>
      </c>
      <c r="U317" s="50">
        <f>VLOOKUP($A317,'[1]ma sp 02'!$A$5:$BD$1101,U$1,0)</f>
        <v>0</v>
      </c>
      <c r="V317" s="50">
        <f>VLOOKUP($A317,'[1]ma sp 02'!$A$5:$BD$1101,V$1,0)</f>
        <v>0</v>
      </c>
      <c r="W317" s="50">
        <f>VLOOKUP($A317,'[1]ma sp 02'!$A$5:$BD$1101,W$1,0)</f>
        <v>0</v>
      </c>
      <c r="X317" s="50">
        <f t="shared" si="9"/>
        <v>0</v>
      </c>
      <c r="Y317" s="57"/>
      <c r="Z317" s="57"/>
      <c r="AA317" s="57"/>
      <c r="AB317" s="57"/>
      <c r="AC317" s="57"/>
      <c r="AD317" s="57"/>
      <c r="AE317" s="58" t="s">
        <v>219</v>
      </c>
      <c r="AF317" s="58" t="s">
        <v>1003</v>
      </c>
      <c r="AG317" s="71">
        <f>(0.015*1.15+0.006*2.71+0.075*0.925)*0.62</f>
        <v>6.3788700000000004E-2</v>
      </c>
      <c r="AH317" s="63">
        <f>(2.3/0.75/2)*0.61</f>
        <v>0.93533333333333324</v>
      </c>
      <c r="AI317" s="63">
        <f>(3/0.75/2)*0.61</f>
        <v>1.22</v>
      </c>
      <c r="AJ317" s="58">
        <v>9530</v>
      </c>
      <c r="AK317" s="58">
        <v>9530</v>
      </c>
      <c r="AL317" s="58" t="s">
        <v>1111</v>
      </c>
      <c r="AM317" s="52" t="s">
        <v>74</v>
      </c>
      <c r="AN317" s="58">
        <v>200</v>
      </c>
      <c r="AO317" s="52" t="s">
        <v>1112</v>
      </c>
      <c r="AP317" s="59">
        <f>IFERROR(VLOOKUP($A317,[2]Mssp!$A$5:$BE$1463,AP$4+1,0),0)</f>
        <v>0</v>
      </c>
      <c r="AQ317" s="59">
        <f>IFERROR(VLOOKUP($A317,[2]Mssp!$A$5:$BE$1463,AQ$4+1,0),0)</f>
        <v>0</v>
      </c>
      <c r="AR317" s="59">
        <f>IFERROR(VLOOKUP($A317,[2]Mssp!$A$5:$BE$1463,AR$4+1,0),0)</f>
        <v>0</v>
      </c>
      <c r="AS317" s="59">
        <f>IFERROR(VLOOKUP($A317,[2]Mssp!$A$5:$BE$1463,AS$4+1,0),0)</f>
        <v>0</v>
      </c>
      <c r="AT317" s="59">
        <f>IFERROR(VLOOKUP($A317,[2]Mssp!$A$5:$BE$1463,AT$4+1,0),0)</f>
        <v>0</v>
      </c>
      <c r="AU317" s="59">
        <f>IFERROR(VLOOKUP($A317,[2]Mssp!$A$5:$BE$1463,AU$4+1,0),0)</f>
        <v>0</v>
      </c>
      <c r="AV317" s="59">
        <f>IFERROR(VLOOKUP($A317,[2]Mssp!$A$5:$BE$1463,AV$4+1,0),0)</f>
        <v>0</v>
      </c>
      <c r="AW317" s="59">
        <f>IFERROR(VLOOKUP($A317,[2]Mssp!$A$5:$BE$1463,AW$4+1,0),0)</f>
        <v>0</v>
      </c>
      <c r="AX317" s="59">
        <f>IFERROR(VLOOKUP($A317,[2]Mssp!$A$5:$BE$1463,AX$4+1,0),0)</f>
        <v>0</v>
      </c>
      <c r="AY317" s="59">
        <f>IFERROR(VLOOKUP($A317,[2]Mssp!$A$5:$BE$1463,AY$4+2,0),0)</f>
        <v>0</v>
      </c>
      <c r="AZ317" s="59">
        <f>IFERROR(VLOOKUP($A317,[2]Mssp!$A$5:$BE$1463,AZ$4+2,0),0)</f>
        <v>0</v>
      </c>
      <c r="BA317" s="60">
        <v>3000</v>
      </c>
      <c r="BB317" s="61" t="s">
        <v>62</v>
      </c>
      <c r="BC317" s="62"/>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c r="CK317" s="9"/>
      <c r="CL317" s="9"/>
      <c r="CM317" s="9"/>
      <c r="CN317" s="9"/>
      <c r="CO317" s="9"/>
      <c r="CP317" s="9"/>
    </row>
    <row r="318" spans="1:94" ht="45" x14ac:dyDescent="0.25">
      <c r="A318" s="50" t="s">
        <v>1113</v>
      </c>
      <c r="B318" s="73" t="s">
        <v>1114</v>
      </c>
      <c r="C318" s="50">
        <f t="shared" si="10"/>
        <v>5.47</v>
      </c>
      <c r="D318" s="58">
        <v>2</v>
      </c>
      <c r="E318" s="58" t="s">
        <v>1115</v>
      </c>
      <c r="F318" s="58">
        <v>6</v>
      </c>
      <c r="G318" s="50" t="s">
        <v>530</v>
      </c>
      <c r="H318" s="50">
        <f>VLOOKUP($A318,'[1]ma sp 02'!$A$5:$BD$1101,H$1,0)</f>
        <v>1.17</v>
      </c>
      <c r="I318" s="50">
        <f>VLOOKUP($A318,'[1]ma sp 02'!$A$5:$BD$1101,I$1,0)</f>
        <v>2.4700000000000002</v>
      </c>
      <c r="J318" s="50">
        <f>VLOOKUP($A318,'[1]ma sp 02'!$A$5:$BD$1101,J$1,0)</f>
        <v>0.2</v>
      </c>
      <c r="K318" s="50">
        <f>VLOOKUP($A318,'[1]ma sp 02'!$A$5:$BD$1101,K$1,0)</f>
        <v>0.78</v>
      </c>
      <c r="L318" s="50">
        <f>VLOOKUP($A318,'[1]ma sp 02'!$A$5:$BD$1101,L$1,0)</f>
        <v>0.46</v>
      </c>
      <c r="M318" s="50">
        <f>VLOOKUP($A318,'[1]ma sp 02'!$A$5:$BD$1101,M$1,0)</f>
        <v>0</v>
      </c>
      <c r="N318" s="50">
        <f>VLOOKUP($A318,'[1]ma sp 02'!$A$5:$BD$1101,N$1,0)</f>
        <v>0</v>
      </c>
      <c r="O318" s="50">
        <f>VLOOKUP($A318,'[1]ma sp 02'!$A$5:$BD$1101,O$1,0)</f>
        <v>0</v>
      </c>
      <c r="P318" s="50">
        <f>VLOOKUP($A318,'[1]ma sp 02'!$A$5:$BD$1101,P$1,0)</f>
        <v>0.39</v>
      </c>
      <c r="Q318" s="50">
        <f>VLOOKUP($A318,'[1]ma sp 02'!$A$5:$BD$1101,Q$1,0)</f>
        <v>0</v>
      </c>
      <c r="R318" s="50">
        <f>VLOOKUP($A318,'[1]ma sp 02'!$A$5:$BD$1101,R$1,0)</f>
        <v>0</v>
      </c>
      <c r="S318" s="50">
        <f>VLOOKUP($A318,'[1]ma sp 02'!$A$5:$BD$1101,S$1,0)</f>
        <v>0</v>
      </c>
      <c r="T318" s="50">
        <f>VLOOKUP($A318,'[1]ma sp 02'!$A$5:$BD$1101,T$1,0)</f>
        <v>0</v>
      </c>
      <c r="U318" s="50">
        <f>VLOOKUP($A318,'[1]ma sp 02'!$A$5:$BD$1101,U$1,0)</f>
        <v>0</v>
      </c>
      <c r="V318" s="50">
        <f>VLOOKUP($A318,'[1]ma sp 02'!$A$5:$BD$1101,V$1,0)</f>
        <v>0</v>
      </c>
      <c r="W318" s="50">
        <f>VLOOKUP($A318,'[1]ma sp 02'!$A$5:$BD$1101,W$1,0)</f>
        <v>0</v>
      </c>
      <c r="X318" s="50">
        <f t="shared" si="9"/>
        <v>6</v>
      </c>
      <c r="Y318" s="57"/>
      <c r="Z318" s="57"/>
      <c r="AA318" s="57"/>
      <c r="AB318" s="57"/>
      <c r="AC318" s="57"/>
      <c r="AD318" s="57"/>
      <c r="AE318" s="58" t="s">
        <v>1116</v>
      </c>
      <c r="AF318" s="57"/>
      <c r="AG318" s="71">
        <f>(0.015*1.15+0.065*0.925)*0.66</f>
        <v>5.1067500000000002E-2</v>
      </c>
      <c r="AH318" s="63">
        <f>(2.3/0.75/2)*0.65</f>
        <v>0.99666666666666659</v>
      </c>
      <c r="AI318" s="63"/>
      <c r="AJ318" s="58">
        <v>9530</v>
      </c>
      <c r="AK318" s="58">
        <v>9530</v>
      </c>
      <c r="AL318" s="58">
        <v>2.3E-3</v>
      </c>
      <c r="AM318" s="52" t="s">
        <v>74</v>
      </c>
      <c r="AN318" s="58">
        <v>500</v>
      </c>
      <c r="AO318" s="52" t="s">
        <v>1117</v>
      </c>
      <c r="AP318" s="59" t="str">
        <f>IFERROR(VLOOKUP($A318,[2]Mssp!$A$5:$BE$1463,AP$4+1,0),0)</f>
        <v>X101819-1</v>
      </c>
      <c r="AQ318" s="59" t="str">
        <f>IFERROR(VLOOKUP($A318,[2]Mssp!$A$5:$BE$1463,AQ$4+1,0),0)</f>
        <v>X101819-2</v>
      </c>
      <c r="AR318" s="59" t="str">
        <f>IFERROR(VLOOKUP($A318,[2]Mssp!$A$5:$BE$1463,AR$4+1,0),0)</f>
        <v>X101819-3</v>
      </c>
      <c r="AS318" s="59" t="str">
        <f>IFERROR(VLOOKUP($A318,[2]Mssp!$A$5:$BE$1463,AS$4+1,0),0)</f>
        <v>X101819-4</v>
      </c>
      <c r="AT318" s="59" t="str">
        <f>IFERROR(VLOOKUP($A318,[2]Mssp!$A$5:$BE$1463,AT$4+1,0),0)</f>
        <v>X101819-5</v>
      </c>
      <c r="AU318" s="59" t="str">
        <f>IFERROR(VLOOKUP($A318,[2]Mssp!$A$5:$BE$1463,AU$4+1,0),0)</f>
        <v>X101819-6</v>
      </c>
      <c r="AV318" s="59">
        <f>IFERROR(VLOOKUP($A318,[2]Mssp!$A$5:$BE$1463,AV$4+1,0),0)</f>
        <v>0</v>
      </c>
      <c r="AW318" s="59">
        <f>IFERROR(VLOOKUP($A318,[2]Mssp!$A$5:$BE$1463,AW$4+1,0),0)</f>
        <v>0</v>
      </c>
      <c r="AX318" s="59">
        <f>IFERROR(VLOOKUP($A318,[2]Mssp!$A$5:$BE$1463,AX$4+1,0),0)</f>
        <v>0</v>
      </c>
      <c r="AY318" s="59" t="str">
        <f>IFERROR(VLOOKUP($A318,[2]Mssp!$A$5:$BE$1463,AY$4+2,0),0)</f>
        <v>500x750</v>
      </c>
      <c r="AZ318" s="59" t="str">
        <f>IFERROR(VLOOKUP($A318,[2]Mssp!$A$5:$BE$1463,AZ$4+2,0),0)</f>
        <v>P1</v>
      </c>
      <c r="BA318" s="60">
        <v>1500</v>
      </c>
      <c r="BB318" s="61" t="s">
        <v>62</v>
      </c>
      <c r="BC318" s="62"/>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c r="CK318" s="9"/>
      <c r="CL318" s="9"/>
      <c r="CM318" s="9"/>
      <c r="CN318" s="9"/>
      <c r="CO318" s="9"/>
      <c r="CP318" s="9"/>
    </row>
    <row r="319" spans="1:94" ht="45" x14ac:dyDescent="0.25">
      <c r="A319" s="50" t="s">
        <v>1118</v>
      </c>
      <c r="B319" s="73" t="s">
        <v>1119</v>
      </c>
      <c r="C319" s="50">
        <f t="shared" si="10"/>
        <v>0</v>
      </c>
      <c r="D319" s="58">
        <v>1</v>
      </c>
      <c r="E319" s="58" t="s">
        <v>1120</v>
      </c>
      <c r="F319" s="58">
        <v>0</v>
      </c>
      <c r="G319" s="50" t="s">
        <v>1010</v>
      </c>
      <c r="H319" s="50">
        <f>VLOOKUP($A319,'[1]ma sp 02'!$A$5:$BD$1101,H$1,0)</f>
        <v>0</v>
      </c>
      <c r="I319" s="50">
        <f>VLOOKUP($A319,'[1]ma sp 02'!$A$5:$BD$1101,I$1,0)</f>
        <v>0</v>
      </c>
      <c r="J319" s="50">
        <f>VLOOKUP($A319,'[1]ma sp 02'!$A$5:$BD$1101,J$1,0)</f>
        <v>0</v>
      </c>
      <c r="K319" s="50">
        <f>VLOOKUP($A319,'[1]ma sp 02'!$A$5:$BD$1101,K$1,0)</f>
        <v>0</v>
      </c>
      <c r="L319" s="50">
        <f>VLOOKUP($A319,'[1]ma sp 02'!$A$5:$BD$1101,L$1,0)</f>
        <v>0</v>
      </c>
      <c r="M319" s="50">
        <f>VLOOKUP($A319,'[1]ma sp 02'!$A$5:$BD$1101,M$1,0)</f>
        <v>0</v>
      </c>
      <c r="N319" s="50">
        <f>VLOOKUP($A319,'[1]ma sp 02'!$A$5:$BD$1101,N$1,0)</f>
        <v>0</v>
      </c>
      <c r="O319" s="50">
        <f>VLOOKUP($A319,'[1]ma sp 02'!$A$5:$BD$1101,O$1,0)</f>
        <v>0</v>
      </c>
      <c r="P319" s="50">
        <f>VLOOKUP($A319,'[1]ma sp 02'!$A$5:$BD$1101,P$1,0)</f>
        <v>0</v>
      </c>
      <c r="Q319" s="50">
        <f>VLOOKUP($A319,'[1]ma sp 02'!$A$5:$BD$1101,Q$1,0)</f>
        <v>0</v>
      </c>
      <c r="R319" s="50">
        <f>VLOOKUP($A319,'[1]ma sp 02'!$A$5:$BD$1101,R$1,0)</f>
        <v>0</v>
      </c>
      <c r="S319" s="50">
        <f>VLOOKUP($A319,'[1]ma sp 02'!$A$5:$BD$1101,S$1,0)</f>
        <v>0</v>
      </c>
      <c r="T319" s="50">
        <f>VLOOKUP($A319,'[1]ma sp 02'!$A$5:$BD$1101,T$1,0)</f>
        <v>0</v>
      </c>
      <c r="U319" s="50">
        <f>VLOOKUP($A319,'[1]ma sp 02'!$A$5:$BD$1101,U$1,0)</f>
        <v>0</v>
      </c>
      <c r="V319" s="50">
        <f>VLOOKUP($A319,'[1]ma sp 02'!$A$5:$BD$1101,V$1,0)</f>
        <v>0</v>
      </c>
      <c r="W319" s="50">
        <f>VLOOKUP($A319,'[1]ma sp 02'!$A$5:$BD$1101,W$1,0)</f>
        <v>0</v>
      </c>
      <c r="X319" s="50">
        <f t="shared" si="9"/>
        <v>0</v>
      </c>
      <c r="Y319" s="57"/>
      <c r="Z319" s="57"/>
      <c r="AA319" s="57"/>
      <c r="AB319" s="57"/>
      <c r="AC319" s="57"/>
      <c r="AD319" s="57"/>
      <c r="AE319" s="58" t="s">
        <v>1121</v>
      </c>
      <c r="AF319" s="57"/>
      <c r="AG319" s="71">
        <f>(0.012*1.4+0.045*0.925)*0.44</f>
        <v>2.5707000000000001E-2</v>
      </c>
      <c r="AH319" s="63">
        <f>(2.3/0.75/2)*0.43</f>
        <v>0.65933333333333333</v>
      </c>
      <c r="AI319" s="63"/>
      <c r="AJ319" s="58">
        <v>9530</v>
      </c>
      <c r="AK319" s="57"/>
      <c r="AL319" s="58">
        <v>2.3E-3</v>
      </c>
      <c r="AM319" s="52" t="s">
        <v>958</v>
      </c>
      <c r="AN319" s="58">
        <v>440</v>
      </c>
      <c r="AO319" s="52" t="s">
        <v>962</v>
      </c>
      <c r="AP319" s="59">
        <f>IFERROR(VLOOKUP($A319,[2]Mssp!$A$5:$BE$1463,AP$4+1,0),0)</f>
        <v>0</v>
      </c>
      <c r="AQ319" s="59">
        <f>IFERROR(VLOOKUP($A319,[2]Mssp!$A$5:$BE$1463,AQ$4+1,0),0)</f>
        <v>0</v>
      </c>
      <c r="AR319" s="59">
        <f>IFERROR(VLOOKUP($A319,[2]Mssp!$A$5:$BE$1463,AR$4+1,0),0)</f>
        <v>0</v>
      </c>
      <c r="AS319" s="59">
        <f>IFERROR(VLOOKUP($A319,[2]Mssp!$A$5:$BE$1463,AS$4+1,0),0)</f>
        <v>0</v>
      </c>
      <c r="AT319" s="59">
        <f>IFERROR(VLOOKUP($A319,[2]Mssp!$A$5:$BE$1463,AT$4+1,0),0)</f>
        <v>0</v>
      </c>
      <c r="AU319" s="59">
        <f>IFERROR(VLOOKUP($A319,[2]Mssp!$A$5:$BE$1463,AU$4+1,0),0)</f>
        <v>0</v>
      </c>
      <c r="AV319" s="59">
        <f>IFERROR(VLOOKUP($A319,[2]Mssp!$A$5:$BE$1463,AV$4+1,0),0)</f>
        <v>0</v>
      </c>
      <c r="AW319" s="59">
        <f>IFERROR(VLOOKUP($A319,[2]Mssp!$A$5:$BE$1463,AW$4+1,0),0)</f>
        <v>0</v>
      </c>
      <c r="AX319" s="59">
        <f>IFERROR(VLOOKUP($A319,[2]Mssp!$A$5:$BE$1463,AX$4+1,0),0)</f>
        <v>0</v>
      </c>
      <c r="AY319" s="59">
        <f>IFERROR(VLOOKUP($A319,[2]Mssp!$A$5:$BE$1463,AY$4+2,0),0)</f>
        <v>0</v>
      </c>
      <c r="AZ319" s="59">
        <f>IFERROR(VLOOKUP($A319,[2]Mssp!$A$5:$BE$1463,AZ$4+2,0),0)</f>
        <v>0</v>
      </c>
      <c r="BA319" s="60" t="s">
        <v>106</v>
      </c>
      <c r="BB319" s="61" t="s">
        <v>107</v>
      </c>
      <c r="BC319" s="62"/>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9"/>
      <c r="CK319" s="9"/>
      <c r="CL319" s="9"/>
      <c r="CM319" s="9"/>
      <c r="CN319" s="9"/>
      <c r="CO319" s="9"/>
      <c r="CP319" s="9"/>
    </row>
    <row r="320" spans="1:94" ht="45" x14ac:dyDescent="0.25">
      <c r="A320" s="50" t="s">
        <v>1122</v>
      </c>
      <c r="B320" s="73" t="s">
        <v>1123</v>
      </c>
      <c r="C320" s="50">
        <f t="shared" si="10"/>
        <v>0</v>
      </c>
      <c r="D320" s="58">
        <v>1</v>
      </c>
      <c r="E320" s="58" t="s">
        <v>1084</v>
      </c>
      <c r="F320" s="58">
        <v>0</v>
      </c>
      <c r="G320" s="50" t="s">
        <v>1010</v>
      </c>
      <c r="H320" s="50">
        <f>VLOOKUP($A320,'[1]ma sp 02'!$A$5:$BD$1101,H$1,0)</f>
        <v>0</v>
      </c>
      <c r="I320" s="50">
        <f>VLOOKUP($A320,'[1]ma sp 02'!$A$5:$BD$1101,I$1,0)</f>
        <v>0</v>
      </c>
      <c r="J320" s="50">
        <f>VLOOKUP($A320,'[1]ma sp 02'!$A$5:$BD$1101,J$1,0)</f>
        <v>0</v>
      </c>
      <c r="K320" s="50">
        <f>VLOOKUP($A320,'[1]ma sp 02'!$A$5:$BD$1101,K$1,0)</f>
        <v>0</v>
      </c>
      <c r="L320" s="50">
        <f>VLOOKUP($A320,'[1]ma sp 02'!$A$5:$BD$1101,L$1,0)</f>
        <v>0</v>
      </c>
      <c r="M320" s="50">
        <f>VLOOKUP($A320,'[1]ma sp 02'!$A$5:$BD$1101,M$1,0)</f>
        <v>0</v>
      </c>
      <c r="N320" s="50">
        <f>VLOOKUP($A320,'[1]ma sp 02'!$A$5:$BD$1101,N$1,0)</f>
        <v>0</v>
      </c>
      <c r="O320" s="50">
        <f>VLOOKUP($A320,'[1]ma sp 02'!$A$5:$BD$1101,O$1,0)</f>
        <v>0</v>
      </c>
      <c r="P320" s="50">
        <f>VLOOKUP($A320,'[1]ma sp 02'!$A$5:$BD$1101,P$1,0)</f>
        <v>0</v>
      </c>
      <c r="Q320" s="50">
        <f>VLOOKUP($A320,'[1]ma sp 02'!$A$5:$BD$1101,Q$1,0)</f>
        <v>0</v>
      </c>
      <c r="R320" s="50">
        <f>VLOOKUP($A320,'[1]ma sp 02'!$A$5:$BD$1101,R$1,0)</f>
        <v>0</v>
      </c>
      <c r="S320" s="50">
        <f>VLOOKUP($A320,'[1]ma sp 02'!$A$5:$BD$1101,S$1,0)</f>
        <v>0</v>
      </c>
      <c r="T320" s="50">
        <f>VLOOKUP($A320,'[1]ma sp 02'!$A$5:$BD$1101,T$1,0)</f>
        <v>0</v>
      </c>
      <c r="U320" s="50">
        <f>VLOOKUP($A320,'[1]ma sp 02'!$A$5:$BD$1101,U$1,0)</f>
        <v>0</v>
      </c>
      <c r="V320" s="50">
        <f>VLOOKUP($A320,'[1]ma sp 02'!$A$5:$BD$1101,V$1,0)</f>
        <v>0</v>
      </c>
      <c r="W320" s="50">
        <f>VLOOKUP($A320,'[1]ma sp 02'!$A$5:$BD$1101,W$1,0)</f>
        <v>0</v>
      </c>
      <c r="X320" s="50">
        <f t="shared" si="9"/>
        <v>0</v>
      </c>
      <c r="Y320" s="57"/>
      <c r="Z320" s="57"/>
      <c r="AA320" s="57"/>
      <c r="AB320" s="57"/>
      <c r="AC320" s="57"/>
      <c r="AD320" s="57"/>
      <c r="AE320" s="58" t="s">
        <v>1085</v>
      </c>
      <c r="AF320" s="57"/>
      <c r="AG320" s="71">
        <f>(0.012*1.4+0.06*0.925)*0.52</f>
        <v>3.7596000000000004E-2</v>
      </c>
      <c r="AH320" s="63">
        <f>(2.3/0.75/2)*0.51</f>
        <v>0.78199999999999992</v>
      </c>
      <c r="AI320" s="63"/>
      <c r="AJ320" s="58">
        <v>9530</v>
      </c>
      <c r="AK320" s="57"/>
      <c r="AL320" s="58">
        <v>2.3E-3</v>
      </c>
      <c r="AM320" s="52" t="s">
        <v>958</v>
      </c>
      <c r="AN320" s="58">
        <v>520</v>
      </c>
      <c r="AO320" s="52" t="s">
        <v>962</v>
      </c>
      <c r="AP320" s="59">
        <f>IFERROR(VLOOKUP($A320,[2]Mssp!$A$5:$BE$1463,AP$4+1,0),0)</f>
        <v>0</v>
      </c>
      <c r="AQ320" s="59">
        <f>IFERROR(VLOOKUP($A320,[2]Mssp!$A$5:$BE$1463,AQ$4+1,0),0)</f>
        <v>0</v>
      </c>
      <c r="AR320" s="59">
        <f>IFERROR(VLOOKUP($A320,[2]Mssp!$A$5:$BE$1463,AR$4+1,0),0)</f>
        <v>0</v>
      </c>
      <c r="AS320" s="59">
        <f>IFERROR(VLOOKUP($A320,[2]Mssp!$A$5:$BE$1463,AS$4+1,0),0)</f>
        <v>0</v>
      </c>
      <c r="AT320" s="59">
        <f>IFERROR(VLOOKUP($A320,[2]Mssp!$A$5:$BE$1463,AT$4+1,0),0)</f>
        <v>0</v>
      </c>
      <c r="AU320" s="59">
        <f>IFERROR(VLOOKUP($A320,[2]Mssp!$A$5:$BE$1463,AU$4+1,0),0)</f>
        <v>0</v>
      </c>
      <c r="AV320" s="59">
        <f>IFERROR(VLOOKUP($A320,[2]Mssp!$A$5:$BE$1463,AV$4+1,0),0)</f>
        <v>0</v>
      </c>
      <c r="AW320" s="59">
        <f>IFERROR(VLOOKUP($A320,[2]Mssp!$A$5:$BE$1463,AW$4+1,0),0)</f>
        <v>0</v>
      </c>
      <c r="AX320" s="59">
        <f>IFERROR(VLOOKUP($A320,[2]Mssp!$A$5:$BE$1463,AX$4+1,0),0)</f>
        <v>0</v>
      </c>
      <c r="AY320" s="59">
        <f>IFERROR(VLOOKUP($A320,[2]Mssp!$A$5:$BE$1463,AY$4+2,0),0)</f>
        <v>0</v>
      </c>
      <c r="AZ320" s="59">
        <f>IFERROR(VLOOKUP($A320,[2]Mssp!$A$5:$BE$1463,AZ$4+2,0),0)</f>
        <v>0</v>
      </c>
      <c r="BA320" s="60" t="s">
        <v>106</v>
      </c>
      <c r="BB320" s="61" t="s">
        <v>107</v>
      </c>
      <c r="BC320" s="62"/>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c r="CK320" s="9"/>
      <c r="CL320" s="9"/>
      <c r="CM320" s="9"/>
      <c r="CN320" s="9"/>
      <c r="CO320" s="9"/>
      <c r="CP320" s="9"/>
    </row>
    <row r="321" spans="1:94" ht="45" x14ac:dyDescent="0.25">
      <c r="A321" s="50" t="s">
        <v>1124</v>
      </c>
      <c r="B321" s="73" t="s">
        <v>1125</v>
      </c>
      <c r="C321" s="50">
        <f t="shared" si="10"/>
        <v>7</v>
      </c>
      <c r="D321" s="58">
        <v>1</v>
      </c>
      <c r="E321" s="58" t="s">
        <v>102</v>
      </c>
      <c r="F321" s="58">
        <v>8</v>
      </c>
      <c r="G321" s="50" t="s">
        <v>56</v>
      </c>
      <c r="H321" s="50">
        <f>VLOOKUP($A321,'[1]ma sp 02'!$A$5:$BD$1101,H$1,0)</f>
        <v>0.1</v>
      </c>
      <c r="I321" s="50">
        <f>VLOOKUP($A321,'[1]ma sp 02'!$A$5:$BD$1101,I$1,0)</f>
        <v>2.8</v>
      </c>
      <c r="J321" s="50">
        <f>VLOOKUP($A321,'[1]ma sp 02'!$A$5:$BD$1101,J$1,0)</f>
        <v>2.5</v>
      </c>
      <c r="K321" s="50">
        <f>VLOOKUP($A321,'[1]ma sp 02'!$A$5:$BD$1101,K$1,0)</f>
        <v>0.4</v>
      </c>
      <c r="L321" s="50">
        <f>VLOOKUP($A321,'[1]ma sp 02'!$A$5:$BD$1101,L$1,0)</f>
        <v>0.1</v>
      </c>
      <c r="M321" s="50">
        <f>VLOOKUP($A321,'[1]ma sp 02'!$A$5:$BD$1101,M$1,0)</f>
        <v>1</v>
      </c>
      <c r="N321" s="50">
        <f>VLOOKUP($A321,'[1]ma sp 02'!$A$5:$BD$1101,N$1,0)</f>
        <v>0</v>
      </c>
      <c r="O321" s="50">
        <f>VLOOKUP($A321,'[1]ma sp 02'!$A$5:$BD$1101,O$1,0)</f>
        <v>0.1</v>
      </c>
      <c r="P321" s="50">
        <f>VLOOKUP($A321,'[1]ma sp 02'!$A$5:$BD$1101,P$1,0)</f>
        <v>0</v>
      </c>
      <c r="Q321" s="50">
        <f>VLOOKUP($A321,'[1]ma sp 02'!$A$5:$BD$1101,Q$1,0)</f>
        <v>0</v>
      </c>
      <c r="R321" s="50">
        <f>VLOOKUP($A321,'[1]ma sp 02'!$A$5:$BD$1101,R$1,0)</f>
        <v>0</v>
      </c>
      <c r="S321" s="50">
        <f>VLOOKUP($A321,'[1]ma sp 02'!$A$5:$BD$1101,S$1,0)</f>
        <v>0</v>
      </c>
      <c r="T321" s="50">
        <f>VLOOKUP($A321,'[1]ma sp 02'!$A$5:$BD$1101,T$1,0)</f>
        <v>0</v>
      </c>
      <c r="U321" s="50">
        <f>VLOOKUP($A321,'[1]ma sp 02'!$A$5:$BD$1101,U$1,0)</f>
        <v>0</v>
      </c>
      <c r="V321" s="50">
        <f>VLOOKUP($A321,'[1]ma sp 02'!$A$5:$BD$1101,V$1,0)</f>
        <v>0</v>
      </c>
      <c r="W321" s="50">
        <f>VLOOKUP($A321,'[1]ma sp 02'!$A$5:$BD$1101,W$1,0)</f>
        <v>0</v>
      </c>
      <c r="X321" s="50">
        <f t="shared" si="9"/>
        <v>7</v>
      </c>
      <c r="Y321" s="57"/>
      <c r="Z321" s="57"/>
      <c r="AA321" s="57"/>
      <c r="AB321" s="57"/>
      <c r="AC321" s="57"/>
      <c r="AD321" s="57"/>
      <c r="AE321" s="58" t="s">
        <v>822</v>
      </c>
      <c r="AF321" s="57"/>
      <c r="AG321" s="71">
        <f>(0.02*0.91+0.07*0.925)*0.46</f>
        <v>3.815700000000001E-2</v>
      </c>
      <c r="AH321" s="63">
        <f>(2.5/0.75/2)*0.45</f>
        <v>0.75</v>
      </c>
      <c r="AI321" s="63"/>
      <c r="AJ321" s="58">
        <v>9530</v>
      </c>
      <c r="AK321" s="57"/>
      <c r="AL321" s="58">
        <v>2.5000000000000001E-3</v>
      </c>
      <c r="AM321" s="52" t="s">
        <v>104</v>
      </c>
      <c r="AN321" s="58">
        <v>440</v>
      </c>
      <c r="AO321" s="52" t="s">
        <v>657</v>
      </c>
      <c r="AP321" s="59" t="str">
        <f>IFERROR(VLOOKUP($A321,[2]Mssp!$A$5:$BE$1463,AP$4+1,0),0)</f>
        <v>1711632-1</v>
      </c>
      <c r="AQ321" s="59" t="str">
        <f>IFERROR(VLOOKUP($A321,[2]Mssp!$A$5:$BE$1463,AQ$4+1,0),0)</f>
        <v>1711632-2</v>
      </c>
      <c r="AR321" s="59" t="str">
        <f>IFERROR(VLOOKUP($A321,[2]Mssp!$A$5:$BE$1463,AR$4+1,0),0)</f>
        <v>1711632-3</v>
      </c>
      <c r="AS321" s="59" t="str">
        <f>IFERROR(VLOOKUP($A321,[2]Mssp!$A$5:$BE$1463,AS$4+1,0),0)</f>
        <v>1711632-4</v>
      </c>
      <c r="AT321" s="59" t="str">
        <f>IFERROR(VLOOKUP($A321,[2]Mssp!$A$5:$BE$1463,AT$4+1,0),0)</f>
        <v>1711632-5</v>
      </c>
      <c r="AU321" s="59" t="str">
        <f>IFERROR(VLOOKUP($A321,[2]Mssp!$A$5:$BE$1463,AU$4+1,0),0)</f>
        <v>1711632-6</v>
      </c>
      <c r="AV321" s="59" t="str">
        <f>IFERROR(VLOOKUP($A321,[2]Mssp!$A$5:$BE$1463,AV$4+1,0),0)</f>
        <v>1711632-7</v>
      </c>
      <c r="AW321" s="59" t="str">
        <f>IFERROR(VLOOKUP($A321,[2]Mssp!$A$5:$BE$1463,AW$4+1,0),0)</f>
        <v>1711632-8</v>
      </c>
      <c r="AX321" s="59">
        <f>IFERROR(VLOOKUP($A321,[2]Mssp!$A$5:$BE$1463,AX$4+1,0),0)</f>
        <v>0</v>
      </c>
      <c r="AY321" s="59" t="str">
        <f>IFERROR(VLOOKUP($A321,[2]Mssp!$A$5:$BE$1463,AY$4+2,0),0)</f>
        <v>610x750</v>
      </c>
      <c r="AZ321" s="59" t="str">
        <f>IFERROR(VLOOKUP($A321,[2]Mssp!$A$5:$BE$1463,AZ$4+2,0),0)</f>
        <v>P1</v>
      </c>
      <c r="BA321" s="60" t="s">
        <v>106</v>
      </c>
      <c r="BB321" s="61" t="s">
        <v>107</v>
      </c>
      <c r="BC321" s="62"/>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c r="CK321" s="9"/>
      <c r="CL321" s="9"/>
      <c r="CM321" s="9"/>
      <c r="CN321" s="9"/>
      <c r="CO321" s="9"/>
      <c r="CP321" s="9"/>
    </row>
    <row r="322" spans="1:94" ht="45" x14ac:dyDescent="0.25">
      <c r="A322" s="50" t="s">
        <v>1126</v>
      </c>
      <c r="B322" s="73" t="s">
        <v>1127</v>
      </c>
      <c r="C322" s="50">
        <f t="shared" si="10"/>
        <v>3.51</v>
      </c>
      <c r="D322" s="58">
        <v>2</v>
      </c>
      <c r="E322" s="58" t="s">
        <v>588</v>
      </c>
      <c r="F322" s="58">
        <v>2</v>
      </c>
      <c r="G322" s="50" t="s">
        <v>184</v>
      </c>
      <c r="H322" s="50">
        <f>VLOOKUP($A322,'[1]ma sp 02'!$A$5:$BD$1101,H$1,0)</f>
        <v>0.1</v>
      </c>
      <c r="I322" s="50">
        <f>VLOOKUP($A322,'[1]ma sp 02'!$A$5:$BD$1101,I$1,0)</f>
        <v>2.31</v>
      </c>
      <c r="J322" s="50">
        <f>VLOOKUP($A322,'[1]ma sp 02'!$A$5:$BD$1101,J$1,0)</f>
        <v>0.1</v>
      </c>
      <c r="K322" s="50">
        <f>VLOOKUP($A322,'[1]ma sp 02'!$A$5:$BD$1101,K$1,0)</f>
        <v>0</v>
      </c>
      <c r="L322" s="50">
        <f>VLOOKUP($A322,'[1]ma sp 02'!$A$5:$BD$1101,L$1,0)</f>
        <v>0</v>
      </c>
      <c r="M322" s="50">
        <f>VLOOKUP($A322,'[1]ma sp 02'!$A$5:$BD$1101,M$1,0)</f>
        <v>0</v>
      </c>
      <c r="N322" s="50">
        <f>VLOOKUP($A322,'[1]ma sp 02'!$A$5:$BD$1101,N$1,0)</f>
        <v>0.52</v>
      </c>
      <c r="O322" s="50">
        <f>VLOOKUP($A322,'[1]ma sp 02'!$A$5:$BD$1101,O$1,0)</f>
        <v>0</v>
      </c>
      <c r="P322" s="50">
        <f>VLOOKUP($A322,'[1]ma sp 02'!$A$5:$BD$1101,P$1,0)</f>
        <v>0</v>
      </c>
      <c r="Q322" s="50">
        <f>VLOOKUP($A322,'[1]ma sp 02'!$A$5:$BD$1101,Q$1,0)</f>
        <v>0.21</v>
      </c>
      <c r="R322" s="50">
        <f>VLOOKUP($A322,'[1]ma sp 02'!$A$5:$BD$1101,R$1,0)</f>
        <v>0</v>
      </c>
      <c r="S322" s="50">
        <f>VLOOKUP($A322,'[1]ma sp 02'!$A$5:$BD$1101,S$1,0)</f>
        <v>0.26</v>
      </c>
      <c r="T322" s="50">
        <f>VLOOKUP($A322,'[1]ma sp 02'!$A$5:$BD$1101,T$1,0)</f>
        <v>0</v>
      </c>
      <c r="U322" s="50">
        <f>VLOOKUP($A322,'[1]ma sp 02'!$A$5:$BD$1101,U$1,0)</f>
        <v>0.01</v>
      </c>
      <c r="V322" s="50">
        <f>VLOOKUP($A322,'[1]ma sp 02'!$A$5:$BD$1101,V$1,0)</f>
        <v>0</v>
      </c>
      <c r="W322" s="50">
        <f>VLOOKUP($A322,'[1]ma sp 02'!$A$5:$BD$1101,W$1,0)</f>
        <v>0</v>
      </c>
      <c r="X322" s="50">
        <f t="shared" si="9"/>
        <v>7</v>
      </c>
      <c r="Y322" s="57"/>
      <c r="Z322" s="57"/>
      <c r="AA322" s="57"/>
      <c r="AB322" s="57"/>
      <c r="AC322" s="57"/>
      <c r="AD322" s="57"/>
      <c r="AE322" s="58" t="s">
        <v>1128</v>
      </c>
      <c r="AF322" s="57"/>
      <c r="AG322" s="71">
        <f>(0.02*0.91+0.045*0.91)*0.6</f>
        <v>3.5490000000000001E-2</v>
      </c>
      <c r="AH322" s="63">
        <f>(2.3/0.75/2)*0.59</f>
        <v>0.90466666666666651</v>
      </c>
      <c r="AI322" s="63"/>
      <c r="AJ322" s="58">
        <v>9530</v>
      </c>
      <c r="AK322" s="57"/>
      <c r="AL322" s="58">
        <v>2.3E-3</v>
      </c>
      <c r="AM322" s="52" t="s">
        <v>60</v>
      </c>
      <c r="AN322" s="58">
        <v>155</v>
      </c>
      <c r="AO322" s="52" t="s">
        <v>1129</v>
      </c>
      <c r="AP322" s="59" t="str">
        <f>IFERROR(VLOOKUP($A322,[2]Mssp!$A$5:$BE$1463,AP$4+1,0),0)</f>
        <v>F119426-1</v>
      </c>
      <c r="AQ322" s="59" t="str">
        <f>IFERROR(VLOOKUP($A322,[2]Mssp!$A$5:$BE$1463,AQ$4+1,0),0)</f>
        <v>F119426-2</v>
      </c>
      <c r="AR322" s="59">
        <f>IFERROR(VLOOKUP($A322,[2]Mssp!$A$5:$BE$1463,AR$4+1,0),0)</f>
        <v>0</v>
      </c>
      <c r="AS322" s="59">
        <f>IFERROR(VLOOKUP($A322,[2]Mssp!$A$5:$BE$1463,AS$4+1,0),0)</f>
        <v>0</v>
      </c>
      <c r="AT322" s="59">
        <f>IFERROR(VLOOKUP($A322,[2]Mssp!$A$5:$BE$1463,AT$4+1,0),0)</f>
        <v>0</v>
      </c>
      <c r="AU322" s="59">
        <f>IFERROR(VLOOKUP($A322,[2]Mssp!$A$5:$BE$1463,AU$4+1,0),0)</f>
        <v>0</v>
      </c>
      <c r="AV322" s="59">
        <f>IFERROR(VLOOKUP($A322,[2]Mssp!$A$5:$BE$1463,AV$4+1,0),0)</f>
        <v>0</v>
      </c>
      <c r="AW322" s="59">
        <f>IFERROR(VLOOKUP($A322,[2]Mssp!$A$5:$BE$1463,AW$4+1,0),0)</f>
        <v>0</v>
      </c>
      <c r="AX322" s="59">
        <f>IFERROR(VLOOKUP($A322,[2]Mssp!$A$5:$BE$1463,AX$4+1,0),0)</f>
        <v>0</v>
      </c>
      <c r="AY322" s="59" t="str">
        <f>IFERROR(VLOOKUP($A322,[2]Mssp!$A$5:$BE$1463,AY$4+2,0),0)</f>
        <v>465x860</v>
      </c>
      <c r="AZ322" s="59" t="str">
        <f>IFERROR(VLOOKUP($A322,[2]Mssp!$A$5:$BE$1463,AZ$4+2,0),0)</f>
        <v>P1</v>
      </c>
      <c r="BA322" s="60">
        <v>8000</v>
      </c>
      <c r="BB322" s="61" t="s">
        <v>62</v>
      </c>
      <c r="BC322" s="62"/>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c r="CK322" s="9"/>
      <c r="CL322" s="9"/>
      <c r="CM322" s="9"/>
      <c r="CN322" s="9"/>
      <c r="CO322" s="9"/>
      <c r="CP322" s="9"/>
    </row>
    <row r="323" spans="1:94" ht="45" x14ac:dyDescent="0.25">
      <c r="A323" s="50" t="s">
        <v>1130</v>
      </c>
      <c r="B323" s="73" t="s">
        <v>1131</v>
      </c>
      <c r="C323" s="50">
        <f t="shared" si="10"/>
        <v>12.09</v>
      </c>
      <c r="D323" s="58">
        <v>1</v>
      </c>
      <c r="E323" s="58" t="s">
        <v>873</v>
      </c>
      <c r="F323" s="58">
        <v>7</v>
      </c>
      <c r="G323" s="50" t="s">
        <v>530</v>
      </c>
      <c r="H323" s="50">
        <f>VLOOKUP($A323,'[1]ma sp 02'!$A$5:$BD$1101,H$1,0)</f>
        <v>0.31</v>
      </c>
      <c r="I323" s="50">
        <f>VLOOKUP($A323,'[1]ma sp 02'!$A$5:$BD$1101,I$1,0)</f>
        <v>4.84</v>
      </c>
      <c r="J323" s="50">
        <f>VLOOKUP($A323,'[1]ma sp 02'!$A$5:$BD$1101,J$1,0)</f>
        <v>0.57999999999999996</v>
      </c>
      <c r="K323" s="50">
        <f>VLOOKUP($A323,'[1]ma sp 02'!$A$5:$BD$1101,K$1,0)</f>
        <v>0.31</v>
      </c>
      <c r="L323" s="50">
        <f>VLOOKUP($A323,'[1]ma sp 02'!$A$5:$BD$1101,L$1,0)</f>
        <v>4.8</v>
      </c>
      <c r="M323" s="50">
        <f>VLOOKUP($A323,'[1]ma sp 02'!$A$5:$BD$1101,M$1,0)</f>
        <v>1.08</v>
      </c>
      <c r="N323" s="50">
        <f>VLOOKUP($A323,'[1]ma sp 02'!$A$5:$BD$1101,N$1,0)</f>
        <v>0</v>
      </c>
      <c r="O323" s="50">
        <f>VLOOKUP($A323,'[1]ma sp 02'!$A$5:$BD$1101,O$1,0)</f>
        <v>0.01</v>
      </c>
      <c r="P323" s="50">
        <f>VLOOKUP($A323,'[1]ma sp 02'!$A$5:$BD$1101,P$1,0)</f>
        <v>0.15</v>
      </c>
      <c r="Q323" s="50">
        <f>VLOOKUP($A323,'[1]ma sp 02'!$A$5:$BD$1101,Q$1,0)</f>
        <v>0</v>
      </c>
      <c r="R323" s="50">
        <f>VLOOKUP($A323,'[1]ma sp 02'!$A$5:$BD$1101,R$1,0)</f>
        <v>0</v>
      </c>
      <c r="S323" s="50">
        <f>VLOOKUP($A323,'[1]ma sp 02'!$A$5:$BD$1101,S$1,0)</f>
        <v>0</v>
      </c>
      <c r="T323" s="50">
        <f>VLOOKUP($A323,'[1]ma sp 02'!$A$5:$BD$1101,T$1,0)</f>
        <v>0.01</v>
      </c>
      <c r="U323" s="50">
        <f>VLOOKUP($A323,'[1]ma sp 02'!$A$5:$BD$1101,U$1,0)</f>
        <v>0</v>
      </c>
      <c r="V323" s="50">
        <f>VLOOKUP($A323,'[1]ma sp 02'!$A$5:$BD$1101,V$1,0)</f>
        <v>0</v>
      </c>
      <c r="W323" s="50">
        <f>VLOOKUP($A323,'[1]ma sp 02'!$A$5:$BD$1101,W$1,0)</f>
        <v>0</v>
      </c>
      <c r="X323" s="50">
        <f t="shared" si="9"/>
        <v>9</v>
      </c>
      <c r="Y323" s="57"/>
      <c r="Z323" s="57"/>
      <c r="AA323" s="57"/>
      <c r="AB323" s="57"/>
      <c r="AC323" s="57"/>
      <c r="AD323" s="57"/>
      <c r="AE323" s="58" t="s">
        <v>874</v>
      </c>
      <c r="AF323" s="57"/>
      <c r="AG323" s="71">
        <f>(0.015*1.15+0.085*0.925)*0.56</f>
        <v>5.3690000000000015E-2</v>
      </c>
      <c r="AH323" s="63">
        <f>(2.3/0.75/2)*0.57</f>
        <v>0.87399999999999989</v>
      </c>
      <c r="AI323" s="63"/>
      <c r="AJ323" s="58">
        <v>9530</v>
      </c>
      <c r="AK323" s="57"/>
      <c r="AL323" s="58">
        <v>2.3E-3</v>
      </c>
      <c r="AM323" s="52" t="s">
        <v>74</v>
      </c>
      <c r="AN323" s="58">
        <v>200</v>
      </c>
      <c r="AO323" s="52" t="s">
        <v>527</v>
      </c>
      <c r="AP323" s="59" t="str">
        <f>IFERROR(VLOOKUP($A323,[2]Mssp!$A$5:$BE$1463,AP$4+1,0),0)</f>
        <v>1711961-1</v>
      </c>
      <c r="AQ323" s="59" t="str">
        <f>IFERROR(VLOOKUP($A323,[2]Mssp!$A$5:$BE$1463,AQ$4+1,0),0)</f>
        <v>1711961-2</v>
      </c>
      <c r="AR323" s="59" t="str">
        <f>IFERROR(VLOOKUP($A323,[2]Mssp!$A$5:$BE$1463,AR$4+1,0),0)</f>
        <v>1711961-3</v>
      </c>
      <c r="AS323" s="59" t="str">
        <f>IFERROR(VLOOKUP($A323,[2]Mssp!$A$5:$BE$1463,AS$4+1,0),0)</f>
        <v>1711961-4</v>
      </c>
      <c r="AT323" s="59" t="str">
        <f>IFERROR(VLOOKUP($A323,[2]Mssp!$A$5:$BE$1463,AT$4+1,0),0)</f>
        <v>1711961-5</v>
      </c>
      <c r="AU323" s="59" t="str">
        <f>IFERROR(VLOOKUP($A323,[2]Mssp!$A$5:$BE$1463,AU$4+1,0),0)</f>
        <v>1711961-6</v>
      </c>
      <c r="AV323" s="59" t="str">
        <f>IFERROR(VLOOKUP($A323,[2]Mssp!$A$5:$BE$1463,AV$4+1,0),0)</f>
        <v>1711961-7</v>
      </c>
      <c r="AW323" s="59">
        <f>IFERROR(VLOOKUP($A323,[2]Mssp!$A$5:$BE$1463,AW$4+1,0),0)</f>
        <v>0</v>
      </c>
      <c r="AX323" s="59">
        <f>IFERROR(VLOOKUP($A323,[2]Mssp!$A$5:$BE$1463,AX$4+1,0),0)</f>
        <v>0</v>
      </c>
      <c r="AY323" s="59" t="str">
        <f>IFERROR(VLOOKUP($A323,[2]Mssp!$A$5:$BE$1463,AY$4+2,0),0)</f>
        <v>840x456</v>
      </c>
      <c r="AZ323" s="59" t="str">
        <f>IFERROR(VLOOKUP($A323,[2]Mssp!$A$5:$BE$1463,AZ$4+2,0),0)</f>
        <v>I3</v>
      </c>
      <c r="BA323" s="60">
        <v>3000</v>
      </c>
      <c r="BB323" s="61" t="s">
        <v>62</v>
      </c>
      <c r="BC323" s="62"/>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9"/>
      <c r="CK323" s="9"/>
      <c r="CL323" s="9"/>
      <c r="CM323" s="9"/>
      <c r="CN323" s="9"/>
      <c r="CO323" s="9"/>
      <c r="CP323" s="9"/>
    </row>
    <row r="324" spans="1:94" ht="75" x14ac:dyDescent="0.25">
      <c r="A324" s="50" t="s">
        <v>1132</v>
      </c>
      <c r="B324" s="73" t="s">
        <v>1133</v>
      </c>
      <c r="C324" s="50">
        <f t="shared" si="10"/>
        <v>0</v>
      </c>
      <c r="D324" s="58">
        <v>1</v>
      </c>
      <c r="E324" s="58" t="s">
        <v>1134</v>
      </c>
      <c r="F324" s="58">
        <v>0</v>
      </c>
      <c r="G324" s="50" t="s">
        <v>530</v>
      </c>
      <c r="H324" s="50">
        <f>VLOOKUP($A324,'[1]ma sp 02'!$A$5:$BD$1101,H$1,0)</f>
        <v>0</v>
      </c>
      <c r="I324" s="50">
        <f>VLOOKUP($A324,'[1]ma sp 02'!$A$5:$BD$1101,I$1,0)</f>
        <v>0</v>
      </c>
      <c r="J324" s="50">
        <f>VLOOKUP($A324,'[1]ma sp 02'!$A$5:$BD$1101,J$1,0)</f>
        <v>0</v>
      </c>
      <c r="K324" s="50">
        <f>VLOOKUP($A324,'[1]ma sp 02'!$A$5:$BD$1101,K$1,0)</f>
        <v>0</v>
      </c>
      <c r="L324" s="50">
        <f>VLOOKUP($A324,'[1]ma sp 02'!$A$5:$BD$1101,L$1,0)</f>
        <v>0</v>
      </c>
      <c r="M324" s="50">
        <f>VLOOKUP($A324,'[1]ma sp 02'!$A$5:$BD$1101,M$1,0)</f>
        <v>0</v>
      </c>
      <c r="N324" s="50">
        <f>VLOOKUP($A324,'[1]ma sp 02'!$A$5:$BD$1101,N$1,0)</f>
        <v>0</v>
      </c>
      <c r="O324" s="50">
        <f>VLOOKUP($A324,'[1]ma sp 02'!$A$5:$BD$1101,O$1,0)</f>
        <v>0</v>
      </c>
      <c r="P324" s="50">
        <f>VLOOKUP($A324,'[1]ma sp 02'!$A$5:$BD$1101,P$1,0)</f>
        <v>0</v>
      </c>
      <c r="Q324" s="50">
        <f>VLOOKUP($A324,'[1]ma sp 02'!$A$5:$BD$1101,Q$1,0)</f>
        <v>0</v>
      </c>
      <c r="R324" s="50">
        <f>VLOOKUP($A324,'[1]ma sp 02'!$A$5:$BD$1101,R$1,0)</f>
        <v>0</v>
      </c>
      <c r="S324" s="50">
        <f>VLOOKUP($A324,'[1]ma sp 02'!$A$5:$BD$1101,S$1,0)</f>
        <v>0</v>
      </c>
      <c r="T324" s="50">
        <f>VLOOKUP($A324,'[1]ma sp 02'!$A$5:$BD$1101,T$1,0)</f>
        <v>0</v>
      </c>
      <c r="U324" s="50">
        <f>VLOOKUP($A324,'[1]ma sp 02'!$A$5:$BD$1101,U$1,0)</f>
        <v>0</v>
      </c>
      <c r="V324" s="50">
        <f>VLOOKUP($A324,'[1]ma sp 02'!$A$5:$BD$1101,V$1,0)</f>
        <v>0</v>
      </c>
      <c r="W324" s="50">
        <f>VLOOKUP($A324,'[1]ma sp 02'!$A$5:$BD$1101,W$1,0)</f>
        <v>0</v>
      </c>
      <c r="X324" s="50">
        <f t="shared" si="9"/>
        <v>0</v>
      </c>
      <c r="Y324" s="57"/>
      <c r="Z324" s="57"/>
      <c r="AA324" s="57"/>
      <c r="AB324" s="57"/>
      <c r="AC324" s="57"/>
      <c r="AD324" s="57"/>
      <c r="AE324" s="58" t="s">
        <v>1135</v>
      </c>
      <c r="AF324" s="58" t="s">
        <v>1136</v>
      </c>
      <c r="AG324" s="71">
        <f>(0.012*1.4+0.006*2.71+0.075*0.925)*0.87</f>
        <v>8.9118450000000002E-2</v>
      </c>
      <c r="AH324" s="63">
        <f>(2.3/0.75/2)*0.86</f>
        <v>1.3186666666666667</v>
      </c>
      <c r="AI324" s="63">
        <f>(2.3/0.75/2)*0.86</f>
        <v>1.3186666666666667</v>
      </c>
      <c r="AJ324" s="58">
        <v>9530</v>
      </c>
      <c r="AK324" s="58">
        <v>9530</v>
      </c>
      <c r="AL324" s="58" t="s">
        <v>354</v>
      </c>
      <c r="AM324" s="52" t="s">
        <v>1137</v>
      </c>
      <c r="AN324" s="58">
        <v>870</v>
      </c>
      <c r="AO324" s="52" t="s">
        <v>962</v>
      </c>
      <c r="AP324" s="59">
        <f>IFERROR(VLOOKUP($A324,[2]Mssp!$A$5:$BE$1463,AP$4+1,0),0)</f>
        <v>0</v>
      </c>
      <c r="AQ324" s="59">
        <f>IFERROR(VLOOKUP($A324,[2]Mssp!$A$5:$BE$1463,AQ$4+1,0),0)</f>
        <v>0</v>
      </c>
      <c r="AR324" s="59">
        <f>IFERROR(VLOOKUP($A324,[2]Mssp!$A$5:$BE$1463,AR$4+1,0),0)</f>
        <v>0</v>
      </c>
      <c r="AS324" s="59">
        <f>IFERROR(VLOOKUP($A324,[2]Mssp!$A$5:$BE$1463,AS$4+1,0),0)</f>
        <v>0</v>
      </c>
      <c r="AT324" s="59">
        <f>IFERROR(VLOOKUP($A324,[2]Mssp!$A$5:$BE$1463,AT$4+1,0),0)</f>
        <v>0</v>
      </c>
      <c r="AU324" s="59">
        <f>IFERROR(VLOOKUP($A324,[2]Mssp!$A$5:$BE$1463,AU$4+1,0),0)</f>
        <v>0</v>
      </c>
      <c r="AV324" s="59">
        <f>IFERROR(VLOOKUP($A324,[2]Mssp!$A$5:$BE$1463,AV$4+1,0),0)</f>
        <v>0</v>
      </c>
      <c r="AW324" s="59">
        <f>IFERROR(VLOOKUP($A324,[2]Mssp!$A$5:$BE$1463,AW$4+1,0),0)</f>
        <v>0</v>
      </c>
      <c r="AX324" s="59">
        <f>IFERROR(VLOOKUP($A324,[2]Mssp!$A$5:$BE$1463,AX$4+1,0),0)</f>
        <v>0</v>
      </c>
      <c r="AY324" s="59">
        <f>IFERROR(VLOOKUP($A324,[2]Mssp!$A$5:$BE$1463,AY$4+2,0),0)</f>
        <v>0</v>
      </c>
      <c r="AZ324" s="59">
        <f>IFERROR(VLOOKUP($A324,[2]Mssp!$A$5:$BE$1463,AZ$4+2,0),0)</f>
        <v>0</v>
      </c>
      <c r="BA324" s="60" t="s">
        <v>106</v>
      </c>
      <c r="BB324" s="61" t="s">
        <v>107</v>
      </c>
      <c r="BC324" s="62"/>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c r="CK324" s="9"/>
      <c r="CL324" s="9"/>
      <c r="CM324" s="9"/>
      <c r="CN324" s="9"/>
      <c r="CO324" s="9"/>
      <c r="CP324" s="9"/>
    </row>
    <row r="325" spans="1:94" ht="45" x14ac:dyDescent="0.25">
      <c r="A325" s="50" t="s">
        <v>1138</v>
      </c>
      <c r="B325" s="73" t="s">
        <v>1139</v>
      </c>
      <c r="C325" s="50">
        <f t="shared" si="10"/>
        <v>4.0599999999999996</v>
      </c>
      <c r="D325" s="58">
        <v>3</v>
      </c>
      <c r="E325" s="58" t="s">
        <v>131</v>
      </c>
      <c r="F325" s="58">
        <v>7</v>
      </c>
      <c r="G325" s="50" t="s">
        <v>530</v>
      </c>
      <c r="H325" s="50">
        <f>VLOOKUP($A325,'[1]ma sp 02'!$A$5:$BD$1101,H$1,0)</f>
        <v>0.19</v>
      </c>
      <c r="I325" s="50">
        <f>VLOOKUP($A325,'[1]ma sp 02'!$A$5:$BD$1101,I$1,0)</f>
        <v>2.13</v>
      </c>
      <c r="J325" s="50">
        <f>VLOOKUP($A325,'[1]ma sp 02'!$A$5:$BD$1101,J$1,0)</f>
        <v>0.01</v>
      </c>
      <c r="K325" s="50">
        <f>VLOOKUP($A325,'[1]ma sp 02'!$A$5:$BD$1101,K$1,0)</f>
        <v>0.2</v>
      </c>
      <c r="L325" s="50">
        <f>VLOOKUP($A325,'[1]ma sp 02'!$A$5:$BD$1101,L$1,0)</f>
        <v>0.67</v>
      </c>
      <c r="M325" s="50">
        <f>VLOOKUP($A325,'[1]ma sp 02'!$A$5:$BD$1101,M$1,0)</f>
        <v>0.48</v>
      </c>
      <c r="N325" s="50">
        <f>VLOOKUP($A325,'[1]ma sp 02'!$A$5:$BD$1101,N$1,0)</f>
        <v>0</v>
      </c>
      <c r="O325" s="50">
        <f>VLOOKUP($A325,'[1]ma sp 02'!$A$5:$BD$1101,O$1,0)</f>
        <v>0</v>
      </c>
      <c r="P325" s="50">
        <f>VLOOKUP($A325,'[1]ma sp 02'!$A$5:$BD$1101,P$1,0)</f>
        <v>0.28000000000000003</v>
      </c>
      <c r="Q325" s="50">
        <f>VLOOKUP($A325,'[1]ma sp 02'!$A$5:$BD$1101,Q$1,0)</f>
        <v>0</v>
      </c>
      <c r="R325" s="50">
        <f>VLOOKUP($A325,'[1]ma sp 02'!$A$5:$BD$1101,R$1,0)</f>
        <v>0.1</v>
      </c>
      <c r="S325" s="50">
        <f>VLOOKUP($A325,'[1]ma sp 02'!$A$5:$BD$1101,S$1,0)</f>
        <v>0</v>
      </c>
      <c r="T325" s="50">
        <f>VLOOKUP($A325,'[1]ma sp 02'!$A$5:$BD$1101,T$1,0)</f>
        <v>0</v>
      </c>
      <c r="U325" s="50">
        <f>VLOOKUP($A325,'[1]ma sp 02'!$A$5:$BD$1101,U$1,0)</f>
        <v>0</v>
      </c>
      <c r="V325" s="50">
        <f>VLOOKUP($A325,'[1]ma sp 02'!$A$5:$BD$1101,V$1,0)</f>
        <v>0</v>
      </c>
      <c r="W325" s="50">
        <f>VLOOKUP($A325,'[1]ma sp 02'!$A$5:$BD$1101,W$1,0)</f>
        <v>0</v>
      </c>
      <c r="X325" s="50">
        <f t="shared" si="9"/>
        <v>8</v>
      </c>
      <c r="Y325" s="57"/>
      <c r="Z325" s="57"/>
      <c r="AA325" s="57"/>
      <c r="AB325" s="57"/>
      <c r="AC325" s="57"/>
      <c r="AD325" s="57"/>
      <c r="AE325" s="58" t="s">
        <v>219</v>
      </c>
      <c r="AF325" s="58" t="s">
        <v>717</v>
      </c>
      <c r="AG325" s="71">
        <f>(0.012*1.4+0.006*2.71+0.075*0.925)*0.63</f>
        <v>6.4534049999999996E-2</v>
      </c>
      <c r="AH325" s="63">
        <f t="shared" ref="AH325:AI327" si="11">(2.3/0.75/2)*0.61</f>
        <v>0.93533333333333324</v>
      </c>
      <c r="AI325" s="63">
        <f t="shared" si="11"/>
        <v>0.93533333333333324</v>
      </c>
      <c r="AJ325" s="58">
        <v>9530</v>
      </c>
      <c r="AK325" s="58">
        <v>9530</v>
      </c>
      <c r="AL325" s="58" t="s">
        <v>354</v>
      </c>
      <c r="AM325" s="52" t="s">
        <v>611</v>
      </c>
      <c r="AN325" s="58">
        <v>200</v>
      </c>
      <c r="AO325" s="52" t="s">
        <v>612</v>
      </c>
      <c r="AP325" s="59" t="str">
        <f>IFERROR(VLOOKUP($A325,[2]Mssp!$A$5:$BE$1463,AP$4+1,0),0)</f>
        <v>F119474G6-1</v>
      </c>
      <c r="AQ325" s="59" t="str">
        <f>IFERROR(VLOOKUP($A325,[2]Mssp!$A$5:$BE$1463,AQ$4+1,0),0)</f>
        <v>F119474G6-2</v>
      </c>
      <c r="AR325" s="59" t="str">
        <f>IFERROR(VLOOKUP($A325,[2]Mssp!$A$5:$BE$1463,AR$4+1,0),0)</f>
        <v>F119474G6-3</v>
      </c>
      <c r="AS325" s="59" t="str">
        <f>IFERROR(VLOOKUP($A325,[2]Mssp!$A$5:$BE$1463,AS$4+1,0),0)</f>
        <v>F119474G3-4</v>
      </c>
      <c r="AT325" s="59" t="str">
        <f>IFERROR(VLOOKUP($A325,[2]Mssp!$A$5:$BE$1463,AT$4+1,0),0)</f>
        <v>F119474-5</v>
      </c>
      <c r="AU325" s="59" t="str">
        <f>IFERROR(VLOOKUP($A325,[2]Mssp!$A$5:$BE$1463,AU$4+1,0),0)</f>
        <v>F119474-6</v>
      </c>
      <c r="AV325" s="59" t="str">
        <f>IFERROR(VLOOKUP($A325,[2]Mssp!$A$5:$BE$1463,AV$4+1,0),0)</f>
        <v>F119474G4-7</v>
      </c>
      <c r="AW325" s="59">
        <f>IFERROR(VLOOKUP($A325,[2]Mssp!$A$5:$BE$1463,AW$4+1,0),0)</f>
        <v>0</v>
      </c>
      <c r="AX325" s="59">
        <f>IFERROR(VLOOKUP($A325,[2]Mssp!$A$5:$BE$1463,AX$4+1,0),0)</f>
        <v>0</v>
      </c>
      <c r="AY325" s="59" t="str">
        <f>IFERROR(VLOOKUP($A325,[2]Mssp!$A$5:$BE$1463,AY$4+2,0),0)</f>
        <v>405x750</v>
      </c>
      <c r="AZ325" s="59" t="str">
        <f>IFERROR(VLOOKUP($A325,[2]Mssp!$A$5:$BE$1463,AZ$4+2,0),0)</f>
        <v>D2</v>
      </c>
      <c r="BA325" s="60" t="s">
        <v>106</v>
      </c>
      <c r="BB325" s="61" t="s">
        <v>107</v>
      </c>
      <c r="BC325" s="62"/>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9"/>
      <c r="CK325" s="9"/>
      <c r="CL325" s="9"/>
      <c r="CM325" s="9"/>
      <c r="CN325" s="9"/>
      <c r="CO325" s="9"/>
      <c r="CP325" s="9"/>
    </row>
    <row r="326" spans="1:94" ht="45" x14ac:dyDescent="0.25">
      <c r="A326" s="50" t="s">
        <v>1140</v>
      </c>
      <c r="B326" s="73" t="s">
        <v>1141</v>
      </c>
      <c r="C326" s="50">
        <f t="shared" si="10"/>
        <v>3.9000000000000004</v>
      </c>
      <c r="D326" s="58">
        <v>3</v>
      </c>
      <c r="E326" s="58" t="s">
        <v>131</v>
      </c>
      <c r="F326" s="58">
        <v>7</v>
      </c>
      <c r="G326" s="50" t="s">
        <v>530</v>
      </c>
      <c r="H326" s="50">
        <f>VLOOKUP($A326,'[1]ma sp 02'!$A$5:$BD$1101,H$1,0)</f>
        <v>0.25</v>
      </c>
      <c r="I326" s="50">
        <f>VLOOKUP($A326,'[1]ma sp 02'!$A$5:$BD$1101,I$1,0)</f>
        <v>1.95</v>
      </c>
      <c r="J326" s="50">
        <f>VLOOKUP($A326,'[1]ma sp 02'!$A$5:$BD$1101,J$1,0)</f>
        <v>0.02</v>
      </c>
      <c r="K326" s="50">
        <f>VLOOKUP($A326,'[1]ma sp 02'!$A$5:$BD$1101,K$1,0)</f>
        <v>0.16</v>
      </c>
      <c r="L326" s="50">
        <f>VLOOKUP($A326,'[1]ma sp 02'!$A$5:$BD$1101,L$1,0)</f>
        <v>0.02</v>
      </c>
      <c r="M326" s="50">
        <f>VLOOKUP($A326,'[1]ma sp 02'!$A$5:$BD$1101,M$1,0)</f>
        <v>1.27</v>
      </c>
      <c r="N326" s="50">
        <f>VLOOKUP($A326,'[1]ma sp 02'!$A$5:$BD$1101,N$1,0)</f>
        <v>0</v>
      </c>
      <c r="O326" s="50">
        <f>VLOOKUP($A326,'[1]ma sp 02'!$A$5:$BD$1101,O$1,0)</f>
        <v>0</v>
      </c>
      <c r="P326" s="50">
        <f>VLOOKUP($A326,'[1]ma sp 02'!$A$5:$BD$1101,P$1,0)</f>
        <v>0.05</v>
      </c>
      <c r="Q326" s="50">
        <f>VLOOKUP($A326,'[1]ma sp 02'!$A$5:$BD$1101,Q$1,0)</f>
        <v>0</v>
      </c>
      <c r="R326" s="50">
        <f>VLOOKUP($A326,'[1]ma sp 02'!$A$5:$BD$1101,R$1,0)</f>
        <v>0.18</v>
      </c>
      <c r="S326" s="50">
        <f>VLOOKUP($A326,'[1]ma sp 02'!$A$5:$BD$1101,S$1,0)</f>
        <v>0</v>
      </c>
      <c r="T326" s="50">
        <f>VLOOKUP($A326,'[1]ma sp 02'!$A$5:$BD$1101,T$1,0)</f>
        <v>0</v>
      </c>
      <c r="U326" s="50">
        <f>VLOOKUP($A326,'[1]ma sp 02'!$A$5:$BD$1101,U$1,0)</f>
        <v>0</v>
      </c>
      <c r="V326" s="50">
        <f>VLOOKUP($A326,'[1]ma sp 02'!$A$5:$BD$1101,V$1,0)</f>
        <v>0</v>
      </c>
      <c r="W326" s="50">
        <f>VLOOKUP($A326,'[1]ma sp 02'!$A$5:$BD$1101,W$1,0)</f>
        <v>0</v>
      </c>
      <c r="X326" s="50">
        <f t="shared" si="9"/>
        <v>8</v>
      </c>
      <c r="Y326" s="57"/>
      <c r="Z326" s="57"/>
      <c r="AA326" s="57"/>
      <c r="AB326" s="57"/>
      <c r="AC326" s="57"/>
      <c r="AD326" s="57"/>
      <c r="AE326" s="58" t="s">
        <v>219</v>
      </c>
      <c r="AF326" s="58" t="s">
        <v>717</v>
      </c>
      <c r="AG326" s="82">
        <f>(0.012*1.4+0.006*2.71+0.075*0.925)*0.62</f>
        <v>6.3509700000000002E-2</v>
      </c>
      <c r="AH326" s="54">
        <f t="shared" si="11"/>
        <v>0.93533333333333324</v>
      </c>
      <c r="AI326" s="54">
        <f t="shared" si="11"/>
        <v>0.93533333333333324</v>
      </c>
      <c r="AJ326" s="58">
        <v>9530</v>
      </c>
      <c r="AK326" s="58">
        <v>9530</v>
      </c>
      <c r="AL326" s="58" t="s">
        <v>354</v>
      </c>
      <c r="AM326" s="52" t="s">
        <v>611</v>
      </c>
      <c r="AN326" s="58">
        <v>200</v>
      </c>
      <c r="AO326" s="52" t="s">
        <v>612</v>
      </c>
      <c r="AP326" s="59" t="str">
        <f>IFERROR(VLOOKUP($A326,[2]Mssp!$A$5:$BE$1463,AP$4+1,0),0)</f>
        <v>F119474G3-1</v>
      </c>
      <c r="AQ326" s="59" t="str">
        <f>IFERROR(VLOOKUP($A326,[2]Mssp!$A$5:$BE$1463,AQ$4+1,0),0)</f>
        <v>F119474-2</v>
      </c>
      <c r="AR326" s="59" t="str">
        <f>IFERROR(VLOOKUP($A326,[2]Mssp!$A$5:$BE$1463,AR$4+1,0),0)</f>
        <v>F120892-3</v>
      </c>
      <c r="AS326" s="59" t="str">
        <f>IFERROR(VLOOKUP($A326,[2]Mssp!$A$5:$BE$1463,AS$4+1,0),0)</f>
        <v>F120892-4</v>
      </c>
      <c r="AT326" s="59" t="str">
        <f>IFERROR(VLOOKUP($A326,[2]Mssp!$A$5:$BE$1463,AT$4+1,0),0)</f>
        <v>F119474-5</v>
      </c>
      <c r="AU326" s="59" t="str">
        <f>IFERROR(VLOOKUP($A326,[2]Mssp!$A$5:$BE$1463,AU$4+1,0),0)</f>
        <v>F119474-6</v>
      </c>
      <c r="AV326" s="59" t="str">
        <f>IFERROR(VLOOKUP($A326,[2]Mssp!$A$5:$BE$1463,AV$4+1,0),0)</f>
        <v>F119474-7</v>
      </c>
      <c r="AW326" s="59">
        <f>IFERROR(VLOOKUP($A326,[2]Mssp!$A$5:$BE$1463,AW$4+1,0),0)</f>
        <v>0</v>
      </c>
      <c r="AX326" s="59">
        <f>IFERROR(VLOOKUP($A326,[2]Mssp!$A$5:$BE$1463,AX$4+1,0),0)</f>
        <v>0</v>
      </c>
      <c r="AY326" s="59" t="str">
        <f>IFERROR(VLOOKUP($A326,[2]Mssp!$A$5:$BE$1463,AY$4+2,0),0)</f>
        <v>405x750</v>
      </c>
      <c r="AZ326" s="59" t="str">
        <f>IFERROR(VLOOKUP($A326,[2]Mssp!$A$5:$BE$1463,AZ$4+2,0),0)</f>
        <v>D2</v>
      </c>
      <c r="BA326" s="60" t="s">
        <v>106</v>
      </c>
      <c r="BB326" s="61" t="s">
        <v>107</v>
      </c>
      <c r="BC326" s="62"/>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c r="CK326" s="9"/>
      <c r="CL326" s="9"/>
      <c r="CM326" s="9"/>
      <c r="CN326" s="9"/>
      <c r="CO326" s="9"/>
      <c r="CP326" s="9"/>
    </row>
    <row r="327" spans="1:94" ht="45" x14ac:dyDescent="0.25">
      <c r="A327" s="50" t="s">
        <v>1142</v>
      </c>
      <c r="B327" s="73" t="s">
        <v>1143</v>
      </c>
      <c r="C327" s="50">
        <f t="shared" si="10"/>
        <v>5.15</v>
      </c>
      <c r="D327" s="58">
        <v>3</v>
      </c>
      <c r="E327" s="58" t="s">
        <v>131</v>
      </c>
      <c r="F327" s="58">
        <v>6</v>
      </c>
      <c r="G327" s="50" t="s">
        <v>530</v>
      </c>
      <c r="H327" s="50">
        <f>VLOOKUP($A327,'[1]ma sp 02'!$A$5:$BD$1101,H$1,0)</f>
        <v>0.1</v>
      </c>
      <c r="I327" s="50">
        <f>VLOOKUP($A327,'[1]ma sp 02'!$A$5:$BD$1101,I$1,0)</f>
        <v>2.2999999999999998</v>
      </c>
      <c r="J327" s="50">
        <f>VLOOKUP($A327,'[1]ma sp 02'!$A$5:$BD$1101,J$1,0)</f>
        <v>0.2</v>
      </c>
      <c r="K327" s="50">
        <f>VLOOKUP($A327,'[1]ma sp 02'!$A$5:$BD$1101,K$1,0)</f>
        <v>0.1</v>
      </c>
      <c r="L327" s="50">
        <f>VLOOKUP($A327,'[1]ma sp 02'!$A$5:$BD$1101,L$1,0)</f>
        <v>1.25</v>
      </c>
      <c r="M327" s="50">
        <f>VLOOKUP($A327,'[1]ma sp 02'!$A$5:$BD$1101,M$1,0)</f>
        <v>0.9</v>
      </c>
      <c r="N327" s="50">
        <f>VLOOKUP($A327,'[1]ma sp 02'!$A$5:$BD$1101,N$1,0)</f>
        <v>0</v>
      </c>
      <c r="O327" s="50">
        <f>VLOOKUP($A327,'[1]ma sp 02'!$A$5:$BD$1101,O$1,0)</f>
        <v>0</v>
      </c>
      <c r="P327" s="50">
        <f>VLOOKUP($A327,'[1]ma sp 02'!$A$5:$BD$1101,P$1,0)</f>
        <v>0.3</v>
      </c>
      <c r="Q327" s="50">
        <f>VLOOKUP($A327,'[1]ma sp 02'!$A$5:$BD$1101,Q$1,0)</f>
        <v>0</v>
      </c>
      <c r="R327" s="50">
        <f>VLOOKUP($A327,'[1]ma sp 02'!$A$5:$BD$1101,R$1,0)</f>
        <v>0</v>
      </c>
      <c r="S327" s="50">
        <f>VLOOKUP($A327,'[1]ma sp 02'!$A$5:$BD$1101,S$1,0)</f>
        <v>0</v>
      </c>
      <c r="T327" s="50">
        <f>VLOOKUP($A327,'[1]ma sp 02'!$A$5:$BD$1101,T$1,0)</f>
        <v>0</v>
      </c>
      <c r="U327" s="50">
        <f>VLOOKUP($A327,'[1]ma sp 02'!$A$5:$BD$1101,U$1,0)</f>
        <v>0</v>
      </c>
      <c r="V327" s="50">
        <f>VLOOKUP($A327,'[1]ma sp 02'!$A$5:$BD$1101,V$1,0)</f>
        <v>0</v>
      </c>
      <c r="W327" s="50">
        <f>VLOOKUP($A327,'[1]ma sp 02'!$A$5:$BD$1101,W$1,0)</f>
        <v>0</v>
      </c>
      <c r="X327" s="50">
        <f t="shared" si="9"/>
        <v>7</v>
      </c>
      <c r="Y327" s="57"/>
      <c r="Z327" s="57"/>
      <c r="AA327" s="57"/>
      <c r="AB327" s="57"/>
      <c r="AC327" s="57"/>
      <c r="AD327" s="57"/>
      <c r="AE327" s="58" t="s">
        <v>219</v>
      </c>
      <c r="AF327" s="58" t="s">
        <v>835</v>
      </c>
      <c r="AG327" s="82">
        <f>(0.012*1.4+0.006*2.71+0.075*0.925)*0.62</f>
        <v>6.3509700000000002E-2</v>
      </c>
      <c r="AH327" s="54">
        <f t="shared" si="11"/>
        <v>0.93533333333333324</v>
      </c>
      <c r="AI327" s="54">
        <f t="shared" si="11"/>
        <v>0.93533333333333324</v>
      </c>
      <c r="AJ327" s="58">
        <v>9530</v>
      </c>
      <c r="AK327" s="58">
        <v>9530</v>
      </c>
      <c r="AL327" s="58" t="s">
        <v>354</v>
      </c>
      <c r="AM327" s="52" t="s">
        <v>611</v>
      </c>
      <c r="AN327" s="58">
        <v>200</v>
      </c>
      <c r="AO327" s="52" t="s">
        <v>612</v>
      </c>
      <c r="AP327" s="59">
        <f>IFERROR(VLOOKUP($A327,[2]Mssp!$A$5:$BE$1463,AP$4+1,0),0)</f>
        <v>0</v>
      </c>
      <c r="AQ327" s="59">
        <f>IFERROR(VLOOKUP($A327,[2]Mssp!$A$5:$BE$1463,AQ$4+1,0),0)</f>
        <v>0</v>
      </c>
      <c r="AR327" s="59">
        <f>IFERROR(VLOOKUP($A327,[2]Mssp!$A$5:$BE$1463,AR$4+1,0),0)</f>
        <v>0</v>
      </c>
      <c r="AS327" s="59">
        <f>IFERROR(VLOOKUP($A327,[2]Mssp!$A$5:$BE$1463,AS$4+1,0),0)</f>
        <v>0</v>
      </c>
      <c r="AT327" s="59">
        <f>IFERROR(VLOOKUP($A327,[2]Mssp!$A$5:$BE$1463,AT$4+1,0),0)</f>
        <v>0</v>
      </c>
      <c r="AU327" s="59">
        <f>IFERROR(VLOOKUP($A327,[2]Mssp!$A$5:$BE$1463,AU$4+1,0),0)</f>
        <v>0</v>
      </c>
      <c r="AV327" s="59">
        <f>IFERROR(VLOOKUP($A327,[2]Mssp!$A$5:$BE$1463,AV$4+1,0),0)</f>
        <v>0</v>
      </c>
      <c r="AW327" s="59">
        <f>IFERROR(VLOOKUP($A327,[2]Mssp!$A$5:$BE$1463,AW$4+1,0),0)</f>
        <v>0</v>
      </c>
      <c r="AX327" s="59">
        <f>IFERROR(VLOOKUP($A327,[2]Mssp!$A$5:$BE$1463,AX$4+1,0),0)</f>
        <v>0</v>
      </c>
      <c r="AY327" s="59">
        <f>IFERROR(VLOOKUP($A327,[2]Mssp!$A$5:$BE$1463,AY$4+2,0),0)</f>
        <v>0</v>
      </c>
      <c r="AZ327" s="59">
        <f>IFERROR(VLOOKUP($A327,[2]Mssp!$A$5:$BE$1463,AZ$4+2,0),0)</f>
        <v>0</v>
      </c>
      <c r="BA327" s="60" t="s">
        <v>106</v>
      </c>
      <c r="BB327" s="61" t="s">
        <v>107</v>
      </c>
      <c r="BC327" s="62"/>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row>
    <row r="328" spans="1:94" ht="45" x14ac:dyDescent="0.25">
      <c r="A328" s="50" t="s">
        <v>1144</v>
      </c>
      <c r="B328" s="73" t="s">
        <v>1145</v>
      </c>
      <c r="C328" s="50">
        <f t="shared" si="10"/>
        <v>3.91</v>
      </c>
      <c r="D328" s="58">
        <v>4</v>
      </c>
      <c r="E328" s="58" t="s">
        <v>113</v>
      </c>
      <c r="F328" s="58">
        <v>7</v>
      </c>
      <c r="G328" s="50" t="s">
        <v>530</v>
      </c>
      <c r="H328" s="50">
        <f>VLOOKUP($A328,'[1]ma sp 02'!$A$5:$BD$1101,H$1,0)</f>
        <v>0.17</v>
      </c>
      <c r="I328" s="50">
        <f>VLOOKUP($A328,'[1]ma sp 02'!$A$5:$BD$1101,I$1,0)</f>
        <v>2.2799999999999998</v>
      </c>
      <c r="J328" s="50">
        <f>VLOOKUP($A328,'[1]ma sp 02'!$A$5:$BD$1101,J$1,0)</f>
        <v>0.14000000000000001</v>
      </c>
      <c r="K328" s="50">
        <f>VLOOKUP($A328,'[1]ma sp 02'!$A$5:$BD$1101,K$1,0)</f>
        <v>0.28000000000000003</v>
      </c>
      <c r="L328" s="50">
        <f>VLOOKUP($A328,'[1]ma sp 02'!$A$5:$BD$1101,L$1,0)</f>
        <v>0.77</v>
      </c>
      <c r="M328" s="50">
        <f>VLOOKUP($A328,'[1]ma sp 02'!$A$5:$BD$1101,M$1,0)</f>
        <v>0.18</v>
      </c>
      <c r="N328" s="50">
        <f>VLOOKUP($A328,'[1]ma sp 02'!$A$5:$BD$1101,N$1,0)</f>
        <v>0</v>
      </c>
      <c r="O328" s="50">
        <f>VLOOKUP($A328,'[1]ma sp 02'!$A$5:$BD$1101,O$1,0)</f>
        <v>0</v>
      </c>
      <c r="P328" s="50">
        <f>VLOOKUP($A328,'[1]ma sp 02'!$A$5:$BD$1101,P$1,0)</f>
        <v>0.01</v>
      </c>
      <c r="Q328" s="50">
        <f>VLOOKUP($A328,'[1]ma sp 02'!$A$5:$BD$1101,Q$1,0)</f>
        <v>0</v>
      </c>
      <c r="R328" s="50">
        <f>VLOOKUP($A328,'[1]ma sp 02'!$A$5:$BD$1101,R$1,0)</f>
        <v>0.08</v>
      </c>
      <c r="S328" s="50">
        <f>VLOOKUP($A328,'[1]ma sp 02'!$A$5:$BD$1101,S$1,0)</f>
        <v>0</v>
      </c>
      <c r="T328" s="50">
        <f>VLOOKUP($A328,'[1]ma sp 02'!$A$5:$BD$1101,T$1,0)</f>
        <v>0</v>
      </c>
      <c r="U328" s="50">
        <f>VLOOKUP($A328,'[1]ma sp 02'!$A$5:$BD$1101,U$1,0)</f>
        <v>0</v>
      </c>
      <c r="V328" s="50">
        <f>VLOOKUP($A328,'[1]ma sp 02'!$A$5:$BD$1101,V$1,0)</f>
        <v>0</v>
      </c>
      <c r="W328" s="50">
        <f>VLOOKUP($A328,'[1]ma sp 02'!$A$5:$BD$1101,W$1,0)</f>
        <v>0</v>
      </c>
      <c r="X328" s="50">
        <f t="shared" si="9"/>
        <v>8</v>
      </c>
      <c r="Y328" s="57"/>
      <c r="Z328" s="57"/>
      <c r="AA328" s="57"/>
      <c r="AB328" s="57"/>
      <c r="AC328" s="57"/>
      <c r="AD328" s="57"/>
      <c r="AE328" s="58" t="s">
        <v>628</v>
      </c>
      <c r="AF328" s="58" t="s">
        <v>838</v>
      </c>
      <c r="AG328" s="71">
        <f>(0.012*1.4+0.006*2.71+0.075*0.925)*0.74</f>
        <v>7.5801899999999992E-2</v>
      </c>
      <c r="AH328" s="63">
        <f>(2.3/0.75/2)*0.73</f>
        <v>1.1193333333333333</v>
      </c>
      <c r="AI328" s="63">
        <f>(2.3/0.75/2)*0.73</f>
        <v>1.1193333333333333</v>
      </c>
      <c r="AJ328" s="58">
        <v>9530</v>
      </c>
      <c r="AK328" s="58">
        <v>9530</v>
      </c>
      <c r="AL328" s="58" t="s">
        <v>354</v>
      </c>
      <c r="AM328" s="52" t="s">
        <v>611</v>
      </c>
      <c r="AN328" s="58">
        <v>180</v>
      </c>
      <c r="AO328" s="52" t="s">
        <v>612</v>
      </c>
      <c r="AP328" s="59">
        <f>IFERROR(VLOOKUP($A328,[2]Mssp!$A$5:$BE$1463,AP$4+1,0),0)</f>
        <v>0</v>
      </c>
      <c r="AQ328" s="59">
        <f>IFERROR(VLOOKUP($A328,[2]Mssp!$A$5:$BE$1463,AQ$4+1,0),0)</f>
        <v>0</v>
      </c>
      <c r="AR328" s="59">
        <f>IFERROR(VLOOKUP($A328,[2]Mssp!$A$5:$BE$1463,AR$4+1,0),0)</f>
        <v>0</v>
      </c>
      <c r="AS328" s="59">
        <f>IFERROR(VLOOKUP($A328,[2]Mssp!$A$5:$BE$1463,AS$4+1,0),0)</f>
        <v>0</v>
      </c>
      <c r="AT328" s="59">
        <f>IFERROR(VLOOKUP($A328,[2]Mssp!$A$5:$BE$1463,AT$4+1,0),0)</f>
        <v>0</v>
      </c>
      <c r="AU328" s="59">
        <f>IFERROR(VLOOKUP($A328,[2]Mssp!$A$5:$BE$1463,AU$4+1,0),0)</f>
        <v>0</v>
      </c>
      <c r="AV328" s="59">
        <f>IFERROR(VLOOKUP($A328,[2]Mssp!$A$5:$BE$1463,AV$4+1,0),0)</f>
        <v>0</v>
      </c>
      <c r="AW328" s="59">
        <f>IFERROR(VLOOKUP($A328,[2]Mssp!$A$5:$BE$1463,AW$4+1,0),0)</f>
        <v>0</v>
      </c>
      <c r="AX328" s="59">
        <f>IFERROR(VLOOKUP($A328,[2]Mssp!$A$5:$BE$1463,AX$4+1,0),0)</f>
        <v>0</v>
      </c>
      <c r="AY328" s="59">
        <f>IFERROR(VLOOKUP($A328,[2]Mssp!$A$5:$BE$1463,AY$4+2,0),0)</f>
        <v>0</v>
      </c>
      <c r="AZ328" s="59">
        <f>IFERROR(VLOOKUP($A328,[2]Mssp!$A$5:$BE$1463,AZ$4+2,0),0)</f>
        <v>0</v>
      </c>
      <c r="BA328" s="60" t="s">
        <v>106</v>
      </c>
      <c r="BB328" s="61" t="s">
        <v>107</v>
      </c>
      <c r="BC328" s="62"/>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9"/>
      <c r="CK328" s="9"/>
      <c r="CL328" s="9"/>
      <c r="CM328" s="9"/>
      <c r="CN328" s="9"/>
      <c r="CO328" s="9"/>
      <c r="CP328" s="9"/>
    </row>
    <row r="329" spans="1:94" ht="75" x14ac:dyDescent="0.25">
      <c r="A329" s="77" t="s">
        <v>1146</v>
      </c>
      <c r="B329" s="73" t="s">
        <v>1147</v>
      </c>
      <c r="C329" s="50">
        <f t="shared" si="10"/>
        <v>6.71</v>
      </c>
      <c r="D329" s="58">
        <v>3</v>
      </c>
      <c r="E329" s="58" t="s">
        <v>113</v>
      </c>
      <c r="F329" s="58">
        <v>6</v>
      </c>
      <c r="G329" s="50" t="s">
        <v>530</v>
      </c>
      <c r="H329" s="50">
        <f>VLOOKUP($A329,'[1]ma sp 02'!$A$5:$BD$1101,H$1,0)</f>
        <v>0</v>
      </c>
      <c r="I329" s="50">
        <f>VLOOKUP($A329,'[1]ma sp 02'!$A$5:$BD$1101,I$1,0)</f>
        <v>1.1299999999999999</v>
      </c>
      <c r="J329" s="50">
        <f>VLOOKUP($A329,'[1]ma sp 02'!$A$5:$BD$1101,J$1,0)</f>
        <v>0.87</v>
      </c>
      <c r="K329" s="50">
        <f>VLOOKUP($A329,'[1]ma sp 02'!$A$5:$BD$1101,K$1,0)</f>
        <v>0.01</v>
      </c>
      <c r="L329" s="50">
        <f>VLOOKUP($A329,'[1]ma sp 02'!$A$5:$BD$1101,L$1,0)</f>
        <v>1.01</v>
      </c>
      <c r="M329" s="50">
        <f>VLOOKUP($A329,'[1]ma sp 02'!$A$5:$BD$1101,M$1,0)</f>
        <v>1.36</v>
      </c>
      <c r="N329" s="50">
        <f>VLOOKUP($A329,'[1]ma sp 02'!$A$5:$BD$1101,N$1,0)</f>
        <v>2.2400000000000002</v>
      </c>
      <c r="O329" s="50">
        <f>VLOOKUP($A329,'[1]ma sp 02'!$A$5:$BD$1101,O$1,0)</f>
        <v>0.09</v>
      </c>
      <c r="P329" s="50">
        <f>VLOOKUP($A329,'[1]ma sp 02'!$A$5:$BD$1101,P$1,0)</f>
        <v>0</v>
      </c>
      <c r="Q329" s="50">
        <f>VLOOKUP($A329,'[1]ma sp 02'!$A$5:$BD$1101,Q$1,0)</f>
        <v>0</v>
      </c>
      <c r="R329" s="50">
        <f>VLOOKUP($A329,'[1]ma sp 02'!$A$5:$BD$1101,R$1,0)</f>
        <v>0</v>
      </c>
      <c r="S329" s="50">
        <f>VLOOKUP($A329,'[1]ma sp 02'!$A$5:$BD$1101,S$1,0)</f>
        <v>0</v>
      </c>
      <c r="T329" s="50">
        <f>VLOOKUP($A329,'[1]ma sp 02'!$A$5:$BD$1101,T$1,0)</f>
        <v>0</v>
      </c>
      <c r="U329" s="50">
        <f>VLOOKUP($A329,'[1]ma sp 02'!$A$5:$BD$1101,U$1,0)</f>
        <v>0</v>
      </c>
      <c r="V329" s="50">
        <f>VLOOKUP($A329,'[1]ma sp 02'!$A$5:$BD$1101,V$1,0)</f>
        <v>0</v>
      </c>
      <c r="W329" s="50">
        <f>VLOOKUP($A329,'[1]ma sp 02'!$A$5:$BD$1101,W$1,0)</f>
        <v>0</v>
      </c>
      <c r="X329" s="50">
        <f t="shared" si="9"/>
        <v>7</v>
      </c>
      <c r="Y329" s="57"/>
      <c r="Z329" s="57"/>
      <c r="AA329" s="57"/>
      <c r="AB329" s="57"/>
      <c r="AC329" s="57"/>
      <c r="AD329" s="57"/>
      <c r="AE329" s="58" t="s">
        <v>115</v>
      </c>
      <c r="AF329" s="58" t="s">
        <v>321</v>
      </c>
      <c r="AG329" s="71">
        <f>(0.012*1.4+0.012*1.4+0.075*0.925)*0.74</f>
        <v>7.6201500000000005E-2</v>
      </c>
      <c r="AH329" s="63">
        <f>(2.3/0.75/2)*0.73</f>
        <v>1.1193333333333333</v>
      </c>
      <c r="AI329" s="63">
        <f>(3/0.75/2)*0.73</f>
        <v>1.46</v>
      </c>
      <c r="AJ329" s="58">
        <v>9530</v>
      </c>
      <c r="AK329" s="58">
        <v>9530</v>
      </c>
      <c r="AL329" s="58" t="s">
        <v>117</v>
      </c>
      <c r="AM329" s="52" t="s">
        <v>60</v>
      </c>
      <c r="AN329" s="58">
        <v>270</v>
      </c>
      <c r="AO329" s="52" t="s">
        <v>916</v>
      </c>
      <c r="AP329" s="59">
        <f>IFERROR(VLOOKUP($A329,[2]Mssp!$A$5:$BE$1463,AP$4+1,0),0)</f>
        <v>0</v>
      </c>
      <c r="AQ329" s="59">
        <f>IFERROR(VLOOKUP($A329,[2]Mssp!$A$5:$BE$1463,AQ$4+1,0),0)</f>
        <v>0</v>
      </c>
      <c r="AR329" s="59">
        <f>IFERROR(VLOOKUP($A329,[2]Mssp!$A$5:$BE$1463,AR$4+1,0),0)</f>
        <v>0</v>
      </c>
      <c r="AS329" s="59">
        <f>IFERROR(VLOOKUP($A329,[2]Mssp!$A$5:$BE$1463,AS$4+1,0),0)</f>
        <v>0</v>
      </c>
      <c r="AT329" s="59">
        <f>IFERROR(VLOOKUP($A329,[2]Mssp!$A$5:$BE$1463,AT$4+1,0),0)</f>
        <v>0</v>
      </c>
      <c r="AU329" s="59">
        <f>IFERROR(VLOOKUP($A329,[2]Mssp!$A$5:$BE$1463,AU$4+1,0),0)</f>
        <v>0</v>
      </c>
      <c r="AV329" s="59">
        <f>IFERROR(VLOOKUP($A329,[2]Mssp!$A$5:$BE$1463,AV$4+1,0),0)</f>
        <v>0</v>
      </c>
      <c r="AW329" s="59">
        <f>IFERROR(VLOOKUP($A329,[2]Mssp!$A$5:$BE$1463,AW$4+1,0),0)</f>
        <v>0</v>
      </c>
      <c r="AX329" s="59">
        <f>IFERROR(VLOOKUP($A329,[2]Mssp!$A$5:$BE$1463,AX$4+1,0),0)</f>
        <v>0</v>
      </c>
      <c r="AY329" s="59">
        <f>IFERROR(VLOOKUP($A329,[2]Mssp!$A$5:$BE$1463,AY$4+2,0),0)</f>
        <v>0</v>
      </c>
      <c r="AZ329" s="59">
        <f>IFERROR(VLOOKUP($A329,[2]Mssp!$A$5:$BE$1463,AZ$4+2,0),0)</f>
        <v>0</v>
      </c>
      <c r="BA329" s="60">
        <v>3000</v>
      </c>
      <c r="BB329" s="61" t="s">
        <v>119</v>
      </c>
      <c r="BC329" s="62"/>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9"/>
      <c r="CK329" s="9"/>
      <c r="CL329" s="9"/>
      <c r="CM329" s="9"/>
      <c r="CN329" s="9"/>
      <c r="CO329" s="9"/>
      <c r="CP329" s="9"/>
    </row>
    <row r="330" spans="1:94" ht="45" x14ac:dyDescent="0.25">
      <c r="A330" s="50" t="s">
        <v>1148</v>
      </c>
      <c r="B330" s="73" t="s">
        <v>1149</v>
      </c>
      <c r="C330" s="50">
        <f t="shared" si="10"/>
        <v>0</v>
      </c>
      <c r="D330" s="58">
        <v>1</v>
      </c>
      <c r="E330" s="58" t="s">
        <v>1150</v>
      </c>
      <c r="F330" s="58">
        <v>0</v>
      </c>
      <c r="G330" s="50" t="s">
        <v>530</v>
      </c>
      <c r="H330" s="50">
        <f>VLOOKUP($A330,'[1]ma sp 02'!$A$5:$BD$1101,H$1,0)</f>
        <v>0</v>
      </c>
      <c r="I330" s="50">
        <f>VLOOKUP($A330,'[1]ma sp 02'!$A$5:$BD$1101,I$1,0)</f>
        <v>0</v>
      </c>
      <c r="J330" s="50">
        <f>VLOOKUP($A330,'[1]ma sp 02'!$A$5:$BD$1101,J$1,0)</f>
        <v>0</v>
      </c>
      <c r="K330" s="50">
        <f>VLOOKUP($A330,'[1]ma sp 02'!$A$5:$BD$1101,K$1,0)</f>
        <v>0</v>
      </c>
      <c r="L330" s="50">
        <f>VLOOKUP($A330,'[1]ma sp 02'!$A$5:$BD$1101,L$1,0)</f>
        <v>0</v>
      </c>
      <c r="M330" s="50">
        <f>VLOOKUP($A330,'[1]ma sp 02'!$A$5:$BD$1101,M$1,0)</f>
        <v>0</v>
      </c>
      <c r="N330" s="50">
        <f>VLOOKUP($A330,'[1]ma sp 02'!$A$5:$BD$1101,N$1,0)</f>
        <v>0</v>
      </c>
      <c r="O330" s="50">
        <f>VLOOKUP($A330,'[1]ma sp 02'!$A$5:$BD$1101,O$1,0)</f>
        <v>0</v>
      </c>
      <c r="P330" s="50">
        <f>VLOOKUP($A330,'[1]ma sp 02'!$A$5:$BD$1101,P$1,0)</f>
        <v>0</v>
      </c>
      <c r="Q330" s="50">
        <f>VLOOKUP($A330,'[1]ma sp 02'!$A$5:$BD$1101,Q$1,0)</f>
        <v>0</v>
      </c>
      <c r="R330" s="50">
        <f>VLOOKUP($A330,'[1]ma sp 02'!$A$5:$BD$1101,R$1,0)</f>
        <v>0</v>
      </c>
      <c r="S330" s="50">
        <f>VLOOKUP($A330,'[1]ma sp 02'!$A$5:$BD$1101,S$1,0)</f>
        <v>0</v>
      </c>
      <c r="T330" s="50">
        <f>VLOOKUP($A330,'[1]ma sp 02'!$A$5:$BD$1101,T$1,0)</f>
        <v>0</v>
      </c>
      <c r="U330" s="50">
        <f>VLOOKUP($A330,'[1]ma sp 02'!$A$5:$BD$1101,U$1,0)</f>
        <v>0</v>
      </c>
      <c r="V330" s="50">
        <f>VLOOKUP($A330,'[1]ma sp 02'!$A$5:$BD$1101,V$1,0)</f>
        <v>0</v>
      </c>
      <c r="W330" s="50">
        <f>VLOOKUP($A330,'[1]ma sp 02'!$A$5:$BD$1101,W$1,0)</f>
        <v>0</v>
      </c>
      <c r="X330" s="50">
        <f t="shared" ref="X330:X393" si="12">COUNTIF(H330:W330, "&gt;0")</f>
        <v>0</v>
      </c>
      <c r="Y330" s="57"/>
      <c r="Z330" s="57"/>
      <c r="AA330" s="57"/>
      <c r="AB330" s="57"/>
      <c r="AC330" s="57"/>
      <c r="AD330" s="57"/>
      <c r="AE330" s="58" t="s">
        <v>219</v>
      </c>
      <c r="AF330" s="58" t="s">
        <v>1003</v>
      </c>
      <c r="AG330" s="71">
        <f>(0.012*1.4+0.006*2.71+0.075*0.925)*0.62</f>
        <v>6.3509700000000002E-2</v>
      </c>
      <c r="AH330" s="63">
        <f>(2.3/0.75/2)*0.61</f>
        <v>0.93533333333333324</v>
      </c>
      <c r="AI330" s="63">
        <f>(3/0.75/2)*0.61</f>
        <v>1.22</v>
      </c>
      <c r="AJ330" s="58">
        <v>9530</v>
      </c>
      <c r="AK330" s="58">
        <v>9530</v>
      </c>
      <c r="AL330" s="58" t="s">
        <v>117</v>
      </c>
      <c r="AM330" s="52" t="s">
        <v>194</v>
      </c>
      <c r="AN330" s="58">
        <v>600</v>
      </c>
      <c r="AO330" s="52" t="s">
        <v>962</v>
      </c>
      <c r="AP330" s="59">
        <f>IFERROR(VLOOKUP($A330,[2]Mssp!$A$5:$BE$1463,AP$4+1,0),0)</f>
        <v>0</v>
      </c>
      <c r="AQ330" s="59">
        <f>IFERROR(VLOOKUP($A330,[2]Mssp!$A$5:$BE$1463,AQ$4+1,0),0)</f>
        <v>0</v>
      </c>
      <c r="AR330" s="59">
        <f>IFERROR(VLOOKUP($A330,[2]Mssp!$A$5:$BE$1463,AR$4+1,0),0)</f>
        <v>0</v>
      </c>
      <c r="AS330" s="59">
        <f>IFERROR(VLOOKUP($A330,[2]Mssp!$A$5:$BE$1463,AS$4+1,0),0)</f>
        <v>0</v>
      </c>
      <c r="AT330" s="59">
        <f>IFERROR(VLOOKUP($A330,[2]Mssp!$A$5:$BE$1463,AT$4+1,0),0)</f>
        <v>0</v>
      </c>
      <c r="AU330" s="59">
        <f>IFERROR(VLOOKUP($A330,[2]Mssp!$A$5:$BE$1463,AU$4+1,0),0)</f>
        <v>0</v>
      </c>
      <c r="AV330" s="59">
        <f>IFERROR(VLOOKUP($A330,[2]Mssp!$A$5:$BE$1463,AV$4+1,0),0)</f>
        <v>0</v>
      </c>
      <c r="AW330" s="59">
        <f>IFERROR(VLOOKUP($A330,[2]Mssp!$A$5:$BE$1463,AW$4+1,0),0)</f>
        <v>0</v>
      </c>
      <c r="AX330" s="59">
        <f>IFERROR(VLOOKUP($A330,[2]Mssp!$A$5:$BE$1463,AX$4+1,0),0)</f>
        <v>0</v>
      </c>
      <c r="AY330" s="59">
        <f>IFERROR(VLOOKUP($A330,[2]Mssp!$A$5:$BE$1463,AY$4+2,0),0)</f>
        <v>0</v>
      </c>
      <c r="AZ330" s="59">
        <f>IFERROR(VLOOKUP($A330,[2]Mssp!$A$5:$BE$1463,AZ$4+2,0),0)</f>
        <v>0</v>
      </c>
      <c r="BA330" s="60" t="s">
        <v>106</v>
      </c>
      <c r="BB330" s="61" t="s">
        <v>107</v>
      </c>
      <c r="BC330" s="62"/>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c r="CP330" s="9"/>
    </row>
    <row r="331" spans="1:94" ht="75" x14ac:dyDescent="0.25">
      <c r="A331" s="50" t="s">
        <v>1151</v>
      </c>
      <c r="B331" s="73" t="s">
        <v>1152</v>
      </c>
      <c r="C331" s="50">
        <f t="shared" si="10"/>
        <v>7.8000000000000007</v>
      </c>
      <c r="D331" s="58">
        <v>2</v>
      </c>
      <c r="E331" s="58" t="s">
        <v>131</v>
      </c>
      <c r="F331" s="58">
        <v>5</v>
      </c>
      <c r="G331" s="50" t="s">
        <v>530</v>
      </c>
      <c r="H331" s="50">
        <f>VLOOKUP($A331,'[1]ma sp 02'!$A$5:$BD$1101,H$1,0)</f>
        <v>0</v>
      </c>
      <c r="I331" s="50">
        <f>VLOOKUP($A331,'[1]ma sp 02'!$A$5:$BD$1101,I$1,0)</f>
        <v>1</v>
      </c>
      <c r="J331" s="50">
        <f>VLOOKUP($A331,'[1]ma sp 02'!$A$5:$BD$1101,J$1,0)</f>
        <v>1</v>
      </c>
      <c r="K331" s="50">
        <f>VLOOKUP($A331,'[1]ma sp 02'!$A$5:$BD$1101,K$1,0)</f>
        <v>0.1</v>
      </c>
      <c r="L331" s="50">
        <f>VLOOKUP($A331,'[1]ma sp 02'!$A$5:$BD$1101,L$1,0)</f>
        <v>2.2000000000000002</v>
      </c>
      <c r="M331" s="50">
        <f>VLOOKUP($A331,'[1]ma sp 02'!$A$5:$BD$1101,M$1,0)</f>
        <v>0</v>
      </c>
      <c r="N331" s="50">
        <f>VLOOKUP($A331,'[1]ma sp 02'!$A$5:$BD$1101,N$1,0)</f>
        <v>3.5</v>
      </c>
      <c r="O331" s="50">
        <f>VLOOKUP($A331,'[1]ma sp 02'!$A$5:$BD$1101,O$1,0)</f>
        <v>0</v>
      </c>
      <c r="P331" s="50">
        <f>VLOOKUP($A331,'[1]ma sp 02'!$A$5:$BD$1101,P$1,0)</f>
        <v>0</v>
      </c>
      <c r="Q331" s="50">
        <f>VLOOKUP($A331,'[1]ma sp 02'!$A$5:$BD$1101,Q$1,0)</f>
        <v>0</v>
      </c>
      <c r="R331" s="50">
        <f>VLOOKUP($A331,'[1]ma sp 02'!$A$5:$BD$1101,R$1,0)</f>
        <v>0</v>
      </c>
      <c r="S331" s="50">
        <f>VLOOKUP($A331,'[1]ma sp 02'!$A$5:$BD$1101,S$1,0)</f>
        <v>0</v>
      </c>
      <c r="T331" s="50">
        <f>VLOOKUP($A331,'[1]ma sp 02'!$A$5:$BD$1101,T$1,0)</f>
        <v>0</v>
      </c>
      <c r="U331" s="50">
        <f>VLOOKUP($A331,'[1]ma sp 02'!$A$5:$BD$1101,U$1,0)</f>
        <v>0</v>
      </c>
      <c r="V331" s="50">
        <f>VLOOKUP($A331,'[1]ma sp 02'!$A$5:$BD$1101,V$1,0)</f>
        <v>0</v>
      </c>
      <c r="W331" s="50">
        <f>VLOOKUP($A331,'[1]ma sp 02'!$A$5:$BD$1101,W$1,0)</f>
        <v>0</v>
      </c>
      <c r="X331" s="50">
        <f t="shared" si="12"/>
        <v>5</v>
      </c>
      <c r="Y331" s="57"/>
      <c r="Z331" s="57"/>
      <c r="AA331" s="57"/>
      <c r="AB331" s="57"/>
      <c r="AC331" s="57"/>
      <c r="AD331" s="57"/>
      <c r="AE331" s="58" t="s">
        <v>78</v>
      </c>
      <c r="AF331" s="58" t="s">
        <v>1153</v>
      </c>
      <c r="AG331" s="71">
        <f>(0.012*1.4+0.012*1.4+0.075*0.925)*0.62</f>
        <v>6.3844500000000012E-2</v>
      </c>
      <c r="AH331" s="63">
        <f>(2.3/0.75/2)*0.61</f>
        <v>0.93533333333333324</v>
      </c>
      <c r="AI331" s="63">
        <f>(3/0.75/2)*0.61</f>
        <v>1.22</v>
      </c>
      <c r="AJ331" s="58">
        <v>9530</v>
      </c>
      <c r="AK331" s="58">
        <v>9530</v>
      </c>
      <c r="AL331" s="58" t="s">
        <v>117</v>
      </c>
      <c r="AM331" s="52" t="s">
        <v>60</v>
      </c>
      <c r="AN331" s="58">
        <v>335</v>
      </c>
      <c r="AO331" s="52" t="s">
        <v>916</v>
      </c>
      <c r="AP331" s="59">
        <f>IFERROR(VLOOKUP($A331,[2]Mssp!$A$5:$BE$1463,AP$4+1,0),0)</f>
        <v>0</v>
      </c>
      <c r="AQ331" s="59">
        <f>IFERROR(VLOOKUP($A331,[2]Mssp!$A$5:$BE$1463,AQ$4+1,0),0)</f>
        <v>0</v>
      </c>
      <c r="AR331" s="59">
        <f>IFERROR(VLOOKUP($A331,[2]Mssp!$A$5:$BE$1463,AR$4+1,0),0)</f>
        <v>0</v>
      </c>
      <c r="AS331" s="59">
        <f>IFERROR(VLOOKUP($A331,[2]Mssp!$A$5:$BE$1463,AS$4+1,0),0)</f>
        <v>0</v>
      </c>
      <c r="AT331" s="59">
        <f>IFERROR(VLOOKUP($A331,[2]Mssp!$A$5:$BE$1463,AT$4+1,0),0)</f>
        <v>0</v>
      </c>
      <c r="AU331" s="59">
        <f>IFERROR(VLOOKUP($A331,[2]Mssp!$A$5:$BE$1463,AU$4+1,0),0)</f>
        <v>0</v>
      </c>
      <c r="AV331" s="59">
        <f>IFERROR(VLOOKUP($A331,[2]Mssp!$A$5:$BE$1463,AV$4+1,0),0)</f>
        <v>0</v>
      </c>
      <c r="AW331" s="59">
        <f>IFERROR(VLOOKUP($A331,[2]Mssp!$A$5:$BE$1463,AW$4+1,0),0)</f>
        <v>0</v>
      </c>
      <c r="AX331" s="59">
        <f>IFERROR(VLOOKUP($A331,[2]Mssp!$A$5:$BE$1463,AX$4+1,0),0)</f>
        <v>0</v>
      </c>
      <c r="AY331" s="59">
        <f>IFERROR(VLOOKUP($A331,[2]Mssp!$A$5:$BE$1463,AY$4+2,0),0)</f>
        <v>0</v>
      </c>
      <c r="AZ331" s="59">
        <f>IFERROR(VLOOKUP($A331,[2]Mssp!$A$5:$BE$1463,AZ$4+2,0),0)</f>
        <v>0</v>
      </c>
      <c r="BA331" s="60">
        <v>2000</v>
      </c>
      <c r="BB331" s="61" t="s">
        <v>119</v>
      </c>
      <c r="BC331" s="62"/>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9"/>
      <c r="CK331" s="9"/>
      <c r="CL331" s="9"/>
      <c r="CM331" s="9"/>
      <c r="CN331" s="9"/>
      <c r="CO331" s="9"/>
      <c r="CP331" s="9"/>
    </row>
    <row r="332" spans="1:94" ht="45" x14ac:dyDescent="0.25">
      <c r="A332" s="50" t="s">
        <v>1154</v>
      </c>
      <c r="B332" s="73" t="s">
        <v>1155</v>
      </c>
      <c r="C332" s="50">
        <f t="shared" si="10"/>
        <v>4.3000000000000007</v>
      </c>
      <c r="D332" s="58">
        <v>1</v>
      </c>
      <c r="E332" s="58" t="s">
        <v>1156</v>
      </c>
      <c r="F332" s="58">
        <v>5</v>
      </c>
      <c r="G332" s="50" t="s">
        <v>530</v>
      </c>
      <c r="H332" s="50">
        <f>VLOOKUP($A332,'[1]ma sp 02'!$A$5:$BD$1101,H$1,0)</f>
        <v>0</v>
      </c>
      <c r="I332" s="50">
        <f>VLOOKUP($A332,'[1]ma sp 02'!$A$5:$BD$1101,I$1,0)</f>
        <v>1.7</v>
      </c>
      <c r="J332" s="50">
        <f>VLOOKUP($A332,'[1]ma sp 02'!$A$5:$BD$1101,J$1,0)</f>
        <v>0.4</v>
      </c>
      <c r="K332" s="50">
        <f>VLOOKUP($A332,'[1]ma sp 02'!$A$5:$BD$1101,K$1,0)</f>
        <v>0.6</v>
      </c>
      <c r="L332" s="50">
        <f>VLOOKUP($A332,'[1]ma sp 02'!$A$5:$BD$1101,L$1,0)</f>
        <v>1.1000000000000001</v>
      </c>
      <c r="M332" s="50">
        <f>VLOOKUP($A332,'[1]ma sp 02'!$A$5:$BD$1101,M$1,0)</f>
        <v>0.5</v>
      </c>
      <c r="N332" s="50">
        <f>VLOOKUP($A332,'[1]ma sp 02'!$A$5:$BD$1101,N$1,0)</f>
        <v>0</v>
      </c>
      <c r="O332" s="50">
        <f>VLOOKUP($A332,'[1]ma sp 02'!$A$5:$BD$1101,O$1,0)</f>
        <v>0</v>
      </c>
      <c r="P332" s="50">
        <f>VLOOKUP($A332,'[1]ma sp 02'!$A$5:$BD$1101,P$1,0)</f>
        <v>0</v>
      </c>
      <c r="Q332" s="50">
        <f>VLOOKUP($A332,'[1]ma sp 02'!$A$5:$BD$1101,Q$1,0)</f>
        <v>0</v>
      </c>
      <c r="R332" s="50">
        <f>VLOOKUP($A332,'[1]ma sp 02'!$A$5:$BD$1101,R$1,0)</f>
        <v>0</v>
      </c>
      <c r="S332" s="50">
        <f>VLOOKUP($A332,'[1]ma sp 02'!$A$5:$BD$1101,S$1,0)</f>
        <v>0</v>
      </c>
      <c r="T332" s="50">
        <f>VLOOKUP($A332,'[1]ma sp 02'!$A$5:$BD$1101,T$1,0)</f>
        <v>0</v>
      </c>
      <c r="U332" s="50">
        <f>VLOOKUP($A332,'[1]ma sp 02'!$A$5:$BD$1101,U$1,0)</f>
        <v>0</v>
      </c>
      <c r="V332" s="50">
        <f>VLOOKUP($A332,'[1]ma sp 02'!$A$5:$BD$1101,V$1,0)</f>
        <v>0</v>
      </c>
      <c r="W332" s="50">
        <f>VLOOKUP($A332,'[1]ma sp 02'!$A$5:$BD$1101,W$1,0)</f>
        <v>0</v>
      </c>
      <c r="X332" s="50">
        <f t="shared" si="12"/>
        <v>5</v>
      </c>
      <c r="Y332" s="57"/>
      <c r="Z332" s="57"/>
      <c r="AA332" s="57"/>
      <c r="AB332" s="57"/>
      <c r="AC332" s="57"/>
      <c r="AD332" s="57"/>
      <c r="AE332" s="58" t="s">
        <v>1157</v>
      </c>
      <c r="AF332" s="57"/>
      <c r="AG332" s="71">
        <f>(0.015*1.15+0.08*0.925)*0.49</f>
        <v>4.4712500000000002E-2</v>
      </c>
      <c r="AH332" s="63">
        <f>(2.3/0.75/2)*0.48</f>
        <v>0.73599999999999988</v>
      </c>
      <c r="AI332" s="63"/>
      <c r="AJ332" s="58">
        <v>9530</v>
      </c>
      <c r="AK332" s="57"/>
      <c r="AL332" s="58">
        <v>2.3E-3</v>
      </c>
      <c r="AM332" s="52" t="s">
        <v>60</v>
      </c>
      <c r="AN332" s="58">
        <v>350</v>
      </c>
      <c r="AO332" s="52" t="s">
        <v>561</v>
      </c>
      <c r="AP332" s="59" t="str">
        <f>IFERROR(VLOOKUP($A332,[2]Mssp!$A$5:$BE$1463,AP$4+1,0),0)</f>
        <v>17121376-1</v>
      </c>
      <c r="AQ332" s="59" t="str">
        <f>IFERROR(VLOOKUP($A332,[2]Mssp!$A$5:$BE$1463,AQ$4+1,0),0)</f>
        <v>17121376-2</v>
      </c>
      <c r="AR332" s="59" t="str">
        <f>IFERROR(VLOOKUP($A332,[2]Mssp!$A$5:$BE$1463,AR$4+1,0),0)</f>
        <v>17121376-3</v>
      </c>
      <c r="AS332" s="59" t="str">
        <f>IFERROR(VLOOKUP($A332,[2]Mssp!$A$5:$BE$1463,AS$4+1,0),0)</f>
        <v>17121376-4</v>
      </c>
      <c r="AT332" s="59" t="str">
        <f>IFERROR(VLOOKUP($A332,[2]Mssp!$A$5:$BE$1463,AT$4+1,0),0)</f>
        <v>17121376-5</v>
      </c>
      <c r="AU332" s="59">
        <f>IFERROR(VLOOKUP($A332,[2]Mssp!$A$5:$BE$1463,AU$4+1,0),0)</f>
        <v>0</v>
      </c>
      <c r="AV332" s="59">
        <f>IFERROR(VLOOKUP($A332,[2]Mssp!$A$5:$BE$1463,AV$4+1,0),0)</f>
        <v>0</v>
      </c>
      <c r="AW332" s="59">
        <f>IFERROR(VLOOKUP($A332,[2]Mssp!$A$5:$BE$1463,AW$4+1,0),0)</f>
        <v>0</v>
      </c>
      <c r="AX332" s="59">
        <f>IFERROR(VLOOKUP($A332,[2]Mssp!$A$5:$BE$1463,AX$4+1,0),0)</f>
        <v>0</v>
      </c>
      <c r="AY332" s="59" t="str">
        <f>IFERROR(VLOOKUP($A332,[2]Mssp!$A$5:$BE$1463,AY$4+2,0),0)</f>
        <v>700x750</v>
      </c>
      <c r="AZ332" s="59" t="str">
        <f>IFERROR(VLOOKUP($A332,[2]Mssp!$A$5:$BE$1463,AZ$4+2,0),0)</f>
        <v>P1</v>
      </c>
      <c r="BA332" s="60">
        <v>3000</v>
      </c>
      <c r="BB332" s="61" t="s">
        <v>1158</v>
      </c>
      <c r="BC332" s="62"/>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9"/>
      <c r="CK332" s="9"/>
      <c r="CL332" s="9"/>
      <c r="CM332" s="9"/>
      <c r="CN332" s="9"/>
      <c r="CO332" s="9"/>
      <c r="CP332" s="9"/>
    </row>
    <row r="333" spans="1:94" ht="45" x14ac:dyDescent="0.25">
      <c r="A333" s="50" t="s">
        <v>1159</v>
      </c>
      <c r="B333" s="73" t="s">
        <v>1160</v>
      </c>
      <c r="C333" s="50">
        <f t="shared" si="10"/>
        <v>0</v>
      </c>
      <c r="D333" s="58">
        <v>1</v>
      </c>
      <c r="E333" s="58" t="s">
        <v>1161</v>
      </c>
      <c r="F333" s="58">
        <v>0</v>
      </c>
      <c r="G333" s="50" t="s">
        <v>530</v>
      </c>
      <c r="H333" s="50">
        <f>VLOOKUP($A333,'[1]ma sp 02'!$A$5:$BD$1101,H$1,0)</f>
        <v>0</v>
      </c>
      <c r="I333" s="50">
        <f>VLOOKUP($A333,'[1]ma sp 02'!$A$5:$BD$1101,I$1,0)</f>
        <v>0</v>
      </c>
      <c r="J333" s="50">
        <f>VLOOKUP($A333,'[1]ma sp 02'!$A$5:$BD$1101,J$1,0)</f>
        <v>0</v>
      </c>
      <c r="K333" s="50">
        <f>VLOOKUP($A333,'[1]ma sp 02'!$A$5:$BD$1101,K$1,0)</f>
        <v>0</v>
      </c>
      <c r="L333" s="50">
        <f>VLOOKUP($A333,'[1]ma sp 02'!$A$5:$BD$1101,L$1,0)</f>
        <v>0</v>
      </c>
      <c r="M333" s="50">
        <f>VLOOKUP($A333,'[1]ma sp 02'!$A$5:$BD$1101,M$1,0)</f>
        <v>0</v>
      </c>
      <c r="N333" s="50">
        <f>VLOOKUP($A333,'[1]ma sp 02'!$A$5:$BD$1101,N$1,0)</f>
        <v>0</v>
      </c>
      <c r="O333" s="50">
        <f>VLOOKUP($A333,'[1]ma sp 02'!$A$5:$BD$1101,O$1,0)</f>
        <v>0</v>
      </c>
      <c r="P333" s="50">
        <f>VLOOKUP($A333,'[1]ma sp 02'!$A$5:$BD$1101,P$1,0)</f>
        <v>0</v>
      </c>
      <c r="Q333" s="50">
        <f>VLOOKUP($A333,'[1]ma sp 02'!$A$5:$BD$1101,Q$1,0)</f>
        <v>0</v>
      </c>
      <c r="R333" s="50">
        <f>VLOOKUP($A333,'[1]ma sp 02'!$A$5:$BD$1101,R$1,0)</f>
        <v>0</v>
      </c>
      <c r="S333" s="50">
        <f>VLOOKUP($A333,'[1]ma sp 02'!$A$5:$BD$1101,S$1,0)</f>
        <v>0</v>
      </c>
      <c r="T333" s="50">
        <f>VLOOKUP($A333,'[1]ma sp 02'!$A$5:$BD$1101,T$1,0)</f>
        <v>0</v>
      </c>
      <c r="U333" s="50">
        <f>VLOOKUP($A333,'[1]ma sp 02'!$A$5:$BD$1101,U$1,0)</f>
        <v>0</v>
      </c>
      <c r="V333" s="50">
        <f>VLOOKUP($A333,'[1]ma sp 02'!$A$5:$BD$1101,V$1,0)</f>
        <v>0</v>
      </c>
      <c r="W333" s="50">
        <f>VLOOKUP($A333,'[1]ma sp 02'!$A$5:$BD$1101,W$1,0)</f>
        <v>0</v>
      </c>
      <c r="X333" s="50">
        <f t="shared" si="12"/>
        <v>0</v>
      </c>
      <c r="Y333" s="57"/>
      <c r="Z333" s="57"/>
      <c r="AA333" s="57"/>
      <c r="AB333" s="57"/>
      <c r="AC333" s="57"/>
      <c r="AD333" s="57"/>
      <c r="AE333" s="58" t="s">
        <v>1162</v>
      </c>
      <c r="AF333" s="58" t="s">
        <v>1163</v>
      </c>
      <c r="AG333" s="71">
        <f>(0.012*1.4+0.006*2.71+0.075*0.925)*0.9</f>
        <v>9.2191499999999996E-2</v>
      </c>
      <c r="AH333" s="63">
        <f>(2.3/0.75/2)*0.89</f>
        <v>1.3646666666666665</v>
      </c>
      <c r="AI333" s="63">
        <f>(3/0.75/2)*0.89</f>
        <v>1.78</v>
      </c>
      <c r="AJ333" s="58">
        <v>9530</v>
      </c>
      <c r="AK333" s="58">
        <v>9530</v>
      </c>
      <c r="AL333" s="58" t="s">
        <v>117</v>
      </c>
      <c r="AM333" s="52" t="s">
        <v>194</v>
      </c>
      <c r="AN333" s="58">
        <v>880</v>
      </c>
      <c r="AO333" s="52" t="s">
        <v>962</v>
      </c>
      <c r="AP333" s="59">
        <f>IFERROR(VLOOKUP($A333,[2]Mssp!$A$5:$BE$1463,AP$4+1,0),0)</f>
        <v>0</v>
      </c>
      <c r="AQ333" s="59">
        <f>IFERROR(VLOOKUP($A333,[2]Mssp!$A$5:$BE$1463,AQ$4+1,0),0)</f>
        <v>0</v>
      </c>
      <c r="AR333" s="59">
        <f>IFERROR(VLOOKUP($A333,[2]Mssp!$A$5:$BE$1463,AR$4+1,0),0)</f>
        <v>0</v>
      </c>
      <c r="AS333" s="59">
        <f>IFERROR(VLOOKUP($A333,[2]Mssp!$A$5:$BE$1463,AS$4+1,0),0)</f>
        <v>0</v>
      </c>
      <c r="AT333" s="59">
        <f>IFERROR(VLOOKUP($A333,[2]Mssp!$A$5:$BE$1463,AT$4+1,0),0)</f>
        <v>0</v>
      </c>
      <c r="AU333" s="59">
        <f>IFERROR(VLOOKUP($A333,[2]Mssp!$A$5:$BE$1463,AU$4+1,0),0)</f>
        <v>0</v>
      </c>
      <c r="AV333" s="59">
        <f>IFERROR(VLOOKUP($A333,[2]Mssp!$A$5:$BE$1463,AV$4+1,0),0)</f>
        <v>0</v>
      </c>
      <c r="AW333" s="59">
        <f>IFERROR(VLOOKUP($A333,[2]Mssp!$A$5:$BE$1463,AW$4+1,0),0)</f>
        <v>0</v>
      </c>
      <c r="AX333" s="59">
        <f>IFERROR(VLOOKUP($A333,[2]Mssp!$A$5:$BE$1463,AX$4+1,0),0)</f>
        <v>0</v>
      </c>
      <c r="AY333" s="59">
        <f>IFERROR(VLOOKUP($A333,[2]Mssp!$A$5:$BE$1463,AY$4+2,0),0)</f>
        <v>0</v>
      </c>
      <c r="AZ333" s="59">
        <f>IFERROR(VLOOKUP($A333,[2]Mssp!$A$5:$BE$1463,AZ$4+2,0),0)</f>
        <v>0</v>
      </c>
      <c r="BA333" s="60" t="s">
        <v>106</v>
      </c>
      <c r="BB333" s="61" t="s">
        <v>107</v>
      </c>
      <c r="BC333" s="62"/>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9"/>
      <c r="CK333" s="9"/>
      <c r="CL333" s="9"/>
      <c r="CM333" s="9"/>
      <c r="CN333" s="9"/>
      <c r="CO333" s="9"/>
      <c r="CP333" s="9"/>
    </row>
    <row r="334" spans="1:94" ht="45" x14ac:dyDescent="0.25">
      <c r="A334" s="50" t="s">
        <v>1164</v>
      </c>
      <c r="B334" s="73" t="s">
        <v>1165</v>
      </c>
      <c r="C334" s="50">
        <f t="shared" si="10"/>
        <v>6.1999999999999993</v>
      </c>
      <c r="D334" s="58">
        <v>1</v>
      </c>
      <c r="E334" s="58" t="s">
        <v>393</v>
      </c>
      <c r="F334" s="58">
        <v>7</v>
      </c>
      <c r="G334" s="50" t="s">
        <v>530</v>
      </c>
      <c r="H334" s="50">
        <f>VLOOKUP($A334,'[1]ma sp 02'!$A$5:$BD$1101,H$1,0)</f>
        <v>0.1</v>
      </c>
      <c r="I334" s="50">
        <f>VLOOKUP($A334,'[1]ma sp 02'!$A$5:$BD$1101,I$1,0)</f>
        <v>2.9</v>
      </c>
      <c r="J334" s="50">
        <f>VLOOKUP($A334,'[1]ma sp 02'!$A$5:$BD$1101,J$1,0)</f>
        <v>1</v>
      </c>
      <c r="K334" s="50">
        <f>VLOOKUP($A334,'[1]ma sp 02'!$A$5:$BD$1101,K$1,0)</f>
        <v>0.1</v>
      </c>
      <c r="L334" s="50">
        <f>VLOOKUP($A334,'[1]ma sp 02'!$A$5:$BD$1101,L$1,0)</f>
        <v>0.9</v>
      </c>
      <c r="M334" s="50">
        <f>VLOOKUP($A334,'[1]ma sp 02'!$A$5:$BD$1101,M$1,0)</f>
        <v>1</v>
      </c>
      <c r="N334" s="50">
        <f>VLOOKUP($A334,'[1]ma sp 02'!$A$5:$BD$1101,N$1,0)</f>
        <v>0</v>
      </c>
      <c r="O334" s="50">
        <f>VLOOKUP($A334,'[1]ma sp 02'!$A$5:$BD$1101,O$1,0)</f>
        <v>0</v>
      </c>
      <c r="P334" s="50">
        <f>VLOOKUP($A334,'[1]ma sp 02'!$A$5:$BD$1101,P$1,0)</f>
        <v>0.1</v>
      </c>
      <c r="Q334" s="50">
        <f>VLOOKUP($A334,'[1]ma sp 02'!$A$5:$BD$1101,Q$1,0)</f>
        <v>0</v>
      </c>
      <c r="R334" s="50">
        <f>VLOOKUP($A334,'[1]ma sp 02'!$A$5:$BD$1101,R$1,0)</f>
        <v>0.1</v>
      </c>
      <c r="S334" s="50">
        <f>VLOOKUP($A334,'[1]ma sp 02'!$A$5:$BD$1101,S$1,0)</f>
        <v>0</v>
      </c>
      <c r="T334" s="50">
        <f>VLOOKUP($A334,'[1]ma sp 02'!$A$5:$BD$1101,T$1,0)</f>
        <v>0</v>
      </c>
      <c r="U334" s="50">
        <f>VLOOKUP($A334,'[1]ma sp 02'!$A$5:$BD$1101,U$1,0)</f>
        <v>0</v>
      </c>
      <c r="V334" s="50">
        <f>VLOOKUP($A334,'[1]ma sp 02'!$A$5:$BD$1101,V$1,0)</f>
        <v>0</v>
      </c>
      <c r="W334" s="50">
        <f>VLOOKUP($A334,'[1]ma sp 02'!$A$5:$BD$1101,W$1,0)</f>
        <v>0</v>
      </c>
      <c r="X334" s="50">
        <f t="shared" si="12"/>
        <v>8</v>
      </c>
      <c r="Y334" s="57"/>
      <c r="Z334" s="57"/>
      <c r="AA334" s="57"/>
      <c r="AB334" s="57"/>
      <c r="AC334" s="57"/>
      <c r="AD334" s="57"/>
      <c r="AE334" s="58" t="s">
        <v>394</v>
      </c>
      <c r="AF334" s="58" t="s">
        <v>906</v>
      </c>
      <c r="AG334" s="71">
        <f>(0.012*1.4+0.012*1.4+0.075*0.925)*0.66</f>
        <v>6.796350000000001E-2</v>
      </c>
      <c r="AH334" s="63">
        <f>(2.3/0.75/2)*0.65</f>
        <v>0.99666666666666659</v>
      </c>
      <c r="AI334" s="63">
        <f>(2.3/0.75/2)*0.65</f>
        <v>0.99666666666666659</v>
      </c>
      <c r="AJ334" s="58">
        <v>9530</v>
      </c>
      <c r="AK334" s="58">
        <v>9530</v>
      </c>
      <c r="AL334" s="58" t="s">
        <v>354</v>
      </c>
      <c r="AM334" s="52" t="s">
        <v>74</v>
      </c>
      <c r="AN334" s="58">
        <v>220</v>
      </c>
      <c r="AO334" s="52" t="s">
        <v>1166</v>
      </c>
      <c r="AP334" s="59" t="str">
        <f>IFERROR(VLOOKUP($A334,[2]Mssp!$A$5:$BE$1463,AP$4+1,0),0)</f>
        <v>20072047-1</v>
      </c>
      <c r="AQ334" s="59" t="str">
        <f>IFERROR(VLOOKUP($A334,[2]Mssp!$A$5:$BE$1463,AQ$4+1,0),0)</f>
        <v>20072047-2</v>
      </c>
      <c r="AR334" s="59" t="str">
        <f>IFERROR(VLOOKUP($A334,[2]Mssp!$A$5:$BE$1463,AR$4+1,0),0)</f>
        <v>20072047-3</v>
      </c>
      <c r="AS334" s="59" t="str">
        <f>IFERROR(VLOOKUP($A334,[2]Mssp!$A$5:$BE$1463,AS$4+1,0),0)</f>
        <v>1801210-4</v>
      </c>
      <c r="AT334" s="59" t="str">
        <f>IFERROR(VLOOKUP($A334,[2]Mssp!$A$5:$BE$1463,AT$4+1,0),0)</f>
        <v>20070247-5</v>
      </c>
      <c r="AU334" s="59" t="str">
        <f>IFERROR(VLOOKUP($A334,[2]Mssp!$A$5:$BE$1463,AU$4+1,0),0)</f>
        <v>20070247-6</v>
      </c>
      <c r="AV334" s="59" t="str">
        <f>IFERROR(VLOOKUP($A334,[2]Mssp!$A$5:$BE$1463,AV$4+1,0),0)</f>
        <v>1801210-7</v>
      </c>
      <c r="AW334" s="59">
        <f>IFERROR(VLOOKUP($A334,[2]Mssp!$A$5:$BE$1463,AW$4+1,0),0)</f>
        <v>0</v>
      </c>
      <c r="AX334" s="59">
        <f>IFERROR(VLOOKUP($A334,[2]Mssp!$A$5:$BE$1463,AX$4+1,0),0)</f>
        <v>0</v>
      </c>
      <c r="AY334" s="59" t="str">
        <f>IFERROR(VLOOKUP($A334,[2]Mssp!$A$5:$BE$1463,AY$4+2,0),0)</f>
        <v>440x750</v>
      </c>
      <c r="AZ334" s="59" t="str">
        <f>IFERROR(VLOOKUP($A334,[2]Mssp!$A$5:$BE$1463,AZ$4+2,0),0)</f>
        <v>P1</v>
      </c>
      <c r="BA334" s="60">
        <v>2000</v>
      </c>
      <c r="BB334" s="61" t="s">
        <v>62</v>
      </c>
      <c r="BC334" s="62"/>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9"/>
      <c r="CK334" s="9"/>
      <c r="CL334" s="9"/>
      <c r="CM334" s="9"/>
      <c r="CN334" s="9"/>
      <c r="CO334" s="9"/>
      <c r="CP334" s="9"/>
    </row>
    <row r="335" spans="1:94" ht="45" x14ac:dyDescent="0.25">
      <c r="A335" s="50" t="s">
        <v>1167</v>
      </c>
      <c r="B335" s="73" t="s">
        <v>1168</v>
      </c>
      <c r="C335" s="50">
        <f t="shared" si="10"/>
        <v>5.1499999999999995</v>
      </c>
      <c r="D335" s="58">
        <v>3</v>
      </c>
      <c r="E335" s="58" t="s">
        <v>437</v>
      </c>
      <c r="F335" s="58">
        <v>7</v>
      </c>
      <c r="G335" s="50" t="s">
        <v>530</v>
      </c>
      <c r="H335" s="50">
        <f>VLOOKUP($A335,'[1]ma sp 02'!$A$5:$BD$1101,H$1,0)</f>
        <v>0.15</v>
      </c>
      <c r="I335" s="50">
        <f>VLOOKUP($A335,'[1]ma sp 02'!$A$5:$BD$1101,I$1,0)</f>
        <v>2.1</v>
      </c>
      <c r="J335" s="50">
        <f>VLOOKUP($A335,'[1]ma sp 02'!$A$5:$BD$1101,J$1,0)</f>
        <v>0.4</v>
      </c>
      <c r="K335" s="50">
        <f>VLOOKUP($A335,'[1]ma sp 02'!$A$5:$BD$1101,K$1,0)</f>
        <v>0.5</v>
      </c>
      <c r="L335" s="50">
        <f>VLOOKUP($A335,'[1]ma sp 02'!$A$5:$BD$1101,L$1,0)</f>
        <v>0.8</v>
      </c>
      <c r="M335" s="50">
        <f>VLOOKUP($A335,'[1]ma sp 02'!$A$5:$BD$1101,M$1,0)</f>
        <v>1</v>
      </c>
      <c r="N335" s="50">
        <f>VLOOKUP($A335,'[1]ma sp 02'!$A$5:$BD$1101,N$1,0)</f>
        <v>0</v>
      </c>
      <c r="O335" s="50">
        <f>VLOOKUP($A335,'[1]ma sp 02'!$A$5:$BD$1101,O$1,0)</f>
        <v>0</v>
      </c>
      <c r="P335" s="50">
        <f>VLOOKUP($A335,'[1]ma sp 02'!$A$5:$BD$1101,P$1,0)</f>
        <v>0.1</v>
      </c>
      <c r="Q335" s="50">
        <f>VLOOKUP($A335,'[1]ma sp 02'!$A$5:$BD$1101,Q$1,0)</f>
        <v>0</v>
      </c>
      <c r="R335" s="50">
        <f>VLOOKUP($A335,'[1]ma sp 02'!$A$5:$BD$1101,R$1,0)</f>
        <v>0.1</v>
      </c>
      <c r="S335" s="50">
        <f>VLOOKUP($A335,'[1]ma sp 02'!$A$5:$BD$1101,S$1,0)</f>
        <v>0</v>
      </c>
      <c r="T335" s="50">
        <f>VLOOKUP($A335,'[1]ma sp 02'!$A$5:$BD$1101,T$1,0)</f>
        <v>0</v>
      </c>
      <c r="U335" s="50">
        <f>VLOOKUP($A335,'[1]ma sp 02'!$A$5:$BD$1101,U$1,0)</f>
        <v>0</v>
      </c>
      <c r="V335" s="50">
        <f>VLOOKUP($A335,'[1]ma sp 02'!$A$5:$BD$1101,V$1,0)</f>
        <v>0</v>
      </c>
      <c r="W335" s="50">
        <f>VLOOKUP($A335,'[1]ma sp 02'!$A$5:$BD$1101,W$1,0)</f>
        <v>0</v>
      </c>
      <c r="X335" s="50">
        <f t="shared" si="12"/>
        <v>8</v>
      </c>
      <c r="Y335" s="57"/>
      <c r="Z335" s="57"/>
      <c r="AA335" s="57"/>
      <c r="AB335" s="57"/>
      <c r="AC335" s="57"/>
      <c r="AD335" s="57"/>
      <c r="AE335" s="58" t="s">
        <v>66</v>
      </c>
      <c r="AF335" s="58" t="s">
        <v>1169</v>
      </c>
      <c r="AG335" s="71">
        <f>(0.012*1.4+0.012*1.4+0.075*0.925)*0.68</f>
        <v>7.0023000000000016E-2</v>
      </c>
      <c r="AH335" s="63">
        <f>(2.3/0.75/2)*0.67</f>
        <v>1.0273333333333332</v>
      </c>
      <c r="AI335" s="63">
        <f>(2.3/0.75/2)*0.67</f>
        <v>1.0273333333333332</v>
      </c>
      <c r="AJ335" s="58">
        <v>9530</v>
      </c>
      <c r="AK335" s="58">
        <v>9530</v>
      </c>
      <c r="AL335" s="58" t="s">
        <v>354</v>
      </c>
      <c r="AM335" s="52" t="s">
        <v>74</v>
      </c>
      <c r="AN335" s="58">
        <v>145</v>
      </c>
      <c r="AO335" s="52" t="s">
        <v>1166</v>
      </c>
      <c r="AP335" s="59">
        <f>IFERROR(VLOOKUP($A335,[2]Mssp!$A$5:$BE$1463,AP$4+1,0),0)</f>
        <v>0</v>
      </c>
      <c r="AQ335" s="59">
        <f>IFERROR(VLOOKUP($A335,[2]Mssp!$A$5:$BE$1463,AQ$4+1,0),0)</f>
        <v>0</v>
      </c>
      <c r="AR335" s="59">
        <f>IFERROR(VLOOKUP($A335,[2]Mssp!$A$5:$BE$1463,AR$4+1,0),0)</f>
        <v>0</v>
      </c>
      <c r="AS335" s="59">
        <f>IFERROR(VLOOKUP($A335,[2]Mssp!$A$5:$BE$1463,AS$4+1,0),0)</f>
        <v>0</v>
      </c>
      <c r="AT335" s="59">
        <f>IFERROR(VLOOKUP($A335,[2]Mssp!$A$5:$BE$1463,AT$4+1,0),0)</f>
        <v>0</v>
      </c>
      <c r="AU335" s="59">
        <f>IFERROR(VLOOKUP($A335,[2]Mssp!$A$5:$BE$1463,AU$4+1,0),0)</f>
        <v>0</v>
      </c>
      <c r="AV335" s="59">
        <f>IFERROR(VLOOKUP($A335,[2]Mssp!$A$5:$BE$1463,AV$4+1,0),0)</f>
        <v>0</v>
      </c>
      <c r="AW335" s="59">
        <f>IFERROR(VLOOKUP($A335,[2]Mssp!$A$5:$BE$1463,AW$4+1,0),0)</f>
        <v>0</v>
      </c>
      <c r="AX335" s="59">
        <f>IFERROR(VLOOKUP($A335,[2]Mssp!$A$5:$BE$1463,AX$4+1,0),0)</f>
        <v>0</v>
      </c>
      <c r="AY335" s="59">
        <f>IFERROR(VLOOKUP($A335,[2]Mssp!$A$5:$BE$1463,AY$4+2,0),0)</f>
        <v>0</v>
      </c>
      <c r="AZ335" s="59">
        <f>IFERROR(VLOOKUP($A335,[2]Mssp!$A$5:$BE$1463,AZ$4+2,0),0)</f>
        <v>0</v>
      </c>
      <c r="BA335" s="60">
        <v>10000</v>
      </c>
      <c r="BB335" s="61" t="s">
        <v>62</v>
      </c>
      <c r="BC335" s="62"/>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9"/>
      <c r="CK335" s="9"/>
      <c r="CL335" s="9"/>
      <c r="CM335" s="9"/>
      <c r="CN335" s="9"/>
      <c r="CO335" s="9"/>
      <c r="CP335" s="9"/>
    </row>
    <row r="336" spans="1:94" ht="45" x14ac:dyDescent="0.25">
      <c r="A336" s="50" t="s">
        <v>1170</v>
      </c>
      <c r="B336" s="73" t="s">
        <v>1171</v>
      </c>
      <c r="C336" s="50">
        <f t="shared" si="10"/>
        <v>8.27</v>
      </c>
      <c r="D336" s="58">
        <v>3</v>
      </c>
      <c r="E336" s="58" t="s">
        <v>645</v>
      </c>
      <c r="F336" s="58">
        <v>7</v>
      </c>
      <c r="G336" s="50" t="s">
        <v>184</v>
      </c>
      <c r="H336" s="50">
        <f>VLOOKUP($A336,'[1]ma sp 02'!$A$5:$BD$1101,H$1,0)</f>
        <v>0.01</v>
      </c>
      <c r="I336" s="50">
        <f>VLOOKUP($A336,'[1]ma sp 02'!$A$5:$BD$1101,I$1,0)</f>
        <v>4.53</v>
      </c>
      <c r="J336" s="50">
        <f>VLOOKUP($A336,'[1]ma sp 02'!$A$5:$BD$1101,J$1,0)</f>
        <v>1.24</v>
      </c>
      <c r="K336" s="50">
        <f>VLOOKUP($A336,'[1]ma sp 02'!$A$5:$BD$1101,K$1,0)</f>
        <v>0.01</v>
      </c>
      <c r="L336" s="50">
        <f>VLOOKUP($A336,'[1]ma sp 02'!$A$5:$BD$1101,L$1,0)</f>
        <v>0.55000000000000004</v>
      </c>
      <c r="M336" s="50">
        <f>VLOOKUP($A336,'[1]ma sp 02'!$A$5:$BD$1101,M$1,0)</f>
        <v>0.55000000000000004</v>
      </c>
      <c r="N336" s="50">
        <f>VLOOKUP($A336,'[1]ma sp 02'!$A$5:$BD$1101,N$1,0)</f>
        <v>1.38</v>
      </c>
      <c r="O336" s="50">
        <f>VLOOKUP($A336,'[1]ma sp 02'!$A$5:$BD$1101,O$1,0)</f>
        <v>0</v>
      </c>
      <c r="P336" s="50">
        <f>VLOOKUP($A336,'[1]ma sp 02'!$A$5:$BD$1101,P$1,0)</f>
        <v>0</v>
      </c>
      <c r="Q336" s="50">
        <f>VLOOKUP($A336,'[1]ma sp 02'!$A$5:$BD$1101,Q$1,0)</f>
        <v>0</v>
      </c>
      <c r="R336" s="50">
        <f>VLOOKUP($A336,'[1]ma sp 02'!$A$5:$BD$1101,R$1,0)</f>
        <v>0</v>
      </c>
      <c r="S336" s="50">
        <f>VLOOKUP($A336,'[1]ma sp 02'!$A$5:$BD$1101,S$1,0)</f>
        <v>0</v>
      </c>
      <c r="T336" s="50">
        <f>VLOOKUP($A336,'[1]ma sp 02'!$A$5:$BD$1101,T$1,0)</f>
        <v>0</v>
      </c>
      <c r="U336" s="50">
        <f>VLOOKUP($A336,'[1]ma sp 02'!$A$5:$BD$1101,U$1,0)</f>
        <v>0</v>
      </c>
      <c r="V336" s="50">
        <f>VLOOKUP($A336,'[1]ma sp 02'!$A$5:$BD$1101,V$1,0)</f>
        <v>0</v>
      </c>
      <c r="W336" s="50">
        <f>VLOOKUP($A336,'[1]ma sp 02'!$A$5:$BD$1101,W$1,0)</f>
        <v>0</v>
      </c>
      <c r="X336" s="50">
        <f t="shared" si="12"/>
        <v>7</v>
      </c>
      <c r="Y336" s="57"/>
      <c r="Z336" s="57"/>
      <c r="AA336" s="57"/>
      <c r="AB336" s="57"/>
      <c r="AC336" s="57"/>
      <c r="AD336" s="57"/>
      <c r="AE336" s="58" t="s">
        <v>373</v>
      </c>
      <c r="AF336" s="58" t="s">
        <v>646</v>
      </c>
      <c r="AG336" s="71">
        <f>(0.02*0.91+0.012*1.4+0.075*0.925)*0.92</f>
        <v>9.6025000000000013E-2</v>
      </c>
      <c r="AH336" s="63">
        <f>(2.3/0.75/2)*0.91</f>
        <v>1.3953333333333333</v>
      </c>
      <c r="AI336" s="63">
        <f>(3/0.75/2)*0.91</f>
        <v>1.82</v>
      </c>
      <c r="AJ336" s="58">
        <v>9530</v>
      </c>
      <c r="AK336" s="58">
        <v>9530</v>
      </c>
      <c r="AL336" s="58" t="s">
        <v>117</v>
      </c>
      <c r="AM336" s="52" t="s">
        <v>60</v>
      </c>
      <c r="AN336" s="58">
        <v>340</v>
      </c>
      <c r="AO336" s="52" t="s">
        <v>118</v>
      </c>
      <c r="AP336" s="59" t="str">
        <f>IFERROR(VLOOKUP($A336,[2]Mssp!$A$5:$BE$1463,AP$4+1,0),0)</f>
        <v>1607496-1</v>
      </c>
      <c r="AQ336" s="59" t="str">
        <f>IFERROR(VLOOKUP($A336,[2]Mssp!$A$5:$BE$1463,AQ$4+1,0),0)</f>
        <v>1607496-2</v>
      </c>
      <c r="AR336" s="59" t="str">
        <f>IFERROR(VLOOKUP($A336,[2]Mssp!$A$5:$BE$1463,AR$4+1,0),0)</f>
        <v>1607496-3</v>
      </c>
      <c r="AS336" s="59" t="str">
        <f>IFERROR(VLOOKUP($A336,[2]Mssp!$A$5:$BE$1463,AS$4+1,0),0)</f>
        <v>1607496-4</v>
      </c>
      <c r="AT336" s="59" t="str">
        <f>IFERROR(VLOOKUP($A336,[2]Mssp!$A$5:$BE$1463,AT$4+1,0),0)</f>
        <v>1607496-5</v>
      </c>
      <c r="AU336" s="59" t="str">
        <f>IFERROR(VLOOKUP($A336,[2]Mssp!$A$5:$BE$1463,AU$4+1,0),0)</f>
        <v>1607496-6</v>
      </c>
      <c r="AV336" s="59" t="str">
        <f>IFERROR(VLOOKUP($A336,[2]Mssp!$A$5:$BE$1463,AV$4+1,0),0)</f>
        <v>1607496-7</v>
      </c>
      <c r="AW336" s="59">
        <f>IFERROR(VLOOKUP($A336,[2]Mssp!$A$5:$BE$1463,AW$4+1,0),0)</f>
        <v>0</v>
      </c>
      <c r="AX336" s="59">
        <f>IFERROR(VLOOKUP($A336,[2]Mssp!$A$5:$BE$1463,AX$4+1,0),0)</f>
        <v>0</v>
      </c>
      <c r="AY336" s="59" t="str">
        <f>IFERROR(VLOOKUP($A336,[2]Mssp!$A$5:$BE$1463,AY$4+2,0),0)</f>
        <v>680x1100</v>
      </c>
      <c r="AZ336" s="59" t="str">
        <f>IFERROR(VLOOKUP($A336,[2]Mssp!$A$5:$BE$1463,AZ$4+2,0),0)</f>
        <v>F1</v>
      </c>
      <c r="BA336" s="60">
        <v>2500</v>
      </c>
      <c r="BB336" s="61" t="s">
        <v>62</v>
      </c>
      <c r="BC336" s="62"/>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9"/>
      <c r="CK336" s="9"/>
      <c r="CL336" s="9"/>
      <c r="CM336" s="9"/>
      <c r="CN336" s="9"/>
      <c r="CO336" s="9"/>
      <c r="CP336" s="9"/>
    </row>
    <row r="337" spans="1:94" ht="75" x14ac:dyDescent="0.25">
      <c r="A337" s="50" t="s">
        <v>1172</v>
      </c>
      <c r="B337" s="73" t="s">
        <v>1173</v>
      </c>
      <c r="C337" s="50">
        <f t="shared" si="10"/>
        <v>9.6000000000000014</v>
      </c>
      <c r="D337" s="58">
        <v>2</v>
      </c>
      <c r="E337" s="58" t="s">
        <v>649</v>
      </c>
      <c r="F337" s="58">
        <v>7</v>
      </c>
      <c r="G337" s="50" t="s">
        <v>184</v>
      </c>
      <c r="H337" s="50">
        <f>VLOOKUP($A337,'[1]ma sp 02'!$A$5:$BD$1101,H$1,0)</f>
        <v>0.2</v>
      </c>
      <c r="I337" s="50">
        <f>VLOOKUP($A337,'[1]ma sp 02'!$A$5:$BD$1101,I$1,0)</f>
        <v>5</v>
      </c>
      <c r="J337" s="50">
        <f>VLOOKUP($A337,'[1]ma sp 02'!$A$5:$BD$1101,J$1,0)</f>
        <v>0.5</v>
      </c>
      <c r="K337" s="50">
        <f>VLOOKUP($A337,'[1]ma sp 02'!$A$5:$BD$1101,K$1,0)</f>
        <v>0.1</v>
      </c>
      <c r="L337" s="50">
        <f>VLOOKUP($A337,'[1]ma sp 02'!$A$5:$BD$1101,L$1,0)</f>
        <v>2</v>
      </c>
      <c r="M337" s="50">
        <f>VLOOKUP($A337,'[1]ma sp 02'!$A$5:$BD$1101,M$1,0)</f>
        <v>1.5</v>
      </c>
      <c r="N337" s="50">
        <f>VLOOKUP($A337,'[1]ma sp 02'!$A$5:$BD$1101,N$1,0)</f>
        <v>0</v>
      </c>
      <c r="O337" s="50">
        <f>VLOOKUP($A337,'[1]ma sp 02'!$A$5:$BD$1101,O$1,0)</f>
        <v>0</v>
      </c>
      <c r="P337" s="50">
        <f>VLOOKUP($A337,'[1]ma sp 02'!$A$5:$BD$1101,P$1,0)</f>
        <v>0</v>
      </c>
      <c r="Q337" s="50">
        <f>VLOOKUP($A337,'[1]ma sp 02'!$A$5:$BD$1101,Q$1,0)</f>
        <v>0</v>
      </c>
      <c r="R337" s="50">
        <f>VLOOKUP($A337,'[1]ma sp 02'!$A$5:$BD$1101,R$1,0)</f>
        <v>0</v>
      </c>
      <c r="S337" s="50">
        <f>VLOOKUP($A337,'[1]ma sp 02'!$A$5:$BD$1101,S$1,0)</f>
        <v>0.3</v>
      </c>
      <c r="T337" s="50">
        <f>VLOOKUP($A337,'[1]ma sp 02'!$A$5:$BD$1101,T$1,0)</f>
        <v>0</v>
      </c>
      <c r="U337" s="50">
        <f>VLOOKUP($A337,'[1]ma sp 02'!$A$5:$BD$1101,U$1,0)</f>
        <v>0</v>
      </c>
      <c r="V337" s="50">
        <f>VLOOKUP($A337,'[1]ma sp 02'!$A$5:$BD$1101,V$1,0)</f>
        <v>0</v>
      </c>
      <c r="W337" s="50">
        <f>VLOOKUP($A337,'[1]ma sp 02'!$A$5:$BD$1101,W$1,0)</f>
        <v>0</v>
      </c>
      <c r="X337" s="50">
        <f t="shared" si="12"/>
        <v>7</v>
      </c>
      <c r="Y337" s="57"/>
      <c r="Z337" s="57"/>
      <c r="AA337" s="57"/>
      <c r="AB337" s="57"/>
      <c r="AC337" s="57"/>
      <c r="AD337" s="57"/>
      <c r="AE337" s="58" t="s">
        <v>485</v>
      </c>
      <c r="AF337" s="58" t="s">
        <v>650</v>
      </c>
      <c r="AG337" s="71">
        <f>(0.02*0.91+0.012*1.4+0.075*0.925)*0.76</f>
        <v>7.9325000000000007E-2</v>
      </c>
      <c r="AH337" s="63">
        <f>(2.3/0.75/2)*0.75</f>
        <v>1.1499999999999999</v>
      </c>
      <c r="AI337" s="63">
        <f>(3/0.75/2)*0.75</f>
        <v>1.5</v>
      </c>
      <c r="AJ337" s="58">
        <v>9530</v>
      </c>
      <c r="AK337" s="58">
        <v>9530</v>
      </c>
      <c r="AL337" s="58" t="s">
        <v>117</v>
      </c>
      <c r="AM337" s="52" t="s">
        <v>60</v>
      </c>
      <c r="AN337" s="58">
        <v>420</v>
      </c>
      <c r="AO337" s="52" t="s">
        <v>118</v>
      </c>
      <c r="AP337" s="59" t="str">
        <f>IFERROR(VLOOKUP($A337,[2]Mssp!$A$5:$BE$1463,AP$4+1,0),0)</f>
        <v>1607497-1</v>
      </c>
      <c r="AQ337" s="59" t="str">
        <f>IFERROR(VLOOKUP($A337,[2]Mssp!$A$5:$BE$1463,AQ$4+1,0),0)</f>
        <v>1607497-2</v>
      </c>
      <c r="AR337" s="59" t="str">
        <f>IFERROR(VLOOKUP($A337,[2]Mssp!$A$5:$BE$1463,AR$4+1,0),0)</f>
        <v>1607497-3</v>
      </c>
      <c r="AS337" s="59" t="str">
        <f>IFERROR(VLOOKUP($A337,[2]Mssp!$A$5:$BE$1463,AS$4+1,0),0)</f>
        <v>1607497-4</v>
      </c>
      <c r="AT337" s="59" t="str">
        <f>IFERROR(VLOOKUP($A337,[2]Mssp!$A$5:$BE$1463,AT$4+1,0),0)</f>
        <v>1607497-5</v>
      </c>
      <c r="AU337" s="59" t="str">
        <f>IFERROR(VLOOKUP($A337,[2]Mssp!$A$5:$BE$1463,AU$4+1,0),0)</f>
        <v>1607497-6</v>
      </c>
      <c r="AV337" s="59" t="str">
        <f>IFERROR(VLOOKUP($A337,[2]Mssp!$A$5:$BE$1463,AV$4+1,0),0)</f>
        <v>1607497-7</v>
      </c>
      <c r="AW337" s="59">
        <f>IFERROR(VLOOKUP($A337,[2]Mssp!$A$5:$BE$1463,AW$4+1,0),0)</f>
        <v>0</v>
      </c>
      <c r="AX337" s="59">
        <f>IFERROR(VLOOKUP($A337,[2]Mssp!$A$5:$BE$1463,AX$4+1,0),0)</f>
        <v>0</v>
      </c>
      <c r="AY337" s="59" t="str">
        <f>IFERROR(VLOOKUP($A337,[2]Mssp!$A$5:$BE$1463,AY$4+2,0),0)</f>
        <v>420x850</v>
      </c>
      <c r="AZ337" s="59" t="str">
        <f>IFERROR(VLOOKUP($A337,[2]Mssp!$A$5:$BE$1463,AZ$4+2,0),0)</f>
        <v>F1</v>
      </c>
      <c r="BA337" s="60">
        <v>1500</v>
      </c>
      <c r="BB337" s="61" t="s">
        <v>119</v>
      </c>
      <c r="BC337" s="62"/>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c r="CK337" s="9"/>
      <c r="CL337" s="9"/>
      <c r="CM337" s="9"/>
      <c r="CN337" s="9"/>
      <c r="CO337" s="9"/>
      <c r="CP337" s="9"/>
    </row>
    <row r="338" spans="1:94" ht="30" x14ac:dyDescent="0.25">
      <c r="A338" s="50" t="s">
        <v>1174</v>
      </c>
      <c r="B338" s="73" t="s">
        <v>1175</v>
      </c>
      <c r="C338" s="50">
        <f t="shared" ref="C338:C405" si="13">SUM(H338:W338)</f>
        <v>0.1</v>
      </c>
      <c r="D338" s="58">
        <v>2</v>
      </c>
      <c r="E338" s="58" t="s">
        <v>113</v>
      </c>
      <c r="F338" s="58">
        <v>1</v>
      </c>
      <c r="G338" s="50" t="s">
        <v>530</v>
      </c>
      <c r="H338" s="50">
        <f>VLOOKUP($A338,'[1]ma sp 02'!$A$5:$BD$1101,H$1,0)</f>
        <v>0.1</v>
      </c>
      <c r="I338" s="50">
        <f>VLOOKUP($A338,'[1]ma sp 02'!$A$5:$BD$1101,I$1,0)</f>
        <v>0</v>
      </c>
      <c r="J338" s="50">
        <f>VLOOKUP($A338,'[1]ma sp 02'!$A$5:$BD$1101,J$1,0)</f>
        <v>0</v>
      </c>
      <c r="K338" s="50">
        <f>VLOOKUP($A338,'[1]ma sp 02'!$A$5:$BD$1101,K$1,0)</f>
        <v>0</v>
      </c>
      <c r="L338" s="50">
        <f>VLOOKUP($A338,'[1]ma sp 02'!$A$5:$BD$1101,L$1,0)</f>
        <v>0</v>
      </c>
      <c r="M338" s="50">
        <f>VLOOKUP($A338,'[1]ma sp 02'!$A$5:$BD$1101,M$1,0)</f>
        <v>0</v>
      </c>
      <c r="N338" s="50">
        <f>VLOOKUP($A338,'[1]ma sp 02'!$A$5:$BD$1101,N$1,0)</f>
        <v>0</v>
      </c>
      <c r="O338" s="50">
        <f>VLOOKUP($A338,'[1]ma sp 02'!$A$5:$BD$1101,O$1,0)</f>
        <v>0</v>
      </c>
      <c r="P338" s="50">
        <f>VLOOKUP($A338,'[1]ma sp 02'!$A$5:$BD$1101,P$1,0)</f>
        <v>0</v>
      </c>
      <c r="Q338" s="50">
        <f>VLOOKUP($A338,'[1]ma sp 02'!$A$5:$BD$1101,Q$1,0)</f>
        <v>0</v>
      </c>
      <c r="R338" s="50">
        <f>VLOOKUP($A338,'[1]ma sp 02'!$A$5:$BD$1101,R$1,0)</f>
        <v>0</v>
      </c>
      <c r="S338" s="50">
        <f>VLOOKUP($A338,'[1]ma sp 02'!$A$5:$BD$1101,S$1,0)</f>
        <v>0</v>
      </c>
      <c r="T338" s="50">
        <f>VLOOKUP($A338,'[1]ma sp 02'!$A$5:$BD$1101,T$1,0)</f>
        <v>0</v>
      </c>
      <c r="U338" s="50">
        <f>VLOOKUP($A338,'[1]ma sp 02'!$A$5:$BD$1101,U$1,0)</f>
        <v>0</v>
      </c>
      <c r="V338" s="50">
        <f>VLOOKUP($A338,'[1]ma sp 02'!$A$5:$BD$1101,V$1,0)</f>
        <v>0</v>
      </c>
      <c r="W338" s="50">
        <f>VLOOKUP($A338,'[1]ma sp 02'!$A$5:$BD$1101,W$1,0)</f>
        <v>0</v>
      </c>
      <c r="X338" s="50">
        <f t="shared" si="12"/>
        <v>1</v>
      </c>
      <c r="Y338" s="57"/>
      <c r="Z338" s="57"/>
      <c r="AA338" s="57"/>
      <c r="AB338" s="57"/>
      <c r="AC338" s="57"/>
      <c r="AD338" s="57"/>
      <c r="AE338" s="58" t="s">
        <v>1176</v>
      </c>
      <c r="AF338" s="57"/>
      <c r="AG338" s="71">
        <f>(0.012*1.4+0.035*0.91)*0.74</f>
        <v>3.6000999999999998E-2</v>
      </c>
      <c r="AH338" s="63">
        <f>(2/0.75/2)*0.73</f>
        <v>0.97333333333333327</v>
      </c>
      <c r="AI338" s="63"/>
      <c r="AJ338" s="58">
        <v>9530</v>
      </c>
      <c r="AK338" s="57"/>
      <c r="AL338" s="58">
        <v>2E-3</v>
      </c>
      <c r="AM338" s="52" t="s">
        <v>1177</v>
      </c>
      <c r="AN338" s="58">
        <v>360</v>
      </c>
      <c r="AO338" s="52" t="s">
        <v>1129</v>
      </c>
      <c r="AP338" s="59" t="str">
        <f>IFERROR(VLOOKUP($A338,[2]Mssp!$A$5:$BE$1463,AP$4+1,0),0)</f>
        <v>X102176-1</v>
      </c>
      <c r="AQ338" s="59">
        <f>IFERROR(VLOOKUP($A338,[2]Mssp!$A$5:$BE$1463,AQ$4+1,0),0)</f>
        <v>0</v>
      </c>
      <c r="AR338" s="59">
        <f>IFERROR(VLOOKUP($A338,[2]Mssp!$A$5:$BE$1463,AR$4+1,0),0)</f>
        <v>0</v>
      </c>
      <c r="AS338" s="59">
        <f>IFERROR(VLOOKUP($A338,[2]Mssp!$A$5:$BE$1463,AS$4+1,0),0)</f>
        <v>0</v>
      </c>
      <c r="AT338" s="59">
        <f>IFERROR(VLOOKUP($A338,[2]Mssp!$A$5:$BE$1463,AT$4+1,0),0)</f>
        <v>0</v>
      </c>
      <c r="AU338" s="59">
        <f>IFERROR(VLOOKUP($A338,[2]Mssp!$A$5:$BE$1463,AU$4+1,0),0)</f>
        <v>0</v>
      </c>
      <c r="AV338" s="59">
        <f>IFERROR(VLOOKUP($A338,[2]Mssp!$A$5:$BE$1463,AV$4+1,0),0)</f>
        <v>0</v>
      </c>
      <c r="AW338" s="59">
        <f>IFERROR(VLOOKUP($A338,[2]Mssp!$A$5:$BE$1463,AW$4+1,0),0)</f>
        <v>0</v>
      </c>
      <c r="AX338" s="59">
        <f>IFERROR(VLOOKUP($A338,[2]Mssp!$A$5:$BE$1463,AX$4+1,0),0)</f>
        <v>0</v>
      </c>
      <c r="AY338" s="59" t="str">
        <f>IFERROR(VLOOKUP($A338,[2]Mssp!$A$5:$BE$1463,AY$4+2,0),0)</f>
        <v>520x850</v>
      </c>
      <c r="AZ338" s="59" t="str">
        <f>IFERROR(VLOOKUP($A338,[2]Mssp!$A$5:$BE$1463,AZ$4+2,0),0)</f>
        <v>P1</v>
      </c>
      <c r="BA338" s="60" t="s">
        <v>144</v>
      </c>
      <c r="BB338" s="61" t="s">
        <v>107</v>
      </c>
      <c r="BC338" s="62"/>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9"/>
      <c r="CK338" s="9"/>
      <c r="CL338" s="9"/>
      <c r="CM338" s="9"/>
      <c r="CN338" s="9"/>
      <c r="CO338" s="9"/>
      <c r="CP338" s="9"/>
    </row>
    <row r="339" spans="1:94" ht="45" x14ac:dyDescent="0.25">
      <c r="A339" s="50" t="s">
        <v>1178</v>
      </c>
      <c r="B339" s="73" t="s">
        <v>1179</v>
      </c>
      <c r="C339" s="50">
        <f t="shared" si="13"/>
        <v>7.7499999999999982</v>
      </c>
      <c r="D339" s="58">
        <v>1</v>
      </c>
      <c r="E339" s="58" t="s">
        <v>568</v>
      </c>
      <c r="F339" s="58">
        <v>8</v>
      </c>
      <c r="G339" s="50" t="s">
        <v>184</v>
      </c>
      <c r="H339" s="50">
        <f>VLOOKUP($A339,'[1]ma sp 02'!$A$5:$BD$1101,H$1,0)</f>
        <v>0.1</v>
      </c>
      <c r="I339" s="50">
        <f>VLOOKUP($A339,'[1]ma sp 02'!$A$5:$BD$1101,I$1,0)</f>
        <v>4.5999999999999996</v>
      </c>
      <c r="J339" s="50">
        <f>VLOOKUP($A339,'[1]ma sp 02'!$A$5:$BD$1101,J$1,0)</f>
        <v>0.25</v>
      </c>
      <c r="K339" s="50">
        <f>VLOOKUP($A339,'[1]ma sp 02'!$A$5:$BD$1101,K$1,0)</f>
        <v>0.25</v>
      </c>
      <c r="L339" s="50">
        <f>VLOOKUP($A339,'[1]ma sp 02'!$A$5:$BD$1101,L$1,0)</f>
        <v>0.5</v>
      </c>
      <c r="M339" s="50">
        <f>VLOOKUP($A339,'[1]ma sp 02'!$A$5:$BD$1101,M$1,0)</f>
        <v>1.1000000000000001</v>
      </c>
      <c r="N339" s="50">
        <f>VLOOKUP($A339,'[1]ma sp 02'!$A$5:$BD$1101,N$1,0)</f>
        <v>0</v>
      </c>
      <c r="O339" s="50">
        <f>VLOOKUP($A339,'[1]ma sp 02'!$A$5:$BD$1101,O$1,0)</f>
        <v>0.1</v>
      </c>
      <c r="P339" s="50">
        <f>VLOOKUP($A339,'[1]ma sp 02'!$A$5:$BD$1101,P$1,0)</f>
        <v>0</v>
      </c>
      <c r="Q339" s="50">
        <f>VLOOKUP($A339,'[1]ma sp 02'!$A$5:$BD$1101,Q$1,0)</f>
        <v>0.05</v>
      </c>
      <c r="R339" s="50">
        <f>VLOOKUP($A339,'[1]ma sp 02'!$A$5:$BD$1101,R$1,0)</f>
        <v>0.1</v>
      </c>
      <c r="S339" s="50">
        <f>VLOOKUP($A339,'[1]ma sp 02'!$A$5:$BD$1101,S$1,0)</f>
        <v>0</v>
      </c>
      <c r="T339" s="50">
        <f>VLOOKUP($A339,'[1]ma sp 02'!$A$5:$BD$1101,T$1,0)</f>
        <v>0</v>
      </c>
      <c r="U339" s="50">
        <f>VLOOKUP($A339,'[1]ma sp 02'!$A$5:$BD$1101,U$1,0)</f>
        <v>0.7</v>
      </c>
      <c r="V339" s="50">
        <f>VLOOKUP($A339,'[1]ma sp 02'!$A$5:$BD$1101,V$1,0)</f>
        <v>0</v>
      </c>
      <c r="W339" s="50">
        <f>VLOOKUP($A339,'[1]ma sp 02'!$A$5:$BD$1101,W$1,0)</f>
        <v>0</v>
      </c>
      <c r="X339" s="50">
        <f t="shared" si="12"/>
        <v>10</v>
      </c>
      <c r="Y339" s="57"/>
      <c r="Z339" s="57"/>
      <c r="AA339" s="57"/>
      <c r="AB339" s="57"/>
      <c r="AC339" s="57"/>
      <c r="AD339" s="57"/>
      <c r="AE339" s="58" t="s">
        <v>1180</v>
      </c>
      <c r="AF339" s="57"/>
      <c r="AG339" s="71">
        <f>(0.02*0.91+0.06*0.925)*0.55</f>
        <v>4.0535000000000002E-2</v>
      </c>
      <c r="AH339" s="55">
        <f>(0.0023*0.54*3)/(10*0.3)*1000</f>
        <v>1.242</v>
      </c>
      <c r="AI339" s="63"/>
      <c r="AJ339" s="58">
        <v>9690</v>
      </c>
      <c r="AK339" s="57"/>
      <c r="AL339" s="58">
        <v>2.3E-3</v>
      </c>
      <c r="AM339" s="52" t="s">
        <v>74</v>
      </c>
      <c r="AN339" s="58">
        <v>300</v>
      </c>
      <c r="AO339" s="52" t="s">
        <v>61</v>
      </c>
      <c r="AP339" s="59" t="str">
        <f>IFERROR(VLOOKUP($A339,[2]Mssp!$A$5:$BE$1463,AP$4+1,0),0)</f>
        <v>F119780NG2-1</v>
      </c>
      <c r="AQ339" s="59" t="str">
        <f>IFERROR(VLOOKUP($A339,[2]Mssp!$A$5:$BE$1463,AQ$4+1,0),0)</f>
        <v>F119780-2</v>
      </c>
      <c r="AR339" s="59" t="str">
        <f>IFERROR(VLOOKUP($A339,[2]Mssp!$A$5:$BE$1463,AR$4+1,0),0)</f>
        <v xml:space="preserve">F119780-3 </v>
      </c>
      <c r="AS339" s="59" t="str">
        <f>IFERROR(VLOOKUP($A339,[2]Mssp!$A$5:$BE$1463,AS$4+1,0),0)</f>
        <v>F119780G4-4 k hanal</v>
      </c>
      <c r="AT339" s="59" t="str">
        <f>IFERROR(VLOOKUP($A339,[2]Mssp!$A$5:$BE$1463,AT$4+1,0),0)</f>
        <v>F119780-5</v>
      </c>
      <c r="AU339" s="59" t="str">
        <f>IFERROR(VLOOKUP($A339,[2]Mssp!$A$5:$BE$1463,AU$4+1,0),0)</f>
        <v>F119780-6</v>
      </c>
      <c r="AV339" s="59" t="str">
        <f>IFERROR(VLOOKUP($A339,[2]Mssp!$A$5:$BE$1463,AV$4+1,0),0)</f>
        <v>F119780-7</v>
      </c>
      <c r="AW339" s="59" t="str">
        <f>IFERROR(VLOOKUP($A339,[2]Mssp!$A$5:$BE$1463,AW$4+1,0),0)</f>
        <v>F119780-8</v>
      </c>
      <c r="AX339" s="59">
        <f>IFERROR(VLOOKUP($A339,[2]Mssp!$A$5:$BE$1463,AX$4+1,0),0)</f>
        <v>0</v>
      </c>
      <c r="AY339" s="59" t="str">
        <f>IFERROR(VLOOKUP($A339,[2]Mssp!$A$5:$BE$1463,AY$4+2,0),0)</f>
        <v>600x750</v>
      </c>
      <c r="AZ339" s="59" t="str">
        <f>IFERROR(VLOOKUP($A339,[2]Mssp!$A$5:$BE$1463,AZ$4+2,0),0)</f>
        <v>C2</v>
      </c>
      <c r="BA339" s="60">
        <v>2500</v>
      </c>
      <c r="BB339" s="61" t="s">
        <v>62</v>
      </c>
      <c r="BC339" s="62"/>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c r="CK339" s="9"/>
      <c r="CL339" s="9"/>
      <c r="CM339" s="9"/>
      <c r="CN339" s="9"/>
      <c r="CO339" s="9"/>
      <c r="CP339" s="9"/>
    </row>
    <row r="340" spans="1:94" ht="45" x14ac:dyDescent="0.25">
      <c r="A340" s="50" t="s">
        <v>1181</v>
      </c>
      <c r="B340" s="73" t="s">
        <v>1182</v>
      </c>
      <c r="C340" s="50">
        <f t="shared" si="13"/>
        <v>6.6599999999999993</v>
      </c>
      <c r="D340" s="58">
        <v>1</v>
      </c>
      <c r="E340" s="58" t="s">
        <v>393</v>
      </c>
      <c r="F340" s="58">
        <v>8</v>
      </c>
      <c r="G340" s="50" t="s">
        <v>184</v>
      </c>
      <c r="H340" s="50">
        <f>VLOOKUP($A340,'[1]ma sp 02'!$A$5:$BD$1101,H$1,0)</f>
        <v>0.01</v>
      </c>
      <c r="I340" s="50">
        <f>VLOOKUP($A340,'[1]ma sp 02'!$A$5:$BD$1101,I$1,0)</f>
        <v>4.59</v>
      </c>
      <c r="J340" s="50">
        <f>VLOOKUP($A340,'[1]ma sp 02'!$A$5:$BD$1101,J$1,0)</f>
        <v>0.1</v>
      </c>
      <c r="K340" s="50">
        <f>VLOOKUP($A340,'[1]ma sp 02'!$A$5:$BD$1101,K$1,0)</f>
        <v>0.11</v>
      </c>
      <c r="L340" s="50">
        <f>VLOOKUP($A340,'[1]ma sp 02'!$A$5:$BD$1101,L$1,0)</f>
        <v>0.84</v>
      </c>
      <c r="M340" s="50">
        <f>VLOOKUP($A340,'[1]ma sp 02'!$A$5:$BD$1101,M$1,0)</f>
        <v>0.86</v>
      </c>
      <c r="N340" s="50">
        <f>VLOOKUP($A340,'[1]ma sp 02'!$A$5:$BD$1101,N$1,0)</f>
        <v>0</v>
      </c>
      <c r="O340" s="50">
        <f>VLOOKUP($A340,'[1]ma sp 02'!$A$5:$BD$1101,O$1,0)</f>
        <v>0.01</v>
      </c>
      <c r="P340" s="50">
        <f>VLOOKUP($A340,'[1]ma sp 02'!$A$5:$BD$1101,P$1,0)</f>
        <v>0</v>
      </c>
      <c r="Q340" s="50">
        <f>VLOOKUP($A340,'[1]ma sp 02'!$A$5:$BD$1101,Q$1,0)</f>
        <v>0.01</v>
      </c>
      <c r="R340" s="50">
        <f>VLOOKUP($A340,'[1]ma sp 02'!$A$5:$BD$1101,R$1,0)</f>
        <v>0.12</v>
      </c>
      <c r="S340" s="50">
        <f>VLOOKUP($A340,'[1]ma sp 02'!$A$5:$BD$1101,S$1,0)</f>
        <v>0</v>
      </c>
      <c r="T340" s="50">
        <f>VLOOKUP($A340,'[1]ma sp 02'!$A$5:$BD$1101,T$1,0)</f>
        <v>0</v>
      </c>
      <c r="U340" s="50">
        <f>VLOOKUP($A340,'[1]ma sp 02'!$A$5:$BD$1101,U$1,0)</f>
        <v>0.01</v>
      </c>
      <c r="V340" s="50">
        <f>VLOOKUP($A340,'[1]ma sp 02'!$A$5:$BD$1101,V$1,0)</f>
        <v>0</v>
      </c>
      <c r="W340" s="50">
        <f>VLOOKUP($A340,'[1]ma sp 02'!$A$5:$BD$1101,W$1,0)</f>
        <v>0</v>
      </c>
      <c r="X340" s="50">
        <f t="shared" si="12"/>
        <v>10</v>
      </c>
      <c r="Y340" s="57"/>
      <c r="Z340" s="57"/>
      <c r="AA340" s="57"/>
      <c r="AB340" s="57"/>
      <c r="AC340" s="57"/>
      <c r="AD340" s="57"/>
      <c r="AE340" s="58" t="s">
        <v>1116</v>
      </c>
      <c r="AF340" s="57"/>
      <c r="AG340" s="71">
        <f>(0.02*0.91+0.06*0.925)*0.66</f>
        <v>4.8642000000000005E-2</v>
      </c>
      <c r="AH340" s="55">
        <f>(0.0023*0.65*3)/(10*0.3)*1000</f>
        <v>1.4950000000000001</v>
      </c>
      <c r="AI340" s="63"/>
      <c r="AJ340" s="58">
        <v>9690</v>
      </c>
      <c r="AK340" s="57"/>
      <c r="AL340" s="58">
        <v>2.3E-3</v>
      </c>
      <c r="AM340" s="52" t="s">
        <v>74</v>
      </c>
      <c r="AN340" s="58">
        <v>350</v>
      </c>
      <c r="AO340" s="52" t="s">
        <v>61</v>
      </c>
      <c r="AP340" s="59" t="str">
        <f>IFERROR(VLOOKUP($A340,[2]Mssp!$A$5:$BE$1463,AP$4+1,0),0)</f>
        <v>F119781G6-1</v>
      </c>
      <c r="AQ340" s="59" t="str">
        <f>IFERROR(VLOOKUP($A340,[2]Mssp!$A$5:$BE$1463,AQ$4+1,0),0)</f>
        <v>F119781NG3-2</v>
      </c>
      <c r="AR340" s="59" t="str">
        <f>IFERROR(VLOOKUP($A340,[2]Mssp!$A$5:$BE$1463,AR$4+1,0),0)</f>
        <v>F119781G3-3</v>
      </c>
      <c r="AS340" s="59" t="str">
        <f>IFERROR(VLOOKUP($A340,[2]Mssp!$A$5:$BE$1463,AS$4+1,0),0)</f>
        <v>F119781-4</v>
      </c>
      <c r="AT340" s="59" t="str">
        <f>IFERROR(VLOOKUP($A340,[2]Mssp!$A$5:$BE$1463,AT$4+1,0),0)</f>
        <v>F119781G5-5</v>
      </c>
      <c r="AU340" s="59" t="str">
        <f>IFERROR(VLOOKUP($A340,[2]Mssp!$A$5:$BE$1463,AU$4+1,0),0)</f>
        <v>F119781-6</v>
      </c>
      <c r="AV340" s="59" t="str">
        <f>IFERROR(VLOOKUP($A340,[2]Mssp!$A$5:$BE$1463,AV$4+1,0),0)</f>
        <v>F119781-7</v>
      </c>
      <c r="AW340" s="59" t="str">
        <f>IFERROR(VLOOKUP($A340,[2]Mssp!$A$5:$BE$1463,AW$4+1,0),0)</f>
        <v>F119781G5-8</v>
      </c>
      <c r="AX340" s="59">
        <f>IFERROR(VLOOKUP($A340,[2]Mssp!$A$5:$BE$1463,AX$4+1,0),0)</f>
        <v>0</v>
      </c>
      <c r="AY340" s="59" t="str">
        <f>IFERROR(VLOOKUP($A340,[2]Mssp!$A$5:$BE$1463,AY$4+2,0),0)</f>
        <v>700x750</v>
      </c>
      <c r="AZ340" s="59" t="str">
        <f>IFERROR(VLOOKUP($A340,[2]Mssp!$A$5:$BE$1463,AZ$4+2,0),0)</f>
        <v>C2</v>
      </c>
      <c r="BA340" s="60">
        <v>2000</v>
      </c>
      <c r="BB340" s="61" t="s">
        <v>62</v>
      </c>
      <c r="BC340" s="62"/>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9"/>
      <c r="CK340" s="9"/>
      <c r="CL340" s="9"/>
      <c r="CM340" s="9"/>
      <c r="CN340" s="9"/>
      <c r="CO340" s="9"/>
      <c r="CP340" s="9"/>
    </row>
    <row r="341" spans="1:94" ht="45" x14ac:dyDescent="0.25">
      <c r="A341" s="50" t="s">
        <v>1183</v>
      </c>
      <c r="B341" s="73" t="s">
        <v>1184</v>
      </c>
      <c r="C341" s="50">
        <f t="shared" si="13"/>
        <v>7.0199999999999978</v>
      </c>
      <c r="D341" s="58">
        <v>4</v>
      </c>
      <c r="E341" s="58" t="s">
        <v>90</v>
      </c>
      <c r="F341" s="58">
        <v>8</v>
      </c>
      <c r="G341" s="50" t="s">
        <v>184</v>
      </c>
      <c r="H341" s="50">
        <f>VLOOKUP($A341,'[1]ma sp 02'!$A$5:$BD$1101,H$1,0)</f>
        <v>0.08</v>
      </c>
      <c r="I341" s="50">
        <f>VLOOKUP($A341,'[1]ma sp 02'!$A$5:$BD$1101,I$1,0)</f>
        <v>4.84</v>
      </c>
      <c r="J341" s="50">
        <f>VLOOKUP($A341,'[1]ma sp 02'!$A$5:$BD$1101,J$1,0)</f>
        <v>0.06</v>
      </c>
      <c r="K341" s="50">
        <f>VLOOKUP($A341,'[1]ma sp 02'!$A$5:$BD$1101,K$1,0)</f>
        <v>0.06</v>
      </c>
      <c r="L341" s="50">
        <f>VLOOKUP($A341,'[1]ma sp 02'!$A$5:$BD$1101,L$1,0)</f>
        <v>1.02</v>
      </c>
      <c r="M341" s="50">
        <f>VLOOKUP($A341,'[1]ma sp 02'!$A$5:$BD$1101,M$1,0)</f>
        <v>0.62</v>
      </c>
      <c r="N341" s="50">
        <f>VLOOKUP($A341,'[1]ma sp 02'!$A$5:$BD$1101,N$1,0)</f>
        <v>0</v>
      </c>
      <c r="O341" s="50">
        <f>VLOOKUP($A341,'[1]ma sp 02'!$A$5:$BD$1101,O$1,0)</f>
        <v>0</v>
      </c>
      <c r="P341" s="50">
        <f>VLOOKUP($A341,'[1]ma sp 02'!$A$5:$BD$1101,P$1,0)</f>
        <v>0.21</v>
      </c>
      <c r="Q341" s="50">
        <f>VLOOKUP($A341,'[1]ma sp 02'!$A$5:$BD$1101,Q$1,0)</f>
        <v>0.02</v>
      </c>
      <c r="R341" s="50">
        <f>VLOOKUP($A341,'[1]ma sp 02'!$A$5:$BD$1101,R$1,0)</f>
        <v>0.01</v>
      </c>
      <c r="S341" s="50">
        <f>VLOOKUP($A341,'[1]ma sp 02'!$A$5:$BD$1101,S$1,0)</f>
        <v>0</v>
      </c>
      <c r="T341" s="50">
        <f>VLOOKUP($A341,'[1]ma sp 02'!$A$5:$BD$1101,T$1,0)</f>
        <v>0</v>
      </c>
      <c r="U341" s="50">
        <f>VLOOKUP($A341,'[1]ma sp 02'!$A$5:$BD$1101,U$1,0)</f>
        <v>0.08</v>
      </c>
      <c r="V341" s="50">
        <f>VLOOKUP($A341,'[1]ma sp 02'!$A$5:$BD$1101,V$1,0)</f>
        <v>0.01</v>
      </c>
      <c r="W341" s="50">
        <f>VLOOKUP($A341,'[1]ma sp 02'!$A$5:$BD$1101,W$1,0)</f>
        <v>0.01</v>
      </c>
      <c r="X341" s="50">
        <f t="shared" si="12"/>
        <v>12</v>
      </c>
      <c r="Y341" s="57"/>
      <c r="Z341" s="57"/>
      <c r="AA341" s="57"/>
      <c r="AB341" s="57"/>
      <c r="AC341" s="57"/>
      <c r="AD341" s="57"/>
      <c r="AE341" s="58" t="s">
        <v>91</v>
      </c>
      <c r="AF341" s="57"/>
      <c r="AG341" s="71">
        <f>(0.02*0.91+0.025*0.91)*0.7</f>
        <v>2.8665E-2</v>
      </c>
      <c r="AH341" s="63">
        <f>(2.3/0.75/2)*0.69</f>
        <v>1.0579999999999998</v>
      </c>
      <c r="AI341" s="63"/>
      <c r="AJ341" s="58">
        <v>9530</v>
      </c>
      <c r="AK341" s="57"/>
      <c r="AL341" s="58">
        <v>2.3E-3</v>
      </c>
      <c r="AM341" s="52" t="s">
        <v>142</v>
      </c>
      <c r="AN341" s="58">
        <v>170</v>
      </c>
      <c r="AO341" s="52" t="s">
        <v>61</v>
      </c>
      <c r="AP341" s="59" t="str">
        <f>IFERROR(VLOOKUP($A341,[2]Mssp!$A$5:$BE$1463,AP$4+1,0),0)</f>
        <v xml:space="preserve">F119779-1 </v>
      </c>
      <c r="AQ341" s="59" t="str">
        <f>IFERROR(VLOOKUP($A341,[2]Mssp!$A$5:$BE$1463,AQ$4+1,0),0)</f>
        <v>F119779G4-2</v>
      </c>
      <c r="AR341" s="59" t="str">
        <f>IFERROR(VLOOKUP($A341,[2]Mssp!$A$5:$BE$1463,AR$4+1,0),0)</f>
        <v>F119779G4-3</v>
      </c>
      <c r="AS341" s="59" t="str">
        <f>IFERROR(VLOOKUP($A341,[2]Mssp!$A$5:$BE$1463,AS$4+1,0),0)</f>
        <v>F119779-4</v>
      </c>
      <c r="AT341" s="59" t="str">
        <f>IFERROR(VLOOKUP($A341,[2]Mssp!$A$5:$BE$1463,AT$4+1,0),0)</f>
        <v>F119779G5-5</v>
      </c>
      <c r="AU341" s="59" t="str">
        <f>IFERROR(VLOOKUP($A341,[2]Mssp!$A$5:$BE$1463,AU$4+1,0),0)</f>
        <v>F119779-6</v>
      </c>
      <c r="AV341" s="59" t="str">
        <f>IFERROR(VLOOKUP($A341,[2]Mssp!$A$5:$BE$1463,AV$4+1,0),0)</f>
        <v>F119779G4-7</v>
      </c>
      <c r="AW341" s="59" t="str">
        <f>IFERROR(VLOOKUP($A341,[2]Mssp!$A$5:$BE$1463,AW$4+1,0),0)</f>
        <v>F119779-8</v>
      </c>
      <c r="AX341" s="59">
        <f>IFERROR(VLOOKUP($A341,[2]Mssp!$A$5:$BE$1463,AX$4+1,0),0)</f>
        <v>0</v>
      </c>
      <c r="AY341" s="59" t="str">
        <f>IFERROR(VLOOKUP($A341,[2]Mssp!$A$5:$BE$1463,AY$4+2,0),0)</f>
        <v>500x850</v>
      </c>
      <c r="AZ341" s="59" t="str">
        <f>IFERROR(VLOOKUP($A341,[2]Mssp!$A$5:$BE$1463,AZ$4+2,0),0)</f>
        <v>C2</v>
      </c>
      <c r="BA341" s="60" t="s">
        <v>144</v>
      </c>
      <c r="BB341" s="61" t="s">
        <v>341</v>
      </c>
      <c r="BC341" s="62"/>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9"/>
      <c r="CK341" s="9"/>
      <c r="CL341" s="9"/>
      <c r="CM341" s="9"/>
      <c r="CN341" s="9"/>
      <c r="CO341" s="9"/>
      <c r="CP341" s="9"/>
    </row>
    <row r="342" spans="1:94" ht="45" x14ac:dyDescent="0.25">
      <c r="A342" s="50" t="s">
        <v>1185</v>
      </c>
      <c r="B342" s="73" t="s">
        <v>1186</v>
      </c>
      <c r="C342" s="50">
        <f t="shared" si="13"/>
        <v>4.3999999999999995</v>
      </c>
      <c r="D342" s="58">
        <v>2</v>
      </c>
      <c r="E342" s="58" t="s">
        <v>592</v>
      </c>
      <c r="F342" s="58">
        <v>6</v>
      </c>
      <c r="G342" s="50" t="s">
        <v>530</v>
      </c>
      <c r="H342" s="50">
        <f>VLOOKUP($A342,'[1]ma sp 02'!$A$5:$BD$1101,H$1,0)</f>
        <v>0.1</v>
      </c>
      <c r="I342" s="50">
        <f>VLOOKUP($A342,'[1]ma sp 02'!$A$5:$BD$1101,I$1,0)</f>
        <v>2.2999999999999998</v>
      </c>
      <c r="J342" s="50">
        <f>VLOOKUP($A342,'[1]ma sp 02'!$A$5:$BD$1101,J$1,0)</f>
        <v>0.1</v>
      </c>
      <c r="K342" s="50">
        <f>VLOOKUP($A342,'[1]ma sp 02'!$A$5:$BD$1101,K$1,0)</f>
        <v>0.1</v>
      </c>
      <c r="L342" s="50">
        <f>VLOOKUP($A342,'[1]ma sp 02'!$A$5:$BD$1101,L$1,0)</f>
        <v>0.8</v>
      </c>
      <c r="M342" s="50">
        <f>VLOOKUP($A342,'[1]ma sp 02'!$A$5:$BD$1101,M$1,0)</f>
        <v>0.3</v>
      </c>
      <c r="N342" s="50">
        <f>VLOOKUP($A342,'[1]ma sp 02'!$A$5:$BD$1101,N$1,0)</f>
        <v>0</v>
      </c>
      <c r="O342" s="50">
        <f>VLOOKUP($A342,'[1]ma sp 02'!$A$5:$BD$1101,O$1,0)</f>
        <v>0</v>
      </c>
      <c r="P342" s="50">
        <f>VLOOKUP($A342,'[1]ma sp 02'!$A$5:$BD$1101,P$1,0)</f>
        <v>0.6</v>
      </c>
      <c r="Q342" s="50">
        <f>VLOOKUP($A342,'[1]ma sp 02'!$A$5:$BD$1101,Q$1,0)</f>
        <v>0</v>
      </c>
      <c r="R342" s="50">
        <f>VLOOKUP($A342,'[1]ma sp 02'!$A$5:$BD$1101,R$1,0)</f>
        <v>0.1</v>
      </c>
      <c r="S342" s="50">
        <f>VLOOKUP($A342,'[1]ma sp 02'!$A$5:$BD$1101,S$1,0)</f>
        <v>0</v>
      </c>
      <c r="T342" s="50">
        <f>VLOOKUP($A342,'[1]ma sp 02'!$A$5:$BD$1101,T$1,0)</f>
        <v>0</v>
      </c>
      <c r="U342" s="50">
        <f>VLOOKUP($A342,'[1]ma sp 02'!$A$5:$BD$1101,U$1,0)</f>
        <v>0</v>
      </c>
      <c r="V342" s="50">
        <f>VLOOKUP($A342,'[1]ma sp 02'!$A$5:$BD$1101,V$1,0)</f>
        <v>0</v>
      </c>
      <c r="W342" s="50">
        <f>VLOOKUP($A342,'[1]ma sp 02'!$A$5:$BD$1101,W$1,0)</f>
        <v>0</v>
      </c>
      <c r="X342" s="50">
        <f t="shared" si="12"/>
        <v>8</v>
      </c>
      <c r="Y342" s="57"/>
      <c r="Z342" s="57"/>
      <c r="AA342" s="57"/>
      <c r="AB342" s="57"/>
      <c r="AC342" s="57"/>
      <c r="AD342" s="57"/>
      <c r="AE342" s="58" t="s">
        <v>831</v>
      </c>
      <c r="AF342" s="58" t="s">
        <v>1187</v>
      </c>
      <c r="AG342" s="71">
        <f>(0.012*1.4+0.006*2.71+0.075*0.925)*0.64</f>
        <v>6.5558400000000003E-2</v>
      </c>
      <c r="AH342" s="63">
        <f>(2.3/0.75/2)*0.63</f>
        <v>0.96599999999999997</v>
      </c>
      <c r="AI342" s="63">
        <f>(2.3/0.75/2)*0.63</f>
        <v>0.96599999999999997</v>
      </c>
      <c r="AJ342" s="58">
        <v>9530</v>
      </c>
      <c r="AK342" s="58">
        <v>9530</v>
      </c>
      <c r="AL342" s="58" t="s">
        <v>354</v>
      </c>
      <c r="AM342" s="52" t="s">
        <v>611</v>
      </c>
      <c r="AN342" s="58">
        <v>310</v>
      </c>
      <c r="AO342" s="52" t="s">
        <v>612</v>
      </c>
      <c r="AP342" s="59" t="str">
        <f>IFERROR(VLOOKUP($A342,[2]Mssp!$A$5:$BE$1463,AP$4+1,0),0)</f>
        <v>1902335-1</v>
      </c>
      <c r="AQ342" s="59" t="str">
        <f>IFERROR(VLOOKUP($A342,[2]Mssp!$A$5:$BE$1463,AQ$4+1,0),0)</f>
        <v>1801705-2</v>
      </c>
      <c r="AR342" s="59" t="str">
        <f>IFERROR(VLOOKUP($A342,[2]Mssp!$A$5:$BE$1463,AR$4+1,0),0)</f>
        <v>1801705-3</v>
      </c>
      <c r="AS342" s="59" t="str">
        <f>IFERROR(VLOOKUP($A342,[2]Mssp!$A$5:$BE$1463,AS$4+1,0),0)</f>
        <v>1801705-4</v>
      </c>
      <c r="AT342" s="59" t="str">
        <f>IFERROR(VLOOKUP($A342,[2]Mssp!$A$5:$BE$1463,AT$4+1,0),0)</f>
        <v>1801705-5</v>
      </c>
      <c r="AU342" s="59" t="str">
        <f>IFERROR(VLOOKUP($A342,[2]Mssp!$A$5:$BE$1463,AU$4+1,0),0)</f>
        <v>1801705-6</v>
      </c>
      <c r="AV342" s="59">
        <f>IFERROR(VLOOKUP($A342,[2]Mssp!$A$5:$BE$1463,AV$4+1,0),0)</f>
        <v>0</v>
      </c>
      <c r="AW342" s="59">
        <f>IFERROR(VLOOKUP($A342,[2]Mssp!$A$5:$BE$1463,AW$4+1,0),0)</f>
        <v>0</v>
      </c>
      <c r="AX342" s="59">
        <f>IFERROR(VLOOKUP($A342,[2]Mssp!$A$5:$BE$1463,AX$4+1,0),0)</f>
        <v>0</v>
      </c>
      <c r="AY342" s="59" t="str">
        <f>IFERROR(VLOOKUP($A342,[2]Mssp!$A$5:$BE$1463,AY$4+2,0),0)</f>
        <v>440x750</v>
      </c>
      <c r="AZ342" s="59" t="str">
        <f>IFERROR(VLOOKUP($A342,[2]Mssp!$A$5:$BE$1463,AZ$4+2,0),0)</f>
        <v>D3</v>
      </c>
      <c r="BA342" s="60" t="s">
        <v>106</v>
      </c>
      <c r="BB342" s="61" t="s">
        <v>107</v>
      </c>
      <c r="BC342" s="62"/>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9"/>
      <c r="CK342" s="9"/>
      <c r="CL342" s="9"/>
      <c r="CM342" s="9"/>
      <c r="CN342" s="9"/>
      <c r="CO342" s="9"/>
      <c r="CP342" s="9"/>
    </row>
    <row r="343" spans="1:94" ht="45" x14ac:dyDescent="0.25">
      <c r="A343" s="50" t="s">
        <v>1188</v>
      </c>
      <c r="B343" s="73" t="s">
        <v>1189</v>
      </c>
      <c r="C343" s="50">
        <f t="shared" si="13"/>
        <v>3.8</v>
      </c>
      <c r="D343" s="58">
        <v>3</v>
      </c>
      <c r="E343" s="58" t="s">
        <v>351</v>
      </c>
      <c r="F343" s="58">
        <v>6</v>
      </c>
      <c r="G343" s="50" t="s">
        <v>530</v>
      </c>
      <c r="H343" s="50">
        <f>VLOOKUP($A343,'[1]ma sp 02'!$A$5:$BD$1101,H$1,0)</f>
        <v>0.15</v>
      </c>
      <c r="I343" s="50">
        <f>VLOOKUP($A343,'[1]ma sp 02'!$A$5:$BD$1101,I$1,0)</f>
        <v>2.1</v>
      </c>
      <c r="J343" s="50">
        <f>VLOOKUP($A343,'[1]ma sp 02'!$A$5:$BD$1101,J$1,0)</f>
        <v>0.5</v>
      </c>
      <c r="K343" s="50">
        <f>VLOOKUP($A343,'[1]ma sp 02'!$A$5:$BD$1101,K$1,0)</f>
        <v>0.15</v>
      </c>
      <c r="L343" s="50">
        <f>VLOOKUP($A343,'[1]ma sp 02'!$A$5:$BD$1101,L$1,0)</f>
        <v>0.4</v>
      </c>
      <c r="M343" s="50">
        <f>VLOOKUP($A343,'[1]ma sp 02'!$A$5:$BD$1101,M$1,0)</f>
        <v>0.4</v>
      </c>
      <c r="N343" s="50">
        <f>VLOOKUP($A343,'[1]ma sp 02'!$A$5:$BD$1101,N$1,0)</f>
        <v>0</v>
      </c>
      <c r="O343" s="50">
        <f>VLOOKUP($A343,'[1]ma sp 02'!$A$5:$BD$1101,O$1,0)</f>
        <v>0</v>
      </c>
      <c r="P343" s="50">
        <f>VLOOKUP($A343,'[1]ma sp 02'!$A$5:$BD$1101,P$1,0)</f>
        <v>0</v>
      </c>
      <c r="Q343" s="50">
        <f>VLOOKUP($A343,'[1]ma sp 02'!$A$5:$BD$1101,Q$1,0)</f>
        <v>0</v>
      </c>
      <c r="R343" s="50">
        <f>VLOOKUP($A343,'[1]ma sp 02'!$A$5:$BD$1101,R$1,0)</f>
        <v>0.1</v>
      </c>
      <c r="S343" s="50">
        <f>VLOOKUP($A343,'[1]ma sp 02'!$A$5:$BD$1101,S$1,0)</f>
        <v>0</v>
      </c>
      <c r="T343" s="50">
        <f>VLOOKUP($A343,'[1]ma sp 02'!$A$5:$BD$1101,T$1,0)</f>
        <v>0</v>
      </c>
      <c r="U343" s="50">
        <f>VLOOKUP($A343,'[1]ma sp 02'!$A$5:$BD$1101,U$1,0)</f>
        <v>0</v>
      </c>
      <c r="V343" s="50">
        <f>VLOOKUP($A343,'[1]ma sp 02'!$A$5:$BD$1101,V$1,0)</f>
        <v>0</v>
      </c>
      <c r="W343" s="50">
        <f>VLOOKUP($A343,'[1]ma sp 02'!$A$5:$BD$1101,W$1,0)</f>
        <v>0</v>
      </c>
      <c r="X343" s="50">
        <f t="shared" si="12"/>
        <v>7</v>
      </c>
      <c r="Y343" s="57"/>
      <c r="Z343" s="57"/>
      <c r="AA343" s="57"/>
      <c r="AB343" s="57"/>
      <c r="AC343" s="57"/>
      <c r="AD343" s="57"/>
      <c r="AE343" s="58" t="s">
        <v>499</v>
      </c>
      <c r="AF343" s="58" t="s">
        <v>881</v>
      </c>
      <c r="AG343" s="71">
        <f>(0.012*1.4+0.006*2.71+0.075*0.925)*0.8</f>
        <v>8.1948000000000007E-2</v>
      </c>
      <c r="AH343" s="63">
        <f>(2.3/0.75/2)*0.79</f>
        <v>1.2113333333333334</v>
      </c>
      <c r="AI343" s="63">
        <f>(2.3/0.75/2)*0.79</f>
        <v>1.2113333333333334</v>
      </c>
      <c r="AJ343" s="58">
        <v>9530</v>
      </c>
      <c r="AK343" s="58">
        <v>9530</v>
      </c>
      <c r="AL343" s="58" t="s">
        <v>354</v>
      </c>
      <c r="AM343" s="52" t="s">
        <v>611</v>
      </c>
      <c r="AN343" s="58">
        <v>260</v>
      </c>
      <c r="AO343" s="52" t="s">
        <v>612</v>
      </c>
      <c r="AP343" s="59" t="str">
        <f>IFERROR(VLOOKUP($A343,[2]Mssp!$A$5:$BE$1463,AP$4+1,0),0)</f>
        <v>1801706-1</v>
      </c>
      <c r="AQ343" s="59" t="str">
        <f>IFERROR(VLOOKUP($A343,[2]Mssp!$A$5:$BE$1463,AQ$4+1,0),0)</f>
        <v>1801706-2</v>
      </c>
      <c r="AR343" s="59" t="str">
        <f>IFERROR(VLOOKUP($A343,[2]Mssp!$A$5:$BE$1463,AR$4+1,0),0)</f>
        <v>1801706-3</v>
      </c>
      <c r="AS343" s="59" t="str">
        <f>IFERROR(VLOOKUP($A343,[2]Mssp!$A$5:$BE$1463,AS$4+1,0),0)</f>
        <v>1801706-4</v>
      </c>
      <c r="AT343" s="59" t="str">
        <f>IFERROR(VLOOKUP($A343,[2]Mssp!$A$5:$BE$1463,AT$4+1,0),0)</f>
        <v>1801706-5</v>
      </c>
      <c r="AU343" s="59" t="str">
        <f>IFERROR(VLOOKUP($A343,[2]Mssp!$A$5:$BE$1463,AU$4+1,0),0)</f>
        <v>1801706-6</v>
      </c>
      <c r="AV343" s="59">
        <f>IFERROR(VLOOKUP($A343,[2]Mssp!$A$5:$BE$1463,AV$4+1,0),0)</f>
        <v>0</v>
      </c>
      <c r="AW343" s="59">
        <f>IFERROR(VLOOKUP($A343,[2]Mssp!$A$5:$BE$1463,AW$4+1,0),0)</f>
        <v>0</v>
      </c>
      <c r="AX343" s="59">
        <f>IFERROR(VLOOKUP($A343,[2]Mssp!$A$5:$BE$1463,AX$4+1,0),0)</f>
        <v>0</v>
      </c>
      <c r="AY343" s="59" t="str">
        <f>IFERROR(VLOOKUP($A343,[2]Mssp!$A$5:$BE$1463,AY$4+2,0),0)</f>
        <v>450x850</v>
      </c>
      <c r="AZ343" s="59" t="str">
        <f>IFERROR(VLOOKUP($A343,[2]Mssp!$A$5:$BE$1463,AZ$4+2,0),0)</f>
        <v>D3</v>
      </c>
      <c r="BA343" s="60" t="s">
        <v>106</v>
      </c>
      <c r="BB343" s="61" t="s">
        <v>107</v>
      </c>
      <c r="BC343" s="62"/>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9"/>
      <c r="CK343" s="9"/>
      <c r="CL343" s="9"/>
      <c r="CM343" s="9"/>
      <c r="CN343" s="9"/>
      <c r="CO343" s="9"/>
      <c r="CP343" s="9"/>
    </row>
    <row r="344" spans="1:94" ht="45" x14ac:dyDescent="0.25">
      <c r="A344" s="50" t="s">
        <v>1190</v>
      </c>
      <c r="B344" s="73" t="s">
        <v>1191</v>
      </c>
      <c r="C344" s="50">
        <f t="shared" si="13"/>
        <v>4.6499999999999995</v>
      </c>
      <c r="D344" s="58">
        <v>3</v>
      </c>
      <c r="E344" s="58" t="s">
        <v>351</v>
      </c>
      <c r="F344" s="58">
        <v>6</v>
      </c>
      <c r="G344" s="50" t="s">
        <v>530</v>
      </c>
      <c r="H344" s="50">
        <f>VLOOKUP($A344,'[1]ma sp 02'!$A$5:$BD$1101,H$1,0)</f>
        <v>7.0000000000000007E-2</v>
      </c>
      <c r="I344" s="50">
        <f>VLOOKUP($A344,'[1]ma sp 02'!$A$5:$BD$1101,I$1,0)</f>
        <v>2.78</v>
      </c>
      <c r="J344" s="50">
        <f>VLOOKUP($A344,'[1]ma sp 02'!$A$5:$BD$1101,J$1,0)</f>
        <v>0.11</v>
      </c>
      <c r="K344" s="50">
        <f>VLOOKUP($A344,'[1]ma sp 02'!$A$5:$BD$1101,K$1,0)</f>
        <v>0.32</v>
      </c>
      <c r="L344" s="50">
        <f>VLOOKUP($A344,'[1]ma sp 02'!$A$5:$BD$1101,L$1,0)</f>
        <v>0.77</v>
      </c>
      <c r="M344" s="50">
        <f>VLOOKUP($A344,'[1]ma sp 02'!$A$5:$BD$1101,M$1,0)</f>
        <v>0.56000000000000005</v>
      </c>
      <c r="N344" s="50">
        <f>VLOOKUP($A344,'[1]ma sp 02'!$A$5:$BD$1101,N$1,0)</f>
        <v>0</v>
      </c>
      <c r="O344" s="50">
        <f>VLOOKUP($A344,'[1]ma sp 02'!$A$5:$BD$1101,O$1,0)</f>
        <v>0.04</v>
      </c>
      <c r="P344" s="50">
        <f>VLOOKUP($A344,'[1]ma sp 02'!$A$5:$BD$1101,P$1,0)</f>
        <v>0</v>
      </c>
      <c r="Q344" s="50">
        <f>VLOOKUP($A344,'[1]ma sp 02'!$A$5:$BD$1101,Q$1,0)</f>
        <v>0</v>
      </c>
      <c r="R344" s="50">
        <f>VLOOKUP($A344,'[1]ma sp 02'!$A$5:$BD$1101,R$1,0)</f>
        <v>0</v>
      </c>
      <c r="S344" s="50">
        <f>VLOOKUP($A344,'[1]ma sp 02'!$A$5:$BD$1101,S$1,0)</f>
        <v>0</v>
      </c>
      <c r="T344" s="50">
        <f>VLOOKUP($A344,'[1]ma sp 02'!$A$5:$BD$1101,T$1,0)</f>
        <v>0</v>
      </c>
      <c r="U344" s="50">
        <f>VLOOKUP($A344,'[1]ma sp 02'!$A$5:$BD$1101,U$1,0)</f>
        <v>0</v>
      </c>
      <c r="V344" s="50">
        <f>VLOOKUP($A344,'[1]ma sp 02'!$A$5:$BD$1101,V$1,0)</f>
        <v>0</v>
      </c>
      <c r="W344" s="50">
        <f>VLOOKUP($A344,'[1]ma sp 02'!$A$5:$BD$1101,W$1,0)</f>
        <v>0</v>
      </c>
      <c r="X344" s="50">
        <f t="shared" si="12"/>
        <v>7</v>
      </c>
      <c r="Y344" s="57"/>
      <c r="Z344" s="57"/>
      <c r="AA344" s="57"/>
      <c r="AB344" s="57"/>
      <c r="AC344" s="57"/>
      <c r="AD344" s="57"/>
      <c r="AE344" s="58" t="s">
        <v>499</v>
      </c>
      <c r="AF344" s="58" t="s">
        <v>1192</v>
      </c>
      <c r="AG344" s="71">
        <f>(0.012*1.4+0.006*2.71+0.075*0.925)*0.8</f>
        <v>8.1948000000000007E-2</v>
      </c>
      <c r="AH344" s="63">
        <f>(2.3/0.75/2)*0.79</f>
        <v>1.2113333333333334</v>
      </c>
      <c r="AI344" s="63">
        <f>(2.3/0.75/2)*0.79</f>
        <v>1.2113333333333334</v>
      </c>
      <c r="AJ344" s="58">
        <v>9530</v>
      </c>
      <c r="AK344" s="58">
        <v>9530</v>
      </c>
      <c r="AL344" s="58" t="s">
        <v>354</v>
      </c>
      <c r="AM344" s="52" t="s">
        <v>611</v>
      </c>
      <c r="AN344" s="58">
        <v>260</v>
      </c>
      <c r="AO344" s="52" t="s">
        <v>612</v>
      </c>
      <c r="AP344" s="59" t="str">
        <f>IFERROR(VLOOKUP($A344,[2]Mssp!$A$5:$BE$1463,AP$4+1,0),0)</f>
        <v>21050948-1</v>
      </c>
      <c r="AQ344" s="59" t="str">
        <f>IFERROR(VLOOKUP($A344,[2]Mssp!$A$5:$BE$1463,AQ$4+1,0),0)</f>
        <v>1801707-2</v>
      </c>
      <c r="AR344" s="59" t="str">
        <f>IFERROR(VLOOKUP($A344,[2]Mssp!$A$5:$BE$1463,AR$4+1,0),0)</f>
        <v>21050948-3</v>
      </c>
      <c r="AS344" s="59" t="str">
        <f>IFERROR(VLOOKUP($A344,[2]Mssp!$A$5:$BE$1463,AS$4+1,0),0)</f>
        <v>1801707-4</v>
      </c>
      <c r="AT344" s="59" t="str">
        <f>IFERROR(VLOOKUP($A344,[2]Mssp!$A$5:$BE$1463,AT$4+1,0),0)</f>
        <v>1801707-5</v>
      </c>
      <c r="AU344" s="59" t="str">
        <f>IFERROR(VLOOKUP($A344,[2]Mssp!$A$5:$BE$1463,AU$4+1,0),0)</f>
        <v>1801707-6</v>
      </c>
      <c r="AV344" s="59">
        <f>IFERROR(VLOOKUP($A344,[2]Mssp!$A$5:$BE$1463,AV$4+1,0),0)</f>
        <v>0</v>
      </c>
      <c r="AW344" s="59">
        <f>IFERROR(VLOOKUP($A344,[2]Mssp!$A$5:$BE$1463,AW$4+1,0),0)</f>
        <v>0</v>
      </c>
      <c r="AX344" s="59">
        <f>IFERROR(VLOOKUP($A344,[2]Mssp!$A$5:$BE$1463,AX$4+1,0),0)</f>
        <v>0</v>
      </c>
      <c r="AY344" s="59" t="str">
        <f>IFERROR(VLOOKUP($A344,[2]Mssp!$A$5:$BE$1463,AY$4+2,0),0)</f>
        <v>450x850</v>
      </c>
      <c r="AZ344" s="59" t="str">
        <f>IFERROR(VLOOKUP($A344,[2]Mssp!$A$5:$BE$1463,AZ$4+2,0),0)</f>
        <v>D3</v>
      </c>
      <c r="BA344" s="60" t="s">
        <v>106</v>
      </c>
      <c r="BB344" s="61" t="s">
        <v>107</v>
      </c>
      <c r="BC344" s="62"/>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9"/>
      <c r="CK344" s="9"/>
      <c r="CL344" s="9"/>
      <c r="CM344" s="9"/>
      <c r="CN344" s="9"/>
      <c r="CO344" s="9"/>
      <c r="CP344" s="9"/>
    </row>
    <row r="345" spans="1:94" ht="75" x14ac:dyDescent="0.25">
      <c r="A345" s="50" t="s">
        <v>1193</v>
      </c>
      <c r="B345" s="73" t="s">
        <v>1194</v>
      </c>
      <c r="C345" s="50">
        <f t="shared" si="13"/>
        <v>7.8000000000000007</v>
      </c>
      <c r="D345" s="58">
        <v>2</v>
      </c>
      <c r="E345" s="58" t="s">
        <v>131</v>
      </c>
      <c r="F345" s="58">
        <v>5</v>
      </c>
      <c r="G345" s="50" t="s">
        <v>530</v>
      </c>
      <c r="H345" s="50">
        <f>VLOOKUP($A345,'[1]ma sp 02'!$A$5:$BD$1101,H$1,0)</f>
        <v>0</v>
      </c>
      <c r="I345" s="50">
        <f>VLOOKUP($A345,'[1]ma sp 02'!$A$5:$BD$1101,I$1,0)</f>
        <v>1</v>
      </c>
      <c r="J345" s="50">
        <f>VLOOKUP($A345,'[1]ma sp 02'!$A$5:$BD$1101,J$1,0)</f>
        <v>1</v>
      </c>
      <c r="K345" s="50">
        <f>VLOOKUP($A345,'[1]ma sp 02'!$A$5:$BD$1101,K$1,0)</f>
        <v>0.1</v>
      </c>
      <c r="L345" s="50">
        <f>VLOOKUP($A345,'[1]ma sp 02'!$A$5:$BD$1101,L$1,0)</f>
        <v>2.2000000000000002</v>
      </c>
      <c r="M345" s="50">
        <f>VLOOKUP($A345,'[1]ma sp 02'!$A$5:$BD$1101,M$1,0)</f>
        <v>0</v>
      </c>
      <c r="N345" s="50">
        <f>VLOOKUP($A345,'[1]ma sp 02'!$A$5:$BD$1101,N$1,0)</f>
        <v>3.5</v>
      </c>
      <c r="O345" s="50">
        <f>VLOOKUP($A345,'[1]ma sp 02'!$A$5:$BD$1101,O$1,0)</f>
        <v>0</v>
      </c>
      <c r="P345" s="50">
        <f>VLOOKUP($A345,'[1]ma sp 02'!$A$5:$BD$1101,P$1,0)</f>
        <v>0</v>
      </c>
      <c r="Q345" s="50">
        <f>VLOOKUP($A345,'[1]ma sp 02'!$A$5:$BD$1101,Q$1,0)</f>
        <v>0</v>
      </c>
      <c r="R345" s="50">
        <f>VLOOKUP($A345,'[1]ma sp 02'!$A$5:$BD$1101,R$1,0)</f>
        <v>0</v>
      </c>
      <c r="S345" s="50">
        <f>VLOOKUP($A345,'[1]ma sp 02'!$A$5:$BD$1101,S$1,0)</f>
        <v>0</v>
      </c>
      <c r="T345" s="50">
        <f>VLOOKUP($A345,'[1]ma sp 02'!$A$5:$BD$1101,T$1,0)</f>
        <v>0</v>
      </c>
      <c r="U345" s="50">
        <f>VLOOKUP($A345,'[1]ma sp 02'!$A$5:$BD$1101,U$1,0)</f>
        <v>0</v>
      </c>
      <c r="V345" s="50">
        <f>VLOOKUP($A345,'[1]ma sp 02'!$A$5:$BD$1101,V$1,0)</f>
        <v>0</v>
      </c>
      <c r="W345" s="50">
        <f>VLOOKUP($A345,'[1]ma sp 02'!$A$5:$BD$1101,W$1,0)</f>
        <v>0</v>
      </c>
      <c r="X345" s="50">
        <f t="shared" si="12"/>
        <v>5</v>
      </c>
      <c r="Y345" s="57"/>
      <c r="Z345" s="57"/>
      <c r="AA345" s="57"/>
      <c r="AB345" s="57"/>
      <c r="AC345" s="57"/>
      <c r="AD345" s="57"/>
      <c r="AE345" s="58" t="s">
        <v>78</v>
      </c>
      <c r="AF345" s="58" t="s">
        <v>324</v>
      </c>
      <c r="AG345" s="71">
        <f>(0.012*1.4+0.012*1.4+0.075*0.925)*0.62</f>
        <v>6.3844500000000012E-2</v>
      </c>
      <c r="AH345" s="63">
        <f>(2.3/0.75/2)*0.61</f>
        <v>0.93533333333333324</v>
      </c>
      <c r="AI345" s="63">
        <f>(3/0.75/2)*0.61</f>
        <v>1.22</v>
      </c>
      <c r="AJ345" s="58">
        <v>9530</v>
      </c>
      <c r="AK345" s="58">
        <v>9530</v>
      </c>
      <c r="AL345" s="58" t="s">
        <v>117</v>
      </c>
      <c r="AM345" s="52" t="s">
        <v>60</v>
      </c>
      <c r="AN345" s="58">
        <v>335</v>
      </c>
      <c r="AO345" s="52" t="s">
        <v>916</v>
      </c>
      <c r="AP345" s="59">
        <f>IFERROR(VLOOKUP($A345,[2]Mssp!$A$5:$BE$1463,AP$4+1,0),0)</f>
        <v>0</v>
      </c>
      <c r="AQ345" s="59">
        <f>IFERROR(VLOOKUP($A345,[2]Mssp!$A$5:$BE$1463,AQ$4+1,0),0)</f>
        <v>0</v>
      </c>
      <c r="AR345" s="59">
        <f>IFERROR(VLOOKUP($A345,[2]Mssp!$A$5:$BE$1463,AR$4+1,0),0)</f>
        <v>0</v>
      </c>
      <c r="AS345" s="59">
        <f>IFERROR(VLOOKUP($A345,[2]Mssp!$A$5:$BE$1463,AS$4+1,0),0)</f>
        <v>0</v>
      </c>
      <c r="AT345" s="59">
        <f>IFERROR(VLOOKUP($A345,[2]Mssp!$A$5:$BE$1463,AT$4+1,0),0)</f>
        <v>0</v>
      </c>
      <c r="AU345" s="59">
        <f>IFERROR(VLOOKUP($A345,[2]Mssp!$A$5:$BE$1463,AU$4+1,0),0)</f>
        <v>0</v>
      </c>
      <c r="AV345" s="59">
        <f>IFERROR(VLOOKUP($A345,[2]Mssp!$A$5:$BE$1463,AV$4+1,0),0)</f>
        <v>0</v>
      </c>
      <c r="AW345" s="59">
        <f>IFERROR(VLOOKUP($A345,[2]Mssp!$A$5:$BE$1463,AW$4+1,0),0)</f>
        <v>0</v>
      </c>
      <c r="AX345" s="59">
        <f>IFERROR(VLOOKUP($A345,[2]Mssp!$A$5:$BE$1463,AX$4+1,0),0)</f>
        <v>0</v>
      </c>
      <c r="AY345" s="59">
        <f>IFERROR(VLOOKUP($A345,[2]Mssp!$A$5:$BE$1463,AY$4+2,0),0)</f>
        <v>0</v>
      </c>
      <c r="AZ345" s="59">
        <f>IFERROR(VLOOKUP($A345,[2]Mssp!$A$5:$BE$1463,AZ$4+2,0),0)</f>
        <v>0</v>
      </c>
      <c r="BA345" s="60">
        <v>2000</v>
      </c>
      <c r="BB345" s="61" t="s">
        <v>119</v>
      </c>
      <c r="BC345" s="62"/>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c r="CK345" s="9"/>
      <c r="CL345" s="9"/>
      <c r="CM345" s="9"/>
      <c r="CN345" s="9"/>
      <c r="CO345" s="9"/>
      <c r="CP345" s="9"/>
    </row>
    <row r="346" spans="1:94" ht="45" x14ac:dyDescent="0.25">
      <c r="A346" s="50" t="s">
        <v>1195</v>
      </c>
      <c r="B346" s="73" t="s">
        <v>1196</v>
      </c>
      <c r="C346" s="50">
        <f t="shared" si="13"/>
        <v>3.3800000000000003</v>
      </c>
      <c r="D346" s="58">
        <v>2</v>
      </c>
      <c r="E346" s="58" t="s">
        <v>731</v>
      </c>
      <c r="F346" s="58">
        <v>6</v>
      </c>
      <c r="G346" s="50" t="s">
        <v>530</v>
      </c>
      <c r="H346" s="50">
        <f>VLOOKUP($A346,'[1]ma sp 02'!$A$5:$BD$1101,H$1,0)</f>
        <v>0.15</v>
      </c>
      <c r="I346" s="50">
        <f>VLOOKUP($A346,'[1]ma sp 02'!$A$5:$BD$1101,I$1,0)</f>
        <v>0</v>
      </c>
      <c r="J346" s="50">
        <f>VLOOKUP($A346,'[1]ma sp 02'!$A$5:$BD$1101,J$1,0)</f>
        <v>0.35</v>
      </c>
      <c r="K346" s="50">
        <f>VLOOKUP($A346,'[1]ma sp 02'!$A$5:$BD$1101,K$1,0)</f>
        <v>0.02</v>
      </c>
      <c r="L346" s="50">
        <f>VLOOKUP($A346,'[1]ma sp 02'!$A$5:$BD$1101,L$1,0)</f>
        <v>0.78</v>
      </c>
      <c r="M346" s="50">
        <f>VLOOKUP($A346,'[1]ma sp 02'!$A$5:$BD$1101,M$1,0)</f>
        <v>0.1</v>
      </c>
      <c r="N346" s="50">
        <f>VLOOKUP($A346,'[1]ma sp 02'!$A$5:$BD$1101,N$1,0)</f>
        <v>0</v>
      </c>
      <c r="O346" s="50">
        <f>VLOOKUP($A346,'[1]ma sp 02'!$A$5:$BD$1101,O$1,0)</f>
        <v>0</v>
      </c>
      <c r="P346" s="50">
        <f>VLOOKUP($A346,'[1]ma sp 02'!$A$5:$BD$1101,P$1,0)</f>
        <v>1.88</v>
      </c>
      <c r="Q346" s="50">
        <f>VLOOKUP($A346,'[1]ma sp 02'!$A$5:$BD$1101,Q$1,0)</f>
        <v>0</v>
      </c>
      <c r="R346" s="50">
        <f>VLOOKUP($A346,'[1]ma sp 02'!$A$5:$BD$1101,R$1,0)</f>
        <v>0.1</v>
      </c>
      <c r="S346" s="50">
        <f>VLOOKUP($A346,'[1]ma sp 02'!$A$5:$BD$1101,S$1,0)</f>
        <v>0</v>
      </c>
      <c r="T346" s="50">
        <f>VLOOKUP($A346,'[1]ma sp 02'!$A$5:$BD$1101,T$1,0)</f>
        <v>0</v>
      </c>
      <c r="U346" s="50">
        <f>VLOOKUP($A346,'[1]ma sp 02'!$A$5:$BD$1101,U$1,0)</f>
        <v>0</v>
      </c>
      <c r="V346" s="50">
        <f>VLOOKUP($A346,'[1]ma sp 02'!$A$5:$BD$1101,V$1,0)</f>
        <v>0</v>
      </c>
      <c r="W346" s="50">
        <f>VLOOKUP($A346,'[1]ma sp 02'!$A$5:$BD$1101,W$1,0)</f>
        <v>0</v>
      </c>
      <c r="X346" s="50">
        <f t="shared" si="12"/>
        <v>7</v>
      </c>
      <c r="Y346" s="57"/>
      <c r="Z346" s="57"/>
      <c r="AA346" s="57"/>
      <c r="AB346" s="57"/>
      <c r="AC346" s="57"/>
      <c r="AD346" s="57"/>
      <c r="AE346" s="58" t="s">
        <v>1197</v>
      </c>
      <c r="AF346" s="57"/>
      <c r="AG346" s="71">
        <f>(0.012*1.4+0.06*0.925)*0.58</f>
        <v>4.1933999999999999E-2</v>
      </c>
      <c r="AH346" s="63">
        <f>(3/0.75/2)*0.57</f>
        <v>1.1399999999999999</v>
      </c>
      <c r="AI346" s="63"/>
      <c r="AJ346" s="58">
        <v>9530</v>
      </c>
      <c r="AK346" s="57"/>
      <c r="AL346" s="58">
        <v>3.0000000000000001E-3</v>
      </c>
      <c r="AM346" s="52" t="s">
        <v>142</v>
      </c>
      <c r="AN346" s="58">
        <v>280</v>
      </c>
      <c r="AO346" s="52" t="s">
        <v>1077</v>
      </c>
      <c r="AP346" s="59" t="str">
        <f>IFERROR(VLOOKUP($A346,[2]Mssp!$A$5:$BE$1463,AP$4+1,0),0)</f>
        <v>1801917-1</v>
      </c>
      <c r="AQ346" s="59" t="str">
        <f>IFERROR(VLOOKUP($A346,[2]Mssp!$A$5:$BE$1463,AQ$4+1,0),0)</f>
        <v>1801917-2</v>
      </c>
      <c r="AR346" s="59" t="str">
        <f>IFERROR(VLOOKUP($A346,[2]Mssp!$A$5:$BE$1463,AR$4+1,0),0)</f>
        <v>19041179-3</v>
      </c>
      <c r="AS346" s="59" t="str">
        <f>IFERROR(VLOOKUP($A346,[2]Mssp!$A$5:$BE$1463,AS$4+1,0),0)</f>
        <v>1801917-4</v>
      </c>
      <c r="AT346" s="59" t="str">
        <f>IFERROR(VLOOKUP($A346,[2]Mssp!$A$5:$BE$1463,AT$4+1,0),0)</f>
        <v>1801917-5</v>
      </c>
      <c r="AU346" s="59" t="str">
        <f>IFERROR(VLOOKUP($A346,[2]Mssp!$A$5:$BE$1463,AU$4+1,0),0)</f>
        <v>1801917-6</v>
      </c>
      <c r="AV346" s="59">
        <f>IFERROR(VLOOKUP($A346,[2]Mssp!$A$5:$BE$1463,AV$4+1,0),0)</f>
        <v>0</v>
      </c>
      <c r="AW346" s="59">
        <f>IFERROR(VLOOKUP($A346,[2]Mssp!$A$5:$BE$1463,AW$4+1,0),0)</f>
        <v>0</v>
      </c>
      <c r="AX346" s="59">
        <f>IFERROR(VLOOKUP($A346,[2]Mssp!$A$5:$BE$1463,AX$4+1,0),0)</f>
        <v>0</v>
      </c>
      <c r="AY346" s="59" t="str">
        <f>IFERROR(VLOOKUP($A346,[2]Mssp!$A$5:$BE$1463,AY$4+2,0),0)</f>
        <v>420x750</v>
      </c>
      <c r="AZ346" s="59" t="str">
        <f>IFERROR(VLOOKUP($A346,[2]Mssp!$A$5:$BE$1463,AZ$4+2,0),0)</f>
        <v>U1</v>
      </c>
      <c r="BA346" s="60" t="s">
        <v>144</v>
      </c>
      <c r="BB346" s="61" t="s">
        <v>107</v>
      </c>
      <c r="BC346" s="62"/>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9"/>
      <c r="CK346" s="9"/>
      <c r="CL346" s="9"/>
      <c r="CM346" s="9"/>
      <c r="CN346" s="9"/>
      <c r="CO346" s="9"/>
      <c r="CP346" s="9"/>
    </row>
    <row r="347" spans="1:94" ht="45" x14ac:dyDescent="0.25">
      <c r="A347" s="50" t="s">
        <v>1198</v>
      </c>
      <c r="B347" s="73" t="s">
        <v>1199</v>
      </c>
      <c r="C347" s="50">
        <f t="shared" si="13"/>
        <v>7.4</v>
      </c>
      <c r="D347" s="58">
        <v>6</v>
      </c>
      <c r="E347" s="58" t="s">
        <v>113</v>
      </c>
      <c r="F347" s="58">
        <v>6</v>
      </c>
      <c r="G347" s="50" t="s">
        <v>530</v>
      </c>
      <c r="H347" s="50">
        <f>VLOOKUP($A347,'[1]ma sp 02'!$A$5:$BD$1101,H$1,0)</f>
        <v>0.2</v>
      </c>
      <c r="I347" s="50">
        <f>VLOOKUP($A347,'[1]ma sp 02'!$A$5:$BD$1101,I$1,0)</f>
        <v>3</v>
      </c>
      <c r="J347" s="50">
        <f>VLOOKUP($A347,'[1]ma sp 02'!$A$5:$BD$1101,J$1,0)</f>
        <v>0.1</v>
      </c>
      <c r="K347" s="50">
        <f>VLOOKUP($A347,'[1]ma sp 02'!$A$5:$BD$1101,K$1,0)</f>
        <v>0.1</v>
      </c>
      <c r="L347" s="50">
        <f>VLOOKUP($A347,'[1]ma sp 02'!$A$5:$BD$1101,L$1,0)</f>
        <v>0.8</v>
      </c>
      <c r="M347" s="50">
        <f>VLOOKUP($A347,'[1]ma sp 02'!$A$5:$BD$1101,M$1,0)</f>
        <v>1.5</v>
      </c>
      <c r="N347" s="50">
        <f>VLOOKUP($A347,'[1]ma sp 02'!$A$5:$BD$1101,N$1,0)</f>
        <v>0</v>
      </c>
      <c r="O347" s="50">
        <f>VLOOKUP($A347,'[1]ma sp 02'!$A$5:$BD$1101,O$1,0)</f>
        <v>1.7</v>
      </c>
      <c r="P347" s="50">
        <f>VLOOKUP($A347,'[1]ma sp 02'!$A$5:$BD$1101,P$1,0)</f>
        <v>0</v>
      </c>
      <c r="Q347" s="50">
        <f>VLOOKUP($A347,'[1]ma sp 02'!$A$5:$BD$1101,Q$1,0)</f>
        <v>0</v>
      </c>
      <c r="R347" s="50">
        <f>VLOOKUP($A347,'[1]ma sp 02'!$A$5:$BD$1101,R$1,0)</f>
        <v>0</v>
      </c>
      <c r="S347" s="50">
        <f>VLOOKUP($A347,'[1]ma sp 02'!$A$5:$BD$1101,S$1,0)</f>
        <v>0</v>
      </c>
      <c r="T347" s="50">
        <f>VLOOKUP($A347,'[1]ma sp 02'!$A$5:$BD$1101,T$1,0)</f>
        <v>0</v>
      </c>
      <c r="U347" s="50">
        <f>VLOOKUP($A347,'[1]ma sp 02'!$A$5:$BD$1101,U$1,0)</f>
        <v>0</v>
      </c>
      <c r="V347" s="50">
        <f>VLOOKUP($A347,'[1]ma sp 02'!$A$5:$BD$1101,V$1,0)</f>
        <v>0</v>
      </c>
      <c r="W347" s="50">
        <f>VLOOKUP($A347,'[1]ma sp 02'!$A$5:$BD$1101,W$1,0)</f>
        <v>0</v>
      </c>
      <c r="X347" s="50">
        <f t="shared" si="12"/>
        <v>7</v>
      </c>
      <c r="Y347" s="57"/>
      <c r="Z347" s="57"/>
      <c r="AA347" s="57"/>
      <c r="AB347" s="57"/>
      <c r="AC347" s="57"/>
      <c r="AD347" s="57"/>
      <c r="AE347" s="58" t="s">
        <v>628</v>
      </c>
      <c r="AF347" s="58" t="s">
        <v>1200</v>
      </c>
      <c r="AG347" s="71">
        <f>(0.012*1.4+0.006*2.71+0.075*0.925)*0.74</f>
        <v>7.5801899999999992E-2</v>
      </c>
      <c r="AH347" s="63">
        <f>(2.3/0.75/2)*0.73</f>
        <v>1.1193333333333333</v>
      </c>
      <c r="AI347" s="63">
        <f>(3/0.75/2)*0.73</f>
        <v>1.46</v>
      </c>
      <c r="AJ347" s="58">
        <v>9530</v>
      </c>
      <c r="AK347" s="58">
        <v>9530</v>
      </c>
      <c r="AL347" s="58" t="s">
        <v>117</v>
      </c>
      <c r="AM347" s="52" t="s">
        <v>104</v>
      </c>
      <c r="AN347" s="58">
        <v>120</v>
      </c>
      <c r="AO347" s="52" t="s">
        <v>1201</v>
      </c>
      <c r="AP347" s="59" t="str">
        <f>IFERROR(VLOOKUP($A347,[2]Mssp!$A$5:$BE$1463,AP$4+1,0),0)</f>
        <v>1801932-1</v>
      </c>
      <c r="AQ347" s="59" t="str">
        <f>IFERROR(VLOOKUP($A347,[2]Mssp!$A$5:$BE$1463,AQ$4+1,0),0)</f>
        <v>1801932-2</v>
      </c>
      <c r="AR347" s="59" t="str">
        <f>IFERROR(VLOOKUP($A347,[2]Mssp!$A$5:$BE$1463,AR$4+1,0),0)</f>
        <v>1801932-3</v>
      </c>
      <c r="AS347" s="59" t="str">
        <f>IFERROR(VLOOKUP($A347,[2]Mssp!$A$5:$BE$1463,AS$4+1,0),0)</f>
        <v>1801932-4</v>
      </c>
      <c r="AT347" s="59" t="str">
        <f>IFERROR(VLOOKUP($A347,[2]Mssp!$A$5:$BE$1463,AT$4+1,0),0)</f>
        <v>1801932-5</v>
      </c>
      <c r="AU347" s="59" t="str">
        <f>IFERROR(VLOOKUP($A347,[2]Mssp!$A$5:$BE$1463,AU$4+1,0),0)</f>
        <v>1801932-6</v>
      </c>
      <c r="AV347" s="59">
        <f>IFERROR(VLOOKUP($A347,[2]Mssp!$A$5:$BE$1463,AV$4+1,0),0)</f>
        <v>0</v>
      </c>
      <c r="AW347" s="59">
        <f>IFERROR(VLOOKUP($A347,[2]Mssp!$A$5:$BE$1463,AW$4+1,0),0)</f>
        <v>0</v>
      </c>
      <c r="AX347" s="59">
        <f>IFERROR(VLOOKUP($A347,[2]Mssp!$A$5:$BE$1463,AX$4+1,0),0)</f>
        <v>0</v>
      </c>
      <c r="AY347" s="59" t="str">
        <f>IFERROR(VLOOKUP($A347,[2]Mssp!$A$5:$BE$1463,AY$4+2,0),0)</f>
        <v>450x850</v>
      </c>
      <c r="AZ347" s="59" t="str">
        <f>IFERROR(VLOOKUP($A347,[2]Mssp!$A$5:$BE$1463,AZ$4+2,0),0)</f>
        <v>P1</v>
      </c>
      <c r="BA347" s="60" t="s">
        <v>170</v>
      </c>
      <c r="BB347" s="61" t="s">
        <v>107</v>
      </c>
      <c r="BC347" s="62"/>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c r="CK347" s="9"/>
      <c r="CL347" s="9"/>
      <c r="CM347" s="9"/>
      <c r="CN347" s="9"/>
      <c r="CO347" s="9"/>
      <c r="CP347" s="9"/>
    </row>
    <row r="348" spans="1:94" ht="45" x14ac:dyDescent="0.25">
      <c r="A348" s="50" t="s">
        <v>1202</v>
      </c>
      <c r="B348" s="73" t="s">
        <v>1203</v>
      </c>
      <c r="C348" s="50">
        <f t="shared" si="13"/>
        <v>2.7100000000000004</v>
      </c>
      <c r="D348" s="58">
        <v>2</v>
      </c>
      <c r="E348" s="58" t="s">
        <v>437</v>
      </c>
      <c r="F348" s="58">
        <v>6</v>
      </c>
      <c r="G348" s="50" t="s">
        <v>530</v>
      </c>
      <c r="H348" s="50">
        <f>VLOOKUP($A348,'[1]ma sp 02'!$A$5:$BD$1101,H$1,0)</f>
        <v>0.06</v>
      </c>
      <c r="I348" s="50">
        <f>VLOOKUP($A348,'[1]ma sp 02'!$A$5:$BD$1101,I$1,0)</f>
        <v>0</v>
      </c>
      <c r="J348" s="50">
        <f>VLOOKUP($A348,'[1]ma sp 02'!$A$5:$BD$1101,J$1,0)</f>
        <v>0.36</v>
      </c>
      <c r="K348" s="50">
        <f>VLOOKUP($A348,'[1]ma sp 02'!$A$5:$BD$1101,K$1,0)</f>
        <v>0.06</v>
      </c>
      <c r="L348" s="50">
        <f>VLOOKUP($A348,'[1]ma sp 02'!$A$5:$BD$1101,L$1,0)</f>
        <v>0.75</v>
      </c>
      <c r="M348" s="50">
        <f>VLOOKUP($A348,'[1]ma sp 02'!$A$5:$BD$1101,M$1,0)</f>
        <v>0</v>
      </c>
      <c r="N348" s="50">
        <f>VLOOKUP($A348,'[1]ma sp 02'!$A$5:$BD$1101,N$1,0)</f>
        <v>0</v>
      </c>
      <c r="O348" s="50">
        <f>VLOOKUP($A348,'[1]ma sp 02'!$A$5:$BD$1101,O$1,0)</f>
        <v>0</v>
      </c>
      <c r="P348" s="50">
        <f>VLOOKUP($A348,'[1]ma sp 02'!$A$5:$BD$1101,P$1,0)</f>
        <v>1.34</v>
      </c>
      <c r="Q348" s="50">
        <f>VLOOKUP($A348,'[1]ma sp 02'!$A$5:$BD$1101,Q$1,0)</f>
        <v>0</v>
      </c>
      <c r="R348" s="50">
        <f>VLOOKUP($A348,'[1]ma sp 02'!$A$5:$BD$1101,R$1,0)</f>
        <v>0.14000000000000001</v>
      </c>
      <c r="S348" s="50">
        <f>VLOOKUP($A348,'[1]ma sp 02'!$A$5:$BD$1101,S$1,0)</f>
        <v>0</v>
      </c>
      <c r="T348" s="50">
        <f>VLOOKUP($A348,'[1]ma sp 02'!$A$5:$BD$1101,T$1,0)</f>
        <v>0</v>
      </c>
      <c r="U348" s="50">
        <f>VLOOKUP($A348,'[1]ma sp 02'!$A$5:$BD$1101,U$1,0)</f>
        <v>0</v>
      </c>
      <c r="V348" s="50">
        <f>VLOOKUP($A348,'[1]ma sp 02'!$A$5:$BD$1101,V$1,0)</f>
        <v>0</v>
      </c>
      <c r="W348" s="50">
        <f>VLOOKUP($A348,'[1]ma sp 02'!$A$5:$BD$1101,W$1,0)</f>
        <v>0</v>
      </c>
      <c r="X348" s="50">
        <f t="shared" si="12"/>
        <v>6</v>
      </c>
      <c r="Y348" s="57"/>
      <c r="Z348" s="57"/>
      <c r="AA348" s="57"/>
      <c r="AB348" s="57"/>
      <c r="AC348" s="57"/>
      <c r="AD348" s="57"/>
      <c r="AE348" s="58" t="s">
        <v>1076</v>
      </c>
      <c r="AF348" s="57"/>
      <c r="AG348" s="71">
        <f>(0.012*1.4+0.06*0.925)*0.68</f>
        <v>4.9164000000000006E-2</v>
      </c>
      <c r="AH348" s="63">
        <f>(3/0.75/2)*0.67</f>
        <v>1.34</v>
      </c>
      <c r="AI348" s="63"/>
      <c r="AJ348" s="58">
        <v>9530</v>
      </c>
      <c r="AK348" s="57"/>
      <c r="AL348" s="58">
        <v>3.0000000000000001E-3</v>
      </c>
      <c r="AM348" s="52" t="s">
        <v>142</v>
      </c>
      <c r="AN348" s="58">
        <v>330</v>
      </c>
      <c r="AO348" s="52" t="s">
        <v>1077</v>
      </c>
      <c r="AP348" s="59" t="str">
        <f>IFERROR(VLOOKUP($A348,[2]Mssp!$A$5:$BE$1463,AP$4+1,0),0)</f>
        <v>18011035-1</v>
      </c>
      <c r="AQ348" s="59" t="str">
        <f>IFERROR(VLOOKUP($A348,[2]Mssp!$A$5:$BE$1463,AQ$4+1,0),0)</f>
        <v>18011035-2</v>
      </c>
      <c r="AR348" s="59" t="str">
        <f>IFERROR(VLOOKUP($A348,[2]Mssp!$A$5:$BE$1463,AR$4+1,0),0)</f>
        <v>19041180-3</v>
      </c>
      <c r="AS348" s="59" t="str">
        <f>IFERROR(VLOOKUP($A348,[2]Mssp!$A$5:$BE$1463,AS$4+1,0),0)</f>
        <v>18011035-4</v>
      </c>
      <c r="AT348" s="59" t="str">
        <f>IFERROR(VLOOKUP($A348,[2]Mssp!$A$5:$BE$1463,AT$4+1,0),0)</f>
        <v>18011035-5</v>
      </c>
      <c r="AU348" s="59" t="str">
        <f>IFERROR(VLOOKUP($A348,[2]Mssp!$A$5:$BE$1463,AU$4+1,0),0)</f>
        <v>18011035-6</v>
      </c>
      <c r="AV348" s="59">
        <f>IFERROR(VLOOKUP($A348,[2]Mssp!$A$5:$BE$1463,AV$4+1,0),0)</f>
        <v>0</v>
      </c>
      <c r="AW348" s="59">
        <f>IFERROR(VLOOKUP($A348,[2]Mssp!$A$5:$BE$1463,AW$4+1,0),0)</f>
        <v>0</v>
      </c>
      <c r="AX348" s="59">
        <f>IFERROR(VLOOKUP($A348,[2]Mssp!$A$5:$BE$1463,AX$4+1,0),0)</f>
        <v>0</v>
      </c>
      <c r="AY348" s="59" t="str">
        <f>IFERROR(VLOOKUP($A348,[2]Mssp!$A$5:$BE$1463,AY$4+2,0),0)</f>
        <v>440x750</v>
      </c>
      <c r="AZ348" s="59" t="str">
        <f>IFERROR(VLOOKUP($A348,[2]Mssp!$A$5:$BE$1463,AZ$4+2,0),0)</f>
        <v>U1</v>
      </c>
      <c r="BA348" s="60" t="s">
        <v>106</v>
      </c>
      <c r="BB348" s="61" t="s">
        <v>107</v>
      </c>
      <c r="BC348" s="62"/>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9"/>
      <c r="CK348" s="9"/>
      <c r="CL348" s="9"/>
      <c r="CM348" s="9"/>
      <c r="CN348" s="9"/>
      <c r="CO348" s="9"/>
      <c r="CP348" s="9"/>
    </row>
    <row r="349" spans="1:94" ht="45" x14ac:dyDescent="0.25">
      <c r="A349" s="50" t="s">
        <v>1204</v>
      </c>
      <c r="B349" s="73" t="s">
        <v>1205</v>
      </c>
      <c r="C349" s="50">
        <f t="shared" si="13"/>
        <v>4.34</v>
      </c>
      <c r="D349" s="58">
        <v>2</v>
      </c>
      <c r="E349" s="58" t="s">
        <v>623</v>
      </c>
      <c r="F349" s="58">
        <v>6</v>
      </c>
      <c r="G349" s="50" t="s">
        <v>530</v>
      </c>
      <c r="H349" s="50">
        <f>VLOOKUP($A349,'[1]ma sp 02'!$A$5:$BD$1101,H$1,0)</f>
        <v>0.16</v>
      </c>
      <c r="I349" s="50">
        <f>VLOOKUP($A349,'[1]ma sp 02'!$A$5:$BD$1101,I$1,0)</f>
        <v>0</v>
      </c>
      <c r="J349" s="50">
        <f>VLOOKUP($A349,'[1]ma sp 02'!$A$5:$BD$1101,J$1,0)</f>
        <v>0.55000000000000004</v>
      </c>
      <c r="K349" s="50">
        <f>VLOOKUP($A349,'[1]ma sp 02'!$A$5:$BD$1101,K$1,0)</f>
        <v>0.01</v>
      </c>
      <c r="L349" s="50">
        <f>VLOOKUP($A349,'[1]ma sp 02'!$A$5:$BD$1101,L$1,0)</f>
        <v>0.82</v>
      </c>
      <c r="M349" s="50">
        <f>VLOOKUP($A349,'[1]ma sp 02'!$A$5:$BD$1101,M$1,0)</f>
        <v>0.65</v>
      </c>
      <c r="N349" s="50">
        <f>VLOOKUP($A349,'[1]ma sp 02'!$A$5:$BD$1101,N$1,0)</f>
        <v>0</v>
      </c>
      <c r="O349" s="50">
        <f>VLOOKUP($A349,'[1]ma sp 02'!$A$5:$BD$1101,O$1,0)</f>
        <v>0</v>
      </c>
      <c r="P349" s="50">
        <f>VLOOKUP($A349,'[1]ma sp 02'!$A$5:$BD$1101,P$1,0)</f>
        <v>1.88</v>
      </c>
      <c r="Q349" s="50">
        <f>VLOOKUP($A349,'[1]ma sp 02'!$A$5:$BD$1101,Q$1,0)</f>
        <v>0</v>
      </c>
      <c r="R349" s="50">
        <f>VLOOKUP($A349,'[1]ma sp 02'!$A$5:$BD$1101,R$1,0)</f>
        <v>0.27</v>
      </c>
      <c r="S349" s="50">
        <f>VLOOKUP($A349,'[1]ma sp 02'!$A$5:$BD$1101,S$1,0)</f>
        <v>0</v>
      </c>
      <c r="T349" s="50">
        <f>VLOOKUP($A349,'[1]ma sp 02'!$A$5:$BD$1101,T$1,0)</f>
        <v>0</v>
      </c>
      <c r="U349" s="50">
        <f>VLOOKUP($A349,'[1]ma sp 02'!$A$5:$BD$1101,U$1,0)</f>
        <v>0</v>
      </c>
      <c r="V349" s="50">
        <f>VLOOKUP($A349,'[1]ma sp 02'!$A$5:$BD$1101,V$1,0)</f>
        <v>0</v>
      </c>
      <c r="W349" s="50">
        <f>VLOOKUP($A349,'[1]ma sp 02'!$A$5:$BD$1101,W$1,0)</f>
        <v>0</v>
      </c>
      <c r="X349" s="50">
        <f t="shared" si="12"/>
        <v>7</v>
      </c>
      <c r="Y349" s="57"/>
      <c r="Z349" s="57"/>
      <c r="AA349" s="57"/>
      <c r="AB349" s="57"/>
      <c r="AC349" s="57"/>
      <c r="AD349" s="57"/>
      <c r="AE349" s="58" t="s">
        <v>1206</v>
      </c>
      <c r="AF349" s="57"/>
      <c r="AG349" s="71">
        <f>(0.012*1.4+0.06*0.925)*0.69</f>
        <v>4.9887000000000001E-2</v>
      </c>
      <c r="AH349" s="63">
        <f>(3/0.75/2)*0.68</f>
        <v>1.36</v>
      </c>
      <c r="AI349" s="63"/>
      <c r="AJ349" s="58">
        <v>9530</v>
      </c>
      <c r="AK349" s="57"/>
      <c r="AL349" s="58">
        <v>3.0000000000000001E-3</v>
      </c>
      <c r="AM349" s="52" t="s">
        <v>142</v>
      </c>
      <c r="AN349" s="58">
        <v>334</v>
      </c>
      <c r="AO349" s="52" t="s">
        <v>1077</v>
      </c>
      <c r="AP349" s="59" t="str">
        <f>IFERROR(VLOOKUP($A349,[2]Mssp!$A$5:$BE$1463,AP$4+1,0),0)</f>
        <v>18011036-1</v>
      </c>
      <c r="AQ349" s="59" t="str">
        <f>IFERROR(VLOOKUP($A349,[2]Mssp!$A$5:$BE$1463,AQ$4+1,0),0)</f>
        <v>18011036-2</v>
      </c>
      <c r="AR349" s="59" t="str">
        <f>IFERROR(VLOOKUP($A349,[2]Mssp!$A$5:$BE$1463,AR$4+1,0),0)</f>
        <v>19041181-3</v>
      </c>
      <c r="AS349" s="59" t="str">
        <f>IFERROR(VLOOKUP($A349,[2]Mssp!$A$5:$BE$1463,AS$4+1,0),0)</f>
        <v>18011036-4</v>
      </c>
      <c r="AT349" s="59" t="str">
        <f>IFERROR(VLOOKUP($A349,[2]Mssp!$A$5:$BE$1463,AT$4+1,0),0)</f>
        <v>18011036-5</v>
      </c>
      <c r="AU349" s="59" t="str">
        <f>IFERROR(VLOOKUP($A349,[2]Mssp!$A$5:$BE$1463,AU$4+1,0),0)</f>
        <v>18011036-6</v>
      </c>
      <c r="AV349" s="59">
        <f>IFERROR(VLOOKUP($A349,[2]Mssp!$A$5:$BE$1463,AV$4+1,0),0)</f>
        <v>0</v>
      </c>
      <c r="AW349" s="59">
        <f>IFERROR(VLOOKUP($A349,[2]Mssp!$A$5:$BE$1463,AW$4+1,0),0)</f>
        <v>0</v>
      </c>
      <c r="AX349" s="59">
        <f>IFERROR(VLOOKUP($A349,[2]Mssp!$A$5:$BE$1463,AX$4+1,0),0)</f>
        <v>0</v>
      </c>
      <c r="AY349" s="59" t="str">
        <f>IFERROR(VLOOKUP($A349,[2]Mssp!$A$5:$BE$1463,AY$4+2,0),0)</f>
        <v>470x750</v>
      </c>
      <c r="AZ349" s="59" t="str">
        <f>IFERROR(VLOOKUP($A349,[2]Mssp!$A$5:$BE$1463,AZ$4+2,0),0)</f>
        <v>U1</v>
      </c>
      <c r="BA349" s="60" t="s">
        <v>106</v>
      </c>
      <c r="BB349" s="61" t="s">
        <v>107</v>
      </c>
      <c r="BC349" s="62"/>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9"/>
      <c r="CK349" s="9"/>
      <c r="CL349" s="9"/>
      <c r="CM349" s="9"/>
      <c r="CN349" s="9"/>
      <c r="CO349" s="9"/>
      <c r="CP349" s="9"/>
    </row>
    <row r="350" spans="1:94" ht="45" x14ac:dyDescent="0.25">
      <c r="A350" s="50" t="s">
        <v>1207</v>
      </c>
      <c r="B350" s="73" t="s">
        <v>1208</v>
      </c>
      <c r="C350" s="50">
        <f t="shared" si="13"/>
        <v>2.5900000000000003</v>
      </c>
      <c r="D350" s="58">
        <v>2</v>
      </c>
      <c r="E350" s="58" t="s">
        <v>748</v>
      </c>
      <c r="F350" s="58">
        <v>6</v>
      </c>
      <c r="G350" s="50" t="s">
        <v>530</v>
      </c>
      <c r="H350" s="50">
        <f>VLOOKUP($A350,'[1]ma sp 02'!$A$5:$BD$1101,H$1,0)</f>
        <v>0.11</v>
      </c>
      <c r="I350" s="50">
        <f>VLOOKUP($A350,'[1]ma sp 02'!$A$5:$BD$1101,I$1,0)</f>
        <v>0</v>
      </c>
      <c r="J350" s="50">
        <f>VLOOKUP($A350,'[1]ma sp 02'!$A$5:$BD$1101,J$1,0)</f>
        <v>0.23</v>
      </c>
      <c r="K350" s="50">
        <f>VLOOKUP($A350,'[1]ma sp 02'!$A$5:$BD$1101,K$1,0)</f>
        <v>0.28000000000000003</v>
      </c>
      <c r="L350" s="50">
        <f>VLOOKUP($A350,'[1]ma sp 02'!$A$5:$BD$1101,L$1,0)</f>
        <v>0.39</v>
      </c>
      <c r="M350" s="50">
        <f>VLOOKUP($A350,'[1]ma sp 02'!$A$5:$BD$1101,M$1,0)</f>
        <v>0.08</v>
      </c>
      <c r="N350" s="50">
        <f>VLOOKUP($A350,'[1]ma sp 02'!$A$5:$BD$1101,N$1,0)</f>
        <v>0</v>
      </c>
      <c r="O350" s="50">
        <f>VLOOKUP($A350,'[1]ma sp 02'!$A$5:$BD$1101,O$1,0)</f>
        <v>0</v>
      </c>
      <c r="P350" s="50">
        <f>VLOOKUP($A350,'[1]ma sp 02'!$A$5:$BD$1101,P$1,0)</f>
        <v>1.39</v>
      </c>
      <c r="Q350" s="50">
        <f>VLOOKUP($A350,'[1]ma sp 02'!$A$5:$BD$1101,Q$1,0)</f>
        <v>0</v>
      </c>
      <c r="R350" s="50">
        <f>VLOOKUP($A350,'[1]ma sp 02'!$A$5:$BD$1101,R$1,0)</f>
        <v>0.11</v>
      </c>
      <c r="S350" s="50">
        <f>VLOOKUP($A350,'[1]ma sp 02'!$A$5:$BD$1101,S$1,0)</f>
        <v>0</v>
      </c>
      <c r="T350" s="50">
        <f>VLOOKUP($A350,'[1]ma sp 02'!$A$5:$BD$1101,T$1,0)</f>
        <v>0</v>
      </c>
      <c r="U350" s="50">
        <f>VLOOKUP($A350,'[1]ma sp 02'!$A$5:$BD$1101,U$1,0)</f>
        <v>0</v>
      </c>
      <c r="V350" s="50">
        <f>VLOOKUP($A350,'[1]ma sp 02'!$A$5:$BD$1101,V$1,0)</f>
        <v>0</v>
      </c>
      <c r="W350" s="50">
        <f>VLOOKUP($A350,'[1]ma sp 02'!$A$5:$BD$1101,W$1,0)</f>
        <v>0</v>
      </c>
      <c r="X350" s="50">
        <f t="shared" si="12"/>
        <v>7</v>
      </c>
      <c r="Y350" s="57"/>
      <c r="Z350" s="57"/>
      <c r="AA350" s="57"/>
      <c r="AB350" s="57"/>
      <c r="AC350" s="57"/>
      <c r="AD350" s="57"/>
      <c r="AE350" s="58" t="s">
        <v>1209</v>
      </c>
      <c r="AF350" s="57"/>
      <c r="AG350" s="71">
        <f>(0.012*1.4+0.07*0.925)*0.9</f>
        <v>7.3395000000000016E-2</v>
      </c>
      <c r="AH350" s="63">
        <f>(3/0.75/2)*0.89</f>
        <v>1.78</v>
      </c>
      <c r="AI350" s="63"/>
      <c r="AJ350" s="58">
        <v>9530</v>
      </c>
      <c r="AK350" s="57"/>
      <c r="AL350" s="58">
        <v>3.0000000000000001E-3</v>
      </c>
      <c r="AM350" s="52" t="s">
        <v>142</v>
      </c>
      <c r="AN350" s="58">
        <v>440</v>
      </c>
      <c r="AO350" s="52" t="s">
        <v>1077</v>
      </c>
      <c r="AP350" s="59" t="str">
        <f>IFERROR(VLOOKUP($A350,[2]Mssp!$A$5:$BE$1463,AP$4+1,0),0)</f>
        <v>18011037-1</v>
      </c>
      <c r="AQ350" s="59" t="str">
        <f>IFERROR(VLOOKUP($A350,[2]Mssp!$A$5:$BE$1463,AQ$4+1,0),0)</f>
        <v>18011037-2</v>
      </c>
      <c r="AR350" s="59" t="str">
        <f>IFERROR(VLOOKUP($A350,[2]Mssp!$A$5:$BE$1463,AR$4+1,0),0)</f>
        <v>19041182-3</v>
      </c>
      <c r="AS350" s="59" t="str">
        <f>IFERROR(VLOOKUP($A350,[2]Mssp!$A$5:$BE$1463,AS$4+1,0),0)</f>
        <v>18011037-4</v>
      </c>
      <c r="AT350" s="59" t="str">
        <f>IFERROR(VLOOKUP($A350,[2]Mssp!$A$5:$BE$1463,AT$4+1,0),0)</f>
        <v>18011037-5</v>
      </c>
      <c r="AU350" s="59" t="str">
        <f>IFERROR(VLOOKUP($A350,[2]Mssp!$A$5:$BE$1463,AU$4+1,0),0)</f>
        <v>18011037-6</v>
      </c>
      <c r="AV350" s="59">
        <f>IFERROR(VLOOKUP($A350,[2]Mssp!$A$5:$BE$1463,AV$4+1,0),0)</f>
        <v>0</v>
      </c>
      <c r="AW350" s="59">
        <f>IFERROR(VLOOKUP($A350,[2]Mssp!$A$5:$BE$1463,AW$4+1,0),0)</f>
        <v>0</v>
      </c>
      <c r="AX350" s="59">
        <f>IFERROR(VLOOKUP($A350,[2]Mssp!$A$5:$BE$1463,AX$4+1,0),0)</f>
        <v>0</v>
      </c>
      <c r="AY350" s="59" t="str">
        <f>IFERROR(VLOOKUP($A350,[2]Mssp!$A$5:$BE$1463,AY$4+2,0),0)</f>
        <v>544x1100</v>
      </c>
      <c r="AZ350" s="59" t="str">
        <f>IFERROR(VLOOKUP($A350,[2]Mssp!$A$5:$BE$1463,AZ$4+2,0),0)</f>
        <v>U1</v>
      </c>
      <c r="BA350" s="60" t="s">
        <v>106</v>
      </c>
      <c r="BB350" s="61" t="s">
        <v>107</v>
      </c>
      <c r="BC350" s="62"/>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9"/>
      <c r="CK350" s="9"/>
      <c r="CL350" s="9"/>
      <c r="CM350" s="9"/>
      <c r="CN350" s="9"/>
      <c r="CO350" s="9"/>
      <c r="CP350" s="9"/>
    </row>
    <row r="351" spans="1:94" ht="45" x14ac:dyDescent="0.25">
      <c r="A351" s="50" t="s">
        <v>1210</v>
      </c>
      <c r="B351" s="73" t="s">
        <v>1211</v>
      </c>
      <c r="C351" s="50">
        <f t="shared" si="13"/>
        <v>3.2199999999999998</v>
      </c>
      <c r="D351" s="58">
        <v>1</v>
      </c>
      <c r="E351" s="58" t="s">
        <v>966</v>
      </c>
      <c r="F351" s="58">
        <v>6</v>
      </c>
      <c r="G351" s="50" t="s">
        <v>530</v>
      </c>
      <c r="H351" s="50">
        <f>VLOOKUP($A351,'[1]ma sp 02'!$A$5:$BD$1101,H$1,0)</f>
        <v>0.08</v>
      </c>
      <c r="I351" s="50">
        <f>VLOOKUP($A351,'[1]ma sp 02'!$A$5:$BD$1101,I$1,0)</f>
        <v>0.28999999999999998</v>
      </c>
      <c r="J351" s="50">
        <f>VLOOKUP($A351,'[1]ma sp 02'!$A$5:$BD$1101,J$1,0)</f>
        <v>0.28000000000000003</v>
      </c>
      <c r="K351" s="50">
        <f>VLOOKUP($A351,'[1]ma sp 02'!$A$5:$BD$1101,K$1,0)</f>
        <v>0.28000000000000003</v>
      </c>
      <c r="L351" s="50">
        <f>VLOOKUP($A351,'[1]ma sp 02'!$A$5:$BD$1101,L$1,0)</f>
        <v>0.67</v>
      </c>
      <c r="M351" s="50">
        <f>VLOOKUP($A351,'[1]ma sp 02'!$A$5:$BD$1101,M$1,0)</f>
        <v>0.24</v>
      </c>
      <c r="N351" s="50">
        <f>VLOOKUP($A351,'[1]ma sp 02'!$A$5:$BD$1101,N$1,0)</f>
        <v>0</v>
      </c>
      <c r="O351" s="50">
        <f>VLOOKUP($A351,'[1]ma sp 02'!$A$5:$BD$1101,O$1,0)</f>
        <v>0</v>
      </c>
      <c r="P351" s="50">
        <f>VLOOKUP($A351,'[1]ma sp 02'!$A$5:$BD$1101,P$1,0)</f>
        <v>1.29</v>
      </c>
      <c r="Q351" s="50">
        <f>VLOOKUP($A351,'[1]ma sp 02'!$A$5:$BD$1101,Q$1,0)</f>
        <v>0</v>
      </c>
      <c r="R351" s="50">
        <f>VLOOKUP($A351,'[1]ma sp 02'!$A$5:$BD$1101,R$1,0)</f>
        <v>0.09</v>
      </c>
      <c r="S351" s="50">
        <f>VLOOKUP($A351,'[1]ma sp 02'!$A$5:$BD$1101,S$1,0)</f>
        <v>0</v>
      </c>
      <c r="T351" s="50">
        <f>VLOOKUP($A351,'[1]ma sp 02'!$A$5:$BD$1101,T$1,0)</f>
        <v>0</v>
      </c>
      <c r="U351" s="50">
        <f>VLOOKUP($A351,'[1]ma sp 02'!$A$5:$BD$1101,U$1,0)</f>
        <v>0</v>
      </c>
      <c r="V351" s="50">
        <f>VLOOKUP($A351,'[1]ma sp 02'!$A$5:$BD$1101,V$1,0)</f>
        <v>0</v>
      </c>
      <c r="W351" s="50">
        <f>VLOOKUP($A351,'[1]ma sp 02'!$A$5:$BD$1101,W$1,0)</f>
        <v>0</v>
      </c>
      <c r="X351" s="50">
        <f t="shared" si="12"/>
        <v>8</v>
      </c>
      <c r="Y351" s="57"/>
      <c r="Z351" s="57"/>
      <c r="AA351" s="57"/>
      <c r="AB351" s="57"/>
      <c r="AC351" s="57"/>
      <c r="AD351" s="57"/>
      <c r="AE351" s="58" t="s">
        <v>1212</v>
      </c>
      <c r="AF351" s="57"/>
      <c r="AG351" s="71">
        <f>(0.012*1.4+0.09*0.925)*0.59</f>
        <v>5.9029499999999999E-2</v>
      </c>
      <c r="AH351" s="63">
        <f>(4/0.75/2)*0.59</f>
        <v>1.5733333333333333</v>
      </c>
      <c r="AI351" s="63"/>
      <c r="AJ351" s="58">
        <v>9530</v>
      </c>
      <c r="AK351" s="57"/>
      <c r="AL351" s="58">
        <v>3.0000000000000001E-3</v>
      </c>
      <c r="AM351" s="52" t="s">
        <v>60</v>
      </c>
      <c r="AN351" s="58">
        <v>393</v>
      </c>
      <c r="AO351" s="52" t="s">
        <v>1077</v>
      </c>
      <c r="AP351" s="59" t="str">
        <f>IFERROR(VLOOKUP($A351,[2]Mssp!$A$5:$BE$1463,AP$4+1,0),0)</f>
        <v>18011038-1</v>
      </c>
      <c r="AQ351" s="59" t="str">
        <f>IFERROR(VLOOKUP($A351,[2]Mssp!$A$5:$BE$1463,AQ$4+1,0),0)</f>
        <v>18011038-2</v>
      </c>
      <c r="AR351" s="59" t="str">
        <f>IFERROR(VLOOKUP($A351,[2]Mssp!$A$5:$BE$1463,AR$4+1,0),0)</f>
        <v>19041183-3</v>
      </c>
      <c r="AS351" s="59" t="str">
        <f>IFERROR(VLOOKUP($A351,[2]Mssp!$A$5:$BE$1463,AS$4+1,0),0)</f>
        <v>18011038-4</v>
      </c>
      <c r="AT351" s="59" t="str">
        <f>IFERROR(VLOOKUP($A351,[2]Mssp!$A$5:$BE$1463,AT$4+1,0),0)</f>
        <v>18011038-5</v>
      </c>
      <c r="AU351" s="59" t="str">
        <f>IFERROR(VLOOKUP($A351,[2]Mssp!$A$5:$BE$1463,AU$4+1,0),0)</f>
        <v>18011038-6</v>
      </c>
      <c r="AV351" s="59">
        <f>IFERROR(VLOOKUP($A351,[2]Mssp!$A$5:$BE$1463,AV$4+1,0),0)</f>
        <v>0</v>
      </c>
      <c r="AW351" s="59">
        <f>IFERROR(VLOOKUP($A351,[2]Mssp!$A$5:$BE$1463,AW$4+1,0),0)</f>
        <v>0</v>
      </c>
      <c r="AX351" s="59">
        <f>IFERROR(VLOOKUP($A351,[2]Mssp!$A$5:$BE$1463,AX$4+1,0),0)</f>
        <v>0</v>
      </c>
      <c r="AY351" s="59" t="str">
        <f>IFERROR(VLOOKUP($A351,[2]Mssp!$A$5:$BE$1463,AY$4+2,0),0)</f>
        <v>786x750</v>
      </c>
      <c r="AZ351" s="59" t="str">
        <f>IFERROR(VLOOKUP($A351,[2]Mssp!$A$5:$BE$1463,AZ$4+2,0),0)</f>
        <v>U1</v>
      </c>
      <c r="BA351" s="60">
        <v>1000</v>
      </c>
      <c r="BB351" s="61" t="s">
        <v>1213</v>
      </c>
      <c r="BC351" s="62"/>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c r="CK351" s="9"/>
      <c r="CL351" s="9"/>
      <c r="CM351" s="9"/>
      <c r="CN351" s="9"/>
      <c r="CO351" s="9"/>
      <c r="CP351" s="9"/>
    </row>
    <row r="352" spans="1:94" ht="45" x14ac:dyDescent="0.25">
      <c r="A352" s="50" t="s">
        <v>1214</v>
      </c>
      <c r="B352" s="73" t="s">
        <v>1215</v>
      </c>
      <c r="C352" s="50">
        <f t="shared" si="13"/>
        <v>3.4799999999999995</v>
      </c>
      <c r="D352" s="58">
        <v>1</v>
      </c>
      <c r="E352" s="58" t="s">
        <v>1216</v>
      </c>
      <c r="F352" s="58">
        <v>6</v>
      </c>
      <c r="G352" s="50" t="s">
        <v>530</v>
      </c>
      <c r="H352" s="50">
        <f>VLOOKUP($A352,'[1]ma sp 02'!$A$5:$BD$1101,H$1,0)</f>
        <v>0.21</v>
      </c>
      <c r="I352" s="50">
        <f>VLOOKUP($A352,'[1]ma sp 02'!$A$5:$BD$1101,I$1,0)</f>
        <v>0</v>
      </c>
      <c r="J352" s="50">
        <f>VLOOKUP($A352,'[1]ma sp 02'!$A$5:$BD$1101,J$1,0)</f>
        <v>0.49</v>
      </c>
      <c r="K352" s="50">
        <f>VLOOKUP($A352,'[1]ma sp 02'!$A$5:$BD$1101,K$1,0)</f>
        <v>1.04</v>
      </c>
      <c r="L352" s="50">
        <f>VLOOKUP($A352,'[1]ma sp 02'!$A$5:$BD$1101,L$1,0)</f>
        <v>0.76</v>
      </c>
      <c r="M352" s="50">
        <f>VLOOKUP($A352,'[1]ma sp 02'!$A$5:$BD$1101,M$1,0)</f>
        <v>0</v>
      </c>
      <c r="N352" s="50">
        <f>VLOOKUP($A352,'[1]ma sp 02'!$A$5:$BD$1101,N$1,0)</f>
        <v>0</v>
      </c>
      <c r="O352" s="50">
        <f>VLOOKUP($A352,'[1]ma sp 02'!$A$5:$BD$1101,O$1,0)</f>
        <v>0</v>
      </c>
      <c r="P352" s="50">
        <f>VLOOKUP($A352,'[1]ma sp 02'!$A$5:$BD$1101,P$1,0)</f>
        <v>0.97</v>
      </c>
      <c r="Q352" s="50">
        <f>VLOOKUP($A352,'[1]ma sp 02'!$A$5:$BD$1101,Q$1,0)</f>
        <v>0</v>
      </c>
      <c r="R352" s="50">
        <f>VLOOKUP($A352,'[1]ma sp 02'!$A$5:$BD$1101,R$1,0)</f>
        <v>0.01</v>
      </c>
      <c r="S352" s="50">
        <f>VLOOKUP($A352,'[1]ma sp 02'!$A$5:$BD$1101,S$1,0)</f>
        <v>0</v>
      </c>
      <c r="T352" s="50">
        <f>VLOOKUP($A352,'[1]ma sp 02'!$A$5:$BD$1101,T$1,0)</f>
        <v>0</v>
      </c>
      <c r="U352" s="50">
        <f>VLOOKUP($A352,'[1]ma sp 02'!$A$5:$BD$1101,U$1,0)</f>
        <v>0</v>
      </c>
      <c r="V352" s="50">
        <f>VLOOKUP($A352,'[1]ma sp 02'!$A$5:$BD$1101,V$1,0)</f>
        <v>0</v>
      </c>
      <c r="W352" s="50">
        <f>VLOOKUP($A352,'[1]ma sp 02'!$A$5:$BD$1101,W$1,0)</f>
        <v>0</v>
      </c>
      <c r="X352" s="50">
        <f t="shared" si="12"/>
        <v>6</v>
      </c>
      <c r="Y352" s="57"/>
      <c r="Z352" s="57"/>
      <c r="AA352" s="57"/>
      <c r="AB352" s="57"/>
      <c r="AC352" s="57"/>
      <c r="AD352" s="57"/>
      <c r="AE352" s="58" t="s">
        <v>1217</v>
      </c>
      <c r="AF352" s="57"/>
      <c r="AG352" s="71">
        <f>(0.012*1.4+0.09*0.925)*0.63</f>
        <v>6.3031500000000004E-2</v>
      </c>
      <c r="AH352" s="63">
        <f>(4/0.75/2)*0.62</f>
        <v>1.6533333333333333</v>
      </c>
      <c r="AI352" s="63"/>
      <c r="AJ352" s="58">
        <v>9530</v>
      </c>
      <c r="AK352" s="57"/>
      <c r="AL352" s="58">
        <v>3.0000000000000001E-3</v>
      </c>
      <c r="AM352" s="52" t="s">
        <v>60</v>
      </c>
      <c r="AN352" s="58">
        <v>415</v>
      </c>
      <c r="AO352" s="52" t="s">
        <v>1077</v>
      </c>
      <c r="AP352" s="59" t="str">
        <f>IFERROR(VLOOKUP($A352,[2]Mssp!$A$5:$BE$1463,AP$4+1,0),0)</f>
        <v>18011039-1</v>
      </c>
      <c r="AQ352" s="59" t="str">
        <f>IFERROR(VLOOKUP($A352,[2]Mssp!$A$5:$BE$1463,AQ$4+1,0),0)</f>
        <v>18011039-2</v>
      </c>
      <c r="AR352" s="59" t="str">
        <f>IFERROR(VLOOKUP($A352,[2]Mssp!$A$5:$BE$1463,AR$4+1,0),0)</f>
        <v>19041184-3</v>
      </c>
      <c r="AS352" s="59" t="str">
        <f>IFERROR(VLOOKUP($A352,[2]Mssp!$A$5:$BE$1463,AS$4+1,0),0)</f>
        <v>18011039-4</v>
      </c>
      <c r="AT352" s="59" t="str">
        <f>IFERROR(VLOOKUP($A352,[2]Mssp!$A$5:$BE$1463,AT$4+1,0),0)</f>
        <v>18011039-5</v>
      </c>
      <c r="AU352" s="59" t="str">
        <f>IFERROR(VLOOKUP($A352,[2]Mssp!$A$5:$BE$1463,AU$4+1,0),0)</f>
        <v>18011039-6</v>
      </c>
      <c r="AV352" s="59">
        <f>IFERROR(VLOOKUP($A352,[2]Mssp!$A$5:$BE$1463,AV$4+1,0),0)</f>
        <v>0</v>
      </c>
      <c r="AW352" s="59">
        <f>IFERROR(VLOOKUP($A352,[2]Mssp!$A$5:$BE$1463,AW$4+1,0),0)</f>
        <v>0</v>
      </c>
      <c r="AX352" s="59">
        <f>IFERROR(VLOOKUP($A352,[2]Mssp!$A$5:$BE$1463,AX$4+1,0),0)</f>
        <v>0</v>
      </c>
      <c r="AY352" s="59" t="str">
        <f>IFERROR(VLOOKUP($A352,[2]Mssp!$A$5:$BE$1463,AY$4+2,0),0)</f>
        <v>415x750</v>
      </c>
      <c r="AZ352" s="59" t="str">
        <f>IFERROR(VLOOKUP($A352,[2]Mssp!$A$5:$BE$1463,AZ$4+2,0),0)</f>
        <v>U1</v>
      </c>
      <c r="BA352" s="60">
        <v>1000</v>
      </c>
      <c r="BB352" s="61" t="s">
        <v>1213</v>
      </c>
      <c r="BC352" s="62"/>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9"/>
      <c r="CK352" s="9"/>
      <c r="CL352" s="9"/>
      <c r="CM352" s="9"/>
      <c r="CN352" s="9"/>
      <c r="CO352" s="9"/>
      <c r="CP352" s="9"/>
    </row>
    <row r="353" spans="1:94" ht="45" x14ac:dyDescent="0.25">
      <c r="A353" s="50" t="s">
        <v>1218</v>
      </c>
      <c r="B353" s="73" t="s">
        <v>1219</v>
      </c>
      <c r="C353" s="50">
        <f t="shared" si="13"/>
        <v>3.3699999999999992</v>
      </c>
      <c r="D353" s="58">
        <v>4</v>
      </c>
      <c r="E353" s="58" t="s">
        <v>393</v>
      </c>
      <c r="F353" s="58">
        <v>5</v>
      </c>
      <c r="G353" s="50" t="s">
        <v>530</v>
      </c>
      <c r="H353" s="50">
        <f>VLOOKUP($A353,'[1]ma sp 02'!$A$5:$BD$1101,H$1,0)</f>
        <v>0.28000000000000003</v>
      </c>
      <c r="I353" s="50">
        <f>VLOOKUP($A353,'[1]ma sp 02'!$A$5:$BD$1101,I$1,0)</f>
        <v>1.59</v>
      </c>
      <c r="J353" s="50">
        <f>VLOOKUP($A353,'[1]ma sp 02'!$A$5:$BD$1101,J$1,0)</f>
        <v>0</v>
      </c>
      <c r="K353" s="50">
        <f>VLOOKUP($A353,'[1]ma sp 02'!$A$5:$BD$1101,K$1,0)</f>
        <v>0.38</v>
      </c>
      <c r="L353" s="50">
        <f>VLOOKUP($A353,'[1]ma sp 02'!$A$5:$BD$1101,L$1,0)</f>
        <v>0.26</v>
      </c>
      <c r="M353" s="50">
        <f>VLOOKUP($A353,'[1]ma sp 02'!$A$5:$BD$1101,M$1,0)</f>
        <v>0.17</v>
      </c>
      <c r="N353" s="50">
        <f>VLOOKUP($A353,'[1]ma sp 02'!$A$5:$BD$1101,N$1,0)</f>
        <v>0</v>
      </c>
      <c r="O353" s="50">
        <f>VLOOKUP($A353,'[1]ma sp 02'!$A$5:$BD$1101,O$1,0)</f>
        <v>0.13</v>
      </c>
      <c r="P353" s="50">
        <f>VLOOKUP($A353,'[1]ma sp 02'!$A$5:$BD$1101,P$1,0)</f>
        <v>0.01</v>
      </c>
      <c r="Q353" s="50">
        <f>VLOOKUP($A353,'[1]ma sp 02'!$A$5:$BD$1101,Q$1,0)</f>
        <v>0</v>
      </c>
      <c r="R353" s="50">
        <f>VLOOKUP($A353,'[1]ma sp 02'!$A$5:$BD$1101,R$1,0)</f>
        <v>0.55000000000000004</v>
      </c>
      <c r="S353" s="50">
        <f>VLOOKUP($A353,'[1]ma sp 02'!$A$5:$BD$1101,S$1,0)</f>
        <v>0</v>
      </c>
      <c r="T353" s="50">
        <f>VLOOKUP($A353,'[1]ma sp 02'!$A$5:$BD$1101,T$1,0)</f>
        <v>0</v>
      </c>
      <c r="U353" s="50">
        <f>VLOOKUP($A353,'[1]ma sp 02'!$A$5:$BD$1101,U$1,0)</f>
        <v>0</v>
      </c>
      <c r="V353" s="50">
        <f>VLOOKUP($A353,'[1]ma sp 02'!$A$5:$BD$1101,V$1,0)</f>
        <v>0</v>
      </c>
      <c r="W353" s="50">
        <f>VLOOKUP($A353,'[1]ma sp 02'!$A$5:$BD$1101,W$1,0)</f>
        <v>0</v>
      </c>
      <c r="X353" s="50">
        <f t="shared" si="12"/>
        <v>8</v>
      </c>
      <c r="Y353" s="57"/>
      <c r="Z353" s="57"/>
      <c r="AA353" s="57"/>
      <c r="AB353" s="57"/>
      <c r="AC353" s="57"/>
      <c r="AD353" s="57"/>
      <c r="AE353" s="58" t="s">
        <v>993</v>
      </c>
      <c r="AF353" s="58" t="s">
        <v>1220</v>
      </c>
      <c r="AG353" s="71">
        <f>(0.012*1.4+0.006*2.71+0.075*0.925)*0.66</f>
        <v>6.7607100000000003E-2</v>
      </c>
      <c r="AH353" s="63">
        <f>(2.3/0.75/2)*0.65</f>
        <v>0.99666666666666659</v>
      </c>
      <c r="AI353" s="63">
        <f>(2.3/0.75/2)*0.65</f>
        <v>0.99666666666666659</v>
      </c>
      <c r="AJ353" s="58">
        <v>9530</v>
      </c>
      <c r="AK353" s="58">
        <v>9530</v>
      </c>
      <c r="AL353" s="58" t="s">
        <v>354</v>
      </c>
      <c r="AM353" s="52" t="s">
        <v>611</v>
      </c>
      <c r="AN353" s="58">
        <v>160</v>
      </c>
      <c r="AO353" s="52" t="s">
        <v>612</v>
      </c>
      <c r="AP353" s="59" t="str">
        <f>IFERROR(VLOOKUP($A353,[2]Mssp!$A$5:$BE$1463,AP$4+1,0),0)</f>
        <v>21030745-1</v>
      </c>
      <c r="AQ353" s="59" t="str">
        <f>IFERROR(VLOOKUP($A353,[2]Mssp!$A$5:$BE$1463,AQ$4+1,0),0)</f>
        <v>1802001-2</v>
      </c>
      <c r="AR353" s="59" t="str">
        <f>IFERROR(VLOOKUP($A353,[2]Mssp!$A$5:$BE$1463,AR$4+1,0),0)</f>
        <v>1802001-3</v>
      </c>
      <c r="AS353" s="59" t="str">
        <f>IFERROR(VLOOKUP($A353,[2]Mssp!$A$5:$BE$1463,AS$4+1,0),0)</f>
        <v>1802001-4</v>
      </c>
      <c r="AT353" s="59" t="str">
        <f>IFERROR(VLOOKUP($A353,[2]Mssp!$A$5:$BE$1463,AT$4+1,0),0)</f>
        <v>21030745-5</v>
      </c>
      <c r="AU353" s="59">
        <f>IFERROR(VLOOKUP($A353,[2]Mssp!$A$5:$BE$1463,AU$4+1,0),0)</f>
        <v>0</v>
      </c>
      <c r="AV353" s="59">
        <f>IFERROR(VLOOKUP($A353,[2]Mssp!$A$5:$BE$1463,AV$4+1,0),0)</f>
        <v>0</v>
      </c>
      <c r="AW353" s="59">
        <f>IFERROR(VLOOKUP($A353,[2]Mssp!$A$5:$BE$1463,AW$4+1,0),0)</f>
        <v>0</v>
      </c>
      <c r="AX353" s="59">
        <f>IFERROR(VLOOKUP($A353,[2]Mssp!$A$5:$BE$1463,AX$4+1,0),0)</f>
        <v>0</v>
      </c>
      <c r="AY353" s="59" t="str">
        <f>IFERROR(VLOOKUP($A353,[2]Mssp!$A$5:$BE$1463,AY$4+2,0),0)</f>
        <v>440x750</v>
      </c>
      <c r="AZ353" s="59" t="str">
        <f>IFERROR(VLOOKUP($A353,[2]Mssp!$A$5:$BE$1463,AZ$4+2,0),0)</f>
        <v>D3</v>
      </c>
      <c r="BA353" s="60" t="s">
        <v>144</v>
      </c>
      <c r="BB353" s="61" t="s">
        <v>107</v>
      </c>
      <c r="BC353" s="62"/>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c r="CK353" s="9"/>
      <c r="CL353" s="9"/>
      <c r="CM353" s="9"/>
      <c r="CN353" s="9"/>
      <c r="CO353" s="9"/>
      <c r="CP353" s="9"/>
    </row>
    <row r="354" spans="1:94" ht="45" x14ac:dyDescent="0.25">
      <c r="A354" s="50" t="s">
        <v>1221</v>
      </c>
      <c r="B354" s="73" t="s">
        <v>1222</v>
      </c>
      <c r="C354" s="50">
        <f t="shared" si="13"/>
        <v>6.2</v>
      </c>
      <c r="D354" s="58">
        <v>1</v>
      </c>
      <c r="E354" s="58" t="s">
        <v>1223</v>
      </c>
      <c r="F354" s="58">
        <v>5</v>
      </c>
      <c r="G354" s="50" t="s">
        <v>530</v>
      </c>
      <c r="H354" s="50">
        <f>VLOOKUP($A354,'[1]ma sp 02'!$A$5:$BD$1101,H$1,0)</f>
        <v>0.1</v>
      </c>
      <c r="I354" s="50">
        <f>VLOOKUP($A354,'[1]ma sp 02'!$A$5:$BD$1101,I$1,0)</f>
        <v>3.2</v>
      </c>
      <c r="J354" s="50">
        <f>VLOOKUP($A354,'[1]ma sp 02'!$A$5:$BD$1101,J$1,0)</f>
        <v>0.1</v>
      </c>
      <c r="K354" s="50">
        <f>VLOOKUP($A354,'[1]ma sp 02'!$A$5:$BD$1101,K$1,0)</f>
        <v>0.5</v>
      </c>
      <c r="L354" s="50">
        <f>VLOOKUP($A354,'[1]ma sp 02'!$A$5:$BD$1101,L$1,0)</f>
        <v>1.3</v>
      </c>
      <c r="M354" s="50">
        <f>VLOOKUP($A354,'[1]ma sp 02'!$A$5:$BD$1101,M$1,0)</f>
        <v>1</v>
      </c>
      <c r="N354" s="50">
        <f>VLOOKUP($A354,'[1]ma sp 02'!$A$5:$BD$1101,N$1,0)</f>
        <v>0</v>
      </c>
      <c r="O354" s="50">
        <f>VLOOKUP($A354,'[1]ma sp 02'!$A$5:$BD$1101,O$1,0)</f>
        <v>0</v>
      </c>
      <c r="P354" s="50">
        <f>VLOOKUP($A354,'[1]ma sp 02'!$A$5:$BD$1101,P$1,0)</f>
        <v>0</v>
      </c>
      <c r="Q354" s="50">
        <f>VLOOKUP($A354,'[1]ma sp 02'!$A$5:$BD$1101,Q$1,0)</f>
        <v>0</v>
      </c>
      <c r="R354" s="50">
        <f>VLOOKUP($A354,'[1]ma sp 02'!$A$5:$BD$1101,R$1,0)</f>
        <v>0</v>
      </c>
      <c r="S354" s="50">
        <f>VLOOKUP($A354,'[1]ma sp 02'!$A$5:$BD$1101,S$1,0)</f>
        <v>0</v>
      </c>
      <c r="T354" s="50">
        <f>VLOOKUP($A354,'[1]ma sp 02'!$A$5:$BD$1101,T$1,0)</f>
        <v>0</v>
      </c>
      <c r="U354" s="50">
        <f>VLOOKUP($A354,'[1]ma sp 02'!$A$5:$BD$1101,U$1,0)</f>
        <v>0</v>
      </c>
      <c r="V354" s="50">
        <f>VLOOKUP($A354,'[1]ma sp 02'!$A$5:$BD$1101,V$1,0)</f>
        <v>0</v>
      </c>
      <c r="W354" s="50">
        <f>VLOOKUP($A354,'[1]ma sp 02'!$A$5:$BD$1101,W$1,0)</f>
        <v>0</v>
      </c>
      <c r="X354" s="50">
        <f t="shared" si="12"/>
        <v>6</v>
      </c>
      <c r="Y354" s="57"/>
      <c r="Z354" s="57"/>
      <c r="AA354" s="57"/>
      <c r="AB354" s="57"/>
      <c r="AC354" s="57"/>
      <c r="AD354" s="57"/>
      <c r="AE354" s="58" t="s">
        <v>1224</v>
      </c>
      <c r="AF354" s="57"/>
      <c r="AG354" s="71">
        <f>(0.015*1.15+0.075*0.0925)*0.57</f>
        <v>1.3786874999999997E-2</v>
      </c>
      <c r="AH354" s="63">
        <f>(2.3/0.75/2)*0.56</f>
        <v>0.85866666666666669</v>
      </c>
      <c r="AI354" s="63"/>
      <c r="AJ354" s="58">
        <v>9530</v>
      </c>
      <c r="AK354" s="57"/>
      <c r="AL354" s="58">
        <v>2.3E-3</v>
      </c>
      <c r="AM354" s="52" t="s">
        <v>60</v>
      </c>
      <c r="AN354" s="58">
        <v>450</v>
      </c>
      <c r="AO354" s="52" t="s">
        <v>561</v>
      </c>
      <c r="AP354" s="59" t="str">
        <f>IFERROR(VLOOKUP($A354,[2]Mssp!$A$5:$BE$1463,AP$4+1,0),0)</f>
        <v>1711339-1</v>
      </c>
      <c r="AQ354" s="59" t="str">
        <f>IFERROR(VLOOKUP($A354,[2]Mssp!$A$5:$BE$1463,AQ$4+1,0),0)</f>
        <v>1711339-2</v>
      </c>
      <c r="AR354" s="59" t="str">
        <f>IFERROR(VLOOKUP($A354,[2]Mssp!$A$5:$BE$1463,AR$4+1,0),0)</f>
        <v>1711339-3</v>
      </c>
      <c r="AS354" s="59" t="str">
        <f>IFERROR(VLOOKUP($A354,[2]Mssp!$A$5:$BE$1463,AS$4+1,0),0)</f>
        <v>1711339-4</v>
      </c>
      <c r="AT354" s="59" t="str">
        <f>IFERROR(VLOOKUP($A354,[2]Mssp!$A$5:$BE$1463,AT$4+1,0),0)</f>
        <v>1711339-5</v>
      </c>
      <c r="AU354" s="59">
        <f>IFERROR(VLOOKUP($A354,[2]Mssp!$A$5:$BE$1463,AU$4+1,0),0)</f>
        <v>0</v>
      </c>
      <c r="AV354" s="59">
        <f>IFERROR(VLOOKUP($A354,[2]Mssp!$A$5:$BE$1463,AV$4+1,0),0)</f>
        <v>0</v>
      </c>
      <c r="AW354" s="59">
        <f>IFERROR(VLOOKUP($A354,[2]Mssp!$A$5:$BE$1463,AW$4+1,0),0)</f>
        <v>0</v>
      </c>
      <c r="AX354" s="59">
        <f>IFERROR(VLOOKUP($A354,[2]Mssp!$A$5:$BE$1463,AX$4+1,0),0)</f>
        <v>0</v>
      </c>
      <c r="AY354" s="59" t="str">
        <f>IFERROR(VLOOKUP($A354,[2]Mssp!$A$5:$BE$1463,AY$4+2,0),0)</f>
        <v>450x750</v>
      </c>
      <c r="AZ354" s="59" t="str">
        <f>IFERROR(VLOOKUP($A354,[2]Mssp!$A$5:$BE$1463,AZ$4+2,0),0)</f>
        <v>P1</v>
      </c>
      <c r="BA354" s="60">
        <v>2000</v>
      </c>
      <c r="BB354" s="61" t="s">
        <v>1158</v>
      </c>
      <c r="BC354" s="62"/>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c r="CK354" s="9"/>
      <c r="CL354" s="9"/>
      <c r="CM354" s="9"/>
      <c r="CN354" s="9"/>
      <c r="CO354" s="9"/>
      <c r="CP354" s="9"/>
    </row>
    <row r="355" spans="1:94" ht="45" x14ac:dyDescent="0.25">
      <c r="A355" s="50" t="s">
        <v>1225</v>
      </c>
      <c r="B355" s="73" t="s">
        <v>1226</v>
      </c>
      <c r="C355" s="50">
        <f t="shared" si="13"/>
        <v>5.5</v>
      </c>
      <c r="D355" s="58">
        <v>4</v>
      </c>
      <c r="E355" s="58" t="s">
        <v>135</v>
      </c>
      <c r="F355" s="58">
        <v>7</v>
      </c>
      <c r="G355" s="50" t="s">
        <v>184</v>
      </c>
      <c r="H355" s="50">
        <f>VLOOKUP($A355,'[1]ma sp 02'!$A$5:$BD$1101,H$1,0)</f>
        <v>0.2</v>
      </c>
      <c r="I355" s="50">
        <f>VLOOKUP($A355,'[1]ma sp 02'!$A$5:$BD$1101,I$1,0)</f>
        <v>2.2999999999999998</v>
      </c>
      <c r="J355" s="50">
        <f>VLOOKUP($A355,'[1]ma sp 02'!$A$5:$BD$1101,J$1,0)</f>
        <v>0.1</v>
      </c>
      <c r="K355" s="50">
        <f>VLOOKUP($A355,'[1]ma sp 02'!$A$5:$BD$1101,K$1,0)</f>
        <v>0.1</v>
      </c>
      <c r="L355" s="50">
        <f>VLOOKUP($A355,'[1]ma sp 02'!$A$5:$BD$1101,L$1,0)</f>
        <v>2.7</v>
      </c>
      <c r="M355" s="50">
        <f>VLOOKUP($A355,'[1]ma sp 02'!$A$5:$BD$1101,M$1,0)</f>
        <v>0</v>
      </c>
      <c r="N355" s="50">
        <f>VLOOKUP($A355,'[1]ma sp 02'!$A$5:$BD$1101,N$1,0)</f>
        <v>0</v>
      </c>
      <c r="O355" s="50">
        <f>VLOOKUP($A355,'[1]ma sp 02'!$A$5:$BD$1101,O$1,0)</f>
        <v>0</v>
      </c>
      <c r="P355" s="50">
        <f>VLOOKUP($A355,'[1]ma sp 02'!$A$5:$BD$1101,P$1,0)</f>
        <v>0.1</v>
      </c>
      <c r="Q355" s="50">
        <f>VLOOKUP($A355,'[1]ma sp 02'!$A$5:$BD$1101,Q$1,0)</f>
        <v>0</v>
      </c>
      <c r="R355" s="50">
        <f>VLOOKUP($A355,'[1]ma sp 02'!$A$5:$BD$1101,R$1,0)</f>
        <v>0</v>
      </c>
      <c r="S355" s="50">
        <f>VLOOKUP($A355,'[1]ma sp 02'!$A$5:$BD$1101,S$1,0)</f>
        <v>0</v>
      </c>
      <c r="T355" s="50">
        <f>VLOOKUP($A355,'[1]ma sp 02'!$A$5:$BD$1101,T$1,0)</f>
        <v>0</v>
      </c>
      <c r="U355" s="50">
        <f>VLOOKUP($A355,'[1]ma sp 02'!$A$5:$BD$1101,U$1,0)</f>
        <v>0</v>
      </c>
      <c r="V355" s="50">
        <f>VLOOKUP($A355,'[1]ma sp 02'!$A$5:$BD$1101,V$1,0)</f>
        <v>0</v>
      </c>
      <c r="W355" s="50">
        <f>VLOOKUP($A355,'[1]ma sp 02'!$A$5:$BD$1101,W$1,0)</f>
        <v>0</v>
      </c>
      <c r="X355" s="50">
        <f t="shared" si="12"/>
        <v>6</v>
      </c>
      <c r="Y355" s="57"/>
      <c r="Z355" s="57"/>
      <c r="AA355" s="57"/>
      <c r="AB355" s="57"/>
      <c r="AC355" s="57"/>
      <c r="AD355" s="57"/>
      <c r="AE355" s="58" t="s">
        <v>136</v>
      </c>
      <c r="AF355" s="57"/>
      <c r="AG355" s="71">
        <f>(0.02*0.91+0.025*0.91)*0.68</f>
        <v>2.7846000000000003E-2</v>
      </c>
      <c r="AH355" s="63">
        <f>(2.3/0.75/2)*0.67</f>
        <v>1.0273333333333332</v>
      </c>
      <c r="AI355" s="63"/>
      <c r="AJ355" s="58">
        <v>9530</v>
      </c>
      <c r="AK355" s="57"/>
      <c r="AL355" s="58">
        <v>2.3E-3</v>
      </c>
      <c r="AM355" s="52" t="s">
        <v>142</v>
      </c>
      <c r="AN355" s="58">
        <v>165</v>
      </c>
      <c r="AO355" s="52" t="s">
        <v>1227</v>
      </c>
      <c r="AP355" s="59">
        <f>IFERROR(VLOOKUP($A355,[2]Mssp!$A$5:$BE$1463,AP$4+1,0),0)</f>
        <v>0</v>
      </c>
      <c r="AQ355" s="59">
        <f>IFERROR(VLOOKUP($A355,[2]Mssp!$A$5:$BE$1463,AQ$4+1,0),0)</f>
        <v>0</v>
      </c>
      <c r="AR355" s="59">
        <f>IFERROR(VLOOKUP($A355,[2]Mssp!$A$5:$BE$1463,AR$4+1,0),0)</f>
        <v>0</v>
      </c>
      <c r="AS355" s="59">
        <f>IFERROR(VLOOKUP($A355,[2]Mssp!$A$5:$BE$1463,AS$4+1,0),0)</f>
        <v>0</v>
      </c>
      <c r="AT355" s="59">
        <f>IFERROR(VLOOKUP($A355,[2]Mssp!$A$5:$BE$1463,AT$4+1,0),0)</f>
        <v>0</v>
      </c>
      <c r="AU355" s="59">
        <f>IFERROR(VLOOKUP($A355,[2]Mssp!$A$5:$BE$1463,AU$4+1,0),0)</f>
        <v>0</v>
      </c>
      <c r="AV355" s="59">
        <f>IFERROR(VLOOKUP($A355,[2]Mssp!$A$5:$BE$1463,AV$4+1,0),0)</f>
        <v>0</v>
      </c>
      <c r="AW355" s="59">
        <f>IFERROR(VLOOKUP($A355,[2]Mssp!$A$5:$BE$1463,AW$4+1,0),0)</f>
        <v>0</v>
      </c>
      <c r="AX355" s="59">
        <f>IFERROR(VLOOKUP($A355,[2]Mssp!$A$5:$BE$1463,AX$4+1,0),0)</f>
        <v>0</v>
      </c>
      <c r="AY355" s="59">
        <f>IFERROR(VLOOKUP($A355,[2]Mssp!$A$5:$BE$1463,AY$4+2,0),0)</f>
        <v>0</v>
      </c>
      <c r="AZ355" s="59">
        <f>IFERROR(VLOOKUP($A355,[2]Mssp!$A$5:$BE$1463,AZ$4+2,0),0)</f>
        <v>0</v>
      </c>
      <c r="BA355" s="60" t="s">
        <v>175</v>
      </c>
      <c r="BB355" s="61" t="s">
        <v>107</v>
      </c>
      <c r="BC355" s="62"/>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c r="CK355" s="9"/>
      <c r="CL355" s="9"/>
      <c r="CM355" s="9"/>
      <c r="CN355" s="9"/>
      <c r="CO355" s="9"/>
      <c r="CP355" s="9"/>
    </row>
    <row r="356" spans="1:94" ht="45" x14ac:dyDescent="0.25">
      <c r="A356" s="50" t="s">
        <v>1228</v>
      </c>
      <c r="B356" s="73" t="s">
        <v>1229</v>
      </c>
      <c r="C356" s="50">
        <f t="shared" si="13"/>
        <v>5.4</v>
      </c>
      <c r="D356" s="58">
        <v>4</v>
      </c>
      <c r="E356" s="58" t="s">
        <v>135</v>
      </c>
      <c r="F356" s="58">
        <v>7</v>
      </c>
      <c r="G356" s="50" t="s">
        <v>184</v>
      </c>
      <c r="H356" s="50">
        <f>VLOOKUP($A356,'[1]ma sp 02'!$A$5:$BD$1101,H$1,0)</f>
        <v>0.2</v>
      </c>
      <c r="I356" s="50">
        <f>VLOOKUP($A356,'[1]ma sp 02'!$A$5:$BD$1101,I$1,0)</f>
        <v>2.2999999999999998</v>
      </c>
      <c r="J356" s="50">
        <f>VLOOKUP($A356,'[1]ma sp 02'!$A$5:$BD$1101,J$1,0)</f>
        <v>0.1</v>
      </c>
      <c r="K356" s="50">
        <f>VLOOKUP($A356,'[1]ma sp 02'!$A$5:$BD$1101,K$1,0)</f>
        <v>0.1</v>
      </c>
      <c r="L356" s="50">
        <f>VLOOKUP($A356,'[1]ma sp 02'!$A$5:$BD$1101,L$1,0)</f>
        <v>2.2000000000000002</v>
      </c>
      <c r="M356" s="50">
        <f>VLOOKUP($A356,'[1]ma sp 02'!$A$5:$BD$1101,M$1,0)</f>
        <v>0</v>
      </c>
      <c r="N356" s="50">
        <f>VLOOKUP($A356,'[1]ma sp 02'!$A$5:$BD$1101,N$1,0)</f>
        <v>0</v>
      </c>
      <c r="O356" s="50">
        <f>VLOOKUP($A356,'[1]ma sp 02'!$A$5:$BD$1101,O$1,0)</f>
        <v>0.4</v>
      </c>
      <c r="P356" s="50">
        <f>VLOOKUP($A356,'[1]ma sp 02'!$A$5:$BD$1101,P$1,0)</f>
        <v>0.1</v>
      </c>
      <c r="Q356" s="50">
        <f>VLOOKUP($A356,'[1]ma sp 02'!$A$5:$BD$1101,Q$1,0)</f>
        <v>0</v>
      </c>
      <c r="R356" s="50">
        <f>VLOOKUP($A356,'[1]ma sp 02'!$A$5:$BD$1101,R$1,0)</f>
        <v>0</v>
      </c>
      <c r="S356" s="50">
        <f>VLOOKUP($A356,'[1]ma sp 02'!$A$5:$BD$1101,S$1,0)</f>
        <v>0</v>
      </c>
      <c r="T356" s="50">
        <f>VLOOKUP($A356,'[1]ma sp 02'!$A$5:$BD$1101,T$1,0)</f>
        <v>0</v>
      </c>
      <c r="U356" s="50">
        <f>VLOOKUP($A356,'[1]ma sp 02'!$A$5:$BD$1101,U$1,0)</f>
        <v>0</v>
      </c>
      <c r="V356" s="50">
        <f>VLOOKUP($A356,'[1]ma sp 02'!$A$5:$BD$1101,V$1,0)</f>
        <v>0</v>
      </c>
      <c r="W356" s="50">
        <f>VLOOKUP($A356,'[1]ma sp 02'!$A$5:$BD$1101,W$1,0)</f>
        <v>0</v>
      </c>
      <c r="X356" s="50">
        <f t="shared" si="12"/>
        <v>7</v>
      </c>
      <c r="Y356" s="57"/>
      <c r="Z356" s="57"/>
      <c r="AA356" s="57"/>
      <c r="AB356" s="57"/>
      <c r="AC356" s="57"/>
      <c r="AD356" s="57"/>
      <c r="AE356" s="58" t="s">
        <v>136</v>
      </c>
      <c r="AF356" s="57"/>
      <c r="AG356" s="71">
        <f>(0.02*0.91+0.025*0.91)*0.68</f>
        <v>2.7846000000000003E-2</v>
      </c>
      <c r="AH356" s="63">
        <f>(2.3/0.75/2)*0.66</f>
        <v>1.012</v>
      </c>
      <c r="AI356" s="63"/>
      <c r="AJ356" s="58">
        <v>9530</v>
      </c>
      <c r="AK356" s="57"/>
      <c r="AL356" s="58">
        <v>2.3E-3</v>
      </c>
      <c r="AM356" s="52" t="s">
        <v>142</v>
      </c>
      <c r="AN356" s="58">
        <v>165</v>
      </c>
      <c r="AO356" s="52" t="s">
        <v>1227</v>
      </c>
      <c r="AP356" s="59">
        <f>IFERROR(VLOOKUP($A356,[2]Mssp!$A$5:$BE$1463,AP$4+1,0),0)</f>
        <v>0</v>
      </c>
      <c r="AQ356" s="59">
        <f>IFERROR(VLOOKUP($A356,[2]Mssp!$A$5:$BE$1463,AQ$4+1,0),0)</f>
        <v>0</v>
      </c>
      <c r="AR356" s="59">
        <f>IFERROR(VLOOKUP($A356,[2]Mssp!$A$5:$BE$1463,AR$4+1,0),0)</f>
        <v>0</v>
      </c>
      <c r="AS356" s="59">
        <f>IFERROR(VLOOKUP($A356,[2]Mssp!$A$5:$BE$1463,AS$4+1,0),0)</f>
        <v>0</v>
      </c>
      <c r="AT356" s="59">
        <f>IFERROR(VLOOKUP($A356,[2]Mssp!$A$5:$BE$1463,AT$4+1,0),0)</f>
        <v>0</v>
      </c>
      <c r="AU356" s="59">
        <f>IFERROR(VLOOKUP($A356,[2]Mssp!$A$5:$BE$1463,AU$4+1,0),0)</f>
        <v>0</v>
      </c>
      <c r="AV356" s="59">
        <f>IFERROR(VLOOKUP($A356,[2]Mssp!$A$5:$BE$1463,AV$4+1,0),0)</f>
        <v>0</v>
      </c>
      <c r="AW356" s="59">
        <f>IFERROR(VLOOKUP($A356,[2]Mssp!$A$5:$BE$1463,AW$4+1,0),0)</f>
        <v>0</v>
      </c>
      <c r="AX356" s="59">
        <f>IFERROR(VLOOKUP($A356,[2]Mssp!$A$5:$BE$1463,AX$4+1,0),0)</f>
        <v>0</v>
      </c>
      <c r="AY356" s="59">
        <f>IFERROR(VLOOKUP($A356,[2]Mssp!$A$5:$BE$1463,AY$4+2,0),0)</f>
        <v>0</v>
      </c>
      <c r="AZ356" s="59">
        <f>IFERROR(VLOOKUP($A356,[2]Mssp!$A$5:$BE$1463,AZ$4+2,0),0)</f>
        <v>0</v>
      </c>
      <c r="BA356" s="60" t="s">
        <v>175</v>
      </c>
      <c r="BB356" s="61" t="s">
        <v>107</v>
      </c>
      <c r="BC356" s="62"/>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9"/>
      <c r="CK356" s="9"/>
      <c r="CL356" s="9"/>
      <c r="CM356" s="9"/>
      <c r="CN356" s="9"/>
      <c r="CO356" s="9"/>
      <c r="CP356" s="9"/>
    </row>
    <row r="357" spans="1:94" ht="45" x14ac:dyDescent="0.25">
      <c r="A357" s="50" t="s">
        <v>1230</v>
      </c>
      <c r="B357" s="73" t="s">
        <v>1231</v>
      </c>
      <c r="C357" s="50">
        <f t="shared" si="13"/>
        <v>5.3</v>
      </c>
      <c r="D357" s="58">
        <v>4</v>
      </c>
      <c r="E357" s="58" t="s">
        <v>135</v>
      </c>
      <c r="F357" s="58">
        <v>7</v>
      </c>
      <c r="G357" s="50" t="s">
        <v>184</v>
      </c>
      <c r="H357" s="50">
        <f>VLOOKUP($A357,'[1]ma sp 02'!$A$5:$BD$1101,H$1,0)</f>
        <v>0.2</v>
      </c>
      <c r="I357" s="50">
        <f>VLOOKUP($A357,'[1]ma sp 02'!$A$5:$BD$1101,I$1,0)</f>
        <v>2.2999999999999998</v>
      </c>
      <c r="J357" s="50">
        <f>VLOOKUP($A357,'[1]ma sp 02'!$A$5:$BD$1101,J$1,0)</f>
        <v>0.1</v>
      </c>
      <c r="K357" s="50">
        <f>VLOOKUP($A357,'[1]ma sp 02'!$A$5:$BD$1101,K$1,0)</f>
        <v>0.1</v>
      </c>
      <c r="L357" s="50">
        <f>VLOOKUP($A357,'[1]ma sp 02'!$A$5:$BD$1101,L$1,0)</f>
        <v>1.4</v>
      </c>
      <c r="M357" s="50">
        <f>VLOOKUP($A357,'[1]ma sp 02'!$A$5:$BD$1101,M$1,0)</f>
        <v>0</v>
      </c>
      <c r="N357" s="50">
        <f>VLOOKUP($A357,'[1]ma sp 02'!$A$5:$BD$1101,N$1,0)</f>
        <v>0</v>
      </c>
      <c r="O357" s="50">
        <f>VLOOKUP($A357,'[1]ma sp 02'!$A$5:$BD$1101,O$1,0)</f>
        <v>0</v>
      </c>
      <c r="P357" s="50">
        <f>VLOOKUP($A357,'[1]ma sp 02'!$A$5:$BD$1101,P$1,0)</f>
        <v>1.2</v>
      </c>
      <c r="Q357" s="50">
        <f>VLOOKUP($A357,'[1]ma sp 02'!$A$5:$BD$1101,Q$1,0)</f>
        <v>0</v>
      </c>
      <c r="R357" s="50">
        <f>VLOOKUP($A357,'[1]ma sp 02'!$A$5:$BD$1101,R$1,0)</f>
        <v>0</v>
      </c>
      <c r="S357" s="50">
        <f>VLOOKUP($A357,'[1]ma sp 02'!$A$5:$BD$1101,S$1,0)</f>
        <v>0</v>
      </c>
      <c r="T357" s="50">
        <f>VLOOKUP($A357,'[1]ma sp 02'!$A$5:$BD$1101,T$1,0)</f>
        <v>0</v>
      </c>
      <c r="U357" s="50">
        <f>VLOOKUP($A357,'[1]ma sp 02'!$A$5:$BD$1101,U$1,0)</f>
        <v>0</v>
      </c>
      <c r="V357" s="50">
        <f>VLOOKUP($A357,'[1]ma sp 02'!$A$5:$BD$1101,V$1,0)</f>
        <v>0</v>
      </c>
      <c r="W357" s="50">
        <f>VLOOKUP($A357,'[1]ma sp 02'!$A$5:$BD$1101,W$1,0)</f>
        <v>0</v>
      </c>
      <c r="X357" s="50">
        <f t="shared" si="12"/>
        <v>6</v>
      </c>
      <c r="Y357" s="57"/>
      <c r="Z357" s="106"/>
      <c r="AA357" s="106"/>
      <c r="AB357" s="106"/>
      <c r="AC357" s="106"/>
      <c r="AD357" s="106"/>
      <c r="AE357" s="1" t="s">
        <v>136</v>
      </c>
      <c r="AF357" s="106"/>
      <c r="AG357" s="71">
        <f>(0.02*0.91+0.025*0.91)*0.68</f>
        <v>2.7846000000000003E-2</v>
      </c>
      <c r="AH357" s="63">
        <f>(2.3/0.75/2)*0.66</f>
        <v>1.012</v>
      </c>
      <c r="AI357" s="107"/>
      <c r="AJ357" s="1">
        <v>9530</v>
      </c>
      <c r="AK357" s="106"/>
      <c r="AL357" s="1">
        <v>2.3E-3</v>
      </c>
      <c r="AM357" s="108" t="s">
        <v>142</v>
      </c>
      <c r="AN357" s="1">
        <v>165</v>
      </c>
      <c r="AO357" s="108" t="s">
        <v>1227</v>
      </c>
      <c r="AP357" s="59">
        <f>IFERROR(VLOOKUP($A357,[2]Mssp!$A$5:$BE$1463,AP$4+1,0),0)</f>
        <v>0</v>
      </c>
      <c r="AQ357" s="59">
        <f>IFERROR(VLOOKUP($A357,[2]Mssp!$A$5:$BE$1463,AQ$4+1,0),0)</f>
        <v>0</v>
      </c>
      <c r="AR357" s="59">
        <f>IFERROR(VLOOKUP($A357,[2]Mssp!$A$5:$BE$1463,AR$4+1,0),0)</f>
        <v>0</v>
      </c>
      <c r="AS357" s="59">
        <f>IFERROR(VLOOKUP($A357,[2]Mssp!$A$5:$BE$1463,AS$4+1,0),0)</f>
        <v>0</v>
      </c>
      <c r="AT357" s="59">
        <f>IFERROR(VLOOKUP($A357,[2]Mssp!$A$5:$BE$1463,AT$4+1,0),0)</f>
        <v>0</v>
      </c>
      <c r="AU357" s="59">
        <f>IFERROR(VLOOKUP($A357,[2]Mssp!$A$5:$BE$1463,AU$4+1,0),0)</f>
        <v>0</v>
      </c>
      <c r="AV357" s="59">
        <f>IFERROR(VLOOKUP($A357,[2]Mssp!$A$5:$BE$1463,AV$4+1,0),0)</f>
        <v>0</v>
      </c>
      <c r="AW357" s="59">
        <f>IFERROR(VLOOKUP($A357,[2]Mssp!$A$5:$BE$1463,AW$4+1,0),0)</f>
        <v>0</v>
      </c>
      <c r="AX357" s="59">
        <f>IFERROR(VLOOKUP($A357,[2]Mssp!$A$5:$BE$1463,AX$4+1,0),0)</f>
        <v>0</v>
      </c>
      <c r="AY357" s="59">
        <f>IFERROR(VLOOKUP($A357,[2]Mssp!$A$5:$BE$1463,AY$4+2,0),0)</f>
        <v>0</v>
      </c>
      <c r="AZ357" s="59">
        <f>IFERROR(VLOOKUP($A357,[2]Mssp!$A$5:$BE$1463,AZ$4+2,0),0)</f>
        <v>0</v>
      </c>
      <c r="BA357" s="60" t="s">
        <v>175</v>
      </c>
      <c r="BB357" s="61" t="s">
        <v>107</v>
      </c>
      <c r="BC357" s="62"/>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c r="CK357" s="9"/>
      <c r="CL357" s="9"/>
      <c r="CM357" s="9"/>
      <c r="CN357" s="9"/>
      <c r="CO357" s="9"/>
      <c r="CP357" s="9"/>
    </row>
    <row r="358" spans="1:94" ht="45" x14ac:dyDescent="0.25">
      <c r="A358" s="50" t="s">
        <v>1232</v>
      </c>
      <c r="B358" s="73" t="s">
        <v>1233</v>
      </c>
      <c r="C358" s="50">
        <f t="shared" si="13"/>
        <v>0</v>
      </c>
      <c r="D358" s="58">
        <v>3</v>
      </c>
      <c r="E358" s="58" t="s">
        <v>1234</v>
      </c>
      <c r="F358" s="58">
        <v>0</v>
      </c>
      <c r="G358" s="50" t="s">
        <v>184</v>
      </c>
      <c r="H358" s="50">
        <f>VLOOKUP($A358,'[1]ma sp 02'!$A$5:$BD$1101,H$1,0)</f>
        <v>0</v>
      </c>
      <c r="I358" s="50">
        <f>VLOOKUP($A358,'[1]ma sp 02'!$A$5:$BD$1101,I$1,0)</f>
        <v>0</v>
      </c>
      <c r="J358" s="50">
        <f>VLOOKUP($A358,'[1]ma sp 02'!$A$5:$BD$1101,J$1,0)</f>
        <v>0</v>
      </c>
      <c r="K358" s="50">
        <f>VLOOKUP($A358,'[1]ma sp 02'!$A$5:$BD$1101,K$1,0)</f>
        <v>0</v>
      </c>
      <c r="L358" s="50">
        <f>VLOOKUP($A358,'[1]ma sp 02'!$A$5:$BD$1101,L$1,0)</f>
        <v>0</v>
      </c>
      <c r="M358" s="50">
        <f>VLOOKUP($A358,'[1]ma sp 02'!$A$5:$BD$1101,M$1,0)</f>
        <v>0</v>
      </c>
      <c r="N358" s="50">
        <f>VLOOKUP($A358,'[1]ma sp 02'!$A$5:$BD$1101,N$1,0)</f>
        <v>0</v>
      </c>
      <c r="O358" s="50">
        <f>VLOOKUP($A358,'[1]ma sp 02'!$A$5:$BD$1101,O$1,0)</f>
        <v>0</v>
      </c>
      <c r="P358" s="50">
        <f>VLOOKUP($A358,'[1]ma sp 02'!$A$5:$BD$1101,P$1,0)</f>
        <v>0</v>
      </c>
      <c r="Q358" s="50">
        <f>VLOOKUP($A358,'[1]ma sp 02'!$A$5:$BD$1101,Q$1,0)</f>
        <v>0</v>
      </c>
      <c r="R358" s="50">
        <f>VLOOKUP($A358,'[1]ma sp 02'!$A$5:$BD$1101,R$1,0)</f>
        <v>0</v>
      </c>
      <c r="S358" s="50">
        <f>VLOOKUP($A358,'[1]ma sp 02'!$A$5:$BD$1101,S$1,0)</f>
        <v>0</v>
      </c>
      <c r="T358" s="50">
        <f>VLOOKUP($A358,'[1]ma sp 02'!$A$5:$BD$1101,T$1,0)</f>
        <v>0</v>
      </c>
      <c r="U358" s="50">
        <f>VLOOKUP($A358,'[1]ma sp 02'!$A$5:$BD$1101,U$1,0)</f>
        <v>0</v>
      </c>
      <c r="V358" s="50">
        <f>VLOOKUP($A358,'[1]ma sp 02'!$A$5:$BD$1101,V$1,0)</f>
        <v>0</v>
      </c>
      <c r="W358" s="50">
        <f>VLOOKUP($A358,'[1]ma sp 02'!$A$5:$BD$1101,W$1,0)</f>
        <v>0</v>
      </c>
      <c r="X358" s="50">
        <f t="shared" si="12"/>
        <v>0</v>
      </c>
      <c r="Y358" s="109"/>
      <c r="Z358" s="57"/>
      <c r="AA358" s="57"/>
      <c r="AB358" s="57"/>
      <c r="AC358" s="57"/>
      <c r="AD358" s="57"/>
      <c r="AE358" s="58" t="s">
        <v>1235</v>
      </c>
      <c r="AF358" s="57"/>
      <c r="AG358" s="71">
        <f>(0.03*0.091+0.025*0.91)*0.86</f>
        <v>2.1912800000000003E-2</v>
      </c>
      <c r="AH358" s="63">
        <f>(2.3/0.75/2)*0.85</f>
        <v>1.3033333333333332</v>
      </c>
      <c r="AI358" s="63"/>
      <c r="AJ358" s="58">
        <v>9530</v>
      </c>
      <c r="AK358" s="57"/>
      <c r="AL358" s="58">
        <v>2.3E-3</v>
      </c>
      <c r="AM358" s="52" t="s">
        <v>60</v>
      </c>
      <c r="AN358" s="58">
        <v>280</v>
      </c>
      <c r="AO358" s="52" t="s">
        <v>195</v>
      </c>
      <c r="AP358" s="59">
        <f>IFERROR(VLOOKUP($A358,[2]Mssp!$A$5:$BE$1463,AP$4+1,0),0)</f>
        <v>0</v>
      </c>
      <c r="AQ358" s="59">
        <f>IFERROR(VLOOKUP($A358,[2]Mssp!$A$5:$BE$1463,AQ$4+1,0),0)</f>
        <v>0</v>
      </c>
      <c r="AR358" s="59">
        <f>IFERROR(VLOOKUP($A358,[2]Mssp!$A$5:$BE$1463,AR$4+1,0),0)</f>
        <v>0</v>
      </c>
      <c r="AS358" s="59">
        <f>IFERROR(VLOOKUP($A358,[2]Mssp!$A$5:$BE$1463,AS$4+1,0),0)</f>
        <v>0</v>
      </c>
      <c r="AT358" s="59">
        <f>IFERROR(VLOOKUP($A358,[2]Mssp!$A$5:$BE$1463,AT$4+1,0),0)</f>
        <v>0</v>
      </c>
      <c r="AU358" s="59">
        <f>IFERROR(VLOOKUP($A358,[2]Mssp!$A$5:$BE$1463,AU$4+1,0),0)</f>
        <v>0</v>
      </c>
      <c r="AV358" s="59">
        <f>IFERROR(VLOOKUP($A358,[2]Mssp!$A$5:$BE$1463,AV$4+1,0),0)</f>
        <v>0</v>
      </c>
      <c r="AW358" s="59">
        <f>IFERROR(VLOOKUP($A358,[2]Mssp!$A$5:$BE$1463,AW$4+1,0),0)</f>
        <v>0</v>
      </c>
      <c r="AX358" s="59">
        <f>IFERROR(VLOOKUP($A358,[2]Mssp!$A$5:$BE$1463,AX$4+1,0),0)</f>
        <v>0</v>
      </c>
      <c r="AY358" s="59">
        <f>IFERROR(VLOOKUP($A358,[2]Mssp!$A$5:$BE$1463,AY$4+2,0),0)</f>
        <v>0</v>
      </c>
      <c r="AZ358" s="59">
        <f>IFERROR(VLOOKUP($A358,[2]Mssp!$A$5:$BE$1463,AZ$4+2,0),0)</f>
        <v>0</v>
      </c>
      <c r="BA358" s="60">
        <v>5000</v>
      </c>
      <c r="BB358" s="61" t="s">
        <v>62</v>
      </c>
      <c r="BC358" s="62"/>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9"/>
      <c r="CK358" s="9"/>
      <c r="CL358" s="9"/>
      <c r="CM358" s="9"/>
      <c r="CN358" s="9"/>
      <c r="CO358" s="9"/>
      <c r="CP358" s="9"/>
    </row>
    <row r="359" spans="1:94" ht="45" x14ac:dyDescent="0.25">
      <c r="A359" s="50" t="s">
        <v>1236</v>
      </c>
      <c r="B359" s="73" t="s">
        <v>1237</v>
      </c>
      <c r="C359" s="50">
        <f t="shared" si="13"/>
        <v>5</v>
      </c>
      <c r="D359" s="58">
        <v>2</v>
      </c>
      <c r="E359" s="58" t="s">
        <v>331</v>
      </c>
      <c r="F359" s="58">
        <v>5</v>
      </c>
      <c r="G359" s="50" t="s">
        <v>530</v>
      </c>
      <c r="H359" s="50">
        <f>VLOOKUP($A359,'[1]ma sp 02'!$A$5:$BD$1101,H$1,0)</f>
        <v>0.1</v>
      </c>
      <c r="I359" s="50">
        <f>VLOOKUP($A359,'[1]ma sp 02'!$A$5:$BD$1101,I$1,0)</f>
        <v>2.2999999999999998</v>
      </c>
      <c r="J359" s="50">
        <f>VLOOKUP($A359,'[1]ma sp 02'!$A$5:$BD$1101,J$1,0)</f>
        <v>0.1</v>
      </c>
      <c r="K359" s="50">
        <f>VLOOKUP($A359,'[1]ma sp 02'!$A$5:$BD$1101,K$1,0)</f>
        <v>0.3</v>
      </c>
      <c r="L359" s="50">
        <f>VLOOKUP($A359,'[1]ma sp 02'!$A$5:$BD$1101,L$1,0)</f>
        <v>0.8</v>
      </c>
      <c r="M359" s="50">
        <f>VLOOKUP($A359,'[1]ma sp 02'!$A$5:$BD$1101,M$1,0)</f>
        <v>1.4</v>
      </c>
      <c r="N359" s="50">
        <f>VLOOKUP($A359,'[1]ma sp 02'!$A$5:$BD$1101,N$1,0)</f>
        <v>0</v>
      </c>
      <c r="O359" s="50">
        <f>VLOOKUP($A359,'[1]ma sp 02'!$A$5:$BD$1101,O$1,0)</f>
        <v>0</v>
      </c>
      <c r="P359" s="50">
        <f>VLOOKUP($A359,'[1]ma sp 02'!$A$5:$BD$1101,P$1,0)</f>
        <v>0</v>
      </c>
      <c r="Q359" s="50">
        <f>VLOOKUP($A359,'[1]ma sp 02'!$A$5:$BD$1101,Q$1,0)</f>
        <v>0</v>
      </c>
      <c r="R359" s="50">
        <f>VLOOKUP($A359,'[1]ma sp 02'!$A$5:$BD$1101,R$1,0)</f>
        <v>0</v>
      </c>
      <c r="S359" s="50">
        <f>VLOOKUP($A359,'[1]ma sp 02'!$A$5:$BD$1101,S$1,0)</f>
        <v>0</v>
      </c>
      <c r="T359" s="50">
        <f>VLOOKUP($A359,'[1]ma sp 02'!$A$5:$BD$1101,T$1,0)</f>
        <v>0</v>
      </c>
      <c r="U359" s="50">
        <f>VLOOKUP($A359,'[1]ma sp 02'!$A$5:$BD$1101,U$1,0)</f>
        <v>0</v>
      </c>
      <c r="V359" s="50">
        <f>VLOOKUP($A359,'[1]ma sp 02'!$A$5:$BD$1101,V$1,0)</f>
        <v>0</v>
      </c>
      <c r="W359" s="50">
        <f>VLOOKUP($A359,'[1]ma sp 02'!$A$5:$BD$1101,W$1,0)</f>
        <v>0</v>
      </c>
      <c r="X359" s="50">
        <f t="shared" si="12"/>
        <v>6</v>
      </c>
      <c r="Y359" s="57"/>
      <c r="Z359" s="110"/>
      <c r="AA359" s="110"/>
      <c r="AB359" s="110"/>
      <c r="AC359" s="110"/>
      <c r="AD359" s="110"/>
      <c r="AE359" s="111" t="s">
        <v>419</v>
      </c>
      <c r="AF359" s="111" t="s">
        <v>1238</v>
      </c>
      <c r="AG359" s="71">
        <f>(0.012*1.4+0.006*2.71+0.075*0.925)*0.7</f>
        <v>7.170449999999999E-2</v>
      </c>
      <c r="AH359" s="63">
        <f>(2.3/0.75/2)*0.69</f>
        <v>1.0579999999999998</v>
      </c>
      <c r="AI359" s="112">
        <f>(2.3/0.75/2)*0.69</f>
        <v>1.0579999999999998</v>
      </c>
      <c r="AJ359" s="111">
        <v>9530</v>
      </c>
      <c r="AK359" s="111">
        <v>9530</v>
      </c>
      <c r="AL359" s="111" t="s">
        <v>354</v>
      </c>
      <c r="AM359" s="113" t="s">
        <v>74</v>
      </c>
      <c r="AN359" s="111">
        <v>110</v>
      </c>
      <c r="AO359" s="113" t="s">
        <v>612</v>
      </c>
      <c r="AP359" s="59" t="str">
        <f>IFERROR(VLOOKUP($A359,[2]Mssp!$A$5:$BE$1463,AP$4+1,0),0)</f>
        <v>1802498-1</v>
      </c>
      <c r="AQ359" s="59" t="str">
        <f>IFERROR(VLOOKUP($A359,[2]Mssp!$A$5:$BE$1463,AQ$4+1,0),0)</f>
        <v>1802498-2</v>
      </c>
      <c r="AR359" s="59" t="str">
        <f>IFERROR(VLOOKUP($A359,[2]Mssp!$A$5:$BE$1463,AR$4+1,0),0)</f>
        <v>1802498-3</v>
      </c>
      <c r="AS359" s="59" t="str">
        <f>IFERROR(VLOOKUP($A359,[2]Mssp!$A$5:$BE$1463,AS$4+1,0),0)</f>
        <v>1802498-4</v>
      </c>
      <c r="AT359" s="59" t="str">
        <f>IFERROR(VLOOKUP($A359,[2]Mssp!$A$5:$BE$1463,AT$4+1,0),0)</f>
        <v>1802498-5</v>
      </c>
      <c r="AU359" s="59">
        <f>IFERROR(VLOOKUP($A359,[2]Mssp!$A$5:$BE$1463,AU$4+1,0),0)</f>
        <v>0</v>
      </c>
      <c r="AV359" s="59">
        <f>IFERROR(VLOOKUP($A359,[2]Mssp!$A$5:$BE$1463,AV$4+1,0),0)</f>
        <v>0</v>
      </c>
      <c r="AW359" s="59">
        <f>IFERROR(VLOOKUP($A359,[2]Mssp!$A$5:$BE$1463,AW$4+1,0),0)</f>
        <v>0</v>
      </c>
      <c r="AX359" s="59">
        <f>IFERROR(VLOOKUP($A359,[2]Mssp!$A$5:$BE$1463,AX$4+1,0),0)</f>
        <v>0</v>
      </c>
      <c r="AY359" s="59" t="str">
        <f>IFERROR(VLOOKUP($A359,[2]Mssp!$A$5:$BE$1463,AY$4+2,0),0)</f>
        <v>440x750</v>
      </c>
      <c r="AZ359" s="59" t="str">
        <f>IFERROR(VLOOKUP($A359,[2]Mssp!$A$5:$BE$1463,AZ$4+2,0),0)</f>
        <v>D3</v>
      </c>
      <c r="BA359" s="60">
        <v>10000</v>
      </c>
      <c r="BB359" s="61" t="s">
        <v>62</v>
      </c>
      <c r="BC359" s="62"/>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c r="CK359" s="9"/>
      <c r="CL359" s="9"/>
      <c r="CM359" s="9"/>
      <c r="CN359" s="9"/>
      <c r="CO359" s="9"/>
      <c r="CP359" s="9"/>
    </row>
    <row r="360" spans="1:94" ht="45" x14ac:dyDescent="0.25">
      <c r="A360" s="50" t="s">
        <v>1239</v>
      </c>
      <c r="B360" s="73" t="s">
        <v>1240</v>
      </c>
      <c r="C360" s="50">
        <f t="shared" si="13"/>
        <v>4.7</v>
      </c>
      <c r="D360" s="58">
        <v>3</v>
      </c>
      <c r="E360" s="58" t="s">
        <v>113</v>
      </c>
      <c r="F360" s="58">
        <v>6</v>
      </c>
      <c r="G360" s="50" t="s">
        <v>530</v>
      </c>
      <c r="H360" s="50">
        <f>VLOOKUP($A360,'[1]ma sp 02'!$A$5:$BD$1101,H$1,0)</f>
        <v>0.08</v>
      </c>
      <c r="I360" s="50">
        <f>VLOOKUP($A360,'[1]ma sp 02'!$A$5:$BD$1101,I$1,0)</f>
        <v>2.14</v>
      </c>
      <c r="J360" s="50">
        <f>VLOOKUP($A360,'[1]ma sp 02'!$A$5:$BD$1101,J$1,0)</f>
        <v>0.38</v>
      </c>
      <c r="K360" s="50">
        <f>VLOOKUP($A360,'[1]ma sp 02'!$A$5:$BD$1101,K$1,0)</f>
        <v>0.2</v>
      </c>
      <c r="L360" s="50">
        <f>VLOOKUP($A360,'[1]ma sp 02'!$A$5:$BD$1101,L$1,0)</f>
        <v>0.28000000000000003</v>
      </c>
      <c r="M360" s="50">
        <f>VLOOKUP($A360,'[1]ma sp 02'!$A$5:$BD$1101,M$1,0)</f>
        <v>1.61</v>
      </c>
      <c r="N360" s="50">
        <f>VLOOKUP($A360,'[1]ma sp 02'!$A$5:$BD$1101,N$1,0)</f>
        <v>0</v>
      </c>
      <c r="O360" s="50">
        <f>VLOOKUP($A360,'[1]ma sp 02'!$A$5:$BD$1101,O$1,0)</f>
        <v>0</v>
      </c>
      <c r="P360" s="50">
        <f>VLOOKUP($A360,'[1]ma sp 02'!$A$5:$BD$1101,P$1,0)</f>
        <v>0</v>
      </c>
      <c r="Q360" s="50">
        <f>VLOOKUP($A360,'[1]ma sp 02'!$A$5:$BD$1101,Q$1,0)</f>
        <v>0</v>
      </c>
      <c r="R360" s="50">
        <f>VLOOKUP($A360,'[1]ma sp 02'!$A$5:$BD$1101,R$1,0)</f>
        <v>0.01</v>
      </c>
      <c r="S360" s="50">
        <f>VLOOKUP($A360,'[1]ma sp 02'!$A$5:$BD$1101,S$1,0)</f>
        <v>0</v>
      </c>
      <c r="T360" s="50">
        <f>VLOOKUP($A360,'[1]ma sp 02'!$A$5:$BD$1101,T$1,0)</f>
        <v>0</v>
      </c>
      <c r="U360" s="50">
        <f>VLOOKUP($A360,'[1]ma sp 02'!$A$5:$BD$1101,U$1,0)</f>
        <v>0</v>
      </c>
      <c r="V360" s="50">
        <f>VLOOKUP($A360,'[1]ma sp 02'!$A$5:$BD$1101,V$1,0)</f>
        <v>0</v>
      </c>
      <c r="W360" s="50">
        <f>VLOOKUP($A360,'[1]ma sp 02'!$A$5:$BD$1101,W$1,0)</f>
        <v>0</v>
      </c>
      <c r="X360" s="50">
        <f t="shared" si="12"/>
        <v>7</v>
      </c>
      <c r="Y360" s="57"/>
      <c r="Z360" s="57"/>
      <c r="AA360" s="57"/>
      <c r="AB360" s="57"/>
      <c r="AC360" s="57"/>
      <c r="AD360" s="57"/>
      <c r="AE360" s="58" t="s">
        <v>628</v>
      </c>
      <c r="AF360" s="58" t="s">
        <v>838</v>
      </c>
      <c r="AG360" s="71">
        <f>(0.012*1.4+0.006*2.71+0.075*0.925)*0.74</f>
        <v>7.5801899999999992E-2</v>
      </c>
      <c r="AH360" s="63">
        <f>(2.3/0.75/2)*0.73</f>
        <v>1.1193333333333333</v>
      </c>
      <c r="AI360" s="63">
        <f>(2.3/0.75/2)*0.73</f>
        <v>1.1193333333333333</v>
      </c>
      <c r="AJ360" s="58">
        <v>9530</v>
      </c>
      <c r="AK360" s="58">
        <v>9530</v>
      </c>
      <c r="AL360" s="58" t="s">
        <v>354</v>
      </c>
      <c r="AM360" s="52" t="s">
        <v>74</v>
      </c>
      <c r="AN360" s="58">
        <v>80</v>
      </c>
      <c r="AO360" s="52" t="s">
        <v>612</v>
      </c>
      <c r="AP360" s="59" t="str">
        <f>IFERROR(VLOOKUP($A360,[2]Mssp!$A$5:$BE$1463,AP$4+1,0),0)</f>
        <v>19051008-1</v>
      </c>
      <c r="AQ360" s="59" t="str">
        <f>IFERROR(VLOOKUP($A360,[2]Mssp!$A$5:$BE$1463,AQ$4+1,0),0)</f>
        <v>1802499-2</v>
      </c>
      <c r="AR360" s="59" t="str">
        <f>IFERROR(VLOOKUP($A360,[2]Mssp!$A$5:$BE$1463,AR$4+1,0),0)</f>
        <v>1802499-3</v>
      </c>
      <c r="AS360" s="59" t="str">
        <f>IFERROR(VLOOKUP($A360,[2]Mssp!$A$5:$BE$1463,AS$4+1,0),0)</f>
        <v>1802499-4</v>
      </c>
      <c r="AT360" s="59" t="str">
        <f>IFERROR(VLOOKUP($A360,[2]Mssp!$A$5:$BE$1463,AT$4+1,0),0)</f>
        <v>1802499-5</v>
      </c>
      <c r="AU360" s="59" t="str">
        <f>IFERROR(VLOOKUP($A360,[2]Mssp!$A$5:$BE$1463,AU$4+1,0),0)</f>
        <v>1802499-6</v>
      </c>
      <c r="AV360" s="59">
        <f>IFERROR(VLOOKUP($A360,[2]Mssp!$A$5:$BE$1463,AV$4+1,0),0)</f>
        <v>0</v>
      </c>
      <c r="AW360" s="59">
        <f>IFERROR(VLOOKUP($A360,[2]Mssp!$A$5:$BE$1463,AW$4+1,0),0)</f>
        <v>0</v>
      </c>
      <c r="AX360" s="59">
        <f>IFERROR(VLOOKUP($A360,[2]Mssp!$A$5:$BE$1463,AX$4+1,0),0)</f>
        <v>0</v>
      </c>
      <c r="AY360" s="59" t="str">
        <f>IFERROR(VLOOKUP($A360,[2]Mssp!$A$5:$BE$1463,AY$4+2,0),0)</f>
        <v>400x850</v>
      </c>
      <c r="AZ360" s="59" t="str">
        <f>IFERROR(VLOOKUP($A360,[2]Mssp!$A$5:$BE$1463,AZ$4+2,0),0)</f>
        <v>D3</v>
      </c>
      <c r="BA360" s="60">
        <v>20000</v>
      </c>
      <c r="BB360" s="61" t="s">
        <v>62</v>
      </c>
      <c r="BC360" s="62"/>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c r="CK360" s="9"/>
      <c r="CL360" s="9"/>
      <c r="CM360" s="9"/>
      <c r="CN360" s="9"/>
      <c r="CO360" s="9"/>
      <c r="CP360" s="9"/>
    </row>
    <row r="361" spans="1:94" ht="45" x14ac:dyDescent="0.25">
      <c r="A361" s="50" t="s">
        <v>1241</v>
      </c>
      <c r="B361" s="73" t="s">
        <v>1242</v>
      </c>
      <c r="C361" s="50">
        <f t="shared" si="13"/>
        <v>3.1700000000000004</v>
      </c>
      <c r="D361" s="58">
        <v>3</v>
      </c>
      <c r="E361" s="58" t="s">
        <v>351</v>
      </c>
      <c r="F361" s="58">
        <v>6</v>
      </c>
      <c r="G361" s="50" t="s">
        <v>530</v>
      </c>
      <c r="H361" s="50">
        <f>VLOOKUP($A361,'[1]ma sp 02'!$A$5:$BD$1101,H$1,0)</f>
        <v>0.01</v>
      </c>
      <c r="I361" s="50">
        <f>VLOOKUP($A361,'[1]ma sp 02'!$A$5:$BD$1101,I$1,0)</f>
        <v>1.58</v>
      </c>
      <c r="J361" s="50">
        <f>VLOOKUP($A361,'[1]ma sp 02'!$A$5:$BD$1101,J$1,0)</f>
        <v>0.16</v>
      </c>
      <c r="K361" s="50">
        <f>VLOOKUP($A361,'[1]ma sp 02'!$A$5:$BD$1101,K$1,0)</f>
        <v>7.0000000000000007E-2</v>
      </c>
      <c r="L361" s="50">
        <f>VLOOKUP($A361,'[1]ma sp 02'!$A$5:$BD$1101,L$1,0)</f>
        <v>0.34</v>
      </c>
      <c r="M361" s="50">
        <f>VLOOKUP($A361,'[1]ma sp 02'!$A$5:$BD$1101,M$1,0)</f>
        <v>0.83</v>
      </c>
      <c r="N361" s="50">
        <f>VLOOKUP($A361,'[1]ma sp 02'!$A$5:$BD$1101,N$1,0)</f>
        <v>0</v>
      </c>
      <c r="O361" s="50">
        <f>VLOOKUP($A361,'[1]ma sp 02'!$A$5:$BD$1101,O$1,0)</f>
        <v>0</v>
      </c>
      <c r="P361" s="50">
        <f>VLOOKUP($A361,'[1]ma sp 02'!$A$5:$BD$1101,P$1,0)</f>
        <v>0</v>
      </c>
      <c r="Q361" s="50">
        <f>VLOOKUP($A361,'[1]ma sp 02'!$A$5:$BD$1101,Q$1,0)</f>
        <v>0</v>
      </c>
      <c r="R361" s="50">
        <f>VLOOKUP($A361,'[1]ma sp 02'!$A$5:$BD$1101,R$1,0)</f>
        <v>0.18</v>
      </c>
      <c r="S361" s="50">
        <f>VLOOKUP($A361,'[1]ma sp 02'!$A$5:$BD$1101,S$1,0)</f>
        <v>0</v>
      </c>
      <c r="T361" s="50">
        <f>VLOOKUP($A361,'[1]ma sp 02'!$A$5:$BD$1101,T$1,0)</f>
        <v>0</v>
      </c>
      <c r="U361" s="50">
        <f>VLOOKUP($A361,'[1]ma sp 02'!$A$5:$BD$1101,U$1,0)</f>
        <v>0</v>
      </c>
      <c r="V361" s="50">
        <f>VLOOKUP($A361,'[1]ma sp 02'!$A$5:$BD$1101,V$1,0)</f>
        <v>0</v>
      </c>
      <c r="W361" s="50">
        <f>VLOOKUP($A361,'[1]ma sp 02'!$A$5:$BD$1101,W$1,0)</f>
        <v>0</v>
      </c>
      <c r="X361" s="50">
        <f t="shared" si="12"/>
        <v>7</v>
      </c>
      <c r="Y361" s="57"/>
      <c r="Z361" s="57"/>
      <c r="AA361" s="57"/>
      <c r="AB361" s="57"/>
      <c r="AC361" s="57"/>
      <c r="AD361" s="57"/>
      <c r="AE361" s="58" t="s">
        <v>499</v>
      </c>
      <c r="AF361" s="58" t="s">
        <v>1192</v>
      </c>
      <c r="AG361" s="71">
        <f>(0.012*1.4+0.006*2.71+0.075*0.925)*0.8</f>
        <v>8.1948000000000007E-2</v>
      </c>
      <c r="AH361" s="63">
        <f>(2.3/0.75/2)*0.79</f>
        <v>1.2113333333333334</v>
      </c>
      <c r="AI361" s="63">
        <f>(2.3/0.75/2)*0.79</f>
        <v>1.2113333333333334</v>
      </c>
      <c r="AJ361" s="58">
        <v>9530</v>
      </c>
      <c r="AK361" s="58">
        <v>9530</v>
      </c>
      <c r="AL361" s="58" t="s">
        <v>354</v>
      </c>
      <c r="AM361" s="52" t="s">
        <v>611</v>
      </c>
      <c r="AN361" s="58">
        <v>260</v>
      </c>
      <c r="AO361" s="52" t="s">
        <v>612</v>
      </c>
      <c r="AP361" s="59" t="str">
        <f>IFERROR(VLOOKUP($A361,[2]Mssp!$A$5:$BE$1463,AP$4+1,0),0)</f>
        <v>2002743-1</v>
      </c>
      <c r="AQ361" s="59" t="str">
        <f>IFERROR(VLOOKUP($A361,[2]Mssp!$A$5:$BE$1463,AQ$4+1,0),0)</f>
        <v>1802500-2</v>
      </c>
      <c r="AR361" s="59" t="str">
        <f>IFERROR(VLOOKUP($A361,[2]Mssp!$A$5:$BE$1463,AR$4+1,0),0)</f>
        <v>1802500-3</v>
      </c>
      <c r="AS361" s="59" t="str">
        <f>IFERROR(VLOOKUP($A361,[2]Mssp!$A$5:$BE$1463,AS$4+1,0),0)</f>
        <v>1802500-4</v>
      </c>
      <c r="AT361" s="59" t="str">
        <f>IFERROR(VLOOKUP($A361,[2]Mssp!$A$5:$BE$1463,AT$4+1,0),0)</f>
        <v>1802500-5</v>
      </c>
      <c r="AU361" s="59" t="str">
        <f>IFERROR(VLOOKUP($A361,[2]Mssp!$A$5:$BE$1463,AU$4+1,0),0)</f>
        <v>1802500-6</v>
      </c>
      <c r="AV361" s="59">
        <f>IFERROR(VLOOKUP($A361,[2]Mssp!$A$5:$BE$1463,AV$4+1,0),0)</f>
        <v>0</v>
      </c>
      <c r="AW361" s="59">
        <f>IFERROR(VLOOKUP($A361,[2]Mssp!$A$5:$BE$1463,AW$4+1,0),0)</f>
        <v>0</v>
      </c>
      <c r="AX361" s="59">
        <f>IFERROR(VLOOKUP($A361,[2]Mssp!$A$5:$BE$1463,AX$4+1,0),0)</f>
        <v>0</v>
      </c>
      <c r="AY361" s="59" t="str">
        <f>IFERROR(VLOOKUP($A361,[2]Mssp!$A$5:$BE$1463,AY$4+2,0),0)</f>
        <v>450x850</v>
      </c>
      <c r="AZ361" s="59" t="str">
        <f>IFERROR(VLOOKUP($A361,[2]Mssp!$A$5:$BE$1463,AZ$4+2,0),0)</f>
        <v>D3</v>
      </c>
      <c r="BA361" s="60" t="s">
        <v>106</v>
      </c>
      <c r="BB361" s="61" t="s">
        <v>107</v>
      </c>
      <c r="BC361" s="62"/>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9"/>
      <c r="CK361" s="9"/>
      <c r="CL361" s="9"/>
      <c r="CM361" s="9"/>
      <c r="CN361" s="9"/>
      <c r="CO361" s="9"/>
      <c r="CP361" s="9"/>
    </row>
    <row r="362" spans="1:94" ht="45" x14ac:dyDescent="0.25">
      <c r="A362" s="50" t="s">
        <v>1243</v>
      </c>
      <c r="B362" s="73" t="s">
        <v>1244</v>
      </c>
      <c r="C362" s="50">
        <f t="shared" si="13"/>
        <v>0</v>
      </c>
      <c r="D362" s="58">
        <v>1</v>
      </c>
      <c r="E362" s="58" t="s">
        <v>1245</v>
      </c>
      <c r="F362" s="58">
        <v>0</v>
      </c>
      <c r="G362" s="50" t="s">
        <v>1010</v>
      </c>
      <c r="H362" s="50">
        <f>VLOOKUP($A362,'[1]ma sp 02'!$A$5:$BD$1101,H$1,0)</f>
        <v>0</v>
      </c>
      <c r="I362" s="50">
        <f>VLOOKUP($A362,'[1]ma sp 02'!$A$5:$BD$1101,I$1,0)</f>
        <v>0</v>
      </c>
      <c r="J362" s="50">
        <f>VLOOKUP($A362,'[1]ma sp 02'!$A$5:$BD$1101,J$1,0)</f>
        <v>0</v>
      </c>
      <c r="K362" s="50">
        <f>VLOOKUP($A362,'[1]ma sp 02'!$A$5:$BD$1101,K$1,0)</f>
        <v>0</v>
      </c>
      <c r="L362" s="50">
        <f>VLOOKUP($A362,'[1]ma sp 02'!$A$5:$BD$1101,L$1,0)</f>
        <v>0</v>
      </c>
      <c r="M362" s="50">
        <f>VLOOKUP($A362,'[1]ma sp 02'!$A$5:$BD$1101,M$1,0)</f>
        <v>0</v>
      </c>
      <c r="N362" s="50">
        <f>VLOOKUP($A362,'[1]ma sp 02'!$A$5:$BD$1101,N$1,0)</f>
        <v>0</v>
      </c>
      <c r="O362" s="50">
        <f>VLOOKUP($A362,'[1]ma sp 02'!$A$5:$BD$1101,O$1,0)</f>
        <v>0</v>
      </c>
      <c r="P362" s="50">
        <f>VLOOKUP($A362,'[1]ma sp 02'!$A$5:$BD$1101,P$1,0)</f>
        <v>0</v>
      </c>
      <c r="Q362" s="50">
        <f>VLOOKUP($A362,'[1]ma sp 02'!$A$5:$BD$1101,Q$1,0)</f>
        <v>0</v>
      </c>
      <c r="R362" s="50">
        <f>VLOOKUP($A362,'[1]ma sp 02'!$A$5:$BD$1101,R$1,0)</f>
        <v>0</v>
      </c>
      <c r="S362" s="50">
        <f>VLOOKUP($A362,'[1]ma sp 02'!$A$5:$BD$1101,S$1,0)</f>
        <v>0</v>
      </c>
      <c r="T362" s="50">
        <f>VLOOKUP($A362,'[1]ma sp 02'!$A$5:$BD$1101,T$1,0)</f>
        <v>0</v>
      </c>
      <c r="U362" s="50">
        <f>VLOOKUP($A362,'[1]ma sp 02'!$A$5:$BD$1101,U$1,0)</f>
        <v>0</v>
      </c>
      <c r="V362" s="50">
        <f>VLOOKUP($A362,'[1]ma sp 02'!$A$5:$BD$1101,V$1,0)</f>
        <v>0</v>
      </c>
      <c r="W362" s="50">
        <f>VLOOKUP($A362,'[1]ma sp 02'!$A$5:$BD$1101,W$1,0)</f>
        <v>0</v>
      </c>
      <c r="X362" s="50">
        <f t="shared" si="12"/>
        <v>0</v>
      </c>
      <c r="Y362" s="57"/>
      <c r="Z362" s="57"/>
      <c r="AA362" s="57"/>
      <c r="AB362" s="57"/>
      <c r="AC362" s="57"/>
      <c r="AD362" s="57"/>
      <c r="AE362" s="58" t="s">
        <v>132</v>
      </c>
      <c r="AF362" s="57"/>
      <c r="AG362" s="71">
        <f>(0.012*1.4+0.06*0.925)*0.62</f>
        <v>4.4826000000000005E-2</v>
      </c>
      <c r="AH362" s="63">
        <f>(2.3/0.75/2)*0.61</f>
        <v>0.93533333333333324</v>
      </c>
      <c r="AI362" s="63"/>
      <c r="AJ362" s="58">
        <v>9530</v>
      </c>
      <c r="AK362" s="57"/>
      <c r="AL362" s="58">
        <v>2.3E-3</v>
      </c>
      <c r="AM362" s="52" t="s">
        <v>958</v>
      </c>
      <c r="AN362" s="58">
        <v>620</v>
      </c>
      <c r="AO362" s="52" t="s">
        <v>962</v>
      </c>
      <c r="AP362" s="59">
        <f>IFERROR(VLOOKUP($A362,[2]Mssp!$A$5:$BE$1463,AP$4+1,0),0)</f>
        <v>0</v>
      </c>
      <c r="AQ362" s="59">
        <f>IFERROR(VLOOKUP($A362,[2]Mssp!$A$5:$BE$1463,AQ$4+1,0),0)</f>
        <v>0</v>
      </c>
      <c r="AR362" s="59">
        <f>IFERROR(VLOOKUP($A362,[2]Mssp!$A$5:$BE$1463,AR$4+1,0),0)</f>
        <v>0</v>
      </c>
      <c r="AS362" s="59">
        <f>IFERROR(VLOOKUP($A362,[2]Mssp!$A$5:$BE$1463,AS$4+1,0),0)</f>
        <v>0</v>
      </c>
      <c r="AT362" s="59">
        <f>IFERROR(VLOOKUP($A362,[2]Mssp!$A$5:$BE$1463,AT$4+1,0),0)</f>
        <v>0</v>
      </c>
      <c r="AU362" s="59">
        <f>IFERROR(VLOOKUP($A362,[2]Mssp!$A$5:$BE$1463,AU$4+1,0),0)</f>
        <v>0</v>
      </c>
      <c r="AV362" s="59">
        <f>IFERROR(VLOOKUP($A362,[2]Mssp!$A$5:$BE$1463,AV$4+1,0),0)</f>
        <v>0</v>
      </c>
      <c r="AW362" s="59">
        <f>IFERROR(VLOOKUP($A362,[2]Mssp!$A$5:$BE$1463,AW$4+1,0),0)</f>
        <v>0</v>
      </c>
      <c r="AX362" s="59">
        <f>IFERROR(VLOOKUP($A362,[2]Mssp!$A$5:$BE$1463,AX$4+1,0),0)</f>
        <v>0</v>
      </c>
      <c r="AY362" s="59">
        <f>IFERROR(VLOOKUP($A362,[2]Mssp!$A$5:$BE$1463,AY$4+2,0),0)</f>
        <v>0</v>
      </c>
      <c r="AZ362" s="59">
        <f>IFERROR(VLOOKUP($A362,[2]Mssp!$A$5:$BE$1463,AZ$4+2,0),0)</f>
        <v>0</v>
      </c>
      <c r="BA362" s="60" t="s">
        <v>106</v>
      </c>
      <c r="BB362" s="61" t="s">
        <v>107</v>
      </c>
      <c r="BC362" s="62"/>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9"/>
      <c r="CK362" s="9"/>
      <c r="CL362" s="9"/>
      <c r="CM362" s="9"/>
      <c r="CN362" s="9"/>
      <c r="CO362" s="9"/>
      <c r="CP362" s="9"/>
    </row>
    <row r="363" spans="1:94" ht="45" x14ac:dyDescent="0.25">
      <c r="A363" s="50" t="s">
        <v>1246</v>
      </c>
      <c r="B363" s="73" t="s">
        <v>1247</v>
      </c>
      <c r="C363" s="50">
        <f t="shared" si="13"/>
        <v>4.25</v>
      </c>
      <c r="D363" s="58">
        <v>3</v>
      </c>
      <c r="E363" s="58" t="s">
        <v>351</v>
      </c>
      <c r="F363" s="58">
        <v>6</v>
      </c>
      <c r="G363" s="50" t="s">
        <v>530</v>
      </c>
      <c r="H363" s="50">
        <f>VLOOKUP($A363,'[1]ma sp 02'!$A$5:$BD$1101,H$1,0)</f>
        <v>0.22</v>
      </c>
      <c r="I363" s="50">
        <f>VLOOKUP($A363,'[1]ma sp 02'!$A$5:$BD$1101,I$1,0)</f>
        <v>1.52</v>
      </c>
      <c r="J363" s="50">
        <f>VLOOKUP($A363,'[1]ma sp 02'!$A$5:$BD$1101,J$1,0)</f>
        <v>0.01</v>
      </c>
      <c r="K363" s="50">
        <f>VLOOKUP($A363,'[1]ma sp 02'!$A$5:$BD$1101,K$1,0)</f>
        <v>0.54</v>
      </c>
      <c r="L363" s="50">
        <f>VLOOKUP($A363,'[1]ma sp 02'!$A$5:$BD$1101,L$1,0)</f>
        <v>0.87</v>
      </c>
      <c r="M363" s="50">
        <f>VLOOKUP($A363,'[1]ma sp 02'!$A$5:$BD$1101,M$1,0)</f>
        <v>0.87</v>
      </c>
      <c r="N363" s="50">
        <f>VLOOKUP($A363,'[1]ma sp 02'!$A$5:$BD$1101,N$1,0)</f>
        <v>0</v>
      </c>
      <c r="O363" s="50">
        <f>VLOOKUP($A363,'[1]ma sp 02'!$A$5:$BD$1101,O$1,0)</f>
        <v>0</v>
      </c>
      <c r="P363" s="50">
        <f>VLOOKUP($A363,'[1]ma sp 02'!$A$5:$BD$1101,P$1,0)</f>
        <v>0</v>
      </c>
      <c r="Q363" s="50">
        <f>VLOOKUP($A363,'[1]ma sp 02'!$A$5:$BD$1101,Q$1,0)</f>
        <v>0</v>
      </c>
      <c r="R363" s="50">
        <f>VLOOKUP($A363,'[1]ma sp 02'!$A$5:$BD$1101,R$1,0)</f>
        <v>0.22</v>
      </c>
      <c r="S363" s="50">
        <f>VLOOKUP($A363,'[1]ma sp 02'!$A$5:$BD$1101,S$1,0)</f>
        <v>0</v>
      </c>
      <c r="T363" s="50">
        <f>VLOOKUP($A363,'[1]ma sp 02'!$A$5:$BD$1101,T$1,0)</f>
        <v>0</v>
      </c>
      <c r="U363" s="50">
        <f>VLOOKUP($A363,'[1]ma sp 02'!$A$5:$BD$1101,U$1,0)</f>
        <v>0</v>
      </c>
      <c r="V363" s="50">
        <f>VLOOKUP($A363,'[1]ma sp 02'!$A$5:$BD$1101,V$1,0)</f>
        <v>0</v>
      </c>
      <c r="W363" s="50">
        <f>VLOOKUP($A363,'[1]ma sp 02'!$A$5:$BD$1101,W$1,0)</f>
        <v>0</v>
      </c>
      <c r="X363" s="50">
        <f t="shared" si="12"/>
        <v>7</v>
      </c>
      <c r="Y363" s="57"/>
      <c r="Z363" s="57"/>
      <c r="AA363" s="57"/>
      <c r="AB363" s="57"/>
      <c r="AC363" s="57"/>
      <c r="AD363" s="57"/>
      <c r="AE363" s="58" t="s">
        <v>499</v>
      </c>
      <c r="AF363" s="58" t="s">
        <v>1192</v>
      </c>
      <c r="AG363" s="71">
        <f>(0.012*1.4+0.006*2.71+0.075*0.925)*0.8</f>
        <v>8.1948000000000007E-2</v>
      </c>
      <c r="AH363" s="63">
        <f>(2.3/0.75/2)*0.79</f>
        <v>1.2113333333333334</v>
      </c>
      <c r="AI363" s="63">
        <f>(2.3/0.75/2)*0.79</f>
        <v>1.2113333333333334</v>
      </c>
      <c r="AJ363" s="58">
        <v>9530</v>
      </c>
      <c r="AK363" s="58">
        <v>9530</v>
      </c>
      <c r="AL363" s="58" t="s">
        <v>354</v>
      </c>
      <c r="AM363" s="52" t="s">
        <v>611</v>
      </c>
      <c r="AN363" s="58">
        <v>260</v>
      </c>
      <c r="AO363" s="52" t="s">
        <v>612</v>
      </c>
      <c r="AP363" s="59" t="str">
        <f>IFERROR(VLOOKUP($A363,[2]Mssp!$A$5:$BE$1463,AP$4+1,0),0)</f>
        <v>20110906-1</v>
      </c>
      <c r="AQ363" s="59" t="str">
        <f>IFERROR(VLOOKUP($A363,[2]Mssp!$A$5:$BE$1463,AQ$4+1,0),0)</f>
        <v>19070739-2</v>
      </c>
      <c r="AR363" s="59" t="str">
        <f>IFERROR(VLOOKUP($A363,[2]Mssp!$A$5:$BE$1463,AR$4+1,0),0)</f>
        <v>1803525-3</v>
      </c>
      <c r="AS363" s="59" t="str">
        <f>IFERROR(VLOOKUP($A363,[2]Mssp!$A$5:$BE$1463,AS$4+1,0),0)</f>
        <v>1803525-4</v>
      </c>
      <c r="AT363" s="59" t="str">
        <f>IFERROR(VLOOKUP($A363,[2]Mssp!$A$5:$BE$1463,AT$4+1,0),0)</f>
        <v>1803525-5</v>
      </c>
      <c r="AU363" s="59" t="str">
        <f>IFERROR(VLOOKUP($A363,[2]Mssp!$A$5:$BE$1463,AU$4+1,0),0)</f>
        <v>1803525-6</v>
      </c>
      <c r="AV363" s="59">
        <f>IFERROR(VLOOKUP($A363,[2]Mssp!$A$5:$BE$1463,AV$4+1,0),0)</f>
        <v>0</v>
      </c>
      <c r="AW363" s="59">
        <f>IFERROR(VLOOKUP($A363,[2]Mssp!$A$5:$BE$1463,AW$4+1,0),0)</f>
        <v>0</v>
      </c>
      <c r="AX363" s="59">
        <f>IFERROR(VLOOKUP($A363,[2]Mssp!$A$5:$BE$1463,AX$4+1,0),0)</f>
        <v>0</v>
      </c>
      <c r="AY363" s="59" t="str">
        <f>IFERROR(VLOOKUP($A363,[2]Mssp!$A$5:$BE$1463,AY$4+2,0),0)</f>
        <v>450x870</v>
      </c>
      <c r="AZ363" s="59" t="str">
        <f>IFERROR(VLOOKUP($A363,[2]Mssp!$A$5:$BE$1463,AZ$4+2,0),0)</f>
        <v>D3</v>
      </c>
      <c r="BA363" s="60" t="s">
        <v>106</v>
      </c>
      <c r="BB363" s="61" t="s">
        <v>107</v>
      </c>
      <c r="BC363" s="62"/>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9"/>
      <c r="CK363" s="9"/>
      <c r="CL363" s="9"/>
      <c r="CM363" s="9"/>
      <c r="CN363" s="9"/>
      <c r="CO363" s="9"/>
      <c r="CP363" s="9"/>
    </row>
    <row r="364" spans="1:94" ht="45" x14ac:dyDescent="0.25">
      <c r="A364" s="50" t="s">
        <v>1248</v>
      </c>
      <c r="B364" s="73" t="s">
        <v>1249</v>
      </c>
      <c r="C364" s="50">
        <f t="shared" si="13"/>
        <v>0.2</v>
      </c>
      <c r="D364" s="58">
        <v>1</v>
      </c>
      <c r="E364" s="58" t="s">
        <v>1250</v>
      </c>
      <c r="F364" s="58">
        <v>1</v>
      </c>
      <c r="G364" s="50" t="s">
        <v>184</v>
      </c>
      <c r="H364" s="50">
        <f>VLOOKUP($A364,'[1]ma sp 02'!$A$5:$BD$1101,H$1,0)</f>
        <v>0</v>
      </c>
      <c r="I364" s="50">
        <f>VLOOKUP($A364,'[1]ma sp 02'!$A$5:$BD$1101,I$1,0)</f>
        <v>0</v>
      </c>
      <c r="J364" s="50">
        <f>VLOOKUP($A364,'[1]ma sp 02'!$A$5:$BD$1101,J$1,0)</f>
        <v>0</v>
      </c>
      <c r="K364" s="50">
        <f>VLOOKUP($A364,'[1]ma sp 02'!$A$5:$BD$1101,K$1,0)</f>
        <v>0</v>
      </c>
      <c r="L364" s="50">
        <f>VLOOKUP($A364,'[1]ma sp 02'!$A$5:$BD$1101,L$1,0)</f>
        <v>0</v>
      </c>
      <c r="M364" s="50">
        <f>VLOOKUP($A364,'[1]ma sp 02'!$A$5:$BD$1101,M$1,0)</f>
        <v>0</v>
      </c>
      <c r="N364" s="50">
        <f>VLOOKUP($A364,'[1]ma sp 02'!$A$5:$BD$1101,N$1,0)</f>
        <v>0</v>
      </c>
      <c r="O364" s="50">
        <f>VLOOKUP($A364,'[1]ma sp 02'!$A$5:$BD$1101,O$1,0)</f>
        <v>0</v>
      </c>
      <c r="P364" s="50">
        <f>VLOOKUP($A364,'[1]ma sp 02'!$A$5:$BD$1101,P$1,0)</f>
        <v>0</v>
      </c>
      <c r="Q364" s="50">
        <f>VLOOKUP($A364,'[1]ma sp 02'!$A$5:$BD$1101,Q$1,0)</f>
        <v>0</v>
      </c>
      <c r="R364" s="50">
        <f>VLOOKUP($A364,'[1]ma sp 02'!$A$5:$BD$1101,R$1,0)</f>
        <v>0.2</v>
      </c>
      <c r="S364" s="50">
        <f>VLOOKUP($A364,'[1]ma sp 02'!$A$5:$BD$1101,S$1,0)</f>
        <v>0</v>
      </c>
      <c r="T364" s="50">
        <f>VLOOKUP($A364,'[1]ma sp 02'!$A$5:$BD$1101,T$1,0)</f>
        <v>0</v>
      </c>
      <c r="U364" s="50">
        <f>VLOOKUP($A364,'[1]ma sp 02'!$A$5:$BD$1101,U$1,0)</f>
        <v>0</v>
      </c>
      <c r="V364" s="50">
        <f>VLOOKUP($A364,'[1]ma sp 02'!$A$5:$BD$1101,V$1,0)</f>
        <v>0</v>
      </c>
      <c r="W364" s="50">
        <f>VLOOKUP($A364,'[1]ma sp 02'!$A$5:$BD$1101,W$1,0)</f>
        <v>0</v>
      </c>
      <c r="X364" s="50">
        <f t="shared" si="12"/>
        <v>1</v>
      </c>
      <c r="Y364" s="57"/>
      <c r="Z364" s="57"/>
      <c r="AA364" s="57"/>
      <c r="AB364" s="57"/>
      <c r="AC364" s="57"/>
      <c r="AD364" s="57"/>
      <c r="AE364" s="58" t="s">
        <v>1251</v>
      </c>
      <c r="AF364" s="57"/>
      <c r="AG364" s="71">
        <f>(0.03*0.925+0.02*0.925)*1.27</f>
        <v>5.8737499999999998E-2</v>
      </c>
      <c r="AH364" s="63">
        <f>(2/0.75/2)*1.26</f>
        <v>1.68</v>
      </c>
      <c r="AI364" s="63"/>
      <c r="AJ364" s="58">
        <v>9530</v>
      </c>
      <c r="AK364" s="57"/>
      <c r="AL364" s="58">
        <v>2E-3</v>
      </c>
      <c r="AM364" s="52" t="s">
        <v>958</v>
      </c>
      <c r="AN364" s="58">
        <v>1270</v>
      </c>
      <c r="AO364" s="52" t="s">
        <v>959</v>
      </c>
      <c r="AP364" s="59">
        <f>IFERROR(VLOOKUP($A364,[2]Mssp!$A$5:$BE$1463,AP$4+1,0),0)</f>
        <v>0</v>
      </c>
      <c r="AQ364" s="59">
        <f>IFERROR(VLOOKUP($A364,[2]Mssp!$A$5:$BE$1463,AQ$4+1,0),0)</f>
        <v>0</v>
      </c>
      <c r="AR364" s="59">
        <f>IFERROR(VLOOKUP($A364,[2]Mssp!$A$5:$BE$1463,AR$4+1,0),0)</f>
        <v>0</v>
      </c>
      <c r="AS364" s="59">
        <f>IFERROR(VLOOKUP($A364,[2]Mssp!$A$5:$BE$1463,AS$4+1,0),0)</f>
        <v>0</v>
      </c>
      <c r="AT364" s="59">
        <f>IFERROR(VLOOKUP($A364,[2]Mssp!$A$5:$BE$1463,AT$4+1,0),0)</f>
        <v>0</v>
      </c>
      <c r="AU364" s="59">
        <f>IFERROR(VLOOKUP($A364,[2]Mssp!$A$5:$BE$1463,AU$4+1,0),0)</f>
        <v>0</v>
      </c>
      <c r="AV364" s="59">
        <f>IFERROR(VLOOKUP($A364,[2]Mssp!$A$5:$BE$1463,AV$4+1,0),0)</f>
        <v>0</v>
      </c>
      <c r="AW364" s="59">
        <f>IFERROR(VLOOKUP($A364,[2]Mssp!$A$5:$BE$1463,AW$4+1,0),0)</f>
        <v>0</v>
      </c>
      <c r="AX364" s="59">
        <f>IFERROR(VLOOKUP($A364,[2]Mssp!$A$5:$BE$1463,AX$4+1,0),0)</f>
        <v>0</v>
      </c>
      <c r="AY364" s="59">
        <f>IFERROR(VLOOKUP($A364,[2]Mssp!$A$5:$BE$1463,AY$4+2,0),0)</f>
        <v>0</v>
      </c>
      <c r="AZ364" s="59">
        <f>IFERROR(VLOOKUP($A364,[2]Mssp!$A$5:$BE$1463,AZ$4+2,0),0)</f>
        <v>0</v>
      </c>
      <c r="BA364" s="60" t="s">
        <v>106</v>
      </c>
      <c r="BB364" s="61" t="s">
        <v>107</v>
      </c>
      <c r="BC364" s="62"/>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9"/>
      <c r="CK364" s="9"/>
      <c r="CL364" s="9"/>
      <c r="CM364" s="9"/>
      <c r="CN364" s="9"/>
      <c r="CO364" s="9"/>
      <c r="CP364" s="9"/>
    </row>
    <row r="365" spans="1:94" ht="45" x14ac:dyDescent="0.25">
      <c r="A365" s="50" t="s">
        <v>1252</v>
      </c>
      <c r="B365" s="73" t="s">
        <v>1253</v>
      </c>
      <c r="C365" s="50">
        <f t="shared" si="13"/>
        <v>0.75</v>
      </c>
      <c r="D365" s="58">
        <v>1</v>
      </c>
      <c r="E365" s="58" t="s">
        <v>1013</v>
      </c>
      <c r="F365" s="58">
        <v>2</v>
      </c>
      <c r="G365" s="50" t="s">
        <v>184</v>
      </c>
      <c r="H365" s="50">
        <f>VLOOKUP($A365,'[1]ma sp 02'!$A$5:$BD$1101,H$1,0)</f>
        <v>0.04</v>
      </c>
      <c r="I365" s="50">
        <f>VLOOKUP($A365,'[1]ma sp 02'!$A$5:$BD$1101,I$1,0)</f>
        <v>0.16</v>
      </c>
      <c r="J365" s="50">
        <f>VLOOKUP($A365,'[1]ma sp 02'!$A$5:$BD$1101,J$1,0)</f>
        <v>0.03</v>
      </c>
      <c r="K365" s="50">
        <f>VLOOKUP($A365,'[1]ma sp 02'!$A$5:$BD$1101,K$1,0)</f>
        <v>0.02</v>
      </c>
      <c r="L365" s="50">
        <f>VLOOKUP($A365,'[1]ma sp 02'!$A$5:$BD$1101,L$1,0)</f>
        <v>0.15</v>
      </c>
      <c r="M365" s="50">
        <f>VLOOKUP($A365,'[1]ma sp 02'!$A$5:$BD$1101,M$1,0)</f>
        <v>0.32</v>
      </c>
      <c r="N365" s="50">
        <f>VLOOKUP($A365,'[1]ma sp 02'!$A$5:$BD$1101,N$1,0)</f>
        <v>0</v>
      </c>
      <c r="O365" s="50">
        <f>VLOOKUP($A365,'[1]ma sp 02'!$A$5:$BD$1101,O$1,0)</f>
        <v>0</v>
      </c>
      <c r="P365" s="50">
        <f>VLOOKUP($A365,'[1]ma sp 02'!$A$5:$BD$1101,P$1,0)</f>
        <v>0.01</v>
      </c>
      <c r="Q365" s="50">
        <f>VLOOKUP($A365,'[1]ma sp 02'!$A$5:$BD$1101,Q$1,0)</f>
        <v>0</v>
      </c>
      <c r="R365" s="50">
        <f>VLOOKUP($A365,'[1]ma sp 02'!$A$5:$BD$1101,R$1,0)</f>
        <v>0.02</v>
      </c>
      <c r="S365" s="50">
        <f>VLOOKUP($A365,'[1]ma sp 02'!$A$5:$BD$1101,S$1,0)</f>
        <v>0</v>
      </c>
      <c r="T365" s="50">
        <f>VLOOKUP($A365,'[1]ma sp 02'!$A$5:$BD$1101,T$1,0)</f>
        <v>0</v>
      </c>
      <c r="U365" s="50">
        <f>VLOOKUP($A365,'[1]ma sp 02'!$A$5:$BD$1101,U$1,0)</f>
        <v>0</v>
      </c>
      <c r="V365" s="50">
        <f>VLOOKUP($A365,'[1]ma sp 02'!$A$5:$BD$1101,V$1,0)</f>
        <v>0</v>
      </c>
      <c r="W365" s="50">
        <f>VLOOKUP($A365,'[1]ma sp 02'!$A$5:$BD$1101,W$1,0)</f>
        <v>0</v>
      </c>
      <c r="X365" s="50">
        <f t="shared" si="12"/>
        <v>8</v>
      </c>
      <c r="Y365" s="57"/>
      <c r="Z365" s="57"/>
      <c r="AA365" s="57"/>
      <c r="AB365" s="57"/>
      <c r="AC365" s="57"/>
      <c r="AD365" s="57"/>
      <c r="AE365" s="58" t="s">
        <v>1014</v>
      </c>
      <c r="AF365" s="57"/>
      <c r="AG365" s="71">
        <f>(0.03*0.925+0.02*0.925)*1.27</f>
        <v>5.8737499999999998E-2</v>
      </c>
      <c r="AH365" s="63">
        <f>(2/0.75/2)*1.26</f>
        <v>1.68</v>
      </c>
      <c r="AI365" s="63"/>
      <c r="AJ365" s="58">
        <v>9530</v>
      </c>
      <c r="AK365" s="57"/>
      <c r="AL365" s="58">
        <v>2E-3</v>
      </c>
      <c r="AM365" s="52" t="s">
        <v>958</v>
      </c>
      <c r="AN365" s="58">
        <v>1270</v>
      </c>
      <c r="AO365" s="52" t="s">
        <v>959</v>
      </c>
      <c r="AP365" s="59">
        <f>IFERROR(VLOOKUP($A365,[2]Mssp!$A$5:$BE$1463,AP$4+1,0),0)</f>
        <v>0</v>
      </c>
      <c r="AQ365" s="59">
        <f>IFERROR(VLOOKUP($A365,[2]Mssp!$A$5:$BE$1463,AQ$4+1,0),0)</f>
        <v>0</v>
      </c>
      <c r="AR365" s="59">
        <f>IFERROR(VLOOKUP($A365,[2]Mssp!$A$5:$BE$1463,AR$4+1,0),0)</f>
        <v>0</v>
      </c>
      <c r="AS365" s="59">
        <f>IFERROR(VLOOKUP($A365,[2]Mssp!$A$5:$BE$1463,AS$4+1,0),0)</f>
        <v>0</v>
      </c>
      <c r="AT365" s="59">
        <f>IFERROR(VLOOKUP($A365,[2]Mssp!$A$5:$BE$1463,AT$4+1,0),0)</f>
        <v>0</v>
      </c>
      <c r="AU365" s="59">
        <f>IFERROR(VLOOKUP($A365,[2]Mssp!$A$5:$BE$1463,AU$4+1,0),0)</f>
        <v>0</v>
      </c>
      <c r="AV365" s="59">
        <f>IFERROR(VLOOKUP($A365,[2]Mssp!$A$5:$BE$1463,AV$4+1,0),0)</f>
        <v>0</v>
      </c>
      <c r="AW365" s="59">
        <f>IFERROR(VLOOKUP($A365,[2]Mssp!$A$5:$BE$1463,AW$4+1,0),0)</f>
        <v>0</v>
      </c>
      <c r="AX365" s="59">
        <f>IFERROR(VLOOKUP($A365,[2]Mssp!$A$5:$BE$1463,AX$4+1,0),0)</f>
        <v>0</v>
      </c>
      <c r="AY365" s="59">
        <f>IFERROR(VLOOKUP($A365,[2]Mssp!$A$5:$BE$1463,AY$4+2,0),0)</f>
        <v>0</v>
      </c>
      <c r="AZ365" s="59">
        <f>IFERROR(VLOOKUP($A365,[2]Mssp!$A$5:$BE$1463,AZ$4+2,0),0)</f>
        <v>0</v>
      </c>
      <c r="BA365" s="60" t="s">
        <v>106</v>
      </c>
      <c r="BB365" s="61" t="s">
        <v>107</v>
      </c>
      <c r="BC365" s="62"/>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9"/>
      <c r="CK365" s="9"/>
      <c r="CL365" s="9"/>
      <c r="CM365" s="9"/>
      <c r="CN365" s="9"/>
      <c r="CO365" s="9"/>
      <c r="CP365" s="9"/>
    </row>
    <row r="366" spans="1:94" ht="45" x14ac:dyDescent="0.25">
      <c r="A366" s="50" t="s">
        <v>1254</v>
      </c>
      <c r="B366" s="73" t="s">
        <v>1255</v>
      </c>
      <c r="C366" s="50">
        <f t="shared" si="13"/>
        <v>3.7199999999999998</v>
      </c>
      <c r="D366" s="58">
        <v>3</v>
      </c>
      <c r="E366" s="58" t="s">
        <v>113</v>
      </c>
      <c r="F366" s="58">
        <v>2</v>
      </c>
      <c r="G366" s="50" t="s">
        <v>530</v>
      </c>
      <c r="H366" s="50">
        <f>VLOOKUP($A366,'[1]ma sp 02'!$A$5:$BD$1101,H$1,0)</f>
        <v>0.09</v>
      </c>
      <c r="I366" s="50">
        <f>VLOOKUP($A366,'[1]ma sp 02'!$A$5:$BD$1101,I$1,0)</f>
        <v>0.02</v>
      </c>
      <c r="J366" s="50">
        <f>VLOOKUP($A366,'[1]ma sp 02'!$A$5:$BD$1101,J$1,0)</f>
        <v>0.08</v>
      </c>
      <c r="K366" s="50">
        <f>VLOOKUP($A366,'[1]ma sp 02'!$A$5:$BD$1101,K$1,0)</f>
        <v>0.09</v>
      </c>
      <c r="L366" s="50">
        <f>VLOOKUP($A366,'[1]ma sp 02'!$A$5:$BD$1101,L$1,0)</f>
        <v>0.43</v>
      </c>
      <c r="M366" s="50">
        <f>VLOOKUP($A366,'[1]ma sp 02'!$A$5:$BD$1101,M$1,0)</f>
        <v>0</v>
      </c>
      <c r="N366" s="50">
        <f>VLOOKUP($A366,'[1]ma sp 02'!$A$5:$BD$1101,N$1,0)</f>
        <v>2.76</v>
      </c>
      <c r="O366" s="50">
        <f>VLOOKUP($A366,'[1]ma sp 02'!$A$5:$BD$1101,O$1,0)</f>
        <v>0.14000000000000001</v>
      </c>
      <c r="P366" s="50">
        <f>VLOOKUP($A366,'[1]ma sp 02'!$A$5:$BD$1101,P$1,0)</f>
        <v>0.11</v>
      </c>
      <c r="Q366" s="50">
        <f>VLOOKUP($A366,'[1]ma sp 02'!$A$5:$BD$1101,Q$1,0)</f>
        <v>0</v>
      </c>
      <c r="R366" s="50">
        <f>VLOOKUP($A366,'[1]ma sp 02'!$A$5:$BD$1101,R$1,0)</f>
        <v>0</v>
      </c>
      <c r="S366" s="50">
        <f>VLOOKUP($A366,'[1]ma sp 02'!$A$5:$BD$1101,S$1,0)</f>
        <v>0</v>
      </c>
      <c r="T366" s="50">
        <f>VLOOKUP($A366,'[1]ma sp 02'!$A$5:$BD$1101,T$1,0)</f>
        <v>0</v>
      </c>
      <c r="U366" s="50">
        <f>VLOOKUP($A366,'[1]ma sp 02'!$A$5:$BD$1101,U$1,0)</f>
        <v>0</v>
      </c>
      <c r="V366" s="50">
        <f>VLOOKUP($A366,'[1]ma sp 02'!$A$5:$BD$1101,V$1,0)</f>
        <v>0</v>
      </c>
      <c r="W366" s="50">
        <f>VLOOKUP($A366,'[1]ma sp 02'!$A$5:$BD$1101,W$1,0)</f>
        <v>0</v>
      </c>
      <c r="X366" s="50">
        <f t="shared" si="12"/>
        <v>8</v>
      </c>
      <c r="Y366" s="57"/>
      <c r="Z366" s="57"/>
      <c r="AA366" s="57"/>
      <c r="AB366" s="57"/>
      <c r="AC366" s="57"/>
      <c r="AD366" s="57"/>
      <c r="AE366" s="58" t="s">
        <v>115</v>
      </c>
      <c r="AF366" s="58" t="s">
        <v>321</v>
      </c>
      <c r="AG366" s="71">
        <f>(0.012*1.4+0.012*1.4+0.075*0.925)*0.74</f>
        <v>7.6201500000000005E-2</v>
      </c>
      <c r="AH366" s="63">
        <f>(2.3/0.75/2)*0.73</f>
        <v>1.1193333333333333</v>
      </c>
      <c r="AI366" s="63">
        <f>(3/0.75/2)*0.73</f>
        <v>1.46</v>
      </c>
      <c r="AJ366" s="58">
        <v>9530</v>
      </c>
      <c r="AK366" s="58">
        <v>9530</v>
      </c>
      <c r="AL366" s="58" t="s">
        <v>117</v>
      </c>
      <c r="AM366" s="52" t="s">
        <v>60</v>
      </c>
      <c r="AN366" s="58">
        <v>270</v>
      </c>
      <c r="AO366" s="52" t="s">
        <v>118</v>
      </c>
      <c r="AP366" s="59" t="str">
        <f>IFERROR(VLOOKUP($A366,[2]Mssp!$A$5:$BE$1463,AP$4+1,0),0)</f>
        <v>1803222-1</v>
      </c>
      <c r="AQ366" s="59" t="str">
        <f>IFERROR(VLOOKUP($A366,[2]Mssp!$A$5:$BE$1463,AQ$4+1,0),0)</f>
        <v>1803222-2</v>
      </c>
      <c r="AR366" s="59">
        <f>IFERROR(VLOOKUP($A366,[2]Mssp!$A$5:$BE$1463,AR$4+1,0),0)</f>
        <v>0</v>
      </c>
      <c r="AS366" s="59">
        <f>IFERROR(VLOOKUP($A366,[2]Mssp!$A$5:$BE$1463,AS$4+1,0),0)</f>
        <v>0</v>
      </c>
      <c r="AT366" s="59">
        <f>IFERROR(VLOOKUP($A366,[2]Mssp!$A$5:$BE$1463,AT$4+1,0),0)</f>
        <v>0</v>
      </c>
      <c r="AU366" s="59">
        <f>IFERROR(VLOOKUP($A366,[2]Mssp!$A$5:$BE$1463,AU$4+1,0),0)</f>
        <v>0</v>
      </c>
      <c r="AV366" s="59">
        <f>IFERROR(VLOOKUP($A366,[2]Mssp!$A$5:$BE$1463,AV$4+1,0),0)</f>
        <v>0</v>
      </c>
      <c r="AW366" s="59">
        <f>IFERROR(VLOOKUP($A366,[2]Mssp!$A$5:$BE$1463,AW$4+1,0),0)</f>
        <v>0</v>
      </c>
      <c r="AX366" s="59">
        <f>IFERROR(VLOOKUP($A366,[2]Mssp!$A$5:$BE$1463,AX$4+1,0),0)</f>
        <v>0</v>
      </c>
      <c r="AY366" s="59" t="str">
        <f>IFERROR(VLOOKUP($A366,[2]Mssp!$A$5:$BE$1463,AY$4+2,0),0)</f>
        <v>540x850</v>
      </c>
      <c r="AZ366" s="59" t="str">
        <f>IFERROR(VLOOKUP($A366,[2]Mssp!$A$5:$BE$1463,AZ$4+2,0),0)</f>
        <v>F2</v>
      </c>
      <c r="BA366" s="60">
        <v>3500</v>
      </c>
      <c r="BB366" s="61" t="s">
        <v>62</v>
      </c>
      <c r="BC366" s="62"/>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c r="CK366" s="9"/>
      <c r="CL366" s="9"/>
      <c r="CM366" s="9"/>
      <c r="CN366" s="9"/>
      <c r="CO366" s="9"/>
      <c r="CP366" s="9"/>
    </row>
    <row r="367" spans="1:94" ht="45" x14ac:dyDescent="0.25">
      <c r="A367" s="50" t="s">
        <v>1256</v>
      </c>
      <c r="B367" s="73" t="s">
        <v>1257</v>
      </c>
      <c r="C367" s="50">
        <f t="shared" si="13"/>
        <v>4.62</v>
      </c>
      <c r="D367" s="58">
        <v>2</v>
      </c>
      <c r="E367" s="58" t="s">
        <v>131</v>
      </c>
      <c r="F367" s="58">
        <v>2</v>
      </c>
      <c r="G367" s="50" t="s">
        <v>530</v>
      </c>
      <c r="H367" s="50">
        <f>VLOOKUP($A367,'[1]ma sp 02'!$A$5:$BD$1101,H$1,0)</f>
        <v>0</v>
      </c>
      <c r="I367" s="50">
        <f>VLOOKUP($A367,'[1]ma sp 02'!$A$5:$BD$1101,I$1,0)</f>
        <v>0</v>
      </c>
      <c r="J367" s="50">
        <f>VLOOKUP($A367,'[1]ma sp 02'!$A$5:$BD$1101,J$1,0)</f>
        <v>7.0000000000000007E-2</v>
      </c>
      <c r="K367" s="50">
        <f>VLOOKUP($A367,'[1]ma sp 02'!$A$5:$BD$1101,K$1,0)</f>
        <v>0</v>
      </c>
      <c r="L367" s="50">
        <f>VLOOKUP($A367,'[1]ma sp 02'!$A$5:$BD$1101,L$1,0)</f>
        <v>0</v>
      </c>
      <c r="M367" s="50">
        <f>VLOOKUP($A367,'[1]ma sp 02'!$A$5:$BD$1101,M$1,0)</f>
        <v>0</v>
      </c>
      <c r="N367" s="50">
        <f>VLOOKUP($A367,'[1]ma sp 02'!$A$5:$BD$1101,N$1,0)</f>
        <v>4.22</v>
      </c>
      <c r="O367" s="50">
        <f>VLOOKUP($A367,'[1]ma sp 02'!$A$5:$BD$1101,O$1,0)</f>
        <v>0.33</v>
      </c>
      <c r="P367" s="50">
        <f>VLOOKUP($A367,'[1]ma sp 02'!$A$5:$BD$1101,P$1,0)</f>
        <v>0</v>
      </c>
      <c r="Q367" s="50">
        <f>VLOOKUP($A367,'[1]ma sp 02'!$A$5:$BD$1101,Q$1,0)</f>
        <v>0</v>
      </c>
      <c r="R367" s="50">
        <f>VLOOKUP($A367,'[1]ma sp 02'!$A$5:$BD$1101,R$1,0)</f>
        <v>0</v>
      </c>
      <c r="S367" s="50">
        <f>VLOOKUP($A367,'[1]ma sp 02'!$A$5:$BD$1101,S$1,0)</f>
        <v>0</v>
      </c>
      <c r="T367" s="50">
        <f>VLOOKUP($A367,'[1]ma sp 02'!$A$5:$BD$1101,T$1,0)</f>
        <v>0</v>
      </c>
      <c r="U367" s="50">
        <f>VLOOKUP($A367,'[1]ma sp 02'!$A$5:$BD$1101,U$1,0)</f>
        <v>0</v>
      </c>
      <c r="V367" s="50">
        <f>VLOOKUP($A367,'[1]ma sp 02'!$A$5:$BD$1101,V$1,0)</f>
        <v>0</v>
      </c>
      <c r="W367" s="50">
        <f>VLOOKUP($A367,'[1]ma sp 02'!$A$5:$BD$1101,W$1,0)</f>
        <v>0</v>
      </c>
      <c r="X367" s="50">
        <f t="shared" si="12"/>
        <v>3</v>
      </c>
      <c r="Y367" s="57"/>
      <c r="Z367" s="57"/>
      <c r="AA367" s="57"/>
      <c r="AB367" s="57"/>
      <c r="AC367" s="57"/>
      <c r="AD367" s="57"/>
      <c r="AE367" s="58" t="s">
        <v>78</v>
      </c>
      <c r="AF367" s="58" t="s">
        <v>324</v>
      </c>
      <c r="AG367" s="71">
        <f>(0.012*1.4+0.012*1.4+0.075*0.925)*0.62</f>
        <v>6.3844500000000012E-2</v>
      </c>
      <c r="AH367" s="63">
        <f>(2.3/0.75/2)*0.61</f>
        <v>0.93533333333333324</v>
      </c>
      <c r="AI367" s="63">
        <f>(3/0.75/2)*0.61</f>
        <v>1.22</v>
      </c>
      <c r="AJ367" s="58">
        <v>9530</v>
      </c>
      <c r="AK367" s="58">
        <v>9530</v>
      </c>
      <c r="AL367" s="58" t="s">
        <v>117</v>
      </c>
      <c r="AM367" s="52" t="s">
        <v>60</v>
      </c>
      <c r="AN367" s="58">
        <v>340</v>
      </c>
      <c r="AO367" s="52" t="s">
        <v>118</v>
      </c>
      <c r="AP367" s="59" t="str">
        <f>IFERROR(VLOOKUP($A367,[2]Mssp!$A$5:$BE$1463,AP$4+1,0),0)</f>
        <v>1803223-1</v>
      </c>
      <c r="AQ367" s="59" t="str">
        <f>IFERROR(VLOOKUP($A367,[2]Mssp!$A$5:$BE$1463,AQ$4+1,0),0)</f>
        <v>1803223-2</v>
      </c>
      <c r="AR367" s="59">
        <f>IFERROR(VLOOKUP($A367,[2]Mssp!$A$5:$BE$1463,AR$4+1,0),0)</f>
        <v>0</v>
      </c>
      <c r="AS367" s="59">
        <f>IFERROR(VLOOKUP($A367,[2]Mssp!$A$5:$BE$1463,AS$4+1,0),0)</f>
        <v>0</v>
      </c>
      <c r="AT367" s="59">
        <f>IFERROR(VLOOKUP($A367,[2]Mssp!$A$5:$BE$1463,AT$4+1,0),0)</f>
        <v>0</v>
      </c>
      <c r="AU367" s="59">
        <f>IFERROR(VLOOKUP($A367,[2]Mssp!$A$5:$BE$1463,AU$4+1,0),0)</f>
        <v>0</v>
      </c>
      <c r="AV367" s="59">
        <f>IFERROR(VLOOKUP($A367,[2]Mssp!$A$5:$BE$1463,AV$4+1,0),0)</f>
        <v>0</v>
      </c>
      <c r="AW367" s="59">
        <f>IFERROR(VLOOKUP($A367,[2]Mssp!$A$5:$BE$1463,AW$4+1,0),0)</f>
        <v>0</v>
      </c>
      <c r="AX367" s="59">
        <f>IFERROR(VLOOKUP($A367,[2]Mssp!$A$5:$BE$1463,AX$4+1,0),0)</f>
        <v>0</v>
      </c>
      <c r="AY367" s="59" t="str">
        <f>IFERROR(VLOOKUP($A367,[2]Mssp!$A$5:$BE$1463,AY$4+2,0),0)</f>
        <v>420x850</v>
      </c>
      <c r="AZ367" s="59" t="str">
        <f>IFERROR(VLOOKUP($A367,[2]Mssp!$A$5:$BE$1463,AZ$4+2,0),0)</f>
        <v>F3</v>
      </c>
      <c r="BA367" s="60">
        <v>2500</v>
      </c>
      <c r="BB367" s="61" t="s">
        <v>62</v>
      </c>
      <c r="BC367" s="62"/>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9"/>
      <c r="CK367" s="9"/>
      <c r="CL367" s="9"/>
      <c r="CM367" s="9"/>
      <c r="CN367" s="9"/>
      <c r="CO367" s="9"/>
      <c r="CP367" s="9"/>
    </row>
    <row r="368" spans="1:94" ht="75" x14ac:dyDescent="0.25">
      <c r="A368" s="50" t="s">
        <v>1258</v>
      </c>
      <c r="B368" s="73" t="s">
        <v>1259</v>
      </c>
      <c r="C368" s="50">
        <f t="shared" si="13"/>
        <v>4.13</v>
      </c>
      <c r="D368" s="58">
        <v>2</v>
      </c>
      <c r="E368" s="58" t="s">
        <v>484</v>
      </c>
      <c r="F368" s="58">
        <v>2</v>
      </c>
      <c r="G368" s="50" t="s">
        <v>530</v>
      </c>
      <c r="H368" s="50">
        <f>VLOOKUP($A368,'[1]ma sp 02'!$A$5:$BD$1101,H$1,0)</f>
        <v>0.12</v>
      </c>
      <c r="I368" s="50">
        <f>VLOOKUP($A368,'[1]ma sp 02'!$A$5:$BD$1101,I$1,0)</f>
        <v>0</v>
      </c>
      <c r="J368" s="50">
        <f>VLOOKUP($A368,'[1]ma sp 02'!$A$5:$BD$1101,J$1,0)</f>
        <v>0.17</v>
      </c>
      <c r="K368" s="50">
        <f>VLOOKUP($A368,'[1]ma sp 02'!$A$5:$BD$1101,K$1,0)</f>
        <v>0</v>
      </c>
      <c r="L368" s="50">
        <f>VLOOKUP($A368,'[1]ma sp 02'!$A$5:$BD$1101,L$1,0)</f>
        <v>0</v>
      </c>
      <c r="M368" s="50">
        <f>VLOOKUP($A368,'[1]ma sp 02'!$A$5:$BD$1101,M$1,0)</f>
        <v>0</v>
      </c>
      <c r="N368" s="50">
        <f>VLOOKUP($A368,'[1]ma sp 02'!$A$5:$BD$1101,N$1,0)</f>
        <v>3.7</v>
      </c>
      <c r="O368" s="50">
        <f>VLOOKUP($A368,'[1]ma sp 02'!$A$5:$BD$1101,O$1,0)</f>
        <v>0.14000000000000001</v>
      </c>
      <c r="P368" s="50">
        <f>VLOOKUP($A368,'[1]ma sp 02'!$A$5:$BD$1101,P$1,0)</f>
        <v>0</v>
      </c>
      <c r="Q368" s="50">
        <f>VLOOKUP($A368,'[1]ma sp 02'!$A$5:$BD$1101,Q$1,0)</f>
        <v>0</v>
      </c>
      <c r="R368" s="50">
        <f>VLOOKUP($A368,'[1]ma sp 02'!$A$5:$BD$1101,R$1,0)</f>
        <v>0</v>
      </c>
      <c r="S368" s="50">
        <f>VLOOKUP($A368,'[1]ma sp 02'!$A$5:$BD$1101,S$1,0)</f>
        <v>0</v>
      </c>
      <c r="T368" s="50">
        <f>VLOOKUP($A368,'[1]ma sp 02'!$A$5:$BD$1101,T$1,0)</f>
        <v>0</v>
      </c>
      <c r="U368" s="50">
        <f>VLOOKUP($A368,'[1]ma sp 02'!$A$5:$BD$1101,U$1,0)</f>
        <v>0</v>
      </c>
      <c r="V368" s="50">
        <f>VLOOKUP($A368,'[1]ma sp 02'!$A$5:$BD$1101,V$1,0)</f>
        <v>0</v>
      </c>
      <c r="W368" s="50">
        <f>VLOOKUP($A368,'[1]ma sp 02'!$A$5:$BD$1101,W$1,0)</f>
        <v>0</v>
      </c>
      <c r="X368" s="50">
        <f t="shared" si="12"/>
        <v>4</v>
      </c>
      <c r="Y368" s="57"/>
      <c r="Z368" s="57"/>
      <c r="AA368" s="57"/>
      <c r="AB368" s="57"/>
      <c r="AC368" s="57"/>
      <c r="AD368" s="57"/>
      <c r="AE368" s="58" t="s">
        <v>485</v>
      </c>
      <c r="AF368" s="52" t="s">
        <v>486</v>
      </c>
      <c r="AG368" s="71">
        <f>(0.012*1.4+0.012*1.4+0.075*0.925)*0.76</f>
        <v>7.8261000000000011E-2</v>
      </c>
      <c r="AH368" s="63">
        <f>(2.3/0.75/2)*0.75</f>
        <v>1.1499999999999999</v>
      </c>
      <c r="AI368" s="63">
        <f>(3/0.75/2)*0.75</f>
        <v>1.5</v>
      </c>
      <c r="AJ368" s="58">
        <v>9530</v>
      </c>
      <c r="AK368" s="58">
        <v>9530</v>
      </c>
      <c r="AL368" s="58" t="s">
        <v>117</v>
      </c>
      <c r="AM368" s="52" t="s">
        <v>60</v>
      </c>
      <c r="AN368" s="58">
        <v>420</v>
      </c>
      <c r="AO368" s="52" t="s">
        <v>118</v>
      </c>
      <c r="AP368" s="59" t="str">
        <f>IFERROR(VLOOKUP($A368,[2]Mssp!$A$5:$BE$1463,AP$4+1,0),0)</f>
        <v>1803220-1</v>
      </c>
      <c r="AQ368" s="59" t="str">
        <f>IFERROR(VLOOKUP($A368,[2]Mssp!$A$5:$BE$1463,AQ$4+1,0),0)</f>
        <v>1803220-2</v>
      </c>
      <c r="AR368" s="59">
        <f>IFERROR(VLOOKUP($A368,[2]Mssp!$A$5:$BE$1463,AR$4+1,0),0)</f>
        <v>0</v>
      </c>
      <c r="AS368" s="59">
        <f>IFERROR(VLOOKUP($A368,[2]Mssp!$A$5:$BE$1463,AS$4+1,0),0)</f>
        <v>0</v>
      </c>
      <c r="AT368" s="59">
        <f>IFERROR(VLOOKUP($A368,[2]Mssp!$A$5:$BE$1463,AT$4+1,0),0)</f>
        <v>0</v>
      </c>
      <c r="AU368" s="59">
        <f>IFERROR(VLOOKUP($A368,[2]Mssp!$A$5:$BE$1463,AU$4+1,0),0)</f>
        <v>0</v>
      </c>
      <c r="AV368" s="59">
        <f>IFERROR(VLOOKUP($A368,[2]Mssp!$A$5:$BE$1463,AV$4+1,0),0)</f>
        <v>0</v>
      </c>
      <c r="AW368" s="59">
        <f>IFERROR(VLOOKUP($A368,[2]Mssp!$A$5:$BE$1463,AW$4+1,0),0)</f>
        <v>0</v>
      </c>
      <c r="AX368" s="59">
        <f>IFERROR(VLOOKUP($A368,[2]Mssp!$A$5:$BE$1463,AX$4+1,0),0)</f>
        <v>0</v>
      </c>
      <c r="AY368" s="59" t="str">
        <f>IFERROR(VLOOKUP($A368,[2]Mssp!$A$5:$BE$1463,AY$4+2,0),0)</f>
        <v>420x850</v>
      </c>
      <c r="AZ368" s="59" t="str">
        <f>IFERROR(VLOOKUP($A368,[2]Mssp!$A$5:$BE$1463,AZ$4+2,0),0)</f>
        <v>F3</v>
      </c>
      <c r="BA368" s="60">
        <v>1500</v>
      </c>
      <c r="BB368" s="61" t="s">
        <v>119</v>
      </c>
      <c r="BC368" s="62"/>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c r="CK368" s="9"/>
      <c r="CL368" s="9"/>
      <c r="CM368" s="9"/>
      <c r="CN368" s="9"/>
      <c r="CO368" s="9"/>
      <c r="CP368" s="9"/>
    </row>
    <row r="369" spans="1:94" ht="75" x14ac:dyDescent="0.25">
      <c r="A369" s="50" t="s">
        <v>1260</v>
      </c>
      <c r="B369" s="73" t="s">
        <v>1261</v>
      </c>
      <c r="C369" s="50">
        <f t="shared" si="13"/>
        <v>4.91</v>
      </c>
      <c r="D369" s="58">
        <v>2</v>
      </c>
      <c r="E369" s="58" t="s">
        <v>484</v>
      </c>
      <c r="F369" s="58">
        <v>2</v>
      </c>
      <c r="G369" s="50" t="s">
        <v>530</v>
      </c>
      <c r="H369" s="50">
        <f>VLOOKUP($A369,'[1]ma sp 02'!$A$5:$BD$1101,H$1,0)</f>
        <v>0</v>
      </c>
      <c r="I369" s="50">
        <f>VLOOKUP($A369,'[1]ma sp 02'!$A$5:$BD$1101,I$1,0)</f>
        <v>0</v>
      </c>
      <c r="J369" s="50">
        <f>VLOOKUP($A369,'[1]ma sp 02'!$A$5:$BD$1101,J$1,0)</f>
        <v>0.28000000000000003</v>
      </c>
      <c r="K369" s="50">
        <f>VLOOKUP($A369,'[1]ma sp 02'!$A$5:$BD$1101,K$1,0)</f>
        <v>0</v>
      </c>
      <c r="L369" s="50">
        <f>VLOOKUP($A369,'[1]ma sp 02'!$A$5:$BD$1101,L$1,0)</f>
        <v>0</v>
      </c>
      <c r="M369" s="50">
        <f>VLOOKUP($A369,'[1]ma sp 02'!$A$5:$BD$1101,M$1,0)</f>
        <v>0</v>
      </c>
      <c r="N369" s="50">
        <f>VLOOKUP($A369,'[1]ma sp 02'!$A$5:$BD$1101,N$1,0)</f>
        <v>4.54</v>
      </c>
      <c r="O369" s="50">
        <f>VLOOKUP($A369,'[1]ma sp 02'!$A$5:$BD$1101,O$1,0)</f>
        <v>0.09</v>
      </c>
      <c r="P369" s="50">
        <f>VLOOKUP($A369,'[1]ma sp 02'!$A$5:$BD$1101,P$1,0)</f>
        <v>0</v>
      </c>
      <c r="Q369" s="50">
        <f>VLOOKUP($A369,'[1]ma sp 02'!$A$5:$BD$1101,Q$1,0)</f>
        <v>0</v>
      </c>
      <c r="R369" s="50">
        <f>VLOOKUP($A369,'[1]ma sp 02'!$A$5:$BD$1101,R$1,0)</f>
        <v>0</v>
      </c>
      <c r="S369" s="50">
        <f>VLOOKUP($A369,'[1]ma sp 02'!$A$5:$BD$1101,S$1,0)</f>
        <v>0</v>
      </c>
      <c r="T369" s="50">
        <f>VLOOKUP($A369,'[1]ma sp 02'!$A$5:$BD$1101,T$1,0)</f>
        <v>0</v>
      </c>
      <c r="U369" s="50">
        <f>VLOOKUP($A369,'[1]ma sp 02'!$A$5:$BD$1101,U$1,0)</f>
        <v>0</v>
      </c>
      <c r="V369" s="50">
        <f>VLOOKUP($A369,'[1]ma sp 02'!$A$5:$BD$1101,V$1,0)</f>
        <v>0</v>
      </c>
      <c r="W369" s="50">
        <f>VLOOKUP($A369,'[1]ma sp 02'!$A$5:$BD$1101,W$1,0)</f>
        <v>0</v>
      </c>
      <c r="X369" s="50">
        <f t="shared" si="12"/>
        <v>3</v>
      </c>
      <c r="Y369" s="57"/>
      <c r="Z369" s="57"/>
      <c r="AA369" s="57"/>
      <c r="AB369" s="57"/>
      <c r="AC369" s="57"/>
      <c r="AD369" s="57"/>
      <c r="AE369" s="58" t="s">
        <v>485</v>
      </c>
      <c r="AF369" s="52" t="s">
        <v>486</v>
      </c>
      <c r="AG369" s="71">
        <f>(0.012*1.4+0.012*1.4+0.075*0.925)*0.76</f>
        <v>7.8261000000000011E-2</v>
      </c>
      <c r="AH369" s="63">
        <f>(2.3/0.75/2)*0.75</f>
        <v>1.1499999999999999</v>
      </c>
      <c r="AI369" s="63">
        <f>(3/0.75/2)*0.75</f>
        <v>1.5</v>
      </c>
      <c r="AJ369" s="58">
        <v>9530</v>
      </c>
      <c r="AK369" s="58">
        <v>9530</v>
      </c>
      <c r="AL369" s="58" t="s">
        <v>117</v>
      </c>
      <c r="AM369" s="52" t="s">
        <v>60</v>
      </c>
      <c r="AN369" s="58">
        <v>420</v>
      </c>
      <c r="AO369" s="52" t="s">
        <v>118</v>
      </c>
      <c r="AP369" s="59" t="str">
        <f>IFERROR(VLOOKUP($A369,[2]Mssp!$A$5:$BE$1463,AP$4+1,0),0)</f>
        <v>18030221-1</v>
      </c>
      <c r="AQ369" s="59" t="str">
        <f>IFERROR(VLOOKUP($A369,[2]Mssp!$A$5:$BE$1463,AQ$4+1,0),0)</f>
        <v>18030221-2</v>
      </c>
      <c r="AR369" s="59">
        <f>IFERROR(VLOOKUP($A369,[2]Mssp!$A$5:$BE$1463,AR$4+1,0),0)</f>
        <v>0</v>
      </c>
      <c r="AS369" s="59">
        <f>IFERROR(VLOOKUP($A369,[2]Mssp!$A$5:$BE$1463,AS$4+1,0),0)</f>
        <v>0</v>
      </c>
      <c r="AT369" s="59">
        <f>IFERROR(VLOOKUP($A369,[2]Mssp!$A$5:$BE$1463,AT$4+1,0),0)</f>
        <v>0</v>
      </c>
      <c r="AU369" s="59">
        <f>IFERROR(VLOOKUP($A369,[2]Mssp!$A$5:$BE$1463,AU$4+1,0),0)</f>
        <v>0</v>
      </c>
      <c r="AV369" s="59">
        <f>IFERROR(VLOOKUP($A369,[2]Mssp!$A$5:$BE$1463,AV$4+1,0),0)</f>
        <v>0</v>
      </c>
      <c r="AW369" s="59">
        <f>IFERROR(VLOOKUP($A369,[2]Mssp!$A$5:$BE$1463,AW$4+1,0),0)</f>
        <v>0</v>
      </c>
      <c r="AX369" s="59">
        <f>IFERROR(VLOOKUP($A369,[2]Mssp!$A$5:$BE$1463,AX$4+1,0),0)</f>
        <v>0</v>
      </c>
      <c r="AY369" s="59" t="str">
        <f>IFERROR(VLOOKUP($A369,[2]Mssp!$A$5:$BE$1463,AY$4+2,0),0)</f>
        <v>420x850</v>
      </c>
      <c r="AZ369" s="59" t="str">
        <f>IFERROR(VLOOKUP($A369,[2]Mssp!$A$5:$BE$1463,AZ$4+2,0),0)</f>
        <v>F3</v>
      </c>
      <c r="BA369" s="60">
        <v>1500</v>
      </c>
      <c r="BB369" s="61" t="s">
        <v>119</v>
      </c>
      <c r="BC369" s="62"/>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c r="CK369" s="9"/>
      <c r="CL369" s="9"/>
      <c r="CM369" s="9"/>
      <c r="CN369" s="9"/>
      <c r="CO369" s="9"/>
      <c r="CP369" s="9"/>
    </row>
    <row r="370" spans="1:94" ht="45" x14ac:dyDescent="0.25">
      <c r="A370" s="50" t="s">
        <v>1262</v>
      </c>
      <c r="B370" s="73" t="s">
        <v>1263</v>
      </c>
      <c r="C370" s="50">
        <f t="shared" si="13"/>
        <v>3.4199999999999995</v>
      </c>
      <c r="D370" s="58">
        <v>3</v>
      </c>
      <c r="E370" s="58" t="s">
        <v>351</v>
      </c>
      <c r="F370" s="58">
        <v>6</v>
      </c>
      <c r="G370" s="50" t="s">
        <v>530</v>
      </c>
      <c r="H370" s="50">
        <f>VLOOKUP($A370,'[1]ma sp 02'!$A$5:$BD$1101,H$1,0)</f>
        <v>0.05</v>
      </c>
      <c r="I370" s="50">
        <f>VLOOKUP($A370,'[1]ma sp 02'!$A$5:$BD$1101,I$1,0)</f>
        <v>2.4900000000000002</v>
      </c>
      <c r="J370" s="50">
        <f>VLOOKUP($A370,'[1]ma sp 02'!$A$5:$BD$1101,J$1,0)</f>
        <v>0.32</v>
      </c>
      <c r="K370" s="50">
        <f>VLOOKUP($A370,'[1]ma sp 02'!$A$5:$BD$1101,K$1,0)</f>
        <v>0.01</v>
      </c>
      <c r="L370" s="50">
        <f>VLOOKUP($A370,'[1]ma sp 02'!$A$5:$BD$1101,L$1,0)</f>
        <v>0.54</v>
      </c>
      <c r="M370" s="50">
        <f>VLOOKUP($A370,'[1]ma sp 02'!$A$5:$BD$1101,M$1,0)</f>
        <v>0</v>
      </c>
      <c r="N370" s="50">
        <f>VLOOKUP($A370,'[1]ma sp 02'!$A$5:$BD$1101,N$1,0)</f>
        <v>0</v>
      </c>
      <c r="O370" s="50">
        <f>VLOOKUP($A370,'[1]ma sp 02'!$A$5:$BD$1101,O$1,0)</f>
        <v>0</v>
      </c>
      <c r="P370" s="50">
        <f>VLOOKUP($A370,'[1]ma sp 02'!$A$5:$BD$1101,P$1,0)</f>
        <v>0</v>
      </c>
      <c r="Q370" s="50">
        <f>VLOOKUP($A370,'[1]ma sp 02'!$A$5:$BD$1101,Q$1,0)</f>
        <v>0</v>
      </c>
      <c r="R370" s="50">
        <f>VLOOKUP($A370,'[1]ma sp 02'!$A$5:$BD$1101,R$1,0)</f>
        <v>0.01</v>
      </c>
      <c r="S370" s="50">
        <f>VLOOKUP($A370,'[1]ma sp 02'!$A$5:$BD$1101,S$1,0)</f>
        <v>0</v>
      </c>
      <c r="T370" s="50">
        <f>VLOOKUP($A370,'[1]ma sp 02'!$A$5:$BD$1101,T$1,0)</f>
        <v>0</v>
      </c>
      <c r="U370" s="50">
        <f>VLOOKUP($A370,'[1]ma sp 02'!$A$5:$BD$1101,U$1,0)</f>
        <v>0</v>
      </c>
      <c r="V370" s="50">
        <f>VLOOKUP($A370,'[1]ma sp 02'!$A$5:$BD$1101,V$1,0)</f>
        <v>0</v>
      </c>
      <c r="W370" s="50">
        <f>VLOOKUP($A370,'[1]ma sp 02'!$A$5:$BD$1101,W$1,0)</f>
        <v>0</v>
      </c>
      <c r="X370" s="50">
        <f t="shared" si="12"/>
        <v>6</v>
      </c>
      <c r="Y370" s="57"/>
      <c r="Z370" s="57"/>
      <c r="AA370" s="57"/>
      <c r="AB370" s="57"/>
      <c r="AC370" s="57"/>
      <c r="AD370" s="57"/>
      <c r="AE370" s="58" t="s">
        <v>499</v>
      </c>
      <c r="AF370" s="58" t="s">
        <v>1192</v>
      </c>
      <c r="AG370" s="71">
        <f>(0.012*1.4+0.006*2.71+0.075*0.925)*0.8</f>
        <v>8.1948000000000007E-2</v>
      </c>
      <c r="AH370" s="63">
        <f>(2.3/0.75/2)*0.79</f>
        <v>1.2113333333333334</v>
      </c>
      <c r="AI370" s="63">
        <f>(2.3/0.75/2)*0.79</f>
        <v>1.2113333333333334</v>
      </c>
      <c r="AJ370" s="58">
        <v>9530</v>
      </c>
      <c r="AK370" s="58">
        <v>9530</v>
      </c>
      <c r="AL370" s="58" t="s">
        <v>354</v>
      </c>
      <c r="AM370" s="52" t="s">
        <v>611</v>
      </c>
      <c r="AN370" s="58">
        <v>260</v>
      </c>
      <c r="AO370" s="52" t="s">
        <v>612</v>
      </c>
      <c r="AP370" s="59" t="str">
        <f>IFERROR(VLOOKUP($A370,[2]Mssp!$A$5:$BE$1463,AP$4+1,0),0)</f>
        <v>20110907-1</v>
      </c>
      <c r="AQ370" s="59" t="str">
        <f>IFERROR(VLOOKUP($A370,[2]Mssp!$A$5:$BE$1463,AQ$4+1,0),0)</f>
        <v>19070739-2</v>
      </c>
      <c r="AR370" s="59" t="str">
        <f>IFERROR(VLOOKUP($A370,[2]Mssp!$A$5:$BE$1463,AR$4+1,0),0)</f>
        <v>1803525-3</v>
      </c>
      <c r="AS370" s="59" t="str">
        <f>IFERROR(VLOOKUP($A370,[2]Mssp!$A$5:$BE$1463,AS$4+1,0),0)</f>
        <v>1803526-4</v>
      </c>
      <c r="AT370" s="59" t="str">
        <f>IFERROR(VLOOKUP($A370,[2]Mssp!$A$5:$BE$1463,AT$4+1,0),0)</f>
        <v>1803525-5</v>
      </c>
      <c r="AU370" s="59" t="str">
        <f>IFERROR(VLOOKUP($A370,[2]Mssp!$A$5:$BE$1463,AU$4+1,0),0)</f>
        <v>1803525-6</v>
      </c>
      <c r="AV370" s="59">
        <f>IFERROR(VLOOKUP($A370,[2]Mssp!$A$5:$BE$1463,AV$4+1,0),0)</f>
        <v>0</v>
      </c>
      <c r="AW370" s="59">
        <f>IFERROR(VLOOKUP($A370,[2]Mssp!$A$5:$BE$1463,AW$4+1,0),0)</f>
        <v>0</v>
      </c>
      <c r="AX370" s="59">
        <f>IFERROR(VLOOKUP($A370,[2]Mssp!$A$5:$BE$1463,AX$4+1,0),0)</f>
        <v>0</v>
      </c>
      <c r="AY370" s="59" t="str">
        <f>IFERROR(VLOOKUP($A370,[2]Mssp!$A$5:$BE$1463,AY$4+2,0),0)</f>
        <v>450x870</v>
      </c>
      <c r="AZ370" s="59" t="str">
        <f>IFERROR(VLOOKUP($A370,[2]Mssp!$A$5:$BE$1463,AZ$4+2,0),0)</f>
        <v>D3</v>
      </c>
      <c r="BA370" s="60" t="s">
        <v>144</v>
      </c>
      <c r="BB370" s="61" t="s">
        <v>107</v>
      </c>
      <c r="BC370" s="62"/>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c r="CK370" s="9"/>
      <c r="CL370" s="9"/>
      <c r="CM370" s="9"/>
      <c r="CN370" s="9"/>
      <c r="CO370" s="9"/>
      <c r="CP370" s="9"/>
    </row>
    <row r="371" spans="1:94" ht="45" x14ac:dyDescent="0.25">
      <c r="A371" s="50" t="s">
        <v>1264</v>
      </c>
      <c r="B371" s="73" t="s">
        <v>1265</v>
      </c>
      <c r="C371" s="50">
        <f t="shared" si="13"/>
        <v>0</v>
      </c>
      <c r="D371" s="58">
        <v>1</v>
      </c>
      <c r="E371" s="58" t="s">
        <v>331</v>
      </c>
      <c r="F371" s="58">
        <v>0</v>
      </c>
      <c r="G371" s="50" t="s">
        <v>530</v>
      </c>
      <c r="H371" s="50">
        <f>VLOOKUP($A371,'[1]ma sp 02'!$A$5:$BD$1101,H$1,0)</f>
        <v>0</v>
      </c>
      <c r="I371" s="50">
        <f>VLOOKUP($A371,'[1]ma sp 02'!$A$5:$BD$1101,I$1,0)</f>
        <v>0</v>
      </c>
      <c r="J371" s="50">
        <f>VLOOKUP($A371,'[1]ma sp 02'!$A$5:$BD$1101,J$1,0)</f>
        <v>0</v>
      </c>
      <c r="K371" s="50">
        <f>VLOOKUP($A371,'[1]ma sp 02'!$A$5:$BD$1101,K$1,0)</f>
        <v>0</v>
      </c>
      <c r="L371" s="50">
        <f>VLOOKUP($A371,'[1]ma sp 02'!$A$5:$BD$1101,L$1,0)</f>
        <v>0</v>
      </c>
      <c r="M371" s="50">
        <f>VLOOKUP($A371,'[1]ma sp 02'!$A$5:$BD$1101,M$1,0)</f>
        <v>0</v>
      </c>
      <c r="N371" s="50">
        <f>VLOOKUP($A371,'[1]ma sp 02'!$A$5:$BD$1101,N$1,0)</f>
        <v>0</v>
      </c>
      <c r="O371" s="50">
        <f>VLOOKUP($A371,'[1]ma sp 02'!$A$5:$BD$1101,O$1,0)</f>
        <v>0</v>
      </c>
      <c r="P371" s="50">
        <f>VLOOKUP($A371,'[1]ma sp 02'!$A$5:$BD$1101,P$1,0)</f>
        <v>0</v>
      </c>
      <c r="Q371" s="50">
        <f>VLOOKUP($A371,'[1]ma sp 02'!$A$5:$BD$1101,Q$1,0)</f>
        <v>0</v>
      </c>
      <c r="R371" s="50">
        <f>VLOOKUP($A371,'[1]ma sp 02'!$A$5:$BD$1101,R$1,0)</f>
        <v>0</v>
      </c>
      <c r="S371" s="50">
        <f>VLOOKUP($A371,'[1]ma sp 02'!$A$5:$BD$1101,S$1,0)</f>
        <v>0</v>
      </c>
      <c r="T371" s="50">
        <f>VLOOKUP($A371,'[1]ma sp 02'!$A$5:$BD$1101,T$1,0)</f>
        <v>0</v>
      </c>
      <c r="U371" s="50">
        <f>VLOOKUP($A371,'[1]ma sp 02'!$A$5:$BD$1101,U$1,0)</f>
        <v>0</v>
      </c>
      <c r="V371" s="50">
        <f>VLOOKUP($A371,'[1]ma sp 02'!$A$5:$BD$1101,V$1,0)</f>
        <v>0</v>
      </c>
      <c r="W371" s="50">
        <f>VLOOKUP($A371,'[1]ma sp 02'!$A$5:$BD$1101,W$1,0)</f>
        <v>0</v>
      </c>
      <c r="X371" s="50">
        <f t="shared" si="12"/>
        <v>0</v>
      </c>
      <c r="Y371" s="57"/>
      <c r="Z371" s="57"/>
      <c r="AA371" s="57"/>
      <c r="AB371" s="57"/>
      <c r="AC371" s="57"/>
      <c r="AD371" s="57"/>
      <c r="AE371" s="58" t="s">
        <v>419</v>
      </c>
      <c r="AF371" s="58" t="s">
        <v>549</v>
      </c>
      <c r="AG371" s="71">
        <f>(0.012*1.4+0.006*2.71+0.075*0.925)*0.7</f>
        <v>7.170449999999999E-2</v>
      </c>
      <c r="AH371" s="63">
        <f>(2.3/0.75/2)*0.69</f>
        <v>1.0579999999999998</v>
      </c>
      <c r="AI371" s="63">
        <f>(3/0.75/2)*0.69</f>
        <v>1.38</v>
      </c>
      <c r="AJ371" s="58">
        <v>9530</v>
      </c>
      <c r="AK371" s="58">
        <v>9530</v>
      </c>
      <c r="AL371" s="58" t="s">
        <v>117</v>
      </c>
      <c r="AM371" s="52" t="s">
        <v>194</v>
      </c>
      <c r="AN371" s="58">
        <v>700</v>
      </c>
      <c r="AO371" s="52" t="s">
        <v>962</v>
      </c>
      <c r="AP371" s="59">
        <f>IFERROR(VLOOKUP($A371,[2]Mssp!$A$5:$BE$1463,AP$4+1,0),0)</f>
        <v>0</v>
      </c>
      <c r="AQ371" s="59">
        <f>IFERROR(VLOOKUP($A371,[2]Mssp!$A$5:$BE$1463,AQ$4+1,0),0)</f>
        <v>0</v>
      </c>
      <c r="AR371" s="59">
        <f>IFERROR(VLOOKUP($A371,[2]Mssp!$A$5:$BE$1463,AR$4+1,0),0)</f>
        <v>0</v>
      </c>
      <c r="AS371" s="59">
        <f>IFERROR(VLOOKUP($A371,[2]Mssp!$A$5:$BE$1463,AS$4+1,0),0)</f>
        <v>0</v>
      </c>
      <c r="AT371" s="59">
        <f>IFERROR(VLOOKUP($A371,[2]Mssp!$A$5:$BE$1463,AT$4+1,0),0)</f>
        <v>0</v>
      </c>
      <c r="AU371" s="59">
        <f>IFERROR(VLOOKUP($A371,[2]Mssp!$A$5:$BE$1463,AU$4+1,0),0)</f>
        <v>0</v>
      </c>
      <c r="AV371" s="59">
        <f>IFERROR(VLOOKUP($A371,[2]Mssp!$A$5:$BE$1463,AV$4+1,0),0)</f>
        <v>0</v>
      </c>
      <c r="AW371" s="59">
        <f>IFERROR(VLOOKUP($A371,[2]Mssp!$A$5:$BE$1463,AW$4+1,0),0)</f>
        <v>0</v>
      </c>
      <c r="AX371" s="59">
        <f>IFERROR(VLOOKUP($A371,[2]Mssp!$A$5:$BE$1463,AX$4+1,0),0)</f>
        <v>0</v>
      </c>
      <c r="AY371" s="59">
        <f>IFERROR(VLOOKUP($A371,[2]Mssp!$A$5:$BE$1463,AY$4+2,0),0)</f>
        <v>0</v>
      </c>
      <c r="AZ371" s="59">
        <f>IFERROR(VLOOKUP($A371,[2]Mssp!$A$5:$BE$1463,AZ$4+2,0),0)</f>
        <v>0</v>
      </c>
      <c r="BA371" s="60" t="s">
        <v>106</v>
      </c>
      <c r="BB371" s="61" t="s">
        <v>107</v>
      </c>
      <c r="BC371" s="62"/>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9"/>
      <c r="CK371" s="9"/>
      <c r="CL371" s="9"/>
      <c r="CM371" s="9"/>
      <c r="CN371" s="9"/>
      <c r="CO371" s="9"/>
      <c r="CP371" s="9"/>
    </row>
    <row r="372" spans="1:94" ht="45" x14ac:dyDescent="0.25">
      <c r="A372" s="50" t="s">
        <v>1266</v>
      </c>
      <c r="B372" s="73" t="s">
        <v>1267</v>
      </c>
      <c r="C372" s="50">
        <f t="shared" si="13"/>
        <v>5.75</v>
      </c>
      <c r="D372" s="58">
        <v>2</v>
      </c>
      <c r="E372" s="58" t="s">
        <v>506</v>
      </c>
      <c r="F372" s="58">
        <v>6</v>
      </c>
      <c r="G372" s="50" t="s">
        <v>184</v>
      </c>
      <c r="H372" s="50">
        <f>VLOOKUP($A372,'[1]ma sp 02'!$A$5:$BD$1101,H$1,0)</f>
        <v>0.2</v>
      </c>
      <c r="I372" s="50">
        <f>VLOOKUP($A372,'[1]ma sp 02'!$A$5:$BD$1101,I$1,0)</f>
        <v>1.8</v>
      </c>
      <c r="J372" s="50">
        <f>VLOOKUP($A372,'[1]ma sp 02'!$A$5:$BD$1101,J$1,0)</f>
        <v>0.1</v>
      </c>
      <c r="K372" s="50">
        <f>VLOOKUP($A372,'[1]ma sp 02'!$A$5:$BD$1101,K$1,0)</f>
        <v>0.1</v>
      </c>
      <c r="L372" s="50">
        <f>VLOOKUP($A372,'[1]ma sp 02'!$A$5:$BD$1101,L$1,0)</f>
        <v>1.3</v>
      </c>
      <c r="M372" s="50">
        <f>VLOOKUP($A372,'[1]ma sp 02'!$A$5:$BD$1101,M$1,0)</f>
        <v>2</v>
      </c>
      <c r="N372" s="50">
        <f>VLOOKUP($A372,'[1]ma sp 02'!$A$5:$BD$1101,N$1,0)</f>
        <v>0</v>
      </c>
      <c r="O372" s="50">
        <f>VLOOKUP($A372,'[1]ma sp 02'!$A$5:$BD$1101,O$1,0)</f>
        <v>0</v>
      </c>
      <c r="P372" s="50">
        <f>VLOOKUP($A372,'[1]ma sp 02'!$A$5:$BD$1101,P$1,0)</f>
        <v>0</v>
      </c>
      <c r="Q372" s="50">
        <f>VLOOKUP($A372,'[1]ma sp 02'!$A$5:$BD$1101,Q$1,0)</f>
        <v>0</v>
      </c>
      <c r="R372" s="50">
        <f>VLOOKUP($A372,'[1]ma sp 02'!$A$5:$BD$1101,R$1,0)</f>
        <v>0.25</v>
      </c>
      <c r="S372" s="50">
        <f>VLOOKUP($A372,'[1]ma sp 02'!$A$5:$BD$1101,S$1,0)</f>
        <v>0</v>
      </c>
      <c r="T372" s="50">
        <f>VLOOKUP($A372,'[1]ma sp 02'!$A$5:$BD$1101,T$1,0)</f>
        <v>0</v>
      </c>
      <c r="U372" s="50">
        <f>VLOOKUP($A372,'[1]ma sp 02'!$A$5:$BD$1101,U$1,0)</f>
        <v>0</v>
      </c>
      <c r="V372" s="50">
        <f>VLOOKUP($A372,'[1]ma sp 02'!$A$5:$BD$1101,V$1,0)</f>
        <v>0</v>
      </c>
      <c r="W372" s="50">
        <f>VLOOKUP($A372,'[1]ma sp 02'!$A$5:$BD$1101,W$1,0)</f>
        <v>0</v>
      </c>
      <c r="X372" s="50">
        <f t="shared" si="12"/>
        <v>7</v>
      </c>
      <c r="Y372" s="57"/>
      <c r="Z372" s="57"/>
      <c r="AA372" s="57"/>
      <c r="AB372" s="57"/>
      <c r="AC372" s="57"/>
      <c r="AD372" s="57"/>
      <c r="AE372" s="58" t="s">
        <v>1268</v>
      </c>
      <c r="AF372" s="57"/>
      <c r="AG372" s="71">
        <f>(0.02*0.91+0.06*0.925)*0.76</f>
        <v>5.6011999999999999E-2</v>
      </c>
      <c r="AH372" s="63">
        <f>(2.3/0.75/2)*0.75</f>
        <v>1.1499999999999999</v>
      </c>
      <c r="AI372" s="63"/>
      <c r="AJ372" s="58">
        <v>9530</v>
      </c>
      <c r="AK372" s="57"/>
      <c r="AL372" s="58">
        <v>2.3E-3</v>
      </c>
      <c r="AM372" s="52" t="s">
        <v>74</v>
      </c>
      <c r="AN372" s="58">
        <v>130</v>
      </c>
      <c r="AO372" s="52" t="s">
        <v>612</v>
      </c>
      <c r="AP372" s="59" t="str">
        <f>IFERROR(VLOOKUP($A372,[2]Mssp!$A$5:$BE$1463,AP$4+1,0),0)</f>
        <v>X102601G1-1</v>
      </c>
      <c r="AQ372" s="59" t="str">
        <f>IFERROR(VLOOKUP($A372,[2]Mssp!$A$5:$BE$1463,AQ$4+1,0),0)</f>
        <v>X102601G1-2</v>
      </c>
      <c r="AR372" s="59" t="str">
        <f>IFERROR(VLOOKUP($A372,[2]Mssp!$A$5:$BE$1463,AR$4+1,0),0)</f>
        <v>X102601G1-3</v>
      </c>
      <c r="AS372" s="59" t="str">
        <f>IFERROR(VLOOKUP($A372,[2]Mssp!$A$5:$BE$1463,AS$4+1,0),0)</f>
        <v>X102601G1-4</v>
      </c>
      <c r="AT372" s="59" t="str">
        <f>IFERROR(VLOOKUP($A372,[2]Mssp!$A$5:$BE$1463,AT$4+1,0),0)</f>
        <v>X102601-5</v>
      </c>
      <c r="AU372" s="59" t="str">
        <f>IFERROR(VLOOKUP($A372,[2]Mssp!$A$5:$BE$1463,AU$4+1,0),0)</f>
        <v>X102601-6</v>
      </c>
      <c r="AV372" s="59">
        <f>IFERROR(VLOOKUP($A372,[2]Mssp!$A$5:$BE$1463,AV$4+1,0),0)</f>
        <v>0</v>
      </c>
      <c r="AW372" s="59">
        <f>IFERROR(VLOOKUP($A372,[2]Mssp!$A$5:$BE$1463,AW$4+1,0),0)</f>
        <v>0</v>
      </c>
      <c r="AX372" s="59">
        <f>IFERROR(VLOOKUP($A372,[2]Mssp!$A$5:$BE$1463,AX$4+1,0),0)</f>
        <v>0</v>
      </c>
      <c r="AY372" s="59" t="str">
        <f>IFERROR(VLOOKUP($A372,[2]Mssp!$A$5:$BE$1463,AY$4+2,0),0)</f>
        <v>520x870</v>
      </c>
      <c r="AZ372" s="59" t="str">
        <f>IFERROR(VLOOKUP($A372,[2]Mssp!$A$5:$BE$1463,AZ$4+2,0),0)</f>
        <v>D3</v>
      </c>
      <c r="BA372" s="60">
        <v>9000</v>
      </c>
      <c r="BB372" s="61" t="s">
        <v>62</v>
      </c>
      <c r="BC372" s="62"/>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c r="CK372" s="9"/>
      <c r="CL372" s="9"/>
      <c r="CM372" s="9"/>
      <c r="CN372" s="9"/>
      <c r="CO372" s="9"/>
      <c r="CP372" s="9"/>
    </row>
    <row r="373" spans="1:94" ht="45" x14ac:dyDescent="0.25">
      <c r="A373" s="50" t="s">
        <v>1269</v>
      </c>
      <c r="B373" s="73" t="s">
        <v>1270</v>
      </c>
      <c r="C373" s="50">
        <f t="shared" si="13"/>
        <v>5.2</v>
      </c>
      <c r="D373" s="58">
        <v>3</v>
      </c>
      <c r="E373" s="58" t="s">
        <v>351</v>
      </c>
      <c r="F373" s="58">
        <v>5</v>
      </c>
      <c r="G373" s="50" t="s">
        <v>530</v>
      </c>
      <c r="H373" s="50">
        <f>VLOOKUP($A373,'[1]ma sp 02'!$A$5:$BD$1101,H$1,0)</f>
        <v>0.35</v>
      </c>
      <c r="I373" s="50">
        <f>VLOOKUP($A373,'[1]ma sp 02'!$A$5:$BD$1101,I$1,0)</f>
        <v>2.88</v>
      </c>
      <c r="J373" s="50">
        <f>VLOOKUP($A373,'[1]ma sp 02'!$A$5:$BD$1101,J$1,0)</f>
        <v>0.04</v>
      </c>
      <c r="K373" s="50">
        <f>VLOOKUP($A373,'[1]ma sp 02'!$A$5:$BD$1101,K$1,0)</f>
        <v>0.49</v>
      </c>
      <c r="L373" s="50">
        <f>VLOOKUP($A373,'[1]ma sp 02'!$A$5:$BD$1101,L$1,0)</f>
        <v>0.95</v>
      </c>
      <c r="M373" s="50">
        <f>VLOOKUP($A373,'[1]ma sp 02'!$A$5:$BD$1101,M$1,0)</f>
        <v>0.49</v>
      </c>
      <c r="N373" s="50">
        <f>VLOOKUP($A373,'[1]ma sp 02'!$A$5:$BD$1101,N$1,0)</f>
        <v>0</v>
      </c>
      <c r="O373" s="50">
        <f>VLOOKUP($A373,'[1]ma sp 02'!$A$5:$BD$1101,O$1,0)</f>
        <v>0</v>
      </c>
      <c r="P373" s="50">
        <f>VLOOKUP($A373,'[1]ma sp 02'!$A$5:$BD$1101,P$1,0)</f>
        <v>0</v>
      </c>
      <c r="Q373" s="50">
        <f>VLOOKUP($A373,'[1]ma sp 02'!$A$5:$BD$1101,Q$1,0)</f>
        <v>0</v>
      </c>
      <c r="R373" s="50">
        <f>VLOOKUP($A373,'[1]ma sp 02'!$A$5:$BD$1101,R$1,0)</f>
        <v>0</v>
      </c>
      <c r="S373" s="50">
        <f>VLOOKUP($A373,'[1]ma sp 02'!$A$5:$BD$1101,S$1,0)</f>
        <v>0</v>
      </c>
      <c r="T373" s="50">
        <f>VLOOKUP($A373,'[1]ma sp 02'!$A$5:$BD$1101,T$1,0)</f>
        <v>0</v>
      </c>
      <c r="U373" s="50">
        <f>VLOOKUP($A373,'[1]ma sp 02'!$A$5:$BD$1101,U$1,0)</f>
        <v>0</v>
      </c>
      <c r="V373" s="50">
        <f>VLOOKUP($A373,'[1]ma sp 02'!$A$5:$BD$1101,V$1,0)</f>
        <v>0</v>
      </c>
      <c r="W373" s="50">
        <f>VLOOKUP($A373,'[1]ma sp 02'!$A$5:$BD$1101,W$1,0)</f>
        <v>0</v>
      </c>
      <c r="X373" s="50">
        <f t="shared" si="12"/>
        <v>6</v>
      </c>
      <c r="Y373" s="57"/>
      <c r="Z373" s="57"/>
      <c r="AA373" s="57"/>
      <c r="AB373" s="57"/>
      <c r="AC373" s="57"/>
      <c r="AD373" s="57"/>
      <c r="AE373" s="58" t="s">
        <v>499</v>
      </c>
      <c r="AF373" s="58" t="s">
        <v>1192</v>
      </c>
      <c r="AG373" s="71">
        <f>(0.012*1.4+0.006*2.71+0.075*0.925)*0.8</f>
        <v>8.1948000000000007E-2</v>
      </c>
      <c r="AH373" s="63">
        <f>(2.3/0.75/2)*0.79</f>
        <v>1.2113333333333334</v>
      </c>
      <c r="AI373" s="63">
        <f>(2.3/0.75/2)*0.79</f>
        <v>1.2113333333333334</v>
      </c>
      <c r="AJ373" s="58">
        <v>9530</v>
      </c>
      <c r="AK373" s="58">
        <v>9530</v>
      </c>
      <c r="AL373" s="58" t="s">
        <v>354</v>
      </c>
      <c r="AM373" s="52" t="s">
        <v>611</v>
      </c>
      <c r="AN373" s="58">
        <v>260</v>
      </c>
      <c r="AO373" s="52" t="s">
        <v>612</v>
      </c>
      <c r="AP373" s="59" t="str">
        <f>IFERROR(VLOOKUP($A373,[2]Mssp!$A$5:$BE$1463,AP$4+1,0),0)</f>
        <v>19060488-1</v>
      </c>
      <c r="AQ373" s="59" t="str">
        <f>IFERROR(VLOOKUP($A373,[2]Mssp!$A$5:$BE$1463,AQ$4+1,0),0)</f>
        <v>1803527-2</v>
      </c>
      <c r="AR373" s="59" t="str">
        <f>IFERROR(VLOOKUP($A373,[2]Mssp!$A$5:$BE$1463,AR$4+1,0),0)</f>
        <v>1803527-3</v>
      </c>
      <c r="AS373" s="59" t="str">
        <f>IFERROR(VLOOKUP($A373,[2]Mssp!$A$5:$BE$1463,AS$4+1,0),0)</f>
        <v>1803527-4</v>
      </c>
      <c r="AT373" s="59" t="str">
        <f>IFERROR(VLOOKUP($A373,[2]Mssp!$A$5:$BE$1463,AT$4+1,0),0)</f>
        <v>1803527-5</v>
      </c>
      <c r="AU373" s="59">
        <f>IFERROR(VLOOKUP($A373,[2]Mssp!$A$5:$BE$1463,AU$4+1,0),0)</f>
        <v>0</v>
      </c>
      <c r="AV373" s="59">
        <f>IFERROR(VLOOKUP($A373,[2]Mssp!$A$5:$BE$1463,AV$4+1,0),0)</f>
        <v>0</v>
      </c>
      <c r="AW373" s="59">
        <f>IFERROR(VLOOKUP($A373,[2]Mssp!$A$5:$BE$1463,AW$4+1,0),0)</f>
        <v>0</v>
      </c>
      <c r="AX373" s="59">
        <f>IFERROR(VLOOKUP($A373,[2]Mssp!$A$5:$BE$1463,AX$4+1,0),0)</f>
        <v>0</v>
      </c>
      <c r="AY373" s="59" t="str">
        <f>IFERROR(VLOOKUP($A373,[2]Mssp!$A$5:$BE$1463,AY$4+2,0),0)</f>
        <v>450x870</v>
      </c>
      <c r="AZ373" s="59" t="str">
        <f>IFERROR(VLOOKUP($A373,[2]Mssp!$A$5:$BE$1463,AZ$4+2,0),0)</f>
        <v>D4</v>
      </c>
      <c r="BA373" s="60">
        <v>1</v>
      </c>
      <c r="BB373" s="61" t="s">
        <v>107</v>
      </c>
      <c r="BC373" s="62"/>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9"/>
      <c r="CK373" s="9"/>
      <c r="CL373" s="9"/>
      <c r="CM373" s="9"/>
      <c r="CN373" s="9"/>
      <c r="CO373" s="9"/>
      <c r="CP373" s="9"/>
    </row>
    <row r="374" spans="1:94" ht="45" x14ac:dyDescent="0.25">
      <c r="A374" s="50" t="s">
        <v>1271</v>
      </c>
      <c r="B374" s="73" t="s">
        <v>1272</v>
      </c>
      <c r="C374" s="50">
        <f t="shared" si="13"/>
        <v>0</v>
      </c>
      <c r="D374" s="58">
        <v>3</v>
      </c>
      <c r="E374" s="58" t="s">
        <v>819</v>
      </c>
      <c r="F374" s="58">
        <v>6</v>
      </c>
      <c r="G374" s="50" t="s">
        <v>184</v>
      </c>
      <c r="H374" s="50">
        <f>VLOOKUP($A374,'[1]ma sp 02'!$A$5:$BD$1101,H$1,0)</f>
        <v>0</v>
      </c>
      <c r="I374" s="50">
        <f>VLOOKUP($A374,'[1]ma sp 02'!$A$5:$BD$1101,I$1,0)</f>
        <v>0</v>
      </c>
      <c r="J374" s="50">
        <f>VLOOKUP($A374,'[1]ma sp 02'!$A$5:$BD$1101,J$1,0)</f>
        <v>0</v>
      </c>
      <c r="K374" s="50">
        <f>VLOOKUP($A374,'[1]ma sp 02'!$A$5:$BD$1101,K$1,0)</f>
        <v>0</v>
      </c>
      <c r="L374" s="50">
        <f>VLOOKUP($A374,'[1]ma sp 02'!$A$5:$BD$1101,L$1,0)</f>
        <v>0</v>
      </c>
      <c r="M374" s="50">
        <f>VLOOKUP($A374,'[1]ma sp 02'!$A$5:$BD$1101,M$1,0)</f>
        <v>0</v>
      </c>
      <c r="N374" s="50">
        <f>VLOOKUP($A374,'[1]ma sp 02'!$A$5:$BD$1101,N$1,0)</f>
        <v>0</v>
      </c>
      <c r="O374" s="50">
        <f>VLOOKUP($A374,'[1]ma sp 02'!$A$5:$BD$1101,O$1,0)</f>
        <v>0</v>
      </c>
      <c r="P374" s="50">
        <f>VLOOKUP($A374,'[1]ma sp 02'!$A$5:$BD$1101,P$1,0)</f>
        <v>0</v>
      </c>
      <c r="Q374" s="50">
        <f>VLOOKUP($A374,'[1]ma sp 02'!$A$5:$BD$1101,Q$1,0)</f>
        <v>0</v>
      </c>
      <c r="R374" s="50">
        <f>VLOOKUP($A374,'[1]ma sp 02'!$A$5:$BD$1101,R$1,0)</f>
        <v>0</v>
      </c>
      <c r="S374" s="50">
        <f>VLOOKUP($A374,'[1]ma sp 02'!$A$5:$BD$1101,S$1,0)</f>
        <v>0</v>
      </c>
      <c r="T374" s="50">
        <f>VLOOKUP($A374,'[1]ma sp 02'!$A$5:$BD$1101,T$1,0)</f>
        <v>0</v>
      </c>
      <c r="U374" s="50">
        <f>VLOOKUP($A374,'[1]ma sp 02'!$A$5:$BD$1101,U$1,0)</f>
        <v>0</v>
      </c>
      <c r="V374" s="50">
        <f>VLOOKUP($A374,'[1]ma sp 02'!$A$5:$BD$1101,V$1,0)</f>
        <v>0</v>
      </c>
      <c r="W374" s="50">
        <f>VLOOKUP($A374,'[1]ma sp 02'!$A$5:$BD$1101,W$1,0)</f>
        <v>0</v>
      </c>
      <c r="X374" s="50">
        <f t="shared" si="12"/>
        <v>0</v>
      </c>
      <c r="Y374" s="57"/>
      <c r="Z374" s="57"/>
      <c r="AA374" s="57"/>
      <c r="AB374" s="57"/>
      <c r="AC374" s="57"/>
      <c r="AD374" s="57"/>
      <c r="AE374" s="58" t="s">
        <v>115</v>
      </c>
      <c r="AF374" s="58" t="s">
        <v>1273</v>
      </c>
      <c r="AG374" s="71">
        <f>(0.02*0.91+0.012*1.4+0.05*0.925)*0.74</f>
        <v>6.0125000000000012E-2</v>
      </c>
      <c r="AH374" s="63">
        <f>(2.3/0.75/2)*0.73</f>
        <v>1.1193333333333333</v>
      </c>
      <c r="AI374" s="63">
        <f>(2.3/0.75/2)*0.73</f>
        <v>1.1193333333333333</v>
      </c>
      <c r="AJ374" s="58">
        <v>9530</v>
      </c>
      <c r="AK374" s="58">
        <v>9530</v>
      </c>
      <c r="AL374" s="58" t="s">
        <v>354</v>
      </c>
      <c r="AM374" s="52" t="s">
        <v>509</v>
      </c>
      <c r="AN374" s="58">
        <v>140</v>
      </c>
      <c r="AO374" s="52" t="s">
        <v>1274</v>
      </c>
      <c r="AP374" s="59">
        <f>IFERROR(VLOOKUP($A374,[2]Mssp!$A$5:$BE$1463,AP$4+1,0),0)</f>
        <v>0</v>
      </c>
      <c r="AQ374" s="59">
        <f>IFERROR(VLOOKUP($A374,[2]Mssp!$A$5:$BE$1463,AQ$4+1,0),0)</f>
        <v>0</v>
      </c>
      <c r="AR374" s="59">
        <f>IFERROR(VLOOKUP($A374,[2]Mssp!$A$5:$BE$1463,AR$4+1,0),0)</f>
        <v>0</v>
      </c>
      <c r="AS374" s="59">
        <f>IFERROR(VLOOKUP($A374,[2]Mssp!$A$5:$BE$1463,AS$4+1,0),0)</f>
        <v>0</v>
      </c>
      <c r="AT374" s="59">
        <f>IFERROR(VLOOKUP($A374,[2]Mssp!$A$5:$BE$1463,AT$4+1,0),0)</f>
        <v>0</v>
      </c>
      <c r="AU374" s="59">
        <f>IFERROR(VLOOKUP($A374,[2]Mssp!$A$5:$BE$1463,AU$4+1,0),0)</f>
        <v>0</v>
      </c>
      <c r="AV374" s="59">
        <f>IFERROR(VLOOKUP($A374,[2]Mssp!$A$5:$BE$1463,AV$4+1,0),0)</f>
        <v>0</v>
      </c>
      <c r="AW374" s="59">
        <f>IFERROR(VLOOKUP($A374,[2]Mssp!$A$5:$BE$1463,AW$4+1,0),0)</f>
        <v>0</v>
      </c>
      <c r="AX374" s="59">
        <f>IFERROR(VLOOKUP($A374,[2]Mssp!$A$5:$BE$1463,AX$4+1,0),0)</f>
        <v>0</v>
      </c>
      <c r="AY374" s="59">
        <f>IFERROR(VLOOKUP($A374,[2]Mssp!$A$5:$BE$1463,AY$4+2,0),0)</f>
        <v>0</v>
      </c>
      <c r="AZ374" s="59">
        <f>IFERROR(VLOOKUP($A374,[2]Mssp!$A$5:$BE$1463,AZ$4+2,0),0)</f>
        <v>0</v>
      </c>
      <c r="BA374" s="60">
        <v>12000</v>
      </c>
      <c r="BB374" s="61" t="s">
        <v>62</v>
      </c>
      <c r="BC374" s="62"/>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c r="CK374" s="9"/>
      <c r="CL374" s="9"/>
      <c r="CM374" s="9"/>
      <c r="CN374" s="9"/>
      <c r="CO374" s="9"/>
      <c r="CP374" s="9"/>
    </row>
    <row r="375" spans="1:94" ht="45" x14ac:dyDescent="0.25">
      <c r="A375" s="50" t="s">
        <v>1275</v>
      </c>
      <c r="B375" s="73" t="s">
        <v>1276</v>
      </c>
      <c r="C375" s="50">
        <f t="shared" si="13"/>
        <v>4.4499999999999993</v>
      </c>
      <c r="D375" s="58">
        <v>3</v>
      </c>
      <c r="E375" s="58" t="s">
        <v>437</v>
      </c>
      <c r="F375" s="58">
        <v>7</v>
      </c>
      <c r="G375" s="50" t="s">
        <v>530</v>
      </c>
      <c r="H375" s="50">
        <f>VLOOKUP($A375,'[1]ma sp 02'!$A$5:$BD$1101,H$1,0)</f>
        <v>0.01</v>
      </c>
      <c r="I375" s="50">
        <f>VLOOKUP($A375,'[1]ma sp 02'!$A$5:$BD$1101,I$1,0)</f>
        <v>3.05</v>
      </c>
      <c r="J375" s="50">
        <f>VLOOKUP($A375,'[1]ma sp 02'!$A$5:$BD$1101,J$1,0)</f>
        <v>0.22</v>
      </c>
      <c r="K375" s="50">
        <f>VLOOKUP($A375,'[1]ma sp 02'!$A$5:$BD$1101,K$1,0)</f>
        <v>0.01</v>
      </c>
      <c r="L375" s="50">
        <f>VLOOKUP($A375,'[1]ma sp 02'!$A$5:$BD$1101,L$1,0)</f>
        <v>0.28999999999999998</v>
      </c>
      <c r="M375" s="50">
        <f>VLOOKUP($A375,'[1]ma sp 02'!$A$5:$BD$1101,M$1,0)</f>
        <v>0.7</v>
      </c>
      <c r="N375" s="50">
        <f>VLOOKUP($A375,'[1]ma sp 02'!$A$5:$BD$1101,N$1,0)</f>
        <v>0</v>
      </c>
      <c r="O375" s="50">
        <f>VLOOKUP($A375,'[1]ma sp 02'!$A$5:$BD$1101,O$1,0)</f>
        <v>0</v>
      </c>
      <c r="P375" s="50">
        <f>VLOOKUP($A375,'[1]ma sp 02'!$A$5:$BD$1101,P$1,0)</f>
        <v>0.12</v>
      </c>
      <c r="Q375" s="50">
        <f>VLOOKUP($A375,'[1]ma sp 02'!$A$5:$BD$1101,Q$1,0)</f>
        <v>0</v>
      </c>
      <c r="R375" s="50">
        <f>VLOOKUP($A375,'[1]ma sp 02'!$A$5:$BD$1101,R$1,0)</f>
        <v>0.04</v>
      </c>
      <c r="S375" s="50">
        <f>VLOOKUP($A375,'[1]ma sp 02'!$A$5:$BD$1101,S$1,0)</f>
        <v>0</v>
      </c>
      <c r="T375" s="50">
        <f>VLOOKUP($A375,'[1]ma sp 02'!$A$5:$BD$1101,T$1,0)</f>
        <v>0</v>
      </c>
      <c r="U375" s="50">
        <f>VLOOKUP($A375,'[1]ma sp 02'!$A$5:$BD$1101,U$1,0)</f>
        <v>0</v>
      </c>
      <c r="V375" s="50">
        <f>VLOOKUP($A375,'[1]ma sp 02'!$A$5:$BD$1101,V$1,0)</f>
        <v>0</v>
      </c>
      <c r="W375" s="50">
        <f>VLOOKUP($A375,'[1]ma sp 02'!$A$5:$BD$1101,W$1,0)</f>
        <v>0.01</v>
      </c>
      <c r="X375" s="50">
        <f t="shared" si="12"/>
        <v>9</v>
      </c>
      <c r="Y375" s="57"/>
      <c r="Z375" s="57"/>
      <c r="AA375" s="57"/>
      <c r="AB375" s="57"/>
      <c r="AC375" s="57"/>
      <c r="AD375" s="57"/>
      <c r="AE375" s="58" t="s">
        <v>66</v>
      </c>
      <c r="AF375" s="58" t="s">
        <v>412</v>
      </c>
      <c r="AG375" s="71">
        <f>(0.012*1.4+0.012*1.4+0.075*0.925)*0.68</f>
        <v>7.0023000000000016E-2</v>
      </c>
      <c r="AH375" s="63">
        <f>(2.3/0.75/2)*0.67</f>
        <v>1.0273333333333332</v>
      </c>
      <c r="AI375" s="63">
        <f>(2.3/0.75/2)*0.67</f>
        <v>1.0273333333333332</v>
      </c>
      <c r="AJ375" s="58">
        <v>9530</v>
      </c>
      <c r="AK375" s="58">
        <v>9530</v>
      </c>
      <c r="AL375" s="58" t="s">
        <v>354</v>
      </c>
      <c r="AM375" s="52" t="s">
        <v>509</v>
      </c>
      <c r="AN375" s="58">
        <v>140</v>
      </c>
      <c r="AO375" s="52" t="s">
        <v>348</v>
      </c>
      <c r="AP375" s="59">
        <f>IFERROR(VLOOKUP($A375,[2]Mssp!$A$5:$BE$1463,AP$4+1,0),0)</f>
        <v>0</v>
      </c>
      <c r="AQ375" s="59">
        <f>IFERROR(VLOOKUP($A375,[2]Mssp!$A$5:$BE$1463,AQ$4+1,0),0)</f>
        <v>0</v>
      </c>
      <c r="AR375" s="59">
        <f>IFERROR(VLOOKUP($A375,[2]Mssp!$A$5:$BE$1463,AR$4+1,0),0)</f>
        <v>0</v>
      </c>
      <c r="AS375" s="59">
        <f>IFERROR(VLOOKUP($A375,[2]Mssp!$A$5:$BE$1463,AS$4+1,0),0)</f>
        <v>0</v>
      </c>
      <c r="AT375" s="59">
        <f>IFERROR(VLOOKUP($A375,[2]Mssp!$A$5:$BE$1463,AT$4+1,0),0)</f>
        <v>0</v>
      </c>
      <c r="AU375" s="59">
        <f>IFERROR(VLOOKUP($A375,[2]Mssp!$A$5:$BE$1463,AU$4+1,0),0)</f>
        <v>0</v>
      </c>
      <c r="AV375" s="59">
        <f>IFERROR(VLOOKUP($A375,[2]Mssp!$A$5:$BE$1463,AV$4+1,0),0)</f>
        <v>0</v>
      </c>
      <c r="AW375" s="59">
        <f>IFERROR(VLOOKUP($A375,[2]Mssp!$A$5:$BE$1463,AW$4+1,0),0)</f>
        <v>0</v>
      </c>
      <c r="AX375" s="59">
        <f>IFERROR(VLOOKUP($A375,[2]Mssp!$A$5:$BE$1463,AX$4+1,0),0)</f>
        <v>0</v>
      </c>
      <c r="AY375" s="59">
        <f>IFERROR(VLOOKUP($A375,[2]Mssp!$A$5:$BE$1463,AY$4+2,0),0)</f>
        <v>0</v>
      </c>
      <c r="AZ375" s="59">
        <f>IFERROR(VLOOKUP($A375,[2]Mssp!$A$5:$BE$1463,AZ$4+2,0),0)</f>
        <v>0</v>
      </c>
      <c r="BA375" s="60">
        <v>12000</v>
      </c>
      <c r="BB375" s="61" t="s">
        <v>62</v>
      </c>
      <c r="BC375" s="62"/>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c r="CK375" s="9"/>
      <c r="CL375" s="9"/>
      <c r="CM375" s="9"/>
      <c r="CN375" s="9"/>
      <c r="CO375" s="9"/>
      <c r="CP375" s="9"/>
    </row>
    <row r="376" spans="1:94" ht="45" x14ac:dyDescent="0.25">
      <c r="A376" s="50" t="s">
        <v>1277</v>
      </c>
      <c r="B376" s="73" t="s">
        <v>1278</v>
      </c>
      <c r="C376" s="50">
        <f t="shared" si="13"/>
        <v>1.5000000000000002</v>
      </c>
      <c r="D376" s="58">
        <v>1</v>
      </c>
      <c r="E376" s="58" t="s">
        <v>1055</v>
      </c>
      <c r="F376" s="58">
        <v>2</v>
      </c>
      <c r="G376" s="50" t="s">
        <v>184</v>
      </c>
      <c r="H376" s="50">
        <f>VLOOKUP($A376,'[1]ma sp 02'!$A$5:$BD$1101,H$1,0)</f>
        <v>0.2</v>
      </c>
      <c r="I376" s="50">
        <f>VLOOKUP($A376,'[1]ma sp 02'!$A$5:$BD$1101,I$1,0)</f>
        <v>0</v>
      </c>
      <c r="J376" s="50">
        <f>VLOOKUP($A376,'[1]ma sp 02'!$A$5:$BD$1101,J$1,0)</f>
        <v>0.3</v>
      </c>
      <c r="K376" s="50">
        <f>VLOOKUP($A376,'[1]ma sp 02'!$A$5:$BD$1101,K$1,0)</f>
        <v>0</v>
      </c>
      <c r="L376" s="50">
        <f>VLOOKUP($A376,'[1]ma sp 02'!$A$5:$BD$1101,L$1,0)</f>
        <v>0.8</v>
      </c>
      <c r="M376" s="50">
        <f>VLOOKUP($A376,'[1]ma sp 02'!$A$5:$BD$1101,M$1,0)</f>
        <v>0</v>
      </c>
      <c r="N376" s="50">
        <f>VLOOKUP($A376,'[1]ma sp 02'!$A$5:$BD$1101,N$1,0)</f>
        <v>0</v>
      </c>
      <c r="O376" s="50">
        <f>VLOOKUP($A376,'[1]ma sp 02'!$A$5:$BD$1101,O$1,0)</f>
        <v>0</v>
      </c>
      <c r="P376" s="50">
        <f>VLOOKUP($A376,'[1]ma sp 02'!$A$5:$BD$1101,P$1,0)</f>
        <v>0.1</v>
      </c>
      <c r="Q376" s="50">
        <f>VLOOKUP($A376,'[1]ma sp 02'!$A$5:$BD$1101,Q$1,0)</f>
        <v>0</v>
      </c>
      <c r="R376" s="50">
        <f>VLOOKUP($A376,'[1]ma sp 02'!$A$5:$BD$1101,R$1,0)</f>
        <v>0.1</v>
      </c>
      <c r="S376" s="50">
        <f>VLOOKUP($A376,'[1]ma sp 02'!$A$5:$BD$1101,S$1,0)</f>
        <v>0</v>
      </c>
      <c r="T376" s="50">
        <f>VLOOKUP($A376,'[1]ma sp 02'!$A$5:$BD$1101,T$1,0)</f>
        <v>0</v>
      </c>
      <c r="U376" s="50">
        <f>VLOOKUP($A376,'[1]ma sp 02'!$A$5:$BD$1101,U$1,0)</f>
        <v>0</v>
      </c>
      <c r="V376" s="50">
        <f>VLOOKUP($A376,'[1]ma sp 02'!$A$5:$BD$1101,V$1,0)</f>
        <v>0</v>
      </c>
      <c r="W376" s="50">
        <f>VLOOKUP($A376,'[1]ma sp 02'!$A$5:$BD$1101,W$1,0)</f>
        <v>0</v>
      </c>
      <c r="X376" s="50">
        <f t="shared" si="12"/>
        <v>5</v>
      </c>
      <c r="Y376" s="57"/>
      <c r="Z376" s="57"/>
      <c r="AA376" s="57"/>
      <c r="AB376" s="57"/>
      <c r="AC376" s="57"/>
      <c r="AD376" s="57"/>
      <c r="AE376" s="58" t="s">
        <v>1279</v>
      </c>
      <c r="AF376" s="57"/>
      <c r="AG376" s="71">
        <f>(0.06*0.925+0.02*0.0925)*1.27</f>
        <v>7.2834499999999996E-2</v>
      </c>
      <c r="AH376" s="63">
        <f>(2/0.75/2)*1.26</f>
        <v>1.68</v>
      </c>
      <c r="AI376" s="63"/>
      <c r="AJ376" s="58">
        <v>9530</v>
      </c>
      <c r="AK376" s="57"/>
      <c r="AL376" s="58">
        <v>2E-3</v>
      </c>
      <c r="AM376" s="52" t="s">
        <v>958</v>
      </c>
      <c r="AN376" s="58">
        <v>1270</v>
      </c>
      <c r="AO376" s="52" t="s">
        <v>959</v>
      </c>
      <c r="AP376" s="59">
        <f>IFERROR(VLOOKUP($A376,[2]Mssp!$A$5:$BE$1463,AP$4+1,0),0)</f>
        <v>0</v>
      </c>
      <c r="AQ376" s="59">
        <f>IFERROR(VLOOKUP($A376,[2]Mssp!$A$5:$BE$1463,AQ$4+1,0),0)</f>
        <v>0</v>
      </c>
      <c r="AR376" s="59">
        <f>IFERROR(VLOOKUP($A376,[2]Mssp!$A$5:$BE$1463,AR$4+1,0),0)</f>
        <v>0</v>
      </c>
      <c r="AS376" s="59">
        <f>IFERROR(VLOOKUP($A376,[2]Mssp!$A$5:$BE$1463,AS$4+1,0),0)</f>
        <v>0</v>
      </c>
      <c r="AT376" s="59">
        <f>IFERROR(VLOOKUP($A376,[2]Mssp!$A$5:$BE$1463,AT$4+1,0),0)</f>
        <v>0</v>
      </c>
      <c r="AU376" s="59">
        <f>IFERROR(VLOOKUP($A376,[2]Mssp!$A$5:$BE$1463,AU$4+1,0),0)</f>
        <v>0</v>
      </c>
      <c r="AV376" s="59">
        <f>IFERROR(VLOOKUP($A376,[2]Mssp!$A$5:$BE$1463,AV$4+1,0),0)</f>
        <v>0</v>
      </c>
      <c r="AW376" s="59">
        <f>IFERROR(VLOOKUP($A376,[2]Mssp!$A$5:$BE$1463,AW$4+1,0),0)</f>
        <v>0</v>
      </c>
      <c r="AX376" s="59">
        <f>IFERROR(VLOOKUP($A376,[2]Mssp!$A$5:$BE$1463,AX$4+1,0),0)</f>
        <v>0</v>
      </c>
      <c r="AY376" s="59">
        <f>IFERROR(VLOOKUP($A376,[2]Mssp!$A$5:$BE$1463,AY$4+2,0),0)</f>
        <v>0</v>
      </c>
      <c r="AZ376" s="59">
        <f>IFERROR(VLOOKUP($A376,[2]Mssp!$A$5:$BE$1463,AZ$4+2,0),0)</f>
        <v>0</v>
      </c>
      <c r="BA376" s="60" t="s">
        <v>106</v>
      </c>
      <c r="BB376" s="61" t="s">
        <v>107</v>
      </c>
      <c r="BC376" s="62"/>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9"/>
      <c r="CK376" s="9"/>
      <c r="CL376" s="9"/>
      <c r="CM376" s="9"/>
      <c r="CN376" s="9"/>
      <c r="CO376" s="9"/>
      <c r="CP376" s="9"/>
    </row>
    <row r="377" spans="1:94" ht="30" x14ac:dyDescent="0.25">
      <c r="A377" s="50" t="s">
        <v>1280</v>
      </c>
      <c r="B377" s="73" t="s">
        <v>1281</v>
      </c>
      <c r="C377" s="50">
        <f t="shared" si="13"/>
        <v>0.5</v>
      </c>
      <c r="D377" s="58">
        <v>1</v>
      </c>
      <c r="E377" s="58" t="s">
        <v>1055</v>
      </c>
      <c r="F377" s="58">
        <v>3</v>
      </c>
      <c r="G377" s="50" t="s">
        <v>184</v>
      </c>
      <c r="H377" s="50">
        <f>VLOOKUP($A377,'[1]ma sp 02'!$A$5:$BD$1101,H$1,0)</f>
        <v>0</v>
      </c>
      <c r="I377" s="50">
        <f>VLOOKUP($A377,'[1]ma sp 02'!$A$5:$BD$1101,I$1,0)</f>
        <v>0</v>
      </c>
      <c r="J377" s="50">
        <f>VLOOKUP($A377,'[1]ma sp 02'!$A$5:$BD$1101,J$1,0)</f>
        <v>0</v>
      </c>
      <c r="K377" s="50">
        <f>VLOOKUP($A377,'[1]ma sp 02'!$A$5:$BD$1101,K$1,0)</f>
        <v>0</v>
      </c>
      <c r="L377" s="50">
        <f>VLOOKUP($A377,'[1]ma sp 02'!$A$5:$BD$1101,L$1,0)</f>
        <v>0.2</v>
      </c>
      <c r="M377" s="50">
        <f>VLOOKUP($A377,'[1]ma sp 02'!$A$5:$BD$1101,M$1,0)</f>
        <v>0</v>
      </c>
      <c r="N377" s="50">
        <f>VLOOKUP($A377,'[1]ma sp 02'!$A$5:$BD$1101,N$1,0)</f>
        <v>0</v>
      </c>
      <c r="O377" s="50">
        <f>VLOOKUP($A377,'[1]ma sp 02'!$A$5:$BD$1101,O$1,0)</f>
        <v>0</v>
      </c>
      <c r="P377" s="50">
        <f>VLOOKUP($A377,'[1]ma sp 02'!$A$5:$BD$1101,P$1,0)</f>
        <v>0.1</v>
      </c>
      <c r="Q377" s="50">
        <f>VLOOKUP($A377,'[1]ma sp 02'!$A$5:$BD$1101,Q$1,0)</f>
        <v>0.1</v>
      </c>
      <c r="R377" s="50">
        <f>VLOOKUP($A377,'[1]ma sp 02'!$A$5:$BD$1101,R$1,0)</f>
        <v>0.1</v>
      </c>
      <c r="S377" s="50">
        <f>VLOOKUP($A377,'[1]ma sp 02'!$A$5:$BD$1101,S$1,0)</f>
        <v>0</v>
      </c>
      <c r="T377" s="50">
        <f>VLOOKUP($A377,'[1]ma sp 02'!$A$5:$BD$1101,T$1,0)</f>
        <v>0</v>
      </c>
      <c r="U377" s="50">
        <f>VLOOKUP($A377,'[1]ma sp 02'!$A$5:$BD$1101,U$1,0)</f>
        <v>0</v>
      </c>
      <c r="V377" s="50">
        <f>VLOOKUP($A377,'[1]ma sp 02'!$A$5:$BD$1101,V$1,0)</f>
        <v>0</v>
      </c>
      <c r="W377" s="50">
        <f>VLOOKUP($A377,'[1]ma sp 02'!$A$5:$BD$1101,W$1,0)</f>
        <v>0</v>
      </c>
      <c r="X377" s="50">
        <f t="shared" si="12"/>
        <v>4</v>
      </c>
      <c r="Y377" s="57"/>
      <c r="Z377" s="57"/>
      <c r="AA377" s="57"/>
      <c r="AB377" s="57"/>
      <c r="AC377" s="57"/>
      <c r="AD377" s="57"/>
      <c r="AE377" s="58" t="s">
        <v>1279</v>
      </c>
      <c r="AF377" s="57"/>
      <c r="AG377" s="71">
        <f>(0.06*0.925+0.02*0.925)*1.27</f>
        <v>9.3980000000000008E-2</v>
      </c>
      <c r="AH377" s="63">
        <f>(2/0.75/2)*1.26</f>
        <v>1.68</v>
      </c>
      <c r="AI377" s="63"/>
      <c r="AJ377" s="58">
        <v>9530</v>
      </c>
      <c r="AK377" s="57"/>
      <c r="AL377" s="58">
        <v>2E-3</v>
      </c>
      <c r="AM377" s="97"/>
      <c r="AN377" s="58">
        <v>1270</v>
      </c>
      <c r="AO377" s="52" t="s">
        <v>959</v>
      </c>
      <c r="AP377" s="59">
        <f>IFERROR(VLOOKUP($A377,[2]Mssp!$A$5:$BE$1463,AP$4+1,0),0)</f>
        <v>0</v>
      </c>
      <c r="AQ377" s="59">
        <f>IFERROR(VLOOKUP($A377,[2]Mssp!$A$5:$BE$1463,AQ$4+1,0),0)</f>
        <v>0</v>
      </c>
      <c r="AR377" s="59">
        <f>IFERROR(VLOOKUP($A377,[2]Mssp!$A$5:$BE$1463,AR$4+1,0),0)</f>
        <v>0</v>
      </c>
      <c r="AS377" s="59">
        <f>IFERROR(VLOOKUP($A377,[2]Mssp!$A$5:$BE$1463,AS$4+1,0),0)</f>
        <v>0</v>
      </c>
      <c r="AT377" s="59">
        <f>IFERROR(VLOOKUP($A377,[2]Mssp!$A$5:$BE$1463,AT$4+1,0),0)</f>
        <v>0</v>
      </c>
      <c r="AU377" s="59">
        <f>IFERROR(VLOOKUP($A377,[2]Mssp!$A$5:$BE$1463,AU$4+1,0),0)</f>
        <v>0</v>
      </c>
      <c r="AV377" s="59">
        <f>IFERROR(VLOOKUP($A377,[2]Mssp!$A$5:$BE$1463,AV$4+1,0),0)</f>
        <v>0</v>
      </c>
      <c r="AW377" s="59">
        <f>IFERROR(VLOOKUP($A377,[2]Mssp!$A$5:$BE$1463,AW$4+1,0),0)</f>
        <v>0</v>
      </c>
      <c r="AX377" s="59">
        <f>IFERROR(VLOOKUP($A377,[2]Mssp!$A$5:$BE$1463,AX$4+1,0),0)</f>
        <v>0</v>
      </c>
      <c r="AY377" s="59">
        <f>IFERROR(VLOOKUP($A377,[2]Mssp!$A$5:$BE$1463,AY$4+2,0),0)</f>
        <v>0</v>
      </c>
      <c r="AZ377" s="59">
        <f>IFERROR(VLOOKUP($A377,[2]Mssp!$A$5:$BE$1463,AZ$4+2,0),0)</f>
        <v>0</v>
      </c>
      <c r="BA377" s="60" t="s">
        <v>106</v>
      </c>
      <c r="BB377" s="61" t="s">
        <v>107</v>
      </c>
      <c r="BC377" s="62"/>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9"/>
      <c r="CK377" s="9"/>
      <c r="CL377" s="9"/>
      <c r="CM377" s="9"/>
      <c r="CN377" s="9"/>
      <c r="CO377" s="9"/>
      <c r="CP377" s="9"/>
    </row>
    <row r="378" spans="1:94" x14ac:dyDescent="0.25">
      <c r="A378" s="50" t="s">
        <v>1282</v>
      </c>
      <c r="B378" s="73"/>
      <c r="C378" s="50"/>
      <c r="D378" s="58"/>
      <c r="E378" s="58"/>
      <c r="F378" s="58"/>
      <c r="G378" s="50"/>
      <c r="H378" s="50">
        <f>VLOOKUP($A378,'[1]ma sp 02'!$A$5:$BD$1101,H$1,0)</f>
        <v>0</v>
      </c>
      <c r="I378" s="50">
        <f>VLOOKUP($A378,'[1]ma sp 02'!$A$5:$BD$1101,I$1,0)</f>
        <v>0</v>
      </c>
      <c r="J378" s="50">
        <f>VLOOKUP($A378,'[1]ma sp 02'!$A$5:$BD$1101,J$1,0)</f>
        <v>0</v>
      </c>
      <c r="K378" s="50">
        <f>VLOOKUP($A378,'[1]ma sp 02'!$A$5:$BD$1101,K$1,0)</f>
        <v>0</v>
      </c>
      <c r="L378" s="50">
        <f>VLOOKUP($A378,'[1]ma sp 02'!$A$5:$BD$1101,L$1,0)</f>
        <v>0</v>
      </c>
      <c r="M378" s="50">
        <f>VLOOKUP($A378,'[1]ma sp 02'!$A$5:$BD$1101,M$1,0)</f>
        <v>0</v>
      </c>
      <c r="N378" s="50">
        <f>VLOOKUP($A378,'[1]ma sp 02'!$A$5:$BD$1101,N$1,0)</f>
        <v>0</v>
      </c>
      <c r="O378" s="50">
        <f>VLOOKUP($A378,'[1]ma sp 02'!$A$5:$BD$1101,O$1,0)</f>
        <v>0</v>
      </c>
      <c r="P378" s="50">
        <f>VLOOKUP($A378,'[1]ma sp 02'!$A$5:$BD$1101,P$1,0)</f>
        <v>0</v>
      </c>
      <c r="Q378" s="50">
        <f>VLOOKUP($A378,'[1]ma sp 02'!$A$5:$BD$1101,Q$1,0)</f>
        <v>0</v>
      </c>
      <c r="R378" s="50">
        <f>VLOOKUP($A378,'[1]ma sp 02'!$A$5:$BD$1101,R$1,0)</f>
        <v>0</v>
      </c>
      <c r="S378" s="50">
        <f>VLOOKUP($A378,'[1]ma sp 02'!$A$5:$BD$1101,S$1,0)</f>
        <v>0</v>
      </c>
      <c r="T378" s="50">
        <f>VLOOKUP($A378,'[1]ma sp 02'!$A$5:$BD$1101,T$1,0)</f>
        <v>0</v>
      </c>
      <c r="U378" s="50">
        <f>VLOOKUP($A378,'[1]ma sp 02'!$A$5:$BD$1101,U$1,0)</f>
        <v>0</v>
      </c>
      <c r="V378" s="50">
        <f>VLOOKUP($A378,'[1]ma sp 02'!$A$5:$BD$1101,V$1,0)</f>
        <v>0</v>
      </c>
      <c r="W378" s="50">
        <f>VLOOKUP($A378,'[1]ma sp 02'!$A$5:$BD$1101,W$1,0)</f>
        <v>0</v>
      </c>
      <c r="X378" s="50">
        <f t="shared" si="12"/>
        <v>0</v>
      </c>
      <c r="Y378" s="57"/>
      <c r="Z378" s="57"/>
      <c r="AA378" s="57"/>
      <c r="AB378" s="57"/>
      <c r="AC378" s="57"/>
      <c r="AD378" s="57"/>
      <c r="AE378" s="58"/>
      <c r="AF378" s="57"/>
      <c r="AG378" s="82"/>
      <c r="AH378" s="54"/>
      <c r="AI378" s="57"/>
      <c r="AJ378" s="58"/>
      <c r="AK378" s="57"/>
      <c r="AL378" s="58"/>
      <c r="AM378" s="97"/>
      <c r="AN378" s="58"/>
      <c r="AO378" s="52"/>
      <c r="AP378" s="59">
        <f>IFERROR(VLOOKUP($A378,[2]Mssp!$A$5:$BE$1463,AP$4+1,0),0)</f>
        <v>0</v>
      </c>
      <c r="AQ378" s="59">
        <f>IFERROR(VLOOKUP($A378,[2]Mssp!$A$5:$BE$1463,AQ$4+1,0),0)</f>
        <v>0</v>
      </c>
      <c r="AR378" s="59">
        <f>IFERROR(VLOOKUP($A378,[2]Mssp!$A$5:$BE$1463,AR$4+1,0),0)</f>
        <v>0</v>
      </c>
      <c r="AS378" s="59">
        <f>IFERROR(VLOOKUP($A378,[2]Mssp!$A$5:$BE$1463,AS$4+1,0),0)</f>
        <v>0</v>
      </c>
      <c r="AT378" s="59">
        <f>IFERROR(VLOOKUP($A378,[2]Mssp!$A$5:$BE$1463,AT$4+1,0),0)</f>
        <v>0</v>
      </c>
      <c r="AU378" s="59">
        <f>IFERROR(VLOOKUP($A378,[2]Mssp!$A$5:$BE$1463,AU$4+1,0),0)</f>
        <v>0</v>
      </c>
      <c r="AV378" s="59">
        <f>IFERROR(VLOOKUP($A378,[2]Mssp!$A$5:$BE$1463,AV$4+1,0),0)</f>
        <v>0</v>
      </c>
      <c r="AW378" s="59">
        <f>IFERROR(VLOOKUP($A378,[2]Mssp!$A$5:$BE$1463,AW$4+1,0),0)</f>
        <v>0</v>
      </c>
      <c r="AX378" s="59">
        <f>IFERROR(VLOOKUP($A378,[2]Mssp!$A$5:$BE$1463,AX$4+1,0),0)</f>
        <v>0</v>
      </c>
      <c r="AY378" s="59">
        <f>IFERROR(VLOOKUP($A378,[2]Mssp!$A$5:$BE$1463,AY$4+2,0),0)</f>
        <v>0</v>
      </c>
      <c r="AZ378" s="59">
        <f>IFERROR(VLOOKUP($A378,[2]Mssp!$A$5:$BE$1463,AZ$4+2,0),0)</f>
        <v>0</v>
      </c>
      <c r="BA378" s="60"/>
      <c r="BB378" s="61"/>
      <c r="BC378" s="62"/>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c r="CK378" s="9"/>
      <c r="CL378" s="9"/>
      <c r="CM378" s="9"/>
      <c r="CN378" s="9"/>
      <c r="CO378" s="9"/>
      <c r="CP378" s="9"/>
    </row>
    <row r="379" spans="1:94" ht="45" x14ac:dyDescent="0.25">
      <c r="A379" s="50" t="s">
        <v>1283</v>
      </c>
      <c r="B379" s="73" t="s">
        <v>1284</v>
      </c>
      <c r="C379" s="50">
        <f t="shared" si="13"/>
        <v>9.3699999999999992</v>
      </c>
      <c r="D379" s="58">
        <v>3</v>
      </c>
      <c r="E379" s="58" t="s">
        <v>1023</v>
      </c>
      <c r="F379" s="58">
        <v>5</v>
      </c>
      <c r="G379" s="50" t="s">
        <v>184</v>
      </c>
      <c r="H379" s="50">
        <f>VLOOKUP($A379,'[1]ma sp 02'!$A$5:$BD$1101,H$1,0)</f>
        <v>0.14000000000000001</v>
      </c>
      <c r="I379" s="50">
        <f>VLOOKUP($A379,'[1]ma sp 02'!$A$5:$BD$1101,I$1,0)</f>
        <v>4.25</v>
      </c>
      <c r="J379" s="50">
        <f>VLOOKUP($A379,'[1]ma sp 02'!$A$5:$BD$1101,J$1,0)</f>
        <v>0.98</v>
      </c>
      <c r="K379" s="50">
        <f>VLOOKUP($A379,'[1]ma sp 02'!$A$5:$BD$1101,K$1,0)</f>
        <v>7.0000000000000007E-2</v>
      </c>
      <c r="L379" s="50">
        <f>VLOOKUP($A379,'[1]ma sp 02'!$A$5:$BD$1101,L$1,0)</f>
        <v>2.16</v>
      </c>
      <c r="M379" s="50">
        <f>VLOOKUP($A379,'[1]ma sp 02'!$A$5:$BD$1101,M$1,0)</f>
        <v>1.77</v>
      </c>
      <c r="N379" s="50">
        <f>VLOOKUP($A379,'[1]ma sp 02'!$A$5:$BD$1101,N$1,0)</f>
        <v>0</v>
      </c>
      <c r="O379" s="50">
        <f>VLOOKUP($A379,'[1]ma sp 02'!$A$5:$BD$1101,O$1,0)</f>
        <v>0</v>
      </c>
      <c r="P379" s="50">
        <f>VLOOKUP($A379,'[1]ma sp 02'!$A$5:$BD$1101,P$1,0)</f>
        <v>0</v>
      </c>
      <c r="Q379" s="50">
        <f>VLOOKUP($A379,'[1]ma sp 02'!$A$5:$BD$1101,Q$1,0)</f>
        <v>0</v>
      </c>
      <c r="R379" s="50">
        <f>VLOOKUP($A379,'[1]ma sp 02'!$A$5:$BD$1101,R$1,0)</f>
        <v>0</v>
      </c>
      <c r="S379" s="50">
        <f>VLOOKUP($A379,'[1]ma sp 02'!$A$5:$BD$1101,S$1,0)</f>
        <v>0</v>
      </c>
      <c r="T379" s="50">
        <f>VLOOKUP($A379,'[1]ma sp 02'!$A$5:$BD$1101,T$1,0)</f>
        <v>0</v>
      </c>
      <c r="U379" s="50">
        <f>VLOOKUP($A379,'[1]ma sp 02'!$A$5:$BD$1101,U$1,0)</f>
        <v>0</v>
      </c>
      <c r="V379" s="50">
        <f>VLOOKUP($A379,'[1]ma sp 02'!$A$5:$BD$1101,V$1,0)</f>
        <v>0</v>
      </c>
      <c r="W379" s="50">
        <f>VLOOKUP($A379,'[1]ma sp 02'!$A$5:$BD$1101,W$1,0)</f>
        <v>0</v>
      </c>
      <c r="X379" s="50">
        <f t="shared" si="12"/>
        <v>6</v>
      </c>
      <c r="Y379" s="57"/>
      <c r="Z379" s="57"/>
      <c r="AA379" s="57"/>
      <c r="AB379" s="57"/>
      <c r="AC379" s="57"/>
      <c r="AD379" s="57"/>
      <c r="AE379" s="58" t="s">
        <v>1285</v>
      </c>
      <c r="AF379" s="57"/>
      <c r="AG379" s="71">
        <f>(0.02*0.91+0.06*0.925)*0.8</f>
        <v>5.8960000000000005E-2</v>
      </c>
      <c r="AH379" s="63">
        <f>(2.3/0.75/2)*0.79</f>
        <v>1.2113333333333334</v>
      </c>
      <c r="AI379" s="63"/>
      <c r="AJ379" s="58">
        <v>9530</v>
      </c>
      <c r="AK379" s="57"/>
      <c r="AL379" s="58">
        <v>2.3E-3</v>
      </c>
      <c r="AM379" s="52" t="s">
        <v>60</v>
      </c>
      <c r="AN379" s="58">
        <v>170</v>
      </c>
      <c r="AO379" s="52" t="s">
        <v>612</v>
      </c>
      <c r="AP379" s="59" t="str">
        <f>IFERROR(VLOOKUP($A379,[2]Mssp!$A$5:$BE$1463,AP$4+1,0),0)</f>
        <v>X102699-1</v>
      </c>
      <c r="AQ379" s="59" t="str">
        <f>IFERROR(VLOOKUP($A379,[2]Mssp!$A$5:$BE$1463,AQ$4+1,0),0)</f>
        <v>X102699-2</v>
      </c>
      <c r="AR379" s="59" t="str">
        <f>IFERROR(VLOOKUP($A379,[2]Mssp!$A$5:$BE$1463,AR$4+1,0),0)</f>
        <v>X102699-3</v>
      </c>
      <c r="AS379" s="59" t="str">
        <f>IFERROR(VLOOKUP($A379,[2]Mssp!$A$5:$BE$1463,AS$4+1,0),0)</f>
        <v>X102699-4</v>
      </c>
      <c r="AT379" s="59" t="str">
        <f>IFERROR(VLOOKUP($A379,[2]Mssp!$A$5:$BE$1463,AT$4+1,0),0)</f>
        <v>X102699-5</v>
      </c>
      <c r="AU379" s="59">
        <f>IFERROR(VLOOKUP($A379,[2]Mssp!$A$5:$BE$1463,AU$4+1,0),0)</f>
        <v>0</v>
      </c>
      <c r="AV379" s="59">
        <f>IFERROR(VLOOKUP($A379,[2]Mssp!$A$5:$BE$1463,AV$4+1,0),0)</f>
        <v>0</v>
      </c>
      <c r="AW379" s="59">
        <f>IFERROR(VLOOKUP($A379,[2]Mssp!$A$5:$BE$1463,AW$4+1,0),0)</f>
        <v>0</v>
      </c>
      <c r="AX379" s="59">
        <f>IFERROR(VLOOKUP($A379,[2]Mssp!$A$5:$BE$1463,AX$4+1,0),0)</f>
        <v>0</v>
      </c>
      <c r="AY379" s="59" t="str">
        <f>IFERROR(VLOOKUP($A379,[2]Mssp!$A$5:$BE$1463,AY$4+2,0),0)</f>
        <v>510x870</v>
      </c>
      <c r="AZ379" s="59" t="str">
        <f>IFERROR(VLOOKUP($A379,[2]Mssp!$A$5:$BE$1463,AZ$4+2,0),0)</f>
        <v>D4</v>
      </c>
      <c r="BA379" s="60">
        <v>8000</v>
      </c>
      <c r="BB379" s="61" t="s">
        <v>62</v>
      </c>
      <c r="BC379" s="62"/>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c r="CK379" s="9"/>
      <c r="CL379" s="9"/>
      <c r="CM379" s="9"/>
      <c r="CN379" s="9"/>
      <c r="CO379" s="9"/>
      <c r="CP379" s="9"/>
    </row>
    <row r="380" spans="1:94" ht="45" x14ac:dyDescent="0.25">
      <c r="A380" s="50" t="s">
        <v>1286</v>
      </c>
      <c r="B380" s="73" t="s">
        <v>1287</v>
      </c>
      <c r="C380" s="50">
        <f t="shared" si="13"/>
        <v>0</v>
      </c>
      <c r="D380" s="58">
        <v>1</v>
      </c>
      <c r="E380" s="58" t="s">
        <v>102</v>
      </c>
      <c r="F380" s="58">
        <v>0</v>
      </c>
      <c r="G380" s="50" t="s">
        <v>184</v>
      </c>
      <c r="H380" s="50">
        <f>VLOOKUP($A380,'[1]ma sp 02'!$A$5:$BD$1101,H$1,0)</f>
        <v>0</v>
      </c>
      <c r="I380" s="50">
        <f>VLOOKUP($A380,'[1]ma sp 02'!$A$5:$BD$1101,I$1,0)</f>
        <v>0</v>
      </c>
      <c r="J380" s="50">
        <f>VLOOKUP($A380,'[1]ma sp 02'!$A$5:$BD$1101,J$1,0)</f>
        <v>0</v>
      </c>
      <c r="K380" s="50">
        <f>VLOOKUP($A380,'[1]ma sp 02'!$A$5:$BD$1101,K$1,0)</f>
        <v>0</v>
      </c>
      <c r="L380" s="50">
        <f>VLOOKUP($A380,'[1]ma sp 02'!$A$5:$BD$1101,L$1,0)</f>
        <v>0</v>
      </c>
      <c r="M380" s="50">
        <f>VLOOKUP($A380,'[1]ma sp 02'!$A$5:$BD$1101,M$1,0)</f>
        <v>0</v>
      </c>
      <c r="N380" s="50">
        <f>VLOOKUP($A380,'[1]ma sp 02'!$A$5:$BD$1101,N$1,0)</f>
        <v>0</v>
      </c>
      <c r="O380" s="50">
        <f>VLOOKUP($A380,'[1]ma sp 02'!$A$5:$BD$1101,O$1,0)</f>
        <v>0</v>
      </c>
      <c r="P380" s="50">
        <f>VLOOKUP($A380,'[1]ma sp 02'!$A$5:$BD$1101,P$1,0)</f>
        <v>0</v>
      </c>
      <c r="Q380" s="50">
        <f>VLOOKUP($A380,'[1]ma sp 02'!$A$5:$BD$1101,Q$1,0)</f>
        <v>0</v>
      </c>
      <c r="R380" s="50">
        <f>VLOOKUP($A380,'[1]ma sp 02'!$A$5:$BD$1101,R$1,0)</f>
        <v>0</v>
      </c>
      <c r="S380" s="50">
        <f>VLOOKUP($A380,'[1]ma sp 02'!$A$5:$BD$1101,S$1,0)</f>
        <v>0</v>
      </c>
      <c r="T380" s="50">
        <f>VLOOKUP($A380,'[1]ma sp 02'!$A$5:$BD$1101,T$1,0)</f>
        <v>0</v>
      </c>
      <c r="U380" s="50">
        <f>VLOOKUP($A380,'[1]ma sp 02'!$A$5:$BD$1101,U$1,0)</f>
        <v>0</v>
      </c>
      <c r="V380" s="50">
        <f>VLOOKUP($A380,'[1]ma sp 02'!$A$5:$BD$1101,V$1,0)</f>
        <v>0</v>
      </c>
      <c r="W380" s="50">
        <f>VLOOKUP($A380,'[1]ma sp 02'!$A$5:$BD$1101,W$1,0)</f>
        <v>0</v>
      </c>
      <c r="X380" s="50">
        <f t="shared" si="12"/>
        <v>0</v>
      </c>
      <c r="Y380" s="57"/>
      <c r="Z380" s="57"/>
      <c r="AA380" s="57"/>
      <c r="AB380" s="57"/>
      <c r="AC380" s="57"/>
      <c r="AD380" s="57"/>
      <c r="AE380" s="58" t="s">
        <v>125</v>
      </c>
      <c r="AF380" s="58" t="s">
        <v>1288</v>
      </c>
      <c r="AG380" s="71">
        <f>(0.02*0.91+0.012*1.4+0.09*0.925)*0.46</f>
        <v>5.4395000000000006E-2</v>
      </c>
      <c r="AH380" s="63">
        <f>(2.3/0.75/2)*0.45</f>
        <v>0.69</v>
      </c>
      <c r="AI380" s="63">
        <f>(3/0.75/2)*0.45</f>
        <v>0.9</v>
      </c>
      <c r="AJ380" s="58">
        <v>9530</v>
      </c>
      <c r="AK380" s="58">
        <v>9530</v>
      </c>
      <c r="AL380" s="58" t="s">
        <v>117</v>
      </c>
      <c r="AM380" s="52" t="s">
        <v>509</v>
      </c>
      <c r="AN380" s="58">
        <v>340</v>
      </c>
      <c r="AO380" s="52" t="s">
        <v>612</v>
      </c>
      <c r="AP380" s="59">
        <f>IFERROR(VLOOKUP($A380,[2]Mssp!$A$5:$BE$1463,AP$4+1,0),0)</f>
        <v>0</v>
      </c>
      <c r="AQ380" s="59">
        <f>IFERROR(VLOOKUP($A380,[2]Mssp!$A$5:$BE$1463,AQ$4+1,0),0)</f>
        <v>0</v>
      </c>
      <c r="AR380" s="59">
        <f>IFERROR(VLOOKUP($A380,[2]Mssp!$A$5:$BE$1463,AR$4+1,0),0)</f>
        <v>0</v>
      </c>
      <c r="AS380" s="59">
        <f>IFERROR(VLOOKUP($A380,[2]Mssp!$A$5:$BE$1463,AS$4+1,0),0)</f>
        <v>0</v>
      </c>
      <c r="AT380" s="59">
        <f>IFERROR(VLOOKUP($A380,[2]Mssp!$A$5:$BE$1463,AT$4+1,0),0)</f>
        <v>0</v>
      </c>
      <c r="AU380" s="59">
        <f>IFERROR(VLOOKUP($A380,[2]Mssp!$A$5:$BE$1463,AU$4+1,0),0)</f>
        <v>0</v>
      </c>
      <c r="AV380" s="59">
        <f>IFERROR(VLOOKUP($A380,[2]Mssp!$A$5:$BE$1463,AV$4+1,0),0)</f>
        <v>0</v>
      </c>
      <c r="AW380" s="59">
        <f>IFERROR(VLOOKUP($A380,[2]Mssp!$A$5:$BE$1463,AW$4+1,0),0)</f>
        <v>0</v>
      </c>
      <c r="AX380" s="59">
        <f>IFERROR(VLOOKUP($A380,[2]Mssp!$A$5:$BE$1463,AX$4+1,0),0)</f>
        <v>0</v>
      </c>
      <c r="AY380" s="59">
        <f>IFERROR(VLOOKUP($A380,[2]Mssp!$A$5:$BE$1463,AY$4+2,0),0)</f>
        <v>0</v>
      </c>
      <c r="AZ380" s="59">
        <f>IFERROR(VLOOKUP($A380,[2]Mssp!$A$5:$BE$1463,AZ$4+2,0),0)</f>
        <v>0</v>
      </c>
      <c r="BA380" s="60">
        <v>1500</v>
      </c>
      <c r="BB380" s="61" t="s">
        <v>62</v>
      </c>
      <c r="BC380" s="62"/>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c r="CK380" s="9"/>
      <c r="CL380" s="9"/>
      <c r="CM380" s="9"/>
      <c r="CN380" s="9"/>
      <c r="CO380" s="9"/>
      <c r="CP380" s="9"/>
    </row>
    <row r="381" spans="1:94" ht="45" x14ac:dyDescent="0.25">
      <c r="A381" s="50" t="s">
        <v>1289</v>
      </c>
      <c r="B381" s="73" t="s">
        <v>1290</v>
      </c>
      <c r="C381" s="50">
        <f t="shared" si="13"/>
        <v>5.75</v>
      </c>
      <c r="D381" s="58">
        <v>2</v>
      </c>
      <c r="E381" s="58" t="s">
        <v>131</v>
      </c>
      <c r="F381" s="58">
        <v>7</v>
      </c>
      <c r="G381" s="50" t="s">
        <v>530</v>
      </c>
      <c r="H381" s="50">
        <f>VLOOKUP($A381,'[1]ma sp 02'!$A$5:$BD$1101,H$1,0)</f>
        <v>0.1</v>
      </c>
      <c r="I381" s="50">
        <f>VLOOKUP($A381,'[1]ma sp 02'!$A$5:$BD$1101,I$1,0)</f>
        <v>3.8</v>
      </c>
      <c r="J381" s="50">
        <f>VLOOKUP($A381,'[1]ma sp 02'!$A$5:$BD$1101,J$1,0)</f>
        <v>0.25</v>
      </c>
      <c r="K381" s="50">
        <f>VLOOKUP($A381,'[1]ma sp 02'!$A$5:$BD$1101,K$1,0)</f>
        <v>0.1</v>
      </c>
      <c r="L381" s="50">
        <f>VLOOKUP($A381,'[1]ma sp 02'!$A$5:$BD$1101,L$1,0)</f>
        <v>1.4</v>
      </c>
      <c r="M381" s="50">
        <f>VLOOKUP($A381,'[1]ma sp 02'!$A$5:$BD$1101,M$1,0)</f>
        <v>0</v>
      </c>
      <c r="N381" s="50">
        <f>VLOOKUP($A381,'[1]ma sp 02'!$A$5:$BD$1101,N$1,0)</f>
        <v>0</v>
      </c>
      <c r="O381" s="50">
        <f>VLOOKUP($A381,'[1]ma sp 02'!$A$5:$BD$1101,O$1,0)</f>
        <v>0</v>
      </c>
      <c r="P381" s="50">
        <f>VLOOKUP($A381,'[1]ma sp 02'!$A$5:$BD$1101,P$1,0)</f>
        <v>0.1</v>
      </c>
      <c r="Q381" s="50">
        <f>VLOOKUP($A381,'[1]ma sp 02'!$A$5:$BD$1101,Q$1,0)</f>
        <v>0</v>
      </c>
      <c r="R381" s="50">
        <f>VLOOKUP($A381,'[1]ma sp 02'!$A$5:$BD$1101,R$1,0)</f>
        <v>0</v>
      </c>
      <c r="S381" s="50">
        <f>VLOOKUP($A381,'[1]ma sp 02'!$A$5:$BD$1101,S$1,0)</f>
        <v>0</v>
      </c>
      <c r="T381" s="50">
        <f>VLOOKUP($A381,'[1]ma sp 02'!$A$5:$BD$1101,T$1,0)</f>
        <v>0</v>
      </c>
      <c r="U381" s="50">
        <f>VLOOKUP($A381,'[1]ma sp 02'!$A$5:$BD$1101,U$1,0)</f>
        <v>0</v>
      </c>
      <c r="V381" s="50">
        <f>VLOOKUP($A381,'[1]ma sp 02'!$A$5:$BD$1101,V$1,0)</f>
        <v>0</v>
      </c>
      <c r="W381" s="50">
        <f>VLOOKUP($A381,'[1]ma sp 02'!$A$5:$BD$1101,W$1,0)</f>
        <v>0</v>
      </c>
      <c r="X381" s="50">
        <f t="shared" si="12"/>
        <v>6</v>
      </c>
      <c r="Y381" s="57"/>
      <c r="Z381" s="57"/>
      <c r="AA381" s="57"/>
      <c r="AB381" s="57"/>
      <c r="AC381" s="57"/>
      <c r="AD381" s="57"/>
      <c r="AE381" s="58" t="s">
        <v>78</v>
      </c>
      <c r="AF381" s="58" t="s">
        <v>324</v>
      </c>
      <c r="AG381" s="71">
        <f>(0.012*1.4+0.012*1.4+0.075*0.925)*0.62</f>
        <v>6.3844500000000012E-2</v>
      </c>
      <c r="AH381" s="63">
        <f>(2.3/0.75/2)*0.61</f>
        <v>0.93533333333333324</v>
      </c>
      <c r="AI381" s="63">
        <f>(2.3/0.75/2)*0.61</f>
        <v>0.93533333333333324</v>
      </c>
      <c r="AJ381" s="58">
        <v>9530</v>
      </c>
      <c r="AK381" s="58">
        <v>9530</v>
      </c>
      <c r="AL381" s="58" t="s">
        <v>354</v>
      </c>
      <c r="AM381" s="52" t="s">
        <v>509</v>
      </c>
      <c r="AN381" s="58">
        <v>220</v>
      </c>
      <c r="AO381" s="52" t="s">
        <v>348</v>
      </c>
      <c r="AP381" s="59" t="str">
        <f>IFERROR(VLOOKUP($A381,[2]Mssp!$A$5:$BE$1463,AP$4+1,0),0)</f>
        <v>18031110-1</v>
      </c>
      <c r="AQ381" s="59" t="str">
        <f>IFERROR(VLOOKUP($A381,[2]Mssp!$A$5:$BE$1463,AQ$4+1,0),0)</f>
        <v>18031110-2</v>
      </c>
      <c r="AR381" s="59" t="str">
        <f>IFERROR(VLOOKUP($A381,[2]Mssp!$A$5:$BE$1463,AR$4+1,0),0)</f>
        <v>18031110-3</v>
      </c>
      <c r="AS381" s="59" t="str">
        <f>IFERROR(VLOOKUP($A381,[2]Mssp!$A$5:$BE$1463,AS$4+1,0),0)</f>
        <v>18031110-4</v>
      </c>
      <c r="AT381" s="59" t="str">
        <f>IFERROR(VLOOKUP($A381,[2]Mssp!$A$5:$BE$1463,AT$4+1,0),0)</f>
        <v>18031110-5</v>
      </c>
      <c r="AU381" s="59" t="str">
        <f>IFERROR(VLOOKUP($A381,[2]Mssp!$A$5:$BE$1463,AU$4+1,0),0)</f>
        <v>18031110-6</v>
      </c>
      <c r="AV381" s="59">
        <f>IFERROR(VLOOKUP($A381,[2]Mssp!$A$5:$BE$1463,AV$4+1,0),0)</f>
        <v>0</v>
      </c>
      <c r="AW381" s="59">
        <f>IFERROR(VLOOKUP($A381,[2]Mssp!$A$5:$BE$1463,AW$4+1,0),0)</f>
        <v>0</v>
      </c>
      <c r="AX381" s="59">
        <f>IFERROR(VLOOKUP($A381,[2]Mssp!$A$5:$BE$1463,AX$4+1,0),0)</f>
        <v>0</v>
      </c>
      <c r="AY381" s="59" t="str">
        <f>IFERROR(VLOOKUP($A381,[2]Mssp!$A$5:$BE$1463,AY$4+2,0),0)</f>
        <v>440x750</v>
      </c>
      <c r="AZ381" s="59" t="str">
        <f>IFERROR(VLOOKUP($A381,[2]Mssp!$A$5:$BE$1463,AZ$4+2,0),0)</f>
        <v>T1</v>
      </c>
      <c r="BA381" s="60">
        <v>4500</v>
      </c>
      <c r="BB381" s="61" t="s">
        <v>62</v>
      </c>
      <c r="BC381" s="62"/>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9"/>
      <c r="CK381" s="9"/>
      <c r="CL381" s="9"/>
      <c r="CM381" s="9"/>
      <c r="CN381" s="9"/>
      <c r="CO381" s="9"/>
      <c r="CP381" s="9"/>
    </row>
    <row r="382" spans="1:94" ht="45" x14ac:dyDescent="0.25">
      <c r="A382" s="50" t="s">
        <v>1291</v>
      </c>
      <c r="B382" s="73" t="s">
        <v>1292</v>
      </c>
      <c r="C382" s="50">
        <f t="shared" si="13"/>
        <v>2.48</v>
      </c>
      <c r="D382" s="58">
        <v>1</v>
      </c>
      <c r="E382" s="58" t="s">
        <v>955</v>
      </c>
      <c r="F382" s="58">
        <v>2</v>
      </c>
      <c r="G382" s="50" t="s">
        <v>184</v>
      </c>
      <c r="H382" s="50">
        <f>VLOOKUP($A382,'[1]ma sp 02'!$A$5:$BD$1101,H$1,0)</f>
        <v>0.12</v>
      </c>
      <c r="I382" s="50">
        <f>VLOOKUP($A382,'[1]ma sp 02'!$A$5:$BD$1101,I$1,0)</f>
        <v>0.33</v>
      </c>
      <c r="J382" s="50">
        <f>VLOOKUP($A382,'[1]ma sp 02'!$A$5:$BD$1101,J$1,0)</f>
        <v>0.28999999999999998</v>
      </c>
      <c r="K382" s="50">
        <f>VLOOKUP($A382,'[1]ma sp 02'!$A$5:$BD$1101,K$1,0)</f>
        <v>0.12</v>
      </c>
      <c r="L382" s="50">
        <f>VLOOKUP($A382,'[1]ma sp 02'!$A$5:$BD$1101,L$1,0)</f>
        <v>1.34</v>
      </c>
      <c r="M382" s="50">
        <f>VLOOKUP($A382,'[1]ma sp 02'!$A$5:$BD$1101,M$1,0)</f>
        <v>0</v>
      </c>
      <c r="N382" s="50">
        <f>VLOOKUP($A382,'[1]ma sp 02'!$A$5:$BD$1101,N$1,0)</f>
        <v>0</v>
      </c>
      <c r="O382" s="50">
        <f>VLOOKUP($A382,'[1]ma sp 02'!$A$5:$BD$1101,O$1,0)</f>
        <v>0</v>
      </c>
      <c r="P382" s="50">
        <f>VLOOKUP($A382,'[1]ma sp 02'!$A$5:$BD$1101,P$1,0)</f>
        <v>0.27</v>
      </c>
      <c r="Q382" s="50">
        <f>VLOOKUP($A382,'[1]ma sp 02'!$A$5:$BD$1101,Q$1,0)</f>
        <v>0</v>
      </c>
      <c r="R382" s="50">
        <f>VLOOKUP($A382,'[1]ma sp 02'!$A$5:$BD$1101,R$1,0)</f>
        <v>0.01</v>
      </c>
      <c r="S382" s="50">
        <f>VLOOKUP($A382,'[1]ma sp 02'!$A$5:$BD$1101,S$1,0)</f>
        <v>0</v>
      </c>
      <c r="T382" s="50">
        <f>VLOOKUP($A382,'[1]ma sp 02'!$A$5:$BD$1101,T$1,0)</f>
        <v>0</v>
      </c>
      <c r="U382" s="50">
        <f>VLOOKUP($A382,'[1]ma sp 02'!$A$5:$BD$1101,U$1,0)</f>
        <v>0</v>
      </c>
      <c r="V382" s="50">
        <f>VLOOKUP($A382,'[1]ma sp 02'!$A$5:$BD$1101,V$1,0)</f>
        <v>0</v>
      </c>
      <c r="W382" s="50">
        <f>VLOOKUP($A382,'[1]ma sp 02'!$A$5:$BD$1101,W$1,0)</f>
        <v>0</v>
      </c>
      <c r="X382" s="50">
        <f t="shared" si="12"/>
        <v>7</v>
      </c>
      <c r="Y382" s="57"/>
      <c r="Z382" s="57"/>
      <c r="AA382" s="57"/>
      <c r="AB382" s="57"/>
      <c r="AC382" s="57"/>
      <c r="AD382" s="57"/>
      <c r="AE382" s="58" t="s">
        <v>1293</v>
      </c>
      <c r="AF382" s="57"/>
      <c r="AG382" s="71">
        <f>(0.04*0.925+0.03*0.925)*1.27</f>
        <v>8.22325E-2</v>
      </c>
      <c r="AH382" s="63">
        <f>(2.3/0.75/2)*1.26</f>
        <v>1.9319999999999999</v>
      </c>
      <c r="AI382" s="63"/>
      <c r="AJ382" s="58">
        <v>9530</v>
      </c>
      <c r="AK382" s="57"/>
      <c r="AL382" s="58">
        <v>2E-3</v>
      </c>
      <c r="AM382" s="52" t="s">
        <v>958</v>
      </c>
      <c r="AN382" s="58">
        <v>1270</v>
      </c>
      <c r="AO382" s="52" t="s">
        <v>959</v>
      </c>
      <c r="AP382" s="59">
        <f>IFERROR(VLOOKUP($A382,[2]Mssp!$A$5:$BE$1463,AP$4+1,0),0)</f>
        <v>0</v>
      </c>
      <c r="AQ382" s="59">
        <f>IFERROR(VLOOKUP($A382,[2]Mssp!$A$5:$BE$1463,AQ$4+1,0),0)</f>
        <v>0</v>
      </c>
      <c r="AR382" s="59">
        <f>IFERROR(VLOOKUP($A382,[2]Mssp!$A$5:$BE$1463,AR$4+1,0),0)</f>
        <v>0</v>
      </c>
      <c r="AS382" s="59">
        <f>IFERROR(VLOOKUP($A382,[2]Mssp!$A$5:$BE$1463,AS$4+1,0),0)</f>
        <v>0</v>
      </c>
      <c r="AT382" s="59">
        <f>IFERROR(VLOOKUP($A382,[2]Mssp!$A$5:$BE$1463,AT$4+1,0),0)</f>
        <v>0</v>
      </c>
      <c r="AU382" s="59">
        <f>IFERROR(VLOOKUP($A382,[2]Mssp!$A$5:$BE$1463,AU$4+1,0),0)</f>
        <v>0</v>
      </c>
      <c r="AV382" s="59">
        <f>IFERROR(VLOOKUP($A382,[2]Mssp!$A$5:$BE$1463,AV$4+1,0),0)</f>
        <v>0</v>
      </c>
      <c r="AW382" s="59">
        <f>IFERROR(VLOOKUP($A382,[2]Mssp!$A$5:$BE$1463,AW$4+1,0),0)</f>
        <v>0</v>
      </c>
      <c r="AX382" s="59">
        <f>IFERROR(VLOOKUP($A382,[2]Mssp!$A$5:$BE$1463,AX$4+1,0),0)</f>
        <v>0</v>
      </c>
      <c r="AY382" s="59">
        <f>IFERROR(VLOOKUP($A382,[2]Mssp!$A$5:$BE$1463,AY$4+2,0),0)</f>
        <v>0</v>
      </c>
      <c r="AZ382" s="59">
        <f>IFERROR(VLOOKUP($A382,[2]Mssp!$A$5:$BE$1463,AZ$4+2,0),0)</f>
        <v>0</v>
      </c>
      <c r="BA382" s="60" t="s">
        <v>106</v>
      </c>
      <c r="BB382" s="61" t="s">
        <v>107</v>
      </c>
      <c r="BC382" s="62"/>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c r="CK382" s="9"/>
      <c r="CL382" s="9"/>
      <c r="CM382" s="9"/>
      <c r="CN382" s="9"/>
      <c r="CO382" s="9"/>
      <c r="CP382" s="9"/>
    </row>
    <row r="383" spans="1:94" ht="45" x14ac:dyDescent="0.25">
      <c r="A383" s="50" t="s">
        <v>1294</v>
      </c>
      <c r="B383" s="73" t="s">
        <v>1295</v>
      </c>
      <c r="C383" s="50">
        <f t="shared" si="13"/>
        <v>4.67</v>
      </c>
      <c r="D383" s="58">
        <v>3</v>
      </c>
      <c r="E383" s="58" t="s">
        <v>113</v>
      </c>
      <c r="F383" s="58">
        <v>4</v>
      </c>
      <c r="G383" s="50" t="s">
        <v>530</v>
      </c>
      <c r="H383" s="50">
        <f>VLOOKUP($A383,'[1]ma sp 02'!$A$5:$BD$1101,H$1,0)</f>
        <v>0</v>
      </c>
      <c r="I383" s="50">
        <f>VLOOKUP($A383,'[1]ma sp 02'!$A$5:$BD$1101,I$1,0)</f>
        <v>0.78</v>
      </c>
      <c r="J383" s="50">
        <f>VLOOKUP($A383,'[1]ma sp 02'!$A$5:$BD$1101,J$1,0)</f>
        <v>0.04</v>
      </c>
      <c r="K383" s="50">
        <f>VLOOKUP($A383,'[1]ma sp 02'!$A$5:$BD$1101,K$1,0)</f>
        <v>0.03</v>
      </c>
      <c r="L383" s="50">
        <f>VLOOKUP($A383,'[1]ma sp 02'!$A$5:$BD$1101,L$1,0)</f>
        <v>0.02</v>
      </c>
      <c r="M383" s="50">
        <f>VLOOKUP($A383,'[1]ma sp 02'!$A$5:$BD$1101,M$1,0)</f>
        <v>0.11</v>
      </c>
      <c r="N383" s="50">
        <f>VLOOKUP($A383,'[1]ma sp 02'!$A$5:$BD$1101,N$1,0)</f>
        <v>3.39</v>
      </c>
      <c r="O383" s="50">
        <f>VLOOKUP($A383,'[1]ma sp 02'!$A$5:$BD$1101,O$1,0)</f>
        <v>0.08</v>
      </c>
      <c r="P383" s="50">
        <f>VLOOKUP($A383,'[1]ma sp 02'!$A$5:$BD$1101,P$1,0)</f>
        <v>0.22</v>
      </c>
      <c r="Q383" s="50">
        <f>VLOOKUP($A383,'[1]ma sp 02'!$A$5:$BD$1101,Q$1,0)</f>
        <v>0</v>
      </c>
      <c r="R383" s="50">
        <f>VLOOKUP($A383,'[1]ma sp 02'!$A$5:$BD$1101,R$1,0)</f>
        <v>0</v>
      </c>
      <c r="S383" s="50">
        <f>VLOOKUP($A383,'[1]ma sp 02'!$A$5:$BD$1101,S$1,0)</f>
        <v>0</v>
      </c>
      <c r="T383" s="50">
        <f>VLOOKUP($A383,'[1]ma sp 02'!$A$5:$BD$1101,T$1,0)</f>
        <v>0</v>
      </c>
      <c r="U383" s="50">
        <f>VLOOKUP($A383,'[1]ma sp 02'!$A$5:$BD$1101,U$1,0)</f>
        <v>0</v>
      </c>
      <c r="V383" s="50">
        <f>VLOOKUP($A383,'[1]ma sp 02'!$A$5:$BD$1101,V$1,0)</f>
        <v>0</v>
      </c>
      <c r="W383" s="50">
        <f>VLOOKUP($A383,'[1]ma sp 02'!$A$5:$BD$1101,W$1,0)</f>
        <v>0</v>
      </c>
      <c r="X383" s="50">
        <f t="shared" si="12"/>
        <v>8</v>
      </c>
      <c r="Y383" s="57"/>
      <c r="Z383" s="57"/>
      <c r="AA383" s="57"/>
      <c r="AB383" s="57"/>
      <c r="AC383" s="57"/>
      <c r="AD383" s="57"/>
      <c r="AE383" s="58" t="s">
        <v>115</v>
      </c>
      <c r="AF383" s="58" t="s">
        <v>321</v>
      </c>
      <c r="AG383" s="71">
        <f>(0.012*1.4+0.012*1.4+0.075*0.925)*0.74</f>
        <v>7.6201500000000005E-2</v>
      </c>
      <c r="AH383" s="63">
        <f>(2.3/0.75/2)*0.73</f>
        <v>1.1193333333333333</v>
      </c>
      <c r="AI383" s="63">
        <f>(3/0.75/2)*0.73</f>
        <v>1.46</v>
      </c>
      <c r="AJ383" s="58">
        <v>9530</v>
      </c>
      <c r="AK383" s="58">
        <v>9530</v>
      </c>
      <c r="AL383" s="58" t="s">
        <v>117</v>
      </c>
      <c r="AM383" s="52" t="s">
        <v>60</v>
      </c>
      <c r="AN383" s="58">
        <v>270</v>
      </c>
      <c r="AO383" s="52" t="s">
        <v>332</v>
      </c>
      <c r="AP383" s="59">
        <f>IFERROR(VLOOKUP($A383,[2]Mssp!$A$5:$BE$1463,AP$4+1,0),0)</f>
        <v>0</v>
      </c>
      <c r="AQ383" s="59">
        <f>IFERROR(VLOOKUP($A383,[2]Mssp!$A$5:$BE$1463,AQ$4+1,0),0)</f>
        <v>0</v>
      </c>
      <c r="AR383" s="59">
        <f>IFERROR(VLOOKUP($A383,[2]Mssp!$A$5:$BE$1463,AR$4+1,0),0)</f>
        <v>0</v>
      </c>
      <c r="AS383" s="59">
        <f>IFERROR(VLOOKUP($A383,[2]Mssp!$A$5:$BE$1463,AS$4+1,0),0)</f>
        <v>0</v>
      </c>
      <c r="AT383" s="59">
        <f>IFERROR(VLOOKUP($A383,[2]Mssp!$A$5:$BE$1463,AT$4+1,0),0)</f>
        <v>0</v>
      </c>
      <c r="AU383" s="59">
        <f>IFERROR(VLOOKUP($A383,[2]Mssp!$A$5:$BE$1463,AU$4+1,0),0)</f>
        <v>0</v>
      </c>
      <c r="AV383" s="59">
        <f>IFERROR(VLOOKUP($A383,[2]Mssp!$A$5:$BE$1463,AV$4+1,0),0)</f>
        <v>0</v>
      </c>
      <c r="AW383" s="59">
        <f>IFERROR(VLOOKUP($A383,[2]Mssp!$A$5:$BE$1463,AW$4+1,0),0)</f>
        <v>0</v>
      </c>
      <c r="AX383" s="59">
        <f>IFERROR(VLOOKUP($A383,[2]Mssp!$A$5:$BE$1463,AX$4+1,0),0)</f>
        <v>0</v>
      </c>
      <c r="AY383" s="59">
        <f>IFERROR(VLOOKUP($A383,[2]Mssp!$A$5:$BE$1463,AY$4+2,0),0)</f>
        <v>0</v>
      </c>
      <c r="AZ383" s="59">
        <f>IFERROR(VLOOKUP($A383,[2]Mssp!$A$5:$BE$1463,AZ$4+2,0),0)</f>
        <v>0</v>
      </c>
      <c r="BA383" s="60">
        <v>3500</v>
      </c>
      <c r="BB383" s="61" t="s">
        <v>62</v>
      </c>
      <c r="BC383" s="62"/>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9"/>
      <c r="CK383" s="9"/>
      <c r="CL383" s="9"/>
      <c r="CM383" s="9"/>
      <c r="CN383" s="9"/>
      <c r="CO383" s="9"/>
      <c r="CP383" s="9"/>
    </row>
    <row r="384" spans="1:94" ht="45" x14ac:dyDescent="0.25">
      <c r="A384" s="50" t="s">
        <v>1296</v>
      </c>
      <c r="B384" s="73" t="s">
        <v>1297</v>
      </c>
      <c r="C384" s="50">
        <f t="shared" si="13"/>
        <v>0.91999999999999993</v>
      </c>
      <c r="D384" s="58">
        <v>2</v>
      </c>
      <c r="E384" s="58" t="s">
        <v>131</v>
      </c>
      <c r="F384" s="58">
        <v>4</v>
      </c>
      <c r="G384" s="50" t="s">
        <v>530</v>
      </c>
      <c r="H384" s="50">
        <f>VLOOKUP($A384,'[1]ma sp 02'!$A$5:$BD$1101,H$1,0)</f>
        <v>0.02</v>
      </c>
      <c r="I384" s="50">
        <f>VLOOKUP($A384,'[1]ma sp 02'!$A$5:$BD$1101,I$1,0)</f>
        <v>0.42</v>
      </c>
      <c r="J384" s="50">
        <f>VLOOKUP($A384,'[1]ma sp 02'!$A$5:$BD$1101,J$1,0)</f>
        <v>0</v>
      </c>
      <c r="K384" s="50">
        <f>VLOOKUP($A384,'[1]ma sp 02'!$A$5:$BD$1101,K$1,0)</f>
        <v>0</v>
      </c>
      <c r="L384" s="50">
        <f>VLOOKUP($A384,'[1]ma sp 02'!$A$5:$BD$1101,L$1,0)</f>
        <v>0</v>
      </c>
      <c r="M384" s="50">
        <f>VLOOKUP($A384,'[1]ma sp 02'!$A$5:$BD$1101,M$1,0)</f>
        <v>0.18</v>
      </c>
      <c r="N384" s="50">
        <f>VLOOKUP($A384,'[1]ma sp 02'!$A$5:$BD$1101,N$1,0)</f>
        <v>0</v>
      </c>
      <c r="O384" s="50">
        <f>VLOOKUP($A384,'[1]ma sp 02'!$A$5:$BD$1101,O$1,0)</f>
        <v>0</v>
      </c>
      <c r="P384" s="50">
        <f>VLOOKUP($A384,'[1]ma sp 02'!$A$5:$BD$1101,P$1,0)</f>
        <v>0.3</v>
      </c>
      <c r="Q384" s="50">
        <f>VLOOKUP($A384,'[1]ma sp 02'!$A$5:$BD$1101,Q$1,0)</f>
        <v>0</v>
      </c>
      <c r="R384" s="50">
        <f>VLOOKUP($A384,'[1]ma sp 02'!$A$5:$BD$1101,R$1,0)</f>
        <v>0</v>
      </c>
      <c r="S384" s="50">
        <f>VLOOKUP($A384,'[1]ma sp 02'!$A$5:$BD$1101,S$1,0)</f>
        <v>0</v>
      </c>
      <c r="T384" s="50">
        <f>VLOOKUP($A384,'[1]ma sp 02'!$A$5:$BD$1101,T$1,0)</f>
        <v>0</v>
      </c>
      <c r="U384" s="50">
        <f>VLOOKUP($A384,'[1]ma sp 02'!$A$5:$BD$1101,U$1,0)</f>
        <v>0</v>
      </c>
      <c r="V384" s="50">
        <f>VLOOKUP($A384,'[1]ma sp 02'!$A$5:$BD$1101,V$1,0)</f>
        <v>0</v>
      </c>
      <c r="W384" s="50">
        <f>VLOOKUP($A384,'[1]ma sp 02'!$A$5:$BD$1101,W$1,0)</f>
        <v>0</v>
      </c>
      <c r="X384" s="50">
        <f t="shared" si="12"/>
        <v>4</v>
      </c>
      <c r="Y384" s="57"/>
      <c r="Z384" s="57"/>
      <c r="AA384" s="57"/>
      <c r="AB384" s="57"/>
      <c r="AC384" s="57"/>
      <c r="AD384" s="57"/>
      <c r="AE384" s="58" t="s">
        <v>78</v>
      </c>
      <c r="AF384" s="58" t="s">
        <v>324</v>
      </c>
      <c r="AG384" s="71">
        <f>(0.012*1.4+0.012*1.4+0.075*0.925)*0.62</f>
        <v>6.3844500000000012E-2</v>
      </c>
      <c r="AH384" s="63">
        <f>(2.3/0.75/2)*0.61</f>
        <v>0.93533333333333324</v>
      </c>
      <c r="AI384" s="63">
        <f>(3/0.75/2)*0.61</f>
        <v>1.22</v>
      </c>
      <c r="AJ384" s="58">
        <v>9530</v>
      </c>
      <c r="AK384" s="58">
        <v>9530</v>
      </c>
      <c r="AL384" s="58" t="s">
        <v>117</v>
      </c>
      <c r="AM384" s="52" t="s">
        <v>60</v>
      </c>
      <c r="AN384" s="58">
        <v>340</v>
      </c>
      <c r="AO384" s="52" t="s">
        <v>332</v>
      </c>
      <c r="AP384" s="59" t="str">
        <f>IFERROR(VLOOKUP($A384,[2]Mssp!$A$5:$BE$1463,AP$4+1,0),0)</f>
        <v>1804138-1</v>
      </c>
      <c r="AQ384" s="59" t="str">
        <f>IFERROR(VLOOKUP($A384,[2]Mssp!$A$5:$BE$1463,AQ$4+1,0),0)</f>
        <v>1804138-2</v>
      </c>
      <c r="AR384" s="59" t="str">
        <f>IFERROR(VLOOKUP($A384,[2]Mssp!$A$5:$BE$1463,AR$4+1,0),0)</f>
        <v>1804138-3</v>
      </c>
      <c r="AS384" s="59" t="str">
        <f>IFERROR(VLOOKUP($A384,[2]Mssp!$A$5:$BE$1463,AS$4+1,0),0)</f>
        <v>1804138-4</v>
      </c>
      <c r="AT384" s="59">
        <f>IFERROR(VLOOKUP($A384,[2]Mssp!$A$5:$BE$1463,AT$4+1,0),0)</f>
        <v>0</v>
      </c>
      <c r="AU384" s="59">
        <f>IFERROR(VLOOKUP($A384,[2]Mssp!$A$5:$BE$1463,AU$4+1,0),0)</f>
        <v>0</v>
      </c>
      <c r="AV384" s="59">
        <f>IFERROR(VLOOKUP($A384,[2]Mssp!$A$5:$BE$1463,AV$4+1,0),0)</f>
        <v>0</v>
      </c>
      <c r="AW384" s="59">
        <f>IFERROR(VLOOKUP($A384,[2]Mssp!$A$5:$BE$1463,AW$4+1,0),0)</f>
        <v>0</v>
      </c>
      <c r="AX384" s="59">
        <f>IFERROR(VLOOKUP($A384,[2]Mssp!$A$5:$BE$1463,AX$4+1,0),0)</f>
        <v>0</v>
      </c>
      <c r="AY384" s="59" t="str">
        <f>IFERROR(VLOOKUP($A384,[2]Mssp!$A$5:$BE$1463,AY$4+2,0),0)</f>
        <v>680x750</v>
      </c>
      <c r="AZ384" s="59" t="str">
        <f>IFERROR(VLOOKUP($A384,[2]Mssp!$A$5:$BE$1463,AZ$4+2,0),0)</f>
        <v>F3</v>
      </c>
      <c r="BA384" s="60">
        <v>2500</v>
      </c>
      <c r="BB384" s="61" t="s">
        <v>62</v>
      </c>
      <c r="BC384" s="62"/>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c r="CK384" s="9"/>
      <c r="CL384" s="9"/>
      <c r="CM384" s="9"/>
      <c r="CN384" s="9"/>
      <c r="CO384" s="9"/>
      <c r="CP384" s="9"/>
    </row>
    <row r="385" spans="1:94" ht="75" x14ac:dyDescent="0.25">
      <c r="A385" s="50" t="s">
        <v>1298</v>
      </c>
      <c r="B385" s="73" t="s">
        <v>1299</v>
      </c>
      <c r="C385" s="50">
        <f t="shared" si="13"/>
        <v>5.28</v>
      </c>
      <c r="D385" s="58">
        <v>2</v>
      </c>
      <c r="E385" s="58" t="s">
        <v>484</v>
      </c>
      <c r="F385" s="58">
        <v>4</v>
      </c>
      <c r="G385" s="50" t="s">
        <v>530</v>
      </c>
      <c r="H385" s="50">
        <f>VLOOKUP($A385,'[1]ma sp 02'!$A$5:$BD$1101,H$1,0)</f>
        <v>0.01</v>
      </c>
      <c r="I385" s="50">
        <f>VLOOKUP($A385,'[1]ma sp 02'!$A$5:$BD$1101,I$1,0)</f>
        <v>0.84</v>
      </c>
      <c r="J385" s="50">
        <f>VLOOKUP($A385,'[1]ma sp 02'!$A$5:$BD$1101,J$1,0)</f>
        <v>0</v>
      </c>
      <c r="K385" s="50">
        <f>VLOOKUP($A385,'[1]ma sp 02'!$A$5:$BD$1101,K$1,0)</f>
        <v>0.08</v>
      </c>
      <c r="L385" s="50">
        <f>VLOOKUP($A385,'[1]ma sp 02'!$A$5:$BD$1101,L$1,0)</f>
        <v>0.04</v>
      </c>
      <c r="M385" s="50">
        <f>VLOOKUP($A385,'[1]ma sp 02'!$A$5:$BD$1101,M$1,0)</f>
        <v>0.21</v>
      </c>
      <c r="N385" s="50">
        <f>VLOOKUP($A385,'[1]ma sp 02'!$A$5:$BD$1101,N$1,0)</f>
        <v>3.84</v>
      </c>
      <c r="O385" s="50">
        <f>VLOOKUP($A385,'[1]ma sp 02'!$A$5:$BD$1101,O$1,0)</f>
        <v>7.0000000000000007E-2</v>
      </c>
      <c r="P385" s="50">
        <f>VLOOKUP($A385,'[1]ma sp 02'!$A$5:$BD$1101,P$1,0)</f>
        <v>0.19</v>
      </c>
      <c r="Q385" s="50">
        <f>VLOOKUP($A385,'[1]ma sp 02'!$A$5:$BD$1101,Q$1,0)</f>
        <v>0</v>
      </c>
      <c r="R385" s="50">
        <f>VLOOKUP($A385,'[1]ma sp 02'!$A$5:$BD$1101,R$1,0)</f>
        <v>0</v>
      </c>
      <c r="S385" s="50">
        <f>VLOOKUP($A385,'[1]ma sp 02'!$A$5:$BD$1101,S$1,0)</f>
        <v>0</v>
      </c>
      <c r="T385" s="50">
        <f>VLOOKUP($A385,'[1]ma sp 02'!$A$5:$BD$1101,T$1,0)</f>
        <v>0</v>
      </c>
      <c r="U385" s="50">
        <f>VLOOKUP($A385,'[1]ma sp 02'!$A$5:$BD$1101,U$1,0)</f>
        <v>0</v>
      </c>
      <c r="V385" s="50">
        <f>VLOOKUP($A385,'[1]ma sp 02'!$A$5:$BD$1101,V$1,0)</f>
        <v>0</v>
      </c>
      <c r="W385" s="50">
        <f>VLOOKUP($A385,'[1]ma sp 02'!$A$5:$BD$1101,W$1,0)</f>
        <v>0</v>
      </c>
      <c r="X385" s="50">
        <f t="shared" si="12"/>
        <v>8</v>
      </c>
      <c r="Y385" s="57"/>
      <c r="Z385" s="57"/>
      <c r="AA385" s="57"/>
      <c r="AB385" s="57"/>
      <c r="AC385" s="57"/>
      <c r="AD385" s="57"/>
      <c r="AE385" s="58" t="s">
        <v>485</v>
      </c>
      <c r="AF385" s="52" t="s">
        <v>486</v>
      </c>
      <c r="AG385" s="71">
        <f>(0.012*1.4+0.012*1.4+0.075*0.925)*0.76</f>
        <v>7.8261000000000011E-2</v>
      </c>
      <c r="AH385" s="63">
        <f>(2.3/0.75/2)*0.75</f>
        <v>1.1499999999999999</v>
      </c>
      <c r="AI385" s="63">
        <f>(3/0.75/2)*0.75</f>
        <v>1.5</v>
      </c>
      <c r="AJ385" s="58">
        <v>9530</v>
      </c>
      <c r="AK385" s="58">
        <v>9530</v>
      </c>
      <c r="AL385" s="58" t="s">
        <v>117</v>
      </c>
      <c r="AM385" s="52" t="s">
        <v>60</v>
      </c>
      <c r="AN385" s="58">
        <v>420</v>
      </c>
      <c r="AO385" s="52" t="s">
        <v>332</v>
      </c>
      <c r="AP385" s="59" t="str">
        <f>IFERROR(VLOOKUP($A385,[2]Mssp!$A$5:$BE$1463,AP$4+1,0),0)</f>
        <v>1806232-1</v>
      </c>
      <c r="AQ385" s="59" t="str">
        <f>IFERROR(VLOOKUP($A385,[2]Mssp!$A$5:$BE$1463,AQ$4+1,0),0)</f>
        <v>1806232-2</v>
      </c>
      <c r="AR385" s="59" t="str">
        <f>IFERROR(VLOOKUP($A385,[2]Mssp!$A$5:$BE$1463,AR$4+1,0),0)</f>
        <v>1806232-3</v>
      </c>
      <c r="AS385" s="59" t="str">
        <f>IFERROR(VLOOKUP($A385,[2]Mssp!$A$5:$BE$1463,AS$4+1,0),0)</f>
        <v>1806232-4</v>
      </c>
      <c r="AT385" s="59">
        <f>IFERROR(VLOOKUP($A385,[2]Mssp!$A$5:$BE$1463,AT$4+1,0),0)</f>
        <v>0</v>
      </c>
      <c r="AU385" s="59">
        <f>IFERROR(VLOOKUP($A385,[2]Mssp!$A$5:$BE$1463,AU$4+1,0),0)</f>
        <v>0</v>
      </c>
      <c r="AV385" s="59">
        <f>IFERROR(VLOOKUP($A385,[2]Mssp!$A$5:$BE$1463,AV$4+1,0),0)</f>
        <v>0</v>
      </c>
      <c r="AW385" s="59">
        <f>IFERROR(VLOOKUP($A385,[2]Mssp!$A$5:$BE$1463,AW$4+1,0),0)</f>
        <v>0</v>
      </c>
      <c r="AX385" s="59">
        <f>IFERROR(VLOOKUP($A385,[2]Mssp!$A$5:$BE$1463,AX$4+1,0),0)</f>
        <v>0</v>
      </c>
      <c r="AY385" s="59" t="str">
        <f>IFERROR(VLOOKUP($A385,[2]Mssp!$A$5:$BE$1463,AY$4+2,0),0)</f>
        <v>420x870</v>
      </c>
      <c r="AZ385" s="59" t="str">
        <f>IFERROR(VLOOKUP($A385,[2]Mssp!$A$5:$BE$1463,AZ$4+2,0),0)</f>
        <v>F3</v>
      </c>
      <c r="BA385" s="60">
        <v>1500</v>
      </c>
      <c r="BB385" s="61" t="s">
        <v>119</v>
      </c>
      <c r="BC385" s="62"/>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9"/>
      <c r="CK385" s="9"/>
      <c r="CL385" s="9"/>
      <c r="CM385" s="9"/>
      <c r="CN385" s="9"/>
      <c r="CO385" s="9"/>
      <c r="CP385" s="9"/>
    </row>
    <row r="386" spans="1:94" ht="75" x14ac:dyDescent="0.25">
      <c r="A386" s="50" t="s">
        <v>1300</v>
      </c>
      <c r="B386" s="73" t="s">
        <v>1301</v>
      </c>
      <c r="C386" s="50">
        <f t="shared" si="13"/>
        <v>4.78</v>
      </c>
      <c r="D386" s="58">
        <v>2</v>
      </c>
      <c r="E386" s="58" t="s">
        <v>484</v>
      </c>
      <c r="F386" s="58">
        <v>4</v>
      </c>
      <c r="G386" s="50" t="s">
        <v>530</v>
      </c>
      <c r="H386" s="50">
        <f>VLOOKUP($A386,'[1]ma sp 02'!$A$5:$BD$1101,H$1,0)</f>
        <v>0</v>
      </c>
      <c r="I386" s="50">
        <f>VLOOKUP($A386,'[1]ma sp 02'!$A$5:$BD$1101,I$1,0)</f>
        <v>0.98</v>
      </c>
      <c r="J386" s="50">
        <f>VLOOKUP($A386,'[1]ma sp 02'!$A$5:$BD$1101,J$1,0)</f>
        <v>0</v>
      </c>
      <c r="K386" s="50">
        <f>VLOOKUP($A386,'[1]ma sp 02'!$A$5:$BD$1101,K$1,0)</f>
        <v>0.09</v>
      </c>
      <c r="L386" s="50">
        <f>VLOOKUP($A386,'[1]ma sp 02'!$A$5:$BD$1101,L$1,0)</f>
        <v>0.02</v>
      </c>
      <c r="M386" s="50">
        <f>VLOOKUP($A386,'[1]ma sp 02'!$A$5:$BD$1101,M$1,0)</f>
        <v>0.04</v>
      </c>
      <c r="N386" s="50">
        <f>VLOOKUP($A386,'[1]ma sp 02'!$A$5:$BD$1101,N$1,0)</f>
        <v>3.43</v>
      </c>
      <c r="O386" s="50">
        <f>VLOOKUP($A386,'[1]ma sp 02'!$A$5:$BD$1101,O$1,0)</f>
        <v>0.1</v>
      </c>
      <c r="P386" s="50">
        <f>VLOOKUP($A386,'[1]ma sp 02'!$A$5:$BD$1101,P$1,0)</f>
        <v>0.12</v>
      </c>
      <c r="Q386" s="50">
        <f>VLOOKUP($A386,'[1]ma sp 02'!$A$5:$BD$1101,Q$1,0)</f>
        <v>0</v>
      </c>
      <c r="R386" s="50">
        <f>VLOOKUP($A386,'[1]ma sp 02'!$A$5:$BD$1101,R$1,0)</f>
        <v>0</v>
      </c>
      <c r="S386" s="50">
        <f>VLOOKUP($A386,'[1]ma sp 02'!$A$5:$BD$1101,S$1,0)</f>
        <v>0</v>
      </c>
      <c r="T386" s="50">
        <f>VLOOKUP($A386,'[1]ma sp 02'!$A$5:$BD$1101,T$1,0)</f>
        <v>0</v>
      </c>
      <c r="U386" s="50">
        <f>VLOOKUP($A386,'[1]ma sp 02'!$A$5:$BD$1101,U$1,0)</f>
        <v>0</v>
      </c>
      <c r="V386" s="50">
        <f>VLOOKUP($A386,'[1]ma sp 02'!$A$5:$BD$1101,V$1,0)</f>
        <v>0</v>
      </c>
      <c r="W386" s="50">
        <f>VLOOKUP($A386,'[1]ma sp 02'!$A$5:$BD$1101,W$1,0)</f>
        <v>0</v>
      </c>
      <c r="X386" s="50">
        <f t="shared" si="12"/>
        <v>7</v>
      </c>
      <c r="Y386" s="57"/>
      <c r="Z386" s="57"/>
      <c r="AA386" s="57"/>
      <c r="AB386" s="57"/>
      <c r="AC386" s="57"/>
      <c r="AD386" s="57"/>
      <c r="AE386" s="58" t="s">
        <v>485</v>
      </c>
      <c r="AF386" s="52" t="s">
        <v>486</v>
      </c>
      <c r="AG386" s="71">
        <f>(0.012*1.4+0.012*1.4+0.075*0.925)*0.76</f>
        <v>7.8261000000000011E-2</v>
      </c>
      <c r="AH386" s="63">
        <f>(2.3/0.75/2)*0.75</f>
        <v>1.1499999999999999</v>
      </c>
      <c r="AI386" s="63">
        <f>(3/0.75/2)*0.75</f>
        <v>1.5</v>
      </c>
      <c r="AJ386" s="58">
        <v>9530</v>
      </c>
      <c r="AK386" s="58">
        <v>9530</v>
      </c>
      <c r="AL386" s="58" t="s">
        <v>117</v>
      </c>
      <c r="AM386" s="52" t="s">
        <v>60</v>
      </c>
      <c r="AN386" s="58">
        <v>420</v>
      </c>
      <c r="AO386" s="52" t="s">
        <v>332</v>
      </c>
      <c r="AP386" s="59" t="str">
        <f>IFERROR(VLOOKUP($A386,[2]Mssp!$A$5:$BE$1463,AP$4+1,0),0)</f>
        <v>1806233-1</v>
      </c>
      <c r="AQ386" s="59" t="str">
        <f>IFERROR(VLOOKUP($A386,[2]Mssp!$A$5:$BE$1463,AQ$4+1,0),0)</f>
        <v>1806233-2</v>
      </c>
      <c r="AR386" s="59" t="str">
        <f>IFERROR(VLOOKUP($A386,[2]Mssp!$A$5:$BE$1463,AR$4+1,0),0)</f>
        <v>1806233-3</v>
      </c>
      <c r="AS386" s="59" t="str">
        <f>IFERROR(VLOOKUP($A386,[2]Mssp!$A$5:$BE$1463,AS$4+1,0),0)</f>
        <v>1806233-4</v>
      </c>
      <c r="AT386" s="59">
        <f>IFERROR(VLOOKUP($A386,[2]Mssp!$A$5:$BE$1463,AT$4+1,0),0)</f>
        <v>0</v>
      </c>
      <c r="AU386" s="59">
        <f>IFERROR(VLOOKUP($A386,[2]Mssp!$A$5:$BE$1463,AU$4+1,0),0)</f>
        <v>0</v>
      </c>
      <c r="AV386" s="59">
        <f>IFERROR(VLOOKUP($A386,[2]Mssp!$A$5:$BE$1463,AV$4+1,0),0)</f>
        <v>0</v>
      </c>
      <c r="AW386" s="59">
        <f>IFERROR(VLOOKUP($A386,[2]Mssp!$A$5:$BE$1463,AW$4+1,0),0)</f>
        <v>0</v>
      </c>
      <c r="AX386" s="59">
        <f>IFERROR(VLOOKUP($A386,[2]Mssp!$A$5:$BE$1463,AX$4+1,0),0)</f>
        <v>0</v>
      </c>
      <c r="AY386" s="59" t="str">
        <f>IFERROR(VLOOKUP($A386,[2]Mssp!$A$5:$BE$1463,AY$4+2,0),0)</f>
        <v>420x870</v>
      </c>
      <c r="AZ386" s="59" t="str">
        <f>IFERROR(VLOOKUP($A386,[2]Mssp!$A$5:$BE$1463,AZ$4+2,0),0)</f>
        <v>F3</v>
      </c>
      <c r="BA386" s="60">
        <v>1500</v>
      </c>
      <c r="BB386" s="61" t="s">
        <v>119</v>
      </c>
      <c r="BC386" s="62"/>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c r="CK386" s="9"/>
      <c r="CL386" s="9"/>
      <c r="CM386" s="9"/>
      <c r="CN386" s="9"/>
      <c r="CO386" s="9"/>
      <c r="CP386" s="9"/>
    </row>
    <row r="387" spans="1:94" ht="45" x14ac:dyDescent="0.25">
      <c r="A387" s="50" t="s">
        <v>1302</v>
      </c>
      <c r="B387" s="73" t="s">
        <v>1303</v>
      </c>
      <c r="C387" s="50">
        <f t="shared" si="13"/>
        <v>4.4000000000000004</v>
      </c>
      <c r="D387" s="58">
        <v>4</v>
      </c>
      <c r="E387" s="58" t="s">
        <v>113</v>
      </c>
      <c r="F387" s="58">
        <v>6</v>
      </c>
      <c r="G387" s="50" t="s">
        <v>530</v>
      </c>
      <c r="H387" s="50">
        <f>VLOOKUP($A387,'[1]ma sp 02'!$A$5:$BD$1101,H$1,0)</f>
        <v>0.2</v>
      </c>
      <c r="I387" s="50">
        <f>VLOOKUP($A387,'[1]ma sp 02'!$A$5:$BD$1101,I$1,0)</f>
        <v>2</v>
      </c>
      <c r="J387" s="50">
        <f>VLOOKUP($A387,'[1]ma sp 02'!$A$5:$BD$1101,J$1,0)</f>
        <v>0.1</v>
      </c>
      <c r="K387" s="50">
        <f>VLOOKUP($A387,'[1]ma sp 02'!$A$5:$BD$1101,K$1,0)</f>
        <v>0.2</v>
      </c>
      <c r="L387" s="50">
        <f>VLOOKUP($A387,'[1]ma sp 02'!$A$5:$BD$1101,L$1,0)</f>
        <v>0.8</v>
      </c>
      <c r="M387" s="50">
        <f>VLOOKUP($A387,'[1]ma sp 02'!$A$5:$BD$1101,M$1,0)</f>
        <v>1</v>
      </c>
      <c r="N387" s="50">
        <f>VLOOKUP($A387,'[1]ma sp 02'!$A$5:$BD$1101,N$1,0)</f>
        <v>0</v>
      </c>
      <c r="O387" s="50">
        <f>VLOOKUP($A387,'[1]ma sp 02'!$A$5:$BD$1101,O$1,0)</f>
        <v>0</v>
      </c>
      <c r="P387" s="50">
        <f>VLOOKUP($A387,'[1]ma sp 02'!$A$5:$BD$1101,P$1,0)</f>
        <v>0</v>
      </c>
      <c r="Q387" s="50">
        <f>VLOOKUP($A387,'[1]ma sp 02'!$A$5:$BD$1101,Q$1,0)</f>
        <v>0</v>
      </c>
      <c r="R387" s="50">
        <f>VLOOKUP($A387,'[1]ma sp 02'!$A$5:$BD$1101,R$1,0)</f>
        <v>0.1</v>
      </c>
      <c r="S387" s="50">
        <f>VLOOKUP($A387,'[1]ma sp 02'!$A$5:$BD$1101,S$1,0)</f>
        <v>0</v>
      </c>
      <c r="T387" s="50">
        <f>VLOOKUP($A387,'[1]ma sp 02'!$A$5:$BD$1101,T$1,0)</f>
        <v>0</v>
      </c>
      <c r="U387" s="50">
        <f>VLOOKUP($A387,'[1]ma sp 02'!$A$5:$BD$1101,U$1,0)</f>
        <v>0</v>
      </c>
      <c r="V387" s="50">
        <f>VLOOKUP($A387,'[1]ma sp 02'!$A$5:$BD$1101,V$1,0)</f>
        <v>0</v>
      </c>
      <c r="W387" s="50">
        <f>VLOOKUP($A387,'[1]ma sp 02'!$A$5:$BD$1101,W$1,0)</f>
        <v>0</v>
      </c>
      <c r="X387" s="50">
        <f t="shared" si="12"/>
        <v>7</v>
      </c>
      <c r="Y387" s="57"/>
      <c r="Z387" s="57"/>
      <c r="AA387" s="57"/>
      <c r="AB387" s="57"/>
      <c r="AC387" s="57"/>
      <c r="AD387" s="57"/>
      <c r="AE387" s="58" t="s">
        <v>628</v>
      </c>
      <c r="AF387" s="58" t="s">
        <v>838</v>
      </c>
      <c r="AG387" s="71">
        <f>(0.012*1.4+0.006*2.71+0.075*0.925)*0.74</f>
        <v>7.5801899999999992E-2</v>
      </c>
      <c r="AH387" s="63">
        <f>(2.3/0.75/2)*0.73</f>
        <v>1.1193333333333333</v>
      </c>
      <c r="AI387" s="63">
        <f>(2.3/0.75/2)*0.73</f>
        <v>1.1193333333333333</v>
      </c>
      <c r="AJ387" s="58">
        <v>9530</v>
      </c>
      <c r="AK387" s="58">
        <v>9530</v>
      </c>
      <c r="AL387" s="58" t="s">
        <v>354</v>
      </c>
      <c r="AM387" s="52" t="s">
        <v>611</v>
      </c>
      <c r="AN387" s="58">
        <v>180</v>
      </c>
      <c r="AO387" s="52" t="s">
        <v>612</v>
      </c>
      <c r="AP387" s="59">
        <f>IFERROR(VLOOKUP($A387,[2]Mssp!$A$5:$BE$1463,AP$4+1,0),0)</f>
        <v>0</v>
      </c>
      <c r="AQ387" s="59">
        <f>IFERROR(VLOOKUP($A387,[2]Mssp!$A$5:$BE$1463,AQ$4+1,0),0)</f>
        <v>0</v>
      </c>
      <c r="AR387" s="59">
        <f>IFERROR(VLOOKUP($A387,[2]Mssp!$A$5:$BE$1463,AR$4+1,0),0)</f>
        <v>0</v>
      </c>
      <c r="AS387" s="59">
        <f>IFERROR(VLOOKUP($A387,[2]Mssp!$A$5:$BE$1463,AS$4+1,0),0)</f>
        <v>0</v>
      </c>
      <c r="AT387" s="59">
        <f>IFERROR(VLOOKUP($A387,[2]Mssp!$A$5:$BE$1463,AT$4+1,0),0)</f>
        <v>0</v>
      </c>
      <c r="AU387" s="59">
        <f>IFERROR(VLOOKUP($A387,[2]Mssp!$A$5:$BE$1463,AU$4+1,0),0)</f>
        <v>0</v>
      </c>
      <c r="AV387" s="59">
        <f>IFERROR(VLOOKUP($A387,[2]Mssp!$A$5:$BE$1463,AV$4+1,0),0)</f>
        <v>0</v>
      </c>
      <c r="AW387" s="59">
        <f>IFERROR(VLOOKUP($A387,[2]Mssp!$A$5:$BE$1463,AW$4+1,0),0)</f>
        <v>0</v>
      </c>
      <c r="AX387" s="59">
        <f>IFERROR(VLOOKUP($A387,[2]Mssp!$A$5:$BE$1463,AX$4+1,0),0)</f>
        <v>0</v>
      </c>
      <c r="AY387" s="59">
        <f>IFERROR(VLOOKUP($A387,[2]Mssp!$A$5:$BE$1463,AY$4+2,0),0)</f>
        <v>0</v>
      </c>
      <c r="AZ387" s="59">
        <f>IFERROR(VLOOKUP($A387,[2]Mssp!$A$5:$BE$1463,AZ$4+2,0),0)</f>
        <v>0</v>
      </c>
      <c r="BA387" s="60" t="s">
        <v>144</v>
      </c>
      <c r="BB387" s="61" t="s">
        <v>107</v>
      </c>
      <c r="BC387" s="62"/>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c r="CK387" s="9"/>
      <c r="CL387" s="9"/>
      <c r="CM387" s="9"/>
      <c r="CN387" s="9"/>
      <c r="CO387" s="9"/>
      <c r="CP387" s="9"/>
    </row>
    <row r="388" spans="1:94" ht="60" x14ac:dyDescent="0.25">
      <c r="A388" s="50" t="s">
        <v>1304</v>
      </c>
      <c r="B388" s="73" t="s">
        <v>1305</v>
      </c>
      <c r="C388" s="50">
        <f t="shared" si="13"/>
        <v>4.8199999999999994</v>
      </c>
      <c r="D388" s="58">
        <v>2</v>
      </c>
      <c r="E388" s="58" t="s">
        <v>331</v>
      </c>
      <c r="F388" s="58">
        <v>6</v>
      </c>
      <c r="G388" s="50" t="s">
        <v>530</v>
      </c>
      <c r="H388" s="50">
        <f>VLOOKUP($A388,'[1]ma sp 02'!$A$5:$BD$1101,H$1,0)</f>
        <v>0.03</v>
      </c>
      <c r="I388" s="50">
        <f>VLOOKUP($A388,'[1]ma sp 02'!$A$5:$BD$1101,I$1,0)</f>
        <v>2.76</v>
      </c>
      <c r="J388" s="50">
        <f>VLOOKUP($A388,'[1]ma sp 02'!$A$5:$BD$1101,J$1,0)</f>
        <v>0.24</v>
      </c>
      <c r="K388" s="50">
        <f>VLOOKUP($A388,'[1]ma sp 02'!$A$5:$BD$1101,K$1,0)</f>
        <v>0.26</v>
      </c>
      <c r="L388" s="50">
        <f>VLOOKUP($A388,'[1]ma sp 02'!$A$5:$BD$1101,L$1,0)</f>
        <v>0.14000000000000001</v>
      </c>
      <c r="M388" s="50">
        <f>VLOOKUP($A388,'[1]ma sp 02'!$A$5:$BD$1101,M$1,0)</f>
        <v>1.1499999999999999</v>
      </c>
      <c r="N388" s="50">
        <f>VLOOKUP($A388,'[1]ma sp 02'!$A$5:$BD$1101,N$1,0)</f>
        <v>0</v>
      </c>
      <c r="O388" s="50">
        <f>VLOOKUP($A388,'[1]ma sp 02'!$A$5:$BD$1101,O$1,0)</f>
        <v>0</v>
      </c>
      <c r="P388" s="50">
        <f>VLOOKUP($A388,'[1]ma sp 02'!$A$5:$BD$1101,P$1,0)</f>
        <v>0</v>
      </c>
      <c r="Q388" s="50">
        <f>VLOOKUP($A388,'[1]ma sp 02'!$A$5:$BD$1101,Q$1,0)</f>
        <v>0</v>
      </c>
      <c r="R388" s="50">
        <f>VLOOKUP($A388,'[1]ma sp 02'!$A$5:$BD$1101,R$1,0)</f>
        <v>0.24</v>
      </c>
      <c r="S388" s="50">
        <f>VLOOKUP($A388,'[1]ma sp 02'!$A$5:$BD$1101,S$1,0)</f>
        <v>0</v>
      </c>
      <c r="T388" s="50">
        <f>VLOOKUP($A388,'[1]ma sp 02'!$A$5:$BD$1101,T$1,0)</f>
        <v>0</v>
      </c>
      <c r="U388" s="50">
        <f>VLOOKUP($A388,'[1]ma sp 02'!$A$5:$BD$1101,U$1,0)</f>
        <v>0</v>
      </c>
      <c r="V388" s="50">
        <f>VLOOKUP($A388,'[1]ma sp 02'!$A$5:$BD$1101,V$1,0)</f>
        <v>0</v>
      </c>
      <c r="W388" s="50">
        <f>VLOOKUP($A388,'[1]ma sp 02'!$A$5:$BD$1101,W$1,0)</f>
        <v>0</v>
      </c>
      <c r="X388" s="50">
        <f t="shared" si="12"/>
        <v>7</v>
      </c>
      <c r="Y388" s="57"/>
      <c r="Z388" s="57"/>
      <c r="AA388" s="57"/>
      <c r="AB388" s="57"/>
      <c r="AC388" s="57"/>
      <c r="AD388" s="57"/>
      <c r="AE388" s="58" t="s">
        <v>419</v>
      </c>
      <c r="AF388" s="111" t="s">
        <v>1306</v>
      </c>
      <c r="AG388" s="71">
        <f>(0.012*1.4+0.006*2.71+0.075*0.925)*0.7</f>
        <v>7.170449999999999E-2</v>
      </c>
      <c r="AH388" s="63">
        <f>(2.3/0.75/2)*0.69</f>
        <v>1.0579999999999998</v>
      </c>
      <c r="AI388" s="63">
        <f>(2.3/0.75/2)*0.69</f>
        <v>1.0579999999999998</v>
      </c>
      <c r="AJ388" s="58">
        <v>9530</v>
      </c>
      <c r="AK388" s="58">
        <v>9530</v>
      </c>
      <c r="AL388" s="58" t="s">
        <v>354</v>
      </c>
      <c r="AM388" s="52" t="s">
        <v>74</v>
      </c>
      <c r="AN388" s="58">
        <v>240</v>
      </c>
      <c r="AO388" s="52" t="s">
        <v>612</v>
      </c>
      <c r="AP388" s="59" t="str">
        <f>IFERROR(VLOOKUP($A388,[2]Mssp!$A$5:$BE$1463,AP$4+1,0),0)</f>
        <v>F120295G1-1</v>
      </c>
      <c r="AQ388" s="59" t="str">
        <f>IFERROR(VLOOKUP($A388,[2]Mssp!$A$5:$BE$1463,AQ$4+1,0),0)</f>
        <v>F120295G2-2</v>
      </c>
      <c r="AR388" s="59" t="str">
        <f>IFERROR(VLOOKUP($A388,[2]Mssp!$A$5:$BE$1463,AR$4+1,0),0)</f>
        <v>F120295-3</v>
      </c>
      <c r="AS388" s="59" t="str">
        <f>IFERROR(VLOOKUP($A388,[2]Mssp!$A$5:$BE$1463,AS$4+1,0),0)</f>
        <v>F120295-4</v>
      </c>
      <c r="AT388" s="59" t="str">
        <f>IFERROR(VLOOKUP($A388,[2]Mssp!$A$5:$BE$1463,AT$4+1,0),0)</f>
        <v>F120295-5</v>
      </c>
      <c r="AU388" s="59" t="str">
        <f>IFERROR(VLOOKUP($A388,[2]Mssp!$A$5:$BE$1463,AU$4+1,0),0)</f>
        <v>F120295-6</v>
      </c>
      <c r="AV388" s="59">
        <f>IFERROR(VLOOKUP($A388,[2]Mssp!$A$5:$BE$1463,AV$4+1,0),0)</f>
        <v>0</v>
      </c>
      <c r="AW388" s="59">
        <f>IFERROR(VLOOKUP($A388,[2]Mssp!$A$5:$BE$1463,AW$4+1,0),0)</f>
        <v>0</v>
      </c>
      <c r="AX388" s="59">
        <f>IFERROR(VLOOKUP($A388,[2]Mssp!$A$5:$BE$1463,AX$4+1,0),0)</f>
        <v>0</v>
      </c>
      <c r="AY388" s="59" t="str">
        <f>IFERROR(VLOOKUP($A388,[2]Mssp!$A$5:$BE$1463,AY$4+2,0),0)</f>
        <v>750x480</v>
      </c>
      <c r="AZ388" s="59" t="str">
        <f>IFERROR(VLOOKUP($A388,[2]Mssp!$A$5:$BE$1463,AZ$4+2,0),0)</f>
        <v>D4</v>
      </c>
      <c r="BA388" s="114" t="s">
        <v>1307</v>
      </c>
      <c r="BB388" s="61" t="s">
        <v>62</v>
      </c>
      <c r="BC388" s="62"/>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9"/>
      <c r="CK388" s="9"/>
      <c r="CL388" s="9"/>
      <c r="CM388" s="9"/>
      <c r="CN388" s="9"/>
      <c r="CO388" s="9"/>
      <c r="CP388" s="9"/>
    </row>
    <row r="389" spans="1:94" ht="45" x14ac:dyDescent="0.25">
      <c r="A389" s="50" t="s">
        <v>1308</v>
      </c>
      <c r="B389" s="73" t="s">
        <v>1309</v>
      </c>
      <c r="C389" s="50">
        <f t="shared" si="13"/>
        <v>0</v>
      </c>
      <c r="D389" s="58">
        <v>1</v>
      </c>
      <c r="E389" s="58" t="s">
        <v>131</v>
      </c>
      <c r="F389" s="58">
        <v>0</v>
      </c>
      <c r="G389" s="50" t="s">
        <v>530</v>
      </c>
      <c r="H389" s="50">
        <f>VLOOKUP($A389,'[1]ma sp 02'!$A$5:$BD$1101,H$1,0)</f>
        <v>0</v>
      </c>
      <c r="I389" s="50">
        <f>VLOOKUP($A389,'[1]ma sp 02'!$A$5:$BD$1101,I$1,0)</f>
        <v>0</v>
      </c>
      <c r="J389" s="50">
        <f>VLOOKUP($A389,'[1]ma sp 02'!$A$5:$BD$1101,J$1,0)</f>
        <v>0</v>
      </c>
      <c r="K389" s="50">
        <f>VLOOKUP($A389,'[1]ma sp 02'!$A$5:$BD$1101,K$1,0)</f>
        <v>0</v>
      </c>
      <c r="L389" s="50">
        <f>VLOOKUP($A389,'[1]ma sp 02'!$A$5:$BD$1101,L$1,0)</f>
        <v>0</v>
      </c>
      <c r="M389" s="50">
        <f>VLOOKUP($A389,'[1]ma sp 02'!$A$5:$BD$1101,M$1,0)</f>
        <v>0</v>
      </c>
      <c r="N389" s="50">
        <f>VLOOKUP($A389,'[1]ma sp 02'!$A$5:$BD$1101,N$1,0)</f>
        <v>0</v>
      </c>
      <c r="O389" s="50">
        <f>VLOOKUP($A389,'[1]ma sp 02'!$A$5:$BD$1101,O$1,0)</f>
        <v>0</v>
      </c>
      <c r="P389" s="50">
        <f>VLOOKUP($A389,'[1]ma sp 02'!$A$5:$BD$1101,P$1,0)</f>
        <v>0</v>
      </c>
      <c r="Q389" s="50">
        <f>VLOOKUP($A389,'[1]ma sp 02'!$A$5:$BD$1101,Q$1,0)</f>
        <v>0</v>
      </c>
      <c r="R389" s="50">
        <f>VLOOKUP($A389,'[1]ma sp 02'!$A$5:$BD$1101,R$1,0)</f>
        <v>0</v>
      </c>
      <c r="S389" s="50">
        <f>VLOOKUP($A389,'[1]ma sp 02'!$A$5:$BD$1101,S$1,0)</f>
        <v>0</v>
      </c>
      <c r="T389" s="50">
        <f>VLOOKUP($A389,'[1]ma sp 02'!$A$5:$BD$1101,T$1,0)</f>
        <v>0</v>
      </c>
      <c r="U389" s="50">
        <f>VLOOKUP($A389,'[1]ma sp 02'!$A$5:$BD$1101,U$1,0)</f>
        <v>0</v>
      </c>
      <c r="V389" s="50">
        <f>VLOOKUP($A389,'[1]ma sp 02'!$A$5:$BD$1101,V$1,0)</f>
        <v>0</v>
      </c>
      <c r="W389" s="50">
        <f>VLOOKUP($A389,'[1]ma sp 02'!$A$5:$BD$1101,W$1,0)</f>
        <v>0</v>
      </c>
      <c r="X389" s="50">
        <f t="shared" si="12"/>
        <v>0</v>
      </c>
      <c r="Y389" s="57"/>
      <c r="Z389" s="57"/>
      <c r="AA389" s="57"/>
      <c r="AB389" s="57"/>
      <c r="AC389" s="57"/>
      <c r="AD389" s="57"/>
      <c r="AE389" s="58" t="s">
        <v>219</v>
      </c>
      <c r="AF389" s="58" t="s">
        <v>1003</v>
      </c>
      <c r="AG389" s="71">
        <f>(0.012*1.4+0.006*2.71+0.075*0.925)*0.62</f>
        <v>6.3509700000000002E-2</v>
      </c>
      <c r="AH389" s="63">
        <f>(2.3/0.75/2)*0.61</f>
        <v>0.93533333333333324</v>
      </c>
      <c r="AI389" s="63">
        <f>(3/0.75/2)*0.61</f>
        <v>1.22</v>
      </c>
      <c r="AJ389" s="58">
        <v>9530</v>
      </c>
      <c r="AK389" s="58">
        <v>9530</v>
      </c>
      <c r="AL389" s="58" t="s">
        <v>117</v>
      </c>
      <c r="AM389" s="52" t="s">
        <v>194</v>
      </c>
      <c r="AN389" s="58">
        <v>620</v>
      </c>
      <c r="AO389" s="52" t="s">
        <v>962</v>
      </c>
      <c r="AP389" s="59">
        <f>IFERROR(VLOOKUP($A389,[2]Mssp!$A$5:$BE$1463,AP$4+1,0),0)</f>
        <v>0</v>
      </c>
      <c r="AQ389" s="59">
        <f>IFERROR(VLOOKUP($A389,[2]Mssp!$A$5:$BE$1463,AQ$4+1,0),0)</f>
        <v>0</v>
      </c>
      <c r="AR389" s="59">
        <f>IFERROR(VLOOKUP($A389,[2]Mssp!$A$5:$BE$1463,AR$4+1,0),0)</f>
        <v>0</v>
      </c>
      <c r="AS389" s="59">
        <f>IFERROR(VLOOKUP($A389,[2]Mssp!$A$5:$BE$1463,AS$4+1,0),0)</f>
        <v>0</v>
      </c>
      <c r="AT389" s="59">
        <f>IFERROR(VLOOKUP($A389,[2]Mssp!$A$5:$BE$1463,AT$4+1,0),0)</f>
        <v>0</v>
      </c>
      <c r="AU389" s="59">
        <f>IFERROR(VLOOKUP($A389,[2]Mssp!$A$5:$BE$1463,AU$4+1,0),0)</f>
        <v>0</v>
      </c>
      <c r="AV389" s="59">
        <f>IFERROR(VLOOKUP($A389,[2]Mssp!$A$5:$BE$1463,AV$4+1,0),0)</f>
        <v>0</v>
      </c>
      <c r="AW389" s="59">
        <f>IFERROR(VLOOKUP($A389,[2]Mssp!$A$5:$BE$1463,AW$4+1,0),0)</f>
        <v>0</v>
      </c>
      <c r="AX389" s="59">
        <f>IFERROR(VLOOKUP($A389,[2]Mssp!$A$5:$BE$1463,AX$4+1,0),0)</f>
        <v>0</v>
      </c>
      <c r="AY389" s="59">
        <f>IFERROR(VLOOKUP($A389,[2]Mssp!$A$5:$BE$1463,AY$4+2,0),0)</f>
        <v>0</v>
      </c>
      <c r="AZ389" s="59">
        <f>IFERROR(VLOOKUP($A389,[2]Mssp!$A$5:$BE$1463,AZ$4+2,0),0)</f>
        <v>0</v>
      </c>
      <c r="BA389" s="60" t="s">
        <v>106</v>
      </c>
      <c r="BB389" s="61" t="s">
        <v>107</v>
      </c>
      <c r="BC389" s="62"/>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9"/>
      <c r="CK389" s="9"/>
      <c r="CL389" s="9"/>
      <c r="CM389" s="9"/>
      <c r="CN389" s="9"/>
      <c r="CO389" s="9"/>
      <c r="CP389" s="9"/>
    </row>
    <row r="390" spans="1:94" ht="60" x14ac:dyDescent="0.25">
      <c r="A390" s="50" t="s">
        <v>1310</v>
      </c>
      <c r="B390" s="73" t="s">
        <v>1311</v>
      </c>
      <c r="C390" s="50">
        <f t="shared" si="13"/>
        <v>1.1500000000000001</v>
      </c>
      <c r="D390" s="58">
        <v>1</v>
      </c>
      <c r="E390" s="58" t="s">
        <v>1013</v>
      </c>
      <c r="F390" s="58">
        <v>2</v>
      </c>
      <c r="G390" s="50" t="s">
        <v>184</v>
      </c>
      <c r="H390" s="50">
        <f>VLOOKUP($A390,'[1]ma sp 02'!$A$5:$BD$1101,H$1,0)</f>
        <v>0.13</v>
      </c>
      <c r="I390" s="50">
        <f>VLOOKUP($A390,'[1]ma sp 02'!$A$5:$BD$1101,I$1,0)</f>
        <v>0.05</v>
      </c>
      <c r="J390" s="50">
        <f>VLOOKUP($A390,'[1]ma sp 02'!$A$5:$BD$1101,J$1,0)</f>
        <v>0.22</v>
      </c>
      <c r="K390" s="50">
        <f>VLOOKUP($A390,'[1]ma sp 02'!$A$5:$BD$1101,K$1,0)</f>
        <v>0.01</v>
      </c>
      <c r="L390" s="50">
        <f>VLOOKUP($A390,'[1]ma sp 02'!$A$5:$BD$1101,L$1,0)</f>
        <v>0.23</v>
      </c>
      <c r="M390" s="50">
        <f>VLOOKUP($A390,'[1]ma sp 02'!$A$5:$BD$1101,M$1,0)</f>
        <v>0.5</v>
      </c>
      <c r="N390" s="50">
        <f>VLOOKUP($A390,'[1]ma sp 02'!$A$5:$BD$1101,N$1,0)</f>
        <v>0</v>
      </c>
      <c r="O390" s="50">
        <f>VLOOKUP($A390,'[1]ma sp 02'!$A$5:$BD$1101,O$1,0)</f>
        <v>0</v>
      </c>
      <c r="P390" s="50">
        <f>VLOOKUP($A390,'[1]ma sp 02'!$A$5:$BD$1101,P$1,0)</f>
        <v>0</v>
      </c>
      <c r="Q390" s="50">
        <f>VLOOKUP($A390,'[1]ma sp 02'!$A$5:$BD$1101,Q$1,0)</f>
        <v>0</v>
      </c>
      <c r="R390" s="50">
        <f>VLOOKUP($A390,'[1]ma sp 02'!$A$5:$BD$1101,R$1,0)</f>
        <v>0.01</v>
      </c>
      <c r="S390" s="50">
        <f>VLOOKUP($A390,'[1]ma sp 02'!$A$5:$BD$1101,S$1,0)</f>
        <v>0</v>
      </c>
      <c r="T390" s="50">
        <f>VLOOKUP($A390,'[1]ma sp 02'!$A$5:$BD$1101,T$1,0)</f>
        <v>0</v>
      </c>
      <c r="U390" s="50">
        <f>VLOOKUP($A390,'[1]ma sp 02'!$A$5:$BD$1101,U$1,0)</f>
        <v>0</v>
      </c>
      <c r="V390" s="50">
        <f>VLOOKUP($A390,'[1]ma sp 02'!$A$5:$BD$1101,V$1,0)</f>
        <v>0</v>
      </c>
      <c r="W390" s="50">
        <f>VLOOKUP($A390,'[1]ma sp 02'!$A$5:$BD$1101,W$1,0)</f>
        <v>0</v>
      </c>
      <c r="X390" s="50">
        <f t="shared" si="12"/>
        <v>7</v>
      </c>
      <c r="Y390" s="57"/>
      <c r="Z390" s="57"/>
      <c r="AA390" s="57"/>
      <c r="AB390" s="57"/>
      <c r="AC390" s="57"/>
      <c r="AD390" s="57"/>
      <c r="AE390" s="58" t="s">
        <v>1312</v>
      </c>
      <c r="AF390" s="57"/>
      <c r="AG390" s="71">
        <f>(0.03*0.925+0.035*0.925)*1.27</f>
        <v>7.6358750000000017E-2</v>
      </c>
      <c r="AH390" s="63">
        <f>(2/0.75/2)*1.26</f>
        <v>1.68</v>
      </c>
      <c r="AI390" s="63"/>
      <c r="AJ390" s="58">
        <v>9530</v>
      </c>
      <c r="AK390" s="57"/>
      <c r="AL390" s="58">
        <v>2E-3</v>
      </c>
      <c r="AM390" s="52" t="s">
        <v>1313</v>
      </c>
      <c r="AN390" s="58">
        <v>1270</v>
      </c>
      <c r="AO390" s="52" t="s">
        <v>959</v>
      </c>
      <c r="AP390" s="59">
        <f>IFERROR(VLOOKUP($A390,[2]Mssp!$A$5:$BE$1463,AP$4+1,0),0)</f>
        <v>0</v>
      </c>
      <c r="AQ390" s="59">
        <f>IFERROR(VLOOKUP($A390,[2]Mssp!$A$5:$BE$1463,AQ$4+1,0),0)</f>
        <v>0</v>
      </c>
      <c r="AR390" s="59">
        <f>IFERROR(VLOOKUP($A390,[2]Mssp!$A$5:$BE$1463,AR$4+1,0),0)</f>
        <v>0</v>
      </c>
      <c r="AS390" s="59">
        <f>IFERROR(VLOOKUP($A390,[2]Mssp!$A$5:$BE$1463,AS$4+1,0),0)</f>
        <v>0</v>
      </c>
      <c r="AT390" s="59">
        <f>IFERROR(VLOOKUP($A390,[2]Mssp!$A$5:$BE$1463,AT$4+1,0),0)</f>
        <v>0</v>
      </c>
      <c r="AU390" s="59">
        <f>IFERROR(VLOOKUP($A390,[2]Mssp!$A$5:$BE$1463,AU$4+1,0),0)</f>
        <v>0</v>
      </c>
      <c r="AV390" s="59">
        <f>IFERROR(VLOOKUP($A390,[2]Mssp!$A$5:$BE$1463,AV$4+1,0),0)</f>
        <v>0</v>
      </c>
      <c r="AW390" s="59">
        <f>IFERROR(VLOOKUP($A390,[2]Mssp!$A$5:$BE$1463,AW$4+1,0),0)</f>
        <v>0</v>
      </c>
      <c r="AX390" s="59">
        <f>IFERROR(VLOOKUP($A390,[2]Mssp!$A$5:$BE$1463,AX$4+1,0),0)</f>
        <v>0</v>
      </c>
      <c r="AY390" s="59">
        <f>IFERROR(VLOOKUP($A390,[2]Mssp!$A$5:$BE$1463,AY$4+2,0),0)</f>
        <v>0</v>
      </c>
      <c r="AZ390" s="59">
        <f>IFERROR(VLOOKUP($A390,[2]Mssp!$A$5:$BE$1463,AZ$4+2,0),0)</f>
        <v>0</v>
      </c>
      <c r="BA390" s="60" t="s">
        <v>106</v>
      </c>
      <c r="BB390" s="61" t="s">
        <v>107</v>
      </c>
      <c r="BC390" s="62"/>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c r="CK390" s="9"/>
      <c r="CL390" s="9"/>
      <c r="CM390" s="9"/>
      <c r="CN390" s="9"/>
      <c r="CO390" s="9"/>
      <c r="CP390" s="9"/>
    </row>
    <row r="391" spans="1:94" ht="75" x14ac:dyDescent="0.25">
      <c r="A391" s="50" t="s">
        <v>1314</v>
      </c>
      <c r="B391" s="73" t="s">
        <v>1315</v>
      </c>
      <c r="C391" s="50">
        <f t="shared" si="13"/>
        <v>7.7700000000000005</v>
      </c>
      <c r="D391" s="58">
        <v>3</v>
      </c>
      <c r="E391" s="58" t="s">
        <v>113</v>
      </c>
      <c r="F391" s="58">
        <v>6</v>
      </c>
      <c r="G391" s="50" t="s">
        <v>530</v>
      </c>
      <c r="H391" s="50">
        <f>VLOOKUP($A391,'[1]ma sp 02'!$A$5:$BD$1101,H$1,0)</f>
        <v>0.06</v>
      </c>
      <c r="I391" s="50">
        <f>VLOOKUP($A391,'[1]ma sp 02'!$A$5:$BD$1101,I$1,0)</f>
        <v>3.45</v>
      </c>
      <c r="J391" s="50">
        <f>VLOOKUP($A391,'[1]ma sp 02'!$A$5:$BD$1101,J$1,0)</f>
        <v>0.37</v>
      </c>
      <c r="K391" s="50">
        <f>VLOOKUP($A391,'[1]ma sp 02'!$A$5:$BD$1101,K$1,0)</f>
        <v>7.0000000000000007E-2</v>
      </c>
      <c r="L391" s="50">
        <f>VLOOKUP($A391,'[1]ma sp 02'!$A$5:$BD$1101,L$1,0)</f>
        <v>1.99</v>
      </c>
      <c r="M391" s="50">
        <f>VLOOKUP($A391,'[1]ma sp 02'!$A$5:$BD$1101,M$1,0)</f>
        <v>1.54</v>
      </c>
      <c r="N391" s="50">
        <f>VLOOKUP($A391,'[1]ma sp 02'!$A$5:$BD$1101,N$1,0)</f>
        <v>0</v>
      </c>
      <c r="O391" s="50">
        <f>VLOOKUP($A391,'[1]ma sp 02'!$A$5:$BD$1101,O$1,0)</f>
        <v>0.03</v>
      </c>
      <c r="P391" s="50">
        <f>VLOOKUP($A391,'[1]ma sp 02'!$A$5:$BD$1101,P$1,0)</f>
        <v>0.26</v>
      </c>
      <c r="Q391" s="50">
        <f>VLOOKUP($A391,'[1]ma sp 02'!$A$5:$BD$1101,Q$1,0)</f>
        <v>0</v>
      </c>
      <c r="R391" s="50">
        <f>VLOOKUP($A391,'[1]ma sp 02'!$A$5:$BD$1101,R$1,0)</f>
        <v>0</v>
      </c>
      <c r="S391" s="50">
        <f>VLOOKUP($A391,'[1]ma sp 02'!$A$5:$BD$1101,S$1,0)</f>
        <v>0</v>
      </c>
      <c r="T391" s="50">
        <f>VLOOKUP($A391,'[1]ma sp 02'!$A$5:$BD$1101,T$1,0)</f>
        <v>0</v>
      </c>
      <c r="U391" s="50">
        <f>VLOOKUP($A391,'[1]ma sp 02'!$A$5:$BD$1101,U$1,0)</f>
        <v>0</v>
      </c>
      <c r="V391" s="50">
        <f>VLOOKUP($A391,'[1]ma sp 02'!$A$5:$BD$1101,V$1,0)</f>
        <v>0</v>
      </c>
      <c r="W391" s="50">
        <f>VLOOKUP($A391,'[1]ma sp 02'!$A$5:$BD$1101,W$1,0)</f>
        <v>0</v>
      </c>
      <c r="X391" s="50">
        <f t="shared" si="12"/>
        <v>8</v>
      </c>
      <c r="Y391" s="57"/>
      <c r="Z391" s="57"/>
      <c r="AA391" s="57"/>
      <c r="AB391" s="57"/>
      <c r="AC391" s="57"/>
      <c r="AD391" s="57"/>
      <c r="AE391" s="58" t="s">
        <v>115</v>
      </c>
      <c r="AF391" s="58" t="s">
        <v>321</v>
      </c>
      <c r="AG391" s="71">
        <f>(0.012*1.4+0.012*1.4+0.075*0.925)*0.74</f>
        <v>7.6201500000000005E-2</v>
      </c>
      <c r="AH391" s="63">
        <f>(2.3/0.75/2)*0.73</f>
        <v>1.1193333333333333</v>
      </c>
      <c r="AI391" s="63">
        <f>(3/0.75/2)*0.73</f>
        <v>1.46</v>
      </c>
      <c r="AJ391" s="58">
        <v>9530</v>
      </c>
      <c r="AK391" s="58">
        <v>9530</v>
      </c>
      <c r="AL391" s="58" t="s">
        <v>117</v>
      </c>
      <c r="AM391" s="52" t="s">
        <v>60</v>
      </c>
      <c r="AN391" s="58">
        <v>270</v>
      </c>
      <c r="AO391" s="52" t="s">
        <v>916</v>
      </c>
      <c r="AP391" s="59">
        <f>IFERROR(VLOOKUP($A391,[2]Mssp!$A$5:$BE$1463,AP$4+1,0),0)</f>
        <v>0</v>
      </c>
      <c r="AQ391" s="59">
        <f>IFERROR(VLOOKUP($A391,[2]Mssp!$A$5:$BE$1463,AQ$4+1,0),0)</f>
        <v>0</v>
      </c>
      <c r="AR391" s="59">
        <f>IFERROR(VLOOKUP($A391,[2]Mssp!$A$5:$BE$1463,AR$4+1,0),0)</f>
        <v>0</v>
      </c>
      <c r="AS391" s="59">
        <f>IFERROR(VLOOKUP($A391,[2]Mssp!$A$5:$BE$1463,AS$4+1,0),0)</f>
        <v>0</v>
      </c>
      <c r="AT391" s="59">
        <f>IFERROR(VLOOKUP($A391,[2]Mssp!$A$5:$BE$1463,AT$4+1,0),0)</f>
        <v>0</v>
      </c>
      <c r="AU391" s="59">
        <f>IFERROR(VLOOKUP($A391,[2]Mssp!$A$5:$BE$1463,AU$4+1,0),0)</f>
        <v>0</v>
      </c>
      <c r="AV391" s="59">
        <f>IFERROR(VLOOKUP($A391,[2]Mssp!$A$5:$BE$1463,AV$4+1,0),0)</f>
        <v>0</v>
      </c>
      <c r="AW391" s="59">
        <f>IFERROR(VLOOKUP($A391,[2]Mssp!$A$5:$BE$1463,AW$4+1,0),0)</f>
        <v>0</v>
      </c>
      <c r="AX391" s="59">
        <f>IFERROR(VLOOKUP($A391,[2]Mssp!$A$5:$BE$1463,AX$4+1,0),0)</f>
        <v>0</v>
      </c>
      <c r="AY391" s="59">
        <f>IFERROR(VLOOKUP($A391,[2]Mssp!$A$5:$BE$1463,AY$4+2,0),0)</f>
        <v>0</v>
      </c>
      <c r="AZ391" s="59">
        <f>IFERROR(VLOOKUP($A391,[2]Mssp!$A$5:$BE$1463,AZ$4+2,0),0)</f>
        <v>0</v>
      </c>
      <c r="BA391" s="60">
        <v>3000</v>
      </c>
      <c r="BB391" s="61" t="s">
        <v>119</v>
      </c>
      <c r="BC391" s="62"/>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c r="CK391" s="9"/>
      <c r="CL391" s="9"/>
      <c r="CM391" s="9"/>
      <c r="CN391" s="9"/>
      <c r="CO391" s="9"/>
      <c r="CP391" s="9"/>
    </row>
    <row r="392" spans="1:94" ht="75" x14ac:dyDescent="0.25">
      <c r="A392" s="50" t="s">
        <v>1316</v>
      </c>
      <c r="B392" s="73" t="s">
        <v>1317</v>
      </c>
      <c r="C392" s="50">
        <f t="shared" si="13"/>
        <v>8.39</v>
      </c>
      <c r="D392" s="58">
        <v>3</v>
      </c>
      <c r="E392" s="58" t="s">
        <v>113</v>
      </c>
      <c r="F392" s="58">
        <v>6</v>
      </c>
      <c r="G392" s="50" t="s">
        <v>530</v>
      </c>
      <c r="H392" s="50">
        <f>VLOOKUP($A392,'[1]ma sp 02'!$A$5:$BD$1101,H$1,0)</f>
        <v>0.08</v>
      </c>
      <c r="I392" s="50">
        <f>VLOOKUP($A392,'[1]ma sp 02'!$A$5:$BD$1101,I$1,0)</f>
        <v>3.71</v>
      </c>
      <c r="J392" s="50">
        <f>VLOOKUP($A392,'[1]ma sp 02'!$A$5:$BD$1101,J$1,0)</f>
        <v>0.06</v>
      </c>
      <c r="K392" s="50">
        <f>VLOOKUP($A392,'[1]ma sp 02'!$A$5:$BD$1101,K$1,0)</f>
        <v>0.5</v>
      </c>
      <c r="L392" s="50">
        <f>VLOOKUP($A392,'[1]ma sp 02'!$A$5:$BD$1101,L$1,0)</f>
        <v>1.78</v>
      </c>
      <c r="M392" s="50">
        <f>VLOOKUP($A392,'[1]ma sp 02'!$A$5:$BD$1101,M$1,0)</f>
        <v>1.82</v>
      </c>
      <c r="N392" s="50">
        <f>VLOOKUP($A392,'[1]ma sp 02'!$A$5:$BD$1101,N$1,0)</f>
        <v>0</v>
      </c>
      <c r="O392" s="50">
        <f>VLOOKUP($A392,'[1]ma sp 02'!$A$5:$BD$1101,O$1,0)</f>
        <v>0.02</v>
      </c>
      <c r="P392" s="50">
        <f>VLOOKUP($A392,'[1]ma sp 02'!$A$5:$BD$1101,P$1,0)</f>
        <v>0.42</v>
      </c>
      <c r="Q392" s="50">
        <f>VLOOKUP($A392,'[1]ma sp 02'!$A$5:$BD$1101,Q$1,0)</f>
        <v>0</v>
      </c>
      <c r="R392" s="50">
        <f>VLOOKUP($A392,'[1]ma sp 02'!$A$5:$BD$1101,R$1,0)</f>
        <v>0</v>
      </c>
      <c r="S392" s="50">
        <f>VLOOKUP($A392,'[1]ma sp 02'!$A$5:$BD$1101,S$1,0)</f>
        <v>0</v>
      </c>
      <c r="T392" s="50">
        <f>VLOOKUP($A392,'[1]ma sp 02'!$A$5:$BD$1101,T$1,0)</f>
        <v>0</v>
      </c>
      <c r="U392" s="50">
        <f>VLOOKUP($A392,'[1]ma sp 02'!$A$5:$BD$1101,U$1,0)</f>
        <v>0</v>
      </c>
      <c r="V392" s="50">
        <f>VLOOKUP($A392,'[1]ma sp 02'!$A$5:$BD$1101,V$1,0)</f>
        <v>0</v>
      </c>
      <c r="W392" s="50">
        <f>VLOOKUP($A392,'[1]ma sp 02'!$A$5:$BD$1101,W$1,0)</f>
        <v>0</v>
      </c>
      <c r="X392" s="50">
        <f t="shared" si="12"/>
        <v>8</v>
      </c>
      <c r="Y392" s="57"/>
      <c r="Z392" s="57"/>
      <c r="AA392" s="57"/>
      <c r="AB392" s="57"/>
      <c r="AC392" s="57"/>
      <c r="AD392" s="57"/>
      <c r="AE392" s="58" t="s">
        <v>115</v>
      </c>
      <c r="AF392" s="58" t="s">
        <v>321</v>
      </c>
      <c r="AG392" s="71">
        <f>(0.012*1.4+0.012*1.4+0.075*0.925)*0.74</f>
        <v>7.6201500000000005E-2</v>
      </c>
      <c r="AH392" s="63">
        <f>(2.3/0.75/2)*0.73</f>
        <v>1.1193333333333333</v>
      </c>
      <c r="AI392" s="63">
        <f>(3/0.75/2)*0.73</f>
        <v>1.46</v>
      </c>
      <c r="AJ392" s="58">
        <v>9530</v>
      </c>
      <c r="AK392" s="58">
        <v>9530</v>
      </c>
      <c r="AL392" s="58" t="s">
        <v>117</v>
      </c>
      <c r="AM392" s="52" t="s">
        <v>60</v>
      </c>
      <c r="AN392" s="58">
        <v>270</v>
      </c>
      <c r="AO392" s="52" t="s">
        <v>916</v>
      </c>
      <c r="AP392" s="59">
        <f>IFERROR(VLOOKUP($A392,[2]Mssp!$A$5:$BE$1463,AP$4+1,0),0)</f>
        <v>0</v>
      </c>
      <c r="AQ392" s="59">
        <f>IFERROR(VLOOKUP($A392,[2]Mssp!$A$5:$BE$1463,AQ$4+1,0),0)</f>
        <v>0</v>
      </c>
      <c r="AR392" s="59">
        <f>IFERROR(VLOOKUP($A392,[2]Mssp!$A$5:$BE$1463,AR$4+1,0),0)</f>
        <v>0</v>
      </c>
      <c r="AS392" s="59">
        <f>IFERROR(VLOOKUP($A392,[2]Mssp!$A$5:$BE$1463,AS$4+1,0),0)</f>
        <v>0</v>
      </c>
      <c r="AT392" s="59">
        <f>IFERROR(VLOOKUP($A392,[2]Mssp!$A$5:$BE$1463,AT$4+1,0),0)</f>
        <v>0</v>
      </c>
      <c r="AU392" s="59">
        <f>IFERROR(VLOOKUP($A392,[2]Mssp!$A$5:$BE$1463,AU$4+1,0),0)</f>
        <v>0</v>
      </c>
      <c r="AV392" s="59">
        <f>IFERROR(VLOOKUP($A392,[2]Mssp!$A$5:$BE$1463,AV$4+1,0),0)</f>
        <v>0</v>
      </c>
      <c r="AW392" s="59">
        <f>IFERROR(VLOOKUP($A392,[2]Mssp!$A$5:$BE$1463,AW$4+1,0),0)</f>
        <v>0</v>
      </c>
      <c r="AX392" s="59">
        <f>IFERROR(VLOOKUP($A392,[2]Mssp!$A$5:$BE$1463,AX$4+1,0),0)</f>
        <v>0</v>
      </c>
      <c r="AY392" s="59">
        <f>IFERROR(VLOOKUP($A392,[2]Mssp!$A$5:$BE$1463,AY$4+2,0),0)</f>
        <v>0</v>
      </c>
      <c r="AZ392" s="59">
        <f>IFERROR(VLOOKUP($A392,[2]Mssp!$A$5:$BE$1463,AZ$4+2,0),0)</f>
        <v>0</v>
      </c>
      <c r="BA392" s="60">
        <v>3000</v>
      </c>
      <c r="BB392" s="61" t="s">
        <v>119</v>
      </c>
      <c r="BC392" s="62"/>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9"/>
      <c r="CK392" s="9"/>
      <c r="CL392" s="9"/>
      <c r="CM392" s="9"/>
      <c r="CN392" s="9"/>
      <c r="CO392" s="9"/>
      <c r="CP392" s="9"/>
    </row>
    <row r="393" spans="1:94" ht="75" x14ac:dyDescent="0.25">
      <c r="A393" s="50" t="s">
        <v>1318</v>
      </c>
      <c r="B393" s="73" t="s">
        <v>1319</v>
      </c>
      <c r="C393" s="50">
        <f t="shared" si="13"/>
        <v>5.05</v>
      </c>
      <c r="D393" s="58">
        <v>3</v>
      </c>
      <c r="E393" s="58" t="s">
        <v>113</v>
      </c>
      <c r="F393" s="58">
        <v>6</v>
      </c>
      <c r="G393" s="50" t="s">
        <v>530</v>
      </c>
      <c r="H393" s="50">
        <f>VLOOKUP($A393,'[1]ma sp 02'!$A$5:$BD$1101,H$1,0)</f>
        <v>0.11</v>
      </c>
      <c r="I393" s="50">
        <f>VLOOKUP($A393,'[1]ma sp 02'!$A$5:$BD$1101,I$1,0)</f>
        <v>1.8</v>
      </c>
      <c r="J393" s="50">
        <f>VLOOKUP($A393,'[1]ma sp 02'!$A$5:$BD$1101,J$1,0)</f>
        <v>1.01</v>
      </c>
      <c r="K393" s="50">
        <f>VLOOKUP($A393,'[1]ma sp 02'!$A$5:$BD$1101,K$1,0)</f>
        <v>0.11</v>
      </c>
      <c r="L393" s="50">
        <f>VLOOKUP($A393,'[1]ma sp 02'!$A$5:$BD$1101,L$1,0)</f>
        <v>0.45</v>
      </c>
      <c r="M393" s="50">
        <f>VLOOKUP($A393,'[1]ma sp 02'!$A$5:$BD$1101,M$1,0)</f>
        <v>1.1200000000000001</v>
      </c>
      <c r="N393" s="50">
        <f>VLOOKUP($A393,'[1]ma sp 02'!$A$5:$BD$1101,N$1,0)</f>
        <v>0</v>
      </c>
      <c r="O393" s="50">
        <f>VLOOKUP($A393,'[1]ma sp 02'!$A$5:$BD$1101,O$1,0)</f>
        <v>0</v>
      </c>
      <c r="P393" s="50">
        <f>VLOOKUP($A393,'[1]ma sp 02'!$A$5:$BD$1101,P$1,0)</f>
        <v>0.45</v>
      </c>
      <c r="Q393" s="50">
        <f>VLOOKUP($A393,'[1]ma sp 02'!$A$5:$BD$1101,Q$1,0)</f>
        <v>0</v>
      </c>
      <c r="R393" s="50">
        <f>VLOOKUP($A393,'[1]ma sp 02'!$A$5:$BD$1101,R$1,0)</f>
        <v>0</v>
      </c>
      <c r="S393" s="50">
        <f>VLOOKUP($A393,'[1]ma sp 02'!$A$5:$BD$1101,S$1,0)</f>
        <v>0</v>
      </c>
      <c r="T393" s="50">
        <f>VLOOKUP($A393,'[1]ma sp 02'!$A$5:$BD$1101,T$1,0)</f>
        <v>0</v>
      </c>
      <c r="U393" s="50">
        <f>VLOOKUP($A393,'[1]ma sp 02'!$A$5:$BD$1101,U$1,0)</f>
        <v>0</v>
      </c>
      <c r="V393" s="50">
        <f>VLOOKUP($A393,'[1]ma sp 02'!$A$5:$BD$1101,V$1,0)</f>
        <v>0</v>
      </c>
      <c r="W393" s="50">
        <f>VLOOKUP($A393,'[1]ma sp 02'!$A$5:$BD$1101,W$1,0)</f>
        <v>0</v>
      </c>
      <c r="X393" s="50">
        <f t="shared" si="12"/>
        <v>7</v>
      </c>
      <c r="Y393" s="57"/>
      <c r="Z393" s="57"/>
      <c r="AA393" s="57"/>
      <c r="AB393" s="57"/>
      <c r="AC393" s="57"/>
      <c r="AD393" s="57"/>
      <c r="AE393" s="58" t="s">
        <v>115</v>
      </c>
      <c r="AF393" s="58" t="s">
        <v>321</v>
      </c>
      <c r="AG393" s="71">
        <f>(0.012*1.4+0.012*1.4+0.075*0.925)*0.74</f>
        <v>7.6201500000000005E-2</v>
      </c>
      <c r="AH393" s="63">
        <f>(2.3/0.75/2)*0.73</f>
        <v>1.1193333333333333</v>
      </c>
      <c r="AI393" s="63">
        <f>(3/0.75/2)*0.73</f>
        <v>1.46</v>
      </c>
      <c r="AJ393" s="58">
        <v>9530</v>
      </c>
      <c r="AK393" s="58">
        <v>9530</v>
      </c>
      <c r="AL393" s="58" t="s">
        <v>117</v>
      </c>
      <c r="AM393" s="52" t="s">
        <v>60</v>
      </c>
      <c r="AN393" s="58">
        <v>270</v>
      </c>
      <c r="AO393" s="52" t="s">
        <v>916</v>
      </c>
      <c r="AP393" s="59">
        <f>IFERROR(VLOOKUP($A393,[2]Mssp!$A$5:$BE$1463,AP$4+1,0),0)</f>
        <v>0</v>
      </c>
      <c r="AQ393" s="59">
        <f>IFERROR(VLOOKUP($A393,[2]Mssp!$A$5:$BE$1463,AQ$4+1,0),0)</f>
        <v>0</v>
      </c>
      <c r="AR393" s="59">
        <f>IFERROR(VLOOKUP($A393,[2]Mssp!$A$5:$BE$1463,AR$4+1,0),0)</f>
        <v>0</v>
      </c>
      <c r="AS393" s="59">
        <f>IFERROR(VLOOKUP($A393,[2]Mssp!$A$5:$BE$1463,AS$4+1,0),0)</f>
        <v>0</v>
      </c>
      <c r="AT393" s="59">
        <f>IFERROR(VLOOKUP($A393,[2]Mssp!$A$5:$BE$1463,AT$4+1,0),0)</f>
        <v>0</v>
      </c>
      <c r="AU393" s="59">
        <f>IFERROR(VLOOKUP($A393,[2]Mssp!$A$5:$BE$1463,AU$4+1,0),0)</f>
        <v>0</v>
      </c>
      <c r="AV393" s="59">
        <f>IFERROR(VLOOKUP($A393,[2]Mssp!$A$5:$BE$1463,AV$4+1,0),0)</f>
        <v>0</v>
      </c>
      <c r="AW393" s="59">
        <f>IFERROR(VLOOKUP($A393,[2]Mssp!$A$5:$BE$1463,AW$4+1,0),0)</f>
        <v>0</v>
      </c>
      <c r="AX393" s="59">
        <f>IFERROR(VLOOKUP($A393,[2]Mssp!$A$5:$BE$1463,AX$4+1,0),0)</f>
        <v>0</v>
      </c>
      <c r="AY393" s="59">
        <f>IFERROR(VLOOKUP($A393,[2]Mssp!$A$5:$BE$1463,AY$4+2,0),0)</f>
        <v>0</v>
      </c>
      <c r="AZ393" s="59">
        <f>IFERROR(VLOOKUP($A393,[2]Mssp!$A$5:$BE$1463,AZ$4+2,0),0)</f>
        <v>0</v>
      </c>
      <c r="BA393" s="60">
        <v>3000</v>
      </c>
      <c r="BB393" s="61" t="s">
        <v>119</v>
      </c>
      <c r="BC393" s="62"/>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9"/>
      <c r="CK393" s="9"/>
      <c r="CL393" s="9"/>
      <c r="CM393" s="9"/>
      <c r="CN393" s="9"/>
      <c r="CO393" s="9"/>
      <c r="CP393" s="9"/>
    </row>
    <row r="394" spans="1:94" ht="45" x14ac:dyDescent="0.25">
      <c r="A394" s="50" t="s">
        <v>1320</v>
      </c>
      <c r="B394" s="73" t="s">
        <v>1321</v>
      </c>
      <c r="C394" s="50">
        <f t="shared" si="13"/>
        <v>0</v>
      </c>
      <c r="D394" s="58">
        <v>1</v>
      </c>
      <c r="E394" s="58" t="s">
        <v>351</v>
      </c>
      <c r="F394" s="58">
        <v>0</v>
      </c>
      <c r="G394" s="50" t="s">
        <v>530</v>
      </c>
      <c r="H394" s="50">
        <f>VLOOKUP($A394,'[1]ma sp 02'!$A$5:$BD$1101,H$1,0)</f>
        <v>0</v>
      </c>
      <c r="I394" s="50">
        <f>VLOOKUP($A394,'[1]ma sp 02'!$A$5:$BD$1101,I$1,0)</f>
        <v>0</v>
      </c>
      <c r="J394" s="50">
        <f>VLOOKUP($A394,'[1]ma sp 02'!$A$5:$BD$1101,J$1,0)</f>
        <v>0</v>
      </c>
      <c r="K394" s="50">
        <f>VLOOKUP($A394,'[1]ma sp 02'!$A$5:$BD$1101,K$1,0)</f>
        <v>0</v>
      </c>
      <c r="L394" s="50">
        <f>VLOOKUP($A394,'[1]ma sp 02'!$A$5:$BD$1101,L$1,0)</f>
        <v>0</v>
      </c>
      <c r="M394" s="50">
        <f>VLOOKUP($A394,'[1]ma sp 02'!$A$5:$BD$1101,M$1,0)</f>
        <v>0</v>
      </c>
      <c r="N394" s="50">
        <f>VLOOKUP($A394,'[1]ma sp 02'!$A$5:$BD$1101,N$1,0)</f>
        <v>0</v>
      </c>
      <c r="O394" s="50">
        <f>VLOOKUP($A394,'[1]ma sp 02'!$A$5:$BD$1101,O$1,0)</f>
        <v>0</v>
      </c>
      <c r="P394" s="50">
        <f>VLOOKUP($A394,'[1]ma sp 02'!$A$5:$BD$1101,P$1,0)</f>
        <v>0</v>
      </c>
      <c r="Q394" s="50">
        <f>VLOOKUP($A394,'[1]ma sp 02'!$A$5:$BD$1101,Q$1,0)</f>
        <v>0</v>
      </c>
      <c r="R394" s="50">
        <f>VLOOKUP($A394,'[1]ma sp 02'!$A$5:$BD$1101,R$1,0)</f>
        <v>0</v>
      </c>
      <c r="S394" s="50">
        <f>VLOOKUP($A394,'[1]ma sp 02'!$A$5:$BD$1101,S$1,0)</f>
        <v>0</v>
      </c>
      <c r="T394" s="50">
        <f>VLOOKUP($A394,'[1]ma sp 02'!$A$5:$BD$1101,T$1,0)</f>
        <v>0</v>
      </c>
      <c r="U394" s="50">
        <f>VLOOKUP($A394,'[1]ma sp 02'!$A$5:$BD$1101,U$1,0)</f>
        <v>0</v>
      </c>
      <c r="V394" s="50">
        <f>VLOOKUP($A394,'[1]ma sp 02'!$A$5:$BD$1101,V$1,0)</f>
        <v>0</v>
      </c>
      <c r="W394" s="50">
        <f>VLOOKUP($A394,'[1]ma sp 02'!$A$5:$BD$1101,W$1,0)</f>
        <v>0</v>
      </c>
      <c r="X394" s="50">
        <f t="shared" ref="X394:X457" si="14">COUNTIF(H394:W394, "&gt;0")</f>
        <v>0</v>
      </c>
      <c r="Y394" s="57"/>
      <c r="Z394" s="57"/>
      <c r="AA394" s="57"/>
      <c r="AB394" s="57"/>
      <c r="AC394" s="57"/>
      <c r="AD394" s="57"/>
      <c r="AE394" s="58" t="s">
        <v>499</v>
      </c>
      <c r="AF394" s="58" t="s">
        <v>1322</v>
      </c>
      <c r="AG394" s="71">
        <f>(0.012*1.4+0.006*2.71+0.075*0.925)*0.81</f>
        <v>8.297235E-2</v>
      </c>
      <c r="AH394" s="63">
        <f>(2.3/0.75/2)*0.79</f>
        <v>1.2113333333333334</v>
      </c>
      <c r="AI394" s="63">
        <f>(3/0.75/2)*0.79</f>
        <v>1.58</v>
      </c>
      <c r="AJ394" s="58">
        <v>9530</v>
      </c>
      <c r="AK394" s="58">
        <v>9530</v>
      </c>
      <c r="AL394" s="58" t="s">
        <v>117</v>
      </c>
      <c r="AM394" s="52" t="s">
        <v>958</v>
      </c>
      <c r="AN394" s="58">
        <v>780</v>
      </c>
      <c r="AO394" s="52" t="s">
        <v>962</v>
      </c>
      <c r="AP394" s="59">
        <f>IFERROR(VLOOKUP($A394,[2]Mssp!$A$5:$BE$1463,AP$4+1,0),0)</f>
        <v>0</v>
      </c>
      <c r="AQ394" s="59">
        <f>IFERROR(VLOOKUP($A394,[2]Mssp!$A$5:$BE$1463,AQ$4+1,0),0)</f>
        <v>0</v>
      </c>
      <c r="AR394" s="59">
        <f>IFERROR(VLOOKUP($A394,[2]Mssp!$A$5:$BE$1463,AR$4+1,0),0)</f>
        <v>0</v>
      </c>
      <c r="AS394" s="59">
        <f>IFERROR(VLOOKUP($A394,[2]Mssp!$A$5:$BE$1463,AS$4+1,0),0)</f>
        <v>0</v>
      </c>
      <c r="AT394" s="59">
        <f>IFERROR(VLOOKUP($A394,[2]Mssp!$A$5:$BE$1463,AT$4+1,0),0)</f>
        <v>0</v>
      </c>
      <c r="AU394" s="59">
        <f>IFERROR(VLOOKUP($A394,[2]Mssp!$A$5:$BE$1463,AU$4+1,0),0)</f>
        <v>0</v>
      </c>
      <c r="AV394" s="59">
        <f>IFERROR(VLOOKUP($A394,[2]Mssp!$A$5:$BE$1463,AV$4+1,0),0)</f>
        <v>0</v>
      </c>
      <c r="AW394" s="59">
        <f>IFERROR(VLOOKUP($A394,[2]Mssp!$A$5:$BE$1463,AW$4+1,0),0)</f>
        <v>0</v>
      </c>
      <c r="AX394" s="59">
        <f>IFERROR(VLOOKUP($A394,[2]Mssp!$A$5:$BE$1463,AX$4+1,0),0)</f>
        <v>0</v>
      </c>
      <c r="AY394" s="59">
        <f>IFERROR(VLOOKUP($A394,[2]Mssp!$A$5:$BE$1463,AY$4+2,0),0)</f>
        <v>0</v>
      </c>
      <c r="AZ394" s="59">
        <f>IFERROR(VLOOKUP($A394,[2]Mssp!$A$5:$BE$1463,AZ$4+2,0),0)</f>
        <v>0</v>
      </c>
      <c r="BA394" s="60" t="s">
        <v>106</v>
      </c>
      <c r="BB394" s="61" t="s">
        <v>107</v>
      </c>
      <c r="BC394" s="62"/>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c r="CK394" s="9"/>
      <c r="CL394" s="9"/>
      <c r="CM394" s="9"/>
      <c r="CN394" s="9"/>
      <c r="CO394" s="9"/>
      <c r="CP394" s="9"/>
    </row>
    <row r="395" spans="1:94" ht="45" x14ac:dyDescent="0.25">
      <c r="A395" s="50" t="s">
        <v>1323</v>
      </c>
      <c r="B395" s="73" t="s">
        <v>1324</v>
      </c>
      <c r="C395" s="50">
        <f t="shared" si="13"/>
        <v>0</v>
      </c>
      <c r="D395" s="58">
        <v>1</v>
      </c>
      <c r="E395" s="58" t="s">
        <v>393</v>
      </c>
      <c r="F395" s="58">
        <v>7</v>
      </c>
      <c r="G395" s="50" t="s">
        <v>530</v>
      </c>
      <c r="H395" s="50">
        <f>VLOOKUP($A395,'[1]ma sp 02'!$A$5:$BD$1101,H$1,0)</f>
        <v>0</v>
      </c>
      <c r="I395" s="50">
        <f>VLOOKUP($A395,'[1]ma sp 02'!$A$5:$BD$1101,I$1,0)</f>
        <v>0</v>
      </c>
      <c r="J395" s="50">
        <f>VLOOKUP($A395,'[1]ma sp 02'!$A$5:$BD$1101,J$1,0)</f>
        <v>0</v>
      </c>
      <c r="K395" s="50">
        <f>VLOOKUP($A395,'[1]ma sp 02'!$A$5:$BD$1101,K$1,0)</f>
        <v>0</v>
      </c>
      <c r="L395" s="50">
        <f>VLOOKUP($A395,'[1]ma sp 02'!$A$5:$BD$1101,L$1,0)</f>
        <v>0</v>
      </c>
      <c r="M395" s="50">
        <f>VLOOKUP($A395,'[1]ma sp 02'!$A$5:$BD$1101,M$1,0)</f>
        <v>0</v>
      </c>
      <c r="N395" s="50">
        <f>VLOOKUP($A395,'[1]ma sp 02'!$A$5:$BD$1101,N$1,0)</f>
        <v>0</v>
      </c>
      <c r="O395" s="50">
        <f>VLOOKUP($A395,'[1]ma sp 02'!$A$5:$BD$1101,O$1,0)</f>
        <v>0</v>
      </c>
      <c r="P395" s="50">
        <f>VLOOKUP($A395,'[1]ma sp 02'!$A$5:$BD$1101,P$1,0)</f>
        <v>0</v>
      </c>
      <c r="Q395" s="50">
        <f>VLOOKUP($A395,'[1]ma sp 02'!$A$5:$BD$1101,Q$1,0)</f>
        <v>0</v>
      </c>
      <c r="R395" s="50">
        <f>VLOOKUP($A395,'[1]ma sp 02'!$A$5:$BD$1101,R$1,0)</f>
        <v>0</v>
      </c>
      <c r="S395" s="50">
        <f>VLOOKUP($A395,'[1]ma sp 02'!$A$5:$BD$1101,S$1,0)</f>
        <v>0</v>
      </c>
      <c r="T395" s="50">
        <f>VLOOKUP($A395,'[1]ma sp 02'!$A$5:$BD$1101,T$1,0)</f>
        <v>0</v>
      </c>
      <c r="U395" s="50">
        <f>VLOOKUP($A395,'[1]ma sp 02'!$A$5:$BD$1101,U$1,0)</f>
        <v>0</v>
      </c>
      <c r="V395" s="50">
        <f>VLOOKUP($A395,'[1]ma sp 02'!$A$5:$BD$1101,V$1,0)</f>
        <v>0</v>
      </c>
      <c r="W395" s="50">
        <f>VLOOKUP($A395,'[1]ma sp 02'!$A$5:$BD$1101,W$1,0)</f>
        <v>0</v>
      </c>
      <c r="X395" s="50">
        <f t="shared" si="14"/>
        <v>0</v>
      </c>
      <c r="Y395" s="57"/>
      <c r="Z395" s="57"/>
      <c r="AA395" s="57"/>
      <c r="AB395" s="57"/>
      <c r="AC395" s="57"/>
      <c r="AD395" s="57"/>
      <c r="AE395" s="58" t="s">
        <v>394</v>
      </c>
      <c r="AF395" s="58" t="s">
        <v>906</v>
      </c>
      <c r="AG395" s="71">
        <f>(0.012*1.4+0.012*1.4+0.075*0.925)*0.66</f>
        <v>6.796350000000001E-2</v>
      </c>
      <c r="AH395" s="63">
        <f>(2.3/0.75/2)*0.65</f>
        <v>0.99666666666666659</v>
      </c>
      <c r="AI395" s="63">
        <f>(2.3/0.75/2)*0.65</f>
        <v>0.99666666666666659</v>
      </c>
      <c r="AJ395" s="58">
        <v>9530</v>
      </c>
      <c r="AK395" s="58">
        <v>9530</v>
      </c>
      <c r="AL395" s="58" t="s">
        <v>354</v>
      </c>
      <c r="AM395" s="52" t="s">
        <v>74</v>
      </c>
      <c r="AN395" s="58">
        <v>220</v>
      </c>
      <c r="AO395" s="52" t="s">
        <v>1325</v>
      </c>
      <c r="AP395" s="59" t="str">
        <f>IFERROR(VLOOKUP($A395,[2]Mssp!$A$5:$BE$1463,AP$4+1,0),0)</f>
        <v>1804920-1</v>
      </c>
      <c r="AQ395" s="59" t="str">
        <f>IFERROR(VLOOKUP($A395,[2]Mssp!$A$5:$BE$1463,AQ$4+1,0),0)</f>
        <v>1804920-2</v>
      </c>
      <c r="AR395" s="59" t="str">
        <f>IFERROR(VLOOKUP($A395,[2]Mssp!$A$5:$BE$1463,AR$4+1,0),0)</f>
        <v>1804920-3</v>
      </c>
      <c r="AS395" s="59" t="str">
        <f>IFERROR(VLOOKUP($A395,[2]Mssp!$A$5:$BE$1463,AS$4+1,0),0)</f>
        <v>1804920-4</v>
      </c>
      <c r="AT395" s="59" t="str">
        <f>IFERROR(VLOOKUP($A395,[2]Mssp!$A$5:$BE$1463,AT$4+1,0),0)</f>
        <v>1804920-5</v>
      </c>
      <c r="AU395" s="59" t="str">
        <f>IFERROR(VLOOKUP($A395,[2]Mssp!$A$5:$BE$1463,AU$4+1,0),0)</f>
        <v>1804920-6</v>
      </c>
      <c r="AV395" s="59" t="str">
        <f>IFERROR(VLOOKUP($A395,[2]Mssp!$A$5:$BE$1463,AV$4+1,0),0)</f>
        <v>1804920-7</v>
      </c>
      <c r="AW395" s="59">
        <f>IFERROR(VLOOKUP($A395,[2]Mssp!$A$5:$BE$1463,AW$4+1,0),0)</f>
        <v>0</v>
      </c>
      <c r="AX395" s="59">
        <f>IFERROR(VLOOKUP($A395,[2]Mssp!$A$5:$BE$1463,AX$4+1,0),0)</f>
        <v>0</v>
      </c>
      <c r="AY395" s="59" t="str">
        <f>IFERROR(VLOOKUP($A395,[2]Mssp!$A$5:$BE$1463,AY$4+2,0),0)</f>
        <v>440x750</v>
      </c>
      <c r="AZ395" s="59" t="str">
        <f>IFERROR(VLOOKUP($A395,[2]Mssp!$A$5:$BE$1463,AZ$4+2,0),0)</f>
        <v>P2</v>
      </c>
      <c r="BA395" s="60">
        <v>2000</v>
      </c>
      <c r="BB395" s="61" t="s">
        <v>62</v>
      </c>
      <c r="BC395" s="62"/>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9"/>
      <c r="CK395" s="9"/>
      <c r="CL395" s="9"/>
      <c r="CM395" s="9"/>
      <c r="CN395" s="9"/>
      <c r="CO395" s="9"/>
      <c r="CP395" s="9"/>
    </row>
    <row r="396" spans="1:94" ht="75" x14ac:dyDescent="0.25">
      <c r="A396" s="50" t="s">
        <v>1326</v>
      </c>
      <c r="B396" s="73" t="s">
        <v>1327</v>
      </c>
      <c r="C396" s="50">
        <f t="shared" si="13"/>
        <v>7.3500000000000005</v>
      </c>
      <c r="D396" s="58">
        <v>1</v>
      </c>
      <c r="E396" s="58" t="s">
        <v>131</v>
      </c>
      <c r="F396" s="58">
        <v>6</v>
      </c>
      <c r="G396" s="50" t="s">
        <v>530</v>
      </c>
      <c r="H396" s="50">
        <f>VLOOKUP($A396,'[1]ma sp 02'!$A$5:$BD$1101,H$1,0)</f>
        <v>0.25</v>
      </c>
      <c r="I396" s="50">
        <f>VLOOKUP($A396,'[1]ma sp 02'!$A$5:$BD$1101,I$1,0)</f>
        <v>2.2000000000000002</v>
      </c>
      <c r="J396" s="50">
        <f>VLOOKUP($A396,'[1]ma sp 02'!$A$5:$BD$1101,J$1,0)</f>
        <v>0.1</v>
      </c>
      <c r="K396" s="50">
        <f>VLOOKUP($A396,'[1]ma sp 02'!$A$5:$BD$1101,K$1,0)</f>
        <v>0.1</v>
      </c>
      <c r="L396" s="50">
        <f>VLOOKUP($A396,'[1]ma sp 02'!$A$5:$BD$1101,L$1,0)</f>
        <v>1.5</v>
      </c>
      <c r="M396" s="50">
        <f>VLOOKUP($A396,'[1]ma sp 02'!$A$5:$BD$1101,M$1,0)</f>
        <v>1.5</v>
      </c>
      <c r="N396" s="50">
        <f>VLOOKUP($A396,'[1]ma sp 02'!$A$5:$BD$1101,N$1,0)</f>
        <v>0</v>
      </c>
      <c r="O396" s="50">
        <f>VLOOKUP($A396,'[1]ma sp 02'!$A$5:$BD$1101,O$1,0)</f>
        <v>1.5</v>
      </c>
      <c r="P396" s="50">
        <f>VLOOKUP($A396,'[1]ma sp 02'!$A$5:$BD$1101,P$1,0)</f>
        <v>0.2</v>
      </c>
      <c r="Q396" s="50">
        <f>VLOOKUP($A396,'[1]ma sp 02'!$A$5:$BD$1101,Q$1,0)</f>
        <v>0</v>
      </c>
      <c r="R396" s="50">
        <f>VLOOKUP($A396,'[1]ma sp 02'!$A$5:$BD$1101,R$1,0)</f>
        <v>0</v>
      </c>
      <c r="S396" s="50">
        <f>VLOOKUP($A396,'[1]ma sp 02'!$A$5:$BD$1101,S$1,0)</f>
        <v>0</v>
      </c>
      <c r="T396" s="50">
        <f>VLOOKUP($A396,'[1]ma sp 02'!$A$5:$BD$1101,T$1,0)</f>
        <v>0</v>
      </c>
      <c r="U396" s="50">
        <f>VLOOKUP($A396,'[1]ma sp 02'!$A$5:$BD$1101,U$1,0)</f>
        <v>0</v>
      </c>
      <c r="V396" s="50">
        <f>VLOOKUP($A396,'[1]ma sp 02'!$A$5:$BD$1101,V$1,0)</f>
        <v>0</v>
      </c>
      <c r="W396" s="50">
        <f>VLOOKUP($A396,'[1]ma sp 02'!$A$5:$BD$1101,W$1,0)</f>
        <v>0</v>
      </c>
      <c r="X396" s="50">
        <f t="shared" si="14"/>
        <v>8</v>
      </c>
      <c r="Y396" s="57"/>
      <c r="Z396" s="57"/>
      <c r="AA396" s="57"/>
      <c r="AB396" s="57"/>
      <c r="AC396" s="57"/>
      <c r="AD396" s="57"/>
      <c r="AE396" s="58" t="s">
        <v>78</v>
      </c>
      <c r="AF396" s="58" t="s">
        <v>324</v>
      </c>
      <c r="AG396" s="71">
        <f>(0.012*1.4+0.012*1.4+0.075*0.925)*0.62</f>
        <v>6.3844500000000012E-2</v>
      </c>
      <c r="AH396" s="63">
        <f>(3/0.75/2)*0.61</f>
        <v>1.22</v>
      </c>
      <c r="AI396" s="63">
        <f>(3/0.75/2)*0.61</f>
        <v>1.22</v>
      </c>
      <c r="AJ396" s="58">
        <v>9530</v>
      </c>
      <c r="AK396" s="58">
        <v>9530</v>
      </c>
      <c r="AL396" s="58" t="s">
        <v>1328</v>
      </c>
      <c r="AM396" s="52" t="s">
        <v>1329</v>
      </c>
      <c r="AN396" s="58">
        <v>200</v>
      </c>
      <c r="AO396" s="52" t="s">
        <v>1201</v>
      </c>
      <c r="AP396" s="59">
        <f>IFERROR(VLOOKUP($A396,[2]Mssp!$A$5:$BE$1463,AP$4+1,0),0)</f>
        <v>0</v>
      </c>
      <c r="AQ396" s="59">
        <f>IFERROR(VLOOKUP($A396,[2]Mssp!$A$5:$BE$1463,AQ$4+1,0),0)</f>
        <v>0</v>
      </c>
      <c r="AR396" s="59">
        <f>IFERROR(VLOOKUP($A396,[2]Mssp!$A$5:$BE$1463,AR$4+1,0),0)</f>
        <v>0</v>
      </c>
      <c r="AS396" s="59">
        <f>IFERROR(VLOOKUP($A396,[2]Mssp!$A$5:$BE$1463,AS$4+1,0),0)</f>
        <v>0</v>
      </c>
      <c r="AT396" s="59">
        <f>IFERROR(VLOOKUP($A396,[2]Mssp!$A$5:$BE$1463,AT$4+1,0),0)</f>
        <v>0</v>
      </c>
      <c r="AU396" s="59">
        <f>IFERROR(VLOOKUP($A396,[2]Mssp!$A$5:$BE$1463,AU$4+1,0),0)</f>
        <v>0</v>
      </c>
      <c r="AV396" s="59">
        <f>IFERROR(VLOOKUP($A396,[2]Mssp!$A$5:$BE$1463,AV$4+1,0),0)</f>
        <v>0</v>
      </c>
      <c r="AW396" s="59">
        <f>IFERROR(VLOOKUP($A396,[2]Mssp!$A$5:$BE$1463,AW$4+1,0),0)</f>
        <v>0</v>
      </c>
      <c r="AX396" s="59">
        <f>IFERROR(VLOOKUP($A396,[2]Mssp!$A$5:$BE$1463,AX$4+1,0),0)</f>
        <v>0</v>
      </c>
      <c r="AY396" s="59">
        <f>IFERROR(VLOOKUP($A396,[2]Mssp!$A$5:$BE$1463,AY$4+2,0),0)</f>
        <v>0</v>
      </c>
      <c r="AZ396" s="59">
        <f>IFERROR(VLOOKUP($A396,[2]Mssp!$A$5:$BE$1463,AZ$4+2,0),0)</f>
        <v>0</v>
      </c>
      <c r="BA396" s="60">
        <v>2000</v>
      </c>
      <c r="BB396" s="61" t="s">
        <v>62</v>
      </c>
      <c r="BC396" s="62"/>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c r="CK396" s="9"/>
      <c r="CL396" s="9"/>
      <c r="CM396" s="9"/>
      <c r="CN396" s="9"/>
      <c r="CO396" s="9"/>
      <c r="CP396" s="9"/>
    </row>
    <row r="397" spans="1:94" ht="75" x14ac:dyDescent="0.25">
      <c r="A397" s="77" t="s">
        <v>1330</v>
      </c>
      <c r="B397" s="73" t="s">
        <v>1331</v>
      </c>
      <c r="C397" s="50"/>
      <c r="D397" s="58">
        <v>2</v>
      </c>
      <c r="E397" s="58" t="s">
        <v>131</v>
      </c>
      <c r="F397" s="58">
        <v>6</v>
      </c>
      <c r="G397" s="50" t="s">
        <v>530</v>
      </c>
      <c r="H397" s="50">
        <f>VLOOKUP($A397,'[1]ma sp 02'!$A$5:$BD$1101,H$1,0)</f>
        <v>0</v>
      </c>
      <c r="I397" s="50">
        <f>VLOOKUP($A397,'[1]ma sp 02'!$A$5:$BD$1101,I$1,0)</f>
        <v>0.96</v>
      </c>
      <c r="J397" s="50">
        <f>VLOOKUP($A397,'[1]ma sp 02'!$A$5:$BD$1101,J$1,0)</f>
        <v>0.41</v>
      </c>
      <c r="K397" s="50">
        <f>VLOOKUP($A397,'[1]ma sp 02'!$A$5:$BD$1101,K$1,0)</f>
        <v>0.22</v>
      </c>
      <c r="L397" s="50">
        <f>VLOOKUP($A397,'[1]ma sp 02'!$A$5:$BD$1101,L$1,0)</f>
        <v>1.34</v>
      </c>
      <c r="M397" s="50">
        <f>VLOOKUP($A397,'[1]ma sp 02'!$A$5:$BD$1101,M$1,0)</f>
        <v>0.48</v>
      </c>
      <c r="N397" s="50">
        <f>VLOOKUP($A397,'[1]ma sp 02'!$A$5:$BD$1101,N$1,0)</f>
        <v>2.87</v>
      </c>
      <c r="O397" s="50">
        <f>VLOOKUP($A397,'[1]ma sp 02'!$A$5:$BD$1101,O$1,0)</f>
        <v>0.01</v>
      </c>
      <c r="P397" s="50">
        <f>VLOOKUP($A397,'[1]ma sp 02'!$A$5:$BD$1101,P$1,0)</f>
        <v>0</v>
      </c>
      <c r="Q397" s="50">
        <f>VLOOKUP($A397,'[1]ma sp 02'!$A$5:$BD$1101,Q$1,0)</f>
        <v>0</v>
      </c>
      <c r="R397" s="50">
        <f>VLOOKUP($A397,'[1]ma sp 02'!$A$5:$BD$1101,R$1,0)</f>
        <v>0</v>
      </c>
      <c r="S397" s="50">
        <f>VLOOKUP($A397,'[1]ma sp 02'!$A$5:$BD$1101,S$1,0)</f>
        <v>0</v>
      </c>
      <c r="T397" s="50">
        <f>VLOOKUP($A397,'[1]ma sp 02'!$A$5:$BD$1101,T$1,0)</f>
        <v>0</v>
      </c>
      <c r="U397" s="50">
        <f>VLOOKUP($A397,'[1]ma sp 02'!$A$5:$BD$1101,U$1,0)</f>
        <v>0</v>
      </c>
      <c r="V397" s="50">
        <f>VLOOKUP($A397,'[1]ma sp 02'!$A$5:$BD$1101,V$1,0)</f>
        <v>0</v>
      </c>
      <c r="W397" s="50">
        <f>VLOOKUP($A397,'[1]ma sp 02'!$A$5:$BD$1101,W$1,0)</f>
        <v>0</v>
      </c>
      <c r="X397" s="50">
        <f t="shared" si="14"/>
        <v>7</v>
      </c>
      <c r="Y397" s="57"/>
      <c r="Z397" s="57"/>
      <c r="AA397" s="57"/>
      <c r="AB397" s="57"/>
      <c r="AC397" s="57"/>
      <c r="AD397" s="57"/>
      <c r="AE397" s="58" t="s">
        <v>78</v>
      </c>
      <c r="AF397" s="58" t="s">
        <v>324</v>
      </c>
      <c r="AG397" s="71">
        <f>(0.012*1.4+0.012*1.4+0.075*0.925)*0.62</f>
        <v>6.3844500000000012E-2</v>
      </c>
      <c r="AH397" s="63">
        <f>(3/0.75/2)*0.61</f>
        <v>1.22</v>
      </c>
      <c r="AI397" s="63">
        <f>(3/0.75/2)*0.61</f>
        <v>1.22</v>
      </c>
      <c r="AJ397" s="58">
        <v>9530</v>
      </c>
      <c r="AK397" s="58">
        <v>9530</v>
      </c>
      <c r="AL397" s="58" t="s">
        <v>117</v>
      </c>
      <c r="AM397" s="52" t="s">
        <v>60</v>
      </c>
      <c r="AN397" s="58">
        <v>340</v>
      </c>
      <c r="AO397" s="67" t="s">
        <v>916</v>
      </c>
      <c r="AP397" s="59">
        <f>IFERROR(VLOOKUP($A397,[2]Mssp!$A$5:$BE$1463,AP$4+1,0),0)</f>
        <v>0</v>
      </c>
      <c r="AQ397" s="59">
        <f>IFERROR(VLOOKUP($A397,[2]Mssp!$A$5:$BE$1463,AQ$4+1,0),0)</f>
        <v>0</v>
      </c>
      <c r="AR397" s="59">
        <f>IFERROR(VLOOKUP($A397,[2]Mssp!$A$5:$BE$1463,AR$4+1,0),0)</f>
        <v>0</v>
      </c>
      <c r="AS397" s="59">
        <f>IFERROR(VLOOKUP($A397,[2]Mssp!$A$5:$BE$1463,AS$4+1,0),0)</f>
        <v>0</v>
      </c>
      <c r="AT397" s="59">
        <f>IFERROR(VLOOKUP($A397,[2]Mssp!$A$5:$BE$1463,AT$4+1,0),0)</f>
        <v>0</v>
      </c>
      <c r="AU397" s="59">
        <f>IFERROR(VLOOKUP($A397,[2]Mssp!$A$5:$BE$1463,AU$4+1,0),0)</f>
        <v>0</v>
      </c>
      <c r="AV397" s="59">
        <f>IFERROR(VLOOKUP($A397,[2]Mssp!$A$5:$BE$1463,AV$4+1,0),0)</f>
        <v>0</v>
      </c>
      <c r="AW397" s="59">
        <f>IFERROR(VLOOKUP($A397,[2]Mssp!$A$5:$BE$1463,AW$4+1,0),0)</f>
        <v>0</v>
      </c>
      <c r="AX397" s="59">
        <f>IFERROR(VLOOKUP($A397,[2]Mssp!$A$5:$BE$1463,AX$4+1,0),0)</f>
        <v>0</v>
      </c>
      <c r="AY397" s="59">
        <f>IFERROR(VLOOKUP($A397,[2]Mssp!$A$5:$BE$1463,AY$4+2,0),0)</f>
        <v>0</v>
      </c>
      <c r="AZ397" s="59">
        <f>IFERROR(VLOOKUP($A397,[2]Mssp!$A$5:$BE$1463,AZ$4+2,0),0)</f>
        <v>0</v>
      </c>
      <c r="BA397" s="68">
        <v>2000</v>
      </c>
      <c r="BB397" s="61" t="s">
        <v>119</v>
      </c>
      <c r="BC397" s="62"/>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9"/>
      <c r="CK397" s="9"/>
      <c r="CL397" s="9"/>
      <c r="CM397" s="9"/>
      <c r="CN397" s="9"/>
      <c r="CO397" s="9"/>
      <c r="CP397" s="9"/>
    </row>
    <row r="398" spans="1:94" ht="45" x14ac:dyDescent="0.25">
      <c r="A398" s="50" t="s">
        <v>1332</v>
      </c>
      <c r="B398" s="73" t="s">
        <v>1333</v>
      </c>
      <c r="C398" s="50">
        <f t="shared" si="13"/>
        <v>6.1999999999999993</v>
      </c>
      <c r="D398" s="58">
        <v>2</v>
      </c>
      <c r="E398" s="58" t="s">
        <v>887</v>
      </c>
      <c r="F398" s="58">
        <v>7</v>
      </c>
      <c r="G398" s="50" t="s">
        <v>530</v>
      </c>
      <c r="H398" s="50">
        <f>VLOOKUP($A398,'[1]ma sp 02'!$A$5:$BD$1101,H$1,0)</f>
        <v>0.1</v>
      </c>
      <c r="I398" s="50">
        <f>VLOOKUP($A398,'[1]ma sp 02'!$A$5:$BD$1101,I$1,0)</f>
        <v>3</v>
      </c>
      <c r="J398" s="50">
        <f>VLOOKUP($A398,'[1]ma sp 02'!$A$5:$BD$1101,J$1,0)</f>
        <v>0.3</v>
      </c>
      <c r="K398" s="50">
        <f>VLOOKUP($A398,'[1]ma sp 02'!$A$5:$BD$1101,K$1,0)</f>
        <v>0.1</v>
      </c>
      <c r="L398" s="50">
        <f>VLOOKUP($A398,'[1]ma sp 02'!$A$5:$BD$1101,L$1,0)</f>
        <v>2.6</v>
      </c>
      <c r="M398" s="50">
        <f>VLOOKUP($A398,'[1]ma sp 02'!$A$5:$BD$1101,M$1,0)</f>
        <v>0</v>
      </c>
      <c r="N398" s="50">
        <f>VLOOKUP($A398,'[1]ma sp 02'!$A$5:$BD$1101,N$1,0)</f>
        <v>0</v>
      </c>
      <c r="O398" s="50">
        <f>VLOOKUP($A398,'[1]ma sp 02'!$A$5:$BD$1101,O$1,0)</f>
        <v>0</v>
      </c>
      <c r="P398" s="50">
        <f>VLOOKUP($A398,'[1]ma sp 02'!$A$5:$BD$1101,P$1,0)</f>
        <v>0</v>
      </c>
      <c r="Q398" s="50">
        <f>VLOOKUP($A398,'[1]ma sp 02'!$A$5:$BD$1101,Q$1,0)</f>
        <v>0</v>
      </c>
      <c r="R398" s="50">
        <f>VLOOKUP($A398,'[1]ma sp 02'!$A$5:$BD$1101,R$1,0)</f>
        <v>0.1</v>
      </c>
      <c r="S398" s="50">
        <f>VLOOKUP($A398,'[1]ma sp 02'!$A$5:$BD$1101,S$1,0)</f>
        <v>0</v>
      </c>
      <c r="T398" s="50">
        <f>VLOOKUP($A398,'[1]ma sp 02'!$A$5:$BD$1101,T$1,0)</f>
        <v>0</v>
      </c>
      <c r="U398" s="50">
        <f>VLOOKUP($A398,'[1]ma sp 02'!$A$5:$BD$1101,U$1,0)</f>
        <v>0</v>
      </c>
      <c r="V398" s="50">
        <f>VLOOKUP($A398,'[1]ma sp 02'!$A$5:$BD$1101,V$1,0)</f>
        <v>0</v>
      </c>
      <c r="W398" s="50">
        <f>VLOOKUP($A398,'[1]ma sp 02'!$A$5:$BD$1101,W$1,0)</f>
        <v>0</v>
      </c>
      <c r="X398" s="50">
        <f t="shared" si="14"/>
        <v>6</v>
      </c>
      <c r="Y398" s="57"/>
      <c r="Z398" s="57"/>
      <c r="AA398" s="57"/>
      <c r="AB398" s="57"/>
      <c r="AC398" s="57"/>
      <c r="AD398" s="57"/>
      <c r="AE398" s="58" t="s">
        <v>888</v>
      </c>
      <c r="AF398" s="58" t="s">
        <v>1334</v>
      </c>
      <c r="AG398" s="71">
        <f>(0.012*1.4+0.006*2.71+0.075*0.925)*0.6</f>
        <v>6.1460999999999995E-2</v>
      </c>
      <c r="AH398" s="63">
        <f>(2.3/0.75/2)*0.59</f>
        <v>0.90466666666666651</v>
      </c>
      <c r="AI398" s="63">
        <f>(3/0.75/2)*0.59</f>
        <v>1.18</v>
      </c>
      <c r="AJ398" s="58">
        <v>9530</v>
      </c>
      <c r="AK398" s="58">
        <v>9530</v>
      </c>
      <c r="AL398" s="58" t="s">
        <v>117</v>
      </c>
      <c r="AM398" s="52" t="s">
        <v>611</v>
      </c>
      <c r="AN398" s="58">
        <v>290</v>
      </c>
      <c r="AO398" s="52" t="s">
        <v>612</v>
      </c>
      <c r="AP398" s="59" t="str">
        <f>IFERROR(VLOOKUP($A398,[2]Mssp!$A$5:$BE$1463,AP$4+1,0),0)</f>
        <v>20111111-1</v>
      </c>
      <c r="AQ398" s="59" t="str">
        <f>IFERROR(VLOOKUP($A398,[2]Mssp!$A$5:$BE$1463,AQ$4+1,0),0)</f>
        <v>18041053-2</v>
      </c>
      <c r="AR398" s="59" t="str">
        <f>IFERROR(VLOOKUP($A398,[2]Mssp!$A$5:$BE$1463,AR$4+1,0),0)</f>
        <v>18041053-3</v>
      </c>
      <c r="AS398" s="59" t="str">
        <f>IFERROR(VLOOKUP($A398,[2]Mssp!$A$5:$BE$1463,AS$4+1,0),0)</f>
        <v>18041053-4</v>
      </c>
      <c r="AT398" s="59" t="str">
        <f>IFERROR(VLOOKUP($A398,[2]Mssp!$A$5:$BE$1463,AT$4+1,0),0)</f>
        <v>20111111-5</v>
      </c>
      <c r="AU398" s="59" t="str">
        <f>IFERROR(VLOOKUP($A398,[2]Mssp!$A$5:$BE$1463,AU$4+1,0),0)</f>
        <v>18041053-6</v>
      </c>
      <c r="AV398" s="59" t="str">
        <f>IFERROR(VLOOKUP($A398,[2]Mssp!$A$5:$BE$1463,AV$4+1,0),0)</f>
        <v>18041053-7</v>
      </c>
      <c r="AW398" s="59">
        <f>IFERROR(VLOOKUP($A398,[2]Mssp!$A$5:$BE$1463,AW$4+1,0),0)</f>
        <v>0</v>
      </c>
      <c r="AX398" s="59">
        <f>IFERROR(VLOOKUP($A398,[2]Mssp!$A$5:$BE$1463,AX$4+1,0),0)</f>
        <v>0</v>
      </c>
      <c r="AY398" s="59" t="str">
        <f>IFERROR(VLOOKUP($A398,[2]Mssp!$A$5:$BE$1463,AY$4+2,0),0)</f>
        <v>450x750</v>
      </c>
      <c r="AZ398" s="59" t="str">
        <f>IFERROR(VLOOKUP($A398,[2]Mssp!$A$5:$BE$1463,AZ$4+2,0),0)</f>
        <v>D4</v>
      </c>
      <c r="BA398" s="60" t="s">
        <v>106</v>
      </c>
      <c r="BB398" s="61" t="s">
        <v>107</v>
      </c>
      <c r="BC398" s="62"/>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c r="CK398" s="9"/>
      <c r="CL398" s="9"/>
      <c r="CM398" s="9"/>
      <c r="CN398" s="9"/>
      <c r="CO398" s="9"/>
      <c r="CP398" s="9"/>
    </row>
    <row r="399" spans="1:94" ht="45" x14ac:dyDescent="0.25">
      <c r="A399" s="50" t="s">
        <v>1335</v>
      </c>
      <c r="B399" s="73" t="s">
        <v>1336</v>
      </c>
      <c r="C399" s="50">
        <f t="shared" si="13"/>
        <v>0.19999999999999998</v>
      </c>
      <c r="D399" s="58">
        <v>1</v>
      </c>
      <c r="E399" s="58" t="s">
        <v>1337</v>
      </c>
      <c r="F399" s="58">
        <v>1</v>
      </c>
      <c r="G399" s="50" t="s">
        <v>530</v>
      </c>
      <c r="H399" s="50">
        <f>VLOOKUP($A399,'[1]ma sp 02'!$A$5:$BD$1101,H$1,0)</f>
        <v>0</v>
      </c>
      <c r="I399" s="50">
        <f>VLOOKUP($A399,'[1]ma sp 02'!$A$5:$BD$1101,I$1,0)</f>
        <v>0.09</v>
      </c>
      <c r="J399" s="50">
        <f>VLOOKUP($A399,'[1]ma sp 02'!$A$5:$BD$1101,J$1,0)</f>
        <v>0.08</v>
      </c>
      <c r="K399" s="50">
        <f>VLOOKUP($A399,'[1]ma sp 02'!$A$5:$BD$1101,K$1,0)</f>
        <v>0</v>
      </c>
      <c r="L399" s="50">
        <f>VLOOKUP($A399,'[1]ma sp 02'!$A$5:$BD$1101,L$1,0)</f>
        <v>0</v>
      </c>
      <c r="M399" s="50">
        <f>VLOOKUP($A399,'[1]ma sp 02'!$A$5:$BD$1101,M$1,0)</f>
        <v>0</v>
      </c>
      <c r="N399" s="50">
        <f>VLOOKUP($A399,'[1]ma sp 02'!$A$5:$BD$1101,N$1,0)</f>
        <v>0</v>
      </c>
      <c r="O399" s="50">
        <f>VLOOKUP($A399,'[1]ma sp 02'!$A$5:$BD$1101,O$1,0)</f>
        <v>0</v>
      </c>
      <c r="P399" s="50">
        <f>VLOOKUP($A399,'[1]ma sp 02'!$A$5:$BD$1101,P$1,0)</f>
        <v>0</v>
      </c>
      <c r="Q399" s="50">
        <f>VLOOKUP($A399,'[1]ma sp 02'!$A$5:$BD$1101,Q$1,0)</f>
        <v>0</v>
      </c>
      <c r="R399" s="50">
        <f>VLOOKUP($A399,'[1]ma sp 02'!$A$5:$BD$1101,R$1,0)</f>
        <v>0</v>
      </c>
      <c r="S399" s="50">
        <f>VLOOKUP($A399,'[1]ma sp 02'!$A$5:$BD$1101,S$1,0)</f>
        <v>0</v>
      </c>
      <c r="T399" s="50">
        <f>VLOOKUP($A399,'[1]ma sp 02'!$A$5:$BD$1101,T$1,0)</f>
        <v>0</v>
      </c>
      <c r="U399" s="50">
        <f>VLOOKUP($A399,'[1]ma sp 02'!$A$5:$BD$1101,U$1,0)</f>
        <v>0</v>
      </c>
      <c r="V399" s="50">
        <f>VLOOKUP($A399,'[1]ma sp 02'!$A$5:$BD$1101,V$1,0)</f>
        <v>0</v>
      </c>
      <c r="W399" s="50">
        <f>VLOOKUP($A399,'[1]ma sp 02'!$A$5:$BD$1101,W$1,0)</f>
        <v>0.03</v>
      </c>
      <c r="X399" s="50">
        <f t="shared" si="14"/>
        <v>3</v>
      </c>
      <c r="Y399" s="57"/>
      <c r="Z399" s="57"/>
      <c r="AA399" s="57"/>
      <c r="AB399" s="57"/>
      <c r="AC399" s="57"/>
      <c r="AD399" s="57"/>
      <c r="AE399" s="58" t="s">
        <v>1180</v>
      </c>
      <c r="AF399" s="57"/>
      <c r="AG399" s="71">
        <f>(0.015*1.15+0.065*0.925)*0.55</f>
        <v>4.2556250000000004E-2</v>
      </c>
      <c r="AH399" s="63">
        <f>(2.3/0.75/2)*0.54</f>
        <v>0.82799999999999996</v>
      </c>
      <c r="AI399" s="63"/>
      <c r="AJ399" s="58">
        <v>9530</v>
      </c>
      <c r="AK399" s="57"/>
      <c r="AL399" s="58">
        <v>2E-3</v>
      </c>
      <c r="AM399" s="52" t="s">
        <v>509</v>
      </c>
      <c r="AN399" s="58">
        <v>410</v>
      </c>
      <c r="AO399" s="52" t="s">
        <v>1338</v>
      </c>
      <c r="AP399" s="59" t="str">
        <f>IFERROR(VLOOKUP($A399,[2]Mssp!$A$5:$BE$1463,AP$4+1,0),0)</f>
        <v>1805271-1</v>
      </c>
      <c r="AQ399" s="59">
        <f>IFERROR(VLOOKUP($A399,[2]Mssp!$A$5:$BE$1463,AQ$4+1,0),0)</f>
        <v>0</v>
      </c>
      <c r="AR399" s="59">
        <f>IFERROR(VLOOKUP($A399,[2]Mssp!$A$5:$BE$1463,AR$4+1,0),0)</f>
        <v>0</v>
      </c>
      <c r="AS399" s="59">
        <f>IFERROR(VLOOKUP($A399,[2]Mssp!$A$5:$BE$1463,AS$4+1,0),0)</f>
        <v>0</v>
      </c>
      <c r="AT399" s="59">
        <f>IFERROR(VLOOKUP($A399,[2]Mssp!$A$5:$BE$1463,AT$4+1,0),0)</f>
        <v>0</v>
      </c>
      <c r="AU399" s="59">
        <f>IFERROR(VLOOKUP($A399,[2]Mssp!$A$5:$BE$1463,AU$4+1,0),0)</f>
        <v>0</v>
      </c>
      <c r="AV399" s="59">
        <f>IFERROR(VLOOKUP($A399,[2]Mssp!$A$5:$BE$1463,AV$4+1,0),0)</f>
        <v>0</v>
      </c>
      <c r="AW399" s="59">
        <f>IFERROR(VLOOKUP($A399,[2]Mssp!$A$5:$BE$1463,AW$4+1,0),0)</f>
        <v>0</v>
      </c>
      <c r="AX399" s="59">
        <f>IFERROR(VLOOKUP($A399,[2]Mssp!$A$5:$BE$1463,AX$4+1,0),0)</f>
        <v>0</v>
      </c>
      <c r="AY399" s="59" t="str">
        <f>IFERROR(VLOOKUP($A399,[2]Mssp!$A$5:$BE$1463,AY$4+2,0),0)</f>
        <v>410x750</v>
      </c>
      <c r="AZ399" s="59" t="str">
        <f>IFERROR(VLOOKUP($A399,[2]Mssp!$A$5:$BE$1463,AZ$4+2,0),0)</f>
        <v>P2</v>
      </c>
      <c r="BA399" s="60">
        <v>2000</v>
      </c>
      <c r="BB399" s="61" t="s">
        <v>62</v>
      </c>
      <c r="BC399" s="62"/>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c r="CK399" s="9"/>
      <c r="CL399" s="9"/>
      <c r="CM399" s="9"/>
      <c r="CN399" s="9"/>
      <c r="CO399" s="9"/>
      <c r="CP399" s="9"/>
    </row>
    <row r="400" spans="1:94" ht="45" x14ac:dyDescent="0.25">
      <c r="A400" s="50" t="s">
        <v>1339</v>
      </c>
      <c r="B400" s="73" t="s">
        <v>1340</v>
      </c>
      <c r="C400" s="50">
        <f t="shared" si="13"/>
        <v>5.87</v>
      </c>
      <c r="D400" s="58">
        <v>2</v>
      </c>
      <c r="E400" s="58" t="s">
        <v>131</v>
      </c>
      <c r="F400" s="58">
        <v>6</v>
      </c>
      <c r="G400" s="50" t="s">
        <v>530</v>
      </c>
      <c r="H400" s="50">
        <f>VLOOKUP($A400,'[1]ma sp 02'!$A$5:$BD$1101,H$1,0)</f>
        <v>0.48</v>
      </c>
      <c r="I400" s="50">
        <f>VLOOKUP($A400,'[1]ma sp 02'!$A$5:$BD$1101,I$1,0)</f>
        <v>3.5</v>
      </c>
      <c r="J400" s="50">
        <f>VLOOKUP($A400,'[1]ma sp 02'!$A$5:$BD$1101,J$1,0)</f>
        <v>0.35</v>
      </c>
      <c r="K400" s="50">
        <f>VLOOKUP($A400,'[1]ma sp 02'!$A$5:$BD$1101,K$1,0)</f>
        <v>0.13</v>
      </c>
      <c r="L400" s="50">
        <f>VLOOKUP($A400,'[1]ma sp 02'!$A$5:$BD$1101,L$1,0)</f>
        <v>0.61</v>
      </c>
      <c r="M400" s="50">
        <f>VLOOKUP($A400,'[1]ma sp 02'!$A$5:$BD$1101,M$1,0)</f>
        <v>0.35</v>
      </c>
      <c r="N400" s="50">
        <f>VLOOKUP($A400,'[1]ma sp 02'!$A$5:$BD$1101,N$1,0)</f>
        <v>0</v>
      </c>
      <c r="O400" s="50">
        <f>VLOOKUP($A400,'[1]ma sp 02'!$A$5:$BD$1101,O$1,0)</f>
        <v>0</v>
      </c>
      <c r="P400" s="50">
        <f>VLOOKUP($A400,'[1]ma sp 02'!$A$5:$BD$1101,P$1,0)</f>
        <v>0.01</v>
      </c>
      <c r="Q400" s="50">
        <f>VLOOKUP($A400,'[1]ma sp 02'!$A$5:$BD$1101,Q$1,0)</f>
        <v>0.44</v>
      </c>
      <c r="R400" s="50">
        <f>VLOOKUP($A400,'[1]ma sp 02'!$A$5:$BD$1101,R$1,0)</f>
        <v>0</v>
      </c>
      <c r="S400" s="50">
        <f>VLOOKUP($A400,'[1]ma sp 02'!$A$5:$BD$1101,S$1,0)</f>
        <v>0</v>
      </c>
      <c r="T400" s="50">
        <f>VLOOKUP($A400,'[1]ma sp 02'!$A$5:$BD$1101,T$1,0)</f>
        <v>0</v>
      </c>
      <c r="U400" s="50">
        <f>VLOOKUP($A400,'[1]ma sp 02'!$A$5:$BD$1101,U$1,0)</f>
        <v>0</v>
      </c>
      <c r="V400" s="50">
        <f>VLOOKUP($A400,'[1]ma sp 02'!$A$5:$BD$1101,V$1,0)</f>
        <v>0</v>
      </c>
      <c r="W400" s="50">
        <f>VLOOKUP($A400,'[1]ma sp 02'!$A$5:$BD$1101,W$1,0)</f>
        <v>0</v>
      </c>
      <c r="X400" s="50">
        <f t="shared" si="14"/>
        <v>8</v>
      </c>
      <c r="Y400" s="57"/>
      <c r="Z400" s="57"/>
      <c r="AA400" s="57"/>
      <c r="AB400" s="57"/>
      <c r="AC400" s="57"/>
      <c r="AD400" s="57"/>
      <c r="AE400" s="58" t="s">
        <v>78</v>
      </c>
      <c r="AF400" s="58" t="s">
        <v>324</v>
      </c>
      <c r="AG400" s="71">
        <f>(0.012*1.4+0.012*1.4+0.075*0.925)*0.62</f>
        <v>6.3844500000000012E-2</v>
      </c>
      <c r="AH400" s="63">
        <f>(2.3/0.75/2)*0.61</f>
        <v>0.93533333333333324</v>
      </c>
      <c r="AI400" s="63">
        <f>(2.3/0.75/2)*0.61</f>
        <v>0.93533333333333324</v>
      </c>
      <c r="AJ400" s="58">
        <v>9530</v>
      </c>
      <c r="AK400" s="58">
        <v>9530</v>
      </c>
      <c r="AL400" s="58" t="s">
        <v>354</v>
      </c>
      <c r="AM400" s="52" t="s">
        <v>509</v>
      </c>
      <c r="AN400" s="58">
        <v>110</v>
      </c>
      <c r="AO400" s="52" t="s">
        <v>1341</v>
      </c>
      <c r="AP400" s="59" t="str">
        <f>IFERROR(VLOOKUP($A400,[2]Mssp!$A$5:$BE$1463,AP$4+1,0),0)</f>
        <v>1805441-1</v>
      </c>
      <c r="AQ400" s="59" t="str">
        <f>IFERROR(VLOOKUP($A400,[2]Mssp!$A$5:$BE$1463,AQ$4+1,0),0)</f>
        <v>1805441-2</v>
      </c>
      <c r="AR400" s="59" t="str">
        <f>IFERROR(VLOOKUP($A400,[2]Mssp!$A$5:$BE$1463,AR$4+1,0),0)</f>
        <v>1805441-3</v>
      </c>
      <c r="AS400" s="59" t="str">
        <f>IFERROR(VLOOKUP($A400,[2]Mssp!$A$5:$BE$1463,AS$4+1,0),0)</f>
        <v>1805441-4</v>
      </c>
      <c r="AT400" s="59" t="str">
        <f>IFERROR(VLOOKUP($A400,[2]Mssp!$A$5:$BE$1463,AT$4+1,0),0)</f>
        <v>1805441-5</v>
      </c>
      <c r="AU400" s="59" t="str">
        <f>IFERROR(VLOOKUP($A400,[2]Mssp!$A$5:$BE$1463,AU$4+1,0),0)</f>
        <v>1805441-6</v>
      </c>
      <c r="AV400" s="59">
        <f>IFERROR(VLOOKUP($A400,[2]Mssp!$A$5:$BE$1463,AV$4+1,0),0)</f>
        <v>0</v>
      </c>
      <c r="AW400" s="59">
        <f>IFERROR(VLOOKUP($A400,[2]Mssp!$A$5:$BE$1463,AW$4+1,0),0)</f>
        <v>0</v>
      </c>
      <c r="AX400" s="59">
        <f>IFERROR(VLOOKUP($A400,[2]Mssp!$A$5:$BE$1463,AX$4+1,0),0)</f>
        <v>0</v>
      </c>
      <c r="AY400" s="59" t="str">
        <f>IFERROR(VLOOKUP($A400,[2]Mssp!$A$5:$BE$1463,AY$4+2,0),0)</f>
        <v>440x750</v>
      </c>
      <c r="AZ400" s="59" t="str">
        <f>IFERROR(VLOOKUP($A400,[2]Mssp!$A$5:$BE$1463,AZ$4+2,0),0)</f>
        <v>T1</v>
      </c>
      <c r="BA400" s="60">
        <v>11000</v>
      </c>
      <c r="BB400" s="61" t="s">
        <v>62</v>
      </c>
      <c r="BC400" s="62"/>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c r="CK400" s="9"/>
      <c r="CL400" s="9"/>
      <c r="CM400" s="9"/>
      <c r="CN400" s="9"/>
      <c r="CO400" s="9"/>
      <c r="CP400" s="9"/>
    </row>
    <row r="401" spans="1:94" ht="45" x14ac:dyDescent="0.25">
      <c r="A401" s="50" t="s">
        <v>1342</v>
      </c>
      <c r="B401" s="73" t="s">
        <v>1343</v>
      </c>
      <c r="C401" s="50">
        <f t="shared" si="13"/>
        <v>4.7200000000000006</v>
      </c>
      <c r="D401" s="58">
        <v>3</v>
      </c>
      <c r="E401" s="58" t="s">
        <v>113</v>
      </c>
      <c r="F401" s="58">
        <v>7</v>
      </c>
      <c r="G401" s="50" t="s">
        <v>530</v>
      </c>
      <c r="H401" s="50">
        <f>VLOOKUP($A401,'[1]ma sp 02'!$A$5:$BD$1101,H$1,0)</f>
        <v>0.18</v>
      </c>
      <c r="I401" s="50">
        <f>VLOOKUP($A401,'[1]ma sp 02'!$A$5:$BD$1101,I$1,0)</f>
        <v>2.39</v>
      </c>
      <c r="J401" s="50">
        <f>VLOOKUP($A401,'[1]ma sp 02'!$A$5:$BD$1101,J$1,0)</f>
        <v>0.09</v>
      </c>
      <c r="K401" s="50">
        <f>VLOOKUP($A401,'[1]ma sp 02'!$A$5:$BD$1101,K$1,0)</f>
        <v>0.24</v>
      </c>
      <c r="L401" s="50">
        <f>VLOOKUP($A401,'[1]ma sp 02'!$A$5:$BD$1101,L$1,0)</f>
        <v>1</v>
      </c>
      <c r="M401" s="50">
        <f>VLOOKUP($A401,'[1]ma sp 02'!$A$5:$BD$1101,M$1,0)</f>
        <v>0.28999999999999998</v>
      </c>
      <c r="N401" s="50">
        <f>VLOOKUP($A401,'[1]ma sp 02'!$A$5:$BD$1101,N$1,0)</f>
        <v>0</v>
      </c>
      <c r="O401" s="50">
        <f>VLOOKUP($A401,'[1]ma sp 02'!$A$5:$BD$1101,O$1,0)</f>
        <v>0</v>
      </c>
      <c r="P401" s="50">
        <f>VLOOKUP($A401,'[1]ma sp 02'!$A$5:$BD$1101,P$1,0)</f>
        <v>0.41</v>
      </c>
      <c r="Q401" s="50">
        <f>VLOOKUP($A401,'[1]ma sp 02'!$A$5:$BD$1101,Q$1,0)</f>
        <v>0</v>
      </c>
      <c r="R401" s="50">
        <f>VLOOKUP($A401,'[1]ma sp 02'!$A$5:$BD$1101,R$1,0)</f>
        <v>0.12</v>
      </c>
      <c r="S401" s="50">
        <f>VLOOKUP($A401,'[1]ma sp 02'!$A$5:$BD$1101,S$1,0)</f>
        <v>0</v>
      </c>
      <c r="T401" s="50">
        <f>VLOOKUP($A401,'[1]ma sp 02'!$A$5:$BD$1101,T$1,0)</f>
        <v>0</v>
      </c>
      <c r="U401" s="50">
        <f>VLOOKUP($A401,'[1]ma sp 02'!$A$5:$BD$1101,U$1,0)</f>
        <v>0</v>
      </c>
      <c r="V401" s="50">
        <f>VLOOKUP($A401,'[1]ma sp 02'!$A$5:$BD$1101,V$1,0)</f>
        <v>0</v>
      </c>
      <c r="W401" s="50">
        <f>VLOOKUP($A401,'[1]ma sp 02'!$A$5:$BD$1101,W$1,0)</f>
        <v>0</v>
      </c>
      <c r="X401" s="50">
        <f t="shared" si="14"/>
        <v>8</v>
      </c>
      <c r="Y401" s="57"/>
      <c r="Z401" s="57"/>
      <c r="AA401" s="57"/>
      <c r="AB401" s="57"/>
      <c r="AC401" s="57"/>
      <c r="AD401" s="57"/>
      <c r="AE401" s="58" t="s">
        <v>115</v>
      </c>
      <c r="AF401" s="58" t="s">
        <v>321</v>
      </c>
      <c r="AG401" s="71">
        <f>(0.012*1.4+0.012*1.4+0.075*0.925)*0.74</f>
        <v>7.6201500000000005E-2</v>
      </c>
      <c r="AH401" s="63">
        <f>(2.3/0.75/2)*0.73</f>
        <v>1.1193333333333333</v>
      </c>
      <c r="AI401" s="63">
        <f>(2.3/0.75/2)*0.73</f>
        <v>1.1193333333333333</v>
      </c>
      <c r="AJ401" s="58">
        <v>9530</v>
      </c>
      <c r="AK401" s="58">
        <v>9530</v>
      </c>
      <c r="AL401" s="58" t="s">
        <v>354</v>
      </c>
      <c r="AM401" s="52" t="s">
        <v>74</v>
      </c>
      <c r="AN401" s="58">
        <v>160</v>
      </c>
      <c r="AO401" s="52" t="s">
        <v>1344</v>
      </c>
      <c r="AP401" s="59" t="str">
        <f>IFERROR(VLOOKUP($A401,[2]Mssp!$A$5:$BE$1463,AP$4+1,0),0)</f>
        <v>1805789-1</v>
      </c>
      <c r="AQ401" s="59" t="str">
        <f>IFERROR(VLOOKUP($A401,[2]Mssp!$A$5:$BE$1463,AQ$4+1,0),0)</f>
        <v>1805789-2</v>
      </c>
      <c r="AR401" s="59" t="str">
        <f>IFERROR(VLOOKUP($A401,[2]Mssp!$A$5:$BE$1463,AR$4+1,0),0)</f>
        <v>1805789-3</v>
      </c>
      <c r="AS401" s="59" t="str">
        <f>IFERROR(VLOOKUP($A401,[2]Mssp!$A$5:$BE$1463,AS$4+1,0),0)</f>
        <v>1805789-4</v>
      </c>
      <c r="AT401" s="59" t="str">
        <f>IFERROR(VLOOKUP($A401,[2]Mssp!$A$5:$BE$1463,AT$4+1,0),0)</f>
        <v>1805789-5</v>
      </c>
      <c r="AU401" s="59" t="str">
        <f>IFERROR(VLOOKUP($A401,[2]Mssp!$A$5:$BE$1463,AU$4+1,0),0)</f>
        <v>1805789-6</v>
      </c>
      <c r="AV401" s="59" t="str">
        <f>IFERROR(VLOOKUP($A401,[2]Mssp!$A$5:$BE$1463,AV$4+1,0),0)</f>
        <v>1805789-7</v>
      </c>
      <c r="AW401" s="59">
        <f>IFERROR(VLOOKUP($A401,[2]Mssp!$A$5:$BE$1463,AW$4+1,0),0)</f>
        <v>0</v>
      </c>
      <c r="AX401" s="59">
        <f>IFERROR(VLOOKUP($A401,[2]Mssp!$A$5:$BE$1463,AX$4+1,0),0)</f>
        <v>0</v>
      </c>
      <c r="AY401" s="59" t="str">
        <f>IFERROR(VLOOKUP($A401,[2]Mssp!$A$5:$BE$1463,AY$4+2,0),0)</f>
        <v>480x870</v>
      </c>
      <c r="AZ401" s="59" t="str">
        <f>IFERROR(VLOOKUP($A401,[2]Mssp!$A$5:$BE$1463,AZ$4+2,0),0)</f>
        <v>P2</v>
      </c>
      <c r="BA401" s="60">
        <v>10000</v>
      </c>
      <c r="BB401" s="61" t="s">
        <v>62</v>
      </c>
      <c r="BC401" s="62"/>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c r="CK401" s="9"/>
      <c r="CL401" s="9"/>
      <c r="CM401" s="9"/>
      <c r="CN401" s="9"/>
      <c r="CO401" s="9"/>
      <c r="CP401" s="9"/>
    </row>
    <row r="402" spans="1:94" ht="45" x14ac:dyDescent="0.25">
      <c r="A402" s="50" t="s">
        <v>1345</v>
      </c>
      <c r="B402" s="73" t="s">
        <v>1346</v>
      </c>
      <c r="C402" s="50">
        <f t="shared" si="13"/>
        <v>6.1000000000000005</v>
      </c>
      <c r="D402" s="58">
        <v>2</v>
      </c>
      <c r="E402" s="58" t="s">
        <v>113</v>
      </c>
      <c r="F402" s="58">
        <v>7</v>
      </c>
      <c r="G402" s="50" t="s">
        <v>530</v>
      </c>
      <c r="H402" s="50">
        <f>VLOOKUP($A402,'[1]ma sp 02'!$A$5:$BD$1101,H$1,0)</f>
        <v>0.37</v>
      </c>
      <c r="I402" s="50">
        <f>VLOOKUP($A402,'[1]ma sp 02'!$A$5:$BD$1101,I$1,0)</f>
        <v>2.93</v>
      </c>
      <c r="J402" s="50">
        <f>VLOOKUP($A402,'[1]ma sp 02'!$A$5:$BD$1101,J$1,0)</f>
        <v>0.01</v>
      </c>
      <c r="K402" s="50">
        <f>VLOOKUP($A402,'[1]ma sp 02'!$A$5:$BD$1101,K$1,0)</f>
        <v>0.16</v>
      </c>
      <c r="L402" s="50">
        <f>VLOOKUP($A402,'[1]ma sp 02'!$A$5:$BD$1101,L$1,0)</f>
        <v>1.05</v>
      </c>
      <c r="M402" s="50">
        <f>VLOOKUP($A402,'[1]ma sp 02'!$A$5:$BD$1101,M$1,0)</f>
        <v>1.33</v>
      </c>
      <c r="N402" s="50">
        <f>VLOOKUP($A402,'[1]ma sp 02'!$A$5:$BD$1101,N$1,0)</f>
        <v>0</v>
      </c>
      <c r="O402" s="50">
        <f>VLOOKUP($A402,'[1]ma sp 02'!$A$5:$BD$1101,O$1,0)</f>
        <v>0</v>
      </c>
      <c r="P402" s="50">
        <f>VLOOKUP($A402,'[1]ma sp 02'!$A$5:$BD$1101,P$1,0)</f>
        <v>0.25</v>
      </c>
      <c r="Q402" s="50">
        <f>VLOOKUP($A402,'[1]ma sp 02'!$A$5:$BD$1101,Q$1,0)</f>
        <v>0</v>
      </c>
      <c r="R402" s="50">
        <f>VLOOKUP($A402,'[1]ma sp 02'!$A$5:$BD$1101,R$1,0)</f>
        <v>0</v>
      </c>
      <c r="S402" s="50">
        <f>VLOOKUP($A402,'[1]ma sp 02'!$A$5:$BD$1101,S$1,0)</f>
        <v>0</v>
      </c>
      <c r="T402" s="50">
        <f>VLOOKUP($A402,'[1]ma sp 02'!$A$5:$BD$1101,T$1,0)</f>
        <v>0</v>
      </c>
      <c r="U402" s="50">
        <f>VLOOKUP($A402,'[1]ma sp 02'!$A$5:$BD$1101,U$1,0)</f>
        <v>0</v>
      </c>
      <c r="V402" s="50">
        <f>VLOOKUP($A402,'[1]ma sp 02'!$A$5:$BD$1101,V$1,0)</f>
        <v>0</v>
      </c>
      <c r="W402" s="50">
        <f>VLOOKUP($A402,'[1]ma sp 02'!$A$5:$BD$1101,W$1,0)</f>
        <v>0</v>
      </c>
      <c r="X402" s="50">
        <f t="shared" si="14"/>
        <v>7</v>
      </c>
      <c r="Y402" s="57"/>
      <c r="Z402" s="57"/>
      <c r="AA402" s="57"/>
      <c r="AB402" s="57"/>
      <c r="AC402" s="57"/>
      <c r="AD402" s="57"/>
      <c r="AE402" s="58" t="s">
        <v>115</v>
      </c>
      <c r="AF402" s="58" t="s">
        <v>321</v>
      </c>
      <c r="AG402" s="71">
        <f>(0.012*1.4+0.012*1.4+0.075*0.925)*0.74</f>
        <v>7.6201500000000005E-2</v>
      </c>
      <c r="AH402" s="63">
        <f>(2.3/0.75/2)*0.73</f>
        <v>1.1193333333333333</v>
      </c>
      <c r="AI402" s="63">
        <f>(2.3/0.75/2)*0.73</f>
        <v>1.1193333333333333</v>
      </c>
      <c r="AJ402" s="58">
        <v>9530</v>
      </c>
      <c r="AK402" s="58">
        <v>9530</v>
      </c>
      <c r="AL402" s="58" t="s">
        <v>354</v>
      </c>
      <c r="AM402" s="52" t="s">
        <v>74</v>
      </c>
      <c r="AN402" s="58">
        <v>125</v>
      </c>
      <c r="AO402" s="52" t="s">
        <v>1341</v>
      </c>
      <c r="AP402" s="59">
        <f>IFERROR(VLOOKUP($A402,[2]Mssp!$A$5:$BE$1463,AP$4+1,0),0)</f>
        <v>0</v>
      </c>
      <c r="AQ402" s="59">
        <f>IFERROR(VLOOKUP($A402,[2]Mssp!$A$5:$BE$1463,AQ$4+1,0),0)</f>
        <v>0</v>
      </c>
      <c r="AR402" s="59">
        <f>IFERROR(VLOOKUP($A402,[2]Mssp!$A$5:$BE$1463,AR$4+1,0),0)</f>
        <v>0</v>
      </c>
      <c r="AS402" s="59">
        <f>IFERROR(VLOOKUP($A402,[2]Mssp!$A$5:$BE$1463,AS$4+1,0),0)</f>
        <v>0</v>
      </c>
      <c r="AT402" s="59">
        <f>IFERROR(VLOOKUP($A402,[2]Mssp!$A$5:$BE$1463,AT$4+1,0),0)</f>
        <v>0</v>
      </c>
      <c r="AU402" s="59">
        <f>IFERROR(VLOOKUP($A402,[2]Mssp!$A$5:$BE$1463,AU$4+1,0),0)</f>
        <v>0</v>
      </c>
      <c r="AV402" s="59">
        <f>IFERROR(VLOOKUP($A402,[2]Mssp!$A$5:$BE$1463,AV$4+1,0),0)</f>
        <v>0</v>
      </c>
      <c r="AW402" s="59">
        <f>IFERROR(VLOOKUP($A402,[2]Mssp!$A$5:$BE$1463,AW$4+1,0),0)</f>
        <v>0</v>
      </c>
      <c r="AX402" s="59">
        <f>IFERROR(VLOOKUP($A402,[2]Mssp!$A$5:$BE$1463,AX$4+1,0),0)</f>
        <v>0</v>
      </c>
      <c r="AY402" s="59">
        <f>IFERROR(VLOOKUP($A402,[2]Mssp!$A$5:$BE$1463,AY$4+2,0),0)</f>
        <v>0</v>
      </c>
      <c r="AZ402" s="59">
        <f>IFERROR(VLOOKUP($A402,[2]Mssp!$A$5:$BE$1463,AZ$4+2,0),0)</f>
        <v>0</v>
      </c>
      <c r="BA402" s="60">
        <v>8000</v>
      </c>
      <c r="BB402" s="61" t="s">
        <v>62</v>
      </c>
      <c r="BC402" s="62"/>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9"/>
      <c r="CK402" s="9"/>
      <c r="CL402" s="9"/>
      <c r="CM402" s="9"/>
      <c r="CN402" s="9"/>
      <c r="CO402" s="9"/>
      <c r="CP402" s="9"/>
    </row>
    <row r="403" spans="1:94" ht="45" x14ac:dyDescent="0.25">
      <c r="A403" s="50" t="s">
        <v>1347</v>
      </c>
      <c r="B403" s="73" t="s">
        <v>1348</v>
      </c>
      <c r="C403" s="50">
        <f t="shared" si="13"/>
        <v>0</v>
      </c>
      <c r="D403" s="58">
        <v>2</v>
      </c>
      <c r="E403" s="58" t="s">
        <v>1349</v>
      </c>
      <c r="F403" s="58">
        <v>0</v>
      </c>
      <c r="G403" s="50" t="s">
        <v>184</v>
      </c>
      <c r="H403" s="50">
        <f>VLOOKUP($A403,'[1]ma sp 02'!$A$5:$BD$1101,H$1,0)</f>
        <v>0</v>
      </c>
      <c r="I403" s="50">
        <f>VLOOKUP($A403,'[1]ma sp 02'!$A$5:$BD$1101,I$1,0)</f>
        <v>0</v>
      </c>
      <c r="J403" s="50">
        <f>VLOOKUP($A403,'[1]ma sp 02'!$A$5:$BD$1101,J$1,0)</f>
        <v>0</v>
      </c>
      <c r="K403" s="50">
        <f>VLOOKUP($A403,'[1]ma sp 02'!$A$5:$BD$1101,K$1,0)</f>
        <v>0</v>
      </c>
      <c r="L403" s="50">
        <f>VLOOKUP($A403,'[1]ma sp 02'!$A$5:$BD$1101,L$1,0)</f>
        <v>0</v>
      </c>
      <c r="M403" s="50">
        <f>VLOOKUP($A403,'[1]ma sp 02'!$A$5:$BD$1101,M$1,0)</f>
        <v>0</v>
      </c>
      <c r="N403" s="50">
        <f>VLOOKUP($A403,'[1]ma sp 02'!$A$5:$BD$1101,N$1,0)</f>
        <v>0</v>
      </c>
      <c r="O403" s="50">
        <f>VLOOKUP($A403,'[1]ma sp 02'!$A$5:$BD$1101,O$1,0)</f>
        <v>0</v>
      </c>
      <c r="P403" s="50">
        <f>VLOOKUP($A403,'[1]ma sp 02'!$A$5:$BD$1101,P$1,0)</f>
        <v>0</v>
      </c>
      <c r="Q403" s="50">
        <f>VLOOKUP($A403,'[1]ma sp 02'!$A$5:$BD$1101,Q$1,0)</f>
        <v>0</v>
      </c>
      <c r="R403" s="50">
        <f>VLOOKUP($A403,'[1]ma sp 02'!$A$5:$BD$1101,R$1,0)</f>
        <v>0</v>
      </c>
      <c r="S403" s="50">
        <f>VLOOKUP($A403,'[1]ma sp 02'!$A$5:$BD$1101,S$1,0)</f>
        <v>0</v>
      </c>
      <c r="T403" s="50">
        <f>VLOOKUP($A403,'[1]ma sp 02'!$A$5:$BD$1101,T$1,0)</f>
        <v>0</v>
      </c>
      <c r="U403" s="50">
        <f>VLOOKUP($A403,'[1]ma sp 02'!$A$5:$BD$1101,U$1,0)</f>
        <v>0</v>
      </c>
      <c r="V403" s="50">
        <f>VLOOKUP($A403,'[1]ma sp 02'!$A$5:$BD$1101,V$1,0)</f>
        <v>0</v>
      </c>
      <c r="W403" s="50">
        <f>VLOOKUP($A403,'[1]ma sp 02'!$A$5:$BD$1101,W$1,0)</f>
        <v>0</v>
      </c>
      <c r="X403" s="50">
        <f t="shared" si="14"/>
        <v>0</v>
      </c>
      <c r="Y403" s="57"/>
      <c r="Z403" s="57"/>
      <c r="AA403" s="57"/>
      <c r="AB403" s="57"/>
      <c r="AC403" s="57"/>
      <c r="AD403" s="57"/>
      <c r="AE403" s="58" t="s">
        <v>1350</v>
      </c>
      <c r="AF403" s="57"/>
      <c r="AG403" s="71">
        <f>(0.02*0.91+0.025*0.91)*0.684</f>
        <v>2.8009800000000001E-2</v>
      </c>
      <c r="AH403" s="63">
        <f>(2/0.75/2)*0.674</f>
        <v>0.89866666666666672</v>
      </c>
      <c r="AI403" s="63"/>
      <c r="AJ403" s="58">
        <v>9530</v>
      </c>
      <c r="AK403" s="57"/>
      <c r="AL403" s="58">
        <v>2E-3</v>
      </c>
      <c r="AM403" s="52" t="s">
        <v>60</v>
      </c>
      <c r="AN403" s="58">
        <v>200</v>
      </c>
      <c r="AO403" s="52" t="s">
        <v>1351</v>
      </c>
      <c r="AP403" s="59">
        <f>IFERROR(VLOOKUP($A403,[2]Mssp!$A$5:$BE$1463,AP$4+1,0),0)</f>
        <v>0</v>
      </c>
      <c r="AQ403" s="59">
        <f>IFERROR(VLOOKUP($A403,[2]Mssp!$A$5:$BE$1463,AQ$4+1,0),0)</f>
        <v>0</v>
      </c>
      <c r="AR403" s="59">
        <f>IFERROR(VLOOKUP($A403,[2]Mssp!$A$5:$BE$1463,AR$4+1,0),0)</f>
        <v>0</v>
      </c>
      <c r="AS403" s="59">
        <f>IFERROR(VLOOKUP($A403,[2]Mssp!$A$5:$BE$1463,AS$4+1,0),0)</f>
        <v>0</v>
      </c>
      <c r="AT403" s="59">
        <f>IFERROR(VLOOKUP($A403,[2]Mssp!$A$5:$BE$1463,AT$4+1,0),0)</f>
        <v>0</v>
      </c>
      <c r="AU403" s="59">
        <f>IFERROR(VLOOKUP($A403,[2]Mssp!$A$5:$BE$1463,AU$4+1,0),0)</f>
        <v>0</v>
      </c>
      <c r="AV403" s="59">
        <f>IFERROR(VLOOKUP($A403,[2]Mssp!$A$5:$BE$1463,AV$4+1,0),0)</f>
        <v>0</v>
      </c>
      <c r="AW403" s="59">
        <f>IFERROR(VLOOKUP($A403,[2]Mssp!$A$5:$BE$1463,AW$4+1,0),0)</f>
        <v>0</v>
      </c>
      <c r="AX403" s="59">
        <f>IFERROR(VLOOKUP($A403,[2]Mssp!$A$5:$BE$1463,AX$4+1,0),0)</f>
        <v>0</v>
      </c>
      <c r="AY403" s="59">
        <f>IFERROR(VLOOKUP($A403,[2]Mssp!$A$5:$BE$1463,AY$4+2,0),0)</f>
        <v>0</v>
      </c>
      <c r="AZ403" s="59">
        <f>IFERROR(VLOOKUP($A403,[2]Mssp!$A$5:$BE$1463,AZ$4+2,0),0)</f>
        <v>0</v>
      </c>
      <c r="BA403" s="60">
        <v>7000</v>
      </c>
      <c r="BB403" s="61" t="s">
        <v>62</v>
      </c>
      <c r="BC403" s="62"/>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c r="CK403" s="9"/>
      <c r="CL403" s="9"/>
      <c r="CM403" s="9"/>
      <c r="CN403" s="9"/>
      <c r="CO403" s="9"/>
      <c r="CP403" s="9"/>
    </row>
    <row r="404" spans="1:94" ht="45" x14ac:dyDescent="0.25">
      <c r="A404" s="50" t="s">
        <v>1352</v>
      </c>
      <c r="B404" s="73" t="s">
        <v>1353</v>
      </c>
      <c r="C404" s="50">
        <f t="shared" si="13"/>
        <v>0.87</v>
      </c>
      <c r="D404" s="58">
        <v>2</v>
      </c>
      <c r="E404" s="58" t="s">
        <v>1354</v>
      </c>
      <c r="F404" s="58">
        <v>1</v>
      </c>
      <c r="G404" s="50" t="s">
        <v>530</v>
      </c>
      <c r="H404" s="50">
        <f>VLOOKUP($A404,'[1]ma sp 02'!$A$5:$BD$1101,H$1,0)</f>
        <v>0</v>
      </c>
      <c r="I404" s="50">
        <f>VLOOKUP($A404,'[1]ma sp 02'!$A$5:$BD$1101,I$1,0)</f>
        <v>0.87</v>
      </c>
      <c r="J404" s="50">
        <f>VLOOKUP($A404,'[1]ma sp 02'!$A$5:$BD$1101,J$1,0)</f>
        <v>0</v>
      </c>
      <c r="K404" s="50">
        <f>VLOOKUP($A404,'[1]ma sp 02'!$A$5:$BD$1101,K$1,0)</f>
        <v>0</v>
      </c>
      <c r="L404" s="50">
        <f>VLOOKUP($A404,'[1]ma sp 02'!$A$5:$BD$1101,L$1,0)</f>
        <v>0</v>
      </c>
      <c r="M404" s="50">
        <f>VLOOKUP($A404,'[1]ma sp 02'!$A$5:$BD$1101,M$1,0)</f>
        <v>0</v>
      </c>
      <c r="N404" s="50">
        <f>VLOOKUP($A404,'[1]ma sp 02'!$A$5:$BD$1101,N$1,0)</f>
        <v>0</v>
      </c>
      <c r="O404" s="50">
        <f>VLOOKUP($A404,'[1]ma sp 02'!$A$5:$BD$1101,O$1,0)</f>
        <v>0</v>
      </c>
      <c r="P404" s="50">
        <f>VLOOKUP($A404,'[1]ma sp 02'!$A$5:$BD$1101,P$1,0)</f>
        <v>0</v>
      </c>
      <c r="Q404" s="50">
        <f>VLOOKUP($A404,'[1]ma sp 02'!$A$5:$BD$1101,Q$1,0)</f>
        <v>0</v>
      </c>
      <c r="R404" s="50">
        <f>VLOOKUP($A404,'[1]ma sp 02'!$A$5:$BD$1101,R$1,0)</f>
        <v>0</v>
      </c>
      <c r="S404" s="50">
        <f>VLOOKUP($A404,'[1]ma sp 02'!$A$5:$BD$1101,S$1,0)</f>
        <v>0</v>
      </c>
      <c r="T404" s="50">
        <f>VLOOKUP($A404,'[1]ma sp 02'!$A$5:$BD$1101,T$1,0)</f>
        <v>0</v>
      </c>
      <c r="U404" s="50">
        <f>VLOOKUP($A404,'[1]ma sp 02'!$A$5:$BD$1101,U$1,0)</f>
        <v>0</v>
      </c>
      <c r="V404" s="50">
        <f>VLOOKUP($A404,'[1]ma sp 02'!$A$5:$BD$1101,V$1,0)</f>
        <v>0</v>
      </c>
      <c r="W404" s="50">
        <f>VLOOKUP($A404,'[1]ma sp 02'!$A$5:$BD$1101,W$1,0)</f>
        <v>0</v>
      </c>
      <c r="X404" s="50">
        <f t="shared" si="14"/>
        <v>1</v>
      </c>
      <c r="Y404" s="57"/>
      <c r="Z404" s="57"/>
      <c r="AA404" s="57"/>
      <c r="AB404" s="57"/>
      <c r="AC404" s="57"/>
      <c r="AD404" s="57"/>
      <c r="AE404" s="58" t="s">
        <v>1355</v>
      </c>
      <c r="AF404" s="57"/>
      <c r="AG404" s="71">
        <f>(0.015*1.15+0.075*0.925)*0.72</f>
        <v>6.2370000000000002E-2</v>
      </c>
      <c r="AH404" s="63">
        <f>(2.3/0.75/2)*0.71</f>
        <v>1.0886666666666664</v>
      </c>
      <c r="AI404" s="63"/>
      <c r="AJ404" s="58">
        <v>9530</v>
      </c>
      <c r="AK404" s="57"/>
      <c r="AL404" s="58">
        <v>2.3E-3</v>
      </c>
      <c r="AM404" s="52" t="s">
        <v>1356</v>
      </c>
      <c r="AN404" s="58">
        <v>350</v>
      </c>
      <c r="AO404" s="52" t="s">
        <v>1357</v>
      </c>
      <c r="AP404" s="59" t="str">
        <f>IFERROR(VLOOKUP($A404,[2]Mssp!$A$5:$BE$1463,AP$4+1,0),0)</f>
        <v>18051397-1</v>
      </c>
      <c r="AQ404" s="59">
        <f>IFERROR(VLOOKUP($A404,[2]Mssp!$A$5:$BE$1463,AQ$4+1,0),0)</f>
        <v>0</v>
      </c>
      <c r="AR404" s="59">
        <f>IFERROR(VLOOKUP($A404,[2]Mssp!$A$5:$BE$1463,AR$4+1,0),0)</f>
        <v>0</v>
      </c>
      <c r="AS404" s="59">
        <f>IFERROR(VLOOKUP($A404,[2]Mssp!$A$5:$BE$1463,AS$4+1,0),0)</f>
        <v>0</v>
      </c>
      <c r="AT404" s="59">
        <f>IFERROR(VLOOKUP($A404,[2]Mssp!$A$5:$BE$1463,AT$4+1,0),0)</f>
        <v>0</v>
      </c>
      <c r="AU404" s="59">
        <f>IFERROR(VLOOKUP($A404,[2]Mssp!$A$5:$BE$1463,AU$4+1,0),0)</f>
        <v>0</v>
      </c>
      <c r="AV404" s="59">
        <f>IFERROR(VLOOKUP($A404,[2]Mssp!$A$5:$BE$1463,AV$4+1,0),0)</f>
        <v>0</v>
      </c>
      <c r="AW404" s="59">
        <f>IFERROR(VLOOKUP($A404,[2]Mssp!$A$5:$BE$1463,AW$4+1,0),0)</f>
        <v>0</v>
      </c>
      <c r="AX404" s="59">
        <f>IFERROR(VLOOKUP($A404,[2]Mssp!$A$5:$BE$1463,AX$4+1,0),0)</f>
        <v>0</v>
      </c>
      <c r="AY404" s="59" t="str">
        <f>IFERROR(VLOOKUP($A404,[2]Mssp!$A$5:$BE$1463,AY$4+2,0),0)</f>
        <v>445x870</v>
      </c>
      <c r="AZ404" s="59" t="str">
        <f>IFERROR(VLOOKUP($A404,[2]Mssp!$A$5:$BE$1463,AZ$4+2,0),0)</f>
        <v>P2</v>
      </c>
      <c r="BA404" s="60" t="s">
        <v>106</v>
      </c>
      <c r="BB404" s="61" t="s">
        <v>107</v>
      </c>
      <c r="BC404" s="62"/>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c r="CK404" s="9"/>
      <c r="CL404" s="9"/>
      <c r="CM404" s="9"/>
      <c r="CN404" s="9"/>
      <c r="CO404" s="9"/>
      <c r="CP404" s="9"/>
    </row>
    <row r="405" spans="1:94" ht="30" x14ac:dyDescent="0.25">
      <c r="A405" s="77" t="s">
        <v>1358</v>
      </c>
      <c r="B405" s="81" t="s">
        <v>1359</v>
      </c>
      <c r="C405" s="50">
        <f t="shared" si="13"/>
        <v>8.86</v>
      </c>
      <c r="D405" s="58">
        <v>2</v>
      </c>
      <c r="E405" s="58" t="s">
        <v>748</v>
      </c>
      <c r="F405" s="58">
        <v>7</v>
      </c>
      <c r="G405" s="50" t="s">
        <v>184</v>
      </c>
      <c r="H405" s="50">
        <f>VLOOKUP($A405,'[1]ma sp 02'!$A$5:$BD$1101,H$1,0)</f>
        <v>0.25</v>
      </c>
      <c r="I405" s="50">
        <f>VLOOKUP($A405,'[1]ma sp 02'!$A$5:$BD$1101,I$1,0)</f>
        <v>4.6399999999999997</v>
      </c>
      <c r="J405" s="50">
        <f>VLOOKUP($A405,'[1]ma sp 02'!$A$5:$BD$1101,J$1,0)</f>
        <v>0.28999999999999998</v>
      </c>
      <c r="K405" s="50">
        <f>VLOOKUP($A405,'[1]ma sp 02'!$A$5:$BD$1101,K$1,0)</f>
        <v>0</v>
      </c>
      <c r="L405" s="50">
        <f>VLOOKUP($A405,'[1]ma sp 02'!$A$5:$BD$1101,L$1,0)</f>
        <v>2.2000000000000002</v>
      </c>
      <c r="M405" s="50">
        <f>VLOOKUP($A405,'[1]ma sp 02'!$A$5:$BD$1101,M$1,0)</f>
        <v>1.02</v>
      </c>
      <c r="N405" s="50">
        <f>VLOOKUP($A405,'[1]ma sp 02'!$A$5:$BD$1101,N$1,0)</f>
        <v>0</v>
      </c>
      <c r="O405" s="50">
        <f>VLOOKUP($A405,'[1]ma sp 02'!$A$5:$BD$1101,O$1,0)</f>
        <v>0.31</v>
      </c>
      <c r="P405" s="50">
        <f>VLOOKUP($A405,'[1]ma sp 02'!$A$5:$BD$1101,P$1,0)</f>
        <v>0.04</v>
      </c>
      <c r="Q405" s="50">
        <f>VLOOKUP($A405,'[1]ma sp 02'!$A$5:$BD$1101,Q$1,0)</f>
        <v>0.1</v>
      </c>
      <c r="R405" s="50">
        <f>VLOOKUP($A405,'[1]ma sp 02'!$A$5:$BD$1101,R$1,0)</f>
        <v>0</v>
      </c>
      <c r="S405" s="50">
        <f>VLOOKUP($A405,'[1]ma sp 02'!$A$5:$BD$1101,S$1,0)</f>
        <v>0</v>
      </c>
      <c r="T405" s="50">
        <f>VLOOKUP($A405,'[1]ma sp 02'!$A$5:$BD$1101,T$1,0)</f>
        <v>0.01</v>
      </c>
      <c r="U405" s="50">
        <f>VLOOKUP($A405,'[1]ma sp 02'!$A$5:$BD$1101,U$1,0)</f>
        <v>0</v>
      </c>
      <c r="V405" s="50">
        <f>VLOOKUP($A405,'[1]ma sp 02'!$A$5:$BD$1101,V$1,0)</f>
        <v>0</v>
      </c>
      <c r="W405" s="50">
        <f>VLOOKUP($A405,'[1]ma sp 02'!$A$5:$BD$1101,W$1,0)</f>
        <v>0</v>
      </c>
      <c r="X405" s="50">
        <f t="shared" si="14"/>
        <v>9</v>
      </c>
      <c r="Y405" s="57"/>
      <c r="Z405" s="57"/>
      <c r="AA405" s="57"/>
      <c r="AB405" s="57"/>
      <c r="AC405" s="57"/>
      <c r="AD405" s="57"/>
      <c r="AE405" s="58" t="s">
        <v>749</v>
      </c>
      <c r="AF405" s="57"/>
      <c r="AG405" s="71">
        <f>(0.02*0.91+0.08*0.925)*0.9</f>
        <v>8.2980000000000012E-2</v>
      </c>
      <c r="AH405" s="63">
        <f>(2.3/0.75/2)*0.89</f>
        <v>1.3646666666666665</v>
      </c>
      <c r="AI405" s="63"/>
      <c r="AJ405" s="58">
        <v>9530</v>
      </c>
      <c r="AK405" s="57"/>
      <c r="AL405" s="58">
        <v>2.3E-3</v>
      </c>
      <c r="AM405" s="52" t="s">
        <v>74</v>
      </c>
      <c r="AN405" s="58">
        <v>310</v>
      </c>
      <c r="AO405" s="52" t="s">
        <v>527</v>
      </c>
      <c r="AP405" s="59">
        <f>IFERROR(VLOOKUP($A405,[2]Mssp!$A$5:$BE$1463,AP$4+1,0),0)</f>
        <v>0</v>
      </c>
      <c r="AQ405" s="59">
        <f>IFERROR(VLOOKUP($A405,[2]Mssp!$A$5:$BE$1463,AQ$4+1,0),0)</f>
        <v>0</v>
      </c>
      <c r="AR405" s="59">
        <f>IFERROR(VLOOKUP($A405,[2]Mssp!$A$5:$BE$1463,AR$4+1,0),0)</f>
        <v>0</v>
      </c>
      <c r="AS405" s="59">
        <f>IFERROR(VLOOKUP($A405,[2]Mssp!$A$5:$BE$1463,AS$4+1,0),0)</f>
        <v>0</v>
      </c>
      <c r="AT405" s="59">
        <f>IFERROR(VLOOKUP($A405,[2]Mssp!$A$5:$BE$1463,AT$4+1,0),0)</f>
        <v>0</v>
      </c>
      <c r="AU405" s="59">
        <f>IFERROR(VLOOKUP($A405,[2]Mssp!$A$5:$BE$1463,AU$4+1,0),0)</f>
        <v>0</v>
      </c>
      <c r="AV405" s="59">
        <f>IFERROR(VLOOKUP($A405,[2]Mssp!$A$5:$BE$1463,AV$4+1,0),0)</f>
        <v>0</v>
      </c>
      <c r="AW405" s="59">
        <f>IFERROR(VLOOKUP($A405,[2]Mssp!$A$5:$BE$1463,AW$4+1,0),0)</f>
        <v>0</v>
      </c>
      <c r="AX405" s="59">
        <f>IFERROR(VLOOKUP($A405,[2]Mssp!$A$5:$BE$1463,AX$4+1,0),0)</f>
        <v>0</v>
      </c>
      <c r="AY405" s="59">
        <f>IFERROR(VLOOKUP($A405,[2]Mssp!$A$5:$BE$1463,AY$4+2,0),0)</f>
        <v>0</v>
      </c>
      <c r="AZ405" s="59">
        <f>IFERROR(VLOOKUP($A405,[2]Mssp!$A$5:$BE$1463,AZ$4+2,0),0)</f>
        <v>0</v>
      </c>
      <c r="BA405" s="60">
        <v>4000</v>
      </c>
      <c r="BB405" s="61" t="s">
        <v>251</v>
      </c>
      <c r="BC405" s="62"/>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c r="CK405" s="9"/>
      <c r="CL405" s="9"/>
      <c r="CM405" s="9"/>
      <c r="CN405" s="9"/>
      <c r="CO405" s="9"/>
      <c r="CP405" s="9"/>
    </row>
    <row r="406" spans="1:94" ht="45" x14ac:dyDescent="0.25">
      <c r="A406" s="50" t="s">
        <v>1360</v>
      </c>
      <c r="B406" s="73" t="s">
        <v>1361</v>
      </c>
      <c r="C406" s="50">
        <f>SUM(H406:W406)</f>
        <v>7.2500000000000018</v>
      </c>
      <c r="D406" s="58">
        <v>1</v>
      </c>
      <c r="E406" s="58" t="s">
        <v>755</v>
      </c>
      <c r="F406" s="58">
        <v>6</v>
      </c>
      <c r="G406" s="50" t="s">
        <v>184</v>
      </c>
      <c r="H406" s="50">
        <f>VLOOKUP($A406,'[1]ma sp 02'!$A$5:$BD$1101,H$1,0)</f>
        <v>0.31</v>
      </c>
      <c r="I406" s="50">
        <f>VLOOKUP($A406,'[1]ma sp 02'!$A$5:$BD$1101,I$1,0)</f>
        <v>0</v>
      </c>
      <c r="J406" s="50">
        <f>VLOOKUP($A406,'[1]ma sp 02'!$A$5:$BD$1101,J$1,0)</f>
        <v>0.62</v>
      </c>
      <c r="K406" s="50">
        <f>VLOOKUP($A406,'[1]ma sp 02'!$A$5:$BD$1101,K$1,0)</f>
        <v>0.01</v>
      </c>
      <c r="L406" s="50">
        <f>VLOOKUP($A406,'[1]ma sp 02'!$A$5:$BD$1101,L$1,0)</f>
        <v>3.7</v>
      </c>
      <c r="M406" s="50">
        <f>VLOOKUP($A406,'[1]ma sp 02'!$A$5:$BD$1101,M$1,0)</f>
        <v>2.31</v>
      </c>
      <c r="N406" s="50">
        <f>VLOOKUP($A406,'[1]ma sp 02'!$A$5:$BD$1101,N$1,0)</f>
        <v>0</v>
      </c>
      <c r="O406" s="50">
        <f>VLOOKUP($A406,'[1]ma sp 02'!$A$5:$BD$1101,O$1,0)</f>
        <v>0</v>
      </c>
      <c r="P406" s="50">
        <f>VLOOKUP($A406,'[1]ma sp 02'!$A$5:$BD$1101,P$1,0)</f>
        <v>0</v>
      </c>
      <c r="Q406" s="50">
        <f>VLOOKUP($A406,'[1]ma sp 02'!$A$5:$BD$1101,Q$1,0)</f>
        <v>0.15</v>
      </c>
      <c r="R406" s="50">
        <f>VLOOKUP($A406,'[1]ma sp 02'!$A$5:$BD$1101,R$1,0)</f>
        <v>0</v>
      </c>
      <c r="S406" s="50">
        <f>VLOOKUP($A406,'[1]ma sp 02'!$A$5:$BD$1101,S$1,0)</f>
        <v>0</v>
      </c>
      <c r="T406" s="50">
        <f>VLOOKUP($A406,'[1]ma sp 02'!$A$5:$BD$1101,T$1,0)</f>
        <v>0.15</v>
      </c>
      <c r="U406" s="50">
        <f>VLOOKUP($A406,'[1]ma sp 02'!$A$5:$BD$1101,U$1,0)</f>
        <v>0</v>
      </c>
      <c r="V406" s="50">
        <f>VLOOKUP($A406,'[1]ma sp 02'!$A$5:$BD$1101,V$1,0)</f>
        <v>0</v>
      </c>
      <c r="W406" s="50">
        <f>VLOOKUP($A406,'[1]ma sp 02'!$A$5:$BD$1101,W$1,0)</f>
        <v>0</v>
      </c>
      <c r="X406" s="50">
        <f t="shared" si="14"/>
        <v>7</v>
      </c>
      <c r="Y406" s="57"/>
      <c r="Z406" s="57"/>
      <c r="AA406" s="57"/>
      <c r="AB406" s="57"/>
      <c r="AC406" s="57"/>
      <c r="AD406" s="57"/>
      <c r="AE406" s="57"/>
      <c r="AF406" s="57"/>
      <c r="AG406" s="71">
        <f>(0.018*0.91)*0.69</f>
        <v>1.1302199999999998E-2</v>
      </c>
      <c r="AH406" s="63"/>
      <c r="AI406" s="63"/>
      <c r="AJ406" s="57"/>
      <c r="AK406" s="57"/>
      <c r="AL406" s="57"/>
      <c r="AM406" s="52" t="s">
        <v>756</v>
      </c>
      <c r="AN406" s="58">
        <v>670</v>
      </c>
      <c r="AO406" s="52" t="s">
        <v>527</v>
      </c>
      <c r="AP406" s="59">
        <f>IFERROR(VLOOKUP($A406,[2]Mssp!$A$5:$BE$1463,AP$4+1,0),0)</f>
        <v>0</v>
      </c>
      <c r="AQ406" s="59">
        <f>IFERROR(VLOOKUP($A406,[2]Mssp!$A$5:$BE$1463,AQ$4+1,0),0)</f>
        <v>0</v>
      </c>
      <c r="AR406" s="59">
        <f>IFERROR(VLOOKUP($A406,[2]Mssp!$A$5:$BE$1463,AR$4+1,0),0)</f>
        <v>0</v>
      </c>
      <c r="AS406" s="59">
        <f>IFERROR(VLOOKUP($A406,[2]Mssp!$A$5:$BE$1463,AS$4+1,0),0)</f>
        <v>0</v>
      </c>
      <c r="AT406" s="59">
        <f>IFERROR(VLOOKUP($A406,[2]Mssp!$A$5:$BE$1463,AT$4+1,0),0)</f>
        <v>0</v>
      </c>
      <c r="AU406" s="59">
        <f>IFERROR(VLOOKUP($A406,[2]Mssp!$A$5:$BE$1463,AU$4+1,0),0)</f>
        <v>0</v>
      </c>
      <c r="AV406" s="59">
        <f>IFERROR(VLOOKUP($A406,[2]Mssp!$A$5:$BE$1463,AV$4+1,0),0)</f>
        <v>0</v>
      </c>
      <c r="AW406" s="59">
        <f>IFERROR(VLOOKUP($A406,[2]Mssp!$A$5:$BE$1463,AW$4+1,0),0)</f>
        <v>0</v>
      </c>
      <c r="AX406" s="59">
        <f>IFERROR(VLOOKUP($A406,[2]Mssp!$A$5:$BE$1463,AX$4+1,0),0)</f>
        <v>0</v>
      </c>
      <c r="AY406" s="59">
        <f>IFERROR(VLOOKUP($A406,[2]Mssp!$A$5:$BE$1463,AY$4+2,0),0)</f>
        <v>0</v>
      </c>
      <c r="AZ406" s="59">
        <f>IFERROR(VLOOKUP($A406,[2]Mssp!$A$5:$BE$1463,AZ$4+2,0),0)</f>
        <v>0</v>
      </c>
      <c r="BA406" s="60" t="s">
        <v>106</v>
      </c>
      <c r="BB406" s="61" t="s">
        <v>107</v>
      </c>
      <c r="BC406" s="62"/>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c r="CK406" s="9"/>
      <c r="CL406" s="9"/>
      <c r="CM406" s="9"/>
      <c r="CN406" s="9"/>
      <c r="CO406" s="9"/>
      <c r="CP406" s="9"/>
    </row>
    <row r="407" spans="1:94" ht="90" x14ac:dyDescent="0.25">
      <c r="A407" s="50" t="s">
        <v>1362</v>
      </c>
      <c r="B407" s="73" t="s">
        <v>1363</v>
      </c>
      <c r="C407" s="50"/>
      <c r="D407" s="58">
        <v>1</v>
      </c>
      <c r="E407" s="58" t="s">
        <v>131</v>
      </c>
      <c r="F407" s="58">
        <v>6</v>
      </c>
      <c r="G407" s="50" t="s">
        <v>530</v>
      </c>
      <c r="H407" s="50">
        <f>VLOOKUP($A407,'[1]ma sp 02'!$A$5:$BD$1101,H$1,0)</f>
        <v>0.1</v>
      </c>
      <c r="I407" s="50">
        <f>VLOOKUP($A407,'[1]ma sp 02'!$A$5:$BD$1101,I$1,0)</f>
        <v>3.3</v>
      </c>
      <c r="J407" s="50">
        <f>VLOOKUP($A407,'[1]ma sp 02'!$A$5:$BD$1101,J$1,0)</f>
        <v>0.2</v>
      </c>
      <c r="K407" s="50">
        <f>VLOOKUP($A407,'[1]ma sp 02'!$A$5:$BD$1101,K$1,0)</f>
        <v>0.8</v>
      </c>
      <c r="L407" s="50">
        <f>VLOOKUP($A407,'[1]ma sp 02'!$A$5:$BD$1101,L$1,0)</f>
        <v>1.3</v>
      </c>
      <c r="M407" s="50">
        <f>VLOOKUP($A407,'[1]ma sp 02'!$A$5:$BD$1101,M$1,0)</f>
        <v>1</v>
      </c>
      <c r="N407" s="50">
        <f>VLOOKUP($A407,'[1]ma sp 02'!$A$5:$BD$1101,N$1,0)</f>
        <v>0</v>
      </c>
      <c r="O407" s="50">
        <f>VLOOKUP($A407,'[1]ma sp 02'!$A$5:$BD$1101,O$1,0)</f>
        <v>0.3</v>
      </c>
      <c r="P407" s="50">
        <f>VLOOKUP($A407,'[1]ma sp 02'!$A$5:$BD$1101,P$1,0)</f>
        <v>0.1</v>
      </c>
      <c r="Q407" s="50">
        <f>VLOOKUP($A407,'[1]ma sp 02'!$A$5:$BD$1101,Q$1,0)</f>
        <v>0</v>
      </c>
      <c r="R407" s="50">
        <f>VLOOKUP($A407,'[1]ma sp 02'!$A$5:$BD$1101,R$1,0)</f>
        <v>0</v>
      </c>
      <c r="S407" s="50">
        <f>VLOOKUP($A407,'[1]ma sp 02'!$A$5:$BD$1101,S$1,0)</f>
        <v>0</v>
      </c>
      <c r="T407" s="50">
        <f>VLOOKUP($A407,'[1]ma sp 02'!$A$5:$BD$1101,T$1,0)</f>
        <v>0</v>
      </c>
      <c r="U407" s="50">
        <f>VLOOKUP($A407,'[1]ma sp 02'!$A$5:$BD$1101,U$1,0)</f>
        <v>0</v>
      </c>
      <c r="V407" s="50">
        <f>VLOOKUP($A407,'[1]ma sp 02'!$A$5:$BD$1101,V$1,0)</f>
        <v>0</v>
      </c>
      <c r="W407" s="50">
        <f>VLOOKUP($A407,'[1]ma sp 02'!$A$5:$BD$1101,W$1,0)</f>
        <v>0</v>
      </c>
      <c r="X407" s="50">
        <f t="shared" si="14"/>
        <v>8</v>
      </c>
      <c r="Y407" s="57"/>
      <c r="Z407" s="57"/>
      <c r="AA407" s="57"/>
      <c r="AB407" s="57"/>
      <c r="AC407" s="57"/>
      <c r="AD407" s="57"/>
      <c r="AE407" s="57" t="s">
        <v>78</v>
      </c>
      <c r="AF407" s="57" t="s">
        <v>324</v>
      </c>
      <c r="AG407" s="71">
        <f>(0.012*1.4+0.012*1.4+0.075*0.925)*0.62</f>
        <v>6.3844500000000012E-2</v>
      </c>
      <c r="AH407" s="63">
        <f>(2.3/0.75/2)*0.61</f>
        <v>0.93533333333333324</v>
      </c>
      <c r="AI407" s="63">
        <f>(3/0.75/2)*0.61</f>
        <v>1.22</v>
      </c>
      <c r="AJ407" s="58">
        <v>9530</v>
      </c>
      <c r="AK407" s="58">
        <v>9530</v>
      </c>
      <c r="AL407" s="58" t="s">
        <v>117</v>
      </c>
      <c r="AM407" s="52" t="s">
        <v>60</v>
      </c>
      <c r="AN407" s="58">
        <v>340</v>
      </c>
      <c r="AO407" s="52" t="s">
        <v>916</v>
      </c>
      <c r="AP407" s="59">
        <f>IFERROR(VLOOKUP($A407,[2]Mssp!$A$5:$BE$1463,AP$4+1,0),0)</f>
        <v>0</v>
      </c>
      <c r="AQ407" s="59">
        <f>IFERROR(VLOOKUP($A407,[2]Mssp!$A$5:$BE$1463,AQ$4+1,0),0)</f>
        <v>0</v>
      </c>
      <c r="AR407" s="59">
        <f>IFERROR(VLOOKUP($A407,[2]Mssp!$A$5:$BE$1463,AR$4+1,0),0)</f>
        <v>0</v>
      </c>
      <c r="AS407" s="59">
        <f>IFERROR(VLOOKUP($A407,[2]Mssp!$A$5:$BE$1463,AS$4+1,0),0)</f>
        <v>0</v>
      </c>
      <c r="AT407" s="59">
        <f>IFERROR(VLOOKUP($A407,[2]Mssp!$A$5:$BE$1463,AT$4+1,0),0)</f>
        <v>0</v>
      </c>
      <c r="AU407" s="59">
        <f>IFERROR(VLOOKUP($A407,[2]Mssp!$A$5:$BE$1463,AU$4+1,0),0)</f>
        <v>0</v>
      </c>
      <c r="AV407" s="59">
        <f>IFERROR(VLOOKUP($A407,[2]Mssp!$A$5:$BE$1463,AV$4+1,0),0)</f>
        <v>0</v>
      </c>
      <c r="AW407" s="59">
        <f>IFERROR(VLOOKUP($A407,[2]Mssp!$A$5:$BE$1463,AW$4+1,0),0)</f>
        <v>0</v>
      </c>
      <c r="AX407" s="59">
        <f>IFERROR(VLOOKUP($A407,[2]Mssp!$A$5:$BE$1463,AX$4+1,0),0)</f>
        <v>0</v>
      </c>
      <c r="AY407" s="59">
        <f>IFERROR(VLOOKUP($A407,[2]Mssp!$A$5:$BE$1463,AY$4+2,0),0)</f>
        <v>0</v>
      </c>
      <c r="AZ407" s="59">
        <f>IFERROR(VLOOKUP($A407,[2]Mssp!$A$5:$BE$1463,AZ$4+2,0),0)</f>
        <v>0</v>
      </c>
      <c r="BA407" s="60">
        <v>2000</v>
      </c>
      <c r="BB407" s="61" t="s">
        <v>119</v>
      </c>
      <c r="BC407" s="62"/>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9"/>
      <c r="CK407" s="9"/>
      <c r="CL407" s="9"/>
      <c r="CM407" s="9"/>
      <c r="CN407" s="9"/>
      <c r="CO407" s="9"/>
      <c r="CP407" s="9"/>
    </row>
    <row r="408" spans="1:94" ht="90" x14ac:dyDescent="0.25">
      <c r="A408" s="50" t="s">
        <v>1364</v>
      </c>
      <c r="B408" s="73" t="s">
        <v>1365</v>
      </c>
      <c r="C408" s="50">
        <f>SUM(H408:W408)</f>
        <v>6.9999999999999991</v>
      </c>
      <c r="D408" s="58">
        <v>2</v>
      </c>
      <c r="E408" s="58" t="s">
        <v>131</v>
      </c>
      <c r="F408" s="58">
        <v>6</v>
      </c>
      <c r="G408" s="50" t="s">
        <v>530</v>
      </c>
      <c r="H408" s="50">
        <f>VLOOKUP($A408,'[1]ma sp 02'!$A$5:$BD$1101,H$1,0)</f>
        <v>0.05</v>
      </c>
      <c r="I408" s="50">
        <f>VLOOKUP($A408,'[1]ma sp 02'!$A$5:$BD$1101,I$1,0)</f>
        <v>3.17</v>
      </c>
      <c r="J408" s="50">
        <f>VLOOKUP($A408,'[1]ma sp 02'!$A$5:$BD$1101,J$1,0)</f>
        <v>0.46</v>
      </c>
      <c r="K408" s="50">
        <f>VLOOKUP($A408,'[1]ma sp 02'!$A$5:$BD$1101,K$1,0)</f>
        <v>0.37</v>
      </c>
      <c r="L408" s="50">
        <f>VLOOKUP($A408,'[1]ma sp 02'!$A$5:$BD$1101,L$1,0)</f>
        <v>2.34</v>
      </c>
      <c r="M408" s="50">
        <f>VLOOKUP($A408,'[1]ma sp 02'!$A$5:$BD$1101,M$1,0)</f>
        <v>0.51</v>
      </c>
      <c r="N408" s="50">
        <f>VLOOKUP($A408,'[1]ma sp 02'!$A$5:$BD$1101,N$1,0)</f>
        <v>0</v>
      </c>
      <c r="O408" s="50">
        <f>VLOOKUP($A408,'[1]ma sp 02'!$A$5:$BD$1101,O$1,0)</f>
        <v>0.09</v>
      </c>
      <c r="P408" s="50">
        <f>VLOOKUP($A408,'[1]ma sp 02'!$A$5:$BD$1101,P$1,0)</f>
        <v>0.01</v>
      </c>
      <c r="Q408" s="50">
        <f>VLOOKUP($A408,'[1]ma sp 02'!$A$5:$BD$1101,Q$1,0)</f>
        <v>0</v>
      </c>
      <c r="R408" s="50">
        <f>VLOOKUP($A408,'[1]ma sp 02'!$A$5:$BD$1101,R$1,0)</f>
        <v>0</v>
      </c>
      <c r="S408" s="50">
        <f>VLOOKUP($A408,'[1]ma sp 02'!$A$5:$BD$1101,S$1,0)</f>
        <v>0</v>
      </c>
      <c r="T408" s="50">
        <f>VLOOKUP($A408,'[1]ma sp 02'!$A$5:$BD$1101,T$1,0)</f>
        <v>0</v>
      </c>
      <c r="U408" s="50">
        <f>VLOOKUP($A408,'[1]ma sp 02'!$A$5:$BD$1101,U$1,0)</f>
        <v>0</v>
      </c>
      <c r="V408" s="50">
        <f>VLOOKUP($A408,'[1]ma sp 02'!$A$5:$BD$1101,V$1,0)</f>
        <v>0</v>
      </c>
      <c r="W408" s="50">
        <f>VLOOKUP($A408,'[1]ma sp 02'!$A$5:$BD$1101,W$1,0)</f>
        <v>0</v>
      </c>
      <c r="X408" s="50">
        <f t="shared" si="14"/>
        <v>8</v>
      </c>
      <c r="Y408" s="57"/>
      <c r="Z408" s="57"/>
      <c r="AA408" s="57"/>
      <c r="AB408" s="57"/>
      <c r="AC408" s="57"/>
      <c r="AD408" s="57"/>
      <c r="AE408" s="58" t="s">
        <v>78</v>
      </c>
      <c r="AF408" s="58" t="s">
        <v>324</v>
      </c>
      <c r="AG408" s="71">
        <f>(0.012*1.4+0.012*1.4+0.075*0.925)*0.62</f>
        <v>6.3844500000000012E-2</v>
      </c>
      <c r="AH408" s="63">
        <f>(2.3/0.75/2)*0.61</f>
        <v>0.93533333333333324</v>
      </c>
      <c r="AI408" s="63">
        <f>(3/0.75/2)*0.61</f>
        <v>1.22</v>
      </c>
      <c r="AJ408" s="58">
        <v>9530</v>
      </c>
      <c r="AK408" s="58">
        <v>9530</v>
      </c>
      <c r="AL408" s="58" t="s">
        <v>117</v>
      </c>
      <c r="AM408" s="52" t="s">
        <v>60</v>
      </c>
      <c r="AN408" s="58">
        <v>340</v>
      </c>
      <c r="AO408" s="52" t="s">
        <v>916</v>
      </c>
      <c r="AP408" s="59">
        <f>IFERROR(VLOOKUP($A408,[2]Mssp!$A$5:$BE$1463,AP$4+1,0),0)</f>
        <v>0</v>
      </c>
      <c r="AQ408" s="59">
        <f>IFERROR(VLOOKUP($A408,[2]Mssp!$A$5:$BE$1463,AQ$4+1,0),0)</f>
        <v>0</v>
      </c>
      <c r="AR408" s="59">
        <f>IFERROR(VLOOKUP($A408,[2]Mssp!$A$5:$BE$1463,AR$4+1,0),0)</f>
        <v>0</v>
      </c>
      <c r="AS408" s="59">
        <f>IFERROR(VLOOKUP($A408,[2]Mssp!$A$5:$BE$1463,AS$4+1,0),0)</f>
        <v>0</v>
      </c>
      <c r="AT408" s="59">
        <f>IFERROR(VLOOKUP($A408,[2]Mssp!$A$5:$BE$1463,AT$4+1,0),0)</f>
        <v>0</v>
      </c>
      <c r="AU408" s="59">
        <f>IFERROR(VLOOKUP($A408,[2]Mssp!$A$5:$BE$1463,AU$4+1,0),0)</f>
        <v>0</v>
      </c>
      <c r="AV408" s="59">
        <f>IFERROR(VLOOKUP($A408,[2]Mssp!$A$5:$BE$1463,AV$4+1,0),0)</f>
        <v>0</v>
      </c>
      <c r="AW408" s="59">
        <f>IFERROR(VLOOKUP($A408,[2]Mssp!$A$5:$BE$1463,AW$4+1,0),0)</f>
        <v>0</v>
      </c>
      <c r="AX408" s="59">
        <f>IFERROR(VLOOKUP($A408,[2]Mssp!$A$5:$BE$1463,AX$4+1,0),0)</f>
        <v>0</v>
      </c>
      <c r="AY408" s="59">
        <f>IFERROR(VLOOKUP($A408,[2]Mssp!$A$5:$BE$1463,AY$4+2,0),0)</f>
        <v>0</v>
      </c>
      <c r="AZ408" s="59">
        <f>IFERROR(VLOOKUP($A408,[2]Mssp!$A$5:$BE$1463,AZ$4+2,0),0)</f>
        <v>0</v>
      </c>
      <c r="BA408" s="60">
        <v>2000</v>
      </c>
      <c r="BB408" s="61" t="s">
        <v>119</v>
      </c>
      <c r="BC408" s="62"/>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9"/>
      <c r="CK408" s="9"/>
      <c r="CL408" s="9"/>
      <c r="CM408" s="9"/>
      <c r="CN408" s="9"/>
      <c r="CO408" s="9"/>
      <c r="CP408" s="9"/>
    </row>
    <row r="409" spans="1:94" ht="90" x14ac:dyDescent="0.25">
      <c r="A409" s="50" t="s">
        <v>1366</v>
      </c>
      <c r="B409" s="73" t="s">
        <v>1367</v>
      </c>
      <c r="C409" s="50">
        <f>SUM(H409:W409)</f>
        <v>6.66</v>
      </c>
      <c r="D409" s="58">
        <v>2</v>
      </c>
      <c r="E409" s="58" t="s">
        <v>131</v>
      </c>
      <c r="F409" s="58">
        <v>6</v>
      </c>
      <c r="G409" s="50" t="s">
        <v>530</v>
      </c>
      <c r="H409" s="50">
        <f>VLOOKUP($A409,'[1]ma sp 02'!$A$5:$BD$1101,H$1,0)</f>
        <v>0</v>
      </c>
      <c r="I409" s="50">
        <f>VLOOKUP($A409,'[1]ma sp 02'!$A$5:$BD$1101,I$1,0)</f>
        <v>3.02</v>
      </c>
      <c r="J409" s="50">
        <f>VLOOKUP($A409,'[1]ma sp 02'!$A$5:$BD$1101,J$1,0)</f>
        <v>0.09</v>
      </c>
      <c r="K409" s="50">
        <f>VLOOKUP($A409,'[1]ma sp 02'!$A$5:$BD$1101,K$1,0)</f>
        <v>0.14000000000000001</v>
      </c>
      <c r="L409" s="50">
        <f>VLOOKUP($A409,'[1]ma sp 02'!$A$5:$BD$1101,L$1,0)</f>
        <v>2.7</v>
      </c>
      <c r="M409" s="50">
        <f>VLOOKUP($A409,'[1]ma sp 02'!$A$5:$BD$1101,M$1,0)</f>
        <v>0.69</v>
      </c>
      <c r="N409" s="50">
        <f>VLOOKUP($A409,'[1]ma sp 02'!$A$5:$BD$1101,N$1,0)</f>
        <v>0</v>
      </c>
      <c r="O409" s="50">
        <f>VLOOKUP($A409,'[1]ma sp 02'!$A$5:$BD$1101,O$1,0)</f>
        <v>0.01</v>
      </c>
      <c r="P409" s="50">
        <f>VLOOKUP($A409,'[1]ma sp 02'!$A$5:$BD$1101,P$1,0)</f>
        <v>0.01</v>
      </c>
      <c r="Q409" s="50">
        <f>VLOOKUP($A409,'[1]ma sp 02'!$A$5:$BD$1101,Q$1,0)</f>
        <v>0</v>
      </c>
      <c r="R409" s="50">
        <f>VLOOKUP($A409,'[1]ma sp 02'!$A$5:$BD$1101,R$1,0)</f>
        <v>0</v>
      </c>
      <c r="S409" s="50">
        <f>VLOOKUP($A409,'[1]ma sp 02'!$A$5:$BD$1101,S$1,0)</f>
        <v>0</v>
      </c>
      <c r="T409" s="50">
        <f>VLOOKUP($A409,'[1]ma sp 02'!$A$5:$BD$1101,T$1,0)</f>
        <v>0</v>
      </c>
      <c r="U409" s="50">
        <f>VLOOKUP($A409,'[1]ma sp 02'!$A$5:$BD$1101,U$1,0)</f>
        <v>0</v>
      </c>
      <c r="V409" s="50">
        <f>VLOOKUP($A409,'[1]ma sp 02'!$A$5:$BD$1101,V$1,0)</f>
        <v>0</v>
      </c>
      <c r="W409" s="50">
        <f>VLOOKUP($A409,'[1]ma sp 02'!$A$5:$BD$1101,W$1,0)</f>
        <v>0</v>
      </c>
      <c r="X409" s="50">
        <f t="shared" si="14"/>
        <v>7</v>
      </c>
      <c r="Y409" s="57"/>
      <c r="Z409" s="57"/>
      <c r="AA409" s="57"/>
      <c r="AB409" s="57"/>
      <c r="AC409" s="57"/>
      <c r="AD409" s="57"/>
      <c r="AE409" s="58" t="s">
        <v>78</v>
      </c>
      <c r="AF409" s="58" t="s">
        <v>324</v>
      </c>
      <c r="AG409" s="71">
        <f>(0.012*1.4+0.012*1.4+0.075*0.925)*0.62</f>
        <v>6.3844500000000012E-2</v>
      </c>
      <c r="AH409" s="63">
        <f>(2.3/0.75/2)*0.61</f>
        <v>0.93533333333333324</v>
      </c>
      <c r="AI409" s="63">
        <f>(3/0.75/2)*0.61</f>
        <v>1.22</v>
      </c>
      <c r="AJ409" s="58">
        <v>9530</v>
      </c>
      <c r="AK409" s="58">
        <v>9530</v>
      </c>
      <c r="AL409" s="58" t="s">
        <v>117</v>
      </c>
      <c r="AM409" s="52" t="s">
        <v>60</v>
      </c>
      <c r="AN409" s="58">
        <v>340</v>
      </c>
      <c r="AO409" s="52" t="s">
        <v>916</v>
      </c>
      <c r="AP409" s="59">
        <f>IFERROR(VLOOKUP($A409,[2]Mssp!$A$5:$BE$1463,AP$4+1,0),0)</f>
        <v>0</v>
      </c>
      <c r="AQ409" s="59">
        <f>IFERROR(VLOOKUP($A409,[2]Mssp!$A$5:$BE$1463,AQ$4+1,0),0)</f>
        <v>0</v>
      </c>
      <c r="AR409" s="59">
        <f>IFERROR(VLOOKUP($A409,[2]Mssp!$A$5:$BE$1463,AR$4+1,0),0)</f>
        <v>0</v>
      </c>
      <c r="AS409" s="59">
        <f>IFERROR(VLOOKUP($A409,[2]Mssp!$A$5:$BE$1463,AS$4+1,0),0)</f>
        <v>0</v>
      </c>
      <c r="AT409" s="59">
        <f>IFERROR(VLOOKUP($A409,[2]Mssp!$A$5:$BE$1463,AT$4+1,0),0)</f>
        <v>0</v>
      </c>
      <c r="AU409" s="59">
        <f>IFERROR(VLOOKUP($A409,[2]Mssp!$A$5:$BE$1463,AU$4+1,0),0)</f>
        <v>0</v>
      </c>
      <c r="AV409" s="59">
        <f>IFERROR(VLOOKUP($A409,[2]Mssp!$A$5:$BE$1463,AV$4+1,0),0)</f>
        <v>0</v>
      </c>
      <c r="AW409" s="59">
        <f>IFERROR(VLOOKUP($A409,[2]Mssp!$A$5:$BE$1463,AW$4+1,0),0)</f>
        <v>0</v>
      </c>
      <c r="AX409" s="59">
        <f>IFERROR(VLOOKUP($A409,[2]Mssp!$A$5:$BE$1463,AX$4+1,0),0)</f>
        <v>0</v>
      </c>
      <c r="AY409" s="59">
        <f>IFERROR(VLOOKUP($A409,[2]Mssp!$A$5:$BE$1463,AY$4+2,0),0)</f>
        <v>0</v>
      </c>
      <c r="AZ409" s="59">
        <f>IFERROR(VLOOKUP($A409,[2]Mssp!$A$5:$BE$1463,AZ$4+2,0),0)</f>
        <v>0</v>
      </c>
      <c r="BA409" s="60">
        <v>2000</v>
      </c>
      <c r="BB409" s="61" t="s">
        <v>119</v>
      </c>
      <c r="BC409" s="62"/>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c r="CK409" s="9"/>
      <c r="CL409" s="9"/>
      <c r="CM409" s="9"/>
      <c r="CN409" s="9"/>
      <c r="CO409" s="9"/>
      <c r="CP409" s="9"/>
    </row>
    <row r="410" spans="1:94" ht="90" x14ac:dyDescent="0.25">
      <c r="A410" s="50" t="s">
        <v>1368</v>
      </c>
      <c r="B410" s="73" t="s">
        <v>1369</v>
      </c>
      <c r="C410" s="50">
        <f>SUM(H410:W410)</f>
        <v>7.83</v>
      </c>
      <c r="D410" s="58">
        <v>2</v>
      </c>
      <c r="E410" s="58" t="s">
        <v>484</v>
      </c>
      <c r="F410" s="58">
        <v>6</v>
      </c>
      <c r="G410" s="50" t="s">
        <v>530</v>
      </c>
      <c r="H410" s="50">
        <f>VLOOKUP($A410,'[1]ma sp 02'!$A$5:$BD$1101,H$1,0)</f>
        <v>0</v>
      </c>
      <c r="I410" s="50">
        <f>VLOOKUP($A410,'[1]ma sp 02'!$A$5:$BD$1101,I$1,0)</f>
        <v>2.99</v>
      </c>
      <c r="J410" s="50">
        <f>VLOOKUP($A410,'[1]ma sp 02'!$A$5:$BD$1101,J$1,0)</f>
        <v>0.99</v>
      </c>
      <c r="K410" s="50">
        <f>VLOOKUP($A410,'[1]ma sp 02'!$A$5:$BD$1101,K$1,0)</f>
        <v>0.26</v>
      </c>
      <c r="L410" s="50">
        <f>VLOOKUP($A410,'[1]ma sp 02'!$A$5:$BD$1101,L$1,0)</f>
        <v>1.64</v>
      </c>
      <c r="M410" s="50">
        <f>VLOOKUP($A410,'[1]ma sp 02'!$A$5:$BD$1101,M$1,0)</f>
        <v>1.49</v>
      </c>
      <c r="N410" s="50">
        <f>VLOOKUP($A410,'[1]ma sp 02'!$A$5:$BD$1101,N$1,0)</f>
        <v>0</v>
      </c>
      <c r="O410" s="50">
        <f>VLOOKUP($A410,'[1]ma sp 02'!$A$5:$BD$1101,O$1,0)</f>
        <v>0.14000000000000001</v>
      </c>
      <c r="P410" s="50">
        <f>VLOOKUP($A410,'[1]ma sp 02'!$A$5:$BD$1101,P$1,0)</f>
        <v>0.32</v>
      </c>
      <c r="Q410" s="50">
        <f>VLOOKUP($A410,'[1]ma sp 02'!$A$5:$BD$1101,Q$1,0)</f>
        <v>0</v>
      </c>
      <c r="R410" s="50">
        <f>VLOOKUP($A410,'[1]ma sp 02'!$A$5:$BD$1101,R$1,0)</f>
        <v>0</v>
      </c>
      <c r="S410" s="50">
        <f>VLOOKUP($A410,'[1]ma sp 02'!$A$5:$BD$1101,S$1,0)</f>
        <v>0</v>
      </c>
      <c r="T410" s="50">
        <f>VLOOKUP($A410,'[1]ma sp 02'!$A$5:$BD$1101,T$1,0)</f>
        <v>0</v>
      </c>
      <c r="U410" s="50">
        <f>VLOOKUP($A410,'[1]ma sp 02'!$A$5:$BD$1101,U$1,0)</f>
        <v>0</v>
      </c>
      <c r="V410" s="50">
        <f>VLOOKUP($A410,'[1]ma sp 02'!$A$5:$BD$1101,V$1,0)</f>
        <v>0</v>
      </c>
      <c r="W410" s="50">
        <f>VLOOKUP($A410,'[1]ma sp 02'!$A$5:$BD$1101,W$1,0)</f>
        <v>0</v>
      </c>
      <c r="X410" s="50">
        <f t="shared" si="14"/>
        <v>7</v>
      </c>
      <c r="Y410" s="57"/>
      <c r="Z410" s="57"/>
      <c r="AA410" s="57"/>
      <c r="AB410" s="57"/>
      <c r="AC410" s="57"/>
      <c r="AD410" s="57"/>
      <c r="AE410" s="58" t="s">
        <v>485</v>
      </c>
      <c r="AF410" s="58" t="s">
        <v>921</v>
      </c>
      <c r="AG410" s="71">
        <f>(0.012*1.4+0.012*1.4+0.075*0.925)*0.76</f>
        <v>7.8261000000000011E-2</v>
      </c>
      <c r="AH410" s="63">
        <f>(2.3/0.75/2)*0.75</f>
        <v>1.1499999999999999</v>
      </c>
      <c r="AI410" s="63">
        <f>(3/0.75/2)*0.75</f>
        <v>1.5</v>
      </c>
      <c r="AJ410" s="58">
        <v>9530</v>
      </c>
      <c r="AK410" s="58">
        <v>9530</v>
      </c>
      <c r="AL410" s="58" t="s">
        <v>117</v>
      </c>
      <c r="AM410" s="52" t="s">
        <v>60</v>
      </c>
      <c r="AN410" s="58">
        <v>420</v>
      </c>
      <c r="AO410" s="52" t="s">
        <v>916</v>
      </c>
      <c r="AP410" s="59">
        <f>IFERROR(VLOOKUP($A410,[2]Mssp!$A$5:$BE$1463,AP$4+1,0),0)</f>
        <v>0</v>
      </c>
      <c r="AQ410" s="59">
        <f>IFERROR(VLOOKUP($A410,[2]Mssp!$A$5:$BE$1463,AQ$4+1,0),0)</f>
        <v>0</v>
      </c>
      <c r="AR410" s="59">
        <f>IFERROR(VLOOKUP($A410,[2]Mssp!$A$5:$BE$1463,AR$4+1,0),0)</f>
        <v>0</v>
      </c>
      <c r="AS410" s="59">
        <f>IFERROR(VLOOKUP($A410,[2]Mssp!$A$5:$BE$1463,AS$4+1,0),0)</f>
        <v>0</v>
      </c>
      <c r="AT410" s="59">
        <f>IFERROR(VLOOKUP($A410,[2]Mssp!$A$5:$BE$1463,AT$4+1,0),0)</f>
        <v>0</v>
      </c>
      <c r="AU410" s="59">
        <f>IFERROR(VLOOKUP($A410,[2]Mssp!$A$5:$BE$1463,AU$4+1,0),0)</f>
        <v>0</v>
      </c>
      <c r="AV410" s="59">
        <f>IFERROR(VLOOKUP($A410,[2]Mssp!$A$5:$BE$1463,AV$4+1,0),0)</f>
        <v>0</v>
      </c>
      <c r="AW410" s="59">
        <f>IFERROR(VLOOKUP($A410,[2]Mssp!$A$5:$BE$1463,AW$4+1,0),0)</f>
        <v>0</v>
      </c>
      <c r="AX410" s="59">
        <f>IFERROR(VLOOKUP($A410,[2]Mssp!$A$5:$BE$1463,AX$4+1,0),0)</f>
        <v>0</v>
      </c>
      <c r="AY410" s="59">
        <f>IFERROR(VLOOKUP($A410,[2]Mssp!$A$5:$BE$1463,AY$4+2,0),0)</f>
        <v>0</v>
      </c>
      <c r="AZ410" s="59">
        <f>IFERROR(VLOOKUP($A410,[2]Mssp!$A$5:$BE$1463,AZ$4+2,0),0)</f>
        <v>0</v>
      </c>
      <c r="BA410" s="60">
        <v>1500</v>
      </c>
      <c r="BB410" s="61" t="s">
        <v>119</v>
      </c>
      <c r="BC410" s="62"/>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c r="CK410" s="9"/>
      <c r="CL410" s="9"/>
      <c r="CM410" s="9"/>
      <c r="CN410" s="9"/>
      <c r="CO410" s="9"/>
      <c r="CP410" s="9"/>
    </row>
    <row r="411" spans="1:94" ht="90" x14ac:dyDescent="0.25">
      <c r="A411" s="50" t="s">
        <v>1370</v>
      </c>
      <c r="B411" s="73" t="s">
        <v>1371</v>
      </c>
      <c r="C411" s="50">
        <f>SUM(H411:W411)</f>
        <v>8.64</v>
      </c>
      <c r="D411" s="58">
        <v>2</v>
      </c>
      <c r="E411" s="58" t="s">
        <v>484</v>
      </c>
      <c r="F411" s="58">
        <v>6</v>
      </c>
      <c r="G411" s="50" t="s">
        <v>530</v>
      </c>
      <c r="H411" s="50">
        <f>VLOOKUP($A411,'[1]ma sp 02'!$A$5:$BD$1101,H$1,0)</f>
        <v>0.04</v>
      </c>
      <c r="I411" s="50">
        <f>VLOOKUP($A411,'[1]ma sp 02'!$A$5:$BD$1101,I$1,0)</f>
        <v>2.83</v>
      </c>
      <c r="J411" s="50">
        <f>VLOOKUP($A411,'[1]ma sp 02'!$A$5:$BD$1101,J$1,0)</f>
        <v>0.86</v>
      </c>
      <c r="K411" s="50">
        <f>VLOOKUP($A411,'[1]ma sp 02'!$A$5:$BD$1101,K$1,0)</f>
        <v>0.2</v>
      </c>
      <c r="L411" s="50">
        <f>VLOOKUP($A411,'[1]ma sp 02'!$A$5:$BD$1101,L$1,0)</f>
        <v>1.49</v>
      </c>
      <c r="M411" s="50">
        <f>VLOOKUP($A411,'[1]ma sp 02'!$A$5:$BD$1101,M$1,0)</f>
        <v>2.23</v>
      </c>
      <c r="N411" s="50">
        <f>VLOOKUP($A411,'[1]ma sp 02'!$A$5:$BD$1101,N$1,0)</f>
        <v>0</v>
      </c>
      <c r="O411" s="50">
        <f>VLOOKUP($A411,'[1]ma sp 02'!$A$5:$BD$1101,O$1,0)</f>
        <v>0.17</v>
      </c>
      <c r="P411" s="50">
        <f>VLOOKUP($A411,'[1]ma sp 02'!$A$5:$BD$1101,P$1,0)</f>
        <v>0.82</v>
      </c>
      <c r="Q411" s="50">
        <f>VLOOKUP($A411,'[1]ma sp 02'!$A$5:$BD$1101,Q$1,0)</f>
        <v>0</v>
      </c>
      <c r="R411" s="50">
        <f>VLOOKUP($A411,'[1]ma sp 02'!$A$5:$BD$1101,R$1,0)</f>
        <v>0</v>
      </c>
      <c r="S411" s="50">
        <f>VLOOKUP($A411,'[1]ma sp 02'!$A$5:$BD$1101,S$1,0)</f>
        <v>0</v>
      </c>
      <c r="T411" s="50">
        <f>VLOOKUP($A411,'[1]ma sp 02'!$A$5:$BD$1101,T$1,0)</f>
        <v>0</v>
      </c>
      <c r="U411" s="50">
        <f>VLOOKUP($A411,'[1]ma sp 02'!$A$5:$BD$1101,U$1,0)</f>
        <v>0</v>
      </c>
      <c r="V411" s="50">
        <f>VLOOKUP($A411,'[1]ma sp 02'!$A$5:$BD$1101,V$1,0)</f>
        <v>0</v>
      </c>
      <c r="W411" s="50">
        <f>VLOOKUP($A411,'[1]ma sp 02'!$A$5:$BD$1101,W$1,0)</f>
        <v>0</v>
      </c>
      <c r="X411" s="50">
        <f t="shared" si="14"/>
        <v>8</v>
      </c>
      <c r="Y411" s="57"/>
      <c r="Z411" s="57"/>
      <c r="AA411" s="57"/>
      <c r="AB411" s="57"/>
      <c r="AC411" s="57"/>
      <c r="AD411" s="57"/>
      <c r="AE411" s="58" t="s">
        <v>485</v>
      </c>
      <c r="AF411" s="58" t="s">
        <v>921</v>
      </c>
      <c r="AG411" s="71">
        <f>(0.012*1.4+0.012*1.4+0.075*0.925)*0.76</f>
        <v>7.8261000000000011E-2</v>
      </c>
      <c r="AH411" s="63">
        <f>(2.3/0.75/2)*0.75</f>
        <v>1.1499999999999999</v>
      </c>
      <c r="AI411" s="63">
        <f>(3/0.75/2)*0.75</f>
        <v>1.5</v>
      </c>
      <c r="AJ411" s="58">
        <v>9530</v>
      </c>
      <c r="AK411" s="58">
        <v>9530</v>
      </c>
      <c r="AL411" s="58" t="s">
        <v>117</v>
      </c>
      <c r="AM411" s="52" t="s">
        <v>60</v>
      </c>
      <c r="AN411" s="58">
        <v>420</v>
      </c>
      <c r="AO411" s="52" t="s">
        <v>916</v>
      </c>
      <c r="AP411" s="59">
        <f>IFERROR(VLOOKUP($A411,[2]Mssp!$A$5:$BE$1463,AP$4+1,0),0)</f>
        <v>0</v>
      </c>
      <c r="AQ411" s="59">
        <f>IFERROR(VLOOKUP($A411,[2]Mssp!$A$5:$BE$1463,AQ$4+1,0),0)</f>
        <v>0</v>
      </c>
      <c r="AR411" s="59">
        <f>IFERROR(VLOOKUP($A411,[2]Mssp!$A$5:$BE$1463,AR$4+1,0),0)</f>
        <v>0</v>
      </c>
      <c r="AS411" s="59">
        <f>IFERROR(VLOOKUP($A411,[2]Mssp!$A$5:$BE$1463,AS$4+1,0),0)</f>
        <v>0</v>
      </c>
      <c r="AT411" s="59">
        <f>IFERROR(VLOOKUP($A411,[2]Mssp!$A$5:$BE$1463,AT$4+1,0),0)</f>
        <v>0</v>
      </c>
      <c r="AU411" s="59">
        <f>IFERROR(VLOOKUP($A411,[2]Mssp!$A$5:$BE$1463,AU$4+1,0),0)</f>
        <v>0</v>
      </c>
      <c r="AV411" s="59">
        <f>IFERROR(VLOOKUP($A411,[2]Mssp!$A$5:$BE$1463,AV$4+1,0),0)</f>
        <v>0</v>
      </c>
      <c r="AW411" s="59">
        <f>IFERROR(VLOOKUP($A411,[2]Mssp!$A$5:$BE$1463,AW$4+1,0),0)</f>
        <v>0</v>
      </c>
      <c r="AX411" s="59">
        <f>IFERROR(VLOOKUP($A411,[2]Mssp!$A$5:$BE$1463,AX$4+1,0),0)</f>
        <v>0</v>
      </c>
      <c r="AY411" s="59">
        <f>IFERROR(VLOOKUP($A411,[2]Mssp!$A$5:$BE$1463,AY$4+2,0),0)</f>
        <v>0</v>
      </c>
      <c r="AZ411" s="59">
        <f>IFERROR(VLOOKUP($A411,[2]Mssp!$A$5:$BE$1463,AZ$4+2,0),0)</f>
        <v>0</v>
      </c>
      <c r="BA411" s="60">
        <v>1500</v>
      </c>
      <c r="BB411" s="61" t="s">
        <v>119</v>
      </c>
      <c r="BC411" s="62"/>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c r="CK411" s="9"/>
      <c r="CL411" s="9"/>
      <c r="CM411" s="9"/>
      <c r="CN411" s="9"/>
      <c r="CO411" s="9"/>
      <c r="CP411" s="9"/>
    </row>
    <row r="412" spans="1:94" ht="90" x14ac:dyDescent="0.25">
      <c r="A412" s="50" t="s">
        <v>1372</v>
      </c>
      <c r="B412" s="73" t="s">
        <v>1373</v>
      </c>
      <c r="C412" s="50">
        <f>SUM(H412:W412)</f>
        <v>7.77</v>
      </c>
      <c r="D412" s="58">
        <v>2</v>
      </c>
      <c r="E412" s="58" t="s">
        <v>484</v>
      </c>
      <c r="F412" s="58">
        <v>6</v>
      </c>
      <c r="G412" s="50" t="s">
        <v>530</v>
      </c>
      <c r="H412" s="50">
        <f>VLOOKUP($A412,'[1]ma sp 02'!$A$5:$BD$1101,H$1,0)</f>
        <v>0</v>
      </c>
      <c r="I412" s="50">
        <f>VLOOKUP($A412,'[1]ma sp 02'!$A$5:$BD$1101,I$1,0)</f>
        <v>3.56</v>
      </c>
      <c r="J412" s="50">
        <f>VLOOKUP($A412,'[1]ma sp 02'!$A$5:$BD$1101,J$1,0)</f>
        <v>0.66</v>
      </c>
      <c r="K412" s="50">
        <f>VLOOKUP($A412,'[1]ma sp 02'!$A$5:$BD$1101,K$1,0)</f>
        <v>0.16</v>
      </c>
      <c r="L412" s="50">
        <f>VLOOKUP($A412,'[1]ma sp 02'!$A$5:$BD$1101,L$1,0)</f>
        <v>1.92</v>
      </c>
      <c r="M412" s="50">
        <f>VLOOKUP($A412,'[1]ma sp 02'!$A$5:$BD$1101,M$1,0)</f>
        <v>1.37</v>
      </c>
      <c r="N412" s="50">
        <f>VLOOKUP($A412,'[1]ma sp 02'!$A$5:$BD$1101,N$1,0)</f>
        <v>0</v>
      </c>
      <c r="O412" s="50">
        <f>VLOOKUP($A412,'[1]ma sp 02'!$A$5:$BD$1101,O$1,0)</f>
        <v>0.05</v>
      </c>
      <c r="P412" s="50">
        <f>VLOOKUP($A412,'[1]ma sp 02'!$A$5:$BD$1101,P$1,0)</f>
        <v>0.05</v>
      </c>
      <c r="Q412" s="50">
        <f>VLOOKUP($A412,'[1]ma sp 02'!$A$5:$BD$1101,Q$1,0)</f>
        <v>0</v>
      </c>
      <c r="R412" s="50">
        <f>VLOOKUP($A412,'[1]ma sp 02'!$A$5:$BD$1101,R$1,0)</f>
        <v>0</v>
      </c>
      <c r="S412" s="50">
        <f>VLOOKUP($A412,'[1]ma sp 02'!$A$5:$BD$1101,S$1,0)</f>
        <v>0</v>
      </c>
      <c r="T412" s="50">
        <f>VLOOKUP($A412,'[1]ma sp 02'!$A$5:$BD$1101,T$1,0)</f>
        <v>0</v>
      </c>
      <c r="U412" s="50">
        <f>VLOOKUP($A412,'[1]ma sp 02'!$A$5:$BD$1101,U$1,0)</f>
        <v>0</v>
      </c>
      <c r="V412" s="50">
        <f>VLOOKUP($A412,'[1]ma sp 02'!$A$5:$BD$1101,V$1,0)</f>
        <v>0</v>
      </c>
      <c r="W412" s="50">
        <f>VLOOKUP($A412,'[1]ma sp 02'!$A$5:$BD$1101,W$1,0)</f>
        <v>0</v>
      </c>
      <c r="X412" s="50">
        <f t="shared" si="14"/>
        <v>7</v>
      </c>
      <c r="Y412" s="57"/>
      <c r="Z412" s="57"/>
      <c r="AA412" s="57"/>
      <c r="AB412" s="57"/>
      <c r="AC412" s="57"/>
      <c r="AD412" s="57"/>
      <c r="AE412" s="58" t="s">
        <v>485</v>
      </c>
      <c r="AF412" s="58" t="s">
        <v>921</v>
      </c>
      <c r="AG412" s="71">
        <f>(0.012*1.4+0.012*1.4+0.075*0.925)*0.76</f>
        <v>7.8261000000000011E-2</v>
      </c>
      <c r="AH412" s="63">
        <f>(2.3/0.75/2)*0.75</f>
        <v>1.1499999999999999</v>
      </c>
      <c r="AI412" s="63">
        <f>(3/0.75/2)*0.75</f>
        <v>1.5</v>
      </c>
      <c r="AJ412" s="58">
        <v>9530</v>
      </c>
      <c r="AK412" s="58">
        <v>9530</v>
      </c>
      <c r="AL412" s="58" t="s">
        <v>117</v>
      </c>
      <c r="AM412" s="52" t="s">
        <v>60</v>
      </c>
      <c r="AN412" s="58">
        <v>420</v>
      </c>
      <c r="AO412" s="52" t="s">
        <v>916</v>
      </c>
      <c r="AP412" s="59">
        <f>IFERROR(VLOOKUP($A412,[2]Mssp!$A$5:$BE$1463,AP$4+1,0),0)</f>
        <v>0</v>
      </c>
      <c r="AQ412" s="59">
        <f>IFERROR(VLOOKUP($A412,[2]Mssp!$A$5:$BE$1463,AQ$4+1,0),0)</f>
        <v>0</v>
      </c>
      <c r="AR412" s="59">
        <f>IFERROR(VLOOKUP($A412,[2]Mssp!$A$5:$BE$1463,AR$4+1,0),0)</f>
        <v>0</v>
      </c>
      <c r="AS412" s="59">
        <f>IFERROR(VLOOKUP($A412,[2]Mssp!$A$5:$BE$1463,AS$4+1,0),0)</f>
        <v>0</v>
      </c>
      <c r="AT412" s="59">
        <f>IFERROR(VLOOKUP($A412,[2]Mssp!$A$5:$BE$1463,AT$4+1,0),0)</f>
        <v>0</v>
      </c>
      <c r="AU412" s="59">
        <f>IFERROR(VLOOKUP($A412,[2]Mssp!$A$5:$BE$1463,AU$4+1,0),0)</f>
        <v>0</v>
      </c>
      <c r="AV412" s="59">
        <f>IFERROR(VLOOKUP($A412,[2]Mssp!$A$5:$BE$1463,AV$4+1,0),0)</f>
        <v>0</v>
      </c>
      <c r="AW412" s="59">
        <f>IFERROR(VLOOKUP($A412,[2]Mssp!$A$5:$BE$1463,AW$4+1,0),0)</f>
        <v>0</v>
      </c>
      <c r="AX412" s="59">
        <f>IFERROR(VLOOKUP($A412,[2]Mssp!$A$5:$BE$1463,AX$4+1,0),0)</f>
        <v>0</v>
      </c>
      <c r="AY412" s="59">
        <f>IFERROR(VLOOKUP($A412,[2]Mssp!$A$5:$BE$1463,AY$4+2,0),0)</f>
        <v>0</v>
      </c>
      <c r="AZ412" s="59">
        <f>IFERROR(VLOOKUP($A412,[2]Mssp!$A$5:$BE$1463,AZ$4+2,0),0)</f>
        <v>0</v>
      </c>
      <c r="BA412" s="60">
        <v>1500</v>
      </c>
      <c r="BB412" s="61" t="s">
        <v>119</v>
      </c>
      <c r="BC412" s="62"/>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9"/>
      <c r="CK412" s="9"/>
      <c r="CL412" s="9"/>
      <c r="CM412" s="9"/>
      <c r="CN412" s="9"/>
      <c r="CO412" s="9"/>
      <c r="CP412" s="9"/>
    </row>
    <row r="413" spans="1:94" ht="30" x14ac:dyDescent="0.25">
      <c r="A413" s="50" t="s">
        <v>1374</v>
      </c>
      <c r="B413" s="73" t="s">
        <v>1375</v>
      </c>
      <c r="C413" s="50"/>
      <c r="D413" s="58">
        <v>2</v>
      </c>
      <c r="E413" s="58" t="s">
        <v>910</v>
      </c>
      <c r="F413" s="58">
        <v>7</v>
      </c>
      <c r="G413" s="50" t="s">
        <v>184</v>
      </c>
      <c r="H413" s="50">
        <f>VLOOKUP($A413,'[1]ma sp 02'!$A$5:$BD$1101,H$1,0)</f>
        <v>7.0000000000000007E-2</v>
      </c>
      <c r="I413" s="50">
        <f>VLOOKUP($A413,'[1]ma sp 02'!$A$5:$BD$1101,I$1,0)</f>
        <v>2.0099999999999998</v>
      </c>
      <c r="J413" s="50">
        <f>VLOOKUP($A413,'[1]ma sp 02'!$A$5:$BD$1101,J$1,0)</f>
        <v>1.39</v>
      </c>
      <c r="K413" s="50">
        <f>VLOOKUP($A413,'[1]ma sp 02'!$A$5:$BD$1101,K$1,0)</f>
        <v>0.15</v>
      </c>
      <c r="L413" s="50">
        <f>VLOOKUP($A413,'[1]ma sp 02'!$A$5:$BD$1101,L$1,0)</f>
        <v>3.36</v>
      </c>
      <c r="M413" s="50">
        <f>VLOOKUP($A413,'[1]ma sp 02'!$A$5:$BD$1101,M$1,0)</f>
        <v>1.02</v>
      </c>
      <c r="N413" s="50">
        <f>VLOOKUP($A413,'[1]ma sp 02'!$A$5:$BD$1101,N$1,0)</f>
        <v>0</v>
      </c>
      <c r="O413" s="50">
        <f>VLOOKUP($A413,'[1]ma sp 02'!$A$5:$BD$1101,O$1,0)</f>
        <v>0.33</v>
      </c>
      <c r="P413" s="50">
        <f>VLOOKUP($A413,'[1]ma sp 02'!$A$5:$BD$1101,P$1,0)</f>
        <v>0.51</v>
      </c>
      <c r="Q413" s="50">
        <f>VLOOKUP($A413,'[1]ma sp 02'!$A$5:$BD$1101,Q$1,0)</f>
        <v>0</v>
      </c>
      <c r="R413" s="50">
        <f>VLOOKUP($A413,'[1]ma sp 02'!$A$5:$BD$1101,R$1,0)</f>
        <v>0</v>
      </c>
      <c r="S413" s="50">
        <f>VLOOKUP($A413,'[1]ma sp 02'!$A$5:$BD$1101,S$1,0)</f>
        <v>0</v>
      </c>
      <c r="T413" s="50">
        <f>VLOOKUP($A413,'[1]ma sp 02'!$A$5:$BD$1101,T$1,0)</f>
        <v>0</v>
      </c>
      <c r="U413" s="50">
        <f>VLOOKUP($A413,'[1]ma sp 02'!$A$5:$BD$1101,U$1,0)</f>
        <v>0</v>
      </c>
      <c r="V413" s="50">
        <f>VLOOKUP($A413,'[1]ma sp 02'!$A$5:$BD$1101,V$1,0)</f>
        <v>0</v>
      </c>
      <c r="W413" s="50">
        <f>VLOOKUP($A413,'[1]ma sp 02'!$A$5:$BD$1101,W$1,0)</f>
        <v>0</v>
      </c>
      <c r="X413" s="50">
        <f t="shared" si="14"/>
        <v>8</v>
      </c>
      <c r="Y413" s="57"/>
      <c r="Z413" s="57"/>
      <c r="AA413" s="57"/>
      <c r="AB413" s="57"/>
      <c r="AC413" s="57"/>
      <c r="AD413" s="57"/>
      <c r="AE413" s="58" t="s">
        <v>911</v>
      </c>
      <c r="AF413" s="58"/>
      <c r="AG413" s="71">
        <f>(0.02*0.91+0.09*0.925)*0.9</f>
        <v>9.1305000000000011E-2</v>
      </c>
      <c r="AH413" s="63">
        <f>(2.3/0.75/2)*0.89</f>
        <v>1.3646666666666665</v>
      </c>
      <c r="AI413" s="63"/>
      <c r="AJ413" s="58">
        <v>9530</v>
      </c>
      <c r="AK413" s="58"/>
      <c r="AL413" s="58">
        <v>2.3E-3</v>
      </c>
      <c r="AM413" s="52" t="s">
        <v>74</v>
      </c>
      <c r="AN413" s="58">
        <v>310</v>
      </c>
      <c r="AO413" s="52" t="s">
        <v>387</v>
      </c>
      <c r="AP413" s="59" t="str">
        <f>IFERROR(VLOOKUP($A413,[2]Mssp!$A$5:$BE$1463,AP$4+1,0),0)</f>
        <v>18101258-1</v>
      </c>
      <c r="AQ413" s="59" t="str">
        <f>IFERROR(VLOOKUP($A413,[2]Mssp!$A$5:$BE$1463,AQ$4+1,0),0)</f>
        <v>18051213-2</v>
      </c>
      <c r="AR413" s="59" t="str">
        <f>IFERROR(VLOOKUP($A413,[2]Mssp!$A$5:$BE$1463,AR$4+1,0),0)</f>
        <v>18051213-3</v>
      </c>
      <c r="AS413" s="59" t="str">
        <f>IFERROR(VLOOKUP($A413,[2]Mssp!$A$5:$BE$1463,AS$4+1,0),0)</f>
        <v>18051213-4</v>
      </c>
      <c r="AT413" s="59" t="str">
        <f>IFERROR(VLOOKUP($A413,[2]Mssp!$A$5:$BE$1463,AT$4+1,0),0)</f>
        <v>18051213-5</v>
      </c>
      <c r="AU413" s="59" t="str">
        <f>IFERROR(VLOOKUP($A413,[2]Mssp!$A$5:$BE$1463,AU$4+1,0),0)</f>
        <v>18051213-6</v>
      </c>
      <c r="AV413" s="59" t="str">
        <f>IFERROR(VLOOKUP($A413,[2]Mssp!$A$5:$BE$1463,AV$4+1,0),0)</f>
        <v>18051213-7</v>
      </c>
      <c r="AW413" s="59">
        <f>IFERROR(VLOOKUP($A413,[2]Mssp!$A$5:$BE$1463,AW$4+1,0),0)</f>
        <v>0</v>
      </c>
      <c r="AX413" s="59">
        <f>IFERROR(VLOOKUP($A413,[2]Mssp!$A$5:$BE$1463,AX$4+1,0),0)</f>
        <v>0</v>
      </c>
      <c r="AY413" s="59" t="str">
        <f>IFERROR(VLOOKUP($A413,[2]Mssp!$A$5:$BE$1463,AY$4+2,0),0)</f>
        <v>620x1100</v>
      </c>
      <c r="AZ413" s="59" t="str">
        <f>IFERROR(VLOOKUP($A413,[2]Mssp!$A$5:$BE$1463,AZ$4+2,0),0)</f>
        <v>P2</v>
      </c>
      <c r="BA413" s="60"/>
      <c r="BB413" s="61"/>
      <c r="BC413" s="62"/>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c r="CK413" s="9"/>
      <c r="CL413" s="9"/>
      <c r="CM413" s="9"/>
      <c r="CN413" s="9"/>
      <c r="CO413" s="9"/>
      <c r="CP413" s="9"/>
    </row>
    <row r="414" spans="1:94" ht="90" x14ac:dyDescent="0.25">
      <c r="A414" s="77" t="s">
        <v>1376</v>
      </c>
      <c r="B414" s="73" t="s">
        <v>1377</v>
      </c>
      <c r="C414" s="50"/>
      <c r="D414" s="58">
        <v>2</v>
      </c>
      <c r="E414" s="58" t="s">
        <v>131</v>
      </c>
      <c r="F414" s="58">
        <v>6</v>
      </c>
      <c r="G414" s="50" t="s">
        <v>530</v>
      </c>
      <c r="H414" s="50">
        <f>VLOOKUP($A414,'[1]ma sp 02'!$A$5:$BD$1101,H$1,0)</f>
        <v>0</v>
      </c>
      <c r="I414" s="50">
        <f>VLOOKUP($A414,'[1]ma sp 02'!$A$5:$BD$1101,I$1,0)</f>
        <v>1.48</v>
      </c>
      <c r="J414" s="50">
        <f>VLOOKUP($A414,'[1]ma sp 02'!$A$5:$BD$1101,J$1,0)</f>
        <v>1.07</v>
      </c>
      <c r="K414" s="50">
        <f>VLOOKUP($A414,'[1]ma sp 02'!$A$5:$BD$1101,K$1,0)</f>
        <v>2.34</v>
      </c>
      <c r="L414" s="50">
        <f>VLOOKUP($A414,'[1]ma sp 02'!$A$5:$BD$1101,L$1,0)</f>
        <v>1.45</v>
      </c>
      <c r="M414" s="50">
        <f>VLOOKUP($A414,'[1]ma sp 02'!$A$5:$BD$1101,M$1,0)</f>
        <v>0.69</v>
      </c>
      <c r="N414" s="50">
        <f>VLOOKUP($A414,'[1]ma sp 02'!$A$5:$BD$1101,N$1,0)</f>
        <v>3.86</v>
      </c>
      <c r="O414" s="50">
        <f>VLOOKUP($A414,'[1]ma sp 02'!$A$5:$BD$1101,O$1,0)</f>
        <v>0.17</v>
      </c>
      <c r="P414" s="50">
        <f>VLOOKUP($A414,'[1]ma sp 02'!$A$5:$BD$1101,P$1,0)</f>
        <v>0</v>
      </c>
      <c r="Q414" s="50">
        <f>VLOOKUP($A414,'[1]ma sp 02'!$A$5:$BD$1101,Q$1,0)</f>
        <v>0</v>
      </c>
      <c r="R414" s="50">
        <f>VLOOKUP($A414,'[1]ma sp 02'!$A$5:$BD$1101,R$1,0)</f>
        <v>0</v>
      </c>
      <c r="S414" s="50">
        <f>VLOOKUP($A414,'[1]ma sp 02'!$A$5:$BD$1101,S$1,0)</f>
        <v>0</v>
      </c>
      <c r="T414" s="50">
        <f>VLOOKUP($A414,'[1]ma sp 02'!$A$5:$BD$1101,T$1,0)</f>
        <v>0</v>
      </c>
      <c r="U414" s="50">
        <f>VLOOKUP($A414,'[1]ma sp 02'!$A$5:$BD$1101,U$1,0)</f>
        <v>0</v>
      </c>
      <c r="V414" s="50">
        <f>VLOOKUP($A414,'[1]ma sp 02'!$A$5:$BD$1101,V$1,0)</f>
        <v>0</v>
      </c>
      <c r="W414" s="50">
        <f>VLOOKUP($A414,'[1]ma sp 02'!$A$5:$BD$1101,W$1,0)</f>
        <v>0</v>
      </c>
      <c r="X414" s="50">
        <f t="shared" si="14"/>
        <v>7</v>
      </c>
      <c r="Y414" s="57"/>
      <c r="Z414" s="57"/>
      <c r="AA414" s="57"/>
      <c r="AB414" s="57"/>
      <c r="AC414" s="57"/>
      <c r="AD414" s="57"/>
      <c r="AE414" s="58" t="s">
        <v>78</v>
      </c>
      <c r="AF414" s="58" t="s">
        <v>324</v>
      </c>
      <c r="AG414" s="71">
        <v>6.3844500000000012E-2</v>
      </c>
      <c r="AH414" s="63">
        <v>0.93533333333333324</v>
      </c>
      <c r="AI414" s="63">
        <v>1.22</v>
      </c>
      <c r="AJ414" s="58">
        <v>9530</v>
      </c>
      <c r="AK414" s="58">
        <v>9530</v>
      </c>
      <c r="AL414" s="58" t="s">
        <v>117</v>
      </c>
      <c r="AM414" s="52" t="s">
        <v>60</v>
      </c>
      <c r="AN414" s="58">
        <v>340</v>
      </c>
      <c r="AO414" s="52" t="s">
        <v>916</v>
      </c>
      <c r="AP414" s="59">
        <f>IFERROR(VLOOKUP($A414,[2]Mssp!$A$5:$BE$1463,AP$4+1,0),0)</f>
        <v>0</v>
      </c>
      <c r="AQ414" s="59">
        <f>IFERROR(VLOOKUP($A414,[2]Mssp!$A$5:$BE$1463,AQ$4+1,0),0)</f>
        <v>0</v>
      </c>
      <c r="AR414" s="59">
        <f>IFERROR(VLOOKUP($A414,[2]Mssp!$A$5:$BE$1463,AR$4+1,0),0)</f>
        <v>0</v>
      </c>
      <c r="AS414" s="59">
        <f>IFERROR(VLOOKUP($A414,[2]Mssp!$A$5:$BE$1463,AS$4+1,0),0)</f>
        <v>0</v>
      </c>
      <c r="AT414" s="59">
        <f>IFERROR(VLOOKUP($A414,[2]Mssp!$A$5:$BE$1463,AT$4+1,0),0)</f>
        <v>0</v>
      </c>
      <c r="AU414" s="59">
        <f>IFERROR(VLOOKUP($A414,[2]Mssp!$A$5:$BE$1463,AU$4+1,0),0)</f>
        <v>0</v>
      </c>
      <c r="AV414" s="59">
        <f>IFERROR(VLOOKUP($A414,[2]Mssp!$A$5:$BE$1463,AV$4+1,0),0)</f>
        <v>0</v>
      </c>
      <c r="AW414" s="59">
        <f>IFERROR(VLOOKUP($A414,[2]Mssp!$A$5:$BE$1463,AW$4+1,0),0)</f>
        <v>0</v>
      </c>
      <c r="AX414" s="59">
        <f>IFERROR(VLOOKUP($A414,[2]Mssp!$A$5:$BE$1463,AX$4+1,0),0)</f>
        <v>0</v>
      </c>
      <c r="AY414" s="59">
        <f>IFERROR(VLOOKUP($A414,[2]Mssp!$A$5:$BE$1463,AY$4+2,0),0)</f>
        <v>0</v>
      </c>
      <c r="AZ414" s="59">
        <f>IFERROR(VLOOKUP($A414,[2]Mssp!$A$5:$BE$1463,AZ$4+2,0),0)</f>
        <v>0</v>
      </c>
      <c r="BA414" s="60"/>
      <c r="BB414" s="61" t="s">
        <v>119</v>
      </c>
      <c r="BC414" s="62"/>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c r="CK414" s="9"/>
      <c r="CL414" s="9"/>
      <c r="CM414" s="9"/>
      <c r="CN414" s="9"/>
      <c r="CO414" s="9"/>
      <c r="CP414" s="9"/>
    </row>
    <row r="415" spans="1:94" ht="90" x14ac:dyDescent="0.25">
      <c r="A415" s="77" t="s">
        <v>1378</v>
      </c>
      <c r="B415" s="73" t="s">
        <v>1379</v>
      </c>
      <c r="C415" s="50">
        <v>7.9</v>
      </c>
      <c r="D415" s="58">
        <v>2</v>
      </c>
      <c r="E415" s="58" t="s">
        <v>484</v>
      </c>
      <c r="F415" s="58">
        <v>6</v>
      </c>
      <c r="G415" s="50" t="s">
        <v>530</v>
      </c>
      <c r="H415" s="50">
        <f>VLOOKUP($A415,'[1]ma sp 02'!$A$5:$BD$1101,H$1,0)</f>
        <v>0</v>
      </c>
      <c r="I415" s="50">
        <f>VLOOKUP($A415,'[1]ma sp 02'!$A$5:$BD$1101,I$1,0)</f>
        <v>0.57999999999999996</v>
      </c>
      <c r="J415" s="50">
        <f>VLOOKUP($A415,'[1]ma sp 02'!$A$5:$BD$1101,J$1,0)</f>
        <v>0.37</v>
      </c>
      <c r="K415" s="50">
        <f>VLOOKUP($A415,'[1]ma sp 02'!$A$5:$BD$1101,K$1,0)</f>
        <v>0.21</v>
      </c>
      <c r="L415" s="50">
        <f>VLOOKUP($A415,'[1]ma sp 02'!$A$5:$BD$1101,L$1,0)</f>
        <v>1.1599999999999999</v>
      </c>
      <c r="M415" s="50">
        <f>VLOOKUP($A415,'[1]ma sp 02'!$A$5:$BD$1101,M$1,0)</f>
        <v>0.59</v>
      </c>
      <c r="N415" s="50">
        <f>VLOOKUP($A415,'[1]ma sp 02'!$A$5:$BD$1101,N$1,0)</f>
        <v>1.85</v>
      </c>
      <c r="O415" s="50">
        <f>VLOOKUP($A415,'[1]ma sp 02'!$A$5:$BD$1101,O$1,0)</f>
        <v>0.09</v>
      </c>
      <c r="P415" s="50">
        <f>VLOOKUP($A415,'[1]ma sp 02'!$A$5:$BD$1101,P$1,0)</f>
        <v>0</v>
      </c>
      <c r="Q415" s="50">
        <f>VLOOKUP($A415,'[1]ma sp 02'!$A$5:$BD$1101,Q$1,0)</f>
        <v>0</v>
      </c>
      <c r="R415" s="50">
        <f>VLOOKUP($A415,'[1]ma sp 02'!$A$5:$BD$1101,R$1,0)</f>
        <v>0</v>
      </c>
      <c r="S415" s="50">
        <f>VLOOKUP($A415,'[1]ma sp 02'!$A$5:$BD$1101,S$1,0)</f>
        <v>0</v>
      </c>
      <c r="T415" s="50">
        <f>VLOOKUP($A415,'[1]ma sp 02'!$A$5:$BD$1101,T$1,0)</f>
        <v>0</v>
      </c>
      <c r="U415" s="50">
        <f>VLOOKUP($A415,'[1]ma sp 02'!$A$5:$BD$1101,U$1,0)</f>
        <v>0</v>
      </c>
      <c r="V415" s="50">
        <f>VLOOKUP($A415,'[1]ma sp 02'!$A$5:$BD$1101,V$1,0)</f>
        <v>0</v>
      </c>
      <c r="W415" s="50">
        <f>VLOOKUP($A415,'[1]ma sp 02'!$A$5:$BD$1101,W$1,0)</f>
        <v>0</v>
      </c>
      <c r="X415" s="50">
        <f t="shared" si="14"/>
        <v>7</v>
      </c>
      <c r="Y415" s="57"/>
      <c r="Z415" s="57"/>
      <c r="AA415" s="57"/>
      <c r="AB415" s="57"/>
      <c r="AC415" s="57"/>
      <c r="AD415" s="57"/>
      <c r="AE415" s="58" t="s">
        <v>485</v>
      </c>
      <c r="AF415" s="58" t="s">
        <v>921</v>
      </c>
      <c r="AG415" s="71">
        <v>7.8261000000000011E-2</v>
      </c>
      <c r="AH415" s="63">
        <v>1.1499999999999999</v>
      </c>
      <c r="AI415" s="63">
        <v>1.5</v>
      </c>
      <c r="AJ415" s="58">
        <v>9530</v>
      </c>
      <c r="AK415" s="57">
        <v>9530</v>
      </c>
      <c r="AL415" s="58" t="s">
        <v>117</v>
      </c>
      <c r="AM415" s="52" t="s">
        <v>60</v>
      </c>
      <c r="AN415" s="58">
        <v>420</v>
      </c>
      <c r="AO415" s="52" t="s">
        <v>916</v>
      </c>
      <c r="AP415" s="59">
        <f>IFERROR(VLOOKUP($A415,[2]Mssp!$A$5:$BE$1463,AP$4+1,0),0)</f>
        <v>0</v>
      </c>
      <c r="AQ415" s="59">
        <f>IFERROR(VLOOKUP($A415,[2]Mssp!$A$5:$BE$1463,AQ$4+1,0),0)</f>
        <v>0</v>
      </c>
      <c r="AR415" s="59">
        <f>IFERROR(VLOOKUP($A415,[2]Mssp!$A$5:$BE$1463,AR$4+1,0),0)</f>
        <v>0</v>
      </c>
      <c r="AS415" s="59">
        <f>IFERROR(VLOOKUP($A415,[2]Mssp!$A$5:$BE$1463,AS$4+1,0),0)</f>
        <v>0</v>
      </c>
      <c r="AT415" s="59">
        <f>IFERROR(VLOOKUP($A415,[2]Mssp!$A$5:$BE$1463,AT$4+1,0),0)</f>
        <v>0</v>
      </c>
      <c r="AU415" s="59">
        <f>IFERROR(VLOOKUP($A415,[2]Mssp!$A$5:$BE$1463,AU$4+1,0),0)</f>
        <v>0</v>
      </c>
      <c r="AV415" s="59">
        <f>IFERROR(VLOOKUP($A415,[2]Mssp!$A$5:$BE$1463,AV$4+1,0),0)</f>
        <v>0</v>
      </c>
      <c r="AW415" s="59">
        <f>IFERROR(VLOOKUP($A415,[2]Mssp!$A$5:$BE$1463,AW$4+1,0),0)</f>
        <v>0</v>
      </c>
      <c r="AX415" s="59">
        <f>IFERROR(VLOOKUP($A415,[2]Mssp!$A$5:$BE$1463,AX$4+1,0),0)</f>
        <v>0</v>
      </c>
      <c r="AY415" s="59">
        <f>IFERROR(VLOOKUP($A415,[2]Mssp!$A$5:$BE$1463,AY$4+2,0),0)</f>
        <v>0</v>
      </c>
      <c r="AZ415" s="59">
        <f>IFERROR(VLOOKUP($A415,[2]Mssp!$A$5:$BE$1463,AZ$4+2,0),0)</f>
        <v>0</v>
      </c>
      <c r="BA415" s="60">
        <v>1500</v>
      </c>
      <c r="BB415" s="61" t="s">
        <v>119</v>
      </c>
      <c r="BC415" s="62"/>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c r="CK415" s="9"/>
      <c r="CL415" s="9"/>
      <c r="CM415" s="9"/>
      <c r="CN415" s="9"/>
      <c r="CO415" s="9"/>
      <c r="CP415" s="9"/>
    </row>
    <row r="416" spans="1:94" ht="90" x14ac:dyDescent="0.25">
      <c r="A416" s="77" t="s">
        <v>1380</v>
      </c>
      <c r="B416" s="73" t="s">
        <v>1381</v>
      </c>
      <c r="C416" s="50">
        <f t="shared" ref="C416:C432" si="15">SUM(H416:W416)</f>
        <v>8.17</v>
      </c>
      <c r="D416" s="58">
        <v>2</v>
      </c>
      <c r="E416" s="58" t="s">
        <v>484</v>
      </c>
      <c r="F416" s="58">
        <v>6</v>
      </c>
      <c r="G416" s="50" t="str">
        <f>LEFT(E416,3)</f>
        <v>PET</v>
      </c>
      <c r="H416" s="50">
        <f>VLOOKUP($A416,'[1]ma sp 02'!$A$5:$BD$1101,H$1,0)</f>
        <v>0</v>
      </c>
      <c r="I416" s="50">
        <f>VLOOKUP($A416,'[1]ma sp 02'!$A$5:$BD$1101,I$1,0)</f>
        <v>1.67</v>
      </c>
      <c r="J416" s="50">
        <f>VLOOKUP($A416,'[1]ma sp 02'!$A$5:$BD$1101,J$1,0)</f>
        <v>0.09</v>
      </c>
      <c r="K416" s="50">
        <f>VLOOKUP($A416,'[1]ma sp 02'!$A$5:$BD$1101,K$1,0)</f>
        <v>0.28000000000000003</v>
      </c>
      <c r="L416" s="50">
        <f>VLOOKUP($A416,'[1]ma sp 02'!$A$5:$BD$1101,L$1,0)</f>
        <v>2.39</v>
      </c>
      <c r="M416" s="50">
        <f>VLOOKUP($A416,'[1]ma sp 02'!$A$5:$BD$1101,M$1,0)</f>
        <v>1.35</v>
      </c>
      <c r="N416" s="50">
        <f>VLOOKUP($A416,'[1]ma sp 02'!$A$5:$BD$1101,N$1,0)</f>
        <v>2.33</v>
      </c>
      <c r="O416" s="50">
        <f>VLOOKUP($A416,'[1]ma sp 02'!$A$5:$BD$1101,O$1,0)</f>
        <v>0.06</v>
      </c>
      <c r="P416" s="50">
        <f>VLOOKUP($A416,'[1]ma sp 02'!$A$5:$BD$1101,P$1,0)</f>
        <v>0</v>
      </c>
      <c r="Q416" s="50">
        <f>VLOOKUP($A416,'[1]ma sp 02'!$A$5:$BD$1101,Q$1,0)</f>
        <v>0</v>
      </c>
      <c r="R416" s="50">
        <f>VLOOKUP($A416,'[1]ma sp 02'!$A$5:$BD$1101,R$1,0)</f>
        <v>0</v>
      </c>
      <c r="S416" s="50">
        <f>VLOOKUP($A416,'[1]ma sp 02'!$A$5:$BD$1101,S$1,0)</f>
        <v>0</v>
      </c>
      <c r="T416" s="50">
        <f>VLOOKUP($A416,'[1]ma sp 02'!$A$5:$BD$1101,T$1,0)</f>
        <v>0</v>
      </c>
      <c r="U416" s="50">
        <f>VLOOKUP($A416,'[1]ma sp 02'!$A$5:$BD$1101,U$1,0)</f>
        <v>0</v>
      </c>
      <c r="V416" s="50">
        <f>VLOOKUP($A416,'[1]ma sp 02'!$A$5:$BD$1101,V$1,0)</f>
        <v>0</v>
      </c>
      <c r="W416" s="50">
        <f>VLOOKUP($A416,'[1]ma sp 02'!$A$5:$BD$1101,W$1,0)</f>
        <v>0</v>
      </c>
      <c r="X416" s="50">
        <f t="shared" si="14"/>
        <v>7</v>
      </c>
      <c r="Y416" s="57"/>
      <c r="Z416" s="57"/>
      <c r="AA416" s="57"/>
      <c r="AB416" s="57"/>
      <c r="AC416" s="57"/>
      <c r="AD416" s="57"/>
      <c r="AE416" s="58" t="s">
        <v>485</v>
      </c>
      <c r="AF416" s="58" t="s">
        <v>921</v>
      </c>
      <c r="AG416" s="71">
        <f>(0.012*1.4+0.012*1.4+0.075*0.925)*0.76</f>
        <v>7.8261000000000011E-2</v>
      </c>
      <c r="AH416" s="63">
        <f>(2.3/0.75/2)*0.75</f>
        <v>1.1499999999999999</v>
      </c>
      <c r="AI416" s="63">
        <f>(3/0.75/2)*0.75</f>
        <v>1.5</v>
      </c>
      <c r="AJ416" s="58">
        <v>9530</v>
      </c>
      <c r="AK416" s="57">
        <v>9530</v>
      </c>
      <c r="AL416" s="58" t="s">
        <v>117</v>
      </c>
      <c r="AM416" s="52" t="s">
        <v>60</v>
      </c>
      <c r="AN416" s="58">
        <v>420</v>
      </c>
      <c r="AO416" s="52" t="s">
        <v>916</v>
      </c>
      <c r="AP416" s="59">
        <f>IFERROR(VLOOKUP($A416,[2]Mssp!$A$5:$BE$1463,AP$4+1,0),0)</f>
        <v>0</v>
      </c>
      <c r="AQ416" s="59">
        <f>IFERROR(VLOOKUP($A416,[2]Mssp!$A$5:$BE$1463,AQ$4+1,0),0)</f>
        <v>0</v>
      </c>
      <c r="AR416" s="59">
        <f>IFERROR(VLOOKUP($A416,[2]Mssp!$A$5:$BE$1463,AR$4+1,0),0)</f>
        <v>0</v>
      </c>
      <c r="AS416" s="59">
        <f>IFERROR(VLOOKUP($A416,[2]Mssp!$A$5:$BE$1463,AS$4+1,0),0)</f>
        <v>0</v>
      </c>
      <c r="AT416" s="59">
        <f>IFERROR(VLOOKUP($A416,[2]Mssp!$A$5:$BE$1463,AT$4+1,0),0)</f>
        <v>0</v>
      </c>
      <c r="AU416" s="59">
        <f>IFERROR(VLOOKUP($A416,[2]Mssp!$A$5:$BE$1463,AU$4+1,0),0)</f>
        <v>0</v>
      </c>
      <c r="AV416" s="59">
        <f>IFERROR(VLOOKUP($A416,[2]Mssp!$A$5:$BE$1463,AV$4+1,0),0)</f>
        <v>0</v>
      </c>
      <c r="AW416" s="59">
        <f>IFERROR(VLOOKUP($A416,[2]Mssp!$A$5:$BE$1463,AW$4+1,0),0)</f>
        <v>0</v>
      </c>
      <c r="AX416" s="59">
        <f>IFERROR(VLOOKUP($A416,[2]Mssp!$A$5:$BE$1463,AX$4+1,0),0)</f>
        <v>0</v>
      </c>
      <c r="AY416" s="59">
        <f>IFERROR(VLOOKUP($A416,[2]Mssp!$A$5:$BE$1463,AY$4+2,0),0)</f>
        <v>0</v>
      </c>
      <c r="AZ416" s="59">
        <f>IFERROR(VLOOKUP($A416,[2]Mssp!$A$5:$BE$1463,AZ$4+2,0),0)</f>
        <v>0</v>
      </c>
      <c r="BA416" s="115">
        <v>1500</v>
      </c>
      <c r="BB416" s="61" t="s">
        <v>119</v>
      </c>
      <c r="BC416" s="62"/>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9"/>
      <c r="CK416" s="9"/>
      <c r="CL416" s="9"/>
      <c r="CM416" s="9"/>
      <c r="CN416" s="9"/>
      <c r="CO416" s="9"/>
      <c r="CP416" s="9"/>
    </row>
    <row r="417" spans="1:94" ht="45" x14ac:dyDescent="0.25">
      <c r="A417" s="50" t="s">
        <v>1382</v>
      </c>
      <c r="B417" s="73" t="s">
        <v>1383</v>
      </c>
      <c r="C417" s="50">
        <f t="shared" si="15"/>
        <v>7.4799999999999986</v>
      </c>
      <c r="D417" s="58">
        <v>3</v>
      </c>
      <c r="E417" s="58" t="s">
        <v>1384</v>
      </c>
      <c r="F417" s="58">
        <v>8</v>
      </c>
      <c r="G417" s="50" t="str">
        <f>LEFT(E417,3)</f>
        <v>OPP</v>
      </c>
      <c r="H417" s="50">
        <f>VLOOKUP($A417,'[1]ma sp 02'!$A$5:$BD$1101,H$1,0)</f>
        <v>0.12</v>
      </c>
      <c r="I417" s="50">
        <f>VLOOKUP($A417,'[1]ma sp 02'!$A$5:$BD$1101,I$1,0)</f>
        <v>3.73</v>
      </c>
      <c r="J417" s="50">
        <f>VLOOKUP($A417,'[1]ma sp 02'!$A$5:$BD$1101,J$1,0)</f>
        <v>0.04</v>
      </c>
      <c r="K417" s="50">
        <f>VLOOKUP($A417,'[1]ma sp 02'!$A$5:$BD$1101,K$1,0)</f>
        <v>0.66</v>
      </c>
      <c r="L417" s="50">
        <f>VLOOKUP($A417,'[1]ma sp 02'!$A$5:$BD$1101,L$1,0)</f>
        <v>1.04</v>
      </c>
      <c r="M417" s="50">
        <f>VLOOKUP($A417,'[1]ma sp 02'!$A$5:$BD$1101,M$1,0)</f>
        <v>1.08</v>
      </c>
      <c r="N417" s="50">
        <f>VLOOKUP($A417,'[1]ma sp 02'!$A$5:$BD$1101,N$1,0)</f>
        <v>0</v>
      </c>
      <c r="O417" s="50">
        <f>VLOOKUP($A417,'[1]ma sp 02'!$A$5:$BD$1101,O$1,0)</f>
        <v>0.06</v>
      </c>
      <c r="P417" s="50">
        <f>VLOOKUP($A417,'[1]ma sp 02'!$A$5:$BD$1101,P$1,0)</f>
        <v>0.72</v>
      </c>
      <c r="Q417" s="50">
        <f>VLOOKUP($A417,'[1]ma sp 02'!$A$5:$BD$1101,Q$1,0)</f>
        <v>0.02</v>
      </c>
      <c r="R417" s="50">
        <f>VLOOKUP($A417,'[1]ma sp 02'!$A$5:$BD$1101,R$1,0)</f>
        <v>0.01</v>
      </c>
      <c r="S417" s="50">
        <f>VLOOKUP($A417,'[1]ma sp 02'!$A$5:$BD$1101,S$1,0)</f>
        <v>0</v>
      </c>
      <c r="T417" s="50">
        <f>VLOOKUP($A417,'[1]ma sp 02'!$A$5:$BD$1101,T$1,0)</f>
        <v>0</v>
      </c>
      <c r="U417" s="50">
        <f>VLOOKUP($A417,'[1]ma sp 02'!$A$5:$BD$1101,U$1,0)</f>
        <v>0</v>
      </c>
      <c r="V417" s="50">
        <f>VLOOKUP($A417,'[1]ma sp 02'!$A$5:$BD$1101,V$1,0)</f>
        <v>0</v>
      </c>
      <c r="W417" s="50">
        <f>VLOOKUP($A417,'[1]ma sp 02'!$A$5:$BD$1101,W$1,0)</f>
        <v>0</v>
      </c>
      <c r="X417" s="50">
        <f t="shared" si="14"/>
        <v>10</v>
      </c>
      <c r="Y417" s="57"/>
      <c r="Z417" s="57"/>
      <c r="AA417" s="57"/>
      <c r="AB417" s="57"/>
      <c r="AC417" s="57"/>
      <c r="AD417" s="57"/>
      <c r="AE417" s="58" t="s">
        <v>1385</v>
      </c>
      <c r="AF417" s="58"/>
      <c r="AG417" s="82">
        <f>(0.02*0.91+0.06*0.925)*1.12</f>
        <v>8.2544000000000006E-2</v>
      </c>
      <c r="AH417" s="54">
        <f>(2.3/0.75/2)*1.11</f>
        <v>1.702</v>
      </c>
      <c r="AI417" s="54"/>
      <c r="AJ417" s="58">
        <v>9530</v>
      </c>
      <c r="AK417" s="57"/>
      <c r="AL417" s="58">
        <v>2.3E-3</v>
      </c>
      <c r="AM417" s="52" t="s">
        <v>128</v>
      </c>
      <c r="AN417" s="58">
        <v>260</v>
      </c>
      <c r="AO417" s="52" t="s">
        <v>1386</v>
      </c>
      <c r="AP417" s="59" t="str">
        <f>IFERROR(VLOOKUP($A417,[2]Mssp!$A$5:$BE$1463,AP$4+1,0),0)</f>
        <v>X103086G1-1</v>
      </c>
      <c r="AQ417" s="59" t="str">
        <f>IFERROR(VLOOKUP($A417,[2]Mssp!$A$5:$BE$1463,AQ$4+1,0),0)</f>
        <v>X103086-2</v>
      </c>
      <c r="AR417" s="59" t="str">
        <f>IFERROR(VLOOKUP($A417,[2]Mssp!$A$5:$BE$1463,AR$4+1,0),0)</f>
        <v>X103086-3</v>
      </c>
      <c r="AS417" s="59" t="str">
        <f>IFERROR(VLOOKUP($A417,[2]Mssp!$A$5:$BE$1463,AS$4+1,0),0)</f>
        <v>X103086G1-4</v>
      </c>
      <c r="AT417" s="59" t="str">
        <f>IFERROR(VLOOKUP($A417,[2]Mssp!$A$5:$BE$1463,AT$4+1,0),0)</f>
        <v>X103086-5</v>
      </c>
      <c r="AU417" s="59" t="str">
        <f>IFERROR(VLOOKUP($A417,[2]Mssp!$A$5:$BE$1463,AU$4+1,0),0)</f>
        <v>X103086-6</v>
      </c>
      <c r="AV417" s="59" t="str">
        <f>IFERROR(VLOOKUP($A417,[2]Mssp!$A$5:$BE$1463,AV$4+1,0),0)</f>
        <v>X103086-7</v>
      </c>
      <c r="AW417" s="59" t="str">
        <f>IFERROR(VLOOKUP($A417,[2]Mssp!$A$5:$BE$1463,AW$4+1,0),0)</f>
        <v>X103086-8</v>
      </c>
      <c r="AX417" s="59">
        <f>IFERROR(VLOOKUP($A417,[2]Mssp!$A$5:$BE$1463,AX$4+1,0),0)</f>
        <v>0</v>
      </c>
      <c r="AY417" s="59" t="str">
        <f>IFERROR(VLOOKUP($A417,[2]Mssp!$A$5:$BE$1463,AY$4+2,0),0)</f>
        <v>520x1250</v>
      </c>
      <c r="AZ417" s="59" t="str">
        <f>IFERROR(VLOOKUP($A417,[2]Mssp!$A$5:$BE$1463,AZ$4+2,0),0)</f>
        <v>B1</v>
      </c>
      <c r="BA417" s="60"/>
      <c r="BB417" s="61" t="s">
        <v>62</v>
      </c>
      <c r="BC417" s="62"/>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c r="CK417" s="9"/>
      <c r="CL417" s="9"/>
      <c r="CM417" s="9"/>
      <c r="CN417" s="9"/>
      <c r="CO417" s="9"/>
      <c r="CP417" s="9"/>
    </row>
    <row r="418" spans="1:94" ht="45" x14ac:dyDescent="0.25">
      <c r="A418" s="50" t="s">
        <v>1387</v>
      </c>
      <c r="B418" s="73" t="s">
        <v>1388</v>
      </c>
      <c r="C418" s="50">
        <f t="shared" si="15"/>
        <v>6.0699999999999994</v>
      </c>
      <c r="D418" s="58">
        <v>2</v>
      </c>
      <c r="E418" s="58" t="s">
        <v>257</v>
      </c>
      <c r="F418" s="58">
        <v>8</v>
      </c>
      <c r="G418" s="50" t="s">
        <v>184</v>
      </c>
      <c r="H418" s="50">
        <f>VLOOKUP($A418,'[1]ma sp 02'!$A$5:$BD$1101,H$1,0)</f>
        <v>0.06</v>
      </c>
      <c r="I418" s="50">
        <f>VLOOKUP($A418,'[1]ma sp 02'!$A$5:$BD$1101,I$1,0)</f>
        <v>3.67</v>
      </c>
      <c r="J418" s="50">
        <f>VLOOKUP($A418,'[1]ma sp 02'!$A$5:$BD$1101,J$1,0)</f>
        <v>0.03</v>
      </c>
      <c r="K418" s="50">
        <f>VLOOKUP($A418,'[1]ma sp 02'!$A$5:$BD$1101,K$1,0)</f>
        <v>0.02</v>
      </c>
      <c r="L418" s="50">
        <f>VLOOKUP($A418,'[1]ma sp 02'!$A$5:$BD$1101,L$1,0)</f>
        <v>0.85</v>
      </c>
      <c r="M418" s="50">
        <f>VLOOKUP($A418,'[1]ma sp 02'!$A$5:$BD$1101,M$1,0)</f>
        <v>1.01</v>
      </c>
      <c r="N418" s="50">
        <f>VLOOKUP($A418,'[1]ma sp 02'!$A$5:$BD$1101,N$1,0)</f>
        <v>0</v>
      </c>
      <c r="O418" s="50">
        <f>VLOOKUP($A418,'[1]ma sp 02'!$A$5:$BD$1101,O$1,0)</f>
        <v>0.09</v>
      </c>
      <c r="P418" s="50">
        <f>VLOOKUP($A418,'[1]ma sp 02'!$A$5:$BD$1101,P$1,0)</f>
        <v>0.28999999999999998</v>
      </c>
      <c r="Q418" s="50">
        <f>VLOOKUP($A418,'[1]ma sp 02'!$A$5:$BD$1101,Q$1,0)</f>
        <v>0.02</v>
      </c>
      <c r="R418" s="50">
        <f>VLOOKUP($A418,'[1]ma sp 02'!$A$5:$BD$1101,R$1,0)</f>
        <v>0.03</v>
      </c>
      <c r="S418" s="50">
        <f>VLOOKUP($A418,'[1]ma sp 02'!$A$5:$BD$1101,S$1,0)</f>
        <v>0</v>
      </c>
      <c r="T418" s="50">
        <f>VLOOKUP($A418,'[1]ma sp 02'!$A$5:$BD$1101,T$1,0)</f>
        <v>0</v>
      </c>
      <c r="U418" s="50">
        <f>VLOOKUP($A418,'[1]ma sp 02'!$A$5:$BD$1101,U$1,0)</f>
        <v>0</v>
      </c>
      <c r="V418" s="50">
        <f>VLOOKUP($A418,'[1]ma sp 02'!$A$5:$BD$1101,V$1,0)</f>
        <v>0</v>
      </c>
      <c r="W418" s="50">
        <f>VLOOKUP($A418,'[1]ma sp 02'!$A$5:$BD$1101,W$1,0)</f>
        <v>0</v>
      </c>
      <c r="X418" s="50">
        <f t="shared" si="14"/>
        <v>10</v>
      </c>
      <c r="Y418" s="57"/>
      <c r="Z418" s="57"/>
      <c r="AA418" s="57"/>
      <c r="AB418" s="57"/>
      <c r="AC418" s="57"/>
      <c r="AD418" s="57"/>
      <c r="AE418" s="58" t="s">
        <v>1389</v>
      </c>
      <c r="AF418" s="57"/>
      <c r="AG418" s="82">
        <f>(0.02*0.91+0.06*0.925)*1.12</f>
        <v>8.2544000000000006E-2</v>
      </c>
      <c r="AH418" s="54">
        <f>(2.3/0.75/2)*1.11</f>
        <v>1.702</v>
      </c>
      <c r="AI418" s="57"/>
      <c r="AJ418" s="58">
        <v>9690</v>
      </c>
      <c r="AK418" s="57"/>
      <c r="AL418" s="58">
        <v>2.3E-3</v>
      </c>
      <c r="AM418" s="52" t="s">
        <v>128</v>
      </c>
      <c r="AN418" s="58">
        <v>365</v>
      </c>
      <c r="AO418" s="52" t="s">
        <v>1386</v>
      </c>
      <c r="AP418" s="59" t="str">
        <f>IFERROR(VLOOKUP($A418,[2]Mssp!$A$5:$BE$1463,AP$4+1,0),0)</f>
        <v>1807850-1</v>
      </c>
      <c r="AQ418" s="59" t="str">
        <f>IFERROR(VLOOKUP($A418,[2]Mssp!$A$5:$BE$1463,AQ$4+1,0),0)</f>
        <v>1807850-2</v>
      </c>
      <c r="AR418" s="59" t="str">
        <f>IFERROR(VLOOKUP($A418,[2]Mssp!$A$5:$BE$1463,AR$4+1,0),0)</f>
        <v>1807850-3</v>
      </c>
      <c r="AS418" s="59" t="str">
        <f>IFERROR(VLOOKUP($A418,[2]Mssp!$A$5:$BE$1463,AS$4+1,0),0)</f>
        <v>1808242-4</v>
      </c>
      <c r="AT418" s="59" t="str">
        <f>IFERROR(VLOOKUP($A418,[2]Mssp!$A$5:$BE$1463,AT$4+1,0),0)</f>
        <v>1807850-5</v>
      </c>
      <c r="AU418" s="59" t="str">
        <f>IFERROR(VLOOKUP($A418,[2]Mssp!$A$5:$BE$1463,AU$4+1,0),0)</f>
        <v>1807850-6</v>
      </c>
      <c r="AV418" s="59" t="str">
        <f>IFERROR(VLOOKUP($A418,[2]Mssp!$A$5:$BE$1463,AV$4+1,0),0)</f>
        <v>1808242-7</v>
      </c>
      <c r="AW418" s="59" t="str">
        <f>IFERROR(VLOOKUP($A418,[2]Mssp!$A$5:$BE$1463,AW$4+1,0),0)</f>
        <v>1807850-8</v>
      </c>
      <c r="AX418" s="59">
        <f>IFERROR(VLOOKUP($A418,[2]Mssp!$A$5:$BE$1463,AX$4+1,0),0)</f>
        <v>0</v>
      </c>
      <c r="AY418" s="59" t="str">
        <f>IFERROR(VLOOKUP($A418,[2]Mssp!$A$5:$BE$1463,AY$4+2,0),0)</f>
        <v>730x750</v>
      </c>
      <c r="AZ418" s="59" t="str">
        <f>IFERROR(VLOOKUP($A418,[2]Mssp!$A$5:$BE$1463,AZ$4+2,0),0)</f>
        <v>B1</v>
      </c>
      <c r="BA418" s="60">
        <v>1500</v>
      </c>
      <c r="BB418" s="61" t="s">
        <v>62</v>
      </c>
      <c r="BC418" s="62"/>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9"/>
      <c r="CK418" s="9"/>
      <c r="CL418" s="9"/>
      <c r="CM418" s="9"/>
      <c r="CN418" s="9"/>
      <c r="CO418" s="9"/>
      <c r="CP418" s="9"/>
    </row>
    <row r="419" spans="1:94" ht="45" x14ac:dyDescent="0.25">
      <c r="A419" s="50" t="s">
        <v>1390</v>
      </c>
      <c r="B419" s="73" t="s">
        <v>1391</v>
      </c>
      <c r="C419" s="50">
        <f t="shared" si="15"/>
        <v>6.32</v>
      </c>
      <c r="D419" s="58">
        <v>6</v>
      </c>
      <c r="E419" s="58" t="s">
        <v>1392</v>
      </c>
      <c r="F419" s="58">
        <v>8</v>
      </c>
      <c r="G419" s="50" t="s">
        <v>184</v>
      </c>
      <c r="H419" s="50">
        <f>VLOOKUP($A419,'[1]ma sp 02'!$A$5:$BD$1101,H$1,0)</f>
        <v>0.08</v>
      </c>
      <c r="I419" s="50">
        <f>VLOOKUP($A419,'[1]ma sp 02'!$A$5:$BD$1101,I$1,0)</f>
        <v>3.12</v>
      </c>
      <c r="J419" s="50">
        <f>VLOOKUP($A419,'[1]ma sp 02'!$A$5:$BD$1101,J$1,0)</f>
        <v>0.05</v>
      </c>
      <c r="K419" s="50">
        <f>VLOOKUP($A419,'[1]ma sp 02'!$A$5:$BD$1101,K$1,0)</f>
        <v>0.05</v>
      </c>
      <c r="L419" s="50">
        <f>VLOOKUP($A419,'[1]ma sp 02'!$A$5:$BD$1101,L$1,0)</f>
        <v>1.42</v>
      </c>
      <c r="M419" s="50">
        <f>VLOOKUP($A419,'[1]ma sp 02'!$A$5:$BD$1101,M$1,0)</f>
        <v>1.08</v>
      </c>
      <c r="N419" s="50">
        <f>VLOOKUP($A419,'[1]ma sp 02'!$A$5:$BD$1101,N$1,0)</f>
        <v>0</v>
      </c>
      <c r="O419" s="50">
        <f>VLOOKUP($A419,'[1]ma sp 02'!$A$5:$BD$1101,O$1,0)</f>
        <v>0.04</v>
      </c>
      <c r="P419" s="50">
        <f>VLOOKUP($A419,'[1]ma sp 02'!$A$5:$BD$1101,P$1,0)</f>
        <v>0.44</v>
      </c>
      <c r="Q419" s="50">
        <f>VLOOKUP($A419,'[1]ma sp 02'!$A$5:$BD$1101,Q$1,0)</f>
        <v>0</v>
      </c>
      <c r="R419" s="50">
        <f>VLOOKUP($A419,'[1]ma sp 02'!$A$5:$BD$1101,R$1,0)</f>
        <v>0.04</v>
      </c>
      <c r="S419" s="50">
        <f>VLOOKUP($A419,'[1]ma sp 02'!$A$5:$BD$1101,S$1,0)</f>
        <v>0</v>
      </c>
      <c r="T419" s="50">
        <f>VLOOKUP($A419,'[1]ma sp 02'!$A$5:$BD$1101,T$1,0)</f>
        <v>0</v>
      </c>
      <c r="U419" s="50">
        <f>VLOOKUP($A419,'[1]ma sp 02'!$A$5:$BD$1101,U$1,0)</f>
        <v>0</v>
      </c>
      <c r="V419" s="50">
        <f>VLOOKUP($A419,'[1]ma sp 02'!$A$5:$BD$1101,V$1,0)</f>
        <v>0</v>
      </c>
      <c r="W419" s="50">
        <f>VLOOKUP($A419,'[1]ma sp 02'!$A$5:$BD$1101,W$1,0)</f>
        <v>0</v>
      </c>
      <c r="X419" s="50">
        <f t="shared" si="14"/>
        <v>9</v>
      </c>
      <c r="Y419" s="57"/>
      <c r="Z419" s="57"/>
      <c r="AA419" s="57"/>
      <c r="AB419" s="57"/>
      <c r="AC419" s="57"/>
      <c r="AD419" s="57"/>
      <c r="AE419" s="58" t="s">
        <v>1393</v>
      </c>
      <c r="AF419" s="57"/>
      <c r="AG419" s="82">
        <f>(0.02*0.91+0.025*0.91)*1.088</f>
        <v>4.4553600000000006E-2</v>
      </c>
      <c r="AH419" s="54">
        <f>(2.3/0.75/2)*1.078</f>
        <v>1.6529333333333334</v>
      </c>
      <c r="AI419" s="57"/>
      <c r="AJ419" s="58">
        <v>9530</v>
      </c>
      <c r="AK419" s="57"/>
      <c r="AL419" s="58">
        <v>2.3E-3</v>
      </c>
      <c r="AM419" s="52" t="s">
        <v>142</v>
      </c>
      <c r="AN419" s="58">
        <v>178</v>
      </c>
      <c r="AO419" s="52" t="s">
        <v>1386</v>
      </c>
      <c r="AP419" s="59">
        <f>IFERROR(VLOOKUP($A419,[2]Mssp!$A$5:$BE$1463,AP$4+1,0),0)</f>
        <v>0</v>
      </c>
      <c r="AQ419" s="59">
        <f>IFERROR(VLOOKUP($A419,[2]Mssp!$A$5:$BE$1463,AQ$4+1,0),0)</f>
        <v>0</v>
      </c>
      <c r="AR419" s="59">
        <f>IFERROR(VLOOKUP($A419,[2]Mssp!$A$5:$BE$1463,AR$4+1,0),0)</f>
        <v>0</v>
      </c>
      <c r="AS419" s="59">
        <f>IFERROR(VLOOKUP($A419,[2]Mssp!$A$5:$BE$1463,AS$4+1,0),0)</f>
        <v>0</v>
      </c>
      <c r="AT419" s="59">
        <f>IFERROR(VLOOKUP($A419,[2]Mssp!$A$5:$BE$1463,AT$4+1,0),0)</f>
        <v>0</v>
      </c>
      <c r="AU419" s="59">
        <f>IFERROR(VLOOKUP($A419,[2]Mssp!$A$5:$BE$1463,AU$4+1,0),0)</f>
        <v>0</v>
      </c>
      <c r="AV419" s="59">
        <f>IFERROR(VLOOKUP($A419,[2]Mssp!$A$5:$BE$1463,AV$4+1,0),0)</f>
        <v>0</v>
      </c>
      <c r="AW419" s="59">
        <f>IFERROR(VLOOKUP($A419,[2]Mssp!$A$5:$BE$1463,AW$4+1,0),0)</f>
        <v>0</v>
      </c>
      <c r="AX419" s="59">
        <f>IFERROR(VLOOKUP($A419,[2]Mssp!$A$5:$BE$1463,AX$4+1,0),0)</f>
        <v>0</v>
      </c>
      <c r="AY419" s="59">
        <f>IFERROR(VLOOKUP($A419,[2]Mssp!$A$5:$BE$1463,AY$4+2,0),0)</f>
        <v>0</v>
      </c>
      <c r="AZ419" s="59">
        <f>IFERROR(VLOOKUP($A419,[2]Mssp!$A$5:$BE$1463,AZ$4+2,0),0)</f>
        <v>0</v>
      </c>
      <c r="BA419" s="60" t="s">
        <v>144</v>
      </c>
      <c r="BB419" s="61" t="s">
        <v>341</v>
      </c>
      <c r="BC419" s="62"/>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c r="CK419" s="9"/>
      <c r="CL419" s="9"/>
      <c r="CM419" s="9"/>
      <c r="CN419" s="9"/>
      <c r="CO419" s="9"/>
      <c r="CP419" s="9"/>
    </row>
    <row r="420" spans="1:94" ht="45" x14ac:dyDescent="0.25">
      <c r="A420" s="50" t="s">
        <v>1394</v>
      </c>
      <c r="B420" s="73" t="s">
        <v>1395</v>
      </c>
      <c r="C420" s="50">
        <f t="shared" si="15"/>
        <v>5.71</v>
      </c>
      <c r="D420" s="58">
        <v>3</v>
      </c>
      <c r="E420" s="58" t="s">
        <v>437</v>
      </c>
      <c r="F420" s="58">
        <v>6</v>
      </c>
      <c r="G420" s="50" t="s">
        <v>530</v>
      </c>
      <c r="H420" s="50">
        <f>VLOOKUP($A420,'[1]ma sp 02'!$A$5:$BD$1101,H$1,0)</f>
        <v>0.17</v>
      </c>
      <c r="I420" s="50">
        <f>VLOOKUP($A420,'[1]ma sp 02'!$A$5:$BD$1101,I$1,0)</f>
        <v>3.23</v>
      </c>
      <c r="J420" s="50">
        <f>VLOOKUP($A420,'[1]ma sp 02'!$A$5:$BD$1101,J$1,0)</f>
        <v>0.08</v>
      </c>
      <c r="K420" s="50">
        <f>VLOOKUP($A420,'[1]ma sp 02'!$A$5:$BD$1101,K$1,0)</f>
        <v>0.23</v>
      </c>
      <c r="L420" s="50">
        <f>VLOOKUP($A420,'[1]ma sp 02'!$A$5:$BD$1101,L$1,0)</f>
        <v>0.81</v>
      </c>
      <c r="M420" s="50">
        <f>VLOOKUP($A420,'[1]ma sp 02'!$A$5:$BD$1101,M$1,0)</f>
        <v>0.91</v>
      </c>
      <c r="N420" s="50">
        <f>VLOOKUP($A420,'[1]ma sp 02'!$A$5:$BD$1101,N$1,0)</f>
        <v>0</v>
      </c>
      <c r="O420" s="50">
        <f>VLOOKUP($A420,'[1]ma sp 02'!$A$5:$BD$1101,O$1,0)</f>
        <v>0</v>
      </c>
      <c r="P420" s="50">
        <f>VLOOKUP($A420,'[1]ma sp 02'!$A$5:$BD$1101,P$1,0)</f>
        <v>0.28000000000000003</v>
      </c>
      <c r="Q420" s="50">
        <f>VLOOKUP($A420,'[1]ma sp 02'!$A$5:$BD$1101,Q$1,0)</f>
        <v>0</v>
      </c>
      <c r="R420" s="50">
        <f>VLOOKUP($A420,'[1]ma sp 02'!$A$5:$BD$1101,R$1,0)</f>
        <v>0</v>
      </c>
      <c r="S420" s="50">
        <f>VLOOKUP($A420,'[1]ma sp 02'!$A$5:$BD$1101,S$1,0)</f>
        <v>0</v>
      </c>
      <c r="T420" s="50">
        <f>VLOOKUP($A420,'[1]ma sp 02'!$A$5:$BD$1101,T$1,0)</f>
        <v>0</v>
      </c>
      <c r="U420" s="50">
        <f>VLOOKUP($A420,'[1]ma sp 02'!$A$5:$BD$1101,U$1,0)</f>
        <v>0</v>
      </c>
      <c r="V420" s="50">
        <f>VLOOKUP($A420,'[1]ma sp 02'!$A$5:$BD$1101,V$1,0)</f>
        <v>0</v>
      </c>
      <c r="W420" s="50">
        <f>VLOOKUP($A420,'[1]ma sp 02'!$A$5:$BD$1101,W$1,0)</f>
        <v>0</v>
      </c>
      <c r="X420" s="50">
        <f t="shared" si="14"/>
        <v>7</v>
      </c>
      <c r="Y420" s="57"/>
      <c r="Z420" s="57"/>
      <c r="AA420" s="57"/>
      <c r="AB420" s="57"/>
      <c r="AC420" s="57"/>
      <c r="AD420" s="57"/>
      <c r="AE420" s="58" t="s">
        <v>66</v>
      </c>
      <c r="AF420" s="58" t="s">
        <v>412</v>
      </c>
      <c r="AG420" s="71">
        <f>(0.012*1.4+0.012*1.4+0.075*0.925)*0.68</f>
        <v>7.0023000000000016E-2</v>
      </c>
      <c r="AH420" s="63">
        <f>(2.3/0.75/2)*0.67</f>
        <v>1.0273333333333332</v>
      </c>
      <c r="AI420" s="63">
        <f>(2.3/0.75/2)*0.67</f>
        <v>1.0273333333333332</v>
      </c>
      <c r="AJ420" s="58">
        <v>9530</v>
      </c>
      <c r="AK420" s="58">
        <v>9530</v>
      </c>
      <c r="AL420" s="58" t="s">
        <v>1396</v>
      </c>
      <c r="AM420" s="52" t="s">
        <v>74</v>
      </c>
      <c r="AN420" s="58">
        <v>145</v>
      </c>
      <c r="AO420" s="52" t="s">
        <v>348</v>
      </c>
      <c r="AP420" s="59">
        <f>IFERROR(VLOOKUP($A420,[2]Mssp!$A$5:$BE$1463,AP$4+1,0),0)</f>
        <v>0</v>
      </c>
      <c r="AQ420" s="59">
        <f>IFERROR(VLOOKUP($A420,[2]Mssp!$A$5:$BE$1463,AQ$4+1,0),0)</f>
        <v>0</v>
      </c>
      <c r="AR420" s="59">
        <f>IFERROR(VLOOKUP($A420,[2]Mssp!$A$5:$BE$1463,AR$4+1,0),0)</f>
        <v>0</v>
      </c>
      <c r="AS420" s="59">
        <f>IFERROR(VLOOKUP($A420,[2]Mssp!$A$5:$BE$1463,AS$4+1,0),0)</f>
        <v>0</v>
      </c>
      <c r="AT420" s="59">
        <f>IFERROR(VLOOKUP($A420,[2]Mssp!$A$5:$BE$1463,AT$4+1,0),0)</f>
        <v>0</v>
      </c>
      <c r="AU420" s="59">
        <f>IFERROR(VLOOKUP($A420,[2]Mssp!$A$5:$BE$1463,AU$4+1,0),0)</f>
        <v>0</v>
      </c>
      <c r="AV420" s="59">
        <f>IFERROR(VLOOKUP($A420,[2]Mssp!$A$5:$BE$1463,AV$4+1,0),0)</f>
        <v>0</v>
      </c>
      <c r="AW420" s="59">
        <f>IFERROR(VLOOKUP($A420,[2]Mssp!$A$5:$BE$1463,AW$4+1,0),0)</f>
        <v>0</v>
      </c>
      <c r="AX420" s="59">
        <f>IFERROR(VLOOKUP($A420,[2]Mssp!$A$5:$BE$1463,AX$4+1,0),0)</f>
        <v>0</v>
      </c>
      <c r="AY420" s="59">
        <f>IFERROR(VLOOKUP($A420,[2]Mssp!$A$5:$BE$1463,AY$4+2,0),0)</f>
        <v>0</v>
      </c>
      <c r="AZ420" s="59">
        <f>IFERROR(VLOOKUP($A420,[2]Mssp!$A$5:$BE$1463,AZ$4+2,0),0)</f>
        <v>0</v>
      </c>
      <c r="BA420" s="60">
        <v>10000</v>
      </c>
      <c r="BB420" s="61" t="s">
        <v>62</v>
      </c>
      <c r="BC420" s="62"/>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9"/>
      <c r="CK420" s="9"/>
      <c r="CL420" s="9"/>
      <c r="CM420" s="9"/>
      <c r="CN420" s="9"/>
      <c r="CO420" s="9"/>
      <c r="CP420" s="9"/>
    </row>
    <row r="421" spans="1:94" ht="45" x14ac:dyDescent="0.25">
      <c r="A421" s="50" t="s">
        <v>1397</v>
      </c>
      <c r="B421" s="73" t="s">
        <v>1398</v>
      </c>
      <c r="C421" s="50">
        <f t="shared" si="15"/>
        <v>4.3</v>
      </c>
      <c r="D421" s="58">
        <v>2</v>
      </c>
      <c r="E421" s="58" t="s">
        <v>592</v>
      </c>
      <c r="F421" s="58">
        <v>7</v>
      </c>
      <c r="G421" s="50" t="s">
        <v>530</v>
      </c>
      <c r="H421" s="50">
        <f>VLOOKUP($A421,'[1]ma sp 02'!$A$5:$BD$1101,H$1,0)</f>
        <v>0.4</v>
      </c>
      <c r="I421" s="50">
        <f>VLOOKUP($A421,'[1]ma sp 02'!$A$5:$BD$1101,I$1,0)</f>
        <v>1.78</v>
      </c>
      <c r="J421" s="50">
        <f>VLOOKUP($A421,'[1]ma sp 02'!$A$5:$BD$1101,J$1,0)</f>
        <v>0.2</v>
      </c>
      <c r="K421" s="50">
        <f>VLOOKUP($A421,'[1]ma sp 02'!$A$5:$BD$1101,K$1,0)</f>
        <v>0</v>
      </c>
      <c r="L421" s="50">
        <f>VLOOKUP($A421,'[1]ma sp 02'!$A$5:$BD$1101,L$1,0)</f>
        <v>0.92</v>
      </c>
      <c r="M421" s="50">
        <f>VLOOKUP($A421,'[1]ma sp 02'!$A$5:$BD$1101,M$1,0)</f>
        <v>0.53</v>
      </c>
      <c r="N421" s="50">
        <f>VLOOKUP($A421,'[1]ma sp 02'!$A$5:$BD$1101,N$1,0)</f>
        <v>0</v>
      </c>
      <c r="O421" s="50">
        <f>VLOOKUP($A421,'[1]ma sp 02'!$A$5:$BD$1101,O$1,0)</f>
        <v>0</v>
      </c>
      <c r="P421" s="50">
        <f>VLOOKUP($A421,'[1]ma sp 02'!$A$5:$BD$1101,P$1,0)</f>
        <v>0.46</v>
      </c>
      <c r="Q421" s="50">
        <f>VLOOKUP($A421,'[1]ma sp 02'!$A$5:$BD$1101,Q$1,0)</f>
        <v>0</v>
      </c>
      <c r="R421" s="50">
        <f>VLOOKUP($A421,'[1]ma sp 02'!$A$5:$BD$1101,R$1,0)</f>
        <v>0.01</v>
      </c>
      <c r="S421" s="50">
        <f>VLOOKUP($A421,'[1]ma sp 02'!$A$5:$BD$1101,S$1,0)</f>
        <v>0</v>
      </c>
      <c r="T421" s="50">
        <f>VLOOKUP($A421,'[1]ma sp 02'!$A$5:$BD$1101,T$1,0)</f>
        <v>0</v>
      </c>
      <c r="U421" s="50">
        <f>VLOOKUP($A421,'[1]ma sp 02'!$A$5:$BD$1101,U$1,0)</f>
        <v>0</v>
      </c>
      <c r="V421" s="50">
        <f>VLOOKUP($A421,'[1]ma sp 02'!$A$5:$BD$1101,V$1,0)</f>
        <v>0</v>
      </c>
      <c r="W421" s="50">
        <f>VLOOKUP($A421,'[1]ma sp 02'!$A$5:$BD$1101,W$1,0)</f>
        <v>0</v>
      </c>
      <c r="X421" s="50">
        <f t="shared" si="14"/>
        <v>7</v>
      </c>
      <c r="Y421" s="57"/>
      <c r="Z421" s="57"/>
      <c r="AA421" s="57"/>
      <c r="AB421" s="57"/>
      <c r="AC421" s="57"/>
      <c r="AD421" s="57"/>
      <c r="AE421" s="58" t="s">
        <v>1399</v>
      </c>
      <c r="AF421" s="58" t="s">
        <v>594</v>
      </c>
      <c r="AG421" s="71">
        <f>(0.012*1.4+0.012*1.4+0.075*0.925)*0.64</f>
        <v>6.5904000000000004E-2</v>
      </c>
      <c r="AH421" s="63">
        <f>(2.3/0.75/2)*0.63</f>
        <v>0.96599999999999997</v>
      </c>
      <c r="AI421" s="63">
        <f>(2.3/0.75/2)*0.63</f>
        <v>0.96599999999999997</v>
      </c>
      <c r="AJ421" s="58">
        <v>9530</v>
      </c>
      <c r="AK421" s="58">
        <v>9530</v>
      </c>
      <c r="AL421" s="58" t="s">
        <v>1396</v>
      </c>
      <c r="AM421" s="52" t="s">
        <v>74</v>
      </c>
      <c r="AN421" s="58">
        <v>225</v>
      </c>
      <c r="AO421" s="52" t="s">
        <v>1400</v>
      </c>
      <c r="AP421" s="59" t="str">
        <f>IFERROR(VLOOKUP($A421,[2]Mssp!$A$5:$BE$1463,AP$4+1,0),0)</f>
        <v>1806007-1</v>
      </c>
      <c r="AQ421" s="59" t="str">
        <f>IFERROR(VLOOKUP($A421,[2]Mssp!$A$5:$BE$1463,AQ$4+1,0),0)</f>
        <v>1806007-2</v>
      </c>
      <c r="AR421" s="59" t="str">
        <f>IFERROR(VLOOKUP($A421,[2]Mssp!$A$5:$BE$1463,AR$4+1,0),0)</f>
        <v>1806007-3</v>
      </c>
      <c r="AS421" s="59" t="str">
        <f>IFERROR(VLOOKUP($A421,[2]Mssp!$A$5:$BE$1463,AS$4+1,0),0)</f>
        <v>1806007-4</v>
      </c>
      <c r="AT421" s="59" t="str">
        <f>IFERROR(VLOOKUP($A421,[2]Mssp!$A$5:$BE$1463,AT$4+1,0),0)</f>
        <v>1806007-5</v>
      </c>
      <c r="AU421" s="59" t="str">
        <f>IFERROR(VLOOKUP($A421,[2]Mssp!$A$5:$BE$1463,AU$4+1,0),0)</f>
        <v>1806007-6</v>
      </c>
      <c r="AV421" s="59" t="str">
        <f>IFERROR(VLOOKUP($A421,[2]Mssp!$A$5:$BE$1463,AV$4+1,0),0)</f>
        <v>1806007-7</v>
      </c>
      <c r="AW421" s="59">
        <f>IFERROR(VLOOKUP($A421,[2]Mssp!$A$5:$BE$1463,AW$4+1,0),0)</f>
        <v>0</v>
      </c>
      <c r="AX421" s="59">
        <f>IFERROR(VLOOKUP($A421,[2]Mssp!$A$5:$BE$1463,AX$4+1,0),0)</f>
        <v>0</v>
      </c>
      <c r="AY421" s="59" t="str">
        <f>IFERROR(VLOOKUP($A421,[2]Mssp!$A$5:$BE$1463,AY$4+2,0),0)</f>
        <v>450x750</v>
      </c>
      <c r="AZ421" s="59" t="str">
        <f>IFERROR(VLOOKUP($A421,[2]Mssp!$A$5:$BE$1463,AZ$4+2,0),0)</f>
        <v>P2</v>
      </c>
      <c r="BA421" s="60">
        <v>5000</v>
      </c>
      <c r="BB421" s="61" t="s">
        <v>62</v>
      </c>
      <c r="BC421" s="62"/>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c r="CK421" s="9"/>
      <c r="CL421" s="9"/>
      <c r="CM421" s="9"/>
      <c r="CN421" s="9"/>
      <c r="CO421" s="9"/>
      <c r="CP421" s="9"/>
    </row>
    <row r="422" spans="1:94" x14ac:dyDescent="0.25">
      <c r="A422" s="50" t="s">
        <v>1401</v>
      </c>
      <c r="B422" s="57"/>
      <c r="C422" s="50">
        <f t="shared" si="15"/>
        <v>0</v>
      </c>
      <c r="D422" s="57"/>
      <c r="E422" s="57"/>
      <c r="F422" s="57"/>
      <c r="G422" s="50" t="str">
        <f t="shared" ref="G422:G433" si="16">LEFT(E422,3)</f>
        <v/>
      </c>
      <c r="H422" s="50">
        <f>VLOOKUP($A422,'[1]ma sp 02'!$A$5:$BD$1101,H$1,0)</f>
        <v>0</v>
      </c>
      <c r="I422" s="50">
        <f>VLOOKUP($A422,'[1]ma sp 02'!$A$5:$BD$1101,I$1,0)</f>
        <v>0</v>
      </c>
      <c r="J422" s="50">
        <f>VLOOKUP($A422,'[1]ma sp 02'!$A$5:$BD$1101,J$1,0)</f>
        <v>0</v>
      </c>
      <c r="K422" s="50">
        <f>VLOOKUP($A422,'[1]ma sp 02'!$A$5:$BD$1101,K$1,0)</f>
        <v>0</v>
      </c>
      <c r="L422" s="50">
        <f>VLOOKUP($A422,'[1]ma sp 02'!$A$5:$BD$1101,L$1,0)</f>
        <v>0</v>
      </c>
      <c r="M422" s="50">
        <f>VLOOKUP($A422,'[1]ma sp 02'!$A$5:$BD$1101,M$1,0)</f>
        <v>0</v>
      </c>
      <c r="N422" s="50">
        <f>VLOOKUP($A422,'[1]ma sp 02'!$A$5:$BD$1101,N$1,0)</f>
        <v>0</v>
      </c>
      <c r="O422" s="50">
        <f>VLOOKUP($A422,'[1]ma sp 02'!$A$5:$BD$1101,O$1,0)</f>
        <v>0</v>
      </c>
      <c r="P422" s="50">
        <f>VLOOKUP($A422,'[1]ma sp 02'!$A$5:$BD$1101,P$1,0)</f>
        <v>0</v>
      </c>
      <c r="Q422" s="50">
        <f>VLOOKUP($A422,'[1]ma sp 02'!$A$5:$BD$1101,Q$1,0)</f>
        <v>0</v>
      </c>
      <c r="R422" s="50">
        <f>VLOOKUP($A422,'[1]ma sp 02'!$A$5:$BD$1101,R$1,0)</f>
        <v>0</v>
      </c>
      <c r="S422" s="50">
        <f>VLOOKUP($A422,'[1]ma sp 02'!$A$5:$BD$1101,S$1,0)</f>
        <v>0</v>
      </c>
      <c r="T422" s="50">
        <f>VLOOKUP($A422,'[1]ma sp 02'!$A$5:$BD$1101,T$1,0)</f>
        <v>0</v>
      </c>
      <c r="U422" s="50">
        <f>VLOOKUP($A422,'[1]ma sp 02'!$A$5:$BD$1101,U$1,0)</f>
        <v>0</v>
      </c>
      <c r="V422" s="50">
        <f>VLOOKUP($A422,'[1]ma sp 02'!$A$5:$BD$1101,V$1,0)</f>
        <v>0</v>
      </c>
      <c r="W422" s="50">
        <f>VLOOKUP($A422,'[1]ma sp 02'!$A$5:$BD$1101,W$1,0)</f>
        <v>0</v>
      </c>
      <c r="X422" s="50">
        <f t="shared" si="14"/>
        <v>0</v>
      </c>
      <c r="Y422" s="57"/>
      <c r="Z422" s="57"/>
      <c r="AA422" s="57"/>
      <c r="AB422" s="57"/>
      <c r="AC422" s="57"/>
      <c r="AD422" s="57"/>
      <c r="AE422" s="57"/>
      <c r="AF422" s="57"/>
      <c r="AG422" s="57"/>
      <c r="AH422" s="57"/>
      <c r="AI422" s="57"/>
      <c r="AJ422" s="57"/>
      <c r="AK422" s="57"/>
      <c r="AL422" s="57"/>
      <c r="AM422" s="97"/>
      <c r="AN422" s="57"/>
      <c r="AO422" s="97"/>
      <c r="AP422" s="59">
        <f>IFERROR(VLOOKUP($A422,[2]Mssp!$A$5:$BE$1463,AP$4+1,0),0)</f>
        <v>0</v>
      </c>
      <c r="AQ422" s="59">
        <f>IFERROR(VLOOKUP($A422,[2]Mssp!$A$5:$BE$1463,AQ$4+1,0),0)</f>
        <v>0</v>
      </c>
      <c r="AR422" s="59">
        <f>IFERROR(VLOOKUP($A422,[2]Mssp!$A$5:$BE$1463,AR$4+1,0),0)</f>
        <v>0</v>
      </c>
      <c r="AS422" s="59">
        <f>IFERROR(VLOOKUP($A422,[2]Mssp!$A$5:$BE$1463,AS$4+1,0),0)</f>
        <v>0</v>
      </c>
      <c r="AT422" s="59">
        <f>IFERROR(VLOOKUP($A422,[2]Mssp!$A$5:$BE$1463,AT$4+1,0),0)</f>
        <v>0</v>
      </c>
      <c r="AU422" s="59">
        <f>IFERROR(VLOOKUP($A422,[2]Mssp!$A$5:$BE$1463,AU$4+1,0),0)</f>
        <v>0</v>
      </c>
      <c r="AV422" s="59">
        <f>IFERROR(VLOOKUP($A422,[2]Mssp!$A$5:$BE$1463,AV$4+1,0),0)</f>
        <v>0</v>
      </c>
      <c r="AW422" s="59">
        <f>IFERROR(VLOOKUP($A422,[2]Mssp!$A$5:$BE$1463,AW$4+1,0),0)</f>
        <v>0</v>
      </c>
      <c r="AX422" s="59">
        <f>IFERROR(VLOOKUP($A422,[2]Mssp!$A$5:$BE$1463,AX$4+1,0),0)</f>
        <v>0</v>
      </c>
      <c r="AY422" s="59">
        <f>IFERROR(VLOOKUP($A422,[2]Mssp!$A$5:$BE$1463,AY$4+2,0),0)</f>
        <v>0</v>
      </c>
      <c r="AZ422" s="59">
        <f>IFERROR(VLOOKUP($A422,[2]Mssp!$A$5:$BE$1463,AZ$4+2,0),0)</f>
        <v>0</v>
      </c>
      <c r="BA422" s="60"/>
      <c r="BB422" s="61"/>
      <c r="BC422" s="62"/>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9"/>
      <c r="CK422" s="9"/>
      <c r="CL422" s="9"/>
      <c r="CM422" s="9"/>
      <c r="CN422" s="9"/>
      <c r="CO422" s="9"/>
      <c r="CP422" s="9"/>
    </row>
    <row r="423" spans="1:94" x14ac:dyDescent="0.25">
      <c r="A423" s="50" t="s">
        <v>1402</v>
      </c>
      <c r="B423" s="57"/>
      <c r="C423" s="50">
        <f t="shared" si="15"/>
        <v>0</v>
      </c>
      <c r="D423" s="57"/>
      <c r="E423" s="57"/>
      <c r="F423" s="57"/>
      <c r="G423" s="50" t="str">
        <f t="shared" si="16"/>
        <v/>
      </c>
      <c r="H423" s="50">
        <f>VLOOKUP($A423,'[1]ma sp 02'!$A$5:$BD$1101,H$1,0)</f>
        <v>0</v>
      </c>
      <c r="I423" s="50">
        <f>VLOOKUP($A423,'[1]ma sp 02'!$A$5:$BD$1101,I$1,0)</f>
        <v>0</v>
      </c>
      <c r="J423" s="50">
        <f>VLOOKUP($A423,'[1]ma sp 02'!$A$5:$BD$1101,J$1,0)</f>
        <v>0</v>
      </c>
      <c r="K423" s="50">
        <f>VLOOKUP($A423,'[1]ma sp 02'!$A$5:$BD$1101,K$1,0)</f>
        <v>0</v>
      </c>
      <c r="L423" s="50">
        <f>VLOOKUP($A423,'[1]ma sp 02'!$A$5:$BD$1101,L$1,0)</f>
        <v>0</v>
      </c>
      <c r="M423" s="50">
        <f>VLOOKUP($A423,'[1]ma sp 02'!$A$5:$BD$1101,M$1,0)</f>
        <v>0</v>
      </c>
      <c r="N423" s="50">
        <f>VLOOKUP($A423,'[1]ma sp 02'!$A$5:$BD$1101,N$1,0)</f>
        <v>0</v>
      </c>
      <c r="O423" s="50">
        <f>VLOOKUP($A423,'[1]ma sp 02'!$A$5:$BD$1101,O$1,0)</f>
        <v>0</v>
      </c>
      <c r="P423" s="50">
        <f>VLOOKUP($A423,'[1]ma sp 02'!$A$5:$BD$1101,P$1,0)</f>
        <v>0</v>
      </c>
      <c r="Q423" s="50">
        <f>VLOOKUP($A423,'[1]ma sp 02'!$A$5:$BD$1101,Q$1,0)</f>
        <v>0</v>
      </c>
      <c r="R423" s="50">
        <f>VLOOKUP($A423,'[1]ma sp 02'!$A$5:$BD$1101,R$1,0)</f>
        <v>0</v>
      </c>
      <c r="S423" s="50">
        <f>VLOOKUP($A423,'[1]ma sp 02'!$A$5:$BD$1101,S$1,0)</f>
        <v>0</v>
      </c>
      <c r="T423" s="50">
        <f>VLOOKUP($A423,'[1]ma sp 02'!$A$5:$BD$1101,T$1,0)</f>
        <v>0</v>
      </c>
      <c r="U423" s="50">
        <f>VLOOKUP($A423,'[1]ma sp 02'!$A$5:$BD$1101,U$1,0)</f>
        <v>0</v>
      </c>
      <c r="V423" s="50">
        <f>VLOOKUP($A423,'[1]ma sp 02'!$A$5:$BD$1101,V$1,0)</f>
        <v>0</v>
      </c>
      <c r="W423" s="50">
        <f>VLOOKUP($A423,'[1]ma sp 02'!$A$5:$BD$1101,W$1,0)</f>
        <v>0</v>
      </c>
      <c r="X423" s="50">
        <f t="shared" si="14"/>
        <v>0</v>
      </c>
      <c r="Y423" s="116"/>
      <c r="Z423" s="116"/>
      <c r="AA423" s="116"/>
      <c r="AB423" s="116"/>
      <c r="AC423" s="116"/>
      <c r="AD423" s="116"/>
      <c r="AE423" s="116"/>
      <c r="AF423" s="116"/>
      <c r="AG423" s="116"/>
      <c r="AH423" s="116"/>
      <c r="AI423" s="116"/>
      <c r="AJ423" s="116"/>
      <c r="AK423" s="116"/>
      <c r="AL423" s="116"/>
      <c r="AM423" s="117"/>
      <c r="AN423" s="116"/>
      <c r="AO423" s="117"/>
      <c r="AP423" s="59">
        <f>IFERROR(VLOOKUP($A423,[2]Mssp!$A$5:$BE$1463,AP$4+1,0),0)</f>
        <v>0</v>
      </c>
      <c r="AQ423" s="59">
        <f>IFERROR(VLOOKUP($A423,[2]Mssp!$A$5:$BE$1463,AQ$4+1,0),0)</f>
        <v>0</v>
      </c>
      <c r="AR423" s="59">
        <f>IFERROR(VLOOKUP($A423,[2]Mssp!$A$5:$BE$1463,AR$4+1,0),0)</f>
        <v>0</v>
      </c>
      <c r="AS423" s="59">
        <f>IFERROR(VLOOKUP($A423,[2]Mssp!$A$5:$BE$1463,AS$4+1,0),0)</f>
        <v>0</v>
      </c>
      <c r="AT423" s="59">
        <f>IFERROR(VLOOKUP($A423,[2]Mssp!$A$5:$BE$1463,AT$4+1,0),0)</f>
        <v>0</v>
      </c>
      <c r="AU423" s="59">
        <f>IFERROR(VLOOKUP($A423,[2]Mssp!$A$5:$BE$1463,AU$4+1,0),0)</f>
        <v>0</v>
      </c>
      <c r="AV423" s="59">
        <f>IFERROR(VLOOKUP($A423,[2]Mssp!$A$5:$BE$1463,AV$4+1,0),0)</f>
        <v>0</v>
      </c>
      <c r="AW423" s="59">
        <f>IFERROR(VLOOKUP($A423,[2]Mssp!$A$5:$BE$1463,AW$4+1,0),0)</f>
        <v>0</v>
      </c>
      <c r="AX423" s="59">
        <f>IFERROR(VLOOKUP($A423,[2]Mssp!$A$5:$BE$1463,AX$4+1,0),0)</f>
        <v>0</v>
      </c>
      <c r="AY423" s="59">
        <f>IFERROR(VLOOKUP($A423,[2]Mssp!$A$5:$BE$1463,AY$4+2,0),0)</f>
        <v>0</v>
      </c>
      <c r="AZ423" s="59">
        <f>IFERROR(VLOOKUP($A423,[2]Mssp!$A$5:$BE$1463,AZ$4+2,0),0)</f>
        <v>0</v>
      </c>
      <c r="BA423" s="60"/>
      <c r="BB423" s="61"/>
      <c r="BC423" s="62"/>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c r="CK423" s="9"/>
      <c r="CL423" s="9"/>
      <c r="CM423" s="9"/>
      <c r="CN423" s="9"/>
      <c r="CO423" s="9"/>
      <c r="CP423" s="9"/>
    </row>
    <row r="424" spans="1:94" ht="45" x14ac:dyDescent="0.25">
      <c r="A424" s="50" t="s">
        <v>1403</v>
      </c>
      <c r="B424" s="57" t="s">
        <v>1404</v>
      </c>
      <c r="C424" s="50">
        <f t="shared" si="15"/>
        <v>8.6199999999999992</v>
      </c>
      <c r="D424" s="57">
        <v>3</v>
      </c>
      <c r="E424" s="57" t="s">
        <v>1405</v>
      </c>
      <c r="F424" s="57">
        <v>7</v>
      </c>
      <c r="G424" s="50" t="str">
        <f t="shared" si="16"/>
        <v>OPP</v>
      </c>
      <c r="H424" s="50">
        <f>VLOOKUP($A424,'[1]ma sp 02'!$A$5:$BD$1101,H$1,0)</f>
        <v>0.05</v>
      </c>
      <c r="I424" s="50">
        <f>VLOOKUP($A424,'[1]ma sp 02'!$A$5:$BD$1101,I$1,0)</f>
        <v>5.21</v>
      </c>
      <c r="J424" s="50">
        <f>VLOOKUP($A424,'[1]ma sp 02'!$A$5:$BD$1101,J$1,0)</f>
        <v>0.28000000000000003</v>
      </c>
      <c r="K424" s="50">
        <f>VLOOKUP($A424,'[1]ma sp 02'!$A$5:$BD$1101,K$1,0)</f>
        <v>0.01</v>
      </c>
      <c r="L424" s="50">
        <f>VLOOKUP($A424,'[1]ma sp 02'!$A$5:$BD$1101,L$1,0)</f>
        <v>1.89</v>
      </c>
      <c r="M424" s="50">
        <f>VLOOKUP($A424,'[1]ma sp 02'!$A$5:$BD$1101,M$1,0)</f>
        <v>0.38</v>
      </c>
      <c r="N424" s="50">
        <f>VLOOKUP($A424,'[1]ma sp 02'!$A$5:$BD$1101,N$1,0)</f>
        <v>0</v>
      </c>
      <c r="O424" s="50">
        <f>VLOOKUP($A424,'[1]ma sp 02'!$A$5:$BD$1101,O$1,0)</f>
        <v>0</v>
      </c>
      <c r="P424" s="50">
        <f>VLOOKUP($A424,'[1]ma sp 02'!$A$5:$BD$1101,P$1,0)</f>
        <v>0.14000000000000001</v>
      </c>
      <c r="Q424" s="50">
        <f>VLOOKUP($A424,'[1]ma sp 02'!$A$5:$BD$1101,Q$1,0)</f>
        <v>0</v>
      </c>
      <c r="R424" s="50">
        <f>VLOOKUP($A424,'[1]ma sp 02'!$A$5:$BD$1101,R$1,0)</f>
        <v>0.66</v>
      </c>
      <c r="S424" s="50">
        <f>VLOOKUP($A424,'[1]ma sp 02'!$A$5:$BD$1101,S$1,0)</f>
        <v>0</v>
      </c>
      <c r="T424" s="50">
        <f>VLOOKUP($A424,'[1]ma sp 02'!$A$5:$BD$1101,T$1,0)</f>
        <v>0</v>
      </c>
      <c r="U424" s="50">
        <f>VLOOKUP($A424,'[1]ma sp 02'!$A$5:$BD$1101,U$1,0)</f>
        <v>0</v>
      </c>
      <c r="V424" s="50">
        <f>VLOOKUP($A424,'[1]ma sp 02'!$A$5:$BD$1101,V$1,0)</f>
        <v>0</v>
      </c>
      <c r="W424" s="50">
        <f>VLOOKUP($A424,'[1]ma sp 02'!$A$5:$BD$1101,W$1,0)</f>
        <v>0</v>
      </c>
      <c r="X424" s="50">
        <f t="shared" si="14"/>
        <v>8</v>
      </c>
      <c r="Y424" s="116"/>
      <c r="Z424" s="116"/>
      <c r="AA424" s="116"/>
      <c r="AB424" s="116"/>
      <c r="AC424" s="116"/>
      <c r="AD424" s="116"/>
      <c r="AE424" s="116" t="s">
        <v>1406</v>
      </c>
      <c r="AF424" s="116"/>
      <c r="AG424" s="118">
        <f>(0.02*0.91+0.065*0.925)*0.692</f>
        <v>5.4200900000000003E-2</v>
      </c>
      <c r="AH424" s="54">
        <f>(2.3/0.75/2)*0.682</f>
        <v>1.0457333333333334</v>
      </c>
      <c r="AI424" s="116"/>
      <c r="AJ424" s="116">
        <v>9530</v>
      </c>
      <c r="AK424" s="116"/>
      <c r="AL424" s="116">
        <v>2.3E-3</v>
      </c>
      <c r="AM424" s="117" t="s">
        <v>74</v>
      </c>
      <c r="AN424" s="116">
        <v>161</v>
      </c>
      <c r="AO424" s="117" t="s">
        <v>1407</v>
      </c>
      <c r="AP424" s="59" t="str">
        <f>IFERROR(VLOOKUP($A424,[2]Mssp!$A$5:$BE$1463,AP$4+1,0),0)</f>
        <v>1807050-1</v>
      </c>
      <c r="AQ424" s="59" t="str">
        <f>IFERROR(VLOOKUP($A424,[2]Mssp!$A$5:$BE$1463,AQ$4+1,0),0)</f>
        <v>1807050-2</v>
      </c>
      <c r="AR424" s="59" t="str">
        <f>IFERROR(VLOOKUP($A424,[2]Mssp!$A$5:$BE$1463,AR$4+1,0),0)</f>
        <v>1807050-3</v>
      </c>
      <c r="AS424" s="59" t="str">
        <f>IFERROR(VLOOKUP($A424,[2]Mssp!$A$5:$BE$1463,AS$4+1,0),0)</f>
        <v>1807050-4</v>
      </c>
      <c r="AT424" s="59" t="str">
        <f>IFERROR(VLOOKUP($A424,[2]Mssp!$A$5:$BE$1463,AT$4+1,0),0)</f>
        <v>1807050-5</v>
      </c>
      <c r="AU424" s="59" t="str">
        <f>IFERROR(VLOOKUP($A424,[2]Mssp!$A$5:$BE$1463,AU$4+1,0),0)</f>
        <v>1807050-6</v>
      </c>
      <c r="AV424" s="59" t="str">
        <f>IFERROR(VLOOKUP($A424,[2]Mssp!$A$5:$BE$1463,AV$4+1,0),0)</f>
        <v>1807050-7</v>
      </c>
      <c r="AW424" s="59">
        <f>IFERROR(VLOOKUP($A424,[2]Mssp!$A$5:$BE$1463,AW$4+1,0),0)</f>
        <v>0</v>
      </c>
      <c r="AX424" s="59">
        <f>IFERROR(VLOOKUP($A424,[2]Mssp!$A$5:$BE$1463,AX$4+1,0),0)</f>
        <v>0</v>
      </c>
      <c r="AY424" s="59" t="str">
        <f>IFERROR(VLOOKUP($A424,[2]Mssp!$A$5:$BE$1463,AY$4+2,0),0)</f>
        <v>483x750</v>
      </c>
      <c r="AZ424" s="59" t="str">
        <f>IFERROR(VLOOKUP($A424,[2]Mssp!$A$5:$BE$1463,AZ$4+2,0),0)</f>
        <v>P2</v>
      </c>
      <c r="BA424" s="60">
        <v>10500</v>
      </c>
      <c r="BB424" s="61" t="s">
        <v>62</v>
      </c>
      <c r="BC424" s="62"/>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9"/>
      <c r="CK424" s="9"/>
      <c r="CL424" s="9"/>
      <c r="CM424" s="9"/>
      <c r="CN424" s="9"/>
      <c r="CO424" s="9"/>
      <c r="CP424" s="9"/>
    </row>
    <row r="425" spans="1:94" ht="45" x14ac:dyDescent="0.25">
      <c r="A425" s="50" t="s">
        <v>1408</v>
      </c>
      <c r="B425" s="57" t="s">
        <v>1409</v>
      </c>
      <c r="C425" s="50">
        <f t="shared" si="15"/>
        <v>8.2399999999999984</v>
      </c>
      <c r="D425" s="57">
        <v>2</v>
      </c>
      <c r="E425" s="57" t="s">
        <v>163</v>
      </c>
      <c r="F425" s="57">
        <v>7</v>
      </c>
      <c r="G425" s="50" t="str">
        <f t="shared" si="16"/>
        <v>OPP</v>
      </c>
      <c r="H425" s="50">
        <f>VLOOKUP($A425,'[1]ma sp 02'!$A$5:$BD$1101,H$1,0)</f>
        <v>0.1</v>
      </c>
      <c r="I425" s="50">
        <f>VLOOKUP($A425,'[1]ma sp 02'!$A$5:$BD$1101,I$1,0)</f>
        <v>4.46</v>
      </c>
      <c r="J425" s="50">
        <f>VLOOKUP($A425,'[1]ma sp 02'!$A$5:$BD$1101,J$1,0)</f>
        <v>0.25</v>
      </c>
      <c r="K425" s="50">
        <f>VLOOKUP($A425,'[1]ma sp 02'!$A$5:$BD$1101,K$1,0)</f>
        <v>0.01</v>
      </c>
      <c r="L425" s="50">
        <f>VLOOKUP($A425,'[1]ma sp 02'!$A$5:$BD$1101,L$1,0)</f>
        <v>2.08</v>
      </c>
      <c r="M425" s="50">
        <f>VLOOKUP($A425,'[1]ma sp 02'!$A$5:$BD$1101,M$1,0)</f>
        <v>0.5</v>
      </c>
      <c r="N425" s="50">
        <f>VLOOKUP($A425,'[1]ma sp 02'!$A$5:$BD$1101,N$1,0)</f>
        <v>0</v>
      </c>
      <c r="O425" s="50">
        <f>VLOOKUP($A425,'[1]ma sp 02'!$A$5:$BD$1101,O$1,0)</f>
        <v>0</v>
      </c>
      <c r="P425" s="50">
        <f>VLOOKUP($A425,'[1]ma sp 02'!$A$5:$BD$1101,P$1,0)</f>
        <v>0.1</v>
      </c>
      <c r="Q425" s="50">
        <f>VLOOKUP($A425,'[1]ma sp 02'!$A$5:$BD$1101,Q$1,0)</f>
        <v>0</v>
      </c>
      <c r="R425" s="50">
        <f>VLOOKUP($A425,'[1]ma sp 02'!$A$5:$BD$1101,R$1,0)</f>
        <v>0.74</v>
      </c>
      <c r="S425" s="50">
        <f>VLOOKUP($A425,'[1]ma sp 02'!$A$5:$BD$1101,S$1,0)</f>
        <v>0</v>
      </c>
      <c r="T425" s="50">
        <f>VLOOKUP($A425,'[1]ma sp 02'!$A$5:$BD$1101,T$1,0)</f>
        <v>0</v>
      </c>
      <c r="U425" s="50">
        <f>VLOOKUP($A425,'[1]ma sp 02'!$A$5:$BD$1101,U$1,0)</f>
        <v>0</v>
      </c>
      <c r="V425" s="50">
        <f>VLOOKUP($A425,'[1]ma sp 02'!$A$5:$BD$1101,V$1,0)</f>
        <v>0</v>
      </c>
      <c r="W425" s="50">
        <f>VLOOKUP($A425,'[1]ma sp 02'!$A$5:$BD$1101,W$1,0)</f>
        <v>0</v>
      </c>
      <c r="X425" s="50">
        <f t="shared" si="14"/>
        <v>8</v>
      </c>
      <c r="Y425" s="116"/>
      <c r="Z425" s="116"/>
      <c r="AA425" s="116"/>
      <c r="AB425" s="116"/>
      <c r="AC425" s="116"/>
      <c r="AD425" s="116"/>
      <c r="AE425" s="116" t="s">
        <v>164</v>
      </c>
      <c r="AF425" s="116"/>
      <c r="AG425" s="118">
        <f>(0.02*0.91+0.065*0.925)*0.64</f>
        <v>5.0128000000000006E-2</v>
      </c>
      <c r="AH425" s="116">
        <f>(2.3/0.75/2)*0.63</f>
        <v>0.96599999999999997</v>
      </c>
      <c r="AI425" s="116"/>
      <c r="AJ425" s="116">
        <v>9530</v>
      </c>
      <c r="AK425" s="116"/>
      <c r="AL425" s="116">
        <v>2.3E-3</v>
      </c>
      <c r="AM425" s="117" t="s">
        <v>74</v>
      </c>
      <c r="AN425" s="116">
        <v>215</v>
      </c>
      <c r="AO425" s="117" t="s">
        <v>1407</v>
      </c>
      <c r="AP425" s="59" t="str">
        <f>IFERROR(VLOOKUP($A425,[2]Mssp!$A$5:$BE$1463,AP$4+1,0),0)</f>
        <v>1807049-1</v>
      </c>
      <c r="AQ425" s="59" t="str">
        <f>IFERROR(VLOOKUP($A425,[2]Mssp!$A$5:$BE$1463,AQ$4+1,0),0)</f>
        <v>1807049-2</v>
      </c>
      <c r="AR425" s="59" t="str">
        <f>IFERROR(VLOOKUP($A425,[2]Mssp!$A$5:$BE$1463,AR$4+1,0),0)</f>
        <v>1807049-3</v>
      </c>
      <c r="AS425" s="59" t="str">
        <f>IFERROR(VLOOKUP($A425,[2]Mssp!$A$5:$BE$1463,AS$4+1,0),0)</f>
        <v>1807049-4</v>
      </c>
      <c r="AT425" s="59" t="str">
        <f>IFERROR(VLOOKUP($A425,[2]Mssp!$A$5:$BE$1463,AT$4+1,0),0)</f>
        <v>1807049-5</v>
      </c>
      <c r="AU425" s="59" t="str">
        <f>IFERROR(VLOOKUP($A425,[2]Mssp!$A$5:$BE$1463,AU$4+1,0),0)</f>
        <v>1807049-6</v>
      </c>
      <c r="AV425" s="59" t="str">
        <f>IFERROR(VLOOKUP($A425,[2]Mssp!$A$5:$BE$1463,AV$4+1,0),0)</f>
        <v>1807049-7</v>
      </c>
      <c r="AW425" s="59">
        <f>IFERROR(VLOOKUP($A425,[2]Mssp!$A$5:$BE$1463,AW$4+1,0),0)</f>
        <v>0</v>
      </c>
      <c r="AX425" s="59">
        <f>IFERROR(VLOOKUP($A425,[2]Mssp!$A$5:$BE$1463,AX$4+1,0),0)</f>
        <v>0</v>
      </c>
      <c r="AY425" s="59" t="str">
        <f>IFERROR(VLOOKUP($A425,[2]Mssp!$A$5:$BE$1463,AY$4+2,0),0)</f>
        <v>430x750</v>
      </c>
      <c r="AZ425" s="59" t="str">
        <f>IFERROR(VLOOKUP($A425,[2]Mssp!$A$5:$BE$1463,AZ$4+2,0),0)</f>
        <v>P2</v>
      </c>
      <c r="BA425" s="60">
        <v>6000</v>
      </c>
      <c r="BB425" s="61" t="s">
        <v>62</v>
      </c>
      <c r="BC425" s="62"/>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c r="CK425" s="9"/>
      <c r="CL425" s="9"/>
      <c r="CM425" s="9"/>
      <c r="CN425" s="9"/>
      <c r="CO425" s="9"/>
      <c r="CP425" s="9"/>
    </row>
    <row r="426" spans="1:94" x14ac:dyDescent="0.25">
      <c r="A426" s="50" t="s">
        <v>1410</v>
      </c>
      <c r="B426" s="57"/>
      <c r="C426" s="50">
        <f t="shared" si="15"/>
        <v>0</v>
      </c>
      <c r="D426" s="57"/>
      <c r="E426" s="57"/>
      <c r="F426" s="57"/>
      <c r="G426" s="50" t="str">
        <f t="shared" si="16"/>
        <v/>
      </c>
      <c r="H426" s="50">
        <f>VLOOKUP($A426,'[1]ma sp 02'!$A$5:$BD$1101,H$1,0)</f>
        <v>0</v>
      </c>
      <c r="I426" s="50">
        <f>VLOOKUP($A426,'[1]ma sp 02'!$A$5:$BD$1101,I$1,0)</f>
        <v>0</v>
      </c>
      <c r="J426" s="50">
        <f>VLOOKUP($A426,'[1]ma sp 02'!$A$5:$BD$1101,J$1,0)</f>
        <v>0</v>
      </c>
      <c r="K426" s="50">
        <f>VLOOKUP($A426,'[1]ma sp 02'!$A$5:$BD$1101,K$1,0)</f>
        <v>0</v>
      </c>
      <c r="L426" s="50">
        <f>VLOOKUP($A426,'[1]ma sp 02'!$A$5:$BD$1101,L$1,0)</f>
        <v>0</v>
      </c>
      <c r="M426" s="50">
        <f>VLOOKUP($A426,'[1]ma sp 02'!$A$5:$BD$1101,M$1,0)</f>
        <v>0</v>
      </c>
      <c r="N426" s="50">
        <f>VLOOKUP($A426,'[1]ma sp 02'!$A$5:$BD$1101,N$1,0)</f>
        <v>0</v>
      </c>
      <c r="O426" s="50">
        <f>VLOOKUP($A426,'[1]ma sp 02'!$A$5:$BD$1101,O$1,0)</f>
        <v>0</v>
      </c>
      <c r="P426" s="50">
        <f>VLOOKUP($A426,'[1]ma sp 02'!$A$5:$BD$1101,P$1,0)</f>
        <v>0</v>
      </c>
      <c r="Q426" s="50">
        <f>VLOOKUP($A426,'[1]ma sp 02'!$A$5:$BD$1101,Q$1,0)</f>
        <v>0</v>
      </c>
      <c r="R426" s="50">
        <f>VLOOKUP($A426,'[1]ma sp 02'!$A$5:$BD$1101,R$1,0)</f>
        <v>0</v>
      </c>
      <c r="S426" s="50">
        <f>VLOOKUP($A426,'[1]ma sp 02'!$A$5:$BD$1101,S$1,0)</f>
        <v>0</v>
      </c>
      <c r="T426" s="50">
        <f>VLOOKUP($A426,'[1]ma sp 02'!$A$5:$BD$1101,T$1,0)</f>
        <v>0</v>
      </c>
      <c r="U426" s="50">
        <f>VLOOKUP($A426,'[1]ma sp 02'!$A$5:$BD$1101,U$1,0)</f>
        <v>0</v>
      </c>
      <c r="V426" s="50">
        <f>VLOOKUP($A426,'[1]ma sp 02'!$A$5:$BD$1101,V$1,0)</f>
        <v>0</v>
      </c>
      <c r="W426" s="50">
        <f>VLOOKUP($A426,'[1]ma sp 02'!$A$5:$BD$1101,W$1,0)</f>
        <v>0</v>
      </c>
      <c r="X426" s="50">
        <f t="shared" si="14"/>
        <v>0</v>
      </c>
      <c r="Y426" s="116"/>
      <c r="Z426" s="116"/>
      <c r="AA426" s="116"/>
      <c r="AB426" s="116"/>
      <c r="AC426" s="116"/>
      <c r="AD426" s="116"/>
      <c r="AE426" s="116"/>
      <c r="AF426" s="116"/>
      <c r="AG426" s="116"/>
      <c r="AH426" s="116"/>
      <c r="AI426" s="116"/>
      <c r="AJ426" s="116"/>
      <c r="AK426" s="116"/>
      <c r="AL426" s="116"/>
      <c r="AM426" s="117"/>
      <c r="AN426" s="116"/>
      <c r="AO426" s="117"/>
      <c r="AP426" s="59">
        <f>IFERROR(VLOOKUP($A426,[2]Mssp!$A$5:$BE$1463,AP$4+1,0),0)</f>
        <v>0</v>
      </c>
      <c r="AQ426" s="59">
        <f>IFERROR(VLOOKUP($A426,[2]Mssp!$A$5:$BE$1463,AQ$4+1,0),0)</f>
        <v>0</v>
      </c>
      <c r="AR426" s="59">
        <f>IFERROR(VLOOKUP($A426,[2]Mssp!$A$5:$BE$1463,AR$4+1,0),0)</f>
        <v>0</v>
      </c>
      <c r="AS426" s="59">
        <f>IFERROR(VLOOKUP($A426,[2]Mssp!$A$5:$BE$1463,AS$4+1,0),0)</f>
        <v>0</v>
      </c>
      <c r="AT426" s="59">
        <f>IFERROR(VLOOKUP($A426,[2]Mssp!$A$5:$BE$1463,AT$4+1,0),0)</f>
        <v>0</v>
      </c>
      <c r="AU426" s="59">
        <f>IFERROR(VLOOKUP($A426,[2]Mssp!$A$5:$BE$1463,AU$4+1,0),0)</f>
        <v>0</v>
      </c>
      <c r="AV426" s="59">
        <f>IFERROR(VLOOKUP($A426,[2]Mssp!$A$5:$BE$1463,AV$4+1,0),0)</f>
        <v>0</v>
      </c>
      <c r="AW426" s="59">
        <f>IFERROR(VLOOKUP($A426,[2]Mssp!$A$5:$BE$1463,AW$4+1,0),0)</f>
        <v>0</v>
      </c>
      <c r="AX426" s="59">
        <f>IFERROR(VLOOKUP($A426,[2]Mssp!$A$5:$BE$1463,AX$4+1,0),0)</f>
        <v>0</v>
      </c>
      <c r="AY426" s="59">
        <f>IFERROR(VLOOKUP($A426,[2]Mssp!$A$5:$BE$1463,AY$4+2,0),0)</f>
        <v>0</v>
      </c>
      <c r="AZ426" s="59">
        <f>IFERROR(VLOOKUP($A426,[2]Mssp!$A$5:$BE$1463,AZ$4+2,0),0)</f>
        <v>0</v>
      </c>
      <c r="BA426" s="60"/>
      <c r="BB426" s="61"/>
      <c r="BC426" s="62"/>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9"/>
      <c r="CK426" s="9"/>
      <c r="CL426" s="9"/>
      <c r="CM426" s="9"/>
      <c r="CN426" s="9"/>
      <c r="CO426" s="9"/>
      <c r="CP426" s="9"/>
    </row>
    <row r="427" spans="1:94" ht="60" x14ac:dyDescent="0.25">
      <c r="A427" s="50" t="s">
        <v>1411</v>
      </c>
      <c r="B427" s="57" t="s">
        <v>1412</v>
      </c>
      <c r="C427" s="50">
        <f t="shared" si="15"/>
        <v>2.3000000000000003</v>
      </c>
      <c r="D427" s="57">
        <v>3</v>
      </c>
      <c r="E427" s="57" t="s">
        <v>113</v>
      </c>
      <c r="F427" s="57">
        <v>1</v>
      </c>
      <c r="G427" s="50" t="str">
        <f t="shared" si="16"/>
        <v>PET</v>
      </c>
      <c r="H427" s="50">
        <f>VLOOKUP($A427,'[1]ma sp 02'!$A$5:$BD$1101,H$1,0)</f>
        <v>0</v>
      </c>
      <c r="I427" s="50">
        <f>VLOOKUP($A427,'[1]ma sp 02'!$A$5:$BD$1101,I$1,0)</f>
        <v>0</v>
      </c>
      <c r="J427" s="50">
        <f>VLOOKUP($A427,'[1]ma sp 02'!$A$5:$BD$1101,J$1,0)</f>
        <v>0</v>
      </c>
      <c r="K427" s="50">
        <f>VLOOKUP($A427,'[1]ma sp 02'!$A$5:$BD$1101,K$1,0)</f>
        <v>0</v>
      </c>
      <c r="L427" s="50">
        <f>VLOOKUP($A427,'[1]ma sp 02'!$A$5:$BD$1101,L$1,0)</f>
        <v>1.84</v>
      </c>
      <c r="M427" s="50">
        <f>VLOOKUP($A427,'[1]ma sp 02'!$A$5:$BD$1101,M$1,0)</f>
        <v>0</v>
      </c>
      <c r="N427" s="50">
        <f>VLOOKUP($A427,'[1]ma sp 02'!$A$5:$BD$1101,N$1,0)</f>
        <v>0</v>
      </c>
      <c r="O427" s="50">
        <f>VLOOKUP($A427,'[1]ma sp 02'!$A$5:$BD$1101,O$1,0)</f>
        <v>0.46</v>
      </c>
      <c r="P427" s="50">
        <f>VLOOKUP($A427,'[1]ma sp 02'!$A$5:$BD$1101,P$1,0)</f>
        <v>0</v>
      </c>
      <c r="Q427" s="50">
        <f>VLOOKUP($A427,'[1]ma sp 02'!$A$5:$BD$1101,Q$1,0)</f>
        <v>0</v>
      </c>
      <c r="R427" s="50">
        <f>VLOOKUP($A427,'[1]ma sp 02'!$A$5:$BD$1101,R$1,0)</f>
        <v>0</v>
      </c>
      <c r="S427" s="50">
        <f>VLOOKUP($A427,'[1]ma sp 02'!$A$5:$BD$1101,S$1,0)</f>
        <v>0</v>
      </c>
      <c r="T427" s="50">
        <f>VLOOKUP($A427,'[1]ma sp 02'!$A$5:$BD$1101,T$1,0)</f>
        <v>0</v>
      </c>
      <c r="U427" s="50">
        <f>VLOOKUP($A427,'[1]ma sp 02'!$A$5:$BD$1101,U$1,0)</f>
        <v>0</v>
      </c>
      <c r="V427" s="50">
        <f>VLOOKUP($A427,'[1]ma sp 02'!$A$5:$BD$1101,V$1,0)</f>
        <v>0</v>
      </c>
      <c r="W427" s="50">
        <f>VLOOKUP($A427,'[1]ma sp 02'!$A$5:$BD$1101,W$1,0)</f>
        <v>0</v>
      </c>
      <c r="X427" s="50">
        <f t="shared" si="14"/>
        <v>2</v>
      </c>
      <c r="Y427" s="116"/>
      <c r="Z427" s="116"/>
      <c r="AA427" s="116"/>
      <c r="AB427" s="116"/>
      <c r="AC427" s="116"/>
      <c r="AD427" s="116"/>
      <c r="AE427" s="116" t="s">
        <v>115</v>
      </c>
      <c r="AF427" s="116" t="s">
        <v>321</v>
      </c>
      <c r="AG427" s="118">
        <f>(0.012*1.4+0.012*1.4+0.075*0.925)*0.74</f>
        <v>7.6201500000000005E-2</v>
      </c>
      <c r="AH427" s="54">
        <f>(2.3/0.75/2)*0.73</f>
        <v>1.1193333333333333</v>
      </c>
      <c r="AI427" s="116">
        <f>(3/0.75/2)*0.73</f>
        <v>1.46</v>
      </c>
      <c r="AJ427" s="116">
        <v>9530</v>
      </c>
      <c r="AK427" s="58">
        <v>9530</v>
      </c>
      <c r="AL427" s="58" t="s">
        <v>117</v>
      </c>
      <c r="AM427" s="52" t="s">
        <v>60</v>
      </c>
      <c r="AN427" s="116">
        <v>270</v>
      </c>
      <c r="AO427" s="117" t="s">
        <v>813</v>
      </c>
      <c r="AP427" s="59" t="str">
        <f>IFERROR(VLOOKUP($A427,[2]Mssp!$A$5:$BE$1463,AP$4+1,0),0)</f>
        <v>1807515-1</v>
      </c>
      <c r="AQ427" s="59">
        <f>IFERROR(VLOOKUP($A427,[2]Mssp!$A$5:$BE$1463,AQ$4+1,0),0)</f>
        <v>0</v>
      </c>
      <c r="AR427" s="59">
        <f>IFERROR(VLOOKUP($A427,[2]Mssp!$A$5:$BE$1463,AR$4+1,0),0)</f>
        <v>0</v>
      </c>
      <c r="AS427" s="59">
        <f>IFERROR(VLOOKUP($A427,[2]Mssp!$A$5:$BE$1463,AS$4+1,0),0)</f>
        <v>0</v>
      </c>
      <c r="AT427" s="59">
        <f>IFERROR(VLOOKUP($A427,[2]Mssp!$A$5:$BE$1463,AT$4+1,0),0)</f>
        <v>0</v>
      </c>
      <c r="AU427" s="59">
        <f>IFERROR(VLOOKUP($A427,[2]Mssp!$A$5:$BE$1463,AU$4+1,0),0)</f>
        <v>0</v>
      </c>
      <c r="AV427" s="59">
        <f>IFERROR(VLOOKUP($A427,[2]Mssp!$A$5:$BE$1463,AV$4+1,0),0)</f>
        <v>0</v>
      </c>
      <c r="AW427" s="59">
        <f>IFERROR(VLOOKUP($A427,[2]Mssp!$A$5:$BE$1463,AW$4+1,0),0)</f>
        <v>0</v>
      </c>
      <c r="AX427" s="59">
        <f>IFERROR(VLOOKUP($A427,[2]Mssp!$A$5:$BE$1463,AX$4+1,0),0)</f>
        <v>0</v>
      </c>
      <c r="AY427" s="59" t="str">
        <f>IFERROR(VLOOKUP($A427,[2]Mssp!$A$5:$BE$1463,AY$4+2,0),0)</f>
        <v>540x870</v>
      </c>
      <c r="AZ427" s="59" t="str">
        <f>IFERROR(VLOOKUP($A427,[2]Mssp!$A$5:$BE$1463,AZ$4+2,0),0)</f>
        <v>P2</v>
      </c>
      <c r="BA427" s="60"/>
      <c r="BB427" s="61" t="s">
        <v>1413</v>
      </c>
      <c r="BC427" s="62"/>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c r="CK427" s="9"/>
      <c r="CL427" s="9"/>
      <c r="CM427" s="9"/>
      <c r="CN427" s="9"/>
      <c r="CO427" s="9"/>
      <c r="CP427" s="9"/>
    </row>
    <row r="428" spans="1:94" ht="45" x14ac:dyDescent="0.25">
      <c r="A428" s="50" t="s">
        <v>1414</v>
      </c>
      <c r="B428" s="97" t="s">
        <v>1415</v>
      </c>
      <c r="C428" s="50">
        <f t="shared" si="15"/>
        <v>4.1899999999999995</v>
      </c>
      <c r="D428" s="57">
        <v>7</v>
      </c>
      <c r="E428" s="57" t="s">
        <v>1416</v>
      </c>
      <c r="F428" s="57">
        <v>8</v>
      </c>
      <c r="G428" s="50" t="str">
        <f t="shared" si="16"/>
        <v>OPP</v>
      </c>
      <c r="H428" s="50">
        <f>VLOOKUP($A428,'[1]ma sp 02'!$A$5:$BD$1101,H$1,0)</f>
        <v>0.08</v>
      </c>
      <c r="I428" s="50">
        <f>VLOOKUP($A428,'[1]ma sp 02'!$A$5:$BD$1101,I$1,0)</f>
        <v>1.4</v>
      </c>
      <c r="J428" s="50">
        <f>VLOOKUP($A428,'[1]ma sp 02'!$A$5:$BD$1101,J$1,0)</f>
        <v>0.01</v>
      </c>
      <c r="K428" s="50">
        <f>VLOOKUP($A428,'[1]ma sp 02'!$A$5:$BD$1101,K$1,0)</f>
        <v>0.25</v>
      </c>
      <c r="L428" s="50">
        <f>VLOOKUP($A428,'[1]ma sp 02'!$A$5:$BD$1101,L$1,0)</f>
        <v>1.1499999999999999</v>
      </c>
      <c r="M428" s="50">
        <f>VLOOKUP($A428,'[1]ma sp 02'!$A$5:$BD$1101,M$1,0)</f>
        <v>0.35</v>
      </c>
      <c r="N428" s="50">
        <f>VLOOKUP($A428,'[1]ma sp 02'!$A$5:$BD$1101,N$1,0)</f>
        <v>0</v>
      </c>
      <c r="O428" s="50">
        <f>VLOOKUP($A428,'[1]ma sp 02'!$A$5:$BD$1101,O$1,0)</f>
        <v>0.8</v>
      </c>
      <c r="P428" s="50">
        <f>VLOOKUP($A428,'[1]ma sp 02'!$A$5:$BD$1101,P$1,0)</f>
        <v>0.08</v>
      </c>
      <c r="Q428" s="50">
        <f>VLOOKUP($A428,'[1]ma sp 02'!$A$5:$BD$1101,Q$1,0)</f>
        <v>0</v>
      </c>
      <c r="R428" s="50">
        <f>VLOOKUP($A428,'[1]ma sp 02'!$A$5:$BD$1101,R$1,0)</f>
        <v>0.02</v>
      </c>
      <c r="S428" s="50">
        <f>VLOOKUP($A428,'[1]ma sp 02'!$A$5:$BD$1101,S$1,0)</f>
        <v>0</v>
      </c>
      <c r="T428" s="50">
        <f>VLOOKUP($A428,'[1]ma sp 02'!$A$5:$BD$1101,T$1,0)</f>
        <v>0.05</v>
      </c>
      <c r="U428" s="50">
        <f>VLOOKUP($A428,'[1]ma sp 02'!$A$5:$BD$1101,U$1,0)</f>
        <v>0</v>
      </c>
      <c r="V428" s="50">
        <f>VLOOKUP($A428,'[1]ma sp 02'!$A$5:$BD$1101,V$1,0)</f>
        <v>0</v>
      </c>
      <c r="W428" s="50">
        <f>VLOOKUP($A428,'[1]ma sp 02'!$A$5:$BD$1101,W$1,0)</f>
        <v>0</v>
      </c>
      <c r="X428" s="50">
        <f t="shared" si="14"/>
        <v>10</v>
      </c>
      <c r="Y428" s="116"/>
      <c r="Z428" s="116"/>
      <c r="AA428" s="116"/>
      <c r="AB428" s="116"/>
      <c r="AC428" s="116"/>
      <c r="AD428" s="116"/>
      <c r="AE428" s="116" t="s">
        <v>1417</v>
      </c>
      <c r="AF428" s="116"/>
      <c r="AG428" s="118">
        <f>(0.03*0.91+0.025*0.91)*1</f>
        <v>5.0050000000000004E-2</v>
      </c>
      <c r="AH428" s="54">
        <f>(2.3/0.75/2)*0.99</f>
        <v>1.5179999999999998</v>
      </c>
      <c r="AI428" s="116"/>
      <c r="AJ428" s="116">
        <v>9530</v>
      </c>
      <c r="AK428" s="116"/>
      <c r="AL428" s="116">
        <v>2.3E-3</v>
      </c>
      <c r="AM428" s="117" t="s">
        <v>142</v>
      </c>
      <c r="AN428" s="116">
        <v>140</v>
      </c>
      <c r="AO428" s="117" t="s">
        <v>1386</v>
      </c>
      <c r="AP428" s="59" t="str">
        <f>IFERROR(VLOOKUP($A428,[2]Mssp!$A$5:$BE$1463,AP$4+1,0),0)</f>
        <v>F121026G1-1</v>
      </c>
      <c r="AQ428" s="59" t="str">
        <f>IFERROR(VLOOKUP($A428,[2]Mssp!$A$5:$BE$1463,AQ$4+1,0),0)</f>
        <v>F121026G1-2</v>
      </c>
      <c r="AR428" s="59" t="str">
        <f>IFERROR(VLOOKUP($A428,[2]Mssp!$A$5:$BE$1463,AR$4+1,0),0)</f>
        <v>F121026G1-3</v>
      </c>
      <c r="AS428" s="59" t="str">
        <f>IFERROR(VLOOKUP($A428,[2]Mssp!$A$5:$BE$1463,AS$4+1,0),0)</f>
        <v>F121026G1-4</v>
      </c>
      <c r="AT428" s="59" t="str">
        <f>IFERROR(VLOOKUP($A428,[2]Mssp!$A$5:$BE$1463,AT$4+1,0),0)</f>
        <v>F121026G1-5</v>
      </c>
      <c r="AU428" s="59" t="str">
        <f>IFERROR(VLOOKUP($A428,[2]Mssp!$A$5:$BE$1463,AU$4+1,0),0)</f>
        <v>F121026G1-6</v>
      </c>
      <c r="AV428" s="59" t="str">
        <f>IFERROR(VLOOKUP($A428,[2]Mssp!$A$5:$BE$1463,AV$4+1,0),0)</f>
        <v>F121026G1-7</v>
      </c>
      <c r="AW428" s="59" t="str">
        <f>IFERROR(VLOOKUP($A428,[2]Mssp!$A$5:$BE$1463,AW$4+1,0),0)</f>
        <v>F121026G2NG1-8</v>
      </c>
      <c r="AX428" s="59">
        <f>IFERROR(VLOOKUP($A428,[2]Mssp!$A$5:$BE$1463,AX$4+1,0),0)</f>
        <v>0</v>
      </c>
      <c r="AY428" s="59" t="str">
        <f>IFERROR(VLOOKUP($A428,[2]Mssp!$A$5:$BE$1463,AY$4+2,0),0)</f>
        <v>405x1100</v>
      </c>
      <c r="AZ428" s="59" t="str">
        <f>IFERROR(VLOOKUP($A428,[2]Mssp!$A$5:$BE$1463,AZ$4+2,0),0)</f>
        <v>B1</v>
      </c>
      <c r="BA428" s="60" t="s">
        <v>1418</v>
      </c>
      <c r="BB428" s="61" t="s">
        <v>1419</v>
      </c>
      <c r="BC428" s="62"/>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9"/>
      <c r="CK428" s="9"/>
      <c r="CL428" s="9"/>
      <c r="CM428" s="9"/>
      <c r="CN428" s="9"/>
      <c r="CO428" s="9"/>
      <c r="CP428" s="9"/>
    </row>
    <row r="429" spans="1:94" ht="90" x14ac:dyDescent="0.25">
      <c r="A429" s="50" t="s">
        <v>1420</v>
      </c>
      <c r="B429" s="97" t="s">
        <v>1421</v>
      </c>
      <c r="C429" s="50">
        <f t="shared" si="15"/>
        <v>7.1</v>
      </c>
      <c r="D429" s="57">
        <v>2</v>
      </c>
      <c r="E429" s="57" t="s">
        <v>1422</v>
      </c>
      <c r="F429" s="57">
        <v>6</v>
      </c>
      <c r="G429" s="50" t="str">
        <f t="shared" si="16"/>
        <v>OPP</v>
      </c>
      <c r="H429" s="50">
        <f>VLOOKUP($A429,'[1]ma sp 02'!$A$5:$BD$1101,H$1,0)</f>
        <v>0.1</v>
      </c>
      <c r="I429" s="50">
        <f>VLOOKUP($A429,'[1]ma sp 02'!$A$5:$BD$1101,I$1,0)</f>
        <v>3.3</v>
      </c>
      <c r="J429" s="50">
        <f>VLOOKUP($A429,'[1]ma sp 02'!$A$5:$BD$1101,J$1,0)</f>
        <v>0.2</v>
      </c>
      <c r="K429" s="50">
        <f>VLOOKUP($A429,'[1]ma sp 02'!$A$5:$BD$1101,K$1,0)</f>
        <v>0.8</v>
      </c>
      <c r="L429" s="50">
        <f>VLOOKUP($A429,'[1]ma sp 02'!$A$5:$BD$1101,L$1,0)</f>
        <v>1.3</v>
      </c>
      <c r="M429" s="50">
        <f>VLOOKUP($A429,'[1]ma sp 02'!$A$5:$BD$1101,M$1,0)</f>
        <v>1</v>
      </c>
      <c r="N429" s="50">
        <f>VLOOKUP($A429,'[1]ma sp 02'!$A$5:$BD$1101,N$1,0)</f>
        <v>0</v>
      </c>
      <c r="O429" s="50">
        <f>VLOOKUP($A429,'[1]ma sp 02'!$A$5:$BD$1101,O$1,0)</f>
        <v>0.3</v>
      </c>
      <c r="P429" s="50">
        <f>VLOOKUP($A429,'[1]ma sp 02'!$A$5:$BD$1101,P$1,0)</f>
        <v>0.1</v>
      </c>
      <c r="Q429" s="50">
        <f>VLOOKUP($A429,'[1]ma sp 02'!$A$5:$BD$1101,Q$1,0)</f>
        <v>0</v>
      </c>
      <c r="R429" s="50">
        <f>VLOOKUP($A429,'[1]ma sp 02'!$A$5:$BD$1101,R$1,0)</f>
        <v>0</v>
      </c>
      <c r="S429" s="50">
        <f>VLOOKUP($A429,'[1]ma sp 02'!$A$5:$BD$1101,S$1,0)</f>
        <v>0</v>
      </c>
      <c r="T429" s="50">
        <f>VLOOKUP($A429,'[1]ma sp 02'!$A$5:$BD$1101,T$1,0)</f>
        <v>0</v>
      </c>
      <c r="U429" s="50">
        <f>VLOOKUP($A429,'[1]ma sp 02'!$A$5:$BD$1101,U$1,0)</f>
        <v>0</v>
      </c>
      <c r="V429" s="50">
        <f>VLOOKUP($A429,'[1]ma sp 02'!$A$5:$BD$1101,V$1,0)</f>
        <v>0</v>
      </c>
      <c r="W429" s="50">
        <f>VLOOKUP($A429,'[1]ma sp 02'!$A$5:$BD$1101,W$1,0)</f>
        <v>0</v>
      </c>
      <c r="X429" s="50">
        <f t="shared" si="14"/>
        <v>8</v>
      </c>
      <c r="Y429" s="116"/>
      <c r="Z429" s="116"/>
      <c r="AA429" s="116"/>
      <c r="AB429" s="116"/>
      <c r="AC429" s="116"/>
      <c r="AD429" s="116"/>
      <c r="AE429" s="116" t="s">
        <v>78</v>
      </c>
      <c r="AF429" s="116" t="s">
        <v>324</v>
      </c>
      <c r="AG429" s="118">
        <f>(0.02*0.91+0.012*1.4+0.075*0.925)*0.62</f>
        <v>6.4712500000000006E-2</v>
      </c>
      <c r="AH429" s="54">
        <f>(2.3/0.75/2)*0.61</f>
        <v>0.93533333333333324</v>
      </c>
      <c r="AI429" s="116">
        <f>(3/0.75/2)*0.61</f>
        <v>1.22</v>
      </c>
      <c r="AJ429" s="116">
        <v>9530</v>
      </c>
      <c r="AK429" s="58">
        <v>9530</v>
      </c>
      <c r="AL429" s="58" t="s">
        <v>117</v>
      </c>
      <c r="AM429" s="52" t="s">
        <v>60</v>
      </c>
      <c r="AN429" s="116">
        <v>340</v>
      </c>
      <c r="AO429" s="52" t="s">
        <v>916</v>
      </c>
      <c r="AP429" s="59">
        <f>IFERROR(VLOOKUP($A429,[2]Mssp!$A$5:$BE$1463,AP$4+1,0),0)</f>
        <v>0</v>
      </c>
      <c r="AQ429" s="59">
        <f>IFERROR(VLOOKUP($A429,[2]Mssp!$A$5:$BE$1463,AQ$4+1,0),0)</f>
        <v>0</v>
      </c>
      <c r="AR429" s="59">
        <f>IFERROR(VLOOKUP($A429,[2]Mssp!$A$5:$BE$1463,AR$4+1,0),0)</f>
        <v>0</v>
      </c>
      <c r="AS429" s="59">
        <f>IFERROR(VLOOKUP($A429,[2]Mssp!$A$5:$BE$1463,AS$4+1,0),0)</f>
        <v>0</v>
      </c>
      <c r="AT429" s="59">
        <f>IFERROR(VLOOKUP($A429,[2]Mssp!$A$5:$BE$1463,AT$4+1,0),0)</f>
        <v>0</v>
      </c>
      <c r="AU429" s="59">
        <f>IFERROR(VLOOKUP($A429,[2]Mssp!$A$5:$BE$1463,AU$4+1,0),0)</f>
        <v>0</v>
      </c>
      <c r="AV429" s="59">
        <f>IFERROR(VLOOKUP($A429,[2]Mssp!$A$5:$BE$1463,AV$4+1,0),0)</f>
        <v>0</v>
      </c>
      <c r="AW429" s="59">
        <f>IFERROR(VLOOKUP($A429,[2]Mssp!$A$5:$BE$1463,AW$4+1,0),0)</f>
        <v>0</v>
      </c>
      <c r="AX429" s="59">
        <f>IFERROR(VLOOKUP($A429,[2]Mssp!$A$5:$BE$1463,AX$4+1,0),0)</f>
        <v>0</v>
      </c>
      <c r="AY429" s="59">
        <f>IFERROR(VLOOKUP($A429,[2]Mssp!$A$5:$BE$1463,AY$4+2,0),0)</f>
        <v>0</v>
      </c>
      <c r="AZ429" s="59">
        <f>IFERROR(VLOOKUP($A429,[2]Mssp!$A$5:$BE$1463,AZ$4+2,0),0)</f>
        <v>0</v>
      </c>
      <c r="BA429" s="60">
        <v>2000</v>
      </c>
      <c r="BB429" s="61" t="s">
        <v>119</v>
      </c>
      <c r="BC429" s="62"/>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9"/>
      <c r="CK429" s="9"/>
      <c r="CL429" s="9"/>
      <c r="CM429" s="9"/>
      <c r="CN429" s="9"/>
      <c r="CO429" s="9"/>
      <c r="CP429" s="9"/>
    </row>
    <row r="430" spans="1:94" x14ac:dyDescent="0.25">
      <c r="A430" s="50" t="s">
        <v>1423</v>
      </c>
      <c r="B430" s="57"/>
      <c r="C430" s="50">
        <f t="shared" si="15"/>
        <v>0</v>
      </c>
      <c r="D430" s="57"/>
      <c r="E430" s="57"/>
      <c r="F430" s="57"/>
      <c r="G430" s="50" t="str">
        <f t="shared" si="16"/>
        <v/>
      </c>
      <c r="H430" s="50">
        <f>VLOOKUP($A430,'[1]ma sp 02'!$A$5:$BD$1101,H$1,0)</f>
        <v>0</v>
      </c>
      <c r="I430" s="50">
        <f>VLOOKUP($A430,'[1]ma sp 02'!$A$5:$BD$1101,I$1,0)</f>
        <v>0</v>
      </c>
      <c r="J430" s="50">
        <f>VLOOKUP($A430,'[1]ma sp 02'!$A$5:$BD$1101,J$1,0)</f>
        <v>0</v>
      </c>
      <c r="K430" s="50">
        <f>VLOOKUP($A430,'[1]ma sp 02'!$A$5:$BD$1101,K$1,0)</f>
        <v>0</v>
      </c>
      <c r="L430" s="50">
        <f>VLOOKUP($A430,'[1]ma sp 02'!$A$5:$BD$1101,L$1,0)</f>
        <v>0</v>
      </c>
      <c r="M430" s="50">
        <f>VLOOKUP($A430,'[1]ma sp 02'!$A$5:$BD$1101,M$1,0)</f>
        <v>0</v>
      </c>
      <c r="N430" s="50">
        <f>VLOOKUP($A430,'[1]ma sp 02'!$A$5:$BD$1101,N$1,0)</f>
        <v>0</v>
      </c>
      <c r="O430" s="50">
        <f>VLOOKUP($A430,'[1]ma sp 02'!$A$5:$BD$1101,O$1,0)</f>
        <v>0</v>
      </c>
      <c r="P430" s="50">
        <f>VLOOKUP($A430,'[1]ma sp 02'!$A$5:$BD$1101,P$1,0)</f>
        <v>0</v>
      </c>
      <c r="Q430" s="50">
        <f>VLOOKUP($A430,'[1]ma sp 02'!$A$5:$BD$1101,Q$1,0)</f>
        <v>0</v>
      </c>
      <c r="R430" s="50">
        <f>VLOOKUP($A430,'[1]ma sp 02'!$A$5:$BD$1101,R$1,0)</f>
        <v>0</v>
      </c>
      <c r="S430" s="50">
        <f>VLOOKUP($A430,'[1]ma sp 02'!$A$5:$BD$1101,S$1,0)</f>
        <v>0</v>
      </c>
      <c r="T430" s="50">
        <f>VLOOKUP($A430,'[1]ma sp 02'!$A$5:$BD$1101,T$1,0)</f>
        <v>0</v>
      </c>
      <c r="U430" s="50">
        <f>VLOOKUP($A430,'[1]ma sp 02'!$A$5:$BD$1101,U$1,0)</f>
        <v>0</v>
      </c>
      <c r="V430" s="50">
        <f>VLOOKUP($A430,'[1]ma sp 02'!$A$5:$BD$1101,V$1,0)</f>
        <v>0</v>
      </c>
      <c r="W430" s="50">
        <f>VLOOKUP($A430,'[1]ma sp 02'!$A$5:$BD$1101,W$1,0)</f>
        <v>0</v>
      </c>
      <c r="X430" s="50">
        <f t="shared" si="14"/>
        <v>0</v>
      </c>
      <c r="Y430" s="116"/>
      <c r="Z430" s="116"/>
      <c r="AA430" s="116"/>
      <c r="AB430" s="116"/>
      <c r="AC430" s="116"/>
      <c r="AD430" s="116"/>
      <c r="AE430" s="116"/>
      <c r="AF430" s="116"/>
      <c r="AG430" s="116"/>
      <c r="AH430" s="116"/>
      <c r="AI430" s="116"/>
      <c r="AJ430" s="116"/>
      <c r="AK430" s="116"/>
      <c r="AL430" s="116"/>
      <c r="AM430" s="117"/>
      <c r="AN430" s="116"/>
      <c r="AO430" s="117"/>
      <c r="AP430" s="59">
        <f>IFERROR(VLOOKUP($A430,[2]Mssp!$A$5:$BE$1463,AP$4+1,0),0)</f>
        <v>0</v>
      </c>
      <c r="AQ430" s="59">
        <f>IFERROR(VLOOKUP($A430,[2]Mssp!$A$5:$BE$1463,AQ$4+1,0),0)</f>
        <v>0</v>
      </c>
      <c r="AR430" s="59">
        <f>IFERROR(VLOOKUP($A430,[2]Mssp!$A$5:$BE$1463,AR$4+1,0),0)</f>
        <v>0</v>
      </c>
      <c r="AS430" s="59">
        <f>IFERROR(VLOOKUP($A430,[2]Mssp!$A$5:$BE$1463,AS$4+1,0),0)</f>
        <v>0</v>
      </c>
      <c r="AT430" s="59">
        <f>IFERROR(VLOOKUP($A430,[2]Mssp!$A$5:$BE$1463,AT$4+1,0),0)</f>
        <v>0</v>
      </c>
      <c r="AU430" s="59">
        <f>IFERROR(VLOOKUP($A430,[2]Mssp!$A$5:$BE$1463,AU$4+1,0),0)</f>
        <v>0</v>
      </c>
      <c r="AV430" s="59">
        <f>IFERROR(VLOOKUP($A430,[2]Mssp!$A$5:$BE$1463,AV$4+1,0),0)</f>
        <v>0</v>
      </c>
      <c r="AW430" s="59">
        <f>IFERROR(VLOOKUP($A430,[2]Mssp!$A$5:$BE$1463,AW$4+1,0),0)</f>
        <v>0</v>
      </c>
      <c r="AX430" s="59">
        <f>IFERROR(VLOOKUP($A430,[2]Mssp!$A$5:$BE$1463,AX$4+1,0),0)</f>
        <v>0</v>
      </c>
      <c r="AY430" s="59">
        <f>IFERROR(VLOOKUP($A430,[2]Mssp!$A$5:$BE$1463,AY$4+2,0),0)</f>
        <v>0</v>
      </c>
      <c r="AZ430" s="59">
        <f>IFERROR(VLOOKUP($A430,[2]Mssp!$A$5:$BE$1463,AZ$4+2,0),0)</f>
        <v>0</v>
      </c>
      <c r="BA430" s="60"/>
      <c r="BB430" s="61"/>
      <c r="BC430" s="62"/>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c r="CK430" s="9"/>
      <c r="CL430" s="9"/>
      <c r="CM430" s="9"/>
      <c r="CN430" s="9"/>
      <c r="CO430" s="9"/>
      <c r="CP430" s="9"/>
    </row>
    <row r="431" spans="1:94" x14ac:dyDescent="0.25">
      <c r="A431" s="50" t="s">
        <v>1424</v>
      </c>
      <c r="B431" s="57"/>
      <c r="C431" s="50">
        <f t="shared" si="15"/>
        <v>0</v>
      </c>
      <c r="D431" s="57"/>
      <c r="E431" s="57"/>
      <c r="F431" s="57"/>
      <c r="G431" s="50" t="str">
        <f t="shared" si="16"/>
        <v/>
      </c>
      <c r="H431" s="50">
        <f>VLOOKUP($A431,'[1]ma sp 02'!$A$5:$BD$1101,H$1,0)</f>
        <v>0</v>
      </c>
      <c r="I431" s="50">
        <f>VLOOKUP($A431,'[1]ma sp 02'!$A$5:$BD$1101,I$1,0)</f>
        <v>0</v>
      </c>
      <c r="J431" s="50">
        <f>VLOOKUP($A431,'[1]ma sp 02'!$A$5:$BD$1101,J$1,0)</f>
        <v>0</v>
      </c>
      <c r="K431" s="50">
        <f>VLOOKUP($A431,'[1]ma sp 02'!$A$5:$BD$1101,K$1,0)</f>
        <v>0</v>
      </c>
      <c r="L431" s="50">
        <f>VLOOKUP($A431,'[1]ma sp 02'!$A$5:$BD$1101,L$1,0)</f>
        <v>0</v>
      </c>
      <c r="M431" s="50">
        <f>VLOOKUP($A431,'[1]ma sp 02'!$A$5:$BD$1101,M$1,0)</f>
        <v>0</v>
      </c>
      <c r="N431" s="50">
        <f>VLOOKUP($A431,'[1]ma sp 02'!$A$5:$BD$1101,N$1,0)</f>
        <v>0</v>
      </c>
      <c r="O431" s="50">
        <f>VLOOKUP($A431,'[1]ma sp 02'!$A$5:$BD$1101,O$1,0)</f>
        <v>0</v>
      </c>
      <c r="P431" s="50">
        <f>VLOOKUP($A431,'[1]ma sp 02'!$A$5:$BD$1101,P$1,0)</f>
        <v>0</v>
      </c>
      <c r="Q431" s="50">
        <f>VLOOKUP($A431,'[1]ma sp 02'!$A$5:$BD$1101,Q$1,0)</f>
        <v>0</v>
      </c>
      <c r="R431" s="50">
        <f>VLOOKUP($A431,'[1]ma sp 02'!$A$5:$BD$1101,R$1,0)</f>
        <v>0</v>
      </c>
      <c r="S431" s="50">
        <f>VLOOKUP($A431,'[1]ma sp 02'!$A$5:$BD$1101,S$1,0)</f>
        <v>0</v>
      </c>
      <c r="T431" s="50">
        <f>VLOOKUP($A431,'[1]ma sp 02'!$A$5:$BD$1101,T$1,0)</f>
        <v>0</v>
      </c>
      <c r="U431" s="50">
        <f>VLOOKUP($A431,'[1]ma sp 02'!$A$5:$BD$1101,U$1,0)</f>
        <v>0</v>
      </c>
      <c r="V431" s="50">
        <f>VLOOKUP($A431,'[1]ma sp 02'!$A$5:$BD$1101,V$1,0)</f>
        <v>0</v>
      </c>
      <c r="W431" s="50">
        <f>VLOOKUP($A431,'[1]ma sp 02'!$A$5:$BD$1101,W$1,0)</f>
        <v>0</v>
      </c>
      <c r="X431" s="50">
        <f t="shared" si="14"/>
        <v>0</v>
      </c>
      <c r="Y431" s="116"/>
      <c r="Z431" s="116"/>
      <c r="AA431" s="116"/>
      <c r="AB431" s="116"/>
      <c r="AC431" s="116"/>
      <c r="AD431" s="116"/>
      <c r="AE431" s="116"/>
      <c r="AF431" s="116"/>
      <c r="AG431" s="116"/>
      <c r="AH431" s="116"/>
      <c r="AI431" s="116"/>
      <c r="AJ431" s="116"/>
      <c r="AK431" s="116"/>
      <c r="AL431" s="116"/>
      <c r="AM431" s="117"/>
      <c r="AN431" s="116"/>
      <c r="AO431" s="117"/>
      <c r="AP431" s="59">
        <f>IFERROR(VLOOKUP($A431,[2]Mssp!$A$5:$BE$1463,AP$4+1,0),0)</f>
        <v>0</v>
      </c>
      <c r="AQ431" s="59">
        <f>IFERROR(VLOOKUP($A431,[2]Mssp!$A$5:$BE$1463,AQ$4+1,0),0)</f>
        <v>0</v>
      </c>
      <c r="AR431" s="59">
        <f>IFERROR(VLOOKUP($A431,[2]Mssp!$A$5:$BE$1463,AR$4+1,0),0)</f>
        <v>0</v>
      </c>
      <c r="AS431" s="59">
        <f>IFERROR(VLOOKUP($A431,[2]Mssp!$A$5:$BE$1463,AS$4+1,0),0)</f>
        <v>0</v>
      </c>
      <c r="AT431" s="59">
        <f>IFERROR(VLOOKUP($A431,[2]Mssp!$A$5:$BE$1463,AT$4+1,0),0)</f>
        <v>0</v>
      </c>
      <c r="AU431" s="59">
        <f>IFERROR(VLOOKUP($A431,[2]Mssp!$A$5:$BE$1463,AU$4+1,0),0)</f>
        <v>0</v>
      </c>
      <c r="AV431" s="59">
        <f>IFERROR(VLOOKUP($A431,[2]Mssp!$A$5:$BE$1463,AV$4+1,0),0)</f>
        <v>0</v>
      </c>
      <c r="AW431" s="59">
        <f>IFERROR(VLOOKUP($A431,[2]Mssp!$A$5:$BE$1463,AW$4+1,0),0)</f>
        <v>0</v>
      </c>
      <c r="AX431" s="59">
        <f>IFERROR(VLOOKUP($A431,[2]Mssp!$A$5:$BE$1463,AX$4+1,0),0)</f>
        <v>0</v>
      </c>
      <c r="AY431" s="59">
        <f>IFERROR(VLOOKUP($A431,[2]Mssp!$A$5:$BE$1463,AY$4+2,0),0)</f>
        <v>0</v>
      </c>
      <c r="AZ431" s="59">
        <f>IFERROR(VLOOKUP($A431,[2]Mssp!$A$5:$BE$1463,AZ$4+2,0),0)</f>
        <v>0</v>
      </c>
      <c r="BA431" s="60"/>
      <c r="BB431" s="61"/>
      <c r="BC431" s="62"/>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9"/>
      <c r="CK431" s="9"/>
      <c r="CL431" s="9"/>
      <c r="CM431" s="9"/>
      <c r="CN431" s="9"/>
      <c r="CO431" s="9"/>
      <c r="CP431" s="9"/>
    </row>
    <row r="432" spans="1:94" x14ac:dyDescent="0.25">
      <c r="A432" s="50" t="s">
        <v>1425</v>
      </c>
      <c r="B432" s="116"/>
      <c r="C432" s="58">
        <f t="shared" si="15"/>
        <v>0</v>
      </c>
      <c r="D432" s="116"/>
      <c r="E432" s="116"/>
      <c r="F432" s="116"/>
      <c r="G432" s="58" t="str">
        <f t="shared" si="16"/>
        <v/>
      </c>
      <c r="H432" s="50">
        <f>VLOOKUP($A432,'[1]ma sp 02'!$A$5:$BD$1101,H$1,0)</f>
        <v>0</v>
      </c>
      <c r="I432" s="50">
        <f>VLOOKUP($A432,'[1]ma sp 02'!$A$5:$BD$1101,I$1,0)</f>
        <v>0</v>
      </c>
      <c r="J432" s="50">
        <f>VLOOKUP($A432,'[1]ma sp 02'!$A$5:$BD$1101,J$1,0)</f>
        <v>0</v>
      </c>
      <c r="K432" s="50">
        <f>VLOOKUP($A432,'[1]ma sp 02'!$A$5:$BD$1101,K$1,0)</f>
        <v>0</v>
      </c>
      <c r="L432" s="50">
        <f>VLOOKUP($A432,'[1]ma sp 02'!$A$5:$BD$1101,L$1,0)</f>
        <v>0</v>
      </c>
      <c r="M432" s="50">
        <f>VLOOKUP($A432,'[1]ma sp 02'!$A$5:$BD$1101,M$1,0)</f>
        <v>0</v>
      </c>
      <c r="N432" s="50">
        <f>VLOOKUP($A432,'[1]ma sp 02'!$A$5:$BD$1101,N$1,0)</f>
        <v>0</v>
      </c>
      <c r="O432" s="50">
        <f>VLOOKUP($A432,'[1]ma sp 02'!$A$5:$BD$1101,O$1,0)</f>
        <v>0</v>
      </c>
      <c r="P432" s="50">
        <f>VLOOKUP($A432,'[1]ma sp 02'!$A$5:$BD$1101,P$1,0)</f>
        <v>0</v>
      </c>
      <c r="Q432" s="50">
        <f>VLOOKUP($A432,'[1]ma sp 02'!$A$5:$BD$1101,Q$1,0)</f>
        <v>0</v>
      </c>
      <c r="R432" s="50">
        <f>VLOOKUP($A432,'[1]ma sp 02'!$A$5:$BD$1101,R$1,0)</f>
        <v>0</v>
      </c>
      <c r="S432" s="50">
        <f>VLOOKUP($A432,'[1]ma sp 02'!$A$5:$BD$1101,S$1,0)</f>
        <v>0</v>
      </c>
      <c r="T432" s="50">
        <f>VLOOKUP($A432,'[1]ma sp 02'!$A$5:$BD$1101,T$1,0)</f>
        <v>0</v>
      </c>
      <c r="U432" s="50">
        <f>VLOOKUP($A432,'[1]ma sp 02'!$A$5:$BD$1101,U$1,0)</f>
        <v>0</v>
      </c>
      <c r="V432" s="50">
        <f>VLOOKUP($A432,'[1]ma sp 02'!$A$5:$BD$1101,V$1,0)</f>
        <v>0</v>
      </c>
      <c r="W432" s="50">
        <f>VLOOKUP($A432,'[1]ma sp 02'!$A$5:$BD$1101,W$1,0)</f>
        <v>0</v>
      </c>
      <c r="X432" s="50">
        <f t="shared" si="14"/>
        <v>0</v>
      </c>
      <c r="Y432" s="116"/>
      <c r="Z432" s="116"/>
      <c r="AA432" s="116"/>
      <c r="AB432" s="116"/>
      <c r="AC432" s="116"/>
      <c r="AD432" s="116"/>
      <c r="AE432" s="116"/>
      <c r="AF432" s="116"/>
      <c r="AG432" s="116"/>
      <c r="AH432" s="116"/>
      <c r="AI432" s="116"/>
      <c r="AJ432" s="116"/>
      <c r="AK432" s="116"/>
      <c r="AL432" s="116"/>
      <c r="AM432" s="117"/>
      <c r="AN432" s="116"/>
      <c r="AO432" s="117"/>
      <c r="AP432" s="59">
        <f>IFERROR(VLOOKUP($A432,[2]Mssp!$A$5:$BE$1463,AP$4+1,0),0)</f>
        <v>0</v>
      </c>
      <c r="AQ432" s="59">
        <f>IFERROR(VLOOKUP($A432,[2]Mssp!$A$5:$BE$1463,AQ$4+1,0),0)</f>
        <v>0</v>
      </c>
      <c r="AR432" s="59">
        <f>IFERROR(VLOOKUP($A432,[2]Mssp!$A$5:$BE$1463,AR$4+1,0),0)</f>
        <v>0</v>
      </c>
      <c r="AS432" s="59">
        <f>IFERROR(VLOOKUP($A432,[2]Mssp!$A$5:$BE$1463,AS$4+1,0),0)</f>
        <v>0</v>
      </c>
      <c r="AT432" s="59">
        <f>IFERROR(VLOOKUP($A432,[2]Mssp!$A$5:$BE$1463,AT$4+1,0),0)</f>
        <v>0</v>
      </c>
      <c r="AU432" s="59">
        <f>IFERROR(VLOOKUP($A432,[2]Mssp!$A$5:$BE$1463,AU$4+1,0),0)</f>
        <v>0</v>
      </c>
      <c r="AV432" s="59">
        <f>IFERROR(VLOOKUP($A432,[2]Mssp!$A$5:$BE$1463,AV$4+1,0),0)</f>
        <v>0</v>
      </c>
      <c r="AW432" s="59">
        <f>IFERROR(VLOOKUP($A432,[2]Mssp!$A$5:$BE$1463,AW$4+1,0),0)</f>
        <v>0</v>
      </c>
      <c r="AX432" s="59">
        <f>IFERROR(VLOOKUP($A432,[2]Mssp!$A$5:$BE$1463,AX$4+1,0),0)</f>
        <v>0</v>
      </c>
      <c r="AY432" s="59">
        <f>IFERROR(VLOOKUP($A432,[2]Mssp!$A$5:$BE$1463,AY$4+2,0),0)</f>
        <v>0</v>
      </c>
      <c r="AZ432" s="59">
        <f>IFERROR(VLOOKUP($A432,[2]Mssp!$A$5:$BE$1463,AZ$4+2,0),0)</f>
        <v>0</v>
      </c>
      <c r="BA432" s="119"/>
      <c r="BB432" s="61"/>
      <c r="BC432" s="60">
        <v>0</v>
      </c>
      <c r="BD432" s="120"/>
      <c r="BE432" s="120"/>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9"/>
      <c r="CK432" s="9"/>
      <c r="CL432" s="9"/>
      <c r="CM432" s="9"/>
      <c r="CN432" s="9"/>
      <c r="CO432" s="9"/>
      <c r="CP432" s="9"/>
    </row>
    <row r="433" spans="1:94" ht="45" x14ac:dyDescent="0.25">
      <c r="A433" s="50" t="s">
        <v>1426</v>
      </c>
      <c r="B433" s="57" t="s">
        <v>1427</v>
      </c>
      <c r="C433" s="57"/>
      <c r="D433" s="57">
        <v>2</v>
      </c>
      <c r="E433" s="57"/>
      <c r="F433" s="57">
        <v>0</v>
      </c>
      <c r="G433" s="50" t="str">
        <f t="shared" si="16"/>
        <v/>
      </c>
      <c r="H433" s="50">
        <f>VLOOKUP($A433,'[1]ma sp 02'!$A$5:$BD$1101,H$1,0)</f>
        <v>0</v>
      </c>
      <c r="I433" s="50">
        <f>VLOOKUP($A433,'[1]ma sp 02'!$A$5:$BD$1101,I$1,0)</f>
        <v>0</v>
      </c>
      <c r="J433" s="50">
        <f>VLOOKUP($A433,'[1]ma sp 02'!$A$5:$BD$1101,J$1,0)</f>
        <v>0</v>
      </c>
      <c r="K433" s="50">
        <f>VLOOKUP($A433,'[1]ma sp 02'!$A$5:$BD$1101,K$1,0)</f>
        <v>0</v>
      </c>
      <c r="L433" s="50">
        <f>VLOOKUP($A433,'[1]ma sp 02'!$A$5:$BD$1101,L$1,0)</f>
        <v>0</v>
      </c>
      <c r="M433" s="50">
        <f>VLOOKUP($A433,'[1]ma sp 02'!$A$5:$BD$1101,M$1,0)</f>
        <v>0</v>
      </c>
      <c r="N433" s="50">
        <f>VLOOKUP($A433,'[1]ma sp 02'!$A$5:$BD$1101,N$1,0)</f>
        <v>0</v>
      </c>
      <c r="O433" s="50">
        <f>VLOOKUP($A433,'[1]ma sp 02'!$A$5:$BD$1101,O$1,0)</f>
        <v>0</v>
      </c>
      <c r="P433" s="50">
        <f>VLOOKUP($A433,'[1]ma sp 02'!$A$5:$BD$1101,P$1,0)</f>
        <v>0</v>
      </c>
      <c r="Q433" s="50">
        <f>VLOOKUP($A433,'[1]ma sp 02'!$A$5:$BD$1101,Q$1,0)</f>
        <v>0</v>
      </c>
      <c r="R433" s="50">
        <f>VLOOKUP($A433,'[1]ma sp 02'!$A$5:$BD$1101,R$1,0)</f>
        <v>0</v>
      </c>
      <c r="S433" s="50">
        <f>VLOOKUP($A433,'[1]ma sp 02'!$A$5:$BD$1101,S$1,0)</f>
        <v>0</v>
      </c>
      <c r="T433" s="50">
        <f>VLOOKUP($A433,'[1]ma sp 02'!$A$5:$BD$1101,T$1,0)</f>
        <v>0</v>
      </c>
      <c r="U433" s="50">
        <f>VLOOKUP($A433,'[1]ma sp 02'!$A$5:$BD$1101,U$1,0)</f>
        <v>0</v>
      </c>
      <c r="V433" s="50">
        <f>VLOOKUP($A433,'[1]ma sp 02'!$A$5:$BD$1101,V$1,0)</f>
        <v>0</v>
      </c>
      <c r="W433" s="50">
        <f>VLOOKUP($A433,'[1]ma sp 02'!$A$5:$BD$1101,W$1,0)</f>
        <v>0</v>
      </c>
      <c r="X433" s="50">
        <f t="shared" si="14"/>
        <v>0</v>
      </c>
      <c r="Y433" s="62"/>
      <c r="Z433" s="62"/>
      <c r="AA433" s="62"/>
      <c r="AB433" s="62"/>
      <c r="AC433" s="62"/>
      <c r="AD433" s="62"/>
      <c r="AE433" s="57" t="s">
        <v>1428</v>
      </c>
      <c r="AF433" s="62" t="s">
        <v>1429</v>
      </c>
      <c r="AG433" s="118">
        <f>(0.03*0.91+0.025*0.91)*0.76</f>
        <v>3.8038000000000002E-2</v>
      </c>
      <c r="AH433" s="54">
        <f>(2/0.75/2)*0.75</f>
        <v>1</v>
      </c>
      <c r="AI433" s="62"/>
      <c r="AJ433" s="62">
        <v>9530</v>
      </c>
      <c r="AK433" s="62"/>
      <c r="AL433" s="62">
        <v>2E-3</v>
      </c>
      <c r="AM433" s="52" t="s">
        <v>60</v>
      </c>
      <c r="AN433" s="62">
        <v>200</v>
      </c>
      <c r="AO433" s="61" t="s">
        <v>1351</v>
      </c>
      <c r="AP433" s="59">
        <f>IFERROR(VLOOKUP($A433,[2]Mssp!$A$5:$BE$1463,AP$4+1,0),0)</f>
        <v>0</v>
      </c>
      <c r="AQ433" s="59">
        <f>IFERROR(VLOOKUP($A433,[2]Mssp!$A$5:$BE$1463,AQ$4+1,0),0)</f>
        <v>0</v>
      </c>
      <c r="AR433" s="59">
        <f>IFERROR(VLOOKUP($A433,[2]Mssp!$A$5:$BE$1463,AR$4+1,0),0)</f>
        <v>0</v>
      </c>
      <c r="AS433" s="59">
        <f>IFERROR(VLOOKUP($A433,[2]Mssp!$A$5:$BE$1463,AS$4+1,0),0)</f>
        <v>0</v>
      </c>
      <c r="AT433" s="59">
        <f>IFERROR(VLOOKUP($A433,[2]Mssp!$A$5:$BE$1463,AT$4+1,0),0)</f>
        <v>0</v>
      </c>
      <c r="AU433" s="59">
        <f>IFERROR(VLOOKUP($A433,[2]Mssp!$A$5:$BE$1463,AU$4+1,0),0)</f>
        <v>0</v>
      </c>
      <c r="AV433" s="59">
        <f>IFERROR(VLOOKUP($A433,[2]Mssp!$A$5:$BE$1463,AV$4+1,0),0)</f>
        <v>0</v>
      </c>
      <c r="AW433" s="59">
        <f>IFERROR(VLOOKUP($A433,[2]Mssp!$A$5:$BE$1463,AW$4+1,0),0)</f>
        <v>0</v>
      </c>
      <c r="AX433" s="59">
        <f>IFERROR(VLOOKUP($A433,[2]Mssp!$A$5:$BE$1463,AX$4+1,0),0)</f>
        <v>0</v>
      </c>
      <c r="AY433" s="59">
        <f>IFERROR(VLOOKUP($A433,[2]Mssp!$A$5:$BE$1463,AY$4+2,0),0)</f>
        <v>0</v>
      </c>
      <c r="AZ433" s="59">
        <f>IFERROR(VLOOKUP($A433,[2]Mssp!$A$5:$BE$1463,AZ$4+2,0),0)</f>
        <v>0</v>
      </c>
      <c r="BA433" s="60"/>
      <c r="BB433" s="61" t="s">
        <v>62</v>
      </c>
      <c r="BC433" s="60" t="e">
        <v>#N/A</v>
      </c>
      <c r="BD433" s="120"/>
      <c r="BE433" s="120"/>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9"/>
      <c r="CK433" s="9"/>
      <c r="CL433" s="9"/>
      <c r="CM433" s="9"/>
      <c r="CN433" s="9"/>
      <c r="CO433" s="9"/>
      <c r="CP433" s="9"/>
    </row>
    <row r="434" spans="1:94" ht="45" x14ac:dyDescent="0.25">
      <c r="A434" s="50" t="s">
        <v>1430</v>
      </c>
      <c r="B434" s="97" t="s">
        <v>1431</v>
      </c>
      <c r="C434" s="57"/>
      <c r="D434" s="57">
        <v>0</v>
      </c>
      <c r="E434" s="57"/>
      <c r="F434" s="57">
        <v>0</v>
      </c>
      <c r="G434" s="50" t="s">
        <v>110</v>
      </c>
      <c r="H434" s="50">
        <f>VLOOKUP($A434,'[1]ma sp 02'!$A$5:$BD$1101,H$1,0)</f>
        <v>0</v>
      </c>
      <c r="I434" s="50">
        <f>VLOOKUP($A434,'[1]ma sp 02'!$A$5:$BD$1101,I$1,0)</f>
        <v>0</v>
      </c>
      <c r="J434" s="50">
        <f>VLOOKUP($A434,'[1]ma sp 02'!$A$5:$BD$1101,J$1,0)</f>
        <v>0</v>
      </c>
      <c r="K434" s="50">
        <f>VLOOKUP($A434,'[1]ma sp 02'!$A$5:$BD$1101,K$1,0)</f>
        <v>0</v>
      </c>
      <c r="L434" s="50">
        <f>VLOOKUP($A434,'[1]ma sp 02'!$A$5:$BD$1101,L$1,0)</f>
        <v>0</v>
      </c>
      <c r="M434" s="50">
        <f>VLOOKUP($A434,'[1]ma sp 02'!$A$5:$BD$1101,M$1,0)</f>
        <v>0</v>
      </c>
      <c r="N434" s="50">
        <f>VLOOKUP($A434,'[1]ma sp 02'!$A$5:$BD$1101,N$1,0)</f>
        <v>0</v>
      </c>
      <c r="O434" s="50">
        <f>VLOOKUP($A434,'[1]ma sp 02'!$A$5:$BD$1101,O$1,0)</f>
        <v>0</v>
      </c>
      <c r="P434" s="50">
        <f>VLOOKUP($A434,'[1]ma sp 02'!$A$5:$BD$1101,P$1,0)</f>
        <v>0</v>
      </c>
      <c r="Q434" s="50">
        <f>VLOOKUP($A434,'[1]ma sp 02'!$A$5:$BD$1101,Q$1,0)</f>
        <v>0</v>
      </c>
      <c r="R434" s="50">
        <f>VLOOKUP($A434,'[1]ma sp 02'!$A$5:$BD$1101,R$1,0)</f>
        <v>0</v>
      </c>
      <c r="S434" s="50">
        <f>VLOOKUP($A434,'[1]ma sp 02'!$A$5:$BD$1101,S$1,0)</f>
        <v>0</v>
      </c>
      <c r="T434" s="50">
        <f>VLOOKUP($A434,'[1]ma sp 02'!$A$5:$BD$1101,T$1,0)</f>
        <v>0</v>
      </c>
      <c r="U434" s="50">
        <f>VLOOKUP($A434,'[1]ma sp 02'!$A$5:$BD$1101,U$1,0)</f>
        <v>0</v>
      </c>
      <c r="V434" s="50">
        <f>VLOOKUP($A434,'[1]ma sp 02'!$A$5:$BD$1101,V$1,0)</f>
        <v>0</v>
      </c>
      <c r="W434" s="50">
        <f>VLOOKUP($A434,'[1]ma sp 02'!$A$5:$BD$1101,W$1,0)</f>
        <v>0</v>
      </c>
      <c r="X434" s="50">
        <f t="shared" si="14"/>
        <v>0</v>
      </c>
      <c r="Y434" s="62"/>
      <c r="Z434" s="62"/>
      <c r="AA434" s="62"/>
      <c r="AB434" s="62"/>
      <c r="AC434" s="62"/>
      <c r="AD434" s="62"/>
      <c r="AE434" s="62" t="s">
        <v>1432</v>
      </c>
      <c r="AF434" s="62" t="s">
        <v>1433</v>
      </c>
      <c r="AG434" s="118">
        <f>(0.012*1.4+0.06*0.925)*0.91</f>
        <v>6.5793000000000004E-2</v>
      </c>
      <c r="AH434" s="54">
        <f>(2.3/0.75/2)*0.9</f>
        <v>1.38</v>
      </c>
      <c r="AI434" s="62"/>
      <c r="AJ434" s="62">
        <v>9530</v>
      </c>
      <c r="AK434" s="62"/>
      <c r="AL434" s="62">
        <v>2.3E-3</v>
      </c>
      <c r="AM434" s="61" t="s">
        <v>958</v>
      </c>
      <c r="AN434" s="62">
        <v>910</v>
      </c>
      <c r="AO434" s="61" t="s">
        <v>962</v>
      </c>
      <c r="AP434" s="59">
        <f>IFERROR(VLOOKUP($A434,[2]Mssp!$A$5:$BE$1463,AP$4+1,0),0)</f>
        <v>0</v>
      </c>
      <c r="AQ434" s="59">
        <f>IFERROR(VLOOKUP($A434,[2]Mssp!$A$5:$BE$1463,AQ$4+1,0),0)</f>
        <v>0</v>
      </c>
      <c r="AR434" s="59">
        <f>IFERROR(VLOOKUP($A434,[2]Mssp!$A$5:$BE$1463,AR$4+1,0),0)</f>
        <v>0</v>
      </c>
      <c r="AS434" s="59">
        <f>IFERROR(VLOOKUP($A434,[2]Mssp!$A$5:$BE$1463,AS$4+1,0),0)</f>
        <v>0</v>
      </c>
      <c r="AT434" s="59">
        <f>IFERROR(VLOOKUP($A434,[2]Mssp!$A$5:$BE$1463,AT$4+1,0),0)</f>
        <v>0</v>
      </c>
      <c r="AU434" s="59">
        <f>IFERROR(VLOOKUP($A434,[2]Mssp!$A$5:$BE$1463,AU$4+1,0),0)</f>
        <v>0</v>
      </c>
      <c r="AV434" s="59">
        <f>IFERROR(VLOOKUP($A434,[2]Mssp!$A$5:$BE$1463,AV$4+1,0),0)</f>
        <v>0</v>
      </c>
      <c r="AW434" s="59">
        <f>IFERROR(VLOOKUP($A434,[2]Mssp!$A$5:$BE$1463,AW$4+1,0),0)</f>
        <v>0</v>
      </c>
      <c r="AX434" s="59">
        <f>IFERROR(VLOOKUP($A434,[2]Mssp!$A$5:$BE$1463,AX$4+1,0),0)</f>
        <v>0</v>
      </c>
      <c r="AY434" s="59">
        <f>IFERROR(VLOOKUP($A434,[2]Mssp!$A$5:$BE$1463,AY$4+2,0),0)</f>
        <v>0</v>
      </c>
      <c r="AZ434" s="59">
        <f>IFERROR(VLOOKUP($A434,[2]Mssp!$A$5:$BE$1463,AZ$4+2,0),0)</f>
        <v>0</v>
      </c>
      <c r="BA434" s="60"/>
      <c r="BB434" s="61" t="s">
        <v>952</v>
      </c>
      <c r="BC434" s="62"/>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9"/>
      <c r="CK434" s="9"/>
      <c r="CL434" s="9"/>
      <c r="CM434" s="9"/>
      <c r="CN434" s="9"/>
      <c r="CO434" s="9"/>
      <c r="CP434" s="9"/>
    </row>
    <row r="435" spans="1:94" ht="30" x14ac:dyDescent="0.25">
      <c r="A435" s="50" t="s">
        <v>1434</v>
      </c>
      <c r="B435" s="57" t="s">
        <v>1435</v>
      </c>
      <c r="C435" s="50">
        <f>SUM(H435:W435)</f>
        <v>0</v>
      </c>
      <c r="D435" s="57"/>
      <c r="E435" s="57"/>
      <c r="F435" s="57"/>
      <c r="G435" s="50" t="s">
        <v>110</v>
      </c>
      <c r="H435" s="50">
        <f>VLOOKUP($A435,'[1]ma sp 02'!$A$5:$BD$1101,H$1,0)</f>
        <v>0</v>
      </c>
      <c r="I435" s="50">
        <f>VLOOKUP($A435,'[1]ma sp 02'!$A$5:$BD$1101,I$1,0)</f>
        <v>0</v>
      </c>
      <c r="J435" s="50">
        <f>VLOOKUP($A435,'[1]ma sp 02'!$A$5:$BD$1101,J$1,0)</f>
        <v>0</v>
      </c>
      <c r="K435" s="50">
        <f>VLOOKUP($A435,'[1]ma sp 02'!$A$5:$BD$1101,K$1,0)</f>
        <v>0</v>
      </c>
      <c r="L435" s="50">
        <f>VLOOKUP($A435,'[1]ma sp 02'!$A$5:$BD$1101,L$1,0)</f>
        <v>0</v>
      </c>
      <c r="M435" s="50">
        <f>VLOOKUP($A435,'[1]ma sp 02'!$A$5:$BD$1101,M$1,0)</f>
        <v>0</v>
      </c>
      <c r="N435" s="50">
        <f>VLOOKUP($A435,'[1]ma sp 02'!$A$5:$BD$1101,N$1,0)</f>
        <v>0</v>
      </c>
      <c r="O435" s="50">
        <f>VLOOKUP($A435,'[1]ma sp 02'!$A$5:$BD$1101,O$1,0)</f>
        <v>0</v>
      </c>
      <c r="P435" s="50">
        <f>VLOOKUP($A435,'[1]ma sp 02'!$A$5:$BD$1101,P$1,0)</f>
        <v>0</v>
      </c>
      <c r="Q435" s="50">
        <f>VLOOKUP($A435,'[1]ma sp 02'!$A$5:$BD$1101,Q$1,0)</f>
        <v>0</v>
      </c>
      <c r="R435" s="50">
        <f>VLOOKUP($A435,'[1]ma sp 02'!$A$5:$BD$1101,R$1,0)</f>
        <v>0</v>
      </c>
      <c r="S435" s="50">
        <f>VLOOKUP($A435,'[1]ma sp 02'!$A$5:$BD$1101,S$1,0)</f>
        <v>0</v>
      </c>
      <c r="T435" s="50">
        <f>VLOOKUP($A435,'[1]ma sp 02'!$A$5:$BD$1101,T$1,0)</f>
        <v>0</v>
      </c>
      <c r="U435" s="50">
        <f>VLOOKUP($A435,'[1]ma sp 02'!$A$5:$BD$1101,U$1,0)</f>
        <v>0</v>
      </c>
      <c r="V435" s="50">
        <f>VLOOKUP($A435,'[1]ma sp 02'!$A$5:$BD$1101,V$1,0)</f>
        <v>0</v>
      </c>
      <c r="W435" s="50">
        <f>VLOOKUP($A435,'[1]ma sp 02'!$A$5:$BD$1101,W$1,0)</f>
        <v>0</v>
      </c>
      <c r="X435" s="50">
        <f t="shared" si="14"/>
        <v>0</v>
      </c>
      <c r="Y435" s="62"/>
      <c r="Z435" s="62"/>
      <c r="AA435" s="62"/>
      <c r="AB435" s="62"/>
      <c r="AC435" s="62"/>
      <c r="AD435" s="62"/>
      <c r="AE435" s="62" t="s">
        <v>1436</v>
      </c>
      <c r="AF435" s="62" t="s">
        <v>1437</v>
      </c>
      <c r="AG435" s="118">
        <f>(0.012*1.4+0.075*0.925)*0.91</f>
        <v>7.841925000000001E-2</v>
      </c>
      <c r="AH435" s="54">
        <f>(2.3/0.75/2)*0.71</f>
        <v>1.0886666666666664</v>
      </c>
      <c r="AI435" s="62"/>
      <c r="AJ435" s="62">
        <v>9530</v>
      </c>
      <c r="AK435" s="62"/>
      <c r="AL435" s="62">
        <v>2.3E-3</v>
      </c>
      <c r="AM435" s="117" t="s">
        <v>74</v>
      </c>
      <c r="AN435" s="62">
        <v>220</v>
      </c>
      <c r="AO435" s="61" t="s">
        <v>1438</v>
      </c>
      <c r="AP435" s="59">
        <f>IFERROR(VLOOKUP($A435,[2]Mssp!$A$5:$BE$1463,AP$4+1,0),0)</f>
        <v>0</v>
      </c>
      <c r="AQ435" s="59">
        <f>IFERROR(VLOOKUP($A435,[2]Mssp!$A$5:$BE$1463,AQ$4+1,0),0)</f>
        <v>0</v>
      </c>
      <c r="AR435" s="59">
        <f>IFERROR(VLOOKUP($A435,[2]Mssp!$A$5:$BE$1463,AR$4+1,0),0)</f>
        <v>0</v>
      </c>
      <c r="AS435" s="59">
        <f>IFERROR(VLOOKUP($A435,[2]Mssp!$A$5:$BE$1463,AS$4+1,0),0)</f>
        <v>0</v>
      </c>
      <c r="AT435" s="59">
        <f>IFERROR(VLOOKUP($A435,[2]Mssp!$A$5:$BE$1463,AT$4+1,0),0)</f>
        <v>0</v>
      </c>
      <c r="AU435" s="59">
        <f>IFERROR(VLOOKUP($A435,[2]Mssp!$A$5:$BE$1463,AU$4+1,0),0)</f>
        <v>0</v>
      </c>
      <c r="AV435" s="59">
        <f>IFERROR(VLOOKUP($A435,[2]Mssp!$A$5:$BE$1463,AV$4+1,0),0)</f>
        <v>0</v>
      </c>
      <c r="AW435" s="59">
        <f>IFERROR(VLOOKUP($A435,[2]Mssp!$A$5:$BE$1463,AW$4+1,0),0)</f>
        <v>0</v>
      </c>
      <c r="AX435" s="59">
        <f>IFERROR(VLOOKUP($A435,[2]Mssp!$A$5:$BE$1463,AX$4+1,0),0)</f>
        <v>0</v>
      </c>
      <c r="AY435" s="59">
        <f>IFERROR(VLOOKUP($A435,[2]Mssp!$A$5:$BE$1463,AY$4+2,0),0)</f>
        <v>0</v>
      </c>
      <c r="AZ435" s="59">
        <f>IFERROR(VLOOKUP($A435,[2]Mssp!$A$5:$BE$1463,AZ$4+2,0),0)</f>
        <v>0</v>
      </c>
      <c r="BA435" s="60"/>
      <c r="BB435" s="61"/>
      <c r="BC435" s="62"/>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9"/>
      <c r="CK435" s="9"/>
      <c r="CL435" s="9"/>
      <c r="CM435" s="9"/>
      <c r="CN435" s="9"/>
      <c r="CO435" s="9"/>
      <c r="CP435" s="9"/>
    </row>
    <row r="436" spans="1:94" ht="30" x14ac:dyDescent="0.25">
      <c r="A436" s="50" t="s">
        <v>1439</v>
      </c>
      <c r="B436" s="57" t="s">
        <v>1440</v>
      </c>
      <c r="C436" s="50">
        <f>SUM(H436:W436)</f>
        <v>6.0299999999999994</v>
      </c>
      <c r="D436" s="57"/>
      <c r="E436" s="57" t="s">
        <v>163</v>
      </c>
      <c r="F436" s="57">
        <v>7</v>
      </c>
      <c r="G436" s="50" t="s">
        <v>184</v>
      </c>
      <c r="H436" s="50">
        <f>VLOOKUP($A436,'[1]ma sp 02'!$A$5:$BD$1101,H$1,0)</f>
        <v>0.01</v>
      </c>
      <c r="I436" s="50">
        <f>VLOOKUP($A436,'[1]ma sp 02'!$A$5:$BD$1101,I$1,0)</f>
        <v>2.2999999999999998</v>
      </c>
      <c r="J436" s="50">
        <f>VLOOKUP($A436,'[1]ma sp 02'!$A$5:$BD$1101,J$1,0)</f>
        <v>0.01</v>
      </c>
      <c r="K436" s="50">
        <f>VLOOKUP($A436,'[1]ma sp 02'!$A$5:$BD$1101,K$1,0)</f>
        <v>1</v>
      </c>
      <c r="L436" s="50">
        <f>VLOOKUP($A436,'[1]ma sp 02'!$A$5:$BD$1101,L$1,0)</f>
        <v>0.7</v>
      </c>
      <c r="M436" s="50">
        <f>VLOOKUP($A436,'[1]ma sp 02'!$A$5:$BD$1101,M$1,0)</f>
        <v>1.1000000000000001</v>
      </c>
      <c r="N436" s="50">
        <f>VLOOKUP($A436,'[1]ma sp 02'!$A$5:$BD$1101,N$1,0)</f>
        <v>0</v>
      </c>
      <c r="O436" s="50">
        <f>VLOOKUP($A436,'[1]ma sp 02'!$A$5:$BD$1101,O$1,0)</f>
        <v>0</v>
      </c>
      <c r="P436" s="50">
        <f>VLOOKUP($A436,'[1]ma sp 02'!$A$5:$BD$1101,P$1,0)</f>
        <v>0.9</v>
      </c>
      <c r="Q436" s="50">
        <f>VLOOKUP($A436,'[1]ma sp 02'!$A$5:$BD$1101,Q$1,0)</f>
        <v>0</v>
      </c>
      <c r="R436" s="50">
        <f>VLOOKUP($A436,'[1]ma sp 02'!$A$5:$BD$1101,R$1,0)</f>
        <v>0</v>
      </c>
      <c r="S436" s="50">
        <f>VLOOKUP($A436,'[1]ma sp 02'!$A$5:$BD$1101,S$1,0)</f>
        <v>0</v>
      </c>
      <c r="T436" s="50">
        <f>VLOOKUP($A436,'[1]ma sp 02'!$A$5:$BD$1101,T$1,0)</f>
        <v>0.01</v>
      </c>
      <c r="U436" s="50">
        <f>VLOOKUP($A436,'[1]ma sp 02'!$A$5:$BD$1101,U$1,0)</f>
        <v>0</v>
      </c>
      <c r="V436" s="50">
        <f>VLOOKUP($A436,'[1]ma sp 02'!$A$5:$BD$1101,V$1,0)</f>
        <v>0</v>
      </c>
      <c r="W436" s="50">
        <f>VLOOKUP($A436,'[1]ma sp 02'!$A$5:$BD$1101,W$1,0)</f>
        <v>0</v>
      </c>
      <c r="X436" s="50">
        <f t="shared" si="14"/>
        <v>8</v>
      </c>
      <c r="Y436" s="62"/>
      <c r="Z436" s="62"/>
      <c r="AA436" s="62"/>
      <c r="AB436" s="62"/>
      <c r="AC436" s="62"/>
      <c r="AD436" s="62"/>
      <c r="AE436" s="62" t="s">
        <v>1441</v>
      </c>
      <c r="AF436" s="62"/>
      <c r="AG436" s="62">
        <f>(0.02*0.91+0.055*0.925)*0.64</f>
        <v>4.4207999999999997E-2</v>
      </c>
      <c r="AH436" s="54">
        <f>(2.3/0.75/2)*0.63</f>
        <v>0.96599999999999997</v>
      </c>
      <c r="AI436" s="62"/>
      <c r="AJ436" s="62">
        <v>9530</v>
      </c>
      <c r="AK436" s="62"/>
      <c r="AL436" s="62">
        <v>2E-3</v>
      </c>
      <c r="AM436" s="61" t="s">
        <v>951</v>
      </c>
      <c r="AN436" s="62">
        <v>500</v>
      </c>
      <c r="AO436" s="61" t="s">
        <v>180</v>
      </c>
      <c r="AP436" s="59" t="str">
        <f>IFERROR(VLOOKUP($A436,[2]Mssp!$A$5:$BE$1463,AP$4+1,0),0)</f>
        <v>1808254-1</v>
      </c>
      <c r="AQ436" s="59" t="str">
        <f>IFERROR(VLOOKUP($A436,[2]Mssp!$A$5:$BE$1463,AQ$4+1,0),0)</f>
        <v>1808254-2</v>
      </c>
      <c r="AR436" s="59" t="str">
        <f>IFERROR(VLOOKUP($A436,[2]Mssp!$A$5:$BE$1463,AR$4+1,0),0)</f>
        <v>1808254-3</v>
      </c>
      <c r="AS436" s="59" t="str">
        <f>IFERROR(VLOOKUP($A436,[2]Mssp!$A$5:$BE$1463,AS$4+1,0),0)</f>
        <v>1808254-4</v>
      </c>
      <c r="AT436" s="59" t="str">
        <f>IFERROR(VLOOKUP($A436,[2]Mssp!$A$5:$BE$1463,AT$4+1,0),0)</f>
        <v>1808254-5</v>
      </c>
      <c r="AU436" s="59" t="str">
        <f>IFERROR(VLOOKUP($A436,[2]Mssp!$A$5:$BE$1463,AU$4+1,0),0)</f>
        <v>1808254-6</v>
      </c>
      <c r="AV436" s="59" t="str">
        <f>IFERROR(VLOOKUP($A436,[2]Mssp!$A$5:$BE$1463,AV$4+1,0),0)</f>
        <v>1808254-7</v>
      </c>
      <c r="AW436" s="59">
        <f>IFERROR(VLOOKUP($A436,[2]Mssp!$A$5:$BE$1463,AW$4+1,0),0)</f>
        <v>0</v>
      </c>
      <c r="AX436" s="59">
        <f>IFERROR(VLOOKUP($A436,[2]Mssp!$A$5:$BE$1463,AX$4+1,0),0)</f>
        <v>0</v>
      </c>
      <c r="AY436" s="59" t="str">
        <f>IFERROR(VLOOKUP($A436,[2]Mssp!$A$5:$BE$1463,AY$4+2,0),0)</f>
        <v>525x750</v>
      </c>
      <c r="AZ436" s="59" t="str">
        <f>IFERROR(VLOOKUP($A436,[2]Mssp!$A$5:$BE$1463,AZ$4+2,0),0)</f>
        <v>V2</v>
      </c>
      <c r="BA436" s="60" t="s">
        <v>106</v>
      </c>
      <c r="BB436" s="103" t="s">
        <v>952</v>
      </c>
      <c r="BC436" s="62"/>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9"/>
      <c r="CK436" s="9"/>
      <c r="CL436" s="9"/>
      <c r="CM436" s="9"/>
      <c r="CN436" s="9"/>
      <c r="CO436" s="9"/>
      <c r="CP436" s="9"/>
    </row>
    <row r="437" spans="1:94" ht="45" x14ac:dyDescent="0.25">
      <c r="A437" s="50" t="s">
        <v>1442</v>
      </c>
      <c r="B437" s="121" t="s">
        <v>1443</v>
      </c>
      <c r="C437" s="50">
        <f>SUM(H437:W437)</f>
        <v>7.4999999999999991</v>
      </c>
      <c r="D437" s="57"/>
      <c r="E437" s="57" t="s">
        <v>1444</v>
      </c>
      <c r="F437" s="57">
        <v>8</v>
      </c>
      <c r="G437" s="50" t="s">
        <v>184</v>
      </c>
      <c r="H437" s="50">
        <f>VLOOKUP($A437,'[1]ma sp 02'!$A$5:$BD$1101,H$1,0)</f>
        <v>0.28999999999999998</v>
      </c>
      <c r="I437" s="50">
        <f>VLOOKUP($A437,'[1]ma sp 02'!$A$5:$BD$1101,I$1,0)</f>
        <v>2.09</v>
      </c>
      <c r="J437" s="50">
        <f>VLOOKUP($A437,'[1]ma sp 02'!$A$5:$BD$1101,J$1,0)</f>
        <v>0.06</v>
      </c>
      <c r="K437" s="50">
        <f>VLOOKUP($A437,'[1]ma sp 02'!$A$5:$BD$1101,K$1,0)</f>
        <v>0.81</v>
      </c>
      <c r="L437" s="50">
        <f>VLOOKUP($A437,'[1]ma sp 02'!$A$5:$BD$1101,L$1,0)</f>
        <v>1.28</v>
      </c>
      <c r="M437" s="50">
        <f>VLOOKUP($A437,'[1]ma sp 02'!$A$5:$BD$1101,M$1,0)</f>
        <v>1.39</v>
      </c>
      <c r="N437" s="50">
        <f>VLOOKUP($A437,'[1]ma sp 02'!$A$5:$BD$1101,N$1,0)</f>
        <v>0</v>
      </c>
      <c r="O437" s="50">
        <f>VLOOKUP($A437,'[1]ma sp 02'!$A$5:$BD$1101,O$1,0)</f>
        <v>0.01</v>
      </c>
      <c r="P437" s="50">
        <f>VLOOKUP($A437,'[1]ma sp 02'!$A$5:$BD$1101,P$1,0)</f>
        <v>1.22</v>
      </c>
      <c r="Q437" s="50">
        <f>VLOOKUP($A437,'[1]ma sp 02'!$A$5:$BD$1101,Q$1,0)</f>
        <v>0.35</v>
      </c>
      <c r="R437" s="50">
        <f>VLOOKUP($A437,'[1]ma sp 02'!$A$5:$BD$1101,R$1,0)</f>
        <v>0</v>
      </c>
      <c r="S437" s="50">
        <f>VLOOKUP($A437,'[1]ma sp 02'!$A$5:$BD$1101,S$1,0)</f>
        <v>0</v>
      </c>
      <c r="T437" s="50">
        <f>VLOOKUP($A437,'[1]ma sp 02'!$A$5:$BD$1101,T$1,0)</f>
        <v>0</v>
      </c>
      <c r="U437" s="50">
        <f>VLOOKUP($A437,'[1]ma sp 02'!$A$5:$BD$1101,U$1,0)</f>
        <v>0</v>
      </c>
      <c r="V437" s="50">
        <f>VLOOKUP($A437,'[1]ma sp 02'!$A$5:$BD$1101,V$1,0)</f>
        <v>0</v>
      </c>
      <c r="W437" s="50">
        <f>VLOOKUP($A437,'[1]ma sp 02'!$A$5:$BD$1101,W$1,0)</f>
        <v>0</v>
      </c>
      <c r="X437" s="50">
        <f t="shared" si="14"/>
        <v>9</v>
      </c>
      <c r="Y437" s="62"/>
      <c r="Z437" s="62"/>
      <c r="AA437" s="62"/>
      <c r="AB437" s="62"/>
      <c r="AC437" s="62"/>
      <c r="AD437" s="62"/>
      <c r="AE437" s="62" t="s">
        <v>91</v>
      </c>
      <c r="AF437" s="62"/>
      <c r="AG437" s="62">
        <f>(0.02*0.91+0.025*0.925)*0.7</f>
        <v>2.8927499999999998E-2</v>
      </c>
      <c r="AH437" s="54">
        <f>(2.3/0.75/2)*0.69</f>
        <v>1.0579999999999998</v>
      </c>
      <c r="AI437" s="62"/>
      <c r="AJ437" s="62">
        <v>9530</v>
      </c>
      <c r="AK437" s="62"/>
      <c r="AL437" s="62">
        <v>2.3E-3</v>
      </c>
      <c r="AM437" s="61" t="s">
        <v>951</v>
      </c>
      <c r="AN437" s="62">
        <v>100</v>
      </c>
      <c r="AO437" s="61" t="s">
        <v>1445</v>
      </c>
      <c r="AP437" s="59" t="str">
        <f>IFERROR(VLOOKUP($A437,[2]Mssp!$A$5:$BE$1463,AP$4+1,0),0)</f>
        <v>F121164-1</v>
      </c>
      <c r="AQ437" s="59" t="str">
        <f>IFERROR(VLOOKUP($A437,[2]Mssp!$A$5:$BE$1463,AQ$4+1,0),0)</f>
        <v>F121164G5-2</v>
      </c>
      <c r="AR437" s="59" t="str">
        <f>IFERROR(VLOOKUP($A437,[2]Mssp!$A$5:$BE$1463,AR$4+1,0),0)</f>
        <v>F121164-3</v>
      </c>
      <c r="AS437" s="59" t="str">
        <f>IFERROR(VLOOKUP($A437,[2]Mssp!$A$5:$BE$1463,AS$4+1,0),0)</f>
        <v>F121164-4</v>
      </c>
      <c r="AT437" s="59" t="str">
        <f>IFERROR(VLOOKUP($A437,[2]Mssp!$A$5:$BE$1463,AT$4+1,0),0)</f>
        <v>F121164G4</v>
      </c>
      <c r="AU437" s="59" t="str">
        <f>IFERROR(VLOOKUP($A437,[2]Mssp!$A$5:$BE$1463,AU$4+1,0),0)</f>
        <v>F121164-6</v>
      </c>
      <c r="AV437" s="59" t="str">
        <f>IFERROR(VLOOKUP($A437,[2]Mssp!$A$5:$BE$1463,AV$4+1,0),0)</f>
        <v>F121164G3-7</v>
      </c>
      <c r="AW437" s="59" t="str">
        <f>IFERROR(VLOOKUP($A437,[2]Mssp!$A$5:$BE$1463,AW$4+1,0),0)</f>
        <v>F121164G1-0</v>
      </c>
      <c r="AX437" s="59">
        <f>IFERROR(VLOOKUP($A437,[2]Mssp!$A$5:$BE$1463,AX$4+1,0),0)</f>
        <v>0</v>
      </c>
      <c r="AY437" s="59" t="str">
        <f>IFERROR(VLOOKUP($A437,[2]Mssp!$A$5:$BE$1463,AY$4+2,0),0)</f>
        <v>500x870</v>
      </c>
      <c r="AZ437" s="59" t="str">
        <f>IFERROR(VLOOKUP($A437,[2]Mssp!$A$5:$BE$1463,AZ$4+2,0),0)</f>
        <v>B1</v>
      </c>
      <c r="BA437" s="60"/>
      <c r="BB437" s="61"/>
      <c r="BC437" s="62"/>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9"/>
      <c r="CK437" s="9"/>
      <c r="CL437" s="9"/>
      <c r="CM437" s="9"/>
      <c r="CN437" s="9"/>
      <c r="CO437" s="9"/>
      <c r="CP437" s="9"/>
    </row>
    <row r="438" spans="1:94" ht="30" x14ac:dyDescent="0.25">
      <c r="A438" s="50" t="s">
        <v>1446</v>
      </c>
      <c r="B438" s="57" t="s">
        <v>1447</v>
      </c>
      <c r="C438" s="50">
        <f>SUM(H438:W438)</f>
        <v>5.1400000000000006</v>
      </c>
      <c r="D438" s="57">
        <v>1</v>
      </c>
      <c r="E438" s="57" t="s">
        <v>1448</v>
      </c>
      <c r="F438" s="57">
        <v>6</v>
      </c>
      <c r="G438" s="50" t="s">
        <v>184</v>
      </c>
      <c r="H438" s="50">
        <f>VLOOKUP($A438,'[1]ma sp 02'!$A$5:$BD$1101,H$1,0)</f>
        <v>0.2</v>
      </c>
      <c r="I438" s="50">
        <f>VLOOKUP($A438,'[1]ma sp 02'!$A$5:$BD$1101,I$1,0)</f>
        <v>1.6</v>
      </c>
      <c r="J438" s="50">
        <f>VLOOKUP($A438,'[1]ma sp 02'!$A$5:$BD$1101,J$1,0)</f>
        <v>0.01</v>
      </c>
      <c r="K438" s="50">
        <f>VLOOKUP($A438,'[1]ma sp 02'!$A$5:$BD$1101,K$1,0)</f>
        <v>0.53</v>
      </c>
      <c r="L438" s="50">
        <f>VLOOKUP($A438,'[1]ma sp 02'!$A$5:$BD$1101,L$1,0)</f>
        <v>0.64</v>
      </c>
      <c r="M438" s="50">
        <f>VLOOKUP($A438,'[1]ma sp 02'!$A$5:$BD$1101,M$1,0)</f>
        <v>0.5</v>
      </c>
      <c r="N438" s="50">
        <f>VLOOKUP($A438,'[1]ma sp 02'!$A$5:$BD$1101,N$1,0)</f>
        <v>0</v>
      </c>
      <c r="O438" s="50">
        <f>VLOOKUP($A438,'[1]ma sp 02'!$A$5:$BD$1101,O$1,0)</f>
        <v>0</v>
      </c>
      <c r="P438" s="50">
        <f>VLOOKUP($A438,'[1]ma sp 02'!$A$5:$BD$1101,P$1,0)</f>
        <v>0.76</v>
      </c>
      <c r="Q438" s="50">
        <f>VLOOKUP($A438,'[1]ma sp 02'!$A$5:$BD$1101,Q$1,0)</f>
        <v>0.9</v>
      </c>
      <c r="R438" s="50">
        <f>VLOOKUP($A438,'[1]ma sp 02'!$A$5:$BD$1101,R$1,0)</f>
        <v>0</v>
      </c>
      <c r="S438" s="50">
        <f>VLOOKUP($A438,'[1]ma sp 02'!$A$5:$BD$1101,S$1,0)</f>
        <v>0</v>
      </c>
      <c r="T438" s="50">
        <f>VLOOKUP($A438,'[1]ma sp 02'!$A$5:$BD$1101,T$1,0)</f>
        <v>0</v>
      </c>
      <c r="U438" s="50">
        <f>VLOOKUP($A438,'[1]ma sp 02'!$A$5:$BD$1101,U$1,0)</f>
        <v>0</v>
      </c>
      <c r="V438" s="50">
        <f>VLOOKUP($A438,'[1]ma sp 02'!$A$5:$BD$1101,V$1,0)</f>
        <v>0</v>
      </c>
      <c r="W438" s="50">
        <f>VLOOKUP($A438,'[1]ma sp 02'!$A$5:$BD$1101,W$1,0)</f>
        <v>0</v>
      </c>
      <c r="X438" s="50">
        <f t="shared" si="14"/>
        <v>8</v>
      </c>
      <c r="Y438" s="62"/>
      <c r="Z438" s="62"/>
      <c r="AA438" s="62"/>
      <c r="AB438" s="62"/>
      <c r="AC438" s="62"/>
      <c r="AD438" s="62"/>
      <c r="AE438" s="62" t="s">
        <v>1449</v>
      </c>
      <c r="AF438" s="62"/>
      <c r="AG438" s="62">
        <f>(0.02*0.91+0.055*0.925)*0.59</f>
        <v>4.0754249999999999E-2</v>
      </c>
      <c r="AH438" s="54">
        <f>(2.3/0.75/2)*0.58</f>
        <v>0.8893333333333332</v>
      </c>
      <c r="AI438" s="62"/>
      <c r="AJ438" s="62">
        <v>9530</v>
      </c>
      <c r="AK438" s="62"/>
      <c r="AL438" s="62">
        <v>2.3E-3</v>
      </c>
      <c r="AM438" s="61" t="s">
        <v>74</v>
      </c>
      <c r="AN438" s="62">
        <v>205</v>
      </c>
      <c r="AO438" s="61" t="s">
        <v>1117</v>
      </c>
      <c r="AP438" s="59" t="str">
        <f>IFERROR(VLOOKUP($A438,[2]Mssp!$A$5:$BE$1463,AP$4+1,0),0)</f>
        <v>X605472-1</v>
      </c>
      <c r="AQ438" s="59" t="str">
        <f>IFERROR(VLOOKUP($A438,[2]Mssp!$A$5:$BE$1463,AQ$4+1,0),0)</f>
        <v>X605472-2</v>
      </c>
      <c r="AR438" s="59" t="str">
        <f>IFERROR(VLOOKUP($A438,[2]Mssp!$A$5:$BE$1463,AR$4+1,0),0)</f>
        <v>X605472-3</v>
      </c>
      <c r="AS438" s="59" t="str">
        <f>IFERROR(VLOOKUP($A438,[2]Mssp!$A$5:$BE$1463,AS$4+1,0),0)</f>
        <v>X605472-4</v>
      </c>
      <c r="AT438" s="59" t="str">
        <f>IFERROR(VLOOKUP($A438,[2]Mssp!$A$5:$BE$1463,AT$4+1,0),0)</f>
        <v>X605472-5</v>
      </c>
      <c r="AU438" s="59" t="str">
        <f>IFERROR(VLOOKUP($A438,[2]Mssp!$A$5:$BE$1463,AU$4+1,0),0)</f>
        <v>X605472-6</v>
      </c>
      <c r="AV438" s="59">
        <f>IFERROR(VLOOKUP($A438,[2]Mssp!$A$5:$BE$1463,AV$4+1,0),0)</f>
        <v>0</v>
      </c>
      <c r="AW438" s="59">
        <f>IFERROR(VLOOKUP($A438,[2]Mssp!$A$5:$BE$1463,AW$4+1,0),0)</f>
        <v>0</v>
      </c>
      <c r="AX438" s="59">
        <f>IFERROR(VLOOKUP($A438,[2]Mssp!$A$5:$BE$1463,AX$4+1,0),0)</f>
        <v>0</v>
      </c>
      <c r="AY438" s="59" t="str">
        <f>IFERROR(VLOOKUP($A438,[2]Mssp!$A$5:$BE$1463,AY$4+2,0),0)</f>
        <v>410x750</v>
      </c>
      <c r="AZ438" s="59" t="str">
        <f>IFERROR(VLOOKUP($A438,[2]Mssp!$A$5:$BE$1463,AZ$4+2,0),0)</f>
        <v>P2</v>
      </c>
      <c r="BA438" s="60">
        <v>5000</v>
      </c>
      <c r="BB438" s="61" t="s">
        <v>223</v>
      </c>
      <c r="BC438" s="62"/>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c r="CK438" s="9"/>
      <c r="CL438" s="9"/>
      <c r="CM438" s="9"/>
      <c r="CN438" s="9"/>
      <c r="CO438" s="9"/>
      <c r="CP438" s="9"/>
    </row>
    <row r="439" spans="1:94" ht="30" x14ac:dyDescent="0.25">
      <c r="A439" s="50" t="s">
        <v>1450</v>
      </c>
      <c r="B439" s="122" t="s">
        <v>1451</v>
      </c>
      <c r="C439" s="50"/>
      <c r="D439" s="57">
        <v>1</v>
      </c>
      <c r="E439" s="62" t="s">
        <v>955</v>
      </c>
      <c r="F439" s="57">
        <v>2</v>
      </c>
      <c r="G439" s="50" t="s">
        <v>56</v>
      </c>
      <c r="H439" s="50">
        <f>VLOOKUP($A439,'[1]ma sp 02'!$A$5:$BD$1101,H$1,0)</f>
        <v>0.09</v>
      </c>
      <c r="I439" s="50">
        <f>VLOOKUP($A439,'[1]ma sp 02'!$A$5:$BD$1101,I$1,0)</f>
        <v>0</v>
      </c>
      <c r="J439" s="50">
        <f>VLOOKUP($A439,'[1]ma sp 02'!$A$5:$BD$1101,J$1,0)</f>
        <v>0.64</v>
      </c>
      <c r="K439" s="50">
        <f>VLOOKUP($A439,'[1]ma sp 02'!$A$5:$BD$1101,K$1,0)</f>
        <v>0.02</v>
      </c>
      <c r="L439" s="50">
        <f>VLOOKUP($A439,'[1]ma sp 02'!$A$5:$BD$1101,L$1,0)</f>
        <v>0.12</v>
      </c>
      <c r="M439" s="50">
        <f>VLOOKUP($A439,'[1]ma sp 02'!$A$5:$BD$1101,M$1,0)</f>
        <v>0</v>
      </c>
      <c r="N439" s="50">
        <f>VLOOKUP($A439,'[1]ma sp 02'!$A$5:$BD$1101,N$1,0)</f>
        <v>0</v>
      </c>
      <c r="O439" s="50">
        <f>VLOOKUP($A439,'[1]ma sp 02'!$A$5:$BD$1101,O$1,0)</f>
        <v>0.12</v>
      </c>
      <c r="P439" s="50">
        <f>VLOOKUP($A439,'[1]ma sp 02'!$A$5:$BD$1101,P$1,0)</f>
        <v>0</v>
      </c>
      <c r="Q439" s="50">
        <f>VLOOKUP($A439,'[1]ma sp 02'!$A$5:$BD$1101,Q$1,0)</f>
        <v>0.01</v>
      </c>
      <c r="R439" s="50">
        <f>VLOOKUP($A439,'[1]ma sp 02'!$A$5:$BD$1101,R$1,0)</f>
        <v>0.04</v>
      </c>
      <c r="S439" s="50">
        <f>VLOOKUP($A439,'[1]ma sp 02'!$A$5:$BD$1101,S$1,0)</f>
        <v>0</v>
      </c>
      <c r="T439" s="50">
        <f>VLOOKUP($A439,'[1]ma sp 02'!$A$5:$BD$1101,T$1,0)</f>
        <v>0</v>
      </c>
      <c r="U439" s="50">
        <f>VLOOKUP($A439,'[1]ma sp 02'!$A$5:$BD$1101,U$1,0)</f>
        <v>0</v>
      </c>
      <c r="V439" s="50">
        <f>VLOOKUP($A439,'[1]ma sp 02'!$A$5:$BD$1101,V$1,0)</f>
        <v>0</v>
      </c>
      <c r="W439" s="50">
        <f>VLOOKUP($A439,'[1]ma sp 02'!$A$5:$BD$1101,W$1,0)</f>
        <v>0</v>
      </c>
      <c r="X439" s="50">
        <f t="shared" si="14"/>
        <v>7</v>
      </c>
      <c r="Y439" s="62"/>
      <c r="Z439" s="62"/>
      <c r="AA439" s="62"/>
      <c r="AB439" s="62"/>
      <c r="AC439" s="62"/>
      <c r="AD439" s="62"/>
      <c r="AE439" s="62" t="s">
        <v>1014</v>
      </c>
      <c r="AF439" s="62"/>
      <c r="AG439" s="62">
        <f>(0.04*0.925+0.025*0.925)*1.26</f>
        <v>7.5757500000000019E-2</v>
      </c>
      <c r="AH439" s="54">
        <f>(2.3/0.75/2)*1.26</f>
        <v>1.9319999999999999</v>
      </c>
      <c r="AI439" s="62"/>
      <c r="AJ439" s="62">
        <v>9530</v>
      </c>
      <c r="AK439" s="62"/>
      <c r="AL439" s="58">
        <v>2E-3</v>
      </c>
      <c r="AM439" s="61" t="s">
        <v>1452</v>
      </c>
      <c r="AN439" s="62"/>
      <c r="AO439" s="61" t="s">
        <v>959</v>
      </c>
      <c r="AP439" s="59">
        <f>IFERROR(VLOOKUP($A439,[2]Mssp!$A$5:$BE$1463,AP$4+1,0),0)</f>
        <v>0</v>
      </c>
      <c r="AQ439" s="59">
        <f>IFERROR(VLOOKUP($A439,[2]Mssp!$A$5:$BE$1463,AQ$4+1,0),0)</f>
        <v>0</v>
      </c>
      <c r="AR439" s="59">
        <f>IFERROR(VLOOKUP($A439,[2]Mssp!$A$5:$BE$1463,AR$4+1,0),0)</f>
        <v>0</v>
      </c>
      <c r="AS439" s="59">
        <f>IFERROR(VLOOKUP($A439,[2]Mssp!$A$5:$BE$1463,AS$4+1,0),0)</f>
        <v>0</v>
      </c>
      <c r="AT439" s="59">
        <f>IFERROR(VLOOKUP($A439,[2]Mssp!$A$5:$BE$1463,AT$4+1,0),0)</f>
        <v>0</v>
      </c>
      <c r="AU439" s="59">
        <f>IFERROR(VLOOKUP($A439,[2]Mssp!$A$5:$BE$1463,AU$4+1,0),0)</f>
        <v>0</v>
      </c>
      <c r="AV439" s="59">
        <f>IFERROR(VLOOKUP($A439,[2]Mssp!$A$5:$BE$1463,AV$4+1,0),0)</f>
        <v>0</v>
      </c>
      <c r="AW439" s="59">
        <f>IFERROR(VLOOKUP($A439,[2]Mssp!$A$5:$BE$1463,AW$4+1,0),0)</f>
        <v>0</v>
      </c>
      <c r="AX439" s="59">
        <f>IFERROR(VLOOKUP($A439,[2]Mssp!$A$5:$BE$1463,AX$4+1,0),0)</f>
        <v>0</v>
      </c>
      <c r="AY439" s="59">
        <f>IFERROR(VLOOKUP($A439,[2]Mssp!$A$5:$BE$1463,AY$4+2,0),0)</f>
        <v>0</v>
      </c>
      <c r="AZ439" s="59">
        <f>IFERROR(VLOOKUP($A439,[2]Mssp!$A$5:$BE$1463,AZ$4+2,0),0)</f>
        <v>0</v>
      </c>
      <c r="BA439" s="60"/>
      <c r="BB439" s="61"/>
      <c r="BC439" s="84"/>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9"/>
      <c r="CK439" s="9"/>
      <c r="CL439" s="9"/>
      <c r="CM439" s="9"/>
      <c r="CN439" s="9"/>
      <c r="CO439" s="9"/>
      <c r="CP439" s="9"/>
    </row>
    <row r="440" spans="1:94" ht="30" x14ac:dyDescent="0.25">
      <c r="A440" s="50" t="s">
        <v>1453</v>
      </c>
      <c r="B440" s="122" t="s">
        <v>1451</v>
      </c>
      <c r="C440" s="50"/>
      <c r="D440" s="57">
        <v>1</v>
      </c>
      <c r="E440" s="62" t="s">
        <v>1013</v>
      </c>
      <c r="F440" s="57">
        <v>2</v>
      </c>
      <c r="G440" s="50" t="s">
        <v>56</v>
      </c>
      <c r="H440" s="50">
        <f>VLOOKUP($A440,'[1]ma sp 02'!$A$5:$BD$1101,H$1,0)</f>
        <v>0.01</v>
      </c>
      <c r="I440" s="50">
        <f>VLOOKUP($A440,'[1]ma sp 02'!$A$5:$BD$1101,I$1,0)</f>
        <v>0</v>
      </c>
      <c r="J440" s="50">
        <f>VLOOKUP($A440,'[1]ma sp 02'!$A$5:$BD$1101,J$1,0)</f>
        <v>0.42</v>
      </c>
      <c r="K440" s="50">
        <f>VLOOKUP($A440,'[1]ma sp 02'!$A$5:$BD$1101,K$1,0)</f>
        <v>0.04</v>
      </c>
      <c r="L440" s="50">
        <f>VLOOKUP($A440,'[1]ma sp 02'!$A$5:$BD$1101,L$1,0)</f>
        <v>0.1</v>
      </c>
      <c r="M440" s="50">
        <f>VLOOKUP($A440,'[1]ma sp 02'!$A$5:$BD$1101,M$1,0)</f>
        <v>0.01</v>
      </c>
      <c r="N440" s="50">
        <f>VLOOKUP($A440,'[1]ma sp 02'!$A$5:$BD$1101,N$1,0)</f>
        <v>0</v>
      </c>
      <c r="O440" s="50">
        <f>VLOOKUP($A440,'[1]ma sp 02'!$A$5:$BD$1101,O$1,0)</f>
        <v>0.13</v>
      </c>
      <c r="P440" s="50">
        <f>VLOOKUP($A440,'[1]ma sp 02'!$A$5:$BD$1101,P$1,0)</f>
        <v>0</v>
      </c>
      <c r="Q440" s="50">
        <f>VLOOKUP($A440,'[1]ma sp 02'!$A$5:$BD$1101,Q$1,0)</f>
        <v>0</v>
      </c>
      <c r="R440" s="50">
        <f>VLOOKUP($A440,'[1]ma sp 02'!$A$5:$BD$1101,R$1,0)</f>
        <v>0.21</v>
      </c>
      <c r="S440" s="50">
        <f>VLOOKUP($A440,'[1]ma sp 02'!$A$5:$BD$1101,S$1,0)</f>
        <v>0</v>
      </c>
      <c r="T440" s="50">
        <f>VLOOKUP($A440,'[1]ma sp 02'!$A$5:$BD$1101,T$1,0)</f>
        <v>0</v>
      </c>
      <c r="U440" s="50">
        <f>VLOOKUP($A440,'[1]ma sp 02'!$A$5:$BD$1101,U$1,0)</f>
        <v>0</v>
      </c>
      <c r="V440" s="50">
        <f>VLOOKUP($A440,'[1]ma sp 02'!$A$5:$BD$1101,V$1,0)</f>
        <v>0</v>
      </c>
      <c r="W440" s="50">
        <f>VLOOKUP($A440,'[1]ma sp 02'!$A$5:$BD$1101,W$1,0)</f>
        <v>0</v>
      </c>
      <c r="X440" s="50">
        <f t="shared" si="14"/>
        <v>7</v>
      </c>
      <c r="Y440" s="62"/>
      <c r="Z440" s="62"/>
      <c r="AA440" s="62"/>
      <c r="AB440" s="62"/>
      <c r="AC440" s="62"/>
      <c r="AD440" s="62"/>
      <c r="AE440" s="62" t="s">
        <v>1014</v>
      </c>
      <c r="AF440" s="62"/>
      <c r="AG440" s="62">
        <f>(0.04*0.925+0.025*0.925)*1.26</f>
        <v>7.5757500000000019E-2</v>
      </c>
      <c r="AH440" s="54">
        <f>(2.3/0.75/2)*1.26</f>
        <v>1.9319999999999999</v>
      </c>
      <c r="AI440" s="62"/>
      <c r="AJ440" s="62">
        <v>9530</v>
      </c>
      <c r="AK440" s="62"/>
      <c r="AL440" s="58">
        <v>2E-3</v>
      </c>
      <c r="AM440" s="61" t="s">
        <v>1452</v>
      </c>
      <c r="AN440" s="62"/>
      <c r="AO440" s="61" t="s">
        <v>959</v>
      </c>
      <c r="AP440" s="59">
        <f>IFERROR(VLOOKUP($A440,[2]Mssp!$A$5:$BE$1463,AP$4+1,0),0)</f>
        <v>0</v>
      </c>
      <c r="AQ440" s="59">
        <f>IFERROR(VLOOKUP($A440,[2]Mssp!$A$5:$BE$1463,AQ$4+1,0),0)</f>
        <v>0</v>
      </c>
      <c r="AR440" s="59">
        <f>IFERROR(VLOOKUP($A440,[2]Mssp!$A$5:$BE$1463,AR$4+1,0),0)</f>
        <v>0</v>
      </c>
      <c r="AS440" s="59">
        <f>IFERROR(VLOOKUP($A440,[2]Mssp!$A$5:$BE$1463,AS$4+1,0),0)</f>
        <v>0</v>
      </c>
      <c r="AT440" s="59">
        <f>IFERROR(VLOOKUP($A440,[2]Mssp!$A$5:$BE$1463,AT$4+1,0),0)</f>
        <v>0</v>
      </c>
      <c r="AU440" s="59">
        <f>IFERROR(VLOOKUP($A440,[2]Mssp!$A$5:$BE$1463,AU$4+1,0),0)</f>
        <v>0</v>
      </c>
      <c r="AV440" s="59">
        <f>IFERROR(VLOOKUP($A440,[2]Mssp!$A$5:$BE$1463,AV$4+1,0),0)</f>
        <v>0</v>
      </c>
      <c r="AW440" s="59">
        <f>IFERROR(VLOOKUP($A440,[2]Mssp!$A$5:$BE$1463,AW$4+1,0),0)</f>
        <v>0</v>
      </c>
      <c r="AX440" s="59">
        <f>IFERROR(VLOOKUP($A440,[2]Mssp!$A$5:$BE$1463,AX$4+1,0),0)</f>
        <v>0</v>
      </c>
      <c r="AY440" s="59">
        <f>IFERROR(VLOOKUP($A440,[2]Mssp!$A$5:$BE$1463,AY$4+2,0),0)</f>
        <v>0</v>
      </c>
      <c r="AZ440" s="59">
        <f>IFERROR(VLOOKUP($A440,[2]Mssp!$A$5:$BE$1463,AZ$4+2,0),0)</f>
        <v>0</v>
      </c>
      <c r="BA440" s="60"/>
      <c r="BB440" s="61" t="s">
        <v>952</v>
      </c>
      <c r="BC440" s="84"/>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9"/>
      <c r="CK440" s="9"/>
      <c r="CL440" s="9"/>
      <c r="CM440" s="9"/>
      <c r="CN440" s="9"/>
      <c r="CO440" s="9"/>
      <c r="CP440" s="9"/>
    </row>
    <row r="441" spans="1:94" ht="31.5" x14ac:dyDescent="0.25">
      <c r="A441" s="50" t="s">
        <v>1454</v>
      </c>
      <c r="B441" s="122" t="s">
        <v>1455</v>
      </c>
      <c r="C441" s="50"/>
      <c r="D441" s="57">
        <v>1</v>
      </c>
      <c r="E441" s="62" t="s">
        <v>1013</v>
      </c>
      <c r="F441" s="57">
        <v>2</v>
      </c>
      <c r="G441" s="50" t="s">
        <v>56</v>
      </c>
      <c r="H441" s="50">
        <f>VLOOKUP($A441,'[1]ma sp 02'!$A$5:$BD$1101,H$1,0)</f>
        <v>0.1</v>
      </c>
      <c r="I441" s="50">
        <f>VLOOKUP($A441,'[1]ma sp 02'!$A$5:$BD$1101,I$1,0)</f>
        <v>0</v>
      </c>
      <c r="J441" s="50">
        <f>VLOOKUP($A441,'[1]ma sp 02'!$A$5:$BD$1101,J$1,0)</f>
        <v>0.56000000000000005</v>
      </c>
      <c r="K441" s="50">
        <f>VLOOKUP($A441,'[1]ma sp 02'!$A$5:$BD$1101,K$1,0)</f>
        <v>0.02</v>
      </c>
      <c r="L441" s="50">
        <f>VLOOKUP($A441,'[1]ma sp 02'!$A$5:$BD$1101,L$1,0)</f>
        <v>7.0000000000000007E-2</v>
      </c>
      <c r="M441" s="50">
        <f>VLOOKUP($A441,'[1]ma sp 02'!$A$5:$BD$1101,M$1,0)</f>
        <v>0</v>
      </c>
      <c r="N441" s="50">
        <f>VLOOKUP($A441,'[1]ma sp 02'!$A$5:$BD$1101,N$1,0)</f>
        <v>0</v>
      </c>
      <c r="O441" s="50">
        <f>VLOOKUP($A441,'[1]ma sp 02'!$A$5:$BD$1101,O$1,0)</f>
        <v>0.18</v>
      </c>
      <c r="P441" s="50">
        <f>VLOOKUP($A441,'[1]ma sp 02'!$A$5:$BD$1101,P$1,0)</f>
        <v>0.03</v>
      </c>
      <c r="Q441" s="50">
        <f>VLOOKUP($A441,'[1]ma sp 02'!$A$5:$BD$1101,Q$1,0)</f>
        <v>0.01</v>
      </c>
      <c r="R441" s="50">
        <f>VLOOKUP($A441,'[1]ma sp 02'!$A$5:$BD$1101,R$1,0)</f>
        <v>0.34</v>
      </c>
      <c r="S441" s="50">
        <f>VLOOKUP($A441,'[1]ma sp 02'!$A$5:$BD$1101,S$1,0)</f>
        <v>0</v>
      </c>
      <c r="T441" s="50">
        <f>VLOOKUP($A441,'[1]ma sp 02'!$A$5:$BD$1101,T$1,0)</f>
        <v>0</v>
      </c>
      <c r="U441" s="50">
        <f>VLOOKUP($A441,'[1]ma sp 02'!$A$5:$BD$1101,U$1,0)</f>
        <v>0</v>
      </c>
      <c r="V441" s="50">
        <f>VLOOKUP($A441,'[1]ma sp 02'!$A$5:$BD$1101,V$1,0)</f>
        <v>0</v>
      </c>
      <c r="W441" s="50">
        <f>VLOOKUP($A441,'[1]ma sp 02'!$A$5:$BD$1101,W$1,0)</f>
        <v>0</v>
      </c>
      <c r="X441" s="50">
        <f t="shared" si="14"/>
        <v>8</v>
      </c>
      <c r="Y441" s="62"/>
      <c r="Z441" s="62"/>
      <c r="AA441" s="62"/>
      <c r="AB441" s="62"/>
      <c r="AC441" s="62"/>
      <c r="AD441" s="62"/>
      <c r="AE441" s="62" t="s">
        <v>1014</v>
      </c>
      <c r="AF441" s="62"/>
      <c r="AG441" s="62">
        <f>(0.04*0.925+0.025*0.925)*1.26</f>
        <v>7.5757500000000019E-2</v>
      </c>
      <c r="AH441" s="54">
        <f>(2.3/0.75/2)*1.26</f>
        <v>1.9319999999999999</v>
      </c>
      <c r="AI441" s="62"/>
      <c r="AJ441" s="62">
        <v>9530</v>
      </c>
      <c r="AK441" s="62"/>
      <c r="AL441" s="58">
        <v>2E-3</v>
      </c>
      <c r="AM441" s="61" t="s">
        <v>1452</v>
      </c>
      <c r="AN441" s="62"/>
      <c r="AO441" s="61" t="s">
        <v>959</v>
      </c>
      <c r="AP441" s="59">
        <f>IFERROR(VLOOKUP($A441,[2]Mssp!$A$5:$BE$1463,AP$4+1,0),0)</f>
        <v>0</v>
      </c>
      <c r="AQ441" s="59">
        <f>IFERROR(VLOOKUP($A441,[2]Mssp!$A$5:$BE$1463,AQ$4+1,0),0)</f>
        <v>0</v>
      </c>
      <c r="AR441" s="59">
        <f>IFERROR(VLOOKUP($A441,[2]Mssp!$A$5:$BE$1463,AR$4+1,0),0)</f>
        <v>0</v>
      </c>
      <c r="AS441" s="59">
        <f>IFERROR(VLOOKUP($A441,[2]Mssp!$A$5:$BE$1463,AS$4+1,0),0)</f>
        <v>0</v>
      </c>
      <c r="AT441" s="59">
        <f>IFERROR(VLOOKUP($A441,[2]Mssp!$A$5:$BE$1463,AT$4+1,0),0)</f>
        <v>0</v>
      </c>
      <c r="AU441" s="59">
        <f>IFERROR(VLOOKUP($A441,[2]Mssp!$A$5:$BE$1463,AU$4+1,0),0)</f>
        <v>0</v>
      </c>
      <c r="AV441" s="59">
        <f>IFERROR(VLOOKUP($A441,[2]Mssp!$A$5:$BE$1463,AV$4+1,0),0)</f>
        <v>0</v>
      </c>
      <c r="AW441" s="59">
        <f>IFERROR(VLOOKUP($A441,[2]Mssp!$A$5:$BE$1463,AW$4+1,0),0)</f>
        <v>0</v>
      </c>
      <c r="AX441" s="59">
        <f>IFERROR(VLOOKUP($A441,[2]Mssp!$A$5:$BE$1463,AX$4+1,0),0)</f>
        <v>0</v>
      </c>
      <c r="AY441" s="59">
        <f>IFERROR(VLOOKUP($A441,[2]Mssp!$A$5:$BE$1463,AY$4+2,0),0)</f>
        <v>0</v>
      </c>
      <c r="AZ441" s="59">
        <f>IFERROR(VLOOKUP($A441,[2]Mssp!$A$5:$BE$1463,AZ$4+2,0),0)</f>
        <v>0</v>
      </c>
      <c r="BA441" s="60"/>
      <c r="BB441" s="61"/>
      <c r="BC441" s="84"/>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c r="CK441" s="9"/>
      <c r="CL441" s="9"/>
      <c r="CM441" s="9"/>
      <c r="CN441" s="9"/>
      <c r="CO441" s="9"/>
      <c r="CP441" s="9"/>
    </row>
    <row r="442" spans="1:94" ht="45" x14ac:dyDescent="0.25">
      <c r="A442" s="50" t="s">
        <v>1456</v>
      </c>
      <c r="B442" s="57" t="s">
        <v>1457</v>
      </c>
      <c r="C442" s="50"/>
      <c r="D442" s="57">
        <v>2</v>
      </c>
      <c r="E442" s="57" t="s">
        <v>131</v>
      </c>
      <c r="F442" s="57">
        <v>4</v>
      </c>
      <c r="G442" s="50" t="s">
        <v>530</v>
      </c>
      <c r="H442" s="50">
        <f>VLOOKUP($A442,'[1]ma sp 02'!$A$5:$BD$1101,H$1,0)</f>
        <v>0</v>
      </c>
      <c r="I442" s="50">
        <f>VLOOKUP($A442,'[1]ma sp 02'!$A$5:$BD$1101,I$1,0)</f>
        <v>0.98</v>
      </c>
      <c r="J442" s="50">
        <f>VLOOKUP($A442,'[1]ma sp 02'!$A$5:$BD$1101,J$1,0)</f>
        <v>0</v>
      </c>
      <c r="K442" s="50">
        <f>VLOOKUP($A442,'[1]ma sp 02'!$A$5:$BD$1101,K$1,0)</f>
        <v>0.01</v>
      </c>
      <c r="L442" s="50">
        <f>VLOOKUP($A442,'[1]ma sp 02'!$A$5:$BD$1101,L$1,0)</f>
        <v>0.02</v>
      </c>
      <c r="M442" s="50">
        <f>VLOOKUP($A442,'[1]ma sp 02'!$A$5:$BD$1101,M$1,0)</f>
        <v>0.32</v>
      </c>
      <c r="N442" s="50">
        <f>VLOOKUP($A442,'[1]ma sp 02'!$A$5:$BD$1101,N$1,0)</f>
        <v>3.43</v>
      </c>
      <c r="O442" s="50">
        <f>VLOOKUP($A442,'[1]ma sp 02'!$A$5:$BD$1101,O$1,0)</f>
        <v>0.04</v>
      </c>
      <c r="P442" s="50">
        <f>VLOOKUP($A442,'[1]ma sp 02'!$A$5:$BD$1101,P$1,0)</f>
        <v>0.32</v>
      </c>
      <c r="Q442" s="50">
        <f>VLOOKUP($A442,'[1]ma sp 02'!$A$5:$BD$1101,Q$1,0)</f>
        <v>0</v>
      </c>
      <c r="R442" s="50">
        <f>VLOOKUP($A442,'[1]ma sp 02'!$A$5:$BD$1101,R$1,0)</f>
        <v>0</v>
      </c>
      <c r="S442" s="50">
        <f>VLOOKUP($A442,'[1]ma sp 02'!$A$5:$BD$1101,S$1,0)</f>
        <v>0</v>
      </c>
      <c r="T442" s="50">
        <f>VLOOKUP($A442,'[1]ma sp 02'!$A$5:$BD$1101,T$1,0)</f>
        <v>0.13</v>
      </c>
      <c r="U442" s="50">
        <f>VLOOKUP($A442,'[1]ma sp 02'!$A$5:$BD$1101,U$1,0)</f>
        <v>0</v>
      </c>
      <c r="V442" s="50">
        <f>VLOOKUP($A442,'[1]ma sp 02'!$A$5:$BD$1101,V$1,0)</f>
        <v>0</v>
      </c>
      <c r="W442" s="50">
        <f>VLOOKUP($A442,'[1]ma sp 02'!$A$5:$BD$1101,W$1,0)</f>
        <v>0</v>
      </c>
      <c r="X442" s="50">
        <f t="shared" si="14"/>
        <v>8</v>
      </c>
      <c r="Y442" s="62"/>
      <c r="Z442" s="62"/>
      <c r="AA442" s="62"/>
      <c r="AB442" s="62"/>
      <c r="AC442" s="62"/>
      <c r="AD442" s="62"/>
      <c r="AE442" s="62" t="s">
        <v>78</v>
      </c>
      <c r="AF442" s="62" t="s">
        <v>72</v>
      </c>
      <c r="AG442" s="62">
        <f>(0.012*1.4+0.075*0.925)*0.62</f>
        <v>5.3428500000000004E-2</v>
      </c>
      <c r="AH442" s="54">
        <f>(2.3/0.75/2)*0.61</f>
        <v>0.93533333333333324</v>
      </c>
      <c r="AI442" s="54">
        <f>(2.3/0.75/2)*0.61</f>
        <v>0.93533333333333324</v>
      </c>
      <c r="AJ442" s="62">
        <v>9530</v>
      </c>
      <c r="AK442" s="62">
        <v>9530</v>
      </c>
      <c r="AL442" s="62" t="s">
        <v>117</v>
      </c>
      <c r="AM442" s="52" t="s">
        <v>60</v>
      </c>
      <c r="AN442" s="62">
        <v>340</v>
      </c>
      <c r="AO442" s="61" t="s">
        <v>332</v>
      </c>
      <c r="AP442" s="59" t="str">
        <f>IFERROR(VLOOKUP($A442,[2]Mssp!$A$5:$BE$1463,AP$4+1,0),0)</f>
        <v>1808890-1</v>
      </c>
      <c r="AQ442" s="59" t="str">
        <f>IFERROR(VLOOKUP($A442,[2]Mssp!$A$5:$BE$1463,AQ$4+1,0),0)</f>
        <v>1808890-2</v>
      </c>
      <c r="AR442" s="59" t="str">
        <f>IFERROR(VLOOKUP($A442,[2]Mssp!$A$5:$BE$1463,AR$4+1,0),0)</f>
        <v>1808890-3</v>
      </c>
      <c r="AS442" s="59" t="str">
        <f>IFERROR(VLOOKUP($A442,[2]Mssp!$A$5:$BE$1463,AS$4+1,0),0)</f>
        <v>1808890-4</v>
      </c>
      <c r="AT442" s="59">
        <f>IFERROR(VLOOKUP($A442,[2]Mssp!$A$5:$BE$1463,AT$4+1,0),0)</f>
        <v>0</v>
      </c>
      <c r="AU442" s="59">
        <f>IFERROR(VLOOKUP($A442,[2]Mssp!$A$5:$BE$1463,AU$4+1,0),0)</f>
        <v>0</v>
      </c>
      <c r="AV442" s="59">
        <f>IFERROR(VLOOKUP($A442,[2]Mssp!$A$5:$BE$1463,AV$4+1,0),0)</f>
        <v>0</v>
      </c>
      <c r="AW442" s="59">
        <f>IFERROR(VLOOKUP($A442,[2]Mssp!$A$5:$BE$1463,AW$4+1,0),0)</f>
        <v>0</v>
      </c>
      <c r="AX442" s="59">
        <f>IFERROR(VLOOKUP($A442,[2]Mssp!$A$5:$BE$1463,AX$4+1,0),0)</f>
        <v>0</v>
      </c>
      <c r="AY442" s="59" t="str">
        <f>IFERROR(VLOOKUP($A442,[2]Mssp!$A$5:$BE$1463,AY$4+2,0),0)</f>
        <v>680x750</v>
      </c>
      <c r="AZ442" s="59" t="str">
        <f>IFERROR(VLOOKUP($A442,[2]Mssp!$A$5:$BE$1463,AZ$4+2,0),0)</f>
        <v>F3</v>
      </c>
      <c r="BA442" s="60">
        <v>2500</v>
      </c>
      <c r="BB442" s="61" t="s">
        <v>223</v>
      </c>
      <c r="BC442" s="84"/>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9"/>
      <c r="CK442" s="9"/>
      <c r="CL442" s="9"/>
      <c r="CM442" s="9"/>
      <c r="CN442" s="9"/>
      <c r="CO442" s="9"/>
      <c r="CP442" s="9"/>
    </row>
    <row r="443" spans="1:94" ht="30" x14ac:dyDescent="0.25">
      <c r="A443" s="50" t="s">
        <v>1458</v>
      </c>
      <c r="B443" s="57" t="s">
        <v>1459</v>
      </c>
      <c r="C443" s="50"/>
      <c r="D443" s="57">
        <v>1</v>
      </c>
      <c r="E443" s="57" t="s">
        <v>97</v>
      </c>
      <c r="F443" s="57">
        <v>5</v>
      </c>
      <c r="G443" s="50" t="s">
        <v>184</v>
      </c>
      <c r="H443" s="50">
        <f>VLOOKUP($A443,'[1]ma sp 02'!$A$5:$BD$1101,H$1,0)</f>
        <v>0</v>
      </c>
      <c r="I443" s="50">
        <f>VLOOKUP($A443,'[1]ma sp 02'!$A$5:$BD$1101,I$1,0)</f>
        <v>1.04</v>
      </c>
      <c r="J443" s="50">
        <f>VLOOKUP($A443,'[1]ma sp 02'!$A$5:$BD$1101,J$1,0)</f>
        <v>0.57999999999999996</v>
      </c>
      <c r="K443" s="50">
        <f>VLOOKUP($A443,'[1]ma sp 02'!$A$5:$BD$1101,K$1,0)</f>
        <v>0.57999999999999996</v>
      </c>
      <c r="L443" s="50">
        <f>VLOOKUP($A443,'[1]ma sp 02'!$A$5:$BD$1101,L$1,0)</f>
        <v>0.57999999999999996</v>
      </c>
      <c r="M443" s="50">
        <f>VLOOKUP($A443,'[1]ma sp 02'!$A$5:$BD$1101,M$1,0)</f>
        <v>4.7699999999999996</v>
      </c>
      <c r="N443" s="50">
        <f>VLOOKUP($A443,'[1]ma sp 02'!$A$5:$BD$1101,N$1,0)</f>
        <v>0</v>
      </c>
      <c r="O443" s="50">
        <f>VLOOKUP($A443,'[1]ma sp 02'!$A$5:$BD$1101,O$1,0)</f>
        <v>0</v>
      </c>
      <c r="P443" s="50">
        <f>VLOOKUP($A443,'[1]ma sp 02'!$A$5:$BD$1101,P$1,0)</f>
        <v>0</v>
      </c>
      <c r="Q443" s="50">
        <f>VLOOKUP($A443,'[1]ma sp 02'!$A$5:$BD$1101,Q$1,0)</f>
        <v>0</v>
      </c>
      <c r="R443" s="50">
        <f>VLOOKUP($A443,'[1]ma sp 02'!$A$5:$BD$1101,R$1,0)</f>
        <v>0</v>
      </c>
      <c r="S443" s="50">
        <f>VLOOKUP($A443,'[1]ma sp 02'!$A$5:$BD$1101,S$1,0)</f>
        <v>0</v>
      </c>
      <c r="T443" s="50">
        <f>VLOOKUP($A443,'[1]ma sp 02'!$A$5:$BD$1101,T$1,0)</f>
        <v>0</v>
      </c>
      <c r="U443" s="50">
        <f>VLOOKUP($A443,'[1]ma sp 02'!$A$5:$BD$1101,U$1,0)</f>
        <v>0</v>
      </c>
      <c r="V443" s="50">
        <f>VLOOKUP($A443,'[1]ma sp 02'!$A$5:$BD$1101,V$1,0)</f>
        <v>0</v>
      </c>
      <c r="W443" s="50">
        <f>VLOOKUP($A443,'[1]ma sp 02'!$A$5:$BD$1101,W$1,0)</f>
        <v>0</v>
      </c>
      <c r="X443" s="50">
        <f t="shared" si="14"/>
        <v>5</v>
      </c>
      <c r="Y443" s="62"/>
      <c r="Z443" s="62"/>
      <c r="AA443" s="62"/>
      <c r="AB443" s="62"/>
      <c r="AC443" s="62"/>
      <c r="AD443" s="62"/>
      <c r="AE443" s="62" t="s">
        <v>1460</v>
      </c>
      <c r="AF443" s="62"/>
      <c r="AG443" s="62">
        <f>(0.02*0.91+0.09*0.925)*0.54</f>
        <v>5.4783000000000012E-2</v>
      </c>
      <c r="AH443" s="54">
        <f>(3/0.75/2)*0.53</f>
        <v>1.06</v>
      </c>
      <c r="AI443" s="54"/>
      <c r="AJ443" s="62">
        <v>9530</v>
      </c>
      <c r="AK443" s="62"/>
      <c r="AL443" s="62">
        <v>3.0000000000000001E-3</v>
      </c>
      <c r="AM443" s="61" t="s">
        <v>1461</v>
      </c>
      <c r="AN443" s="62">
        <v>420</v>
      </c>
      <c r="AO443" s="61" t="s">
        <v>1462</v>
      </c>
      <c r="AP443" s="59" t="str">
        <f>IFERROR(VLOOKUP($A443,[2]Mssp!$A$5:$BE$1463,AP$4+1,0),0)</f>
        <v>1808891-1</v>
      </c>
      <c r="AQ443" s="59" t="str">
        <f>IFERROR(VLOOKUP($A443,[2]Mssp!$A$5:$BE$1463,AQ$4+1,0),0)</f>
        <v>1808891-2</v>
      </c>
      <c r="AR443" s="59" t="str">
        <f>IFERROR(VLOOKUP($A443,[2]Mssp!$A$5:$BE$1463,AR$4+1,0),0)</f>
        <v>1808891-3</v>
      </c>
      <c r="AS443" s="59" t="str">
        <f>IFERROR(VLOOKUP($A443,[2]Mssp!$A$5:$BE$1463,AS$4+1,0),0)</f>
        <v>1808891-4</v>
      </c>
      <c r="AT443" s="59" t="str">
        <f>IFERROR(VLOOKUP($A443,[2]Mssp!$A$5:$BE$1463,AT$4+1,0),0)</f>
        <v>1808891-5</v>
      </c>
      <c r="AU443" s="59">
        <f>IFERROR(VLOOKUP($A443,[2]Mssp!$A$5:$BE$1463,AU$4+1,0),0)</f>
        <v>0</v>
      </c>
      <c r="AV443" s="59">
        <f>IFERROR(VLOOKUP($A443,[2]Mssp!$A$5:$BE$1463,AV$4+1,0),0)</f>
        <v>0</v>
      </c>
      <c r="AW443" s="59">
        <f>IFERROR(VLOOKUP($A443,[2]Mssp!$A$5:$BE$1463,AW$4+1,0),0)</f>
        <v>0</v>
      </c>
      <c r="AX443" s="59">
        <f>IFERROR(VLOOKUP($A443,[2]Mssp!$A$5:$BE$1463,AX$4+1,0),0)</f>
        <v>0</v>
      </c>
      <c r="AY443" s="59" t="str">
        <f>IFERROR(VLOOKUP($A443,[2]Mssp!$A$5:$BE$1463,AY$4+2,0),0)</f>
        <v>420x750</v>
      </c>
      <c r="AZ443" s="59" t="str">
        <f>IFERROR(VLOOKUP($A443,[2]Mssp!$A$5:$BE$1463,AZ$4+2,0),0)</f>
        <v>P2</v>
      </c>
      <c r="BA443" s="60"/>
      <c r="BB443" s="61"/>
      <c r="BC443" s="84"/>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9"/>
      <c r="CK443" s="9"/>
      <c r="CL443" s="9"/>
      <c r="CM443" s="9"/>
      <c r="CN443" s="9"/>
      <c r="CO443" s="9"/>
      <c r="CP443" s="9"/>
    </row>
    <row r="444" spans="1:94" ht="45" x14ac:dyDescent="0.25">
      <c r="A444" s="50" t="s">
        <v>1463</v>
      </c>
      <c r="B444" s="57" t="s">
        <v>1464</v>
      </c>
      <c r="C444" s="50"/>
      <c r="D444" s="57">
        <v>3</v>
      </c>
      <c r="E444" s="57" t="s">
        <v>113</v>
      </c>
      <c r="F444" s="57">
        <v>1</v>
      </c>
      <c r="G444" s="50" t="s">
        <v>530</v>
      </c>
      <c r="H444" s="50">
        <f>VLOOKUP($A444,'[1]ma sp 02'!$A$5:$BD$1101,H$1,0)</f>
        <v>0</v>
      </c>
      <c r="I444" s="50">
        <f>VLOOKUP($A444,'[1]ma sp 02'!$A$5:$BD$1101,I$1,0)</f>
        <v>0</v>
      </c>
      <c r="J444" s="50">
        <f>VLOOKUP($A444,'[1]ma sp 02'!$A$5:$BD$1101,J$1,0)</f>
        <v>0</v>
      </c>
      <c r="K444" s="50">
        <f>VLOOKUP($A444,'[1]ma sp 02'!$A$5:$BD$1101,K$1,0)</f>
        <v>0</v>
      </c>
      <c r="L444" s="50">
        <f>VLOOKUP($A444,'[1]ma sp 02'!$A$5:$BD$1101,L$1,0)</f>
        <v>0.86</v>
      </c>
      <c r="M444" s="50">
        <f>VLOOKUP($A444,'[1]ma sp 02'!$A$5:$BD$1101,M$1,0)</f>
        <v>0</v>
      </c>
      <c r="N444" s="50">
        <f>VLOOKUP($A444,'[1]ma sp 02'!$A$5:$BD$1101,N$1,0)</f>
        <v>2.94</v>
      </c>
      <c r="O444" s="50">
        <f>VLOOKUP($A444,'[1]ma sp 02'!$A$5:$BD$1101,O$1,0)</f>
        <v>0.4</v>
      </c>
      <c r="P444" s="50">
        <f>VLOOKUP($A444,'[1]ma sp 02'!$A$5:$BD$1101,P$1,0)</f>
        <v>0</v>
      </c>
      <c r="Q444" s="50">
        <f>VLOOKUP($A444,'[1]ma sp 02'!$A$5:$BD$1101,Q$1,0)</f>
        <v>0</v>
      </c>
      <c r="R444" s="50">
        <f>VLOOKUP($A444,'[1]ma sp 02'!$A$5:$BD$1101,R$1,0)</f>
        <v>0</v>
      </c>
      <c r="S444" s="50">
        <f>VLOOKUP($A444,'[1]ma sp 02'!$A$5:$BD$1101,S$1,0)</f>
        <v>0</v>
      </c>
      <c r="T444" s="50">
        <f>VLOOKUP($A444,'[1]ma sp 02'!$A$5:$BD$1101,T$1,0)</f>
        <v>0</v>
      </c>
      <c r="U444" s="50">
        <f>VLOOKUP($A444,'[1]ma sp 02'!$A$5:$BD$1101,U$1,0)</f>
        <v>0</v>
      </c>
      <c r="V444" s="50">
        <f>VLOOKUP($A444,'[1]ma sp 02'!$A$5:$BD$1101,V$1,0)</f>
        <v>0</v>
      </c>
      <c r="W444" s="50">
        <f>VLOOKUP($A444,'[1]ma sp 02'!$A$5:$BD$1101,W$1,0)</f>
        <v>0</v>
      </c>
      <c r="X444" s="50">
        <f t="shared" si="14"/>
        <v>3</v>
      </c>
      <c r="Y444" s="62"/>
      <c r="Z444" s="62"/>
      <c r="AA444" s="62"/>
      <c r="AB444" s="62"/>
      <c r="AC444" s="62"/>
      <c r="AD444" s="62"/>
      <c r="AE444" s="62" t="s">
        <v>115</v>
      </c>
      <c r="AF444" s="62" t="s">
        <v>321</v>
      </c>
      <c r="AG444" s="62">
        <f>(0.012*1.4+0.075*0.925)*0.74</f>
        <v>6.3769500000000007E-2</v>
      </c>
      <c r="AH444" s="54">
        <f>(2.3/0.75/2)*0.73</f>
        <v>1.1193333333333333</v>
      </c>
      <c r="AI444" s="54">
        <f>(3/0.75/2)*0.73</f>
        <v>1.46</v>
      </c>
      <c r="AJ444" s="62">
        <v>9530</v>
      </c>
      <c r="AK444" s="62">
        <v>9530</v>
      </c>
      <c r="AL444" s="62" t="s">
        <v>117</v>
      </c>
      <c r="AM444" s="52" t="s">
        <v>60</v>
      </c>
      <c r="AN444" s="62">
        <v>270</v>
      </c>
      <c r="AO444" s="61" t="s">
        <v>332</v>
      </c>
      <c r="AP444" s="59" t="str">
        <f>IFERROR(VLOOKUP($A444,[2]Mssp!$A$5:$BE$1463,AP$4+1,0),0)</f>
        <v>18081040-1</v>
      </c>
      <c r="AQ444" s="59">
        <f>IFERROR(VLOOKUP($A444,[2]Mssp!$A$5:$BE$1463,AQ$4+1,0),0)</f>
        <v>0</v>
      </c>
      <c r="AR444" s="59">
        <f>IFERROR(VLOOKUP($A444,[2]Mssp!$A$5:$BE$1463,AR$4+1,0),0)</f>
        <v>0</v>
      </c>
      <c r="AS444" s="59">
        <f>IFERROR(VLOOKUP($A444,[2]Mssp!$A$5:$BE$1463,AS$4+1,0),0)</f>
        <v>0</v>
      </c>
      <c r="AT444" s="59">
        <f>IFERROR(VLOOKUP($A444,[2]Mssp!$A$5:$BE$1463,AT$4+1,0),0)</f>
        <v>0</v>
      </c>
      <c r="AU444" s="59">
        <f>IFERROR(VLOOKUP($A444,[2]Mssp!$A$5:$BE$1463,AU$4+1,0),0)</f>
        <v>0</v>
      </c>
      <c r="AV444" s="59">
        <f>IFERROR(VLOOKUP($A444,[2]Mssp!$A$5:$BE$1463,AV$4+1,0),0)</f>
        <v>0</v>
      </c>
      <c r="AW444" s="59">
        <f>IFERROR(VLOOKUP($A444,[2]Mssp!$A$5:$BE$1463,AW$4+1,0),0)</f>
        <v>0</v>
      </c>
      <c r="AX444" s="59">
        <f>IFERROR(VLOOKUP($A444,[2]Mssp!$A$5:$BE$1463,AX$4+1,0),0)</f>
        <v>0</v>
      </c>
      <c r="AY444" s="59" t="str">
        <f>IFERROR(VLOOKUP($A444,[2]Mssp!$A$5:$BE$1463,AY$4+2,0),0)</f>
        <v>840x870</v>
      </c>
      <c r="AZ444" s="59" t="str">
        <f>IFERROR(VLOOKUP($A444,[2]Mssp!$A$5:$BE$1463,AZ$4+2,0),0)</f>
        <v>F3</v>
      </c>
      <c r="BA444" s="60">
        <v>3500</v>
      </c>
      <c r="BB444" s="61" t="s">
        <v>223</v>
      </c>
      <c r="BC444" s="84"/>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9"/>
      <c r="CK444" s="9"/>
      <c r="CL444" s="9"/>
      <c r="CM444" s="9"/>
      <c r="CN444" s="9"/>
      <c r="CO444" s="9"/>
      <c r="CP444" s="9"/>
    </row>
    <row r="445" spans="1:94" ht="45" x14ac:dyDescent="0.25">
      <c r="A445" s="50" t="s">
        <v>1465</v>
      </c>
      <c r="B445" s="57" t="s">
        <v>1466</v>
      </c>
      <c r="C445" s="50"/>
      <c r="D445" s="57">
        <v>2</v>
      </c>
      <c r="E445" s="57" t="s">
        <v>131</v>
      </c>
      <c r="F445" s="57">
        <v>1</v>
      </c>
      <c r="G445" s="50" t="s">
        <v>530</v>
      </c>
      <c r="H445" s="50">
        <f>VLOOKUP($A445,'[1]ma sp 02'!$A$5:$BD$1101,H$1,0)</f>
        <v>0</v>
      </c>
      <c r="I445" s="50">
        <f>VLOOKUP($A445,'[1]ma sp 02'!$A$5:$BD$1101,I$1,0)</f>
        <v>0</v>
      </c>
      <c r="J445" s="50">
        <f>VLOOKUP($A445,'[1]ma sp 02'!$A$5:$BD$1101,J$1,0)</f>
        <v>0</v>
      </c>
      <c r="K445" s="50">
        <f>VLOOKUP($A445,'[1]ma sp 02'!$A$5:$BD$1101,K$1,0)</f>
        <v>0</v>
      </c>
      <c r="L445" s="50">
        <f>VLOOKUP($A445,'[1]ma sp 02'!$A$5:$BD$1101,L$1,0)</f>
        <v>0</v>
      </c>
      <c r="M445" s="50">
        <f>VLOOKUP($A445,'[1]ma sp 02'!$A$5:$BD$1101,M$1,0)</f>
        <v>0</v>
      </c>
      <c r="N445" s="50">
        <f>VLOOKUP($A445,'[1]ma sp 02'!$A$5:$BD$1101,N$1,0)</f>
        <v>4.53</v>
      </c>
      <c r="O445" s="50">
        <f>VLOOKUP($A445,'[1]ma sp 02'!$A$5:$BD$1101,O$1,0)</f>
        <v>0</v>
      </c>
      <c r="P445" s="50">
        <f>VLOOKUP($A445,'[1]ma sp 02'!$A$5:$BD$1101,P$1,0)</f>
        <v>0</v>
      </c>
      <c r="Q445" s="50">
        <f>VLOOKUP($A445,'[1]ma sp 02'!$A$5:$BD$1101,Q$1,0)</f>
        <v>0</v>
      </c>
      <c r="R445" s="50">
        <f>VLOOKUP($A445,'[1]ma sp 02'!$A$5:$BD$1101,R$1,0)</f>
        <v>0</v>
      </c>
      <c r="S445" s="50">
        <f>VLOOKUP($A445,'[1]ma sp 02'!$A$5:$BD$1101,S$1,0)</f>
        <v>0</v>
      </c>
      <c r="T445" s="50">
        <f>VLOOKUP($A445,'[1]ma sp 02'!$A$5:$BD$1101,T$1,0)</f>
        <v>0</v>
      </c>
      <c r="U445" s="50">
        <f>VLOOKUP($A445,'[1]ma sp 02'!$A$5:$BD$1101,U$1,0)</f>
        <v>0</v>
      </c>
      <c r="V445" s="50">
        <f>VLOOKUP($A445,'[1]ma sp 02'!$A$5:$BD$1101,V$1,0)</f>
        <v>0</v>
      </c>
      <c r="W445" s="50">
        <f>VLOOKUP($A445,'[1]ma sp 02'!$A$5:$BD$1101,W$1,0)</f>
        <v>0</v>
      </c>
      <c r="X445" s="50">
        <f t="shared" si="14"/>
        <v>1</v>
      </c>
      <c r="Y445" s="62"/>
      <c r="Z445" s="62"/>
      <c r="AA445" s="62"/>
      <c r="AB445" s="62"/>
      <c r="AC445" s="62"/>
      <c r="AD445" s="62"/>
      <c r="AE445" s="62" t="s">
        <v>78</v>
      </c>
      <c r="AF445" s="62" t="s">
        <v>72</v>
      </c>
      <c r="AG445" s="62">
        <f>(0.012*1.4+0.075*0.925)*0.62</f>
        <v>5.3428500000000004E-2</v>
      </c>
      <c r="AH445" s="54">
        <f>(2.3/0.75/2)*0.61</f>
        <v>0.93533333333333324</v>
      </c>
      <c r="AI445" s="54">
        <f>(3/0.75/2)*0.61</f>
        <v>1.22</v>
      </c>
      <c r="AJ445" s="62">
        <v>9530</v>
      </c>
      <c r="AK445" s="62">
        <v>9530</v>
      </c>
      <c r="AL445" s="62" t="s">
        <v>117</v>
      </c>
      <c r="AM445" s="52" t="s">
        <v>60</v>
      </c>
      <c r="AN445" s="62">
        <v>340</v>
      </c>
      <c r="AO445" s="61" t="s">
        <v>332</v>
      </c>
      <c r="AP445" s="59" t="str">
        <f>IFERROR(VLOOKUP($A445,[2]Mssp!$A$5:$BE$1463,AP$4+1,0),0)</f>
        <v>18081041-1</v>
      </c>
      <c r="AQ445" s="59">
        <f>IFERROR(VLOOKUP($A445,[2]Mssp!$A$5:$BE$1463,AQ$4+1,0),0)</f>
        <v>0</v>
      </c>
      <c r="AR445" s="59">
        <f>IFERROR(VLOOKUP($A445,[2]Mssp!$A$5:$BE$1463,AR$4+1,0),0)</f>
        <v>0</v>
      </c>
      <c r="AS445" s="59">
        <f>IFERROR(VLOOKUP($A445,[2]Mssp!$A$5:$BE$1463,AS$4+1,0),0)</f>
        <v>0</v>
      </c>
      <c r="AT445" s="59">
        <f>IFERROR(VLOOKUP($A445,[2]Mssp!$A$5:$BE$1463,AT$4+1,0),0)</f>
        <v>0</v>
      </c>
      <c r="AU445" s="59">
        <f>IFERROR(VLOOKUP($A445,[2]Mssp!$A$5:$BE$1463,AU$4+1,0),0)</f>
        <v>0</v>
      </c>
      <c r="AV445" s="59">
        <f>IFERROR(VLOOKUP($A445,[2]Mssp!$A$5:$BE$1463,AV$4+1,0),0)</f>
        <v>0</v>
      </c>
      <c r="AW445" s="59">
        <f>IFERROR(VLOOKUP($A445,[2]Mssp!$A$5:$BE$1463,AW$4+1,0),0)</f>
        <v>0</v>
      </c>
      <c r="AX445" s="59">
        <f>IFERROR(VLOOKUP($A445,[2]Mssp!$A$5:$BE$1463,AX$4+1,0),0)</f>
        <v>0</v>
      </c>
      <c r="AY445" s="59" t="str">
        <f>IFERROR(VLOOKUP($A445,[2]Mssp!$A$5:$BE$1463,AY$4+2,0),0)</f>
        <v>680x750</v>
      </c>
      <c r="AZ445" s="59" t="str">
        <f>IFERROR(VLOOKUP($A445,[2]Mssp!$A$5:$BE$1463,AZ$4+2,0),0)</f>
        <v>F3</v>
      </c>
      <c r="BA445" s="60">
        <v>2500</v>
      </c>
      <c r="BB445" s="61" t="s">
        <v>223</v>
      </c>
      <c r="BC445" s="84"/>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c r="CK445" s="9"/>
      <c r="CL445" s="9"/>
      <c r="CM445" s="9"/>
      <c r="CN445" s="9"/>
      <c r="CO445" s="9"/>
      <c r="CP445" s="9"/>
    </row>
    <row r="446" spans="1:94" ht="90" x14ac:dyDescent="0.25">
      <c r="A446" s="50" t="s">
        <v>1467</v>
      </c>
      <c r="B446" s="57" t="s">
        <v>1468</v>
      </c>
      <c r="C446" s="50"/>
      <c r="D446" s="57">
        <v>2</v>
      </c>
      <c r="E446" s="57" t="s">
        <v>484</v>
      </c>
      <c r="F446" s="57">
        <v>1</v>
      </c>
      <c r="G446" s="50" t="s">
        <v>530</v>
      </c>
      <c r="H446" s="50">
        <f>VLOOKUP($A446,'[1]ma sp 02'!$A$5:$BD$1101,H$1,0)</f>
        <v>0</v>
      </c>
      <c r="I446" s="50">
        <f>VLOOKUP($A446,'[1]ma sp 02'!$A$5:$BD$1101,I$1,0)</f>
        <v>0</v>
      </c>
      <c r="J446" s="50">
        <f>VLOOKUP($A446,'[1]ma sp 02'!$A$5:$BD$1101,J$1,0)</f>
        <v>0</v>
      </c>
      <c r="K446" s="50">
        <f>VLOOKUP($A446,'[1]ma sp 02'!$A$5:$BD$1101,K$1,0)</f>
        <v>0</v>
      </c>
      <c r="L446" s="50">
        <f>VLOOKUP($A446,'[1]ma sp 02'!$A$5:$BD$1101,L$1,0)</f>
        <v>0</v>
      </c>
      <c r="M446" s="50">
        <f>VLOOKUP($A446,'[1]ma sp 02'!$A$5:$BD$1101,M$1,0)</f>
        <v>0</v>
      </c>
      <c r="N446" s="50">
        <f>VLOOKUP($A446,'[1]ma sp 02'!$A$5:$BD$1101,N$1,0)</f>
        <v>3.95</v>
      </c>
      <c r="O446" s="50">
        <f>VLOOKUP($A446,'[1]ma sp 02'!$A$5:$BD$1101,O$1,0)</f>
        <v>0</v>
      </c>
      <c r="P446" s="50">
        <f>VLOOKUP($A446,'[1]ma sp 02'!$A$5:$BD$1101,P$1,0)</f>
        <v>0</v>
      </c>
      <c r="Q446" s="50">
        <f>VLOOKUP($A446,'[1]ma sp 02'!$A$5:$BD$1101,Q$1,0)</f>
        <v>0</v>
      </c>
      <c r="R446" s="50">
        <f>VLOOKUP($A446,'[1]ma sp 02'!$A$5:$BD$1101,R$1,0)</f>
        <v>0</v>
      </c>
      <c r="S446" s="50">
        <f>VLOOKUP($A446,'[1]ma sp 02'!$A$5:$BD$1101,S$1,0)</f>
        <v>0</v>
      </c>
      <c r="T446" s="50">
        <f>VLOOKUP($A446,'[1]ma sp 02'!$A$5:$BD$1101,T$1,0)</f>
        <v>0</v>
      </c>
      <c r="U446" s="50">
        <f>VLOOKUP($A446,'[1]ma sp 02'!$A$5:$BD$1101,U$1,0)</f>
        <v>0</v>
      </c>
      <c r="V446" s="50">
        <f>VLOOKUP($A446,'[1]ma sp 02'!$A$5:$BD$1101,V$1,0)</f>
        <v>0</v>
      </c>
      <c r="W446" s="50">
        <f>VLOOKUP($A446,'[1]ma sp 02'!$A$5:$BD$1101,W$1,0)</f>
        <v>0</v>
      </c>
      <c r="X446" s="50">
        <f t="shared" si="14"/>
        <v>1</v>
      </c>
      <c r="Y446" s="62"/>
      <c r="Z446" s="62"/>
      <c r="AA446" s="62"/>
      <c r="AB446" s="62"/>
      <c r="AC446" s="62"/>
      <c r="AD446" s="62"/>
      <c r="AE446" s="62" t="s">
        <v>1469</v>
      </c>
      <c r="AF446" s="52" t="s">
        <v>486</v>
      </c>
      <c r="AG446" s="62">
        <f>(0.012*1.4+0.075*0.925)*0.76</f>
        <v>6.5492999999999996E-2</v>
      </c>
      <c r="AH446" s="54">
        <f>(2.3/0.75/2)*0.75</f>
        <v>1.1499999999999999</v>
      </c>
      <c r="AI446" s="54">
        <f>(3/0.75/2)*0.75</f>
        <v>1.5</v>
      </c>
      <c r="AJ446" s="62">
        <v>9530</v>
      </c>
      <c r="AK446" s="62">
        <v>9530</v>
      </c>
      <c r="AL446" s="62" t="s">
        <v>117</v>
      </c>
      <c r="AM446" s="52" t="s">
        <v>60</v>
      </c>
      <c r="AN446" s="62">
        <v>420</v>
      </c>
      <c r="AO446" s="61" t="s">
        <v>332</v>
      </c>
      <c r="AP446" s="59" t="str">
        <f>IFERROR(VLOOKUP($A446,[2]Mssp!$A$5:$BE$1463,AP$4+1,0),0)</f>
        <v>18081042-1</v>
      </c>
      <c r="AQ446" s="59">
        <f>IFERROR(VLOOKUP($A446,[2]Mssp!$A$5:$BE$1463,AQ$4+1,0),0)</f>
        <v>0</v>
      </c>
      <c r="AR446" s="59">
        <f>IFERROR(VLOOKUP($A446,[2]Mssp!$A$5:$BE$1463,AR$4+1,0),0)</f>
        <v>0</v>
      </c>
      <c r="AS446" s="59">
        <f>IFERROR(VLOOKUP($A446,[2]Mssp!$A$5:$BE$1463,AS$4+1,0),0)</f>
        <v>0</v>
      </c>
      <c r="AT446" s="59">
        <f>IFERROR(VLOOKUP($A446,[2]Mssp!$A$5:$BE$1463,AT$4+1,0),0)</f>
        <v>0</v>
      </c>
      <c r="AU446" s="59">
        <f>IFERROR(VLOOKUP($A446,[2]Mssp!$A$5:$BE$1463,AU$4+1,0),0)</f>
        <v>0</v>
      </c>
      <c r="AV446" s="59">
        <f>IFERROR(VLOOKUP($A446,[2]Mssp!$A$5:$BE$1463,AV$4+1,0),0)</f>
        <v>0</v>
      </c>
      <c r="AW446" s="59">
        <f>IFERROR(VLOOKUP($A446,[2]Mssp!$A$5:$BE$1463,AW$4+1,0),0)</f>
        <v>0</v>
      </c>
      <c r="AX446" s="59">
        <f>IFERROR(VLOOKUP($A446,[2]Mssp!$A$5:$BE$1463,AX$4+1,0),0)</f>
        <v>0</v>
      </c>
      <c r="AY446" s="59" t="str">
        <f>IFERROR(VLOOKUP($A446,[2]Mssp!$A$5:$BE$1463,AY$4+2,0),0)</f>
        <v>420x870</v>
      </c>
      <c r="AZ446" s="59" t="str">
        <f>IFERROR(VLOOKUP($A446,[2]Mssp!$A$5:$BE$1463,AZ$4+2,0),0)</f>
        <v>F3</v>
      </c>
      <c r="BA446" s="60">
        <v>1500</v>
      </c>
      <c r="BB446" s="61" t="s">
        <v>119</v>
      </c>
      <c r="BC446" s="84"/>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9"/>
      <c r="CK446" s="9"/>
      <c r="CL446" s="9"/>
      <c r="CM446" s="9"/>
      <c r="CN446" s="9"/>
      <c r="CO446" s="9"/>
      <c r="CP446" s="9"/>
    </row>
    <row r="447" spans="1:94" ht="45" x14ac:dyDescent="0.25">
      <c r="A447" s="50" t="s">
        <v>1470</v>
      </c>
      <c r="B447" s="57" t="s">
        <v>1471</v>
      </c>
      <c r="C447" s="50"/>
      <c r="D447" s="57">
        <v>3</v>
      </c>
      <c r="E447" s="57" t="s">
        <v>113</v>
      </c>
      <c r="F447" s="57">
        <v>6</v>
      </c>
      <c r="G447" s="50" t="s">
        <v>530</v>
      </c>
      <c r="H447" s="50">
        <f>VLOOKUP($A447,'[1]ma sp 02'!$A$5:$BD$1101,H$1,0)</f>
        <v>0.17</v>
      </c>
      <c r="I447" s="50">
        <f>VLOOKUP($A447,'[1]ma sp 02'!$A$5:$BD$1101,I$1,0)</f>
        <v>1.23</v>
      </c>
      <c r="J447" s="50">
        <f>VLOOKUP($A447,'[1]ma sp 02'!$A$5:$BD$1101,J$1,0)</f>
        <v>0.55000000000000004</v>
      </c>
      <c r="K447" s="50">
        <f>VLOOKUP($A447,'[1]ma sp 02'!$A$5:$BD$1101,K$1,0)</f>
        <v>0.41</v>
      </c>
      <c r="L447" s="50">
        <f>VLOOKUP($A447,'[1]ma sp 02'!$A$5:$BD$1101,L$1,0)</f>
        <v>0.81</v>
      </c>
      <c r="M447" s="50">
        <f>VLOOKUP($A447,'[1]ma sp 02'!$A$5:$BD$1101,M$1,0)</f>
        <v>0.86</v>
      </c>
      <c r="N447" s="50">
        <f>VLOOKUP($A447,'[1]ma sp 02'!$A$5:$BD$1101,N$1,0)</f>
        <v>2</v>
      </c>
      <c r="O447" s="50">
        <f>VLOOKUP($A447,'[1]ma sp 02'!$A$5:$BD$1101,O$1,0)</f>
        <v>0</v>
      </c>
      <c r="P447" s="50">
        <f>VLOOKUP($A447,'[1]ma sp 02'!$A$5:$BD$1101,P$1,0)</f>
        <v>0</v>
      </c>
      <c r="Q447" s="50">
        <f>VLOOKUP($A447,'[1]ma sp 02'!$A$5:$BD$1101,Q$1,0)</f>
        <v>0</v>
      </c>
      <c r="R447" s="50">
        <f>VLOOKUP($A447,'[1]ma sp 02'!$A$5:$BD$1101,R$1,0)</f>
        <v>0</v>
      </c>
      <c r="S447" s="50">
        <f>VLOOKUP($A447,'[1]ma sp 02'!$A$5:$BD$1101,S$1,0)</f>
        <v>0</v>
      </c>
      <c r="T447" s="50">
        <f>VLOOKUP($A447,'[1]ma sp 02'!$A$5:$BD$1101,T$1,0)</f>
        <v>0</v>
      </c>
      <c r="U447" s="50">
        <f>VLOOKUP($A447,'[1]ma sp 02'!$A$5:$BD$1101,U$1,0)</f>
        <v>0</v>
      </c>
      <c r="V447" s="50">
        <f>VLOOKUP($A447,'[1]ma sp 02'!$A$5:$BD$1101,V$1,0)</f>
        <v>0</v>
      </c>
      <c r="W447" s="50">
        <f>VLOOKUP($A447,'[1]ma sp 02'!$A$5:$BD$1101,W$1,0)</f>
        <v>0</v>
      </c>
      <c r="X447" s="50">
        <f t="shared" si="14"/>
        <v>7</v>
      </c>
      <c r="Y447" s="62"/>
      <c r="Z447" s="62"/>
      <c r="AA447" s="62"/>
      <c r="AB447" s="62"/>
      <c r="AC447" s="62"/>
      <c r="AD447" s="62"/>
      <c r="AE447" s="62" t="s">
        <v>115</v>
      </c>
      <c r="AF447" s="62" t="s">
        <v>321</v>
      </c>
      <c r="AG447" s="62">
        <v>6.3769500000000007E-2</v>
      </c>
      <c r="AH447" s="54">
        <v>1.1193333333333333</v>
      </c>
      <c r="AI447" s="62">
        <v>1.46</v>
      </c>
      <c r="AJ447" s="62">
        <v>9530</v>
      </c>
      <c r="AK447" s="62">
        <v>9530</v>
      </c>
      <c r="AL447" s="62" t="s">
        <v>117</v>
      </c>
      <c r="AM447" s="61" t="s">
        <v>60</v>
      </c>
      <c r="AN447" s="62">
        <v>270</v>
      </c>
      <c r="AO447" s="61" t="s">
        <v>332</v>
      </c>
      <c r="AP447" s="59" t="str">
        <f>IFERROR(VLOOKUP($A447,[2]Mssp!$A$5:$BE$1463,AP$4+1,0),0)</f>
        <v>1809154-1</v>
      </c>
      <c r="AQ447" s="59" t="str">
        <f>IFERROR(VLOOKUP($A447,[2]Mssp!$A$5:$BE$1463,AQ$4+1,0),0)</f>
        <v>1809154-2</v>
      </c>
      <c r="AR447" s="59" t="str">
        <f>IFERROR(VLOOKUP($A447,[2]Mssp!$A$5:$BE$1463,AR$4+1,0),0)</f>
        <v>1809154-3</v>
      </c>
      <c r="AS447" s="59" t="str">
        <f>IFERROR(VLOOKUP($A447,[2]Mssp!$A$5:$BE$1463,AS$4+1,0),0)</f>
        <v>1809154-4</v>
      </c>
      <c r="AT447" s="59" t="str">
        <f>IFERROR(VLOOKUP($A447,[2]Mssp!$A$5:$BE$1463,AT$4+1,0),0)</f>
        <v>1809154-5</v>
      </c>
      <c r="AU447" s="59" t="str">
        <f>IFERROR(VLOOKUP($A447,[2]Mssp!$A$5:$BE$1463,AU$4+1,0),0)</f>
        <v>1809154-6</v>
      </c>
      <c r="AV447" s="59">
        <f>IFERROR(VLOOKUP($A447,[2]Mssp!$A$5:$BE$1463,AV$4+1,0),0)</f>
        <v>0</v>
      </c>
      <c r="AW447" s="59">
        <f>IFERROR(VLOOKUP($A447,[2]Mssp!$A$5:$BE$1463,AW$4+1,0),0)</f>
        <v>0</v>
      </c>
      <c r="AX447" s="59">
        <f>IFERROR(VLOOKUP($A447,[2]Mssp!$A$5:$BE$1463,AX$4+1,0),0)</f>
        <v>0</v>
      </c>
      <c r="AY447" s="59" t="str">
        <f>IFERROR(VLOOKUP($A447,[2]Mssp!$A$5:$BE$1463,AY$4+2,0),0)</f>
        <v>540x850</v>
      </c>
      <c r="AZ447" s="59" t="str">
        <f>IFERROR(VLOOKUP($A447,[2]Mssp!$A$5:$BE$1463,AZ$4+2,0),0)</f>
        <v>F4</v>
      </c>
      <c r="BA447" s="60">
        <v>3500</v>
      </c>
      <c r="BB447" s="61" t="s">
        <v>223</v>
      </c>
      <c r="BC447" s="84"/>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c r="CK447" s="9"/>
      <c r="CL447" s="9"/>
      <c r="CM447" s="9"/>
      <c r="CN447" s="9"/>
      <c r="CO447" s="9"/>
      <c r="CP447" s="9"/>
    </row>
    <row r="448" spans="1:94" ht="45" x14ac:dyDescent="0.25">
      <c r="A448" s="50" t="s">
        <v>1472</v>
      </c>
      <c r="B448" s="57" t="s">
        <v>1473</v>
      </c>
      <c r="C448" s="50"/>
      <c r="D448" s="57">
        <v>2</v>
      </c>
      <c r="E448" s="57" t="s">
        <v>131</v>
      </c>
      <c r="F448" s="57">
        <v>6</v>
      </c>
      <c r="G448" s="50" t="s">
        <v>530</v>
      </c>
      <c r="H448" s="50">
        <f>VLOOKUP($A448,'[1]ma sp 02'!$A$5:$BD$1101,H$1,0)</f>
        <v>0.14000000000000001</v>
      </c>
      <c r="I448" s="50">
        <f>VLOOKUP($A448,'[1]ma sp 02'!$A$5:$BD$1101,I$1,0)</f>
        <v>1.66</v>
      </c>
      <c r="J448" s="50">
        <f>VLOOKUP($A448,'[1]ma sp 02'!$A$5:$BD$1101,J$1,0)</f>
        <v>0.49</v>
      </c>
      <c r="K448" s="50">
        <f>VLOOKUP($A448,'[1]ma sp 02'!$A$5:$BD$1101,K$1,0)</f>
        <v>0</v>
      </c>
      <c r="L448" s="50">
        <f>VLOOKUP($A448,'[1]ma sp 02'!$A$5:$BD$1101,L$1,0)</f>
        <v>0.79</v>
      </c>
      <c r="M448" s="50">
        <f>VLOOKUP($A448,'[1]ma sp 02'!$A$5:$BD$1101,M$1,0)</f>
        <v>0.63</v>
      </c>
      <c r="N448" s="50">
        <f>VLOOKUP($A448,'[1]ma sp 02'!$A$5:$BD$1101,N$1,0)</f>
        <v>2.2000000000000002</v>
      </c>
      <c r="O448" s="50">
        <f>VLOOKUP($A448,'[1]ma sp 02'!$A$5:$BD$1101,O$1,0)</f>
        <v>0</v>
      </c>
      <c r="P448" s="50">
        <f>VLOOKUP($A448,'[1]ma sp 02'!$A$5:$BD$1101,P$1,0)</f>
        <v>0</v>
      </c>
      <c r="Q448" s="50">
        <f>VLOOKUP($A448,'[1]ma sp 02'!$A$5:$BD$1101,Q$1,0)</f>
        <v>0</v>
      </c>
      <c r="R448" s="50">
        <f>VLOOKUP($A448,'[1]ma sp 02'!$A$5:$BD$1101,R$1,0)</f>
        <v>0</v>
      </c>
      <c r="S448" s="50">
        <f>VLOOKUP($A448,'[1]ma sp 02'!$A$5:$BD$1101,S$1,0)</f>
        <v>0</v>
      </c>
      <c r="T448" s="50">
        <f>VLOOKUP($A448,'[1]ma sp 02'!$A$5:$BD$1101,T$1,0)</f>
        <v>0</v>
      </c>
      <c r="U448" s="50">
        <f>VLOOKUP($A448,'[1]ma sp 02'!$A$5:$BD$1101,U$1,0)</f>
        <v>0</v>
      </c>
      <c r="V448" s="50">
        <f>VLOOKUP($A448,'[1]ma sp 02'!$A$5:$BD$1101,V$1,0)</f>
        <v>0</v>
      </c>
      <c r="W448" s="50">
        <f>VLOOKUP($A448,'[1]ma sp 02'!$A$5:$BD$1101,W$1,0)</f>
        <v>0</v>
      </c>
      <c r="X448" s="50">
        <f t="shared" si="14"/>
        <v>6</v>
      </c>
      <c r="Y448" s="62"/>
      <c r="Z448" s="62"/>
      <c r="AA448" s="62"/>
      <c r="AB448" s="62"/>
      <c r="AC448" s="62"/>
      <c r="AD448" s="62"/>
      <c r="AE448" s="62" t="s">
        <v>78</v>
      </c>
      <c r="AF448" s="62" t="s">
        <v>72</v>
      </c>
      <c r="AG448" s="62">
        <v>5.3428500000000004E-2</v>
      </c>
      <c r="AH448" s="54">
        <v>0.93533333333333324</v>
      </c>
      <c r="AI448" s="62">
        <v>1.22</v>
      </c>
      <c r="AJ448" s="62">
        <v>9530</v>
      </c>
      <c r="AK448" s="62">
        <v>9530</v>
      </c>
      <c r="AL448" s="62" t="s">
        <v>117</v>
      </c>
      <c r="AM448" s="61" t="s">
        <v>60</v>
      </c>
      <c r="AN448" s="62">
        <v>340</v>
      </c>
      <c r="AO448" s="61" t="s">
        <v>332</v>
      </c>
      <c r="AP448" s="59" t="str">
        <f>IFERROR(VLOOKUP($A448,[2]Mssp!$A$5:$BE$1463,AP$4+1,0),0)</f>
        <v>1809155-1</v>
      </c>
      <c r="AQ448" s="59" t="str">
        <f>IFERROR(VLOOKUP($A448,[2]Mssp!$A$5:$BE$1463,AQ$4+1,0),0)</f>
        <v>1809155-2</v>
      </c>
      <c r="AR448" s="59" t="str">
        <f>IFERROR(VLOOKUP($A448,[2]Mssp!$A$5:$BE$1463,AR$4+1,0),0)</f>
        <v>1809155-3</v>
      </c>
      <c r="AS448" s="59" t="str">
        <f>IFERROR(VLOOKUP($A448,[2]Mssp!$A$5:$BE$1463,AS$4+1,0),0)</f>
        <v>1809155-4</v>
      </c>
      <c r="AT448" s="59" t="str">
        <f>IFERROR(VLOOKUP($A448,[2]Mssp!$A$5:$BE$1463,AT$4+1,0),0)</f>
        <v>1809155-5</v>
      </c>
      <c r="AU448" s="59" t="str">
        <f>IFERROR(VLOOKUP($A448,[2]Mssp!$A$5:$BE$1463,AU$4+1,0),0)</f>
        <v>1809155-6</v>
      </c>
      <c r="AV448" s="59">
        <f>IFERROR(VLOOKUP($A448,[2]Mssp!$A$5:$BE$1463,AV$4+1,0),0)</f>
        <v>0</v>
      </c>
      <c r="AW448" s="59">
        <f>IFERROR(VLOOKUP($A448,[2]Mssp!$A$5:$BE$1463,AW$4+1,0),0)</f>
        <v>0</v>
      </c>
      <c r="AX448" s="59">
        <f>IFERROR(VLOOKUP($A448,[2]Mssp!$A$5:$BE$1463,AX$4+1,0),0)</f>
        <v>0</v>
      </c>
      <c r="AY448" s="59" t="str">
        <f>IFERROR(VLOOKUP($A448,[2]Mssp!$A$5:$BE$1463,AY$4+2,0),0)</f>
        <v>680x750</v>
      </c>
      <c r="AZ448" s="59" t="str">
        <f>IFERROR(VLOOKUP($A448,[2]Mssp!$A$5:$BE$1463,AZ$4+2,0),0)</f>
        <v>F4</v>
      </c>
      <c r="BA448" s="60">
        <v>2500</v>
      </c>
      <c r="BB448" s="61" t="s">
        <v>223</v>
      </c>
      <c r="BC448" s="84"/>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9"/>
      <c r="CK448" s="9"/>
      <c r="CL448" s="9"/>
      <c r="CM448" s="9"/>
      <c r="CN448" s="9"/>
      <c r="CO448" s="9"/>
      <c r="CP448" s="9"/>
    </row>
    <row r="449" spans="1:94" ht="45" x14ac:dyDescent="0.25">
      <c r="A449" s="50" t="s">
        <v>1474</v>
      </c>
      <c r="B449" s="9" t="s">
        <v>1475</v>
      </c>
      <c r="C449" s="50"/>
      <c r="D449" s="57">
        <v>2</v>
      </c>
      <c r="E449" s="57" t="s">
        <v>131</v>
      </c>
      <c r="F449" s="57">
        <v>6</v>
      </c>
      <c r="G449" s="50" t="s">
        <v>530</v>
      </c>
      <c r="H449" s="50">
        <f>VLOOKUP($A449,'[1]ma sp 02'!$A$5:$BD$1101,H$1,0)</f>
        <v>0.03</v>
      </c>
      <c r="I449" s="50">
        <f>VLOOKUP($A449,'[1]ma sp 02'!$A$5:$BD$1101,I$1,0)</f>
        <v>1.7</v>
      </c>
      <c r="J449" s="50">
        <f>VLOOKUP($A449,'[1]ma sp 02'!$A$5:$BD$1101,J$1,0)</f>
        <v>0.33</v>
      </c>
      <c r="K449" s="50">
        <f>VLOOKUP($A449,'[1]ma sp 02'!$A$5:$BD$1101,K$1,0)</f>
        <v>0.22</v>
      </c>
      <c r="L449" s="50">
        <f>VLOOKUP($A449,'[1]ma sp 02'!$A$5:$BD$1101,L$1,0)</f>
        <v>0.89</v>
      </c>
      <c r="M449" s="50">
        <f>VLOOKUP($A449,'[1]ma sp 02'!$A$5:$BD$1101,M$1,0)</f>
        <v>0.22</v>
      </c>
      <c r="N449" s="50">
        <f>VLOOKUP($A449,'[1]ma sp 02'!$A$5:$BD$1101,N$1,0)</f>
        <v>1.98</v>
      </c>
      <c r="O449" s="50">
        <f>VLOOKUP($A449,'[1]ma sp 02'!$A$5:$BD$1101,O$1,0)</f>
        <v>0</v>
      </c>
      <c r="P449" s="50">
        <f>VLOOKUP($A449,'[1]ma sp 02'!$A$5:$BD$1101,P$1,0)</f>
        <v>0</v>
      </c>
      <c r="Q449" s="50">
        <f>VLOOKUP($A449,'[1]ma sp 02'!$A$5:$BD$1101,Q$1,0)</f>
        <v>0</v>
      </c>
      <c r="R449" s="50">
        <f>VLOOKUP($A449,'[1]ma sp 02'!$A$5:$BD$1101,R$1,0)</f>
        <v>0</v>
      </c>
      <c r="S449" s="50">
        <f>VLOOKUP($A449,'[1]ma sp 02'!$A$5:$BD$1101,S$1,0)</f>
        <v>0</v>
      </c>
      <c r="T449" s="50">
        <f>VLOOKUP($A449,'[1]ma sp 02'!$A$5:$BD$1101,T$1,0)</f>
        <v>0</v>
      </c>
      <c r="U449" s="50">
        <f>VLOOKUP($A449,'[1]ma sp 02'!$A$5:$BD$1101,U$1,0)</f>
        <v>0</v>
      </c>
      <c r="V449" s="50">
        <f>VLOOKUP($A449,'[1]ma sp 02'!$A$5:$BD$1101,V$1,0)</f>
        <v>0</v>
      </c>
      <c r="W449" s="50">
        <f>VLOOKUP($A449,'[1]ma sp 02'!$A$5:$BD$1101,W$1,0)</f>
        <v>0</v>
      </c>
      <c r="X449" s="50">
        <f t="shared" si="14"/>
        <v>7</v>
      </c>
      <c r="Y449" s="62"/>
      <c r="Z449" s="62"/>
      <c r="AA449" s="62"/>
      <c r="AB449" s="62"/>
      <c r="AC449" s="62"/>
      <c r="AD449" s="62"/>
      <c r="AE449" s="62" t="s">
        <v>78</v>
      </c>
      <c r="AF449" s="62" t="s">
        <v>72</v>
      </c>
      <c r="AG449" s="62">
        <v>5.3428500000000004E-2</v>
      </c>
      <c r="AH449" s="54">
        <v>0.93533333333333324</v>
      </c>
      <c r="AI449" s="62">
        <v>1.22</v>
      </c>
      <c r="AJ449" s="62">
        <v>9530</v>
      </c>
      <c r="AK449" s="62">
        <v>9530</v>
      </c>
      <c r="AL449" s="62" t="s">
        <v>117</v>
      </c>
      <c r="AM449" s="61" t="s">
        <v>60</v>
      </c>
      <c r="AN449" s="62">
        <v>340</v>
      </c>
      <c r="AO449" s="61" t="s">
        <v>332</v>
      </c>
      <c r="AP449" s="59" t="str">
        <f>IFERROR(VLOOKUP($A449,[2]Mssp!$A$5:$BE$1463,AP$4+1,0),0)</f>
        <v>1809156-1</v>
      </c>
      <c r="AQ449" s="59" t="str">
        <f>IFERROR(VLOOKUP($A449,[2]Mssp!$A$5:$BE$1463,AQ$4+1,0),0)</f>
        <v>1809156-2</v>
      </c>
      <c r="AR449" s="59" t="str">
        <f>IFERROR(VLOOKUP($A449,[2]Mssp!$A$5:$BE$1463,AR$4+1,0),0)</f>
        <v>1809156-3</v>
      </c>
      <c r="AS449" s="59" t="str">
        <f>IFERROR(VLOOKUP($A449,[2]Mssp!$A$5:$BE$1463,AS$4+1,0),0)</f>
        <v>1809156-4</v>
      </c>
      <c r="AT449" s="59" t="str">
        <f>IFERROR(VLOOKUP($A449,[2]Mssp!$A$5:$BE$1463,AT$4+1,0),0)</f>
        <v>1809156-5</v>
      </c>
      <c r="AU449" s="59" t="str">
        <f>IFERROR(VLOOKUP($A449,[2]Mssp!$A$5:$BE$1463,AU$4+1,0),0)</f>
        <v>1809156-6</v>
      </c>
      <c r="AV449" s="59">
        <f>IFERROR(VLOOKUP($A449,[2]Mssp!$A$5:$BE$1463,AV$4+1,0),0)</f>
        <v>0</v>
      </c>
      <c r="AW449" s="59">
        <f>IFERROR(VLOOKUP($A449,[2]Mssp!$A$5:$BE$1463,AW$4+1,0),0)</f>
        <v>0</v>
      </c>
      <c r="AX449" s="59">
        <f>IFERROR(VLOOKUP($A449,[2]Mssp!$A$5:$BE$1463,AX$4+1,0),0)</f>
        <v>0</v>
      </c>
      <c r="AY449" s="59" t="str">
        <f>IFERROR(VLOOKUP($A449,[2]Mssp!$A$5:$BE$1463,AY$4+2,0),0)</f>
        <v>540x750</v>
      </c>
      <c r="AZ449" s="59" t="str">
        <f>IFERROR(VLOOKUP($A449,[2]Mssp!$A$5:$BE$1463,AZ$4+2,0),0)</f>
        <v>F4</v>
      </c>
      <c r="BA449" s="60">
        <v>2500</v>
      </c>
      <c r="BB449" s="61" t="s">
        <v>223</v>
      </c>
      <c r="BC449" s="84"/>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c r="CK449" s="9"/>
      <c r="CL449" s="9"/>
      <c r="CM449" s="9"/>
      <c r="CN449" s="9"/>
      <c r="CO449" s="9"/>
      <c r="CP449" s="9"/>
    </row>
    <row r="450" spans="1:94" ht="90" x14ac:dyDescent="0.25">
      <c r="A450" s="50" t="s">
        <v>1476</v>
      </c>
      <c r="B450" s="57" t="s">
        <v>1477</v>
      </c>
      <c r="C450" s="50"/>
      <c r="D450" s="57">
        <v>2</v>
      </c>
      <c r="E450" s="57" t="s">
        <v>484</v>
      </c>
      <c r="F450" s="57">
        <v>6</v>
      </c>
      <c r="G450" s="50" t="s">
        <v>530</v>
      </c>
      <c r="H450" s="50">
        <f>VLOOKUP($A450,'[1]ma sp 02'!$A$5:$BD$1101,H$1,0)</f>
        <v>0.01</v>
      </c>
      <c r="I450" s="50">
        <f>VLOOKUP($A450,'[1]ma sp 02'!$A$5:$BD$1101,I$1,0)</f>
        <v>1.69</v>
      </c>
      <c r="J450" s="50">
        <f>VLOOKUP($A450,'[1]ma sp 02'!$A$5:$BD$1101,J$1,0)</f>
        <v>0.33</v>
      </c>
      <c r="K450" s="50">
        <f>VLOOKUP($A450,'[1]ma sp 02'!$A$5:$BD$1101,K$1,0)</f>
        <v>0.08</v>
      </c>
      <c r="L450" s="50">
        <f>VLOOKUP($A450,'[1]ma sp 02'!$A$5:$BD$1101,L$1,0)</f>
        <v>0.85</v>
      </c>
      <c r="M450" s="50">
        <f>VLOOKUP($A450,'[1]ma sp 02'!$A$5:$BD$1101,M$1,0)</f>
        <v>0.67</v>
      </c>
      <c r="N450" s="50">
        <f>VLOOKUP($A450,'[1]ma sp 02'!$A$5:$BD$1101,N$1,0)</f>
        <v>1.6</v>
      </c>
      <c r="O450" s="50">
        <f>VLOOKUP($A450,'[1]ma sp 02'!$A$5:$BD$1101,O$1,0)</f>
        <v>0</v>
      </c>
      <c r="P450" s="50">
        <f>VLOOKUP($A450,'[1]ma sp 02'!$A$5:$BD$1101,P$1,0)</f>
        <v>0</v>
      </c>
      <c r="Q450" s="50">
        <f>VLOOKUP($A450,'[1]ma sp 02'!$A$5:$BD$1101,Q$1,0)</f>
        <v>0</v>
      </c>
      <c r="R450" s="50">
        <f>VLOOKUP($A450,'[1]ma sp 02'!$A$5:$BD$1101,R$1,0)</f>
        <v>0</v>
      </c>
      <c r="S450" s="50">
        <f>VLOOKUP($A450,'[1]ma sp 02'!$A$5:$BD$1101,S$1,0)</f>
        <v>0</v>
      </c>
      <c r="T450" s="50">
        <f>VLOOKUP($A450,'[1]ma sp 02'!$A$5:$BD$1101,T$1,0)</f>
        <v>0</v>
      </c>
      <c r="U450" s="50">
        <f>VLOOKUP($A450,'[1]ma sp 02'!$A$5:$BD$1101,U$1,0)</f>
        <v>0</v>
      </c>
      <c r="V450" s="50">
        <f>VLOOKUP($A450,'[1]ma sp 02'!$A$5:$BD$1101,V$1,0)</f>
        <v>0</v>
      </c>
      <c r="W450" s="50">
        <f>VLOOKUP($A450,'[1]ma sp 02'!$A$5:$BD$1101,W$1,0)</f>
        <v>0</v>
      </c>
      <c r="X450" s="50">
        <f t="shared" si="14"/>
        <v>7</v>
      </c>
      <c r="Y450" s="62"/>
      <c r="Z450" s="62"/>
      <c r="AA450" s="62"/>
      <c r="AB450" s="62"/>
      <c r="AC450" s="62"/>
      <c r="AD450" s="62"/>
      <c r="AE450" s="62" t="s">
        <v>1469</v>
      </c>
      <c r="AF450" s="52" t="s">
        <v>486</v>
      </c>
      <c r="AG450" s="62">
        <v>6.5492999999999996E-2</v>
      </c>
      <c r="AH450" s="54">
        <v>1.1499999999999999</v>
      </c>
      <c r="AI450" s="62">
        <v>1.5</v>
      </c>
      <c r="AJ450" s="62">
        <v>9530</v>
      </c>
      <c r="AK450" s="62">
        <v>9530</v>
      </c>
      <c r="AL450" s="62" t="s">
        <v>117</v>
      </c>
      <c r="AM450" s="61" t="s">
        <v>60</v>
      </c>
      <c r="AN450" s="62">
        <v>420</v>
      </c>
      <c r="AO450" s="61" t="s">
        <v>332</v>
      </c>
      <c r="AP450" s="59" t="str">
        <f>IFERROR(VLOOKUP($A450,[2]Mssp!$A$5:$BE$1463,AP$4+1,0),0)</f>
        <v>1809157-1</v>
      </c>
      <c r="AQ450" s="59" t="str">
        <f>IFERROR(VLOOKUP($A450,[2]Mssp!$A$5:$BE$1463,AQ$4+1,0),0)</f>
        <v>1809157-2</v>
      </c>
      <c r="AR450" s="59" t="str">
        <f>IFERROR(VLOOKUP($A450,[2]Mssp!$A$5:$BE$1463,AR$4+1,0),0)</f>
        <v>1809157-3</v>
      </c>
      <c r="AS450" s="59" t="str">
        <f>IFERROR(VLOOKUP($A450,[2]Mssp!$A$5:$BE$1463,AS$4+1,0),0)</f>
        <v>1809157-4</v>
      </c>
      <c r="AT450" s="59" t="str">
        <f>IFERROR(VLOOKUP($A450,[2]Mssp!$A$5:$BE$1463,AT$4+1,0),0)</f>
        <v>1809157-5</v>
      </c>
      <c r="AU450" s="59" t="str">
        <f>IFERROR(VLOOKUP($A450,[2]Mssp!$A$5:$BE$1463,AU$4+1,0),0)</f>
        <v>1809157-6</v>
      </c>
      <c r="AV450" s="59">
        <f>IFERROR(VLOOKUP($A450,[2]Mssp!$A$5:$BE$1463,AV$4+1,0),0)</f>
        <v>0</v>
      </c>
      <c r="AW450" s="59">
        <f>IFERROR(VLOOKUP($A450,[2]Mssp!$A$5:$BE$1463,AW$4+1,0),0)</f>
        <v>0</v>
      </c>
      <c r="AX450" s="59">
        <f>IFERROR(VLOOKUP($A450,[2]Mssp!$A$5:$BE$1463,AX$4+1,0),0)</f>
        <v>0</v>
      </c>
      <c r="AY450" s="59" t="str">
        <f>IFERROR(VLOOKUP($A450,[2]Mssp!$A$5:$BE$1463,AY$4+2,0),0)</f>
        <v>420x850</v>
      </c>
      <c r="AZ450" s="59" t="str">
        <f>IFERROR(VLOOKUP($A450,[2]Mssp!$A$5:$BE$1463,AZ$4+2,0),0)</f>
        <v>F4</v>
      </c>
      <c r="BA450" s="60">
        <v>1500</v>
      </c>
      <c r="BB450" s="61" t="s">
        <v>119</v>
      </c>
      <c r="BC450" s="84"/>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9"/>
      <c r="CK450" s="9"/>
      <c r="CL450" s="9"/>
      <c r="CM450" s="9"/>
      <c r="CN450" s="9"/>
      <c r="CO450" s="9"/>
      <c r="CP450" s="9"/>
    </row>
    <row r="451" spans="1:94" ht="90" x14ac:dyDescent="0.25">
      <c r="A451" s="50" t="s">
        <v>1478</v>
      </c>
      <c r="B451" s="57" t="s">
        <v>1479</v>
      </c>
      <c r="C451" s="50"/>
      <c r="D451" s="57">
        <v>2</v>
      </c>
      <c r="E451" s="57" t="s">
        <v>484</v>
      </c>
      <c r="F451" s="57">
        <v>6</v>
      </c>
      <c r="G451" s="50" t="s">
        <v>530</v>
      </c>
      <c r="H451" s="50">
        <f>VLOOKUP($A451,'[1]ma sp 02'!$A$5:$BD$1101,H$1,0)</f>
        <v>0.02</v>
      </c>
      <c r="I451" s="50">
        <f>VLOOKUP($A451,'[1]ma sp 02'!$A$5:$BD$1101,I$1,0)</f>
        <v>1.22</v>
      </c>
      <c r="J451" s="50">
        <f>VLOOKUP($A451,'[1]ma sp 02'!$A$5:$BD$1101,J$1,0)</f>
        <v>0.36</v>
      </c>
      <c r="K451" s="50">
        <f>VLOOKUP($A451,'[1]ma sp 02'!$A$5:$BD$1101,K$1,0)</f>
        <v>0.15</v>
      </c>
      <c r="L451" s="50">
        <f>VLOOKUP($A451,'[1]ma sp 02'!$A$5:$BD$1101,L$1,0)</f>
        <v>0.52</v>
      </c>
      <c r="M451" s="50">
        <f>VLOOKUP($A451,'[1]ma sp 02'!$A$5:$BD$1101,M$1,0)</f>
        <v>0.74</v>
      </c>
      <c r="N451" s="50">
        <f>VLOOKUP($A451,'[1]ma sp 02'!$A$5:$BD$1101,N$1,0)</f>
        <v>1.61</v>
      </c>
      <c r="O451" s="50">
        <f>VLOOKUP($A451,'[1]ma sp 02'!$A$5:$BD$1101,O$1,0)</f>
        <v>0</v>
      </c>
      <c r="P451" s="50">
        <f>VLOOKUP($A451,'[1]ma sp 02'!$A$5:$BD$1101,P$1,0)</f>
        <v>0</v>
      </c>
      <c r="Q451" s="50">
        <f>VLOOKUP($A451,'[1]ma sp 02'!$A$5:$BD$1101,Q$1,0)</f>
        <v>0</v>
      </c>
      <c r="R451" s="50">
        <f>VLOOKUP($A451,'[1]ma sp 02'!$A$5:$BD$1101,R$1,0)</f>
        <v>0</v>
      </c>
      <c r="S451" s="50">
        <f>VLOOKUP($A451,'[1]ma sp 02'!$A$5:$BD$1101,S$1,0)</f>
        <v>0</v>
      </c>
      <c r="T451" s="50">
        <f>VLOOKUP($A451,'[1]ma sp 02'!$A$5:$BD$1101,T$1,0)</f>
        <v>0</v>
      </c>
      <c r="U451" s="50">
        <f>VLOOKUP($A451,'[1]ma sp 02'!$A$5:$BD$1101,U$1,0)</f>
        <v>0</v>
      </c>
      <c r="V451" s="50">
        <f>VLOOKUP($A451,'[1]ma sp 02'!$A$5:$BD$1101,V$1,0)</f>
        <v>0</v>
      </c>
      <c r="W451" s="50">
        <f>VLOOKUP($A451,'[1]ma sp 02'!$A$5:$BD$1101,W$1,0)</f>
        <v>0</v>
      </c>
      <c r="X451" s="50">
        <f t="shared" si="14"/>
        <v>7</v>
      </c>
      <c r="Y451" s="62"/>
      <c r="Z451" s="62"/>
      <c r="AA451" s="62"/>
      <c r="AB451" s="62"/>
      <c r="AC451" s="62"/>
      <c r="AD451" s="62"/>
      <c r="AE451" s="62" t="s">
        <v>1469</v>
      </c>
      <c r="AF451" s="52" t="s">
        <v>486</v>
      </c>
      <c r="AG451" s="62">
        <v>6.5492999999999996E-2</v>
      </c>
      <c r="AH451" s="54">
        <v>1.1499999999999999</v>
      </c>
      <c r="AI451" s="62">
        <v>1.5</v>
      </c>
      <c r="AJ451" s="62">
        <v>9530</v>
      </c>
      <c r="AK451" s="62">
        <v>9530</v>
      </c>
      <c r="AL451" s="62" t="s">
        <v>117</v>
      </c>
      <c r="AM451" s="61" t="s">
        <v>60</v>
      </c>
      <c r="AN451" s="62">
        <v>420</v>
      </c>
      <c r="AO451" s="61" t="s">
        <v>332</v>
      </c>
      <c r="AP451" s="59" t="str">
        <f>IFERROR(VLOOKUP($A451,[2]Mssp!$A$5:$BE$1463,AP$4+1,0),0)</f>
        <v>1809158-1</v>
      </c>
      <c r="AQ451" s="59" t="str">
        <f>IFERROR(VLOOKUP($A451,[2]Mssp!$A$5:$BE$1463,AQ$4+1,0),0)</f>
        <v>1809158-2</v>
      </c>
      <c r="AR451" s="59" t="str">
        <f>IFERROR(VLOOKUP($A451,[2]Mssp!$A$5:$BE$1463,AR$4+1,0),0)</f>
        <v>1809158-3</v>
      </c>
      <c r="AS451" s="59" t="str">
        <f>IFERROR(VLOOKUP($A451,[2]Mssp!$A$5:$BE$1463,AS$4+1,0),0)</f>
        <v>1809158-4</v>
      </c>
      <c r="AT451" s="59" t="str">
        <f>IFERROR(VLOOKUP($A451,[2]Mssp!$A$5:$BE$1463,AT$4+1,0),0)</f>
        <v>1809158-5</v>
      </c>
      <c r="AU451" s="59" t="str">
        <f>IFERROR(VLOOKUP($A451,[2]Mssp!$A$5:$BE$1463,AU$4+1,0),0)</f>
        <v>1809158-6</v>
      </c>
      <c r="AV451" s="59">
        <f>IFERROR(VLOOKUP($A451,[2]Mssp!$A$5:$BE$1463,AV$4+1,0),0)</f>
        <v>0</v>
      </c>
      <c r="AW451" s="59">
        <f>IFERROR(VLOOKUP($A451,[2]Mssp!$A$5:$BE$1463,AW$4+1,0),0)</f>
        <v>0</v>
      </c>
      <c r="AX451" s="59">
        <f>IFERROR(VLOOKUP($A451,[2]Mssp!$A$5:$BE$1463,AX$4+1,0),0)</f>
        <v>0</v>
      </c>
      <c r="AY451" s="59" t="str">
        <f>IFERROR(VLOOKUP($A451,[2]Mssp!$A$5:$BE$1463,AY$4+2,0),0)</f>
        <v>480x850</v>
      </c>
      <c r="AZ451" s="59" t="str">
        <f>IFERROR(VLOOKUP($A451,[2]Mssp!$A$5:$BE$1463,AZ$4+2,0),0)</f>
        <v>F4</v>
      </c>
      <c r="BA451" s="60">
        <v>1500</v>
      </c>
      <c r="BB451" s="61" t="s">
        <v>119</v>
      </c>
      <c r="BC451" s="84"/>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c r="CK451" s="9"/>
      <c r="CL451" s="9"/>
      <c r="CM451" s="9"/>
      <c r="CN451" s="9"/>
      <c r="CO451" s="9"/>
      <c r="CP451" s="9"/>
    </row>
    <row r="452" spans="1:94" ht="45" x14ac:dyDescent="0.25">
      <c r="A452" s="50" t="s">
        <v>1480</v>
      </c>
      <c r="B452" s="57" t="s">
        <v>1481</v>
      </c>
      <c r="C452" s="50"/>
      <c r="D452" s="57">
        <v>2</v>
      </c>
      <c r="E452" s="57" t="s">
        <v>331</v>
      </c>
      <c r="F452" s="57">
        <v>7</v>
      </c>
      <c r="G452" s="50" t="s">
        <v>530</v>
      </c>
      <c r="H452" s="50">
        <f>VLOOKUP($A452,'[1]ma sp 02'!$A$5:$BD$1101,H$1,0)</f>
        <v>0.2</v>
      </c>
      <c r="I452" s="50">
        <f>VLOOKUP($A452,'[1]ma sp 02'!$A$5:$BD$1101,I$1,0)</f>
        <v>4.8600000000000003</v>
      </c>
      <c r="J452" s="50">
        <f>VLOOKUP($A452,'[1]ma sp 02'!$A$5:$BD$1101,J$1,0)</f>
        <v>0.19</v>
      </c>
      <c r="K452" s="50">
        <f>VLOOKUP($A452,'[1]ma sp 02'!$A$5:$BD$1101,K$1,0)</f>
        <v>0.2</v>
      </c>
      <c r="L452" s="50">
        <f>VLOOKUP($A452,'[1]ma sp 02'!$A$5:$BD$1101,L$1,0)</f>
        <v>0.5</v>
      </c>
      <c r="M452" s="50">
        <f>VLOOKUP($A452,'[1]ma sp 02'!$A$5:$BD$1101,M$1,0)</f>
        <v>1.48</v>
      </c>
      <c r="N452" s="50">
        <f>VLOOKUP($A452,'[1]ma sp 02'!$A$5:$BD$1101,N$1,0)</f>
        <v>0</v>
      </c>
      <c r="O452" s="50">
        <f>VLOOKUP($A452,'[1]ma sp 02'!$A$5:$BD$1101,O$1,0)</f>
        <v>0</v>
      </c>
      <c r="P452" s="50">
        <f>VLOOKUP($A452,'[1]ma sp 02'!$A$5:$BD$1101,P$1,0)</f>
        <v>0.25</v>
      </c>
      <c r="Q452" s="50">
        <f>VLOOKUP($A452,'[1]ma sp 02'!$A$5:$BD$1101,Q$1,0)</f>
        <v>0</v>
      </c>
      <c r="R452" s="50">
        <f>VLOOKUP($A452,'[1]ma sp 02'!$A$5:$BD$1101,R$1,0)</f>
        <v>0.45</v>
      </c>
      <c r="S452" s="50">
        <f>VLOOKUP($A452,'[1]ma sp 02'!$A$5:$BD$1101,S$1,0)</f>
        <v>0</v>
      </c>
      <c r="T452" s="50">
        <f>VLOOKUP($A452,'[1]ma sp 02'!$A$5:$BD$1101,T$1,0)</f>
        <v>0</v>
      </c>
      <c r="U452" s="50">
        <f>VLOOKUP($A452,'[1]ma sp 02'!$A$5:$BD$1101,U$1,0)</f>
        <v>0</v>
      </c>
      <c r="V452" s="50">
        <f>VLOOKUP($A452,'[1]ma sp 02'!$A$5:$BD$1101,V$1,0)</f>
        <v>0</v>
      </c>
      <c r="W452" s="50">
        <f>VLOOKUP($A452,'[1]ma sp 02'!$A$5:$BD$1101,W$1,0)</f>
        <v>0</v>
      </c>
      <c r="X452" s="50">
        <f t="shared" si="14"/>
        <v>8</v>
      </c>
      <c r="Y452" s="62"/>
      <c r="Z452" s="62"/>
      <c r="AA452" s="62"/>
      <c r="AB452" s="62"/>
      <c r="AC452" s="62"/>
      <c r="AD452" s="62"/>
      <c r="AE452" s="62" t="s">
        <v>57</v>
      </c>
      <c r="AF452" s="62" t="s">
        <v>572</v>
      </c>
      <c r="AG452" s="62">
        <f>(0.012*1.4+0.075*0.925)*0.69</f>
        <v>5.946075E-2</v>
      </c>
      <c r="AH452" s="54">
        <f>(2.3/0.75/2)*0.75</f>
        <v>1.1499999999999999</v>
      </c>
      <c r="AI452" s="54">
        <f>(2.3/0.75/2)*0.75</f>
        <v>1.1499999999999999</v>
      </c>
      <c r="AJ452" s="62">
        <v>9530</v>
      </c>
      <c r="AK452" s="62">
        <v>9530</v>
      </c>
      <c r="AL452" s="62" t="s">
        <v>354</v>
      </c>
      <c r="AM452" s="61" t="s">
        <v>74</v>
      </c>
      <c r="AN452" s="62">
        <v>125</v>
      </c>
      <c r="AO452" s="61" t="s">
        <v>553</v>
      </c>
      <c r="AP452" s="59" t="str">
        <f>IFERROR(VLOOKUP($A452,[2]Mssp!$A$5:$BE$1463,AP$4+1,0),0)</f>
        <v>1809454-1</v>
      </c>
      <c r="AQ452" s="59" t="str">
        <f>IFERROR(VLOOKUP($A452,[2]Mssp!$A$5:$BE$1463,AQ$4+1,0),0)</f>
        <v>1809454-2</v>
      </c>
      <c r="AR452" s="59" t="str">
        <f>IFERROR(VLOOKUP($A452,[2]Mssp!$A$5:$BE$1463,AR$4+1,0),0)</f>
        <v>1809454-3</v>
      </c>
      <c r="AS452" s="59" t="str">
        <f>IFERROR(VLOOKUP($A452,[2]Mssp!$A$5:$BE$1463,AS$4+1,0),0)</f>
        <v>1809454-4</v>
      </c>
      <c r="AT452" s="59" t="str">
        <f>IFERROR(VLOOKUP($A452,[2]Mssp!$A$5:$BE$1463,AT$4+1,0),0)</f>
        <v>1809454-5</v>
      </c>
      <c r="AU452" s="59" t="str">
        <f>IFERROR(VLOOKUP($A452,[2]Mssp!$A$5:$BE$1463,AU$4+1,0),0)</f>
        <v>1809454-6</v>
      </c>
      <c r="AV452" s="59" t="str">
        <f>IFERROR(VLOOKUP($A452,[2]Mssp!$A$5:$BE$1463,AV$4+1,0),0)</f>
        <v>1809454-7</v>
      </c>
      <c r="AW452" s="59">
        <f>IFERROR(VLOOKUP($A452,[2]Mssp!$A$5:$BE$1463,AW$4+1,0),0)</f>
        <v>0</v>
      </c>
      <c r="AX452" s="59">
        <f>IFERROR(VLOOKUP($A452,[2]Mssp!$A$5:$BE$1463,AX$4+1,0),0)</f>
        <v>0</v>
      </c>
      <c r="AY452" s="59" t="str">
        <f>IFERROR(VLOOKUP($A452,[2]Mssp!$A$5:$BE$1463,AY$4+2,0),0)</f>
        <v>500x870</v>
      </c>
      <c r="AZ452" s="59" t="str">
        <f>IFERROR(VLOOKUP($A452,[2]Mssp!$A$5:$BE$1463,AZ$4+2,0),0)</f>
        <v>P2</v>
      </c>
      <c r="BA452" s="60"/>
      <c r="BB452" s="61" t="s">
        <v>341</v>
      </c>
      <c r="BC452" s="84"/>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9"/>
      <c r="CK452" s="9"/>
      <c r="CL452" s="9"/>
      <c r="CM452" s="9"/>
      <c r="CN452" s="9"/>
      <c r="CO452" s="9"/>
      <c r="CP452" s="9"/>
    </row>
    <row r="453" spans="1:94" ht="30" x14ac:dyDescent="0.25">
      <c r="A453" s="50" t="s">
        <v>1482</v>
      </c>
      <c r="B453" s="57" t="s">
        <v>1483</v>
      </c>
      <c r="C453" s="50"/>
      <c r="D453" s="57">
        <v>1</v>
      </c>
      <c r="E453" s="57" t="s">
        <v>484</v>
      </c>
      <c r="F453" s="57">
        <v>7</v>
      </c>
      <c r="G453" s="50" t="s">
        <v>530</v>
      </c>
      <c r="H453" s="50">
        <f>VLOOKUP($A453,'[1]ma sp 02'!$A$5:$BD$1101,H$1,0)</f>
        <v>0.14000000000000001</v>
      </c>
      <c r="I453" s="50">
        <f>VLOOKUP($A453,'[1]ma sp 02'!$A$5:$BD$1101,I$1,0)</f>
        <v>5.16</v>
      </c>
      <c r="J453" s="50">
        <f>VLOOKUP($A453,'[1]ma sp 02'!$A$5:$BD$1101,J$1,0)</f>
        <v>0.28000000000000003</v>
      </c>
      <c r="K453" s="50">
        <f>VLOOKUP($A453,'[1]ma sp 02'!$A$5:$BD$1101,K$1,0)</f>
        <v>0.17</v>
      </c>
      <c r="L453" s="50">
        <f>VLOOKUP($A453,'[1]ma sp 02'!$A$5:$BD$1101,L$1,0)</f>
        <v>0.45</v>
      </c>
      <c r="M453" s="50">
        <f>VLOOKUP($A453,'[1]ma sp 02'!$A$5:$BD$1101,M$1,0)</f>
        <v>1.85</v>
      </c>
      <c r="N453" s="50">
        <f>VLOOKUP($A453,'[1]ma sp 02'!$A$5:$BD$1101,N$1,0)</f>
        <v>0</v>
      </c>
      <c r="O453" s="50">
        <f>VLOOKUP($A453,'[1]ma sp 02'!$A$5:$BD$1101,O$1,0)</f>
        <v>0</v>
      </c>
      <c r="P453" s="50">
        <f>VLOOKUP($A453,'[1]ma sp 02'!$A$5:$BD$1101,P$1,0)</f>
        <v>0.48</v>
      </c>
      <c r="Q453" s="50">
        <f>VLOOKUP($A453,'[1]ma sp 02'!$A$5:$BD$1101,Q$1,0)</f>
        <v>0</v>
      </c>
      <c r="R453" s="50">
        <f>VLOOKUP($A453,'[1]ma sp 02'!$A$5:$BD$1101,R$1,0)</f>
        <v>0.03</v>
      </c>
      <c r="S453" s="50">
        <f>VLOOKUP($A453,'[1]ma sp 02'!$A$5:$BD$1101,S$1,0)</f>
        <v>0</v>
      </c>
      <c r="T453" s="50">
        <f>VLOOKUP($A453,'[1]ma sp 02'!$A$5:$BD$1101,T$1,0)</f>
        <v>0</v>
      </c>
      <c r="U453" s="50">
        <f>VLOOKUP($A453,'[1]ma sp 02'!$A$5:$BD$1101,U$1,0)</f>
        <v>0</v>
      </c>
      <c r="V453" s="50">
        <f>VLOOKUP($A453,'[1]ma sp 02'!$A$5:$BD$1101,V$1,0)</f>
        <v>0</v>
      </c>
      <c r="W453" s="50">
        <f>VLOOKUP($A453,'[1]ma sp 02'!$A$5:$BD$1101,W$1,0)</f>
        <v>0</v>
      </c>
      <c r="X453" s="50">
        <f t="shared" si="14"/>
        <v>8</v>
      </c>
      <c r="Y453" s="62"/>
      <c r="Z453" s="62"/>
      <c r="AA453" s="62"/>
      <c r="AB453" s="62"/>
      <c r="AC453" s="62"/>
      <c r="AD453" s="123"/>
      <c r="AE453" s="123" t="s">
        <v>485</v>
      </c>
      <c r="AF453" s="62" t="s">
        <v>921</v>
      </c>
      <c r="AG453" s="62">
        <f>(0.012*1.4+0.075*0.925)*0.75</f>
        <v>6.4631250000000001E-2</v>
      </c>
      <c r="AH453" s="54">
        <f>(2.3/0.75/2)*0.75</f>
        <v>1.1499999999999999</v>
      </c>
      <c r="AI453" s="54">
        <f>(2.3/0.75/2)*0.75</f>
        <v>1.1499999999999999</v>
      </c>
      <c r="AJ453" s="62">
        <v>9530</v>
      </c>
      <c r="AK453" s="62">
        <v>9530</v>
      </c>
      <c r="AL453" s="62" t="s">
        <v>354</v>
      </c>
      <c r="AM453" s="61" t="s">
        <v>74</v>
      </c>
      <c r="AN453" s="62">
        <v>255</v>
      </c>
      <c r="AO453" s="61" t="s">
        <v>553</v>
      </c>
      <c r="AP453" s="59" t="str">
        <f>IFERROR(VLOOKUP($A453,[2]Mssp!$A$5:$BE$1463,AP$4+1,0),0)</f>
        <v>1809455-1</v>
      </c>
      <c r="AQ453" s="59" t="str">
        <f>IFERROR(VLOOKUP($A453,[2]Mssp!$A$5:$BE$1463,AQ$4+1,0),0)</f>
        <v>1809455-2</v>
      </c>
      <c r="AR453" s="59" t="str">
        <f>IFERROR(VLOOKUP($A453,[2]Mssp!$A$5:$BE$1463,AR$4+1,0),0)</f>
        <v>1809455-3</v>
      </c>
      <c r="AS453" s="59" t="str">
        <f>IFERROR(VLOOKUP($A453,[2]Mssp!$A$5:$BE$1463,AS$4+1,0),0)</f>
        <v>1809455-4</v>
      </c>
      <c r="AT453" s="59" t="str">
        <f>IFERROR(VLOOKUP($A453,[2]Mssp!$A$5:$BE$1463,AT$4+1,0),0)</f>
        <v>1809455-5</v>
      </c>
      <c r="AU453" s="59" t="str">
        <f>IFERROR(VLOOKUP($A453,[2]Mssp!$A$5:$BE$1463,AU$4+1,0),0)</f>
        <v>1809455-6</v>
      </c>
      <c r="AV453" s="59" t="str">
        <f>IFERROR(VLOOKUP($A453,[2]Mssp!$A$5:$BE$1463,AV$4+1,0),0)</f>
        <v>1809455-7</v>
      </c>
      <c r="AW453" s="59">
        <f>IFERROR(VLOOKUP($A453,[2]Mssp!$A$5:$BE$1463,AW$4+1,0),0)</f>
        <v>0</v>
      </c>
      <c r="AX453" s="59">
        <f>IFERROR(VLOOKUP($A453,[2]Mssp!$A$5:$BE$1463,AX$4+1,0),0)</f>
        <v>0</v>
      </c>
      <c r="AY453" s="59" t="str">
        <f>IFERROR(VLOOKUP($A453,[2]Mssp!$A$5:$BE$1463,AY$4+2,0),0)</f>
        <v>510x870</v>
      </c>
      <c r="AZ453" s="59" t="str">
        <f>IFERROR(VLOOKUP($A453,[2]Mssp!$A$5:$BE$1463,AZ$4+2,0),0)</f>
        <v>Q1</v>
      </c>
      <c r="BA453" s="60"/>
      <c r="BB453" s="61"/>
      <c r="BC453" s="84"/>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c r="CK453" s="9"/>
      <c r="CL453" s="9"/>
      <c r="CM453" s="9"/>
      <c r="CN453" s="9"/>
      <c r="CO453" s="9"/>
      <c r="CP453" s="9"/>
    </row>
    <row r="454" spans="1:94" ht="60" x14ac:dyDescent="0.25">
      <c r="A454" s="50" t="s">
        <v>1484</v>
      </c>
      <c r="B454" s="57" t="s">
        <v>1485</v>
      </c>
      <c r="C454" s="50"/>
      <c r="D454" s="57">
        <v>1</v>
      </c>
      <c r="E454" s="57" t="s">
        <v>1486</v>
      </c>
      <c r="F454" s="57">
        <v>0</v>
      </c>
      <c r="G454" s="50"/>
      <c r="H454" s="50">
        <f>VLOOKUP($A454,'[1]ma sp 02'!$A$5:$BD$1101,H$1,0)</f>
        <v>0</v>
      </c>
      <c r="I454" s="50">
        <f>VLOOKUP($A454,'[1]ma sp 02'!$A$5:$BD$1101,I$1,0)</f>
        <v>0</v>
      </c>
      <c r="J454" s="50">
        <f>VLOOKUP($A454,'[1]ma sp 02'!$A$5:$BD$1101,J$1,0)</f>
        <v>0</v>
      </c>
      <c r="K454" s="50">
        <f>VLOOKUP($A454,'[1]ma sp 02'!$A$5:$BD$1101,K$1,0)</f>
        <v>0</v>
      </c>
      <c r="L454" s="50">
        <f>VLOOKUP($A454,'[1]ma sp 02'!$A$5:$BD$1101,L$1,0)</f>
        <v>0</v>
      </c>
      <c r="M454" s="50">
        <f>VLOOKUP($A454,'[1]ma sp 02'!$A$5:$BD$1101,M$1,0)</f>
        <v>0</v>
      </c>
      <c r="N454" s="50">
        <f>VLOOKUP($A454,'[1]ma sp 02'!$A$5:$BD$1101,N$1,0)</f>
        <v>0</v>
      </c>
      <c r="O454" s="50">
        <f>VLOOKUP($A454,'[1]ma sp 02'!$A$5:$BD$1101,O$1,0)</f>
        <v>0</v>
      </c>
      <c r="P454" s="50">
        <f>VLOOKUP($A454,'[1]ma sp 02'!$A$5:$BD$1101,P$1,0)</f>
        <v>0</v>
      </c>
      <c r="Q454" s="50">
        <f>VLOOKUP($A454,'[1]ma sp 02'!$A$5:$BD$1101,Q$1,0)</f>
        <v>0</v>
      </c>
      <c r="R454" s="50">
        <f>VLOOKUP($A454,'[1]ma sp 02'!$A$5:$BD$1101,R$1,0)</f>
        <v>0</v>
      </c>
      <c r="S454" s="50">
        <f>VLOOKUP($A454,'[1]ma sp 02'!$A$5:$BD$1101,S$1,0)</f>
        <v>0</v>
      </c>
      <c r="T454" s="50">
        <f>VLOOKUP($A454,'[1]ma sp 02'!$A$5:$BD$1101,T$1,0)</f>
        <v>0</v>
      </c>
      <c r="U454" s="50">
        <f>VLOOKUP($A454,'[1]ma sp 02'!$A$5:$BD$1101,U$1,0)</f>
        <v>0</v>
      </c>
      <c r="V454" s="50">
        <f>VLOOKUP($A454,'[1]ma sp 02'!$A$5:$BD$1101,V$1,0)</f>
        <v>0</v>
      </c>
      <c r="W454" s="50">
        <f>VLOOKUP($A454,'[1]ma sp 02'!$A$5:$BD$1101,W$1,0)</f>
        <v>0</v>
      </c>
      <c r="X454" s="50">
        <f t="shared" si="14"/>
        <v>0</v>
      </c>
      <c r="Y454" s="62"/>
      <c r="Z454" s="62"/>
      <c r="AA454" s="62"/>
      <c r="AB454" s="62"/>
      <c r="AC454" s="84"/>
      <c r="AD454" s="62"/>
      <c r="AE454" s="62" t="s">
        <v>1487</v>
      </c>
      <c r="AF454" s="124" t="s">
        <v>1488</v>
      </c>
      <c r="AG454" s="62">
        <f>(0.006*2.71+0.12*0.925)*0.51</f>
        <v>6.4902600000000005E-2</v>
      </c>
      <c r="AH454" s="54">
        <f>(2.3/0.75/2)*0.75</f>
        <v>1.1499999999999999</v>
      </c>
      <c r="AI454" s="54">
        <f>(3/0.75/2)*0.75</f>
        <v>1.5</v>
      </c>
      <c r="AJ454" s="62">
        <v>9530</v>
      </c>
      <c r="AK454" s="62">
        <v>9530</v>
      </c>
      <c r="AL454" s="62" t="s">
        <v>117</v>
      </c>
      <c r="AM454" s="61" t="s">
        <v>1489</v>
      </c>
      <c r="AN454" s="62">
        <v>1000</v>
      </c>
      <c r="AO454" s="61" t="s">
        <v>1490</v>
      </c>
      <c r="AP454" s="59">
        <f>IFERROR(VLOOKUP($A454,[2]Mssp!$A$5:$BE$1463,AP$4+1,0),0)</f>
        <v>0</v>
      </c>
      <c r="AQ454" s="59">
        <f>IFERROR(VLOOKUP($A454,[2]Mssp!$A$5:$BE$1463,AQ$4+1,0),0)</f>
        <v>0</v>
      </c>
      <c r="AR454" s="59">
        <f>IFERROR(VLOOKUP($A454,[2]Mssp!$A$5:$BE$1463,AR$4+1,0),0)</f>
        <v>0</v>
      </c>
      <c r="AS454" s="59">
        <f>IFERROR(VLOOKUP($A454,[2]Mssp!$A$5:$BE$1463,AS$4+1,0),0)</f>
        <v>0</v>
      </c>
      <c r="AT454" s="59">
        <f>IFERROR(VLOOKUP($A454,[2]Mssp!$A$5:$BE$1463,AT$4+1,0),0)</f>
        <v>0</v>
      </c>
      <c r="AU454" s="59">
        <f>IFERROR(VLOOKUP($A454,[2]Mssp!$A$5:$BE$1463,AU$4+1,0),0)</f>
        <v>0</v>
      </c>
      <c r="AV454" s="59">
        <f>IFERROR(VLOOKUP($A454,[2]Mssp!$A$5:$BE$1463,AV$4+1,0),0)</f>
        <v>0</v>
      </c>
      <c r="AW454" s="59">
        <f>IFERROR(VLOOKUP($A454,[2]Mssp!$A$5:$BE$1463,AW$4+1,0),0)</f>
        <v>0</v>
      </c>
      <c r="AX454" s="59">
        <f>IFERROR(VLOOKUP($A454,[2]Mssp!$A$5:$BE$1463,AX$4+1,0),0)</f>
        <v>0</v>
      </c>
      <c r="AY454" s="59">
        <f>IFERROR(VLOOKUP($A454,[2]Mssp!$A$5:$BE$1463,AY$4+2,0),0)</f>
        <v>0</v>
      </c>
      <c r="AZ454" s="59">
        <f>IFERROR(VLOOKUP($A454,[2]Mssp!$A$5:$BE$1463,AZ$4+2,0),0)</f>
        <v>0</v>
      </c>
      <c r="BA454" s="60"/>
      <c r="BB454" s="61" t="s">
        <v>341</v>
      </c>
      <c r="BC454" s="84"/>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9"/>
      <c r="CK454" s="9"/>
      <c r="CL454" s="9"/>
      <c r="CM454" s="9"/>
      <c r="CN454" s="9"/>
      <c r="CO454" s="9"/>
      <c r="CP454" s="9"/>
    </row>
    <row r="455" spans="1:94" ht="30" x14ac:dyDescent="0.25">
      <c r="A455" s="50" t="s">
        <v>1491</v>
      </c>
      <c r="B455" s="57" t="s">
        <v>1492</v>
      </c>
      <c r="C455" s="50"/>
      <c r="D455" s="57">
        <v>2</v>
      </c>
      <c r="E455" s="57" t="s">
        <v>1493</v>
      </c>
      <c r="F455" s="57"/>
      <c r="G455" s="50"/>
      <c r="H455" s="50">
        <f>VLOOKUP($A455,'[1]ma sp 02'!$A$5:$BD$1101,H$1,0)</f>
        <v>0</v>
      </c>
      <c r="I455" s="50">
        <f>VLOOKUP($A455,'[1]ma sp 02'!$A$5:$BD$1101,I$1,0)</f>
        <v>0</v>
      </c>
      <c r="J455" s="50">
        <f>VLOOKUP($A455,'[1]ma sp 02'!$A$5:$BD$1101,J$1,0)</f>
        <v>0</v>
      </c>
      <c r="K455" s="50">
        <f>VLOOKUP($A455,'[1]ma sp 02'!$A$5:$BD$1101,K$1,0)</f>
        <v>0</v>
      </c>
      <c r="L455" s="50">
        <f>VLOOKUP($A455,'[1]ma sp 02'!$A$5:$BD$1101,L$1,0)</f>
        <v>0</v>
      </c>
      <c r="M455" s="50">
        <f>VLOOKUP($A455,'[1]ma sp 02'!$A$5:$BD$1101,M$1,0)</f>
        <v>0</v>
      </c>
      <c r="N455" s="50">
        <f>VLOOKUP($A455,'[1]ma sp 02'!$A$5:$BD$1101,N$1,0)</f>
        <v>0</v>
      </c>
      <c r="O455" s="50">
        <f>VLOOKUP($A455,'[1]ma sp 02'!$A$5:$BD$1101,O$1,0)</f>
        <v>0</v>
      </c>
      <c r="P455" s="50">
        <f>VLOOKUP($A455,'[1]ma sp 02'!$A$5:$BD$1101,P$1,0)</f>
        <v>0</v>
      </c>
      <c r="Q455" s="50">
        <f>VLOOKUP($A455,'[1]ma sp 02'!$A$5:$BD$1101,Q$1,0)</f>
        <v>0</v>
      </c>
      <c r="R455" s="50">
        <f>VLOOKUP($A455,'[1]ma sp 02'!$A$5:$BD$1101,R$1,0)</f>
        <v>0</v>
      </c>
      <c r="S455" s="50">
        <f>VLOOKUP($A455,'[1]ma sp 02'!$A$5:$BD$1101,S$1,0)</f>
        <v>0</v>
      </c>
      <c r="T455" s="50">
        <f>VLOOKUP($A455,'[1]ma sp 02'!$A$5:$BD$1101,T$1,0)</f>
        <v>0</v>
      </c>
      <c r="U455" s="50">
        <f>VLOOKUP($A455,'[1]ma sp 02'!$A$5:$BD$1101,U$1,0)</f>
        <v>0</v>
      </c>
      <c r="V455" s="50">
        <f>VLOOKUP($A455,'[1]ma sp 02'!$A$5:$BD$1101,V$1,0)</f>
        <v>0</v>
      </c>
      <c r="W455" s="50">
        <f>VLOOKUP($A455,'[1]ma sp 02'!$A$5:$BD$1101,W$1,0)</f>
        <v>0</v>
      </c>
      <c r="X455" s="50">
        <f t="shared" si="14"/>
        <v>0</v>
      </c>
      <c r="Y455" s="62"/>
      <c r="Z455" s="62"/>
      <c r="AA455" s="62"/>
      <c r="AB455" s="62"/>
      <c r="AC455" s="62"/>
      <c r="AD455" s="125"/>
      <c r="AE455" s="125" t="s">
        <v>1494</v>
      </c>
      <c r="AF455" s="62"/>
      <c r="AG455" s="104">
        <f>(0.02*0.91+0.02*0.91)*0.11</f>
        <v>4.0040000000000006E-3</v>
      </c>
      <c r="AH455" s="54">
        <f>(1.8/0.75/2)*1.1</f>
        <v>1.32</v>
      </c>
      <c r="AI455" s="62"/>
      <c r="AJ455" s="62">
        <v>9530</v>
      </c>
      <c r="AK455" s="62"/>
      <c r="AL455" s="62" t="s">
        <v>1495</v>
      </c>
      <c r="AM455" s="61" t="s">
        <v>1489</v>
      </c>
      <c r="AN455" s="62">
        <v>1000</v>
      </c>
      <c r="AO455" s="61" t="s">
        <v>1496</v>
      </c>
      <c r="AP455" s="59">
        <f>IFERROR(VLOOKUP($A455,[2]Mssp!$A$5:$BE$1463,AP$4+1,0),0)</f>
        <v>0</v>
      </c>
      <c r="AQ455" s="59">
        <f>IFERROR(VLOOKUP($A455,[2]Mssp!$A$5:$BE$1463,AQ$4+1,0),0)</f>
        <v>0</v>
      </c>
      <c r="AR455" s="59">
        <f>IFERROR(VLOOKUP($A455,[2]Mssp!$A$5:$BE$1463,AR$4+1,0),0)</f>
        <v>0</v>
      </c>
      <c r="AS455" s="59">
        <f>IFERROR(VLOOKUP($A455,[2]Mssp!$A$5:$BE$1463,AS$4+1,0),0)</f>
        <v>0</v>
      </c>
      <c r="AT455" s="59">
        <f>IFERROR(VLOOKUP($A455,[2]Mssp!$A$5:$BE$1463,AT$4+1,0),0)</f>
        <v>0</v>
      </c>
      <c r="AU455" s="59">
        <f>IFERROR(VLOOKUP($A455,[2]Mssp!$A$5:$BE$1463,AU$4+1,0),0)</f>
        <v>0</v>
      </c>
      <c r="AV455" s="59">
        <f>IFERROR(VLOOKUP($A455,[2]Mssp!$A$5:$BE$1463,AV$4+1,0),0)</f>
        <v>0</v>
      </c>
      <c r="AW455" s="59">
        <f>IFERROR(VLOOKUP($A455,[2]Mssp!$A$5:$BE$1463,AW$4+1,0),0)</f>
        <v>0</v>
      </c>
      <c r="AX455" s="59">
        <f>IFERROR(VLOOKUP($A455,[2]Mssp!$A$5:$BE$1463,AX$4+1,0),0)</f>
        <v>0</v>
      </c>
      <c r="AY455" s="59">
        <f>IFERROR(VLOOKUP($A455,[2]Mssp!$A$5:$BE$1463,AY$4+2,0),0)</f>
        <v>0</v>
      </c>
      <c r="AZ455" s="59">
        <f>IFERROR(VLOOKUP($A455,[2]Mssp!$A$5:$BE$1463,AZ$4+2,0),0)</f>
        <v>0</v>
      </c>
      <c r="BA455" s="60"/>
      <c r="BB455" s="61" t="s">
        <v>952</v>
      </c>
      <c r="BC455" s="84"/>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9"/>
      <c r="CK455" s="9"/>
      <c r="CL455" s="9"/>
      <c r="CM455" s="9"/>
      <c r="CN455" s="9"/>
      <c r="CO455" s="9"/>
      <c r="CP455" s="9"/>
    </row>
    <row r="456" spans="1:94" ht="30" x14ac:dyDescent="0.25">
      <c r="A456" s="50" t="s">
        <v>1497</v>
      </c>
      <c r="B456" s="57" t="s">
        <v>1498</v>
      </c>
      <c r="C456" s="50"/>
      <c r="D456" s="57">
        <v>2</v>
      </c>
      <c r="E456" s="57" t="s">
        <v>90</v>
      </c>
      <c r="F456" s="57"/>
      <c r="G456" s="50"/>
      <c r="H456" s="50">
        <f>VLOOKUP($A456,'[1]ma sp 02'!$A$5:$BD$1101,H$1,0)</f>
        <v>0</v>
      </c>
      <c r="I456" s="50">
        <f>VLOOKUP($A456,'[1]ma sp 02'!$A$5:$BD$1101,I$1,0)</f>
        <v>0</v>
      </c>
      <c r="J456" s="50">
        <f>VLOOKUP($A456,'[1]ma sp 02'!$A$5:$BD$1101,J$1,0)</f>
        <v>0</v>
      </c>
      <c r="K456" s="50">
        <f>VLOOKUP($A456,'[1]ma sp 02'!$A$5:$BD$1101,K$1,0)</f>
        <v>0</v>
      </c>
      <c r="L456" s="50">
        <f>VLOOKUP($A456,'[1]ma sp 02'!$A$5:$BD$1101,L$1,0)</f>
        <v>0</v>
      </c>
      <c r="M456" s="50">
        <f>VLOOKUP($A456,'[1]ma sp 02'!$A$5:$BD$1101,M$1,0)</f>
        <v>0</v>
      </c>
      <c r="N456" s="50">
        <f>VLOOKUP($A456,'[1]ma sp 02'!$A$5:$BD$1101,N$1,0)</f>
        <v>0</v>
      </c>
      <c r="O456" s="50">
        <f>VLOOKUP($A456,'[1]ma sp 02'!$A$5:$BD$1101,O$1,0)</f>
        <v>0</v>
      </c>
      <c r="P456" s="50">
        <f>VLOOKUP($A456,'[1]ma sp 02'!$A$5:$BD$1101,P$1,0)</f>
        <v>0</v>
      </c>
      <c r="Q456" s="50">
        <f>VLOOKUP($A456,'[1]ma sp 02'!$A$5:$BD$1101,Q$1,0)</f>
        <v>0</v>
      </c>
      <c r="R456" s="50">
        <f>VLOOKUP($A456,'[1]ma sp 02'!$A$5:$BD$1101,R$1,0)</f>
        <v>0</v>
      </c>
      <c r="S456" s="50">
        <f>VLOOKUP($A456,'[1]ma sp 02'!$A$5:$BD$1101,S$1,0)</f>
        <v>0</v>
      </c>
      <c r="T456" s="50">
        <f>VLOOKUP($A456,'[1]ma sp 02'!$A$5:$BD$1101,T$1,0)</f>
        <v>0</v>
      </c>
      <c r="U456" s="50">
        <f>VLOOKUP($A456,'[1]ma sp 02'!$A$5:$BD$1101,U$1,0)</f>
        <v>0</v>
      </c>
      <c r="V456" s="50">
        <f>VLOOKUP($A456,'[1]ma sp 02'!$A$5:$BD$1101,V$1,0)</f>
        <v>0</v>
      </c>
      <c r="W456" s="50">
        <f>VLOOKUP($A456,'[1]ma sp 02'!$A$5:$BD$1101,W$1,0)</f>
        <v>0</v>
      </c>
      <c r="X456" s="50">
        <f t="shared" si="14"/>
        <v>0</v>
      </c>
      <c r="Y456" s="62"/>
      <c r="Z456" s="62"/>
      <c r="AA456" s="62"/>
      <c r="AB456" s="62"/>
      <c r="AC456" s="62"/>
      <c r="AD456" s="62"/>
      <c r="AE456" s="62" t="s">
        <v>57</v>
      </c>
      <c r="AF456" s="62" t="s">
        <v>1499</v>
      </c>
      <c r="AG456" s="62">
        <f>(0.012*1.4+0.07*0.925)*0.69</f>
        <v>5.62695E-2</v>
      </c>
      <c r="AH456" s="54">
        <f>(2.3/0.75/2)*0.55</f>
        <v>0.84333333333333338</v>
      </c>
      <c r="AI456" s="54">
        <f>(3/0.75/2)*0.55</f>
        <v>1.1000000000000001</v>
      </c>
      <c r="AJ456" s="62">
        <v>9530</v>
      </c>
      <c r="AK456" s="62">
        <v>9530</v>
      </c>
      <c r="AL456" s="62" t="s">
        <v>117</v>
      </c>
      <c r="AM456" s="61" t="s">
        <v>74</v>
      </c>
      <c r="AN456" s="62">
        <v>230</v>
      </c>
      <c r="AO456" s="61" t="s">
        <v>612</v>
      </c>
      <c r="AP456" s="59">
        <f>IFERROR(VLOOKUP($A456,[2]Mssp!$A$5:$BE$1463,AP$4+1,0),0)</f>
        <v>0</v>
      </c>
      <c r="AQ456" s="59">
        <f>IFERROR(VLOOKUP($A456,[2]Mssp!$A$5:$BE$1463,AQ$4+1,0),0)</f>
        <v>0</v>
      </c>
      <c r="AR456" s="59">
        <f>IFERROR(VLOOKUP($A456,[2]Mssp!$A$5:$BE$1463,AR$4+1,0),0)</f>
        <v>0</v>
      </c>
      <c r="AS456" s="59">
        <f>IFERROR(VLOOKUP($A456,[2]Mssp!$A$5:$BE$1463,AS$4+1,0),0)</f>
        <v>0</v>
      </c>
      <c r="AT456" s="59">
        <f>IFERROR(VLOOKUP($A456,[2]Mssp!$A$5:$BE$1463,AT$4+1,0),0)</f>
        <v>0</v>
      </c>
      <c r="AU456" s="59">
        <f>IFERROR(VLOOKUP($A456,[2]Mssp!$A$5:$BE$1463,AU$4+1,0),0)</f>
        <v>0</v>
      </c>
      <c r="AV456" s="59">
        <f>IFERROR(VLOOKUP($A456,[2]Mssp!$A$5:$BE$1463,AV$4+1,0),0)</f>
        <v>0</v>
      </c>
      <c r="AW456" s="59">
        <f>IFERROR(VLOOKUP($A456,[2]Mssp!$A$5:$BE$1463,AW$4+1,0),0)</f>
        <v>0</v>
      </c>
      <c r="AX456" s="59">
        <f>IFERROR(VLOOKUP($A456,[2]Mssp!$A$5:$BE$1463,AX$4+1,0),0)</f>
        <v>0</v>
      </c>
      <c r="AY456" s="59">
        <f>IFERROR(VLOOKUP($A456,[2]Mssp!$A$5:$BE$1463,AY$4+2,0),0)</f>
        <v>0</v>
      </c>
      <c r="AZ456" s="59">
        <f>IFERROR(VLOOKUP($A456,[2]Mssp!$A$5:$BE$1463,AZ$4+2,0),0)</f>
        <v>0</v>
      </c>
      <c r="BA456" s="60"/>
      <c r="BB456" s="61"/>
      <c r="BC456" s="84"/>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9"/>
      <c r="CK456" s="9"/>
      <c r="CL456" s="9"/>
      <c r="CM456" s="9"/>
      <c r="CN456" s="9"/>
      <c r="CO456" s="9"/>
      <c r="CP456" s="9"/>
    </row>
    <row r="457" spans="1:94" ht="90" x14ac:dyDescent="0.25">
      <c r="A457" s="50" t="s">
        <v>1500</v>
      </c>
      <c r="B457" s="57" t="s">
        <v>1501</v>
      </c>
      <c r="C457" s="50"/>
      <c r="D457" s="57">
        <v>3</v>
      </c>
      <c r="E457" s="57" t="s">
        <v>641</v>
      </c>
      <c r="F457" s="57">
        <v>6</v>
      </c>
      <c r="G457" s="50" t="s">
        <v>184</v>
      </c>
      <c r="H457" s="50">
        <f>VLOOKUP($A457,'[1]ma sp 02'!$A$5:$BD$1101,H$1,0)</f>
        <v>0</v>
      </c>
      <c r="I457" s="50">
        <f>VLOOKUP($A457,'[1]ma sp 02'!$A$5:$BD$1101,I$1,0)</f>
        <v>3.1</v>
      </c>
      <c r="J457" s="50">
        <f>VLOOKUP($A457,'[1]ma sp 02'!$A$5:$BD$1101,J$1,0)</f>
        <v>0.15</v>
      </c>
      <c r="K457" s="50">
        <f>VLOOKUP($A457,'[1]ma sp 02'!$A$5:$BD$1101,K$1,0)</f>
        <v>0.15</v>
      </c>
      <c r="L457" s="50">
        <f>VLOOKUP($A457,'[1]ma sp 02'!$A$5:$BD$1101,L$1,0)</f>
        <v>2.8</v>
      </c>
      <c r="M457" s="50">
        <f>VLOOKUP($A457,'[1]ma sp 02'!$A$5:$BD$1101,M$1,0)</f>
        <v>0.5</v>
      </c>
      <c r="N457" s="50">
        <f>VLOOKUP($A457,'[1]ma sp 02'!$A$5:$BD$1101,N$1,0)</f>
        <v>1</v>
      </c>
      <c r="O457" s="50">
        <f>VLOOKUP($A457,'[1]ma sp 02'!$A$5:$BD$1101,O$1,0)</f>
        <v>0.15</v>
      </c>
      <c r="P457" s="50">
        <f>VLOOKUP($A457,'[1]ma sp 02'!$A$5:$BD$1101,P$1,0)</f>
        <v>0</v>
      </c>
      <c r="Q457" s="50">
        <f>VLOOKUP($A457,'[1]ma sp 02'!$A$5:$BD$1101,Q$1,0)</f>
        <v>0</v>
      </c>
      <c r="R457" s="50">
        <f>VLOOKUP($A457,'[1]ma sp 02'!$A$5:$BD$1101,R$1,0)</f>
        <v>0</v>
      </c>
      <c r="S457" s="50">
        <f>VLOOKUP($A457,'[1]ma sp 02'!$A$5:$BD$1101,S$1,0)</f>
        <v>0.04</v>
      </c>
      <c r="T457" s="50">
        <f>VLOOKUP($A457,'[1]ma sp 02'!$A$5:$BD$1101,T$1,0)</f>
        <v>0</v>
      </c>
      <c r="U457" s="50">
        <f>VLOOKUP($A457,'[1]ma sp 02'!$A$5:$BD$1101,U$1,0)</f>
        <v>0</v>
      </c>
      <c r="V457" s="50">
        <f>VLOOKUP($A457,'[1]ma sp 02'!$A$5:$BD$1101,V$1,0)</f>
        <v>0</v>
      </c>
      <c r="W457" s="50">
        <f>VLOOKUP($A457,'[1]ma sp 02'!$A$5:$BD$1101,W$1,0)</f>
        <v>0</v>
      </c>
      <c r="X457" s="50">
        <f t="shared" si="14"/>
        <v>8</v>
      </c>
      <c r="Y457" s="62"/>
      <c r="Z457" s="62"/>
      <c r="AA457" s="62"/>
      <c r="AB457" s="62"/>
      <c r="AC457" s="62"/>
      <c r="AD457" s="62"/>
      <c r="AE457" s="62" t="s">
        <v>115</v>
      </c>
      <c r="AF457" s="62" t="s">
        <v>321</v>
      </c>
      <c r="AG457" s="62">
        <f>(0.012*1.4+0.075*0.925)*0.73</f>
        <v>6.2907749999999998E-2</v>
      </c>
      <c r="AH457" s="54">
        <f>(2.3/0.75/2)*0.74</f>
        <v>1.1346666666666665</v>
      </c>
      <c r="AI457" s="54">
        <f>(3/0.75/2)*0.74</f>
        <v>1.48</v>
      </c>
      <c r="AJ457" s="62">
        <v>9530</v>
      </c>
      <c r="AK457" s="62">
        <v>9530</v>
      </c>
      <c r="AL457" s="62" t="s">
        <v>117</v>
      </c>
      <c r="AM457" s="52" t="s">
        <v>60</v>
      </c>
      <c r="AN457" s="62">
        <v>270</v>
      </c>
      <c r="AO457" s="61" t="s">
        <v>916</v>
      </c>
      <c r="AP457" s="59">
        <f>IFERROR(VLOOKUP($A457,[2]Mssp!$A$5:$BE$1463,AP$4+1,0),0)</f>
        <v>0</v>
      </c>
      <c r="AQ457" s="59">
        <f>IFERROR(VLOOKUP($A457,[2]Mssp!$A$5:$BE$1463,AQ$4+1,0),0)</f>
        <v>0</v>
      </c>
      <c r="AR457" s="59">
        <f>IFERROR(VLOOKUP($A457,[2]Mssp!$A$5:$BE$1463,AR$4+1,0),0)</f>
        <v>0</v>
      </c>
      <c r="AS457" s="59">
        <f>IFERROR(VLOOKUP($A457,[2]Mssp!$A$5:$BE$1463,AS$4+1,0),0)</f>
        <v>0</v>
      </c>
      <c r="AT457" s="59">
        <f>IFERROR(VLOOKUP($A457,[2]Mssp!$A$5:$BE$1463,AT$4+1,0),0)</f>
        <v>0</v>
      </c>
      <c r="AU457" s="59">
        <f>IFERROR(VLOOKUP($A457,[2]Mssp!$A$5:$BE$1463,AU$4+1,0),0)</f>
        <v>0</v>
      </c>
      <c r="AV457" s="59">
        <f>IFERROR(VLOOKUP($A457,[2]Mssp!$A$5:$BE$1463,AV$4+1,0),0)</f>
        <v>0</v>
      </c>
      <c r="AW457" s="59">
        <f>IFERROR(VLOOKUP($A457,[2]Mssp!$A$5:$BE$1463,AW$4+1,0),0)</f>
        <v>0</v>
      </c>
      <c r="AX457" s="59">
        <f>IFERROR(VLOOKUP($A457,[2]Mssp!$A$5:$BE$1463,AX$4+1,0),0)</f>
        <v>0</v>
      </c>
      <c r="AY457" s="59">
        <f>IFERROR(VLOOKUP($A457,[2]Mssp!$A$5:$BE$1463,AY$4+2,0),0)</f>
        <v>0</v>
      </c>
      <c r="AZ457" s="59">
        <f>IFERROR(VLOOKUP($A457,[2]Mssp!$A$5:$BE$1463,AZ$4+2,0),0)</f>
        <v>0</v>
      </c>
      <c r="BA457" s="60"/>
      <c r="BB457" s="61" t="s">
        <v>119</v>
      </c>
      <c r="BC457" s="84"/>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9"/>
      <c r="CK457" s="9"/>
      <c r="CL457" s="9"/>
      <c r="CM457" s="9"/>
      <c r="CN457" s="9"/>
      <c r="CO457" s="9"/>
      <c r="CP457" s="9"/>
    </row>
    <row r="458" spans="1:94" ht="90" x14ac:dyDescent="0.25">
      <c r="A458" s="50" t="s">
        <v>1502</v>
      </c>
      <c r="B458" s="57" t="s">
        <v>1503</v>
      </c>
      <c r="C458" s="50"/>
      <c r="D458" s="57">
        <v>2</v>
      </c>
      <c r="E458" s="57" t="s">
        <v>649</v>
      </c>
      <c r="F458" s="57">
        <v>6</v>
      </c>
      <c r="G458" s="50" t="s">
        <v>184</v>
      </c>
      <c r="H458" s="50">
        <f>VLOOKUP($A458,'[1]ma sp 02'!$A$5:$BD$1101,H$1,0)</f>
        <v>0</v>
      </c>
      <c r="I458" s="50">
        <f>VLOOKUP($A458,'[1]ma sp 02'!$A$5:$BD$1101,I$1,0)</f>
        <v>2.93</v>
      </c>
      <c r="J458" s="50">
        <f>VLOOKUP($A458,'[1]ma sp 02'!$A$5:$BD$1101,J$1,0)</f>
        <v>0.65</v>
      </c>
      <c r="K458" s="50">
        <f>VLOOKUP($A458,'[1]ma sp 02'!$A$5:$BD$1101,K$1,0)</f>
        <v>0.01</v>
      </c>
      <c r="L458" s="50">
        <f>VLOOKUP($A458,'[1]ma sp 02'!$A$5:$BD$1101,L$1,0)</f>
        <v>1.76</v>
      </c>
      <c r="M458" s="50">
        <f>VLOOKUP($A458,'[1]ma sp 02'!$A$5:$BD$1101,M$1,0)</f>
        <v>0.56999999999999995</v>
      </c>
      <c r="N458" s="50">
        <f>VLOOKUP($A458,'[1]ma sp 02'!$A$5:$BD$1101,N$1,0)</f>
        <v>0</v>
      </c>
      <c r="O458" s="50">
        <f>VLOOKUP($A458,'[1]ma sp 02'!$A$5:$BD$1101,O$1,0)</f>
        <v>0.01</v>
      </c>
      <c r="P458" s="50">
        <f>VLOOKUP($A458,'[1]ma sp 02'!$A$5:$BD$1101,P$1,0)</f>
        <v>0</v>
      </c>
      <c r="Q458" s="50">
        <f>VLOOKUP($A458,'[1]ma sp 02'!$A$5:$BD$1101,Q$1,0)</f>
        <v>0</v>
      </c>
      <c r="R458" s="50">
        <f>VLOOKUP($A458,'[1]ma sp 02'!$A$5:$BD$1101,R$1,0)</f>
        <v>0</v>
      </c>
      <c r="S458" s="50">
        <f>VLOOKUP($A458,'[1]ma sp 02'!$A$5:$BD$1101,S$1,0)</f>
        <v>0.03</v>
      </c>
      <c r="T458" s="50">
        <f>VLOOKUP($A458,'[1]ma sp 02'!$A$5:$BD$1101,T$1,0)</f>
        <v>0</v>
      </c>
      <c r="U458" s="50">
        <f>VLOOKUP($A458,'[1]ma sp 02'!$A$5:$BD$1101,U$1,0)</f>
        <v>0</v>
      </c>
      <c r="V458" s="50">
        <f>VLOOKUP($A458,'[1]ma sp 02'!$A$5:$BD$1101,V$1,0)</f>
        <v>0</v>
      </c>
      <c r="W458" s="50">
        <f>VLOOKUP($A458,'[1]ma sp 02'!$A$5:$BD$1101,W$1,0)</f>
        <v>0</v>
      </c>
      <c r="X458" s="50">
        <f t="shared" ref="X458:X521" si="17">COUNTIF(H458:W458, "&gt;0")</f>
        <v>7</v>
      </c>
      <c r="Y458" s="62"/>
      <c r="Z458" s="62"/>
      <c r="AA458" s="62"/>
      <c r="AB458" s="62"/>
      <c r="AC458" s="62"/>
      <c r="AD458" s="62"/>
      <c r="AE458" s="62" t="s">
        <v>485</v>
      </c>
      <c r="AF458" s="62" t="s">
        <v>921</v>
      </c>
      <c r="AG458" s="62">
        <f>(0.012*1.4+0.075*0.925)*0.75</f>
        <v>6.4631250000000001E-2</v>
      </c>
      <c r="AH458" s="54">
        <f>(2.3/0.75/2)*0.75</f>
        <v>1.1499999999999999</v>
      </c>
      <c r="AI458" s="54">
        <f>(3/0.75/2)*0.76</f>
        <v>1.52</v>
      </c>
      <c r="AJ458" s="62">
        <v>9530</v>
      </c>
      <c r="AK458" s="62">
        <v>9530</v>
      </c>
      <c r="AL458" s="62" t="s">
        <v>117</v>
      </c>
      <c r="AM458" s="52" t="s">
        <v>60</v>
      </c>
      <c r="AN458" s="62">
        <v>420</v>
      </c>
      <c r="AO458" s="61" t="s">
        <v>916</v>
      </c>
      <c r="AP458" s="59">
        <f>IFERROR(VLOOKUP($A458,[2]Mssp!$A$5:$BE$1463,AP$4+1,0),0)</f>
        <v>0</v>
      </c>
      <c r="AQ458" s="59">
        <f>IFERROR(VLOOKUP($A458,[2]Mssp!$A$5:$BE$1463,AQ$4+1,0),0)</f>
        <v>0</v>
      </c>
      <c r="AR458" s="59">
        <f>IFERROR(VLOOKUP($A458,[2]Mssp!$A$5:$BE$1463,AR$4+1,0),0)</f>
        <v>0</v>
      </c>
      <c r="AS458" s="59">
        <f>IFERROR(VLOOKUP($A458,[2]Mssp!$A$5:$BE$1463,AS$4+1,0),0)</f>
        <v>0</v>
      </c>
      <c r="AT458" s="59">
        <f>IFERROR(VLOOKUP($A458,[2]Mssp!$A$5:$BE$1463,AT$4+1,0),0)</f>
        <v>0</v>
      </c>
      <c r="AU458" s="59">
        <f>IFERROR(VLOOKUP($A458,[2]Mssp!$A$5:$BE$1463,AU$4+1,0),0)</f>
        <v>0</v>
      </c>
      <c r="AV458" s="59">
        <f>IFERROR(VLOOKUP($A458,[2]Mssp!$A$5:$BE$1463,AV$4+1,0),0)</f>
        <v>0</v>
      </c>
      <c r="AW458" s="59">
        <f>IFERROR(VLOOKUP($A458,[2]Mssp!$A$5:$BE$1463,AW$4+1,0),0)</f>
        <v>0</v>
      </c>
      <c r="AX458" s="59">
        <f>IFERROR(VLOOKUP($A458,[2]Mssp!$A$5:$BE$1463,AX$4+1,0),0)</f>
        <v>0</v>
      </c>
      <c r="AY458" s="59">
        <f>IFERROR(VLOOKUP($A458,[2]Mssp!$A$5:$BE$1463,AY$4+2,0),0)</f>
        <v>0</v>
      </c>
      <c r="AZ458" s="59">
        <f>IFERROR(VLOOKUP($A458,[2]Mssp!$A$5:$BE$1463,AZ$4+2,0),0)</f>
        <v>0</v>
      </c>
      <c r="BA458" s="60"/>
      <c r="BB458" s="61" t="s">
        <v>119</v>
      </c>
      <c r="BC458" s="84"/>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9"/>
      <c r="CK458" s="9"/>
      <c r="CL458" s="9"/>
      <c r="CM458" s="9"/>
      <c r="CN458" s="9"/>
      <c r="CO458" s="9"/>
      <c r="CP458" s="9"/>
    </row>
    <row r="459" spans="1:94" x14ac:dyDescent="0.25">
      <c r="A459" s="50" t="s">
        <v>1504</v>
      </c>
      <c r="B459" s="57"/>
      <c r="C459" s="50"/>
      <c r="D459" s="57"/>
      <c r="E459" s="57"/>
      <c r="F459" s="57"/>
      <c r="G459" s="50"/>
      <c r="H459" s="50">
        <f>VLOOKUP($A459,'[1]ma sp 02'!$A$5:$BD$1101,H$1,0)</f>
        <v>0</v>
      </c>
      <c r="I459" s="50">
        <f>VLOOKUP($A459,'[1]ma sp 02'!$A$5:$BD$1101,I$1,0)</f>
        <v>0</v>
      </c>
      <c r="J459" s="50">
        <f>VLOOKUP($A459,'[1]ma sp 02'!$A$5:$BD$1101,J$1,0)</f>
        <v>0</v>
      </c>
      <c r="K459" s="50">
        <f>VLOOKUP($A459,'[1]ma sp 02'!$A$5:$BD$1101,K$1,0)</f>
        <v>0</v>
      </c>
      <c r="L459" s="50">
        <f>VLOOKUP($A459,'[1]ma sp 02'!$A$5:$BD$1101,L$1,0)</f>
        <v>0</v>
      </c>
      <c r="M459" s="50">
        <f>VLOOKUP($A459,'[1]ma sp 02'!$A$5:$BD$1101,M$1,0)</f>
        <v>0</v>
      </c>
      <c r="N459" s="50">
        <f>VLOOKUP($A459,'[1]ma sp 02'!$A$5:$BD$1101,N$1,0)</f>
        <v>0</v>
      </c>
      <c r="O459" s="50">
        <f>VLOOKUP($A459,'[1]ma sp 02'!$A$5:$BD$1101,O$1,0)</f>
        <v>0</v>
      </c>
      <c r="P459" s="50">
        <f>VLOOKUP($A459,'[1]ma sp 02'!$A$5:$BD$1101,P$1,0)</f>
        <v>0</v>
      </c>
      <c r="Q459" s="50">
        <f>VLOOKUP($A459,'[1]ma sp 02'!$A$5:$BD$1101,Q$1,0)</f>
        <v>0</v>
      </c>
      <c r="R459" s="50">
        <f>VLOOKUP($A459,'[1]ma sp 02'!$A$5:$BD$1101,R$1,0)</f>
        <v>0</v>
      </c>
      <c r="S459" s="50">
        <f>VLOOKUP($A459,'[1]ma sp 02'!$A$5:$BD$1101,S$1,0)</f>
        <v>0</v>
      </c>
      <c r="T459" s="50">
        <f>VLOOKUP($A459,'[1]ma sp 02'!$A$5:$BD$1101,T$1,0)</f>
        <v>0</v>
      </c>
      <c r="U459" s="50">
        <f>VLOOKUP($A459,'[1]ma sp 02'!$A$5:$BD$1101,U$1,0)</f>
        <v>0</v>
      </c>
      <c r="V459" s="50">
        <f>VLOOKUP($A459,'[1]ma sp 02'!$A$5:$BD$1101,V$1,0)</f>
        <v>0</v>
      </c>
      <c r="W459" s="50">
        <f>VLOOKUP($A459,'[1]ma sp 02'!$A$5:$BD$1101,W$1,0)</f>
        <v>0</v>
      </c>
      <c r="X459" s="50">
        <f t="shared" si="17"/>
        <v>0</v>
      </c>
      <c r="Y459" s="62"/>
      <c r="Z459" s="62"/>
      <c r="AA459" s="62"/>
      <c r="AB459" s="62"/>
      <c r="AC459" s="62"/>
      <c r="AD459" s="62"/>
      <c r="AE459" s="62"/>
      <c r="AF459" s="62"/>
      <c r="AG459" s="62"/>
      <c r="AH459" s="54"/>
      <c r="AI459" s="62"/>
      <c r="AJ459" s="62"/>
      <c r="AK459" s="62"/>
      <c r="AL459" s="62"/>
      <c r="AM459" s="61"/>
      <c r="AN459" s="62"/>
      <c r="AO459" s="61"/>
      <c r="AP459" s="59">
        <f>IFERROR(VLOOKUP($A459,[2]Mssp!$A$5:$BE$1463,AP$4+1,0),0)</f>
        <v>0</v>
      </c>
      <c r="AQ459" s="59">
        <f>IFERROR(VLOOKUP($A459,[2]Mssp!$A$5:$BE$1463,AQ$4+1,0),0)</f>
        <v>0</v>
      </c>
      <c r="AR459" s="59">
        <f>IFERROR(VLOOKUP($A459,[2]Mssp!$A$5:$BE$1463,AR$4+1,0),0)</f>
        <v>0</v>
      </c>
      <c r="AS459" s="59">
        <f>IFERROR(VLOOKUP($A459,[2]Mssp!$A$5:$BE$1463,AS$4+1,0),0)</f>
        <v>0</v>
      </c>
      <c r="AT459" s="59">
        <f>IFERROR(VLOOKUP($A459,[2]Mssp!$A$5:$BE$1463,AT$4+1,0),0)</f>
        <v>0</v>
      </c>
      <c r="AU459" s="59">
        <f>IFERROR(VLOOKUP($A459,[2]Mssp!$A$5:$BE$1463,AU$4+1,0),0)</f>
        <v>0</v>
      </c>
      <c r="AV459" s="59">
        <f>IFERROR(VLOOKUP($A459,[2]Mssp!$A$5:$BE$1463,AV$4+1,0),0)</f>
        <v>0</v>
      </c>
      <c r="AW459" s="59">
        <f>IFERROR(VLOOKUP($A459,[2]Mssp!$A$5:$BE$1463,AW$4+1,0),0)</f>
        <v>0</v>
      </c>
      <c r="AX459" s="59">
        <f>IFERROR(VLOOKUP($A459,[2]Mssp!$A$5:$BE$1463,AX$4+1,0),0)</f>
        <v>0</v>
      </c>
      <c r="AY459" s="59">
        <f>IFERROR(VLOOKUP($A459,[2]Mssp!$A$5:$BE$1463,AY$4+2,0),0)</f>
        <v>0</v>
      </c>
      <c r="AZ459" s="59">
        <f>IFERROR(VLOOKUP($A459,[2]Mssp!$A$5:$BE$1463,AZ$4+2,0),0)</f>
        <v>0</v>
      </c>
      <c r="BA459" s="60"/>
      <c r="BB459" s="61"/>
      <c r="BC459" s="84"/>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9"/>
      <c r="CK459" s="9"/>
      <c r="CL459" s="9"/>
      <c r="CM459" s="9"/>
      <c r="CN459" s="9"/>
      <c r="CO459" s="9"/>
      <c r="CP459" s="9"/>
    </row>
    <row r="460" spans="1:94" x14ac:dyDescent="0.25">
      <c r="A460" s="50" t="s">
        <v>1505</v>
      </c>
      <c r="B460" s="57"/>
      <c r="C460" s="50"/>
      <c r="D460" s="57"/>
      <c r="E460" s="57"/>
      <c r="F460" s="57"/>
      <c r="G460" s="50"/>
      <c r="H460" s="50">
        <f>VLOOKUP($A460,'[1]ma sp 02'!$A$5:$BD$1101,H$1,0)</f>
        <v>0</v>
      </c>
      <c r="I460" s="50">
        <f>VLOOKUP($A460,'[1]ma sp 02'!$A$5:$BD$1101,I$1,0)</f>
        <v>0</v>
      </c>
      <c r="J460" s="50">
        <f>VLOOKUP($A460,'[1]ma sp 02'!$A$5:$BD$1101,J$1,0)</f>
        <v>0</v>
      </c>
      <c r="K460" s="50">
        <f>VLOOKUP($A460,'[1]ma sp 02'!$A$5:$BD$1101,K$1,0)</f>
        <v>0</v>
      </c>
      <c r="L460" s="50">
        <f>VLOOKUP($A460,'[1]ma sp 02'!$A$5:$BD$1101,L$1,0)</f>
        <v>0</v>
      </c>
      <c r="M460" s="50">
        <f>VLOOKUP($A460,'[1]ma sp 02'!$A$5:$BD$1101,M$1,0)</f>
        <v>0</v>
      </c>
      <c r="N460" s="50">
        <f>VLOOKUP($A460,'[1]ma sp 02'!$A$5:$BD$1101,N$1,0)</f>
        <v>0</v>
      </c>
      <c r="O460" s="50">
        <f>VLOOKUP($A460,'[1]ma sp 02'!$A$5:$BD$1101,O$1,0)</f>
        <v>0</v>
      </c>
      <c r="P460" s="50">
        <f>VLOOKUP($A460,'[1]ma sp 02'!$A$5:$BD$1101,P$1,0)</f>
        <v>0</v>
      </c>
      <c r="Q460" s="50">
        <f>VLOOKUP($A460,'[1]ma sp 02'!$A$5:$BD$1101,Q$1,0)</f>
        <v>0</v>
      </c>
      <c r="R460" s="50">
        <f>VLOOKUP($A460,'[1]ma sp 02'!$A$5:$BD$1101,R$1,0)</f>
        <v>0</v>
      </c>
      <c r="S460" s="50">
        <f>VLOOKUP($A460,'[1]ma sp 02'!$A$5:$BD$1101,S$1,0)</f>
        <v>0</v>
      </c>
      <c r="T460" s="50">
        <f>VLOOKUP($A460,'[1]ma sp 02'!$A$5:$BD$1101,T$1,0)</f>
        <v>0</v>
      </c>
      <c r="U460" s="50">
        <f>VLOOKUP($A460,'[1]ma sp 02'!$A$5:$BD$1101,U$1,0)</f>
        <v>0</v>
      </c>
      <c r="V460" s="50">
        <f>VLOOKUP($A460,'[1]ma sp 02'!$A$5:$BD$1101,V$1,0)</f>
        <v>0</v>
      </c>
      <c r="W460" s="50">
        <f>VLOOKUP($A460,'[1]ma sp 02'!$A$5:$BD$1101,W$1,0)</f>
        <v>0</v>
      </c>
      <c r="X460" s="50">
        <f t="shared" si="17"/>
        <v>0</v>
      </c>
      <c r="Y460" s="62"/>
      <c r="Z460" s="62"/>
      <c r="AA460" s="62"/>
      <c r="AB460" s="62"/>
      <c r="AC460" s="62"/>
      <c r="AD460" s="62"/>
      <c r="AE460" s="62"/>
      <c r="AF460" s="62"/>
      <c r="AG460" s="62"/>
      <c r="AH460" s="54"/>
      <c r="AI460" s="62"/>
      <c r="AJ460" s="62"/>
      <c r="AK460" s="62"/>
      <c r="AL460" s="62"/>
      <c r="AM460" s="61"/>
      <c r="AN460" s="62"/>
      <c r="AO460" s="61"/>
      <c r="AP460" s="59">
        <f>IFERROR(VLOOKUP($A460,[2]Mssp!$A$5:$BE$1463,AP$4+1,0),0)</f>
        <v>0</v>
      </c>
      <c r="AQ460" s="59">
        <f>IFERROR(VLOOKUP($A460,[2]Mssp!$A$5:$BE$1463,AQ$4+1,0),0)</f>
        <v>0</v>
      </c>
      <c r="AR460" s="59">
        <f>IFERROR(VLOOKUP($A460,[2]Mssp!$A$5:$BE$1463,AR$4+1,0),0)</f>
        <v>0</v>
      </c>
      <c r="AS460" s="59">
        <f>IFERROR(VLOOKUP($A460,[2]Mssp!$A$5:$BE$1463,AS$4+1,0),0)</f>
        <v>0</v>
      </c>
      <c r="AT460" s="59">
        <f>IFERROR(VLOOKUP($A460,[2]Mssp!$A$5:$BE$1463,AT$4+1,0),0)</f>
        <v>0</v>
      </c>
      <c r="AU460" s="59">
        <f>IFERROR(VLOOKUP($A460,[2]Mssp!$A$5:$BE$1463,AU$4+1,0),0)</f>
        <v>0</v>
      </c>
      <c r="AV460" s="59">
        <f>IFERROR(VLOOKUP($A460,[2]Mssp!$A$5:$BE$1463,AV$4+1,0),0)</f>
        <v>0</v>
      </c>
      <c r="AW460" s="59">
        <f>IFERROR(VLOOKUP($A460,[2]Mssp!$A$5:$BE$1463,AW$4+1,0),0)</f>
        <v>0</v>
      </c>
      <c r="AX460" s="59">
        <f>IFERROR(VLOOKUP($A460,[2]Mssp!$A$5:$BE$1463,AX$4+1,0),0)</f>
        <v>0</v>
      </c>
      <c r="AY460" s="59">
        <f>IFERROR(VLOOKUP($A460,[2]Mssp!$A$5:$BE$1463,AY$4+2,0),0)</f>
        <v>0</v>
      </c>
      <c r="AZ460" s="59">
        <f>IFERROR(VLOOKUP($A460,[2]Mssp!$A$5:$BE$1463,AZ$4+2,0),0)</f>
        <v>0</v>
      </c>
      <c r="BA460" s="60"/>
      <c r="BB460" s="61"/>
      <c r="BC460" s="84"/>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9"/>
      <c r="CK460" s="9"/>
      <c r="CL460" s="9"/>
      <c r="CM460" s="9"/>
      <c r="CN460" s="9"/>
      <c r="CO460" s="9"/>
      <c r="CP460" s="9"/>
    </row>
    <row r="461" spans="1:94" x14ac:dyDescent="0.25">
      <c r="A461" s="50" t="s">
        <v>1506</v>
      </c>
      <c r="B461" s="57"/>
      <c r="C461" s="50"/>
      <c r="D461" s="57"/>
      <c r="E461" s="57"/>
      <c r="F461" s="57"/>
      <c r="G461" s="50"/>
      <c r="H461" s="50">
        <f>VLOOKUP($A461,'[1]ma sp 02'!$A$5:$BD$1101,H$1,0)</f>
        <v>0</v>
      </c>
      <c r="I461" s="50">
        <f>VLOOKUP($A461,'[1]ma sp 02'!$A$5:$BD$1101,I$1,0)</f>
        <v>0</v>
      </c>
      <c r="J461" s="50">
        <f>VLOOKUP($A461,'[1]ma sp 02'!$A$5:$BD$1101,J$1,0)</f>
        <v>0</v>
      </c>
      <c r="K461" s="50">
        <f>VLOOKUP($A461,'[1]ma sp 02'!$A$5:$BD$1101,K$1,0)</f>
        <v>0</v>
      </c>
      <c r="L461" s="50">
        <f>VLOOKUP($A461,'[1]ma sp 02'!$A$5:$BD$1101,L$1,0)</f>
        <v>0</v>
      </c>
      <c r="M461" s="50">
        <f>VLOOKUP($A461,'[1]ma sp 02'!$A$5:$BD$1101,M$1,0)</f>
        <v>0</v>
      </c>
      <c r="N461" s="50">
        <f>VLOOKUP($A461,'[1]ma sp 02'!$A$5:$BD$1101,N$1,0)</f>
        <v>0</v>
      </c>
      <c r="O461" s="50">
        <f>VLOOKUP($A461,'[1]ma sp 02'!$A$5:$BD$1101,O$1,0)</f>
        <v>0</v>
      </c>
      <c r="P461" s="50">
        <f>VLOOKUP($A461,'[1]ma sp 02'!$A$5:$BD$1101,P$1,0)</f>
        <v>0</v>
      </c>
      <c r="Q461" s="50">
        <f>VLOOKUP($A461,'[1]ma sp 02'!$A$5:$BD$1101,Q$1,0)</f>
        <v>0</v>
      </c>
      <c r="R461" s="50">
        <f>VLOOKUP($A461,'[1]ma sp 02'!$A$5:$BD$1101,R$1,0)</f>
        <v>0</v>
      </c>
      <c r="S461" s="50">
        <f>VLOOKUP($A461,'[1]ma sp 02'!$A$5:$BD$1101,S$1,0)</f>
        <v>0</v>
      </c>
      <c r="T461" s="50">
        <f>VLOOKUP($A461,'[1]ma sp 02'!$A$5:$BD$1101,T$1,0)</f>
        <v>0</v>
      </c>
      <c r="U461" s="50">
        <f>VLOOKUP($A461,'[1]ma sp 02'!$A$5:$BD$1101,U$1,0)</f>
        <v>0</v>
      </c>
      <c r="V461" s="50">
        <f>VLOOKUP($A461,'[1]ma sp 02'!$A$5:$BD$1101,V$1,0)</f>
        <v>0</v>
      </c>
      <c r="W461" s="50">
        <f>VLOOKUP($A461,'[1]ma sp 02'!$A$5:$BD$1101,W$1,0)</f>
        <v>0</v>
      </c>
      <c r="X461" s="50">
        <f t="shared" si="17"/>
        <v>0</v>
      </c>
      <c r="Y461" s="62"/>
      <c r="Z461" s="62"/>
      <c r="AA461" s="62"/>
      <c r="AB461" s="62"/>
      <c r="AC461" s="62"/>
      <c r="AD461" s="62"/>
      <c r="AE461" s="62"/>
      <c r="AF461" s="62"/>
      <c r="AG461" s="62"/>
      <c r="AH461" s="54"/>
      <c r="AI461" s="62"/>
      <c r="AJ461" s="62"/>
      <c r="AK461" s="62"/>
      <c r="AL461" s="62"/>
      <c r="AM461" s="61"/>
      <c r="AN461" s="62"/>
      <c r="AO461" s="61"/>
      <c r="AP461" s="59">
        <f>IFERROR(VLOOKUP($A461,[2]Mssp!$A$5:$BE$1463,AP$4+1,0),0)</f>
        <v>0</v>
      </c>
      <c r="AQ461" s="59">
        <f>IFERROR(VLOOKUP($A461,[2]Mssp!$A$5:$BE$1463,AQ$4+1,0),0)</f>
        <v>0</v>
      </c>
      <c r="AR461" s="59">
        <f>IFERROR(VLOOKUP($A461,[2]Mssp!$A$5:$BE$1463,AR$4+1,0),0)</f>
        <v>0</v>
      </c>
      <c r="AS461" s="59">
        <f>IFERROR(VLOOKUP($A461,[2]Mssp!$A$5:$BE$1463,AS$4+1,0),0)</f>
        <v>0</v>
      </c>
      <c r="AT461" s="59">
        <f>IFERROR(VLOOKUP($A461,[2]Mssp!$A$5:$BE$1463,AT$4+1,0),0)</f>
        <v>0</v>
      </c>
      <c r="AU461" s="59">
        <f>IFERROR(VLOOKUP($A461,[2]Mssp!$A$5:$BE$1463,AU$4+1,0),0)</f>
        <v>0</v>
      </c>
      <c r="AV461" s="59">
        <f>IFERROR(VLOOKUP($A461,[2]Mssp!$A$5:$BE$1463,AV$4+1,0),0)</f>
        <v>0</v>
      </c>
      <c r="AW461" s="59">
        <f>IFERROR(VLOOKUP($A461,[2]Mssp!$A$5:$BE$1463,AW$4+1,0),0)</f>
        <v>0</v>
      </c>
      <c r="AX461" s="59">
        <f>IFERROR(VLOOKUP($A461,[2]Mssp!$A$5:$BE$1463,AX$4+1,0),0)</f>
        <v>0</v>
      </c>
      <c r="AY461" s="59">
        <f>IFERROR(VLOOKUP($A461,[2]Mssp!$A$5:$BE$1463,AY$4+2,0),0)</f>
        <v>0</v>
      </c>
      <c r="AZ461" s="59">
        <f>IFERROR(VLOOKUP($A461,[2]Mssp!$A$5:$BE$1463,AZ$4+2,0),0)</f>
        <v>0</v>
      </c>
      <c r="BA461" s="60"/>
      <c r="BB461" s="61"/>
      <c r="BC461" s="84"/>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9"/>
      <c r="CK461" s="9"/>
      <c r="CL461" s="9"/>
      <c r="CM461" s="9"/>
      <c r="CN461" s="9"/>
      <c r="CO461" s="9"/>
      <c r="CP461" s="9"/>
    </row>
    <row r="462" spans="1:94" ht="45" x14ac:dyDescent="0.25">
      <c r="A462" s="50" t="s">
        <v>1507</v>
      </c>
      <c r="B462" s="57" t="s">
        <v>1508</v>
      </c>
      <c r="C462" s="50"/>
      <c r="D462" s="57">
        <v>3</v>
      </c>
      <c r="E462" s="57" t="s">
        <v>1509</v>
      </c>
      <c r="F462" s="57">
        <v>1</v>
      </c>
      <c r="G462" s="50" t="s">
        <v>184</v>
      </c>
      <c r="H462" s="50">
        <f>VLOOKUP($A462,'[1]ma sp 02'!$A$5:$BD$1101,H$1,0)</f>
        <v>0.4</v>
      </c>
      <c r="I462" s="50">
        <f>VLOOKUP($A462,'[1]ma sp 02'!$A$5:$BD$1101,I$1,0)</f>
        <v>0</v>
      </c>
      <c r="J462" s="50">
        <f>VLOOKUP($A462,'[1]ma sp 02'!$A$5:$BD$1101,J$1,0)</f>
        <v>0</v>
      </c>
      <c r="K462" s="50">
        <f>VLOOKUP($A462,'[1]ma sp 02'!$A$5:$BD$1101,K$1,0)</f>
        <v>0</v>
      </c>
      <c r="L462" s="50">
        <f>VLOOKUP($A462,'[1]ma sp 02'!$A$5:$BD$1101,L$1,0)</f>
        <v>0</v>
      </c>
      <c r="M462" s="50">
        <f>VLOOKUP($A462,'[1]ma sp 02'!$A$5:$BD$1101,M$1,0)</f>
        <v>0</v>
      </c>
      <c r="N462" s="50">
        <f>VLOOKUP($A462,'[1]ma sp 02'!$A$5:$BD$1101,N$1,0)</f>
        <v>0</v>
      </c>
      <c r="O462" s="50">
        <f>VLOOKUP($A462,'[1]ma sp 02'!$A$5:$BD$1101,O$1,0)</f>
        <v>0</v>
      </c>
      <c r="P462" s="50">
        <f>VLOOKUP($A462,'[1]ma sp 02'!$A$5:$BD$1101,P$1,0)</f>
        <v>0</v>
      </c>
      <c r="Q462" s="50">
        <f>VLOOKUP($A462,'[1]ma sp 02'!$A$5:$BD$1101,Q$1,0)</f>
        <v>0</v>
      </c>
      <c r="R462" s="50">
        <f>VLOOKUP($A462,'[1]ma sp 02'!$A$5:$BD$1101,R$1,0)</f>
        <v>0</v>
      </c>
      <c r="S462" s="50">
        <f>VLOOKUP($A462,'[1]ma sp 02'!$A$5:$BD$1101,S$1,0)</f>
        <v>0</v>
      </c>
      <c r="T462" s="50">
        <f>VLOOKUP($A462,'[1]ma sp 02'!$A$5:$BD$1101,T$1,0)</f>
        <v>0</v>
      </c>
      <c r="U462" s="50">
        <f>VLOOKUP($A462,'[1]ma sp 02'!$A$5:$BD$1101,U$1,0)</f>
        <v>0</v>
      </c>
      <c r="V462" s="50">
        <f>VLOOKUP($A462,'[1]ma sp 02'!$A$5:$BD$1101,V$1,0)</f>
        <v>0</v>
      </c>
      <c r="W462" s="50">
        <f>VLOOKUP($A462,'[1]ma sp 02'!$A$5:$BD$1101,W$1,0)</f>
        <v>0</v>
      </c>
      <c r="X462" s="50">
        <f t="shared" si="17"/>
        <v>1</v>
      </c>
      <c r="Y462" s="62"/>
      <c r="Z462" s="62"/>
      <c r="AA462" s="62"/>
      <c r="AB462" s="62"/>
      <c r="AC462" s="62"/>
      <c r="AD462" s="62"/>
      <c r="AE462" s="62" t="s">
        <v>1510</v>
      </c>
      <c r="AF462" s="62"/>
      <c r="AG462" s="62"/>
      <c r="AH462" s="54">
        <f>(2/0.75/2)*0.865</f>
        <v>1.1533333333333333</v>
      </c>
      <c r="AI462" s="62"/>
      <c r="AJ462" s="62">
        <v>9530</v>
      </c>
      <c r="AK462" s="62"/>
      <c r="AL462" s="62" t="s">
        <v>1511</v>
      </c>
      <c r="AM462" s="61" t="s">
        <v>1489</v>
      </c>
      <c r="AN462" s="62">
        <v>310</v>
      </c>
      <c r="AO462" s="61" t="s">
        <v>1512</v>
      </c>
      <c r="AP462" s="59" t="str">
        <f>IFERROR(VLOOKUP($A462,[2]Mssp!$A$5:$BE$1463,AP$4+1,0),0)</f>
        <v>F121418-1</v>
      </c>
      <c r="AQ462" s="59">
        <f>IFERROR(VLOOKUP($A462,[2]Mssp!$A$5:$BE$1463,AQ$4+1,0),0)</f>
        <v>0</v>
      </c>
      <c r="AR462" s="59">
        <f>IFERROR(VLOOKUP($A462,[2]Mssp!$A$5:$BE$1463,AR$4+1,0),0)</f>
        <v>0</v>
      </c>
      <c r="AS462" s="59">
        <f>IFERROR(VLOOKUP($A462,[2]Mssp!$A$5:$BE$1463,AS$4+1,0),0)</f>
        <v>0</v>
      </c>
      <c r="AT462" s="59">
        <f>IFERROR(VLOOKUP($A462,[2]Mssp!$A$5:$BE$1463,AT$4+1,0),0)</f>
        <v>0</v>
      </c>
      <c r="AU462" s="59">
        <f>IFERROR(VLOOKUP($A462,[2]Mssp!$A$5:$BE$1463,AU$4+1,0),0)</f>
        <v>0</v>
      </c>
      <c r="AV462" s="59">
        <f>IFERROR(VLOOKUP($A462,[2]Mssp!$A$5:$BE$1463,AV$4+1,0),0)</f>
        <v>0</v>
      </c>
      <c r="AW462" s="59">
        <f>IFERROR(VLOOKUP($A462,[2]Mssp!$A$5:$BE$1463,AW$4+1,0),0)</f>
        <v>0</v>
      </c>
      <c r="AX462" s="59">
        <f>IFERROR(VLOOKUP($A462,[2]Mssp!$A$5:$BE$1463,AX$4+1,0),0)</f>
        <v>0</v>
      </c>
      <c r="AY462" s="59" t="str">
        <f>IFERROR(VLOOKUP($A462,[2]Mssp!$A$5:$BE$1463,AY$4+2,0),0)</f>
        <v>620x1100</v>
      </c>
      <c r="AZ462" s="59" t="str">
        <f>IFERROR(VLOOKUP($A462,[2]Mssp!$A$5:$BE$1463,AZ$4+2,0),0)</f>
        <v>Q1</v>
      </c>
      <c r="BA462" s="60" t="s">
        <v>144</v>
      </c>
      <c r="BB462" s="61" t="s">
        <v>341</v>
      </c>
      <c r="BC462" s="84"/>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9"/>
      <c r="CK462" s="9"/>
      <c r="CL462" s="9"/>
      <c r="CM462" s="9"/>
      <c r="CN462" s="9"/>
      <c r="CO462" s="9"/>
      <c r="CP462" s="9"/>
    </row>
    <row r="463" spans="1:94" ht="45" x14ac:dyDescent="0.25">
      <c r="A463" s="50" t="s">
        <v>1513</v>
      </c>
      <c r="B463" s="57" t="s">
        <v>1514</v>
      </c>
      <c r="C463" s="50"/>
      <c r="D463" s="57">
        <v>3</v>
      </c>
      <c r="E463" s="57" t="s">
        <v>1515</v>
      </c>
      <c r="F463" s="57">
        <v>1</v>
      </c>
      <c r="G463" s="50" t="s">
        <v>184</v>
      </c>
      <c r="H463" s="50">
        <f>VLOOKUP($A463,'[1]ma sp 02'!$A$5:$BD$1101,H$1,0)</f>
        <v>0.81</v>
      </c>
      <c r="I463" s="50">
        <f>VLOOKUP($A463,'[1]ma sp 02'!$A$5:$BD$1101,I$1,0)</f>
        <v>0</v>
      </c>
      <c r="J463" s="50">
        <f>VLOOKUP($A463,'[1]ma sp 02'!$A$5:$BD$1101,J$1,0)</f>
        <v>0</v>
      </c>
      <c r="K463" s="50">
        <f>VLOOKUP($A463,'[1]ma sp 02'!$A$5:$BD$1101,K$1,0)</f>
        <v>0</v>
      </c>
      <c r="L463" s="50">
        <f>VLOOKUP($A463,'[1]ma sp 02'!$A$5:$BD$1101,L$1,0)</f>
        <v>0</v>
      </c>
      <c r="M463" s="50">
        <f>VLOOKUP($A463,'[1]ma sp 02'!$A$5:$BD$1101,M$1,0)</f>
        <v>0</v>
      </c>
      <c r="N463" s="50">
        <f>VLOOKUP($A463,'[1]ma sp 02'!$A$5:$BD$1101,N$1,0)</f>
        <v>0</v>
      </c>
      <c r="O463" s="50">
        <f>VLOOKUP($A463,'[1]ma sp 02'!$A$5:$BD$1101,O$1,0)</f>
        <v>0</v>
      </c>
      <c r="P463" s="50">
        <f>VLOOKUP($A463,'[1]ma sp 02'!$A$5:$BD$1101,P$1,0)</f>
        <v>0</v>
      </c>
      <c r="Q463" s="50">
        <f>VLOOKUP($A463,'[1]ma sp 02'!$A$5:$BD$1101,Q$1,0)</f>
        <v>0</v>
      </c>
      <c r="R463" s="50">
        <f>VLOOKUP($A463,'[1]ma sp 02'!$A$5:$BD$1101,R$1,0)</f>
        <v>0</v>
      </c>
      <c r="S463" s="50">
        <f>VLOOKUP($A463,'[1]ma sp 02'!$A$5:$BD$1101,S$1,0)</f>
        <v>0</v>
      </c>
      <c r="T463" s="50">
        <f>VLOOKUP($A463,'[1]ma sp 02'!$A$5:$BD$1101,T$1,0)</f>
        <v>0</v>
      </c>
      <c r="U463" s="50">
        <f>VLOOKUP($A463,'[1]ma sp 02'!$A$5:$BD$1101,U$1,0)</f>
        <v>0</v>
      </c>
      <c r="V463" s="50">
        <f>VLOOKUP($A463,'[1]ma sp 02'!$A$5:$BD$1101,V$1,0)</f>
        <v>0</v>
      </c>
      <c r="W463" s="50">
        <f>VLOOKUP($A463,'[1]ma sp 02'!$A$5:$BD$1101,W$1,0)</f>
        <v>0</v>
      </c>
      <c r="X463" s="50">
        <f t="shared" si="17"/>
        <v>1</v>
      </c>
      <c r="Y463" s="62"/>
      <c r="Z463" s="62"/>
      <c r="AA463" s="62"/>
      <c r="AB463" s="62"/>
      <c r="AC463" s="62"/>
      <c r="AD463" s="62"/>
      <c r="AE463" s="62" t="s">
        <v>1516</v>
      </c>
      <c r="AF463" s="62"/>
      <c r="AG463" s="62"/>
      <c r="AH463" s="54">
        <f>(2/0.75/2)*0.9</f>
        <v>1.2</v>
      </c>
      <c r="AI463" s="62"/>
      <c r="AJ463" s="62">
        <v>9530</v>
      </c>
      <c r="AK463" s="62"/>
      <c r="AL463" s="62" t="s">
        <v>1511</v>
      </c>
      <c r="AM463" s="61" t="s">
        <v>1489</v>
      </c>
      <c r="AN463" s="62">
        <v>230</v>
      </c>
      <c r="AO463" s="61" t="s">
        <v>1512</v>
      </c>
      <c r="AP463" s="59" t="str">
        <f>IFERROR(VLOOKUP($A463,[2]Mssp!$A$5:$BE$1463,AP$4+1,0),0)</f>
        <v>F121417-1</v>
      </c>
      <c r="AQ463" s="59">
        <f>IFERROR(VLOOKUP($A463,[2]Mssp!$A$5:$BE$1463,AQ$4+1,0),0)</f>
        <v>0</v>
      </c>
      <c r="AR463" s="59">
        <f>IFERROR(VLOOKUP($A463,[2]Mssp!$A$5:$BE$1463,AR$4+1,0),0)</f>
        <v>0</v>
      </c>
      <c r="AS463" s="59">
        <f>IFERROR(VLOOKUP($A463,[2]Mssp!$A$5:$BE$1463,AS$4+1,0),0)</f>
        <v>0</v>
      </c>
      <c r="AT463" s="59">
        <f>IFERROR(VLOOKUP($A463,[2]Mssp!$A$5:$BE$1463,AT$4+1,0),0)</f>
        <v>0</v>
      </c>
      <c r="AU463" s="59">
        <f>IFERROR(VLOOKUP($A463,[2]Mssp!$A$5:$BE$1463,AU$4+1,0),0)</f>
        <v>0</v>
      </c>
      <c r="AV463" s="59">
        <f>IFERROR(VLOOKUP($A463,[2]Mssp!$A$5:$BE$1463,AV$4+1,0),0)</f>
        <v>0</v>
      </c>
      <c r="AW463" s="59">
        <f>IFERROR(VLOOKUP($A463,[2]Mssp!$A$5:$BE$1463,AW$4+1,0),0)</f>
        <v>0</v>
      </c>
      <c r="AX463" s="59">
        <f>IFERROR(VLOOKUP($A463,[2]Mssp!$A$5:$BE$1463,AX$4+1,0),0)</f>
        <v>0</v>
      </c>
      <c r="AY463" s="59" t="str">
        <f>IFERROR(VLOOKUP($A463,[2]Mssp!$A$5:$BE$1463,AY$4+2,0),0)</f>
        <v>460x1100</v>
      </c>
      <c r="AZ463" s="59" t="str">
        <f>IFERROR(VLOOKUP($A463,[2]Mssp!$A$5:$BE$1463,AZ$4+2,0),0)</f>
        <v>Q1</v>
      </c>
      <c r="BA463" s="60" t="s">
        <v>144</v>
      </c>
      <c r="BB463" s="61" t="s">
        <v>341</v>
      </c>
      <c r="BC463" s="84"/>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c r="CK463" s="9"/>
      <c r="CL463" s="9"/>
      <c r="CM463" s="9"/>
      <c r="CN463" s="9"/>
      <c r="CO463" s="9"/>
      <c r="CP463" s="9"/>
    </row>
    <row r="464" spans="1:94" ht="30" x14ac:dyDescent="0.25">
      <c r="A464" s="50" t="s">
        <v>1517</v>
      </c>
      <c r="B464" s="57" t="s">
        <v>1518</v>
      </c>
      <c r="C464" s="50">
        <v>5.8999999999999995</v>
      </c>
      <c r="D464" s="57">
        <v>1</v>
      </c>
      <c r="E464" s="57" t="s">
        <v>1448</v>
      </c>
      <c r="F464" s="57">
        <v>6</v>
      </c>
      <c r="G464" s="50" t="s">
        <v>184</v>
      </c>
      <c r="H464" s="50">
        <f>VLOOKUP($A464,'[1]ma sp 02'!$A$5:$BD$1101,H$1,0)</f>
        <v>0.21</v>
      </c>
      <c r="I464" s="50">
        <f>VLOOKUP($A464,'[1]ma sp 02'!$A$5:$BD$1101,I$1,0)</f>
        <v>1.06</v>
      </c>
      <c r="J464" s="50">
        <f>VLOOKUP($A464,'[1]ma sp 02'!$A$5:$BD$1101,J$1,0)</f>
        <v>0.01</v>
      </c>
      <c r="K464" s="50">
        <f>VLOOKUP($A464,'[1]ma sp 02'!$A$5:$BD$1101,K$1,0)</f>
        <v>0.05</v>
      </c>
      <c r="L464" s="50">
        <f>VLOOKUP($A464,'[1]ma sp 02'!$A$5:$BD$1101,L$1,0)</f>
        <v>1.59</v>
      </c>
      <c r="M464" s="50">
        <f>VLOOKUP($A464,'[1]ma sp 02'!$A$5:$BD$1101,M$1,0)</f>
        <v>2.54</v>
      </c>
      <c r="N464" s="50">
        <f>VLOOKUP($A464,'[1]ma sp 02'!$A$5:$BD$1101,N$1,0)</f>
        <v>0</v>
      </c>
      <c r="O464" s="50">
        <f>VLOOKUP($A464,'[1]ma sp 02'!$A$5:$BD$1101,O$1,0)</f>
        <v>0</v>
      </c>
      <c r="P464" s="50">
        <f>VLOOKUP($A464,'[1]ma sp 02'!$A$5:$BD$1101,P$1,0)</f>
        <v>1.8</v>
      </c>
      <c r="Q464" s="50">
        <f>VLOOKUP($A464,'[1]ma sp 02'!$A$5:$BD$1101,Q$1,0)</f>
        <v>0</v>
      </c>
      <c r="R464" s="50">
        <f>VLOOKUP($A464,'[1]ma sp 02'!$A$5:$BD$1101,R$1,0)</f>
        <v>0</v>
      </c>
      <c r="S464" s="50">
        <f>VLOOKUP($A464,'[1]ma sp 02'!$A$5:$BD$1101,S$1,0)</f>
        <v>0</v>
      </c>
      <c r="T464" s="50">
        <f>VLOOKUP($A464,'[1]ma sp 02'!$A$5:$BD$1101,T$1,0)</f>
        <v>0</v>
      </c>
      <c r="U464" s="50">
        <f>VLOOKUP($A464,'[1]ma sp 02'!$A$5:$BD$1101,U$1,0)</f>
        <v>0</v>
      </c>
      <c r="V464" s="50">
        <f>VLOOKUP($A464,'[1]ma sp 02'!$A$5:$BD$1101,V$1,0)</f>
        <v>0</v>
      </c>
      <c r="W464" s="50">
        <f>VLOOKUP($A464,'[1]ma sp 02'!$A$5:$BD$1101,W$1,0)</f>
        <v>0</v>
      </c>
      <c r="X464" s="50">
        <f t="shared" si="17"/>
        <v>7</v>
      </c>
      <c r="Y464" s="62"/>
      <c r="Z464" s="62"/>
      <c r="AA464" s="62"/>
      <c r="AB464" s="62"/>
      <c r="AC464" s="62"/>
      <c r="AD464" s="62"/>
      <c r="AE464" s="62" t="s">
        <v>1449</v>
      </c>
      <c r="AF464" s="62"/>
      <c r="AG464" s="62">
        <v>4.0754249999999999E-2</v>
      </c>
      <c r="AH464" s="54">
        <v>0.8893333333333332</v>
      </c>
      <c r="AI464" s="62"/>
      <c r="AJ464" s="62">
        <v>9530</v>
      </c>
      <c r="AK464" s="62"/>
      <c r="AL464" s="62">
        <v>2.3E-3</v>
      </c>
      <c r="AM464" s="61" t="s">
        <v>74</v>
      </c>
      <c r="AN464" s="62">
        <v>205</v>
      </c>
      <c r="AO464" s="61" t="s">
        <v>1117</v>
      </c>
      <c r="AP464" s="59" t="str">
        <f>IFERROR(VLOOKUP($A464,[2]Mssp!$A$5:$BE$1463,AP$4+1,0),0)</f>
        <v>X605472G2-1</v>
      </c>
      <c r="AQ464" s="59" t="str">
        <f>IFERROR(VLOOKUP($A464,[2]Mssp!$A$5:$BE$1463,AQ$4+1,0),0)</f>
        <v>X605472-2</v>
      </c>
      <c r="AR464" s="59" t="str">
        <f>IFERROR(VLOOKUP($A464,[2]Mssp!$A$5:$BE$1463,AR$4+1,0),0)</f>
        <v>X605472-3</v>
      </c>
      <c r="AS464" s="59" t="str">
        <f>IFERROR(VLOOKUP($A464,[2]Mssp!$A$5:$BE$1463,AS$4+1,0),0)</f>
        <v>X605472-4</v>
      </c>
      <c r="AT464" s="59" t="str">
        <f>IFERROR(VLOOKUP($A464,[2]Mssp!$A$5:$BE$1463,AT$4+1,0),0)</f>
        <v>X605472-5</v>
      </c>
      <c r="AU464" s="59" t="str">
        <f>IFERROR(VLOOKUP($A464,[2]Mssp!$A$5:$BE$1463,AU$4+1,0),0)</f>
        <v>X605472-6</v>
      </c>
      <c r="AV464" s="59">
        <f>IFERROR(VLOOKUP($A464,[2]Mssp!$A$5:$BE$1463,AV$4+1,0),0)</f>
        <v>0</v>
      </c>
      <c r="AW464" s="59">
        <f>IFERROR(VLOOKUP($A464,[2]Mssp!$A$5:$BE$1463,AW$4+1,0),0)</f>
        <v>0</v>
      </c>
      <c r="AX464" s="59">
        <f>IFERROR(VLOOKUP($A464,[2]Mssp!$A$5:$BE$1463,AX$4+1,0),0)</f>
        <v>0</v>
      </c>
      <c r="AY464" s="59" t="str">
        <f>IFERROR(VLOOKUP($A464,[2]Mssp!$A$5:$BE$1463,AY$4+2,0),0)</f>
        <v>410x750</v>
      </c>
      <c r="AZ464" s="59" t="str">
        <f>IFERROR(VLOOKUP($A464,[2]Mssp!$A$5:$BE$1463,AZ$4+2,0),0)</f>
        <v>Q1</v>
      </c>
      <c r="BA464" s="60"/>
      <c r="BB464" s="61" t="s">
        <v>223</v>
      </c>
      <c r="BC464" s="84"/>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9"/>
      <c r="CK464" s="9"/>
      <c r="CL464" s="9"/>
      <c r="CM464" s="9"/>
      <c r="CN464" s="9"/>
      <c r="CO464" s="9"/>
      <c r="CP464" s="9"/>
    </row>
    <row r="465" spans="1:94" ht="30" x14ac:dyDescent="0.25">
      <c r="A465" s="50" t="s">
        <v>1519</v>
      </c>
      <c r="B465" s="57" t="s">
        <v>1520</v>
      </c>
      <c r="C465" s="50"/>
      <c r="D465" s="57"/>
      <c r="E465" s="57" t="s">
        <v>338</v>
      </c>
      <c r="F465" s="57">
        <v>1</v>
      </c>
      <c r="G465" s="50" t="s">
        <v>184</v>
      </c>
      <c r="H465" s="50">
        <f>VLOOKUP($A465,'[1]ma sp 02'!$A$5:$BD$1101,H$1,0)</f>
        <v>0.75</v>
      </c>
      <c r="I465" s="50">
        <f>VLOOKUP($A465,'[1]ma sp 02'!$A$5:$BD$1101,I$1,0)</f>
        <v>0</v>
      </c>
      <c r="J465" s="50">
        <f>VLOOKUP($A465,'[1]ma sp 02'!$A$5:$BD$1101,J$1,0)</f>
        <v>0</v>
      </c>
      <c r="K465" s="50">
        <f>VLOOKUP($A465,'[1]ma sp 02'!$A$5:$BD$1101,K$1,0)</f>
        <v>0</v>
      </c>
      <c r="L465" s="50">
        <f>VLOOKUP($A465,'[1]ma sp 02'!$A$5:$BD$1101,L$1,0)</f>
        <v>0</v>
      </c>
      <c r="M465" s="50">
        <f>VLOOKUP($A465,'[1]ma sp 02'!$A$5:$BD$1101,M$1,0)</f>
        <v>0</v>
      </c>
      <c r="N465" s="50">
        <f>VLOOKUP($A465,'[1]ma sp 02'!$A$5:$BD$1101,N$1,0)</f>
        <v>0</v>
      </c>
      <c r="O465" s="50">
        <f>VLOOKUP($A465,'[1]ma sp 02'!$A$5:$BD$1101,O$1,0)</f>
        <v>0</v>
      </c>
      <c r="P465" s="50">
        <f>VLOOKUP($A465,'[1]ma sp 02'!$A$5:$BD$1101,P$1,0)</f>
        <v>0</v>
      </c>
      <c r="Q465" s="50">
        <f>VLOOKUP($A465,'[1]ma sp 02'!$A$5:$BD$1101,Q$1,0)</f>
        <v>0</v>
      </c>
      <c r="R465" s="50">
        <f>VLOOKUP($A465,'[1]ma sp 02'!$A$5:$BD$1101,R$1,0)</f>
        <v>0</v>
      </c>
      <c r="S465" s="50">
        <f>VLOOKUP($A465,'[1]ma sp 02'!$A$5:$BD$1101,S$1,0)</f>
        <v>0</v>
      </c>
      <c r="T465" s="50">
        <f>VLOOKUP($A465,'[1]ma sp 02'!$A$5:$BD$1101,T$1,0)</f>
        <v>0</v>
      </c>
      <c r="U465" s="50">
        <f>VLOOKUP($A465,'[1]ma sp 02'!$A$5:$BD$1101,U$1,0)</f>
        <v>0</v>
      </c>
      <c r="V465" s="50">
        <f>VLOOKUP($A465,'[1]ma sp 02'!$A$5:$BD$1101,V$1,0)</f>
        <v>0</v>
      </c>
      <c r="W465" s="50">
        <f>VLOOKUP($A465,'[1]ma sp 02'!$A$5:$BD$1101,W$1,0)</f>
        <v>0</v>
      </c>
      <c r="X465" s="50">
        <f t="shared" si="17"/>
        <v>1</v>
      </c>
      <c r="Y465" s="62"/>
      <c r="Z465" s="62"/>
      <c r="AA465" s="62"/>
      <c r="AB465" s="62"/>
      <c r="AC465" s="62"/>
      <c r="AD465" s="62"/>
      <c r="AE465" s="62" t="s">
        <v>339</v>
      </c>
      <c r="AF465" s="62"/>
      <c r="AG465" s="62"/>
      <c r="AH465" s="54">
        <f>(2/0.75/2)*0.86</f>
        <v>1.1466666666666665</v>
      </c>
      <c r="AI465" s="62"/>
      <c r="AJ465" s="62">
        <v>9530</v>
      </c>
      <c r="AK465" s="62"/>
      <c r="AL465" s="62">
        <v>2E-3</v>
      </c>
      <c r="AM465" s="61" t="s">
        <v>1489</v>
      </c>
      <c r="AN465" s="62"/>
      <c r="AO465" s="61" t="s">
        <v>1521</v>
      </c>
      <c r="AP465" s="59" t="str">
        <f>IFERROR(VLOOKUP($A465,[2]Mssp!$A$5:$BE$1463,AP$4+1,0),0)</f>
        <v>F121592-1</v>
      </c>
      <c r="AQ465" s="59">
        <f>IFERROR(VLOOKUP($A465,[2]Mssp!$A$5:$BE$1463,AQ$4+1,0),0)</f>
        <v>0</v>
      </c>
      <c r="AR465" s="59">
        <f>IFERROR(VLOOKUP($A465,[2]Mssp!$A$5:$BE$1463,AR$4+1,0),0)</f>
        <v>0</v>
      </c>
      <c r="AS465" s="59">
        <f>IFERROR(VLOOKUP($A465,[2]Mssp!$A$5:$BE$1463,AS$4+1,0),0)</f>
        <v>0</v>
      </c>
      <c r="AT465" s="59">
        <f>IFERROR(VLOOKUP($A465,[2]Mssp!$A$5:$BE$1463,AT$4+1,0),0)</f>
        <v>0</v>
      </c>
      <c r="AU465" s="59">
        <f>IFERROR(VLOOKUP($A465,[2]Mssp!$A$5:$BE$1463,AU$4+1,0),0)</f>
        <v>0</v>
      </c>
      <c r="AV465" s="59">
        <f>IFERROR(VLOOKUP($A465,[2]Mssp!$A$5:$BE$1463,AV$4+1,0),0)</f>
        <v>0</v>
      </c>
      <c r="AW465" s="59">
        <f>IFERROR(VLOOKUP($A465,[2]Mssp!$A$5:$BE$1463,AW$4+1,0),0)</f>
        <v>0</v>
      </c>
      <c r="AX465" s="59">
        <f>IFERROR(VLOOKUP($A465,[2]Mssp!$A$5:$BE$1463,AX$4+1,0),0)</f>
        <v>0</v>
      </c>
      <c r="AY465" s="59" t="str">
        <f>IFERROR(VLOOKUP($A465,[2]Mssp!$A$5:$BE$1463,AY$4+2,0),0)</f>
        <v>490x1100</v>
      </c>
      <c r="AZ465" s="59" t="str">
        <f>IFERROR(VLOOKUP($A465,[2]Mssp!$A$5:$BE$1463,AZ$4+2,0),0)</f>
        <v>Q1</v>
      </c>
      <c r="BA465" s="60"/>
      <c r="BB465" s="61" t="s">
        <v>1522</v>
      </c>
      <c r="BC465" s="84"/>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c r="CK465" s="9"/>
      <c r="CL465" s="9"/>
      <c r="CM465" s="9"/>
      <c r="CN465" s="9"/>
      <c r="CO465" s="9"/>
      <c r="CP465" s="9"/>
    </row>
    <row r="466" spans="1:94" ht="30" x14ac:dyDescent="0.25">
      <c r="A466" s="50" t="s">
        <v>1523</v>
      </c>
      <c r="B466" s="57" t="s">
        <v>1524</v>
      </c>
      <c r="C466" s="50"/>
      <c r="D466" s="57">
        <v>5</v>
      </c>
      <c r="E466" s="57" t="s">
        <v>1525</v>
      </c>
      <c r="F466" s="57">
        <v>1</v>
      </c>
      <c r="G466" s="50" t="s">
        <v>184</v>
      </c>
      <c r="H466" s="50">
        <f>VLOOKUP($A466,'[1]ma sp 02'!$A$5:$BD$1101,H$1,0)</f>
        <v>0.49</v>
      </c>
      <c r="I466" s="50">
        <f>VLOOKUP($A466,'[1]ma sp 02'!$A$5:$BD$1101,I$1,0)</f>
        <v>0</v>
      </c>
      <c r="J466" s="50">
        <f>VLOOKUP($A466,'[1]ma sp 02'!$A$5:$BD$1101,J$1,0)</f>
        <v>0</v>
      </c>
      <c r="K466" s="50">
        <f>VLOOKUP($A466,'[1]ma sp 02'!$A$5:$BD$1101,K$1,0)</f>
        <v>0</v>
      </c>
      <c r="L466" s="50">
        <f>VLOOKUP($A466,'[1]ma sp 02'!$A$5:$BD$1101,L$1,0)</f>
        <v>0</v>
      </c>
      <c r="M466" s="50">
        <f>VLOOKUP($A466,'[1]ma sp 02'!$A$5:$BD$1101,M$1,0)</f>
        <v>0</v>
      </c>
      <c r="N466" s="50">
        <f>VLOOKUP($A466,'[1]ma sp 02'!$A$5:$BD$1101,N$1,0)</f>
        <v>0</v>
      </c>
      <c r="O466" s="50">
        <f>VLOOKUP($A466,'[1]ma sp 02'!$A$5:$BD$1101,O$1,0)</f>
        <v>0</v>
      </c>
      <c r="P466" s="50">
        <f>VLOOKUP($A466,'[1]ma sp 02'!$A$5:$BD$1101,P$1,0)</f>
        <v>0</v>
      </c>
      <c r="Q466" s="50">
        <f>VLOOKUP($A466,'[1]ma sp 02'!$A$5:$BD$1101,Q$1,0)</f>
        <v>0</v>
      </c>
      <c r="R466" s="50">
        <f>VLOOKUP($A466,'[1]ma sp 02'!$A$5:$BD$1101,R$1,0)</f>
        <v>0</v>
      </c>
      <c r="S466" s="50">
        <f>VLOOKUP($A466,'[1]ma sp 02'!$A$5:$BD$1101,S$1,0)</f>
        <v>0</v>
      </c>
      <c r="T466" s="50">
        <f>VLOOKUP($A466,'[1]ma sp 02'!$A$5:$BD$1101,T$1,0)</f>
        <v>0</v>
      </c>
      <c r="U466" s="50">
        <f>VLOOKUP($A466,'[1]ma sp 02'!$A$5:$BD$1101,U$1,0)</f>
        <v>0</v>
      </c>
      <c r="V466" s="50">
        <f>VLOOKUP($A466,'[1]ma sp 02'!$A$5:$BD$1101,V$1,0)</f>
        <v>0</v>
      </c>
      <c r="W466" s="50">
        <f>VLOOKUP($A466,'[1]ma sp 02'!$A$5:$BD$1101,W$1,0)</f>
        <v>0</v>
      </c>
      <c r="X466" s="50">
        <f t="shared" si="17"/>
        <v>1</v>
      </c>
      <c r="Y466" s="62"/>
      <c r="Z466" s="62"/>
      <c r="AA466" s="62"/>
      <c r="AB466" s="62"/>
      <c r="AC466" s="62"/>
      <c r="AD466" s="62"/>
      <c r="AE466" s="62" t="s">
        <v>1526</v>
      </c>
      <c r="AF466" s="62"/>
      <c r="AG466" s="62"/>
      <c r="AH466" s="54">
        <f>(2/0.75/2)*0.945</f>
        <v>1.2599999999999998</v>
      </c>
      <c r="AI466" s="62"/>
      <c r="AJ466" s="62">
        <v>9690</v>
      </c>
      <c r="AK466" s="62"/>
      <c r="AL466" s="62">
        <v>2E-3</v>
      </c>
      <c r="AM466" s="61" t="s">
        <v>1489</v>
      </c>
      <c r="AN466" s="62">
        <v>1000</v>
      </c>
      <c r="AO466" s="61" t="s">
        <v>1521</v>
      </c>
      <c r="AP466" s="59" t="str">
        <f>IFERROR(VLOOKUP($A466,[2]Mssp!$A$5:$BE$1463,AP$4+1,0),0)</f>
        <v>F121596-1</v>
      </c>
      <c r="AQ466" s="59">
        <f>IFERROR(VLOOKUP($A466,[2]Mssp!$A$5:$BE$1463,AQ$4+1,0),0)</f>
        <v>0</v>
      </c>
      <c r="AR466" s="59">
        <f>IFERROR(VLOOKUP($A466,[2]Mssp!$A$5:$BE$1463,AR$4+1,0),0)</f>
        <v>0</v>
      </c>
      <c r="AS466" s="59">
        <f>IFERROR(VLOOKUP($A466,[2]Mssp!$A$5:$BE$1463,AS$4+1,0),0)</f>
        <v>0</v>
      </c>
      <c r="AT466" s="59">
        <f>IFERROR(VLOOKUP($A466,[2]Mssp!$A$5:$BE$1463,AT$4+1,0),0)</f>
        <v>0</v>
      </c>
      <c r="AU466" s="59">
        <f>IFERROR(VLOOKUP($A466,[2]Mssp!$A$5:$BE$1463,AU$4+1,0),0)</f>
        <v>0</v>
      </c>
      <c r="AV466" s="59">
        <f>IFERROR(VLOOKUP($A466,[2]Mssp!$A$5:$BE$1463,AV$4+1,0),0)</f>
        <v>0</v>
      </c>
      <c r="AW466" s="59">
        <f>IFERROR(VLOOKUP($A466,[2]Mssp!$A$5:$BE$1463,AW$4+1,0),0)</f>
        <v>0</v>
      </c>
      <c r="AX466" s="59">
        <f>IFERROR(VLOOKUP($A466,[2]Mssp!$A$5:$BE$1463,AX$4+1,0),0)</f>
        <v>0</v>
      </c>
      <c r="AY466" s="59" t="str">
        <f>IFERROR(VLOOKUP($A466,[2]Mssp!$A$5:$BE$1463,AY$4+2,0),0)</f>
        <v>428x1100</v>
      </c>
      <c r="AZ466" s="59" t="str">
        <f>IFERROR(VLOOKUP($A466,[2]Mssp!$A$5:$BE$1463,AZ$4+2,0),0)</f>
        <v>Q1</v>
      </c>
      <c r="BA466" s="60"/>
      <c r="BB466" s="61" t="s">
        <v>1522</v>
      </c>
      <c r="BC466" s="84"/>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9"/>
      <c r="CK466" s="9"/>
      <c r="CL466" s="9"/>
      <c r="CM466" s="9"/>
      <c r="CN466" s="9"/>
      <c r="CO466" s="9"/>
      <c r="CP466" s="9"/>
    </row>
    <row r="467" spans="1:94" ht="30" x14ac:dyDescent="0.25">
      <c r="A467" s="50" t="s">
        <v>1527</v>
      </c>
      <c r="B467" s="57" t="s">
        <v>1528</v>
      </c>
      <c r="C467" s="50"/>
      <c r="D467" s="57"/>
      <c r="E467" s="57" t="s">
        <v>1529</v>
      </c>
      <c r="F467" s="57">
        <v>1</v>
      </c>
      <c r="G467" s="50" t="s">
        <v>184</v>
      </c>
      <c r="H467" s="50">
        <f>VLOOKUP($A467,'[1]ma sp 02'!$A$5:$BD$1101,H$1,0)</f>
        <v>0.21</v>
      </c>
      <c r="I467" s="50">
        <f>VLOOKUP($A467,'[1]ma sp 02'!$A$5:$BD$1101,I$1,0)</f>
        <v>0</v>
      </c>
      <c r="J467" s="50">
        <f>VLOOKUP($A467,'[1]ma sp 02'!$A$5:$BD$1101,J$1,0)</f>
        <v>0</v>
      </c>
      <c r="K467" s="50">
        <f>VLOOKUP($A467,'[1]ma sp 02'!$A$5:$BD$1101,K$1,0)</f>
        <v>0</v>
      </c>
      <c r="L467" s="50">
        <f>VLOOKUP($A467,'[1]ma sp 02'!$A$5:$BD$1101,L$1,0)</f>
        <v>0</v>
      </c>
      <c r="M467" s="50">
        <f>VLOOKUP($A467,'[1]ma sp 02'!$A$5:$BD$1101,M$1,0)</f>
        <v>0</v>
      </c>
      <c r="N467" s="50">
        <f>VLOOKUP($A467,'[1]ma sp 02'!$A$5:$BD$1101,N$1,0)</f>
        <v>0</v>
      </c>
      <c r="O467" s="50">
        <f>VLOOKUP($A467,'[1]ma sp 02'!$A$5:$BD$1101,O$1,0)</f>
        <v>0</v>
      </c>
      <c r="P467" s="50">
        <f>VLOOKUP($A467,'[1]ma sp 02'!$A$5:$BD$1101,P$1,0)</f>
        <v>0</v>
      </c>
      <c r="Q467" s="50">
        <f>VLOOKUP($A467,'[1]ma sp 02'!$A$5:$BD$1101,Q$1,0)</f>
        <v>0</v>
      </c>
      <c r="R467" s="50">
        <f>VLOOKUP($A467,'[1]ma sp 02'!$A$5:$BD$1101,R$1,0)</f>
        <v>0</v>
      </c>
      <c r="S467" s="50">
        <f>VLOOKUP($A467,'[1]ma sp 02'!$A$5:$BD$1101,S$1,0)</f>
        <v>0</v>
      </c>
      <c r="T467" s="50">
        <f>VLOOKUP($A467,'[1]ma sp 02'!$A$5:$BD$1101,T$1,0)</f>
        <v>0</v>
      </c>
      <c r="U467" s="50">
        <f>VLOOKUP($A467,'[1]ma sp 02'!$A$5:$BD$1101,U$1,0)</f>
        <v>0</v>
      </c>
      <c r="V467" s="50">
        <f>VLOOKUP($A467,'[1]ma sp 02'!$A$5:$BD$1101,V$1,0)</f>
        <v>0</v>
      </c>
      <c r="W467" s="50">
        <f>VLOOKUP($A467,'[1]ma sp 02'!$A$5:$BD$1101,W$1,0)</f>
        <v>0</v>
      </c>
      <c r="X467" s="50">
        <f t="shared" si="17"/>
        <v>1</v>
      </c>
      <c r="Y467" s="62"/>
      <c r="Z467" s="62"/>
      <c r="AA467" s="62"/>
      <c r="AB467" s="62"/>
      <c r="AC467" s="62"/>
      <c r="AD467" s="62"/>
      <c r="AE467" s="62" t="s">
        <v>1530</v>
      </c>
      <c r="AF467" s="62"/>
      <c r="AG467" s="62"/>
      <c r="AH467" s="54">
        <f>(2/0.75/2)*0.89</f>
        <v>1.1866666666666665</v>
      </c>
      <c r="AI467" s="62"/>
      <c r="AJ467" s="62">
        <v>9530</v>
      </c>
      <c r="AK467" s="62"/>
      <c r="AL467" s="62">
        <v>2E-3</v>
      </c>
      <c r="AM467" s="61" t="s">
        <v>1489</v>
      </c>
      <c r="AN467" s="62">
        <v>1000</v>
      </c>
      <c r="AO467" s="61" t="s">
        <v>1521</v>
      </c>
      <c r="AP467" s="59" t="str">
        <f>IFERROR(VLOOKUP($A467,[2]Mssp!$A$5:$BE$1463,AP$4+1,0),0)</f>
        <v>F121597-1</v>
      </c>
      <c r="AQ467" s="59">
        <f>IFERROR(VLOOKUP($A467,[2]Mssp!$A$5:$BE$1463,AQ$4+1,0),0)</f>
        <v>0</v>
      </c>
      <c r="AR467" s="59">
        <f>IFERROR(VLOOKUP($A467,[2]Mssp!$A$5:$BE$1463,AR$4+1,0),0)</f>
        <v>0</v>
      </c>
      <c r="AS467" s="59">
        <f>IFERROR(VLOOKUP($A467,[2]Mssp!$A$5:$BE$1463,AS$4+1,0),0)</f>
        <v>0</v>
      </c>
      <c r="AT467" s="59">
        <f>IFERROR(VLOOKUP($A467,[2]Mssp!$A$5:$BE$1463,AT$4+1,0),0)</f>
        <v>0</v>
      </c>
      <c r="AU467" s="59">
        <f>IFERROR(VLOOKUP($A467,[2]Mssp!$A$5:$BE$1463,AU$4+1,0),0)</f>
        <v>0</v>
      </c>
      <c r="AV467" s="59">
        <f>IFERROR(VLOOKUP($A467,[2]Mssp!$A$5:$BE$1463,AV$4+1,0),0)</f>
        <v>0</v>
      </c>
      <c r="AW467" s="59">
        <f>IFERROR(VLOOKUP($A467,[2]Mssp!$A$5:$BE$1463,AW$4+1,0),0)</f>
        <v>0</v>
      </c>
      <c r="AX467" s="59">
        <f>IFERROR(VLOOKUP($A467,[2]Mssp!$A$5:$BE$1463,AX$4+1,0),0)</f>
        <v>0</v>
      </c>
      <c r="AY467" s="59" t="str">
        <f>IFERROR(VLOOKUP($A467,[2]Mssp!$A$5:$BE$1463,AY$4+2,0),0)</f>
        <v>474x1100</v>
      </c>
      <c r="AZ467" s="59" t="str">
        <f>IFERROR(VLOOKUP($A467,[2]Mssp!$A$5:$BE$1463,AZ$4+2,0),0)</f>
        <v>Q1</v>
      </c>
      <c r="BA467" s="60"/>
      <c r="BB467" s="61" t="s">
        <v>1522</v>
      </c>
      <c r="BC467" s="84"/>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c r="CK467" s="9"/>
      <c r="CL467" s="9"/>
      <c r="CM467" s="9"/>
      <c r="CN467" s="9"/>
      <c r="CO467" s="9"/>
      <c r="CP467" s="9"/>
    </row>
    <row r="468" spans="1:94" ht="30" x14ac:dyDescent="0.25">
      <c r="A468" s="50" t="s">
        <v>1531</v>
      </c>
      <c r="B468" s="57" t="s">
        <v>1532</v>
      </c>
      <c r="C468" s="50"/>
      <c r="D468" s="57"/>
      <c r="E468" s="57" t="s">
        <v>955</v>
      </c>
      <c r="F468" s="57">
        <v>2</v>
      </c>
      <c r="G468" s="50" t="s">
        <v>184</v>
      </c>
      <c r="H468" s="50">
        <f>VLOOKUP($A468,'[1]ma sp 02'!$A$5:$BD$1101,H$1,0)</f>
        <v>0.14000000000000001</v>
      </c>
      <c r="I468" s="50">
        <f>VLOOKUP($A468,'[1]ma sp 02'!$A$5:$BD$1101,I$1,0)</f>
        <v>0</v>
      </c>
      <c r="J468" s="50">
        <f>VLOOKUP($A468,'[1]ma sp 02'!$A$5:$BD$1101,J$1,0)</f>
        <v>0</v>
      </c>
      <c r="K468" s="50">
        <f>VLOOKUP($A468,'[1]ma sp 02'!$A$5:$BD$1101,K$1,0)</f>
        <v>0</v>
      </c>
      <c r="L468" s="50">
        <f>VLOOKUP($A468,'[1]ma sp 02'!$A$5:$BD$1101,L$1,0)</f>
        <v>0.63</v>
      </c>
      <c r="M468" s="50">
        <f>VLOOKUP($A468,'[1]ma sp 02'!$A$5:$BD$1101,M$1,0)</f>
        <v>0</v>
      </c>
      <c r="N468" s="50">
        <f>VLOOKUP($A468,'[1]ma sp 02'!$A$5:$BD$1101,N$1,0)</f>
        <v>0</v>
      </c>
      <c r="O468" s="50">
        <f>VLOOKUP($A468,'[1]ma sp 02'!$A$5:$BD$1101,O$1,0)</f>
        <v>0.01</v>
      </c>
      <c r="P468" s="50">
        <f>VLOOKUP($A468,'[1]ma sp 02'!$A$5:$BD$1101,P$1,0)</f>
        <v>0.4</v>
      </c>
      <c r="Q468" s="50">
        <f>VLOOKUP($A468,'[1]ma sp 02'!$A$5:$BD$1101,Q$1,0)</f>
        <v>0.17</v>
      </c>
      <c r="R468" s="50">
        <f>VLOOKUP($A468,'[1]ma sp 02'!$A$5:$BD$1101,R$1,0)</f>
        <v>0.22</v>
      </c>
      <c r="S468" s="50">
        <f>VLOOKUP($A468,'[1]ma sp 02'!$A$5:$BD$1101,S$1,0)</f>
        <v>0</v>
      </c>
      <c r="T468" s="50">
        <f>VLOOKUP($A468,'[1]ma sp 02'!$A$5:$BD$1101,T$1,0)</f>
        <v>0</v>
      </c>
      <c r="U468" s="50">
        <f>VLOOKUP($A468,'[1]ma sp 02'!$A$5:$BD$1101,U$1,0)</f>
        <v>0</v>
      </c>
      <c r="V468" s="50">
        <f>VLOOKUP($A468,'[1]ma sp 02'!$A$5:$BD$1101,V$1,0)</f>
        <v>0</v>
      </c>
      <c r="W468" s="50">
        <f>VLOOKUP($A468,'[1]ma sp 02'!$A$5:$BD$1101,W$1,0)</f>
        <v>0</v>
      </c>
      <c r="X468" s="50">
        <f t="shared" si="17"/>
        <v>6</v>
      </c>
      <c r="Y468" s="62"/>
      <c r="Z468" s="62"/>
      <c r="AA468" s="62"/>
      <c r="AB468" s="62"/>
      <c r="AC468" s="62"/>
      <c r="AD468" s="62"/>
      <c r="AE468" s="62" t="s">
        <v>1014</v>
      </c>
      <c r="AF468" s="62"/>
      <c r="AG468" s="62"/>
      <c r="AH468" s="54"/>
      <c r="AI468" s="62"/>
      <c r="AJ468" s="62">
        <v>9530</v>
      </c>
      <c r="AK468" s="62"/>
      <c r="AL468" s="62">
        <v>2E-3</v>
      </c>
      <c r="AM468" s="61" t="s">
        <v>1489</v>
      </c>
      <c r="AN468" s="62">
        <v>2000</v>
      </c>
      <c r="AO468" s="61" t="s">
        <v>959</v>
      </c>
      <c r="AP468" s="59">
        <f>IFERROR(VLOOKUP($A468,[2]Mssp!$A$5:$BE$1463,AP$4+1,0),0)</f>
        <v>0</v>
      </c>
      <c r="AQ468" s="59">
        <f>IFERROR(VLOOKUP($A468,[2]Mssp!$A$5:$BE$1463,AQ$4+1,0),0)</f>
        <v>0</v>
      </c>
      <c r="AR468" s="59">
        <f>IFERROR(VLOOKUP($A468,[2]Mssp!$A$5:$BE$1463,AR$4+1,0),0)</f>
        <v>0</v>
      </c>
      <c r="AS468" s="59">
        <f>IFERROR(VLOOKUP($A468,[2]Mssp!$A$5:$BE$1463,AS$4+1,0),0)</f>
        <v>0</v>
      </c>
      <c r="AT468" s="59">
        <f>IFERROR(VLOOKUP($A468,[2]Mssp!$A$5:$BE$1463,AT$4+1,0),0)</f>
        <v>0</v>
      </c>
      <c r="AU468" s="59">
        <f>IFERROR(VLOOKUP($A468,[2]Mssp!$A$5:$BE$1463,AU$4+1,0),0)</f>
        <v>0</v>
      </c>
      <c r="AV468" s="59">
        <f>IFERROR(VLOOKUP($A468,[2]Mssp!$A$5:$BE$1463,AV$4+1,0),0)</f>
        <v>0</v>
      </c>
      <c r="AW468" s="59">
        <f>IFERROR(VLOOKUP($A468,[2]Mssp!$A$5:$BE$1463,AW$4+1,0),0)</f>
        <v>0</v>
      </c>
      <c r="AX468" s="59">
        <f>IFERROR(VLOOKUP($A468,[2]Mssp!$A$5:$BE$1463,AX$4+1,0),0)</f>
        <v>0</v>
      </c>
      <c r="AY468" s="59">
        <f>IFERROR(VLOOKUP($A468,[2]Mssp!$A$5:$BE$1463,AY$4+2,0),0)</f>
        <v>0</v>
      </c>
      <c r="AZ468" s="59">
        <f>IFERROR(VLOOKUP($A468,[2]Mssp!$A$5:$BE$1463,AZ$4+2,0),0)</f>
        <v>0</v>
      </c>
      <c r="BA468" s="60"/>
      <c r="BB468" s="61"/>
      <c r="BC468" s="84"/>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9"/>
      <c r="CK468" s="9"/>
      <c r="CL468" s="9"/>
      <c r="CM468" s="9"/>
      <c r="CN468" s="9"/>
      <c r="CO468" s="9"/>
      <c r="CP468" s="9"/>
    </row>
    <row r="469" spans="1:94" ht="30" x14ac:dyDescent="0.25">
      <c r="A469" s="50" t="s">
        <v>1533</v>
      </c>
      <c r="B469" s="57" t="s">
        <v>1534</v>
      </c>
      <c r="C469" s="50"/>
      <c r="D469" s="57"/>
      <c r="E469" s="57" t="s">
        <v>1013</v>
      </c>
      <c r="F469" s="57">
        <v>2</v>
      </c>
      <c r="G469" s="50" t="s">
        <v>184</v>
      </c>
      <c r="H469" s="50">
        <f>VLOOKUP($A469,'[1]ma sp 02'!$A$5:$BD$1101,H$1,0)</f>
        <v>0.73</v>
      </c>
      <c r="I469" s="50">
        <f>VLOOKUP($A469,'[1]ma sp 02'!$A$5:$BD$1101,I$1,0)</f>
        <v>0</v>
      </c>
      <c r="J469" s="50">
        <f>VLOOKUP($A469,'[1]ma sp 02'!$A$5:$BD$1101,J$1,0)</f>
        <v>3.79</v>
      </c>
      <c r="K469" s="50">
        <f>VLOOKUP($A469,'[1]ma sp 02'!$A$5:$BD$1101,K$1,0)</f>
        <v>0</v>
      </c>
      <c r="L469" s="50">
        <f>VLOOKUP($A469,'[1]ma sp 02'!$A$5:$BD$1101,L$1,0)</f>
        <v>0</v>
      </c>
      <c r="M469" s="50">
        <f>VLOOKUP($A469,'[1]ma sp 02'!$A$5:$BD$1101,M$1,0)</f>
        <v>0</v>
      </c>
      <c r="N469" s="50">
        <f>VLOOKUP($A469,'[1]ma sp 02'!$A$5:$BD$1101,N$1,0)</f>
        <v>0.73</v>
      </c>
      <c r="O469" s="50">
        <f>VLOOKUP($A469,'[1]ma sp 02'!$A$5:$BD$1101,O$1,0)</f>
        <v>0</v>
      </c>
      <c r="P469" s="50">
        <f>VLOOKUP($A469,'[1]ma sp 02'!$A$5:$BD$1101,P$1,0)</f>
        <v>0</v>
      </c>
      <c r="Q469" s="50">
        <f>VLOOKUP($A469,'[1]ma sp 02'!$A$5:$BD$1101,Q$1,0)</f>
        <v>0.34</v>
      </c>
      <c r="R469" s="50">
        <f>VLOOKUP($A469,'[1]ma sp 02'!$A$5:$BD$1101,R$1,0)</f>
        <v>0.01</v>
      </c>
      <c r="S469" s="50">
        <f>VLOOKUP($A469,'[1]ma sp 02'!$A$5:$BD$1101,S$1,0)</f>
        <v>0.01</v>
      </c>
      <c r="T469" s="50">
        <f>VLOOKUP($A469,'[1]ma sp 02'!$A$5:$BD$1101,T$1,0)</f>
        <v>0</v>
      </c>
      <c r="U469" s="50">
        <f>VLOOKUP($A469,'[1]ma sp 02'!$A$5:$BD$1101,U$1,0)</f>
        <v>0</v>
      </c>
      <c r="V469" s="50">
        <f>VLOOKUP($A469,'[1]ma sp 02'!$A$5:$BD$1101,V$1,0)</f>
        <v>0</v>
      </c>
      <c r="W469" s="50">
        <f>VLOOKUP($A469,'[1]ma sp 02'!$A$5:$BD$1101,W$1,0)</f>
        <v>0</v>
      </c>
      <c r="X469" s="50">
        <f t="shared" si="17"/>
        <v>6</v>
      </c>
      <c r="Y469" s="62"/>
      <c r="Z469" s="62"/>
      <c r="AA469" s="62"/>
      <c r="AB469" s="62"/>
      <c r="AC469" s="62"/>
      <c r="AD469" s="62"/>
      <c r="AE469" s="62" t="s">
        <v>1014</v>
      </c>
      <c r="AF469" s="62"/>
      <c r="AG469" s="62"/>
      <c r="AH469" s="54"/>
      <c r="AI469" s="62"/>
      <c r="AJ469" s="62">
        <v>9530</v>
      </c>
      <c r="AK469" s="62"/>
      <c r="AL469" s="62">
        <v>2E-3</v>
      </c>
      <c r="AM469" s="61" t="s">
        <v>1489</v>
      </c>
      <c r="AN469" s="62">
        <v>2000</v>
      </c>
      <c r="AO469" s="61" t="s">
        <v>959</v>
      </c>
      <c r="AP469" s="59">
        <f>IFERROR(VLOOKUP($A469,[2]Mssp!$A$5:$BE$1463,AP$4+1,0),0)</f>
        <v>0</v>
      </c>
      <c r="AQ469" s="59">
        <f>IFERROR(VLOOKUP($A469,[2]Mssp!$A$5:$BE$1463,AQ$4+1,0),0)</f>
        <v>0</v>
      </c>
      <c r="AR469" s="59">
        <f>IFERROR(VLOOKUP($A469,[2]Mssp!$A$5:$BE$1463,AR$4+1,0),0)</f>
        <v>0</v>
      </c>
      <c r="AS469" s="59">
        <f>IFERROR(VLOOKUP($A469,[2]Mssp!$A$5:$BE$1463,AS$4+1,0),0)</f>
        <v>0</v>
      </c>
      <c r="AT469" s="59">
        <f>IFERROR(VLOOKUP($A469,[2]Mssp!$A$5:$BE$1463,AT$4+1,0),0)</f>
        <v>0</v>
      </c>
      <c r="AU469" s="59">
        <f>IFERROR(VLOOKUP($A469,[2]Mssp!$A$5:$BE$1463,AU$4+1,0),0)</f>
        <v>0</v>
      </c>
      <c r="AV469" s="59">
        <f>IFERROR(VLOOKUP($A469,[2]Mssp!$A$5:$BE$1463,AV$4+1,0),0)</f>
        <v>0</v>
      </c>
      <c r="AW469" s="59">
        <f>IFERROR(VLOOKUP($A469,[2]Mssp!$A$5:$BE$1463,AW$4+1,0),0)</f>
        <v>0</v>
      </c>
      <c r="AX469" s="59">
        <f>IFERROR(VLOOKUP($A469,[2]Mssp!$A$5:$BE$1463,AX$4+1,0),0)</f>
        <v>0</v>
      </c>
      <c r="AY469" s="59">
        <f>IFERROR(VLOOKUP($A469,[2]Mssp!$A$5:$BE$1463,AY$4+2,0),0)</f>
        <v>0</v>
      </c>
      <c r="AZ469" s="59">
        <f>IFERROR(VLOOKUP($A469,[2]Mssp!$A$5:$BE$1463,AZ$4+2,0),0)</f>
        <v>0</v>
      </c>
      <c r="BA469" s="60"/>
      <c r="BB469" s="61"/>
      <c r="BC469" s="84"/>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c r="CK469" s="9"/>
      <c r="CL469" s="9"/>
      <c r="CM469" s="9"/>
      <c r="CN469" s="9"/>
      <c r="CO469" s="9"/>
      <c r="CP469" s="9"/>
    </row>
    <row r="470" spans="1:94" ht="30" x14ac:dyDescent="0.25">
      <c r="A470" s="58" t="s">
        <v>1535</v>
      </c>
      <c r="B470" s="72" t="s">
        <v>1536</v>
      </c>
      <c r="C470" s="50"/>
      <c r="D470" s="57"/>
      <c r="E470" s="57" t="s">
        <v>819</v>
      </c>
      <c r="F470" s="57">
        <v>7</v>
      </c>
      <c r="G470" s="50" t="s">
        <v>184</v>
      </c>
      <c r="H470" s="50">
        <f>VLOOKUP($A470,'[1]ma sp 02'!$A$5:$BD$1101,H$1,0)</f>
        <v>0.04</v>
      </c>
      <c r="I470" s="50">
        <f>VLOOKUP($A470,'[1]ma sp 02'!$A$5:$BD$1101,I$1,0)</f>
        <v>0.34</v>
      </c>
      <c r="J470" s="50">
        <f>VLOOKUP($A470,'[1]ma sp 02'!$A$5:$BD$1101,J$1,0)</f>
        <v>0.44</v>
      </c>
      <c r="K470" s="50">
        <f>VLOOKUP($A470,'[1]ma sp 02'!$A$5:$BD$1101,K$1,0)</f>
        <v>0.01</v>
      </c>
      <c r="L470" s="50">
        <f>VLOOKUP($A470,'[1]ma sp 02'!$A$5:$BD$1101,L$1,0)</f>
        <v>2.04</v>
      </c>
      <c r="M470" s="50">
        <f>VLOOKUP($A470,'[1]ma sp 02'!$A$5:$BD$1101,M$1,0)</f>
        <v>0</v>
      </c>
      <c r="N470" s="50">
        <f>VLOOKUP($A470,'[1]ma sp 02'!$A$5:$BD$1101,N$1,0)</f>
        <v>0</v>
      </c>
      <c r="O470" s="50">
        <f>VLOOKUP($A470,'[1]ma sp 02'!$A$5:$BD$1101,O$1,0)</f>
        <v>0.01</v>
      </c>
      <c r="P470" s="50">
        <f>VLOOKUP($A470,'[1]ma sp 02'!$A$5:$BD$1101,P$1,0)</f>
        <v>0.02</v>
      </c>
      <c r="Q470" s="50">
        <f>VLOOKUP($A470,'[1]ma sp 02'!$A$5:$BD$1101,Q$1,0)</f>
        <v>0</v>
      </c>
      <c r="R470" s="50">
        <f>VLOOKUP($A470,'[1]ma sp 02'!$A$5:$BD$1101,R$1,0)</f>
        <v>0</v>
      </c>
      <c r="S470" s="50">
        <f>VLOOKUP($A470,'[1]ma sp 02'!$A$5:$BD$1101,S$1,0)</f>
        <v>0</v>
      </c>
      <c r="T470" s="50">
        <f>VLOOKUP($A470,'[1]ma sp 02'!$A$5:$BD$1101,T$1,0)</f>
        <v>0.01</v>
      </c>
      <c r="U470" s="50">
        <f>VLOOKUP($A470,'[1]ma sp 02'!$A$5:$BD$1101,U$1,0)</f>
        <v>0</v>
      </c>
      <c r="V470" s="50">
        <f>VLOOKUP($A470,'[1]ma sp 02'!$A$5:$BD$1101,V$1,0)</f>
        <v>0</v>
      </c>
      <c r="W470" s="50">
        <f>VLOOKUP($A470,'[1]ma sp 02'!$A$5:$BD$1101,W$1,0)</f>
        <v>0</v>
      </c>
      <c r="X470" s="50">
        <f t="shared" si="17"/>
        <v>8</v>
      </c>
      <c r="Y470" s="62"/>
      <c r="Z470" s="62"/>
      <c r="AA470" s="62"/>
      <c r="AB470" s="62"/>
      <c r="AC470" s="62"/>
      <c r="AD470" s="62"/>
      <c r="AE470" s="62"/>
      <c r="AF470" s="62"/>
      <c r="AG470" s="62"/>
      <c r="AH470" s="54"/>
      <c r="AI470" s="62"/>
      <c r="AJ470" s="62"/>
      <c r="AK470" s="62"/>
      <c r="AL470" s="62"/>
      <c r="AM470" s="61"/>
      <c r="AN470" s="62"/>
      <c r="AO470" s="61" t="s">
        <v>527</v>
      </c>
      <c r="AP470" s="59" t="str">
        <f>IFERROR(VLOOKUP($A470,[2]Mssp!$A$5:$BE$1463,AP$4+1,0),0)</f>
        <v>1811585-1</v>
      </c>
      <c r="AQ470" s="59" t="str">
        <f>IFERROR(VLOOKUP($A470,[2]Mssp!$A$5:$BE$1463,AQ$4+1,0),0)</f>
        <v>1811585-2</v>
      </c>
      <c r="AR470" s="59" t="str">
        <f>IFERROR(VLOOKUP($A470,[2]Mssp!$A$5:$BE$1463,AR$4+1,0),0)</f>
        <v>1811585-3</v>
      </c>
      <c r="AS470" s="59" t="str">
        <f>IFERROR(VLOOKUP($A470,[2]Mssp!$A$5:$BE$1463,AS$4+1,0),0)</f>
        <v>1811585-4</v>
      </c>
      <c r="AT470" s="59" t="str">
        <f>IFERROR(VLOOKUP($A470,[2]Mssp!$A$5:$BE$1463,AT$4+1,0),0)</f>
        <v>1811585-5</v>
      </c>
      <c r="AU470" s="59" t="str">
        <f>IFERROR(VLOOKUP($A470,[2]Mssp!$A$5:$BE$1463,AU$4+1,0),0)</f>
        <v>1811585-6</v>
      </c>
      <c r="AV470" s="59" t="str">
        <f>IFERROR(VLOOKUP($A470,[2]Mssp!$A$5:$BE$1463,AV$4+1,0),0)</f>
        <v>1811585-7</v>
      </c>
      <c r="AW470" s="59">
        <f>IFERROR(VLOOKUP($A470,[2]Mssp!$A$5:$BE$1463,AW$4+1,0),0)</f>
        <v>0</v>
      </c>
      <c r="AX470" s="59">
        <f>IFERROR(VLOOKUP($A470,[2]Mssp!$A$5:$BE$1463,AX$4+1,0),0)</f>
        <v>0</v>
      </c>
      <c r="AY470" s="59" t="str">
        <f>IFERROR(VLOOKUP($A470,[2]Mssp!$A$5:$BE$1463,AY$4+2,0),0)</f>
        <v>570x850</v>
      </c>
      <c r="AZ470" s="59" t="str">
        <f>IFERROR(VLOOKUP($A470,[2]Mssp!$A$5:$BE$1463,AZ$4+2,0),0)</f>
        <v>J1</v>
      </c>
      <c r="BA470" s="60" t="s">
        <v>106</v>
      </c>
      <c r="BB470" s="61" t="s">
        <v>1537</v>
      </c>
      <c r="BC470" s="84"/>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c r="CJ470" s="9"/>
      <c r="CK470" s="9"/>
      <c r="CL470" s="9"/>
      <c r="CM470" s="9"/>
      <c r="CN470" s="9"/>
      <c r="CO470" s="9"/>
      <c r="CP470" s="9"/>
    </row>
    <row r="471" spans="1:94" ht="45" x14ac:dyDescent="0.25">
      <c r="A471" s="50" t="s">
        <v>1538</v>
      </c>
      <c r="B471" s="57" t="s">
        <v>1539</v>
      </c>
      <c r="C471" s="50"/>
      <c r="D471" s="57">
        <v>1</v>
      </c>
      <c r="E471" s="57" t="s">
        <v>755</v>
      </c>
      <c r="F471" s="57">
        <v>6</v>
      </c>
      <c r="G471" s="50" t="s">
        <v>184</v>
      </c>
      <c r="H471" s="50">
        <f>VLOOKUP($A471,'[1]ma sp 02'!$A$5:$BD$1101,H$1,0)</f>
        <v>0.18</v>
      </c>
      <c r="I471" s="50">
        <f>VLOOKUP($A471,'[1]ma sp 02'!$A$5:$BD$1101,I$1,0)</f>
        <v>0</v>
      </c>
      <c r="J471" s="50">
        <f>VLOOKUP($A471,'[1]ma sp 02'!$A$5:$BD$1101,J$1,0)</f>
        <v>0.44</v>
      </c>
      <c r="K471" s="50">
        <f>VLOOKUP($A471,'[1]ma sp 02'!$A$5:$BD$1101,K$1,0)</f>
        <v>0</v>
      </c>
      <c r="L471" s="50">
        <f>VLOOKUP($A471,'[1]ma sp 02'!$A$5:$BD$1101,L$1,0)</f>
        <v>1.5</v>
      </c>
      <c r="M471" s="50">
        <f>VLOOKUP($A471,'[1]ma sp 02'!$A$5:$BD$1101,M$1,0)</f>
        <v>0</v>
      </c>
      <c r="N471" s="50">
        <f>VLOOKUP($A471,'[1]ma sp 02'!$A$5:$BD$1101,N$1,0)</f>
        <v>0</v>
      </c>
      <c r="O471" s="50">
        <f>VLOOKUP($A471,'[1]ma sp 02'!$A$5:$BD$1101,O$1,0)</f>
        <v>0.18</v>
      </c>
      <c r="P471" s="50">
        <f>VLOOKUP($A471,'[1]ma sp 02'!$A$5:$BD$1101,P$1,0)</f>
        <v>0</v>
      </c>
      <c r="Q471" s="50">
        <f>VLOOKUP($A471,'[1]ma sp 02'!$A$5:$BD$1101,Q$1,0)</f>
        <v>0</v>
      </c>
      <c r="R471" s="50">
        <f>VLOOKUP($A471,'[1]ma sp 02'!$A$5:$BD$1101,R$1,0)</f>
        <v>0</v>
      </c>
      <c r="S471" s="50">
        <f>VLOOKUP($A471,'[1]ma sp 02'!$A$5:$BD$1101,S$1,0)</f>
        <v>0</v>
      </c>
      <c r="T471" s="50">
        <f>VLOOKUP($A471,'[1]ma sp 02'!$A$5:$BD$1101,T$1,0)</f>
        <v>0.56999999999999995</v>
      </c>
      <c r="U471" s="50">
        <f>VLOOKUP($A471,'[1]ma sp 02'!$A$5:$BD$1101,U$1,0)</f>
        <v>0</v>
      </c>
      <c r="V471" s="50">
        <f>VLOOKUP($A471,'[1]ma sp 02'!$A$5:$BD$1101,V$1,0)</f>
        <v>0</v>
      </c>
      <c r="W471" s="50">
        <f>VLOOKUP($A471,'[1]ma sp 02'!$A$5:$BD$1101,W$1,0)</f>
        <v>0</v>
      </c>
      <c r="X471" s="50">
        <f t="shared" si="17"/>
        <v>5</v>
      </c>
      <c r="Y471" s="62"/>
      <c r="Z471" s="62"/>
      <c r="AA471" s="62"/>
      <c r="AB471" s="62"/>
      <c r="AC471" s="62"/>
      <c r="AD471" s="62"/>
      <c r="AE471" s="62"/>
      <c r="AF471" s="62"/>
      <c r="AG471" s="62"/>
      <c r="AH471" s="54"/>
      <c r="AI471" s="62"/>
      <c r="AJ471" s="62"/>
      <c r="AK471" s="62"/>
      <c r="AL471" s="62"/>
      <c r="AM471" s="52" t="s">
        <v>756</v>
      </c>
      <c r="AN471" s="62"/>
      <c r="AO471" s="61" t="s">
        <v>527</v>
      </c>
      <c r="AP471" s="59" t="str">
        <f>IFERROR(VLOOKUP($A471,[2]Mssp!$A$5:$BE$1463,AP$4+1,0),0)</f>
        <v>17101029-1</v>
      </c>
      <c r="AQ471" s="59" t="str">
        <f>IFERROR(VLOOKUP($A471,[2]Mssp!$A$5:$BE$1463,AQ$4+1,0),0)</f>
        <v>1609242-2</v>
      </c>
      <c r="AR471" s="59" t="str">
        <f>IFERROR(VLOOKUP($A471,[2]Mssp!$A$5:$BE$1463,AR$4+1,0),0)</f>
        <v>17101029-3</v>
      </c>
      <c r="AS471" s="59" t="str">
        <f>IFERROR(VLOOKUP($A471,[2]Mssp!$A$5:$BE$1463,AS$4+1,0),0)</f>
        <v>1710745-4</v>
      </c>
      <c r="AT471" s="59" t="str">
        <f>IFERROR(VLOOKUP($A471,[2]Mssp!$A$5:$BE$1463,AT$4+1,0),0)</f>
        <v>1811640-5</v>
      </c>
      <c r="AU471" s="59" t="str">
        <f>IFERROR(VLOOKUP($A471,[2]Mssp!$A$5:$BE$1463,AU$4+1,0),0)</f>
        <v>1811640-6</v>
      </c>
      <c r="AV471" s="59">
        <f>IFERROR(VLOOKUP($A471,[2]Mssp!$A$5:$BE$1463,AV$4+1,0),0)</f>
        <v>0</v>
      </c>
      <c r="AW471" s="59">
        <f>IFERROR(VLOOKUP($A471,[2]Mssp!$A$5:$BE$1463,AW$4+1,0),0)</f>
        <v>0</v>
      </c>
      <c r="AX471" s="59">
        <f>IFERROR(VLOOKUP($A471,[2]Mssp!$A$5:$BE$1463,AX$4+1,0),0)</f>
        <v>0</v>
      </c>
      <c r="AY471" s="59" t="str">
        <f>IFERROR(VLOOKUP($A471,[2]Mssp!$A$5:$BE$1463,AY$4+2,0),0)</f>
        <v>1100x850</v>
      </c>
      <c r="AZ471" s="59" t="str">
        <f>IFERROR(VLOOKUP($A471,[2]Mssp!$A$5:$BE$1463,AZ$4+2,0),0)</f>
        <v>K4</v>
      </c>
      <c r="BA471" s="60" t="s">
        <v>106</v>
      </c>
      <c r="BB471" s="61" t="s">
        <v>107</v>
      </c>
      <c r="BC471" s="84"/>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c r="CJ471" s="9"/>
      <c r="CK471" s="9"/>
      <c r="CL471" s="9"/>
      <c r="CM471" s="9"/>
      <c r="CN471" s="9"/>
      <c r="CO471" s="9"/>
      <c r="CP471" s="9"/>
    </row>
    <row r="472" spans="1:94" ht="60" x14ac:dyDescent="0.25">
      <c r="A472" s="50" t="s">
        <v>1540</v>
      </c>
      <c r="B472" s="73" t="s">
        <v>1541</v>
      </c>
      <c r="C472" s="50">
        <f>SUM(H472:W472)</f>
        <v>6.79</v>
      </c>
      <c r="D472" s="58">
        <v>2</v>
      </c>
      <c r="E472" s="58" t="s">
        <v>748</v>
      </c>
      <c r="F472" s="58">
        <v>8</v>
      </c>
      <c r="G472" s="50" t="s">
        <v>184</v>
      </c>
      <c r="H472" s="50">
        <f>VLOOKUP($A472,'[1]ma sp 02'!$A$5:$BD$1101,H$1,0)</f>
        <v>0.09</v>
      </c>
      <c r="I472" s="50">
        <f>VLOOKUP($A472,'[1]ma sp 02'!$A$5:$BD$1101,I$1,0)</f>
        <v>3.93</v>
      </c>
      <c r="J472" s="50">
        <f>VLOOKUP($A472,'[1]ma sp 02'!$A$5:$BD$1101,J$1,0)</f>
        <v>0.08</v>
      </c>
      <c r="K472" s="50">
        <f>VLOOKUP($A472,'[1]ma sp 02'!$A$5:$BD$1101,K$1,0)</f>
        <v>0.06</v>
      </c>
      <c r="L472" s="50">
        <f>VLOOKUP($A472,'[1]ma sp 02'!$A$5:$BD$1101,L$1,0)</f>
        <v>1.77</v>
      </c>
      <c r="M472" s="50">
        <f>VLOOKUP($A472,'[1]ma sp 02'!$A$5:$BD$1101,M$1,0)</f>
        <v>0.28000000000000003</v>
      </c>
      <c r="N472" s="50">
        <f>VLOOKUP($A472,'[1]ma sp 02'!$A$5:$BD$1101,N$1,0)</f>
        <v>0</v>
      </c>
      <c r="O472" s="50">
        <f>VLOOKUP($A472,'[1]ma sp 02'!$A$5:$BD$1101,O$1,0)</f>
        <v>0.16</v>
      </c>
      <c r="P472" s="50">
        <f>VLOOKUP($A472,'[1]ma sp 02'!$A$5:$BD$1101,P$1,0)</f>
        <v>0.16</v>
      </c>
      <c r="Q472" s="50">
        <f>VLOOKUP($A472,'[1]ma sp 02'!$A$5:$BD$1101,Q$1,0)</f>
        <v>0.25</v>
      </c>
      <c r="R472" s="50">
        <f>VLOOKUP($A472,'[1]ma sp 02'!$A$5:$BD$1101,R$1,0)</f>
        <v>0</v>
      </c>
      <c r="S472" s="50">
        <f>VLOOKUP($A472,'[1]ma sp 02'!$A$5:$BD$1101,S$1,0)</f>
        <v>0</v>
      </c>
      <c r="T472" s="50">
        <f>VLOOKUP($A472,'[1]ma sp 02'!$A$5:$BD$1101,T$1,0)</f>
        <v>0.01</v>
      </c>
      <c r="U472" s="50">
        <f>VLOOKUP($A472,'[1]ma sp 02'!$A$5:$BD$1101,U$1,0)</f>
        <v>0</v>
      </c>
      <c r="V472" s="50">
        <f>VLOOKUP($A472,'[1]ma sp 02'!$A$5:$BD$1101,V$1,0)</f>
        <v>0</v>
      </c>
      <c r="W472" s="50">
        <f>VLOOKUP($A472,'[1]ma sp 02'!$A$5:$BD$1101,W$1,0)</f>
        <v>0</v>
      </c>
      <c r="X472" s="50">
        <f t="shared" si="17"/>
        <v>10</v>
      </c>
      <c r="Y472" s="57"/>
      <c r="Z472" s="57"/>
      <c r="AA472" s="57"/>
      <c r="AB472" s="57"/>
      <c r="AC472" s="57"/>
      <c r="AD472" s="57"/>
      <c r="AE472" s="58" t="s">
        <v>749</v>
      </c>
      <c r="AF472" s="57"/>
      <c r="AG472" s="71">
        <f>(0.02*0.91+0.08*0.925)*0.9</f>
        <v>8.2980000000000012E-2</v>
      </c>
      <c r="AH472" s="63">
        <f>(2.3/0.75/2)*0.89</f>
        <v>1.3646666666666665</v>
      </c>
      <c r="AI472" s="63"/>
      <c r="AJ472" s="58">
        <v>9530</v>
      </c>
      <c r="AK472" s="57"/>
      <c r="AL472" s="58">
        <v>2.3E-3</v>
      </c>
      <c r="AM472" s="52" t="s">
        <v>1104</v>
      </c>
      <c r="AN472" s="58">
        <v>310</v>
      </c>
      <c r="AO472" s="52" t="s">
        <v>527</v>
      </c>
      <c r="AP472" s="59" t="str">
        <f>IFERROR(VLOOKUP($A472,[2]Mssp!$A$5:$BE$1463,AP$4+1,0),0)</f>
        <v>1811388-1</v>
      </c>
      <c r="AQ472" s="59" t="s">
        <v>1542</v>
      </c>
      <c r="AR472" s="59" t="str">
        <f>IFERROR(VLOOKUP($A472,[2]Mssp!$A$5:$BE$1463,AR$4+1,0),0)</f>
        <v>1609240-3</v>
      </c>
      <c r="AS472" s="59" t="s">
        <v>1543</v>
      </c>
      <c r="AT472" s="59" t="str">
        <f>IFERROR(VLOOKUP($A472,[2]Mssp!$A$5:$BE$1463,AT$4+1,0),0)</f>
        <v>1811388-5</v>
      </c>
      <c r="AU472" s="59" t="str">
        <f>IFERROR(VLOOKUP($A472,[2]Mssp!$A$5:$BE$1463,AU$4+1,0),0)</f>
        <v>1811388-6</v>
      </c>
      <c r="AV472" s="59" t="str">
        <f>IFERROR(VLOOKUP($A472,[2]Mssp!$A$5:$BE$1463,AV$4+1,0),0)</f>
        <v>1710724-7</v>
      </c>
      <c r="AW472" s="59" t="str">
        <f>IFERROR(VLOOKUP($A472,[2]Mssp!$A$5:$BE$1463,AW$4+1,0),0)</f>
        <v>1807922-8</v>
      </c>
      <c r="AX472" s="59">
        <f>IFERROR(VLOOKUP($A472,[2]Mssp!$A$5:$BE$1463,AX$4+1,0),0)</f>
        <v>0</v>
      </c>
      <c r="AY472" s="59" t="str">
        <f>IFERROR(VLOOKUP($A472,[2]Mssp!$A$5:$BE$1463,AY$4+2,0),0)</f>
        <v>620x1100</v>
      </c>
      <c r="AZ472" s="59" t="str">
        <f>IFERROR(VLOOKUP($A472,[2]Mssp!$A$5:$BE$1463,AZ$4+2,0),0)</f>
        <v>I3</v>
      </c>
      <c r="BA472" s="60">
        <v>4000</v>
      </c>
      <c r="BB472" s="61" t="s">
        <v>251</v>
      </c>
      <c r="BC472" s="62"/>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c r="CJ472" s="9"/>
      <c r="CK472" s="9"/>
      <c r="CL472" s="9"/>
      <c r="CM472" s="9"/>
      <c r="CN472" s="9"/>
      <c r="CO472" s="9"/>
      <c r="CP472" s="9"/>
    </row>
    <row r="473" spans="1:94" ht="30" x14ac:dyDescent="0.25">
      <c r="A473" s="50" t="s">
        <v>1544</v>
      </c>
      <c r="B473" s="57" t="s">
        <v>1545</v>
      </c>
      <c r="C473" s="50"/>
      <c r="D473" s="57">
        <v>1</v>
      </c>
      <c r="E473" s="57" t="s">
        <v>1546</v>
      </c>
      <c r="F473" s="57">
        <v>7</v>
      </c>
      <c r="G473" s="50" t="s">
        <v>530</v>
      </c>
      <c r="H473" s="50">
        <f>VLOOKUP($A473,'[1]ma sp 02'!$A$5:$BD$1101,H$1,0)</f>
        <v>0</v>
      </c>
      <c r="I473" s="50">
        <f>VLOOKUP($A473,'[1]ma sp 02'!$A$5:$BD$1101,I$1,0)</f>
        <v>0</v>
      </c>
      <c r="J473" s="50">
        <f>VLOOKUP($A473,'[1]ma sp 02'!$A$5:$BD$1101,J$1,0)</f>
        <v>0</v>
      </c>
      <c r="K473" s="50">
        <f>VLOOKUP($A473,'[1]ma sp 02'!$A$5:$BD$1101,K$1,0)</f>
        <v>0</v>
      </c>
      <c r="L473" s="50">
        <f>VLOOKUP($A473,'[1]ma sp 02'!$A$5:$BD$1101,L$1,0)</f>
        <v>0</v>
      </c>
      <c r="M473" s="50">
        <f>VLOOKUP($A473,'[1]ma sp 02'!$A$5:$BD$1101,M$1,0)</f>
        <v>0</v>
      </c>
      <c r="N473" s="50">
        <f>VLOOKUP($A473,'[1]ma sp 02'!$A$5:$BD$1101,N$1,0)</f>
        <v>0</v>
      </c>
      <c r="O473" s="50">
        <f>VLOOKUP($A473,'[1]ma sp 02'!$A$5:$BD$1101,O$1,0)</f>
        <v>0</v>
      </c>
      <c r="P473" s="50">
        <f>VLOOKUP($A473,'[1]ma sp 02'!$A$5:$BD$1101,P$1,0)</f>
        <v>0</v>
      </c>
      <c r="Q473" s="50">
        <f>VLOOKUP($A473,'[1]ma sp 02'!$A$5:$BD$1101,Q$1,0)</f>
        <v>0</v>
      </c>
      <c r="R473" s="50">
        <f>VLOOKUP($A473,'[1]ma sp 02'!$A$5:$BD$1101,R$1,0)</f>
        <v>0</v>
      </c>
      <c r="S473" s="50">
        <f>VLOOKUP($A473,'[1]ma sp 02'!$A$5:$BD$1101,S$1,0)</f>
        <v>0</v>
      </c>
      <c r="T473" s="50">
        <f>VLOOKUP($A473,'[1]ma sp 02'!$A$5:$BD$1101,T$1,0)</f>
        <v>0</v>
      </c>
      <c r="U473" s="50">
        <f>VLOOKUP($A473,'[1]ma sp 02'!$A$5:$BD$1101,U$1,0)</f>
        <v>0</v>
      </c>
      <c r="V473" s="50">
        <f>VLOOKUP($A473,'[1]ma sp 02'!$A$5:$BD$1101,V$1,0)</f>
        <v>0</v>
      </c>
      <c r="W473" s="50">
        <f>VLOOKUP($A473,'[1]ma sp 02'!$A$5:$BD$1101,W$1,0)</f>
        <v>0</v>
      </c>
      <c r="X473" s="50">
        <f t="shared" si="17"/>
        <v>0</v>
      </c>
      <c r="Y473" s="62"/>
      <c r="Z473" s="62"/>
      <c r="AA473" s="62"/>
      <c r="AB473" s="62"/>
      <c r="AC473" s="62"/>
      <c r="AD473" s="62"/>
      <c r="AE473" s="62" t="s">
        <v>1547</v>
      </c>
      <c r="AF473" s="62"/>
      <c r="AG473" s="62"/>
      <c r="AH473" s="63">
        <f>(3/0.75/2)*0.43</f>
        <v>0.86</v>
      </c>
      <c r="AI473" s="62"/>
      <c r="AJ473" s="62">
        <v>9530</v>
      </c>
      <c r="AK473" s="62"/>
      <c r="AL473" s="62">
        <v>3.0000000000000001E-3</v>
      </c>
      <c r="AM473" s="61" t="s">
        <v>951</v>
      </c>
      <c r="AN473" s="62">
        <v>420</v>
      </c>
      <c r="AO473" s="61" t="s">
        <v>1548</v>
      </c>
      <c r="AP473" s="59">
        <f>IFERROR(VLOOKUP($A473,[2]Mssp!$A$5:$BE$1463,AP$4+1,0),0)</f>
        <v>0</v>
      </c>
      <c r="AQ473" s="59">
        <f>IFERROR(VLOOKUP($A473,[2]Mssp!$A$5:$BE$1463,AQ$4+1,0),0)</f>
        <v>0</v>
      </c>
      <c r="AR473" s="59">
        <f>IFERROR(VLOOKUP($A473,[2]Mssp!$A$5:$BE$1463,AR$4+1,0),0)</f>
        <v>0</v>
      </c>
      <c r="AS473" s="59">
        <f>IFERROR(VLOOKUP($A473,[2]Mssp!$A$5:$BE$1463,AS$4+1,0),0)</f>
        <v>0</v>
      </c>
      <c r="AT473" s="59">
        <f>IFERROR(VLOOKUP($A473,[2]Mssp!$A$5:$BE$1463,AT$4+1,0),0)</f>
        <v>0</v>
      </c>
      <c r="AU473" s="59">
        <f>IFERROR(VLOOKUP($A473,[2]Mssp!$A$5:$BE$1463,AU$4+1,0),0)</f>
        <v>0</v>
      </c>
      <c r="AV473" s="59">
        <f>IFERROR(VLOOKUP($A473,[2]Mssp!$A$5:$BE$1463,AV$4+1,0),0)</f>
        <v>0</v>
      </c>
      <c r="AW473" s="59">
        <f>IFERROR(VLOOKUP($A473,[2]Mssp!$A$5:$BE$1463,AW$4+1,0),0)</f>
        <v>0</v>
      </c>
      <c r="AX473" s="59">
        <f>IFERROR(VLOOKUP($A473,[2]Mssp!$A$5:$BE$1463,AX$4+1,0),0)</f>
        <v>0</v>
      </c>
      <c r="AY473" s="59">
        <f>IFERROR(VLOOKUP($A473,[2]Mssp!$A$5:$BE$1463,AY$4+2,0),0)</f>
        <v>0</v>
      </c>
      <c r="AZ473" s="59">
        <f>IFERROR(VLOOKUP($A473,[2]Mssp!$A$5:$BE$1463,AZ$4+2,0),0)</f>
        <v>0</v>
      </c>
      <c r="BA473" s="60" t="s">
        <v>144</v>
      </c>
      <c r="BB473" s="61" t="s">
        <v>1549</v>
      </c>
      <c r="BC473" s="84"/>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c r="CJ473" s="9"/>
      <c r="CK473" s="9"/>
      <c r="CL473" s="9"/>
      <c r="CM473" s="9"/>
      <c r="CN473" s="9"/>
      <c r="CO473" s="9"/>
      <c r="CP473" s="9"/>
    </row>
    <row r="474" spans="1:94" ht="60" x14ac:dyDescent="0.25">
      <c r="A474" s="50" t="s">
        <v>1550</v>
      </c>
      <c r="B474" s="57" t="s">
        <v>1551</v>
      </c>
      <c r="C474" s="50"/>
      <c r="D474" s="57">
        <v>1</v>
      </c>
      <c r="E474" s="57" t="s">
        <v>1448</v>
      </c>
      <c r="F474" s="57">
        <v>6</v>
      </c>
      <c r="G474" s="50" t="s">
        <v>184</v>
      </c>
      <c r="H474" s="50">
        <f>VLOOKUP($A474,'[1]ma sp 02'!$A$5:$BD$1101,H$1,0)</f>
        <v>0.12</v>
      </c>
      <c r="I474" s="50">
        <f>VLOOKUP($A474,'[1]ma sp 02'!$A$5:$BD$1101,I$1,0)</f>
        <v>3.95</v>
      </c>
      <c r="J474" s="50">
        <f>VLOOKUP($A474,'[1]ma sp 02'!$A$5:$BD$1101,J$1,0)</f>
        <v>0.35</v>
      </c>
      <c r="K474" s="50">
        <f>VLOOKUP($A474,'[1]ma sp 02'!$A$5:$BD$1101,K$1,0)</f>
        <v>0</v>
      </c>
      <c r="L474" s="50">
        <f>VLOOKUP($A474,'[1]ma sp 02'!$A$5:$BD$1101,L$1,0)</f>
        <v>0.41</v>
      </c>
      <c r="M474" s="50">
        <f>VLOOKUP($A474,'[1]ma sp 02'!$A$5:$BD$1101,M$1,0)</f>
        <v>0.35</v>
      </c>
      <c r="N474" s="50">
        <f>VLOOKUP($A474,'[1]ma sp 02'!$A$5:$BD$1101,N$1,0)</f>
        <v>0</v>
      </c>
      <c r="O474" s="50">
        <f>VLOOKUP($A474,'[1]ma sp 02'!$A$5:$BD$1101,O$1,0)</f>
        <v>0</v>
      </c>
      <c r="P474" s="50">
        <f>VLOOKUP($A474,'[1]ma sp 02'!$A$5:$BD$1101,P$1,0)</f>
        <v>0.7</v>
      </c>
      <c r="Q474" s="50">
        <f>VLOOKUP($A474,'[1]ma sp 02'!$A$5:$BD$1101,Q$1,0)</f>
        <v>0.7</v>
      </c>
      <c r="R474" s="50">
        <f>VLOOKUP($A474,'[1]ma sp 02'!$A$5:$BD$1101,R$1,0)</f>
        <v>0</v>
      </c>
      <c r="S474" s="50">
        <f>VLOOKUP($A474,'[1]ma sp 02'!$A$5:$BD$1101,S$1,0)</f>
        <v>0</v>
      </c>
      <c r="T474" s="50">
        <f>VLOOKUP($A474,'[1]ma sp 02'!$A$5:$BD$1101,T$1,0)</f>
        <v>0</v>
      </c>
      <c r="U474" s="50">
        <f>VLOOKUP($A474,'[1]ma sp 02'!$A$5:$BD$1101,U$1,0)</f>
        <v>0</v>
      </c>
      <c r="V474" s="50">
        <f>VLOOKUP($A474,'[1]ma sp 02'!$A$5:$BD$1101,V$1,0)</f>
        <v>0</v>
      </c>
      <c r="W474" s="50">
        <f>VLOOKUP($A474,'[1]ma sp 02'!$A$5:$BD$1101,W$1,0)</f>
        <v>0</v>
      </c>
      <c r="X474" s="50">
        <f t="shared" si="17"/>
        <v>7</v>
      </c>
      <c r="Y474" s="62"/>
      <c r="Z474" s="62"/>
      <c r="AA474" s="62"/>
      <c r="AB474" s="62"/>
      <c r="AC474" s="62"/>
      <c r="AD474" s="62"/>
      <c r="AE474" s="62" t="s">
        <v>1449</v>
      </c>
      <c r="AF474" s="62"/>
      <c r="AG474" s="71">
        <f>(0.02*0.91+0.08*0.925)*0.59</f>
        <v>5.4398000000000002E-2</v>
      </c>
      <c r="AH474" s="63">
        <f>(2.3/0.75/2)*0.58</f>
        <v>0.8893333333333332</v>
      </c>
      <c r="AI474" s="62"/>
      <c r="AJ474" s="62">
        <v>9530</v>
      </c>
      <c r="AK474" s="62"/>
      <c r="AL474" s="62">
        <v>2.3E-3</v>
      </c>
      <c r="AM474" s="61" t="s">
        <v>74</v>
      </c>
      <c r="AN474" s="62">
        <v>570</v>
      </c>
      <c r="AO474" s="61" t="s">
        <v>1552</v>
      </c>
      <c r="AP474" s="59" t="str">
        <f>IFERROR(VLOOKUP($A474,[2]Mssp!$A$5:$BE$1463,AP$4+1,0),0)</f>
        <v>F417888-1</v>
      </c>
      <c r="AQ474" s="59" t="str">
        <f>IFERROR(VLOOKUP($A474,[2]Mssp!$A$5:$BE$1463,AQ$4+1,0),0)</f>
        <v>F417888-2</v>
      </c>
      <c r="AR474" s="59" t="str">
        <f>IFERROR(VLOOKUP($A474,[2]Mssp!$A$5:$BE$1463,AR$4+1,0),0)</f>
        <v>F417888-3</v>
      </c>
      <c r="AS474" s="59" t="str">
        <f>IFERROR(VLOOKUP($A474,[2]Mssp!$A$5:$BE$1463,AS$4+1,0),0)</f>
        <v>F417888-4</v>
      </c>
      <c r="AT474" s="59" t="str">
        <f>IFERROR(VLOOKUP($A474,[2]Mssp!$A$5:$BE$1463,AT$4+1,0),0)</f>
        <v>F417888-5</v>
      </c>
      <c r="AU474" s="59" t="str">
        <f>IFERROR(VLOOKUP($A474,[2]Mssp!$A$5:$BE$1463,AU$4+1,0),0)</f>
        <v>F417888-6</v>
      </c>
      <c r="AV474" s="59">
        <f>IFERROR(VLOOKUP($A474,[2]Mssp!$A$5:$BE$1463,AV$4+1,0),0)</f>
        <v>0</v>
      </c>
      <c r="AW474" s="59">
        <f>IFERROR(VLOOKUP($A474,[2]Mssp!$A$5:$BE$1463,AW$4+1,0),0)</f>
        <v>0</v>
      </c>
      <c r="AX474" s="59">
        <f>IFERROR(VLOOKUP($A474,[2]Mssp!$A$5:$BE$1463,AX$4+1,0),0)</f>
        <v>0</v>
      </c>
      <c r="AY474" s="59" t="str">
        <f>IFERROR(VLOOKUP($A474,[2]Mssp!$A$5:$BE$1463,AY$4+2,0),0)</f>
        <v>410x750</v>
      </c>
      <c r="AZ474" s="59" t="str">
        <f>IFERROR(VLOOKUP($A474,[2]Mssp!$A$5:$BE$1463,AZ$4+2,0),0)</f>
        <v>Q1</v>
      </c>
      <c r="BA474" s="60"/>
      <c r="BB474" s="61" t="s">
        <v>1549</v>
      </c>
      <c r="BC474" s="84"/>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c r="CJ474" s="9"/>
      <c r="CK474" s="9"/>
      <c r="CL474" s="9"/>
      <c r="CM474" s="9"/>
      <c r="CN474" s="9"/>
      <c r="CO474" s="9"/>
      <c r="CP474" s="9"/>
    </row>
    <row r="475" spans="1:94" ht="60" x14ac:dyDescent="0.25">
      <c r="A475" s="50" t="s">
        <v>1553</v>
      </c>
      <c r="B475" s="57" t="s">
        <v>1554</v>
      </c>
      <c r="C475" s="50"/>
      <c r="D475" s="57">
        <v>1</v>
      </c>
      <c r="E475" s="57" t="s">
        <v>1448</v>
      </c>
      <c r="F475" s="57">
        <v>6</v>
      </c>
      <c r="G475" s="50" t="s">
        <v>184</v>
      </c>
      <c r="H475" s="50">
        <f>VLOOKUP($A475,'[1]ma sp 02'!$A$5:$BD$1101,H$1,0)</f>
        <v>0.11</v>
      </c>
      <c r="I475" s="50">
        <f>VLOOKUP($A475,'[1]ma sp 02'!$A$5:$BD$1101,I$1,0)</f>
        <v>3.92</v>
      </c>
      <c r="J475" s="50">
        <f>VLOOKUP($A475,'[1]ma sp 02'!$A$5:$BD$1101,J$1,0)</f>
        <v>0.34</v>
      </c>
      <c r="K475" s="50">
        <f>VLOOKUP($A475,'[1]ma sp 02'!$A$5:$BD$1101,K$1,0)</f>
        <v>0.01</v>
      </c>
      <c r="L475" s="50">
        <f>VLOOKUP($A475,'[1]ma sp 02'!$A$5:$BD$1101,L$1,0)</f>
        <v>0.39</v>
      </c>
      <c r="M475" s="50">
        <f>VLOOKUP($A475,'[1]ma sp 02'!$A$5:$BD$1101,M$1,0)</f>
        <v>0.34</v>
      </c>
      <c r="N475" s="50">
        <f>VLOOKUP($A475,'[1]ma sp 02'!$A$5:$BD$1101,N$1,0)</f>
        <v>0</v>
      </c>
      <c r="O475" s="50">
        <f>VLOOKUP($A475,'[1]ma sp 02'!$A$5:$BD$1101,O$1,0)</f>
        <v>0</v>
      </c>
      <c r="P475" s="50">
        <f>VLOOKUP($A475,'[1]ma sp 02'!$A$5:$BD$1101,P$1,0)</f>
        <v>0.67</v>
      </c>
      <c r="Q475" s="50">
        <f>VLOOKUP($A475,'[1]ma sp 02'!$A$5:$BD$1101,Q$1,0)</f>
        <v>0.67</v>
      </c>
      <c r="R475" s="50">
        <f>VLOOKUP($A475,'[1]ma sp 02'!$A$5:$BD$1101,R$1,0)</f>
        <v>0</v>
      </c>
      <c r="S475" s="50">
        <f>VLOOKUP($A475,'[1]ma sp 02'!$A$5:$BD$1101,S$1,0)</f>
        <v>0</v>
      </c>
      <c r="T475" s="50">
        <f>VLOOKUP($A475,'[1]ma sp 02'!$A$5:$BD$1101,T$1,0)</f>
        <v>0</v>
      </c>
      <c r="U475" s="50">
        <f>VLOOKUP($A475,'[1]ma sp 02'!$A$5:$BD$1101,U$1,0)</f>
        <v>0</v>
      </c>
      <c r="V475" s="50">
        <f>VLOOKUP($A475,'[1]ma sp 02'!$A$5:$BD$1101,V$1,0)</f>
        <v>0</v>
      </c>
      <c r="W475" s="50">
        <f>VLOOKUP($A475,'[1]ma sp 02'!$A$5:$BD$1101,W$1,0)</f>
        <v>0</v>
      </c>
      <c r="X475" s="50">
        <f t="shared" si="17"/>
        <v>8</v>
      </c>
      <c r="Y475" s="62"/>
      <c r="Z475" s="62"/>
      <c r="AA475" s="62"/>
      <c r="AB475" s="62"/>
      <c r="AC475" s="62"/>
      <c r="AD475" s="62"/>
      <c r="AE475" s="62" t="s">
        <v>1449</v>
      </c>
      <c r="AF475" s="62"/>
      <c r="AG475" s="71">
        <f>(0.02*0.91+0.08*0.925)*0.59</f>
        <v>5.4398000000000002E-2</v>
      </c>
      <c r="AH475" s="63">
        <f>(2.3/0.75/2)*0.58</f>
        <v>0.8893333333333332</v>
      </c>
      <c r="AI475" s="62"/>
      <c r="AJ475" s="62">
        <v>9530</v>
      </c>
      <c r="AK475" s="62"/>
      <c r="AL475" s="62">
        <v>2.3E-3</v>
      </c>
      <c r="AM475" s="61" t="s">
        <v>74</v>
      </c>
      <c r="AN475" s="62">
        <v>570</v>
      </c>
      <c r="AO475" s="61" t="s">
        <v>1552</v>
      </c>
      <c r="AP475" s="59" t="str">
        <f>IFERROR(VLOOKUP($A475,[2]Mssp!$A$5:$BE$1463,AP$4+1,0),0)</f>
        <v>F417904-1</v>
      </c>
      <c r="AQ475" s="59" t="str">
        <f>IFERROR(VLOOKUP($A475,[2]Mssp!$A$5:$BE$1463,AQ$4+1,0),0)</f>
        <v>F417904-2</v>
      </c>
      <c r="AR475" s="59" t="str">
        <f>IFERROR(VLOOKUP($A475,[2]Mssp!$A$5:$BE$1463,AR$4+1,0),0)</f>
        <v>F417904-3</v>
      </c>
      <c r="AS475" s="59" t="str">
        <f>IFERROR(VLOOKUP($A475,[2]Mssp!$A$5:$BE$1463,AS$4+1,0),0)</f>
        <v>F417904-4</v>
      </c>
      <c r="AT475" s="59" t="str">
        <f>IFERROR(VLOOKUP($A475,[2]Mssp!$A$5:$BE$1463,AT$4+1,0),0)</f>
        <v>F417904-5</v>
      </c>
      <c r="AU475" s="59" t="str">
        <f>IFERROR(VLOOKUP($A475,[2]Mssp!$A$5:$BE$1463,AU$4+1,0),0)</f>
        <v>F417904-6</v>
      </c>
      <c r="AV475" s="59">
        <f>IFERROR(VLOOKUP($A475,[2]Mssp!$A$5:$BE$1463,AV$4+1,0),0)</f>
        <v>0</v>
      </c>
      <c r="AW475" s="59">
        <f>IFERROR(VLOOKUP($A475,[2]Mssp!$A$5:$BE$1463,AW$4+1,0),0)</f>
        <v>0</v>
      </c>
      <c r="AX475" s="59">
        <f>IFERROR(VLOOKUP($A475,[2]Mssp!$A$5:$BE$1463,AX$4+1,0),0)</f>
        <v>0</v>
      </c>
      <c r="AY475" s="59" t="str">
        <f>IFERROR(VLOOKUP($A475,[2]Mssp!$A$5:$BE$1463,AY$4+2,0),0)</f>
        <v>410x750</v>
      </c>
      <c r="AZ475" s="59" t="str">
        <f>IFERROR(VLOOKUP($A475,[2]Mssp!$A$5:$BE$1463,AZ$4+2,0),0)</f>
        <v>Q1</v>
      </c>
      <c r="BA475" s="60"/>
      <c r="BB475" s="61" t="s">
        <v>1549</v>
      </c>
      <c r="BC475" s="84"/>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c r="CJ475" s="9"/>
      <c r="CK475" s="9"/>
      <c r="CL475" s="9"/>
      <c r="CM475" s="9"/>
      <c r="CN475" s="9"/>
      <c r="CO475" s="9"/>
      <c r="CP475" s="9"/>
    </row>
    <row r="476" spans="1:94" ht="15.75" x14ac:dyDescent="0.25">
      <c r="A476" s="126" t="s">
        <v>1555</v>
      </c>
      <c r="B476" s="57" t="s">
        <v>1556</v>
      </c>
      <c r="C476" s="50"/>
      <c r="D476" s="57"/>
      <c r="E476" s="57"/>
      <c r="F476" s="57"/>
      <c r="G476" s="50"/>
      <c r="H476" s="50" t="e">
        <f>VLOOKUP($A476,'[1]ma sp 02'!$A$5:$BD$1101,H$1,0)</f>
        <v>#N/A</v>
      </c>
      <c r="I476" s="50" t="e">
        <f>VLOOKUP($A476,'[1]ma sp 02'!$A$5:$BD$1101,I$1,0)</f>
        <v>#N/A</v>
      </c>
      <c r="J476" s="50" t="e">
        <f>VLOOKUP($A476,'[1]ma sp 02'!$A$5:$BD$1101,J$1,0)</f>
        <v>#N/A</v>
      </c>
      <c r="K476" s="50" t="e">
        <f>VLOOKUP($A476,'[1]ma sp 02'!$A$5:$BD$1101,K$1,0)</f>
        <v>#N/A</v>
      </c>
      <c r="L476" s="50" t="e">
        <f>VLOOKUP($A476,'[1]ma sp 02'!$A$5:$BD$1101,L$1,0)</f>
        <v>#N/A</v>
      </c>
      <c r="M476" s="50" t="e">
        <f>VLOOKUP($A476,'[1]ma sp 02'!$A$5:$BD$1101,M$1,0)</f>
        <v>#N/A</v>
      </c>
      <c r="N476" s="50" t="e">
        <f>VLOOKUP($A476,'[1]ma sp 02'!$A$5:$BD$1101,N$1,0)</f>
        <v>#N/A</v>
      </c>
      <c r="O476" s="50" t="e">
        <f>VLOOKUP($A476,'[1]ma sp 02'!$A$5:$BD$1101,O$1,0)</f>
        <v>#N/A</v>
      </c>
      <c r="P476" s="50" t="e">
        <f>VLOOKUP($A476,'[1]ma sp 02'!$A$5:$BD$1101,P$1,0)</f>
        <v>#N/A</v>
      </c>
      <c r="Q476" s="50" t="e">
        <f>VLOOKUP($A476,'[1]ma sp 02'!$A$5:$BD$1101,Q$1,0)</f>
        <v>#N/A</v>
      </c>
      <c r="R476" s="50" t="e">
        <f>VLOOKUP($A476,'[1]ma sp 02'!$A$5:$BD$1101,R$1,0)</f>
        <v>#N/A</v>
      </c>
      <c r="S476" s="50" t="e">
        <f>VLOOKUP($A476,'[1]ma sp 02'!$A$5:$BD$1101,S$1,0)</f>
        <v>#N/A</v>
      </c>
      <c r="T476" s="50" t="e">
        <f>VLOOKUP($A476,'[1]ma sp 02'!$A$5:$BD$1101,T$1,0)</f>
        <v>#N/A</v>
      </c>
      <c r="U476" s="50" t="e">
        <f>VLOOKUP($A476,'[1]ma sp 02'!$A$5:$BD$1101,U$1,0)</f>
        <v>#N/A</v>
      </c>
      <c r="V476" s="50" t="e">
        <f>VLOOKUP($A476,'[1]ma sp 02'!$A$5:$BD$1101,V$1,0)</f>
        <v>#N/A</v>
      </c>
      <c r="W476" s="50" t="e">
        <f>VLOOKUP($A476,'[1]ma sp 02'!$A$5:$BD$1101,W$1,0)</f>
        <v>#N/A</v>
      </c>
      <c r="X476" s="50">
        <f t="shared" si="17"/>
        <v>0</v>
      </c>
      <c r="Y476" s="62"/>
      <c r="Z476" s="62"/>
      <c r="AA476" s="62"/>
      <c r="AB476" s="62"/>
      <c r="AC476" s="62"/>
      <c r="AD476" s="62"/>
      <c r="AE476" s="62" t="s">
        <v>1557</v>
      </c>
      <c r="AF476" s="62" t="s">
        <v>1055</v>
      </c>
      <c r="AG476" s="71"/>
      <c r="AH476" s="63"/>
      <c r="AI476" s="62"/>
      <c r="AJ476" s="62">
        <v>9530</v>
      </c>
      <c r="AK476" s="62"/>
      <c r="AL476" s="62">
        <v>2E-3</v>
      </c>
      <c r="AM476" s="61"/>
      <c r="AN476" s="62"/>
      <c r="AO476" s="61" t="s">
        <v>1112</v>
      </c>
      <c r="AP476" s="59">
        <f>IFERROR(VLOOKUP($A476,[2]Mssp!$A$5:$BE$1463,AP$4+1,0),0)</f>
        <v>0</v>
      </c>
      <c r="AQ476" s="59">
        <f>IFERROR(VLOOKUP($A476,[2]Mssp!$A$5:$BE$1463,AQ$4+1,0),0)</f>
        <v>0</v>
      </c>
      <c r="AR476" s="59">
        <f>IFERROR(VLOOKUP($A476,[2]Mssp!$A$5:$BE$1463,AR$4+1,0),0)</f>
        <v>0</v>
      </c>
      <c r="AS476" s="59">
        <f>IFERROR(VLOOKUP($A476,[2]Mssp!$A$5:$BE$1463,AS$4+1,0),0)</f>
        <v>0</v>
      </c>
      <c r="AT476" s="59">
        <f>IFERROR(VLOOKUP($A476,[2]Mssp!$A$5:$BE$1463,AT$4+1,0),0)</f>
        <v>0</v>
      </c>
      <c r="AU476" s="59">
        <f>IFERROR(VLOOKUP($A476,[2]Mssp!$A$5:$BE$1463,AU$4+1,0),0)</f>
        <v>0</v>
      </c>
      <c r="AV476" s="59">
        <f>IFERROR(VLOOKUP($A476,[2]Mssp!$A$5:$BE$1463,AV$4+1,0),0)</f>
        <v>0</v>
      </c>
      <c r="AW476" s="59">
        <f>IFERROR(VLOOKUP($A476,[2]Mssp!$A$5:$BE$1463,AW$4+1,0),0)</f>
        <v>0</v>
      </c>
      <c r="AX476" s="59">
        <f>IFERROR(VLOOKUP($A476,[2]Mssp!$A$5:$BE$1463,AX$4+1,0),0)</f>
        <v>0</v>
      </c>
      <c r="AY476" s="59">
        <f>IFERROR(VLOOKUP($A476,[2]Mssp!$A$5:$BE$1463,AY$4+2,0),0)</f>
        <v>0</v>
      </c>
      <c r="AZ476" s="59">
        <f>IFERROR(VLOOKUP($A476,[2]Mssp!$A$5:$BE$1463,AZ$4+2,0),0)</f>
        <v>0</v>
      </c>
      <c r="BA476" s="60"/>
      <c r="BB476" s="61"/>
      <c r="BC476" s="84"/>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9"/>
      <c r="CK476" s="9"/>
      <c r="CL476" s="9"/>
      <c r="CM476" s="9"/>
      <c r="CN476" s="9"/>
      <c r="CO476" s="9"/>
      <c r="CP476" s="9"/>
    </row>
    <row r="477" spans="1:94" ht="30" x14ac:dyDescent="0.25">
      <c r="A477" s="50" t="s">
        <v>1558</v>
      </c>
      <c r="B477" s="97" t="s">
        <v>1559</v>
      </c>
      <c r="C477" s="50"/>
      <c r="D477" s="57"/>
      <c r="E477" s="57"/>
      <c r="F477" s="57"/>
      <c r="G477" s="50"/>
      <c r="H477" s="50" t="e">
        <f>VLOOKUP($A477,'[1]ma sp 02'!$A$5:$BD$1101,H$1,0)</f>
        <v>#N/A</v>
      </c>
      <c r="I477" s="50" t="e">
        <f>VLOOKUP($A477,'[1]ma sp 02'!$A$5:$BD$1101,I$1,0)</f>
        <v>#N/A</v>
      </c>
      <c r="J477" s="50" t="e">
        <f>VLOOKUP($A477,'[1]ma sp 02'!$A$5:$BD$1101,J$1,0)</f>
        <v>#N/A</v>
      </c>
      <c r="K477" s="50" t="e">
        <f>VLOOKUP($A477,'[1]ma sp 02'!$A$5:$BD$1101,K$1,0)</f>
        <v>#N/A</v>
      </c>
      <c r="L477" s="50" t="e">
        <f>VLOOKUP($A477,'[1]ma sp 02'!$A$5:$BD$1101,L$1,0)</f>
        <v>#N/A</v>
      </c>
      <c r="M477" s="50" t="e">
        <f>VLOOKUP($A477,'[1]ma sp 02'!$A$5:$BD$1101,M$1,0)</f>
        <v>#N/A</v>
      </c>
      <c r="N477" s="50" t="e">
        <f>VLOOKUP($A477,'[1]ma sp 02'!$A$5:$BD$1101,N$1,0)</f>
        <v>#N/A</v>
      </c>
      <c r="O477" s="50" t="e">
        <f>VLOOKUP($A477,'[1]ma sp 02'!$A$5:$BD$1101,O$1,0)</f>
        <v>#N/A</v>
      </c>
      <c r="P477" s="50" t="e">
        <f>VLOOKUP($A477,'[1]ma sp 02'!$A$5:$BD$1101,P$1,0)</f>
        <v>#N/A</v>
      </c>
      <c r="Q477" s="50" t="e">
        <f>VLOOKUP($A477,'[1]ma sp 02'!$A$5:$BD$1101,Q$1,0)</f>
        <v>#N/A</v>
      </c>
      <c r="R477" s="50" t="e">
        <f>VLOOKUP($A477,'[1]ma sp 02'!$A$5:$BD$1101,R$1,0)</f>
        <v>#N/A</v>
      </c>
      <c r="S477" s="50" t="e">
        <f>VLOOKUP($A477,'[1]ma sp 02'!$A$5:$BD$1101,S$1,0)</f>
        <v>#N/A</v>
      </c>
      <c r="T477" s="50" t="e">
        <f>VLOOKUP($A477,'[1]ma sp 02'!$A$5:$BD$1101,T$1,0)</f>
        <v>#N/A</v>
      </c>
      <c r="U477" s="50" t="e">
        <f>VLOOKUP($A477,'[1]ma sp 02'!$A$5:$BD$1101,U$1,0)</f>
        <v>#N/A</v>
      </c>
      <c r="V477" s="50" t="e">
        <f>VLOOKUP($A477,'[1]ma sp 02'!$A$5:$BD$1101,V$1,0)</f>
        <v>#N/A</v>
      </c>
      <c r="W477" s="50" t="e">
        <f>VLOOKUP($A477,'[1]ma sp 02'!$A$5:$BD$1101,W$1,0)</f>
        <v>#N/A</v>
      </c>
      <c r="X477" s="50">
        <f t="shared" si="17"/>
        <v>0</v>
      </c>
      <c r="Y477" s="62"/>
      <c r="Z477" s="62"/>
      <c r="AA477" s="62"/>
      <c r="AB477" s="62"/>
      <c r="AC477" s="62"/>
      <c r="AD477" s="62"/>
      <c r="AE477" s="62" t="s">
        <v>1560</v>
      </c>
      <c r="AF477" s="62" t="s">
        <v>1561</v>
      </c>
      <c r="AG477" s="62"/>
      <c r="AH477" s="54">
        <f>(2/0.75/2)*1.26</f>
        <v>1.68</v>
      </c>
      <c r="AI477" s="62"/>
      <c r="AJ477" s="62">
        <v>9530</v>
      </c>
      <c r="AK477" s="62"/>
      <c r="AL477" s="62">
        <v>2E-3</v>
      </c>
      <c r="AM477" s="61"/>
      <c r="AN477" s="62"/>
      <c r="AO477" s="61"/>
      <c r="AP477" s="59">
        <f>IFERROR(VLOOKUP($A477,[2]Mssp!$A$5:$BE$1463,AP$4+1,0),0)</f>
        <v>0</v>
      </c>
      <c r="AQ477" s="59">
        <f>IFERROR(VLOOKUP($A477,[2]Mssp!$A$5:$BE$1463,AQ$4+1,0),0)</f>
        <v>0</v>
      </c>
      <c r="AR477" s="59">
        <f>IFERROR(VLOOKUP($A477,[2]Mssp!$A$5:$BE$1463,AR$4+1,0),0)</f>
        <v>0</v>
      </c>
      <c r="AS477" s="59">
        <f>IFERROR(VLOOKUP($A477,[2]Mssp!$A$5:$BE$1463,AS$4+1,0),0)</f>
        <v>0</v>
      </c>
      <c r="AT477" s="59">
        <f>IFERROR(VLOOKUP($A477,[2]Mssp!$A$5:$BE$1463,AT$4+1,0),0)</f>
        <v>0</v>
      </c>
      <c r="AU477" s="59">
        <f>IFERROR(VLOOKUP($A477,[2]Mssp!$A$5:$BE$1463,AU$4+1,0),0)</f>
        <v>0</v>
      </c>
      <c r="AV477" s="59">
        <f>IFERROR(VLOOKUP($A477,[2]Mssp!$A$5:$BE$1463,AV$4+1,0),0)</f>
        <v>0</v>
      </c>
      <c r="AW477" s="59">
        <f>IFERROR(VLOOKUP($A477,[2]Mssp!$A$5:$BE$1463,AW$4+1,0),0)</f>
        <v>0</v>
      </c>
      <c r="AX477" s="59">
        <f>IFERROR(VLOOKUP($A477,[2]Mssp!$A$5:$BE$1463,AX$4+1,0),0)</f>
        <v>0</v>
      </c>
      <c r="AY477" s="59">
        <f>IFERROR(VLOOKUP($A477,[2]Mssp!$A$5:$BE$1463,AY$4+2,0),0)</f>
        <v>0</v>
      </c>
      <c r="AZ477" s="59">
        <f>IFERROR(VLOOKUP($A477,[2]Mssp!$A$5:$BE$1463,AZ$4+2,0),0)</f>
        <v>0</v>
      </c>
      <c r="BA477" s="60"/>
      <c r="BB477" s="61"/>
      <c r="BC477" s="84"/>
      <c r="BD477" s="9"/>
      <c r="BE477" s="9"/>
      <c r="BF477" s="9"/>
      <c r="BG477" s="9"/>
      <c r="BH477" s="9"/>
      <c r="BI477" s="9"/>
      <c r="BJ477" s="9"/>
      <c r="BK477" s="9"/>
      <c r="BL477" s="9"/>
      <c r="BM477" s="9"/>
      <c r="BN477" s="9"/>
      <c r="BO477" s="9"/>
      <c r="BP477" s="9"/>
      <c r="BQ477" s="9"/>
      <c r="BR477" s="9"/>
      <c r="BS477" s="9"/>
      <c r="BT477" s="9"/>
      <c r="BU477" s="9"/>
      <c r="BV477" s="9"/>
      <c r="BW477" s="9"/>
      <c r="BX477" s="9"/>
      <c r="BY477" s="9"/>
      <c r="BZ477" s="9"/>
      <c r="CA477" s="9"/>
      <c r="CB477" s="9"/>
      <c r="CC477" s="9"/>
      <c r="CD477" s="9"/>
      <c r="CE477" s="9"/>
      <c r="CF477" s="9"/>
      <c r="CG477" s="9"/>
      <c r="CH477" s="9"/>
      <c r="CI477" s="9"/>
      <c r="CJ477" s="9"/>
      <c r="CK477" s="9"/>
      <c r="CL477" s="9"/>
      <c r="CM477" s="9"/>
      <c r="CN477" s="9"/>
      <c r="CO477" s="9"/>
      <c r="CP477" s="9"/>
    </row>
    <row r="478" spans="1:94" ht="30" x14ac:dyDescent="0.25">
      <c r="A478" s="50" t="s">
        <v>1562</v>
      </c>
      <c r="B478" s="97" t="s">
        <v>1563</v>
      </c>
      <c r="C478" s="50"/>
      <c r="D478" s="57"/>
      <c r="E478" s="57"/>
      <c r="F478" s="57"/>
      <c r="G478" s="50"/>
      <c r="H478" s="50" t="e">
        <f>VLOOKUP($A478,'[1]ma sp 02'!$A$5:$BD$1101,H$1,0)</f>
        <v>#N/A</v>
      </c>
      <c r="I478" s="50" t="e">
        <f>VLOOKUP($A478,'[1]ma sp 02'!$A$5:$BD$1101,I$1,0)</f>
        <v>#N/A</v>
      </c>
      <c r="J478" s="50" t="e">
        <f>VLOOKUP($A478,'[1]ma sp 02'!$A$5:$BD$1101,J$1,0)</f>
        <v>#N/A</v>
      </c>
      <c r="K478" s="50" t="e">
        <f>VLOOKUP($A478,'[1]ma sp 02'!$A$5:$BD$1101,K$1,0)</f>
        <v>#N/A</v>
      </c>
      <c r="L478" s="50" t="e">
        <f>VLOOKUP($A478,'[1]ma sp 02'!$A$5:$BD$1101,L$1,0)</f>
        <v>#N/A</v>
      </c>
      <c r="M478" s="50" t="e">
        <f>VLOOKUP($A478,'[1]ma sp 02'!$A$5:$BD$1101,M$1,0)</f>
        <v>#N/A</v>
      </c>
      <c r="N478" s="50" t="e">
        <f>VLOOKUP($A478,'[1]ma sp 02'!$A$5:$BD$1101,N$1,0)</f>
        <v>#N/A</v>
      </c>
      <c r="O478" s="50" t="e">
        <f>VLOOKUP($A478,'[1]ma sp 02'!$A$5:$BD$1101,O$1,0)</f>
        <v>#N/A</v>
      </c>
      <c r="P478" s="50" t="e">
        <f>VLOOKUP($A478,'[1]ma sp 02'!$A$5:$BD$1101,P$1,0)</f>
        <v>#N/A</v>
      </c>
      <c r="Q478" s="50" t="e">
        <f>VLOOKUP($A478,'[1]ma sp 02'!$A$5:$BD$1101,Q$1,0)</f>
        <v>#N/A</v>
      </c>
      <c r="R478" s="50" t="e">
        <f>VLOOKUP($A478,'[1]ma sp 02'!$A$5:$BD$1101,R$1,0)</f>
        <v>#N/A</v>
      </c>
      <c r="S478" s="50" t="e">
        <f>VLOOKUP($A478,'[1]ma sp 02'!$A$5:$BD$1101,S$1,0)</f>
        <v>#N/A</v>
      </c>
      <c r="T478" s="50" t="e">
        <f>VLOOKUP($A478,'[1]ma sp 02'!$A$5:$BD$1101,T$1,0)</f>
        <v>#N/A</v>
      </c>
      <c r="U478" s="50" t="e">
        <f>VLOOKUP($A478,'[1]ma sp 02'!$A$5:$BD$1101,U$1,0)</f>
        <v>#N/A</v>
      </c>
      <c r="V478" s="50" t="e">
        <f>VLOOKUP($A478,'[1]ma sp 02'!$A$5:$BD$1101,V$1,0)</f>
        <v>#N/A</v>
      </c>
      <c r="W478" s="50" t="e">
        <f>VLOOKUP($A478,'[1]ma sp 02'!$A$5:$BD$1101,W$1,0)</f>
        <v>#N/A</v>
      </c>
      <c r="X478" s="50">
        <f t="shared" si="17"/>
        <v>0</v>
      </c>
      <c r="Y478" s="62"/>
      <c r="Z478" s="62"/>
      <c r="AA478" s="62"/>
      <c r="AB478" s="62"/>
      <c r="AC478" s="62"/>
      <c r="AD478" s="62"/>
      <c r="AE478" s="62" t="s">
        <v>1564</v>
      </c>
      <c r="AF478" s="62" t="s">
        <v>1561</v>
      </c>
      <c r="AG478" s="62"/>
      <c r="AH478" s="62"/>
      <c r="AI478" s="62"/>
      <c r="AJ478" s="62">
        <v>9530</v>
      </c>
      <c r="AK478" s="62"/>
      <c r="AL478" s="62">
        <v>2E-3</v>
      </c>
      <c r="AM478" s="61"/>
      <c r="AN478" s="62"/>
      <c r="AO478" s="61"/>
      <c r="AP478" s="59">
        <f>IFERROR(VLOOKUP($A478,[2]Mssp!$A$5:$BE$1463,AP$4+1,0),0)</f>
        <v>0</v>
      </c>
      <c r="AQ478" s="59">
        <f>IFERROR(VLOOKUP($A478,[2]Mssp!$A$5:$BE$1463,AQ$4+1,0),0)</f>
        <v>0</v>
      </c>
      <c r="AR478" s="59">
        <f>IFERROR(VLOOKUP($A478,[2]Mssp!$A$5:$BE$1463,AR$4+1,0),0)</f>
        <v>0</v>
      </c>
      <c r="AS478" s="59">
        <f>IFERROR(VLOOKUP($A478,[2]Mssp!$A$5:$BE$1463,AS$4+1,0),0)</f>
        <v>0</v>
      </c>
      <c r="AT478" s="59">
        <f>IFERROR(VLOOKUP($A478,[2]Mssp!$A$5:$BE$1463,AT$4+1,0),0)</f>
        <v>0</v>
      </c>
      <c r="AU478" s="59">
        <f>IFERROR(VLOOKUP($A478,[2]Mssp!$A$5:$BE$1463,AU$4+1,0),0)</f>
        <v>0</v>
      </c>
      <c r="AV478" s="59">
        <f>IFERROR(VLOOKUP($A478,[2]Mssp!$A$5:$BE$1463,AV$4+1,0),0)</f>
        <v>0</v>
      </c>
      <c r="AW478" s="59">
        <f>IFERROR(VLOOKUP($A478,[2]Mssp!$A$5:$BE$1463,AW$4+1,0),0)</f>
        <v>0</v>
      </c>
      <c r="AX478" s="59">
        <f>IFERROR(VLOOKUP($A478,[2]Mssp!$A$5:$BE$1463,AX$4+1,0),0)</f>
        <v>0</v>
      </c>
      <c r="AY478" s="59">
        <f>IFERROR(VLOOKUP($A478,[2]Mssp!$A$5:$BE$1463,AY$4+2,0),0)</f>
        <v>0</v>
      </c>
      <c r="AZ478" s="59">
        <f>IFERROR(VLOOKUP($A478,[2]Mssp!$A$5:$BE$1463,AZ$4+2,0),0)</f>
        <v>0</v>
      </c>
      <c r="BA478" s="60"/>
      <c r="BB478" s="61"/>
      <c r="BC478" s="84"/>
      <c r="BD478" s="9"/>
      <c r="BE478" s="9"/>
      <c r="BF478" s="9"/>
      <c r="BG478" s="9"/>
      <c r="BH478" s="9"/>
      <c r="BI478" s="9"/>
      <c r="BJ478" s="9"/>
      <c r="BK478" s="9"/>
      <c r="BL478" s="9"/>
      <c r="BM478" s="9"/>
      <c r="BN478" s="9"/>
      <c r="BO478" s="9"/>
      <c r="BP478" s="9"/>
      <c r="BQ478" s="9"/>
      <c r="BR478" s="9"/>
      <c r="BS478" s="9"/>
      <c r="BT478" s="9"/>
      <c r="BU478" s="9"/>
      <c r="BV478" s="9"/>
      <c r="BW478" s="9"/>
      <c r="BX478" s="9"/>
      <c r="BY478" s="9"/>
      <c r="BZ478" s="9"/>
      <c r="CA478" s="9"/>
      <c r="CB478" s="9"/>
      <c r="CC478" s="9"/>
      <c r="CD478" s="9"/>
      <c r="CE478" s="9"/>
      <c r="CF478" s="9"/>
      <c r="CG478" s="9"/>
      <c r="CH478" s="9"/>
      <c r="CI478" s="9"/>
      <c r="CJ478" s="9"/>
      <c r="CK478" s="9"/>
      <c r="CL478" s="9"/>
      <c r="CM478" s="9"/>
      <c r="CN478" s="9"/>
      <c r="CO478" s="9"/>
      <c r="CP478" s="9"/>
    </row>
    <row r="479" spans="1:94" ht="30" x14ac:dyDescent="0.25">
      <c r="A479" s="50" t="s">
        <v>1565</v>
      </c>
      <c r="B479" s="97" t="s">
        <v>1566</v>
      </c>
      <c r="C479" s="50"/>
      <c r="D479" s="57"/>
      <c r="E479" s="57"/>
      <c r="F479" s="57"/>
      <c r="G479" s="50"/>
      <c r="H479" s="50" t="e">
        <f>VLOOKUP($A479,'[1]ma sp 02'!$A$5:$BD$1101,H$1,0)</f>
        <v>#N/A</v>
      </c>
      <c r="I479" s="50" t="e">
        <f>VLOOKUP($A479,'[1]ma sp 02'!$A$5:$BD$1101,I$1,0)</f>
        <v>#N/A</v>
      </c>
      <c r="J479" s="50" t="e">
        <f>VLOOKUP($A479,'[1]ma sp 02'!$A$5:$BD$1101,J$1,0)</f>
        <v>#N/A</v>
      </c>
      <c r="K479" s="50" t="e">
        <f>VLOOKUP($A479,'[1]ma sp 02'!$A$5:$BD$1101,K$1,0)</f>
        <v>#N/A</v>
      </c>
      <c r="L479" s="50" t="e">
        <f>VLOOKUP($A479,'[1]ma sp 02'!$A$5:$BD$1101,L$1,0)</f>
        <v>#N/A</v>
      </c>
      <c r="M479" s="50" t="e">
        <f>VLOOKUP($A479,'[1]ma sp 02'!$A$5:$BD$1101,M$1,0)</f>
        <v>#N/A</v>
      </c>
      <c r="N479" s="50" t="e">
        <f>VLOOKUP($A479,'[1]ma sp 02'!$A$5:$BD$1101,N$1,0)</f>
        <v>#N/A</v>
      </c>
      <c r="O479" s="50" t="e">
        <f>VLOOKUP($A479,'[1]ma sp 02'!$A$5:$BD$1101,O$1,0)</f>
        <v>#N/A</v>
      </c>
      <c r="P479" s="50" t="e">
        <f>VLOOKUP($A479,'[1]ma sp 02'!$A$5:$BD$1101,P$1,0)</f>
        <v>#N/A</v>
      </c>
      <c r="Q479" s="50" t="e">
        <f>VLOOKUP($A479,'[1]ma sp 02'!$A$5:$BD$1101,Q$1,0)</f>
        <v>#N/A</v>
      </c>
      <c r="R479" s="50" t="e">
        <f>VLOOKUP($A479,'[1]ma sp 02'!$A$5:$BD$1101,R$1,0)</f>
        <v>#N/A</v>
      </c>
      <c r="S479" s="50" t="e">
        <f>VLOOKUP($A479,'[1]ma sp 02'!$A$5:$BD$1101,S$1,0)</f>
        <v>#N/A</v>
      </c>
      <c r="T479" s="50" t="e">
        <f>VLOOKUP($A479,'[1]ma sp 02'!$A$5:$BD$1101,T$1,0)</f>
        <v>#N/A</v>
      </c>
      <c r="U479" s="50" t="e">
        <f>VLOOKUP($A479,'[1]ma sp 02'!$A$5:$BD$1101,U$1,0)</f>
        <v>#N/A</v>
      </c>
      <c r="V479" s="50" t="e">
        <f>VLOOKUP($A479,'[1]ma sp 02'!$A$5:$BD$1101,V$1,0)</f>
        <v>#N/A</v>
      </c>
      <c r="W479" s="50" t="e">
        <f>VLOOKUP($A479,'[1]ma sp 02'!$A$5:$BD$1101,W$1,0)</f>
        <v>#N/A</v>
      </c>
      <c r="X479" s="50">
        <f t="shared" si="17"/>
        <v>0</v>
      </c>
      <c r="Y479" s="62"/>
      <c r="Z479" s="62"/>
      <c r="AA479" s="62"/>
      <c r="AB479" s="62"/>
      <c r="AC479" s="62"/>
      <c r="AD479" s="62"/>
      <c r="AE479" s="62" t="s">
        <v>1567</v>
      </c>
      <c r="AF479" s="62" t="s">
        <v>1568</v>
      </c>
      <c r="AG479" s="62"/>
      <c r="AH479" s="54">
        <f>(2/0.75/2)*0.69</f>
        <v>0.91999999999999993</v>
      </c>
      <c r="AI479" s="62"/>
      <c r="AJ479" s="62">
        <v>9530</v>
      </c>
      <c r="AK479" s="62"/>
      <c r="AL479" s="62">
        <v>2E-3</v>
      </c>
      <c r="AM479" s="61"/>
      <c r="AN479" s="62"/>
      <c r="AO479" s="61"/>
      <c r="AP479" s="59">
        <f>IFERROR(VLOOKUP($A479,[2]Mssp!$A$5:$BE$1463,AP$4+1,0),0)</f>
        <v>0</v>
      </c>
      <c r="AQ479" s="59">
        <f>IFERROR(VLOOKUP($A479,[2]Mssp!$A$5:$BE$1463,AQ$4+1,0),0)</f>
        <v>0</v>
      </c>
      <c r="AR479" s="59">
        <f>IFERROR(VLOOKUP($A479,[2]Mssp!$A$5:$BE$1463,AR$4+1,0),0)</f>
        <v>0</v>
      </c>
      <c r="AS479" s="59">
        <f>IFERROR(VLOOKUP($A479,[2]Mssp!$A$5:$BE$1463,AS$4+1,0),0)</f>
        <v>0</v>
      </c>
      <c r="AT479" s="59">
        <f>IFERROR(VLOOKUP($A479,[2]Mssp!$A$5:$BE$1463,AT$4+1,0),0)</f>
        <v>0</v>
      </c>
      <c r="AU479" s="59">
        <f>IFERROR(VLOOKUP($A479,[2]Mssp!$A$5:$BE$1463,AU$4+1,0),0)</f>
        <v>0</v>
      </c>
      <c r="AV479" s="59">
        <f>IFERROR(VLOOKUP($A479,[2]Mssp!$A$5:$BE$1463,AV$4+1,0),0)</f>
        <v>0</v>
      </c>
      <c r="AW479" s="59">
        <f>IFERROR(VLOOKUP($A479,[2]Mssp!$A$5:$BE$1463,AW$4+1,0),0)</f>
        <v>0</v>
      </c>
      <c r="AX479" s="59">
        <f>IFERROR(VLOOKUP($A479,[2]Mssp!$A$5:$BE$1463,AX$4+1,0),0)</f>
        <v>0</v>
      </c>
      <c r="AY479" s="59">
        <f>IFERROR(VLOOKUP($A479,[2]Mssp!$A$5:$BE$1463,AY$4+2,0),0)</f>
        <v>0</v>
      </c>
      <c r="AZ479" s="59">
        <f>IFERROR(VLOOKUP($A479,[2]Mssp!$A$5:$BE$1463,AZ$4+2,0),0)</f>
        <v>0</v>
      </c>
      <c r="BA479" s="60"/>
      <c r="BB479" s="61"/>
      <c r="BC479" s="84"/>
      <c r="BD479" s="9"/>
      <c r="BE479" s="9"/>
      <c r="BF479" s="9"/>
      <c r="BG479" s="9"/>
      <c r="BH479" s="9"/>
      <c r="BI479" s="9"/>
      <c r="BJ479" s="9"/>
      <c r="BK479" s="9"/>
      <c r="BL479" s="9"/>
      <c r="BM479" s="9"/>
      <c r="BN479" s="9"/>
      <c r="BO479" s="9"/>
      <c r="BP479" s="9"/>
      <c r="BQ479" s="9"/>
      <c r="BR479" s="9"/>
      <c r="BS479" s="9"/>
      <c r="BT479" s="9"/>
      <c r="BU479" s="9"/>
      <c r="BV479" s="9"/>
      <c r="BW479" s="9"/>
      <c r="BX479" s="9"/>
      <c r="BY479" s="9"/>
      <c r="BZ479" s="9"/>
      <c r="CA479" s="9"/>
      <c r="CB479" s="9"/>
      <c r="CC479" s="9"/>
      <c r="CD479" s="9"/>
      <c r="CE479" s="9"/>
      <c r="CF479" s="9"/>
      <c r="CG479" s="9"/>
      <c r="CH479" s="9"/>
      <c r="CI479" s="9"/>
      <c r="CJ479" s="9"/>
      <c r="CK479" s="9"/>
      <c r="CL479" s="9"/>
      <c r="CM479" s="9"/>
      <c r="CN479" s="9"/>
      <c r="CO479" s="9"/>
      <c r="CP479" s="9"/>
    </row>
    <row r="480" spans="1:94" ht="30" x14ac:dyDescent="0.25">
      <c r="A480" s="50" t="s">
        <v>1569</v>
      </c>
      <c r="B480" s="97" t="s">
        <v>1570</v>
      </c>
      <c r="C480" s="50"/>
      <c r="D480" s="57"/>
      <c r="E480" s="57"/>
      <c r="F480" s="57"/>
      <c r="G480" s="50"/>
      <c r="H480" s="50" t="e">
        <f>VLOOKUP($A480,'[1]ma sp 02'!$A$5:$BD$1101,H$1,0)</f>
        <v>#N/A</v>
      </c>
      <c r="I480" s="50" t="e">
        <f>VLOOKUP($A480,'[1]ma sp 02'!$A$5:$BD$1101,I$1,0)</f>
        <v>#N/A</v>
      </c>
      <c r="J480" s="50" t="e">
        <f>VLOOKUP($A480,'[1]ma sp 02'!$A$5:$BD$1101,J$1,0)</f>
        <v>#N/A</v>
      </c>
      <c r="K480" s="50" t="e">
        <f>VLOOKUP($A480,'[1]ma sp 02'!$A$5:$BD$1101,K$1,0)</f>
        <v>#N/A</v>
      </c>
      <c r="L480" s="50" t="e">
        <f>VLOOKUP($A480,'[1]ma sp 02'!$A$5:$BD$1101,L$1,0)</f>
        <v>#N/A</v>
      </c>
      <c r="M480" s="50" t="e">
        <f>VLOOKUP($A480,'[1]ma sp 02'!$A$5:$BD$1101,M$1,0)</f>
        <v>#N/A</v>
      </c>
      <c r="N480" s="50" t="e">
        <f>VLOOKUP($A480,'[1]ma sp 02'!$A$5:$BD$1101,N$1,0)</f>
        <v>#N/A</v>
      </c>
      <c r="O480" s="50" t="e">
        <f>VLOOKUP($A480,'[1]ma sp 02'!$A$5:$BD$1101,O$1,0)</f>
        <v>#N/A</v>
      </c>
      <c r="P480" s="50" t="e">
        <f>VLOOKUP($A480,'[1]ma sp 02'!$A$5:$BD$1101,P$1,0)</f>
        <v>#N/A</v>
      </c>
      <c r="Q480" s="50" t="e">
        <f>VLOOKUP($A480,'[1]ma sp 02'!$A$5:$BD$1101,Q$1,0)</f>
        <v>#N/A</v>
      </c>
      <c r="R480" s="50" t="e">
        <f>VLOOKUP($A480,'[1]ma sp 02'!$A$5:$BD$1101,R$1,0)</f>
        <v>#N/A</v>
      </c>
      <c r="S480" s="50" t="e">
        <f>VLOOKUP($A480,'[1]ma sp 02'!$A$5:$BD$1101,S$1,0)</f>
        <v>#N/A</v>
      </c>
      <c r="T480" s="50" t="e">
        <f>VLOOKUP($A480,'[1]ma sp 02'!$A$5:$BD$1101,T$1,0)</f>
        <v>#N/A</v>
      </c>
      <c r="U480" s="50" t="e">
        <f>VLOOKUP($A480,'[1]ma sp 02'!$A$5:$BD$1101,U$1,0)</f>
        <v>#N/A</v>
      </c>
      <c r="V480" s="50" t="e">
        <f>VLOOKUP($A480,'[1]ma sp 02'!$A$5:$BD$1101,V$1,0)</f>
        <v>#N/A</v>
      </c>
      <c r="W480" s="50" t="e">
        <f>VLOOKUP($A480,'[1]ma sp 02'!$A$5:$BD$1101,W$1,0)</f>
        <v>#N/A</v>
      </c>
      <c r="X480" s="50">
        <f t="shared" si="17"/>
        <v>0</v>
      </c>
      <c r="Y480" s="62"/>
      <c r="Z480" s="62"/>
      <c r="AA480" s="62"/>
      <c r="AB480" s="62"/>
      <c r="AC480" s="62"/>
      <c r="AD480" s="62"/>
      <c r="AE480" s="62" t="s">
        <v>1571</v>
      </c>
      <c r="AF480" s="62" t="s">
        <v>1572</v>
      </c>
      <c r="AG480" s="62"/>
      <c r="AH480" s="62"/>
      <c r="AI480" s="62"/>
      <c r="AJ480" s="62">
        <v>9530</v>
      </c>
      <c r="AK480" s="62"/>
      <c r="AL480" s="62">
        <v>2E-3</v>
      </c>
      <c r="AM480" s="61"/>
      <c r="AN480" s="62"/>
      <c r="AO480" s="61"/>
      <c r="AP480" s="59">
        <f>IFERROR(VLOOKUP($A480,[2]Mssp!$A$5:$BE$1463,AP$4+1,0),0)</f>
        <v>0</v>
      </c>
      <c r="AQ480" s="59">
        <f>IFERROR(VLOOKUP($A480,[2]Mssp!$A$5:$BE$1463,AQ$4+1,0),0)</f>
        <v>0</v>
      </c>
      <c r="AR480" s="59">
        <f>IFERROR(VLOOKUP($A480,[2]Mssp!$A$5:$BE$1463,AR$4+1,0),0)</f>
        <v>0</v>
      </c>
      <c r="AS480" s="59">
        <f>IFERROR(VLOOKUP($A480,[2]Mssp!$A$5:$BE$1463,AS$4+1,0),0)</f>
        <v>0</v>
      </c>
      <c r="AT480" s="59">
        <f>IFERROR(VLOOKUP($A480,[2]Mssp!$A$5:$BE$1463,AT$4+1,0),0)</f>
        <v>0</v>
      </c>
      <c r="AU480" s="59">
        <f>IFERROR(VLOOKUP($A480,[2]Mssp!$A$5:$BE$1463,AU$4+1,0),0)</f>
        <v>0</v>
      </c>
      <c r="AV480" s="59">
        <f>IFERROR(VLOOKUP($A480,[2]Mssp!$A$5:$BE$1463,AV$4+1,0),0)</f>
        <v>0</v>
      </c>
      <c r="AW480" s="59">
        <f>IFERROR(VLOOKUP($A480,[2]Mssp!$A$5:$BE$1463,AW$4+1,0),0)</f>
        <v>0</v>
      </c>
      <c r="AX480" s="59">
        <f>IFERROR(VLOOKUP($A480,[2]Mssp!$A$5:$BE$1463,AX$4+1,0),0)</f>
        <v>0</v>
      </c>
      <c r="AY480" s="59">
        <f>IFERROR(VLOOKUP($A480,[2]Mssp!$A$5:$BE$1463,AY$4+2,0),0)</f>
        <v>0</v>
      </c>
      <c r="AZ480" s="59">
        <f>IFERROR(VLOOKUP($A480,[2]Mssp!$A$5:$BE$1463,AZ$4+2,0),0)</f>
        <v>0</v>
      </c>
      <c r="BA480" s="60"/>
      <c r="BB480" s="61"/>
      <c r="BC480" s="84"/>
      <c r="BD480" s="9"/>
      <c r="BE480" s="9"/>
      <c r="BF480" s="9"/>
      <c r="BG480" s="9"/>
      <c r="BH480" s="9"/>
      <c r="BI480" s="9"/>
      <c r="BJ480" s="9"/>
      <c r="BK480" s="9"/>
      <c r="BL480" s="9"/>
      <c r="BM480" s="9"/>
      <c r="BN480" s="9"/>
      <c r="BO480" s="9"/>
      <c r="BP480" s="9"/>
      <c r="BQ480" s="9"/>
      <c r="BR480" s="9"/>
      <c r="BS480" s="9"/>
      <c r="BT480" s="9"/>
      <c r="BU480" s="9"/>
      <c r="BV480" s="9"/>
      <c r="BW480" s="9"/>
      <c r="BX480" s="9"/>
      <c r="BY480" s="9"/>
      <c r="BZ480" s="9"/>
      <c r="CA480" s="9"/>
      <c r="CB480" s="9"/>
      <c r="CC480" s="9"/>
      <c r="CD480" s="9"/>
      <c r="CE480" s="9"/>
      <c r="CF480" s="9"/>
      <c r="CG480" s="9"/>
      <c r="CH480" s="9"/>
      <c r="CI480" s="9"/>
      <c r="CJ480" s="9"/>
      <c r="CK480" s="9"/>
      <c r="CL480" s="9"/>
      <c r="CM480" s="9"/>
      <c r="CN480" s="9"/>
      <c r="CO480" s="9"/>
      <c r="CP480" s="9"/>
    </row>
    <row r="481" spans="1:94" ht="30" x14ac:dyDescent="0.25">
      <c r="A481" s="50" t="s">
        <v>1450</v>
      </c>
      <c r="B481" s="122" t="s">
        <v>1451</v>
      </c>
      <c r="C481" s="50"/>
      <c r="D481" s="57">
        <v>1</v>
      </c>
      <c r="E481" s="62" t="s">
        <v>955</v>
      </c>
      <c r="F481" s="57">
        <v>2</v>
      </c>
      <c r="G481" s="50" t="s">
        <v>56</v>
      </c>
      <c r="H481" s="50">
        <f>VLOOKUP($A481,'[1]ma sp 02'!$A$5:$BD$1101,H$1,0)</f>
        <v>0.09</v>
      </c>
      <c r="I481" s="50">
        <f>VLOOKUP($A481,'[1]ma sp 02'!$A$5:$BD$1101,I$1,0)</f>
        <v>0</v>
      </c>
      <c r="J481" s="50">
        <f>VLOOKUP($A481,'[1]ma sp 02'!$A$5:$BD$1101,J$1,0)</f>
        <v>0.64</v>
      </c>
      <c r="K481" s="50">
        <f>VLOOKUP($A481,'[1]ma sp 02'!$A$5:$BD$1101,K$1,0)</f>
        <v>0.02</v>
      </c>
      <c r="L481" s="50">
        <f>VLOOKUP($A481,'[1]ma sp 02'!$A$5:$BD$1101,L$1,0)</f>
        <v>0.12</v>
      </c>
      <c r="M481" s="50">
        <f>VLOOKUP($A481,'[1]ma sp 02'!$A$5:$BD$1101,M$1,0)</f>
        <v>0</v>
      </c>
      <c r="N481" s="50">
        <f>VLOOKUP($A481,'[1]ma sp 02'!$A$5:$BD$1101,N$1,0)</f>
        <v>0</v>
      </c>
      <c r="O481" s="50">
        <f>VLOOKUP($A481,'[1]ma sp 02'!$A$5:$BD$1101,O$1,0)</f>
        <v>0.12</v>
      </c>
      <c r="P481" s="50">
        <f>VLOOKUP($A481,'[1]ma sp 02'!$A$5:$BD$1101,P$1,0)</f>
        <v>0</v>
      </c>
      <c r="Q481" s="50">
        <f>VLOOKUP($A481,'[1]ma sp 02'!$A$5:$BD$1101,Q$1,0)</f>
        <v>0.01</v>
      </c>
      <c r="R481" s="50">
        <f>VLOOKUP($A481,'[1]ma sp 02'!$A$5:$BD$1101,R$1,0)</f>
        <v>0.04</v>
      </c>
      <c r="S481" s="50">
        <f>VLOOKUP($A481,'[1]ma sp 02'!$A$5:$BD$1101,S$1,0)</f>
        <v>0</v>
      </c>
      <c r="T481" s="50">
        <f>VLOOKUP($A481,'[1]ma sp 02'!$A$5:$BD$1101,T$1,0)</f>
        <v>0</v>
      </c>
      <c r="U481" s="50">
        <f>VLOOKUP($A481,'[1]ma sp 02'!$A$5:$BD$1101,U$1,0)</f>
        <v>0</v>
      </c>
      <c r="V481" s="50">
        <f>VLOOKUP($A481,'[1]ma sp 02'!$A$5:$BD$1101,V$1,0)</f>
        <v>0</v>
      </c>
      <c r="W481" s="50">
        <f>VLOOKUP($A481,'[1]ma sp 02'!$A$5:$BD$1101,W$1,0)</f>
        <v>0</v>
      </c>
      <c r="X481" s="50">
        <f t="shared" si="17"/>
        <v>7</v>
      </c>
      <c r="Y481" s="62"/>
      <c r="Z481" s="62"/>
      <c r="AA481" s="62"/>
      <c r="AB481" s="62"/>
      <c r="AC481" s="62"/>
      <c r="AD481" s="62"/>
      <c r="AE481" s="62" t="s">
        <v>1014</v>
      </c>
      <c r="AF481" s="62"/>
      <c r="AG481" s="62">
        <f>(0.04*0.925+0.025*0.925)*1.26</f>
        <v>7.5757500000000019E-2</v>
      </c>
      <c r="AH481" s="54">
        <f>(2.3/0.75/2)*1.26</f>
        <v>1.9319999999999999</v>
      </c>
      <c r="AI481" s="62"/>
      <c r="AJ481" s="62">
        <v>9530</v>
      </c>
      <c r="AK481" s="62"/>
      <c r="AL481" s="58">
        <v>2E-3</v>
      </c>
      <c r="AM481" s="61" t="s">
        <v>1452</v>
      </c>
      <c r="AN481" s="62"/>
      <c r="AO481" s="61" t="s">
        <v>959</v>
      </c>
      <c r="AP481" s="59">
        <f>IFERROR(VLOOKUP($A481,[2]Mssp!$A$5:$BE$1463,AP$4+1,0),0)</f>
        <v>0</v>
      </c>
      <c r="AQ481" s="59">
        <f>IFERROR(VLOOKUP($A481,[2]Mssp!$A$5:$BE$1463,AQ$4+1,0),0)</f>
        <v>0</v>
      </c>
      <c r="AR481" s="59">
        <f>IFERROR(VLOOKUP($A481,[2]Mssp!$A$5:$BE$1463,AR$4+1,0),0)</f>
        <v>0</v>
      </c>
      <c r="AS481" s="59">
        <f>IFERROR(VLOOKUP($A481,[2]Mssp!$A$5:$BE$1463,AS$4+1,0),0)</f>
        <v>0</v>
      </c>
      <c r="AT481" s="59">
        <f>IFERROR(VLOOKUP($A481,[2]Mssp!$A$5:$BE$1463,AT$4+1,0),0)</f>
        <v>0</v>
      </c>
      <c r="AU481" s="59">
        <f>IFERROR(VLOOKUP($A481,[2]Mssp!$A$5:$BE$1463,AU$4+1,0),0)</f>
        <v>0</v>
      </c>
      <c r="AV481" s="59">
        <f>IFERROR(VLOOKUP($A481,[2]Mssp!$A$5:$BE$1463,AV$4+1,0),0)</f>
        <v>0</v>
      </c>
      <c r="AW481" s="59">
        <f>IFERROR(VLOOKUP($A481,[2]Mssp!$A$5:$BE$1463,AW$4+1,0),0)</f>
        <v>0</v>
      </c>
      <c r="AX481" s="59">
        <f>IFERROR(VLOOKUP($A481,[2]Mssp!$A$5:$BE$1463,AX$4+1,0),0)</f>
        <v>0</v>
      </c>
      <c r="AY481" s="59">
        <f>IFERROR(VLOOKUP($A481,[2]Mssp!$A$5:$BE$1463,AY$4+2,0),0)</f>
        <v>0</v>
      </c>
      <c r="AZ481" s="59">
        <f>IFERROR(VLOOKUP($A481,[2]Mssp!$A$5:$BE$1463,AZ$4+2,0),0)</f>
        <v>0</v>
      </c>
      <c r="BA481" s="60"/>
      <c r="BB481" s="61"/>
      <c r="BC481" s="84"/>
      <c r="BD481" s="9"/>
      <c r="BE481" s="9"/>
      <c r="BF481" s="9"/>
      <c r="BG481" s="9"/>
      <c r="BH481" s="9"/>
      <c r="BI481" s="9"/>
      <c r="BJ481" s="9"/>
      <c r="BK481" s="9"/>
      <c r="BL481" s="9"/>
      <c r="BM481" s="9"/>
      <c r="BN481" s="9"/>
      <c r="BO481" s="9"/>
      <c r="BP481" s="9"/>
      <c r="BQ481" s="9"/>
      <c r="BR481" s="9"/>
      <c r="BS481" s="9"/>
      <c r="BT481" s="9"/>
      <c r="BU481" s="9"/>
      <c r="BV481" s="9"/>
      <c r="BW481" s="9"/>
      <c r="BX481" s="9"/>
      <c r="BY481" s="9"/>
      <c r="BZ481" s="9"/>
      <c r="CA481" s="9"/>
      <c r="CB481" s="9"/>
      <c r="CC481" s="9"/>
      <c r="CD481" s="9"/>
      <c r="CE481" s="9"/>
      <c r="CF481" s="9"/>
      <c r="CG481" s="9"/>
      <c r="CH481" s="9"/>
      <c r="CI481" s="9"/>
      <c r="CJ481" s="9"/>
      <c r="CK481" s="9"/>
      <c r="CL481" s="9"/>
      <c r="CM481" s="9"/>
      <c r="CN481" s="9"/>
      <c r="CO481" s="9"/>
      <c r="CP481" s="9"/>
    </row>
    <row r="482" spans="1:94" ht="30" x14ac:dyDescent="0.25">
      <c r="A482" s="50" t="s">
        <v>1453</v>
      </c>
      <c r="B482" s="122" t="s">
        <v>1451</v>
      </c>
      <c r="C482" s="50"/>
      <c r="D482" s="57">
        <v>1</v>
      </c>
      <c r="E482" s="62" t="s">
        <v>1013</v>
      </c>
      <c r="F482" s="57">
        <v>2</v>
      </c>
      <c r="G482" s="50" t="s">
        <v>56</v>
      </c>
      <c r="H482" s="50">
        <f>VLOOKUP($A482,'[1]ma sp 02'!$A$5:$BD$1101,H$1,0)</f>
        <v>0.01</v>
      </c>
      <c r="I482" s="50">
        <f>VLOOKUP($A482,'[1]ma sp 02'!$A$5:$BD$1101,I$1,0)</f>
        <v>0</v>
      </c>
      <c r="J482" s="50">
        <f>VLOOKUP($A482,'[1]ma sp 02'!$A$5:$BD$1101,J$1,0)</f>
        <v>0.42</v>
      </c>
      <c r="K482" s="50">
        <f>VLOOKUP($A482,'[1]ma sp 02'!$A$5:$BD$1101,K$1,0)</f>
        <v>0.04</v>
      </c>
      <c r="L482" s="50">
        <f>VLOOKUP($A482,'[1]ma sp 02'!$A$5:$BD$1101,L$1,0)</f>
        <v>0.1</v>
      </c>
      <c r="M482" s="50">
        <f>VLOOKUP($A482,'[1]ma sp 02'!$A$5:$BD$1101,M$1,0)</f>
        <v>0.01</v>
      </c>
      <c r="N482" s="50">
        <f>VLOOKUP($A482,'[1]ma sp 02'!$A$5:$BD$1101,N$1,0)</f>
        <v>0</v>
      </c>
      <c r="O482" s="50">
        <f>VLOOKUP($A482,'[1]ma sp 02'!$A$5:$BD$1101,O$1,0)</f>
        <v>0.13</v>
      </c>
      <c r="P482" s="50">
        <f>VLOOKUP($A482,'[1]ma sp 02'!$A$5:$BD$1101,P$1,0)</f>
        <v>0</v>
      </c>
      <c r="Q482" s="50">
        <f>VLOOKUP($A482,'[1]ma sp 02'!$A$5:$BD$1101,Q$1,0)</f>
        <v>0</v>
      </c>
      <c r="R482" s="50">
        <f>VLOOKUP($A482,'[1]ma sp 02'!$A$5:$BD$1101,R$1,0)</f>
        <v>0.21</v>
      </c>
      <c r="S482" s="50">
        <f>VLOOKUP($A482,'[1]ma sp 02'!$A$5:$BD$1101,S$1,0)</f>
        <v>0</v>
      </c>
      <c r="T482" s="50">
        <f>VLOOKUP($A482,'[1]ma sp 02'!$A$5:$BD$1101,T$1,0)</f>
        <v>0</v>
      </c>
      <c r="U482" s="50">
        <f>VLOOKUP($A482,'[1]ma sp 02'!$A$5:$BD$1101,U$1,0)</f>
        <v>0</v>
      </c>
      <c r="V482" s="50">
        <f>VLOOKUP($A482,'[1]ma sp 02'!$A$5:$BD$1101,V$1,0)</f>
        <v>0</v>
      </c>
      <c r="W482" s="50">
        <f>VLOOKUP($A482,'[1]ma sp 02'!$A$5:$BD$1101,W$1,0)</f>
        <v>0</v>
      </c>
      <c r="X482" s="50">
        <f t="shared" si="17"/>
        <v>7</v>
      </c>
      <c r="Y482" s="62"/>
      <c r="Z482" s="62"/>
      <c r="AA482" s="62"/>
      <c r="AB482" s="62"/>
      <c r="AC482" s="62"/>
      <c r="AD482" s="62"/>
      <c r="AE482" s="62" t="s">
        <v>1014</v>
      </c>
      <c r="AF482" s="62"/>
      <c r="AG482" s="62">
        <f>(0.04*0.925+0.025*0.925)*1.26</f>
        <v>7.5757500000000019E-2</v>
      </c>
      <c r="AH482" s="54">
        <f>(2.3/0.75/2)*1.26</f>
        <v>1.9319999999999999</v>
      </c>
      <c r="AI482" s="62"/>
      <c r="AJ482" s="62">
        <v>9530</v>
      </c>
      <c r="AK482" s="62"/>
      <c r="AL482" s="58">
        <v>2E-3</v>
      </c>
      <c r="AM482" s="61" t="s">
        <v>1452</v>
      </c>
      <c r="AN482" s="62"/>
      <c r="AO482" s="61" t="s">
        <v>959</v>
      </c>
      <c r="AP482" s="59">
        <f>IFERROR(VLOOKUP($A482,[2]Mssp!$A$5:$BE$1463,AP$4+1,0),0)</f>
        <v>0</v>
      </c>
      <c r="AQ482" s="59">
        <f>IFERROR(VLOOKUP($A482,[2]Mssp!$A$5:$BE$1463,AQ$4+1,0),0)</f>
        <v>0</v>
      </c>
      <c r="AR482" s="59">
        <f>IFERROR(VLOOKUP($A482,[2]Mssp!$A$5:$BE$1463,AR$4+1,0),0)</f>
        <v>0</v>
      </c>
      <c r="AS482" s="59">
        <f>IFERROR(VLOOKUP($A482,[2]Mssp!$A$5:$BE$1463,AS$4+1,0),0)</f>
        <v>0</v>
      </c>
      <c r="AT482" s="59">
        <f>IFERROR(VLOOKUP($A482,[2]Mssp!$A$5:$BE$1463,AT$4+1,0),0)</f>
        <v>0</v>
      </c>
      <c r="AU482" s="59">
        <f>IFERROR(VLOOKUP($A482,[2]Mssp!$A$5:$BE$1463,AU$4+1,0),0)</f>
        <v>0</v>
      </c>
      <c r="AV482" s="59">
        <f>IFERROR(VLOOKUP($A482,[2]Mssp!$A$5:$BE$1463,AV$4+1,0),0)</f>
        <v>0</v>
      </c>
      <c r="AW482" s="59">
        <f>IFERROR(VLOOKUP($A482,[2]Mssp!$A$5:$BE$1463,AW$4+1,0),0)</f>
        <v>0</v>
      </c>
      <c r="AX482" s="59">
        <f>IFERROR(VLOOKUP($A482,[2]Mssp!$A$5:$BE$1463,AX$4+1,0),0)</f>
        <v>0</v>
      </c>
      <c r="AY482" s="59">
        <f>IFERROR(VLOOKUP($A482,[2]Mssp!$A$5:$BE$1463,AY$4+2,0),0)</f>
        <v>0</v>
      </c>
      <c r="AZ482" s="59">
        <f>IFERROR(VLOOKUP($A482,[2]Mssp!$A$5:$BE$1463,AZ$4+2,0),0)</f>
        <v>0</v>
      </c>
      <c r="BA482" s="60"/>
      <c r="BB482" s="61" t="s">
        <v>952</v>
      </c>
      <c r="BC482" s="84"/>
      <c r="BD482" s="9"/>
      <c r="BE482" s="9"/>
      <c r="BF482" s="9"/>
      <c r="BG482" s="9"/>
      <c r="BH482" s="9"/>
      <c r="BI482" s="9"/>
      <c r="BJ482" s="9"/>
      <c r="BK482" s="9"/>
      <c r="BL482" s="9"/>
      <c r="BM482" s="9"/>
      <c r="BN482" s="9"/>
      <c r="BO482" s="9"/>
      <c r="BP482" s="9"/>
      <c r="BQ482" s="9"/>
      <c r="BR482" s="9"/>
      <c r="BS482" s="9"/>
      <c r="BT482" s="9"/>
      <c r="BU482" s="9"/>
      <c r="BV482" s="9"/>
      <c r="BW482" s="9"/>
      <c r="BX482" s="9"/>
      <c r="BY482" s="9"/>
      <c r="BZ482" s="9"/>
      <c r="CA482" s="9"/>
      <c r="CB482" s="9"/>
      <c r="CC482" s="9"/>
      <c r="CD482" s="9"/>
      <c r="CE482" s="9"/>
      <c r="CF482" s="9"/>
      <c r="CG482" s="9"/>
      <c r="CH482" s="9"/>
      <c r="CI482" s="9"/>
      <c r="CJ482" s="9"/>
      <c r="CK482" s="9"/>
      <c r="CL482" s="9"/>
      <c r="CM482" s="9"/>
      <c r="CN482" s="9"/>
      <c r="CO482" s="9"/>
      <c r="CP482" s="9"/>
    </row>
    <row r="483" spans="1:94" ht="31.5" x14ac:dyDescent="0.25">
      <c r="A483" s="50" t="s">
        <v>1454</v>
      </c>
      <c r="B483" s="122" t="s">
        <v>1455</v>
      </c>
      <c r="C483" s="50"/>
      <c r="D483" s="57">
        <v>1</v>
      </c>
      <c r="E483" s="62" t="s">
        <v>1013</v>
      </c>
      <c r="F483" s="57">
        <v>2</v>
      </c>
      <c r="G483" s="50" t="s">
        <v>56</v>
      </c>
      <c r="H483" s="50">
        <f>VLOOKUP($A483,'[1]ma sp 02'!$A$5:$BD$1101,H$1,0)</f>
        <v>0.1</v>
      </c>
      <c r="I483" s="50">
        <f>VLOOKUP($A483,'[1]ma sp 02'!$A$5:$BD$1101,I$1,0)</f>
        <v>0</v>
      </c>
      <c r="J483" s="50">
        <f>VLOOKUP($A483,'[1]ma sp 02'!$A$5:$BD$1101,J$1,0)</f>
        <v>0.56000000000000005</v>
      </c>
      <c r="K483" s="50">
        <f>VLOOKUP($A483,'[1]ma sp 02'!$A$5:$BD$1101,K$1,0)</f>
        <v>0.02</v>
      </c>
      <c r="L483" s="50">
        <f>VLOOKUP($A483,'[1]ma sp 02'!$A$5:$BD$1101,L$1,0)</f>
        <v>7.0000000000000007E-2</v>
      </c>
      <c r="M483" s="50">
        <f>VLOOKUP($A483,'[1]ma sp 02'!$A$5:$BD$1101,M$1,0)</f>
        <v>0</v>
      </c>
      <c r="N483" s="50">
        <f>VLOOKUP($A483,'[1]ma sp 02'!$A$5:$BD$1101,N$1,0)</f>
        <v>0</v>
      </c>
      <c r="O483" s="50">
        <f>VLOOKUP($A483,'[1]ma sp 02'!$A$5:$BD$1101,O$1,0)</f>
        <v>0.18</v>
      </c>
      <c r="P483" s="50">
        <f>VLOOKUP($A483,'[1]ma sp 02'!$A$5:$BD$1101,P$1,0)</f>
        <v>0.03</v>
      </c>
      <c r="Q483" s="50">
        <f>VLOOKUP($A483,'[1]ma sp 02'!$A$5:$BD$1101,Q$1,0)</f>
        <v>0.01</v>
      </c>
      <c r="R483" s="50">
        <f>VLOOKUP($A483,'[1]ma sp 02'!$A$5:$BD$1101,R$1,0)</f>
        <v>0.34</v>
      </c>
      <c r="S483" s="50">
        <f>VLOOKUP($A483,'[1]ma sp 02'!$A$5:$BD$1101,S$1,0)</f>
        <v>0</v>
      </c>
      <c r="T483" s="50">
        <f>VLOOKUP($A483,'[1]ma sp 02'!$A$5:$BD$1101,T$1,0)</f>
        <v>0</v>
      </c>
      <c r="U483" s="50">
        <f>VLOOKUP($A483,'[1]ma sp 02'!$A$5:$BD$1101,U$1,0)</f>
        <v>0</v>
      </c>
      <c r="V483" s="50">
        <f>VLOOKUP($A483,'[1]ma sp 02'!$A$5:$BD$1101,V$1,0)</f>
        <v>0</v>
      </c>
      <c r="W483" s="50">
        <f>VLOOKUP($A483,'[1]ma sp 02'!$A$5:$BD$1101,W$1,0)</f>
        <v>0</v>
      </c>
      <c r="X483" s="50">
        <f t="shared" si="17"/>
        <v>8</v>
      </c>
      <c r="Y483" s="62"/>
      <c r="Z483" s="62"/>
      <c r="AA483" s="62"/>
      <c r="AB483" s="62"/>
      <c r="AC483" s="62"/>
      <c r="AD483" s="62"/>
      <c r="AE483" s="62" t="s">
        <v>1014</v>
      </c>
      <c r="AF483" s="62"/>
      <c r="AG483" s="62">
        <f>(0.04*0.925+0.025*0.925)*1.26</f>
        <v>7.5757500000000019E-2</v>
      </c>
      <c r="AH483" s="54">
        <f>(2.3/0.75/2)*1.26</f>
        <v>1.9319999999999999</v>
      </c>
      <c r="AI483" s="62"/>
      <c r="AJ483" s="62">
        <v>9530</v>
      </c>
      <c r="AK483" s="62"/>
      <c r="AL483" s="58">
        <v>2E-3</v>
      </c>
      <c r="AM483" s="61" t="s">
        <v>1452</v>
      </c>
      <c r="AN483" s="62"/>
      <c r="AO483" s="61" t="s">
        <v>959</v>
      </c>
      <c r="AP483" s="59">
        <f>IFERROR(VLOOKUP($A483,[2]Mssp!$A$5:$BE$1463,AP$4+1,0),0)</f>
        <v>0</v>
      </c>
      <c r="AQ483" s="59">
        <f>IFERROR(VLOOKUP($A483,[2]Mssp!$A$5:$BE$1463,AQ$4+1,0),0)</f>
        <v>0</v>
      </c>
      <c r="AR483" s="59">
        <f>IFERROR(VLOOKUP($A483,[2]Mssp!$A$5:$BE$1463,AR$4+1,0),0)</f>
        <v>0</v>
      </c>
      <c r="AS483" s="59">
        <f>IFERROR(VLOOKUP($A483,[2]Mssp!$A$5:$BE$1463,AS$4+1,0),0)</f>
        <v>0</v>
      </c>
      <c r="AT483" s="59">
        <f>IFERROR(VLOOKUP($A483,[2]Mssp!$A$5:$BE$1463,AT$4+1,0),0)</f>
        <v>0</v>
      </c>
      <c r="AU483" s="59">
        <f>IFERROR(VLOOKUP($A483,[2]Mssp!$A$5:$BE$1463,AU$4+1,0),0)</f>
        <v>0</v>
      </c>
      <c r="AV483" s="59">
        <f>IFERROR(VLOOKUP($A483,[2]Mssp!$A$5:$BE$1463,AV$4+1,0),0)</f>
        <v>0</v>
      </c>
      <c r="AW483" s="59">
        <f>IFERROR(VLOOKUP($A483,[2]Mssp!$A$5:$BE$1463,AW$4+1,0),0)</f>
        <v>0</v>
      </c>
      <c r="AX483" s="59">
        <f>IFERROR(VLOOKUP($A483,[2]Mssp!$A$5:$BE$1463,AX$4+1,0),0)</f>
        <v>0</v>
      </c>
      <c r="AY483" s="59">
        <f>IFERROR(VLOOKUP($A483,[2]Mssp!$A$5:$BE$1463,AY$4+2,0),0)</f>
        <v>0</v>
      </c>
      <c r="AZ483" s="59">
        <f>IFERROR(VLOOKUP($A483,[2]Mssp!$A$5:$BE$1463,AZ$4+2,0),0)</f>
        <v>0</v>
      </c>
      <c r="BA483" s="60"/>
      <c r="BB483" s="61"/>
      <c r="BC483" s="84"/>
      <c r="BD483" s="9"/>
      <c r="BE483" s="9"/>
      <c r="BF483" s="9"/>
      <c r="BG483" s="9"/>
      <c r="BH483" s="9"/>
      <c r="BI483" s="9"/>
      <c r="BJ483" s="9"/>
      <c r="BK483" s="9"/>
      <c r="BL483" s="9"/>
      <c r="BM483" s="9"/>
      <c r="BN483" s="9"/>
      <c r="BO483" s="9"/>
      <c r="BP483" s="9"/>
      <c r="BQ483" s="9"/>
      <c r="BR483" s="9"/>
      <c r="BS483" s="9"/>
      <c r="BT483" s="9"/>
      <c r="BU483" s="9"/>
      <c r="BV483" s="9"/>
      <c r="BW483" s="9"/>
      <c r="BX483" s="9"/>
      <c r="BY483" s="9"/>
      <c r="BZ483" s="9"/>
      <c r="CA483" s="9"/>
      <c r="CB483" s="9"/>
      <c r="CC483" s="9"/>
      <c r="CD483" s="9"/>
      <c r="CE483" s="9"/>
      <c r="CF483" s="9"/>
      <c r="CG483" s="9"/>
      <c r="CH483" s="9"/>
      <c r="CI483" s="9"/>
      <c r="CJ483" s="9"/>
      <c r="CK483" s="9"/>
      <c r="CL483" s="9"/>
      <c r="CM483" s="9"/>
      <c r="CN483" s="9"/>
      <c r="CO483" s="9"/>
      <c r="CP483" s="9"/>
    </row>
    <row r="484" spans="1:94" ht="30" x14ac:dyDescent="0.25">
      <c r="A484" s="50" t="s">
        <v>1573</v>
      </c>
      <c r="B484" s="122" t="s">
        <v>1574</v>
      </c>
      <c r="C484" s="50"/>
      <c r="D484" s="58">
        <v>1</v>
      </c>
      <c r="E484" s="58" t="s">
        <v>966</v>
      </c>
      <c r="F484" s="58">
        <v>6</v>
      </c>
      <c r="G484" s="50" t="s">
        <v>530</v>
      </c>
      <c r="H484" s="50">
        <f>VLOOKUP($A484,'[1]ma sp 02'!$A$5:$BD$1101,H$1,0)</f>
        <v>7.0000000000000007E-2</v>
      </c>
      <c r="I484" s="50">
        <f>VLOOKUP($A484,'[1]ma sp 02'!$A$5:$BD$1101,I$1,0)</f>
        <v>0</v>
      </c>
      <c r="J484" s="50">
        <f>VLOOKUP($A484,'[1]ma sp 02'!$A$5:$BD$1101,J$1,0)</f>
        <v>0.23</v>
      </c>
      <c r="K484" s="50">
        <f>VLOOKUP($A484,'[1]ma sp 02'!$A$5:$BD$1101,K$1,0)</f>
        <v>0.12</v>
      </c>
      <c r="L484" s="50">
        <f>VLOOKUP($A484,'[1]ma sp 02'!$A$5:$BD$1101,L$1,0)</f>
        <v>0.16</v>
      </c>
      <c r="M484" s="50">
        <f>VLOOKUP($A484,'[1]ma sp 02'!$A$5:$BD$1101,M$1,0)</f>
        <v>0.127</v>
      </c>
      <c r="N484" s="50">
        <f>VLOOKUP($A484,'[1]ma sp 02'!$A$5:$BD$1101,N$1,0)</f>
        <v>0</v>
      </c>
      <c r="O484" s="50">
        <f>VLOOKUP($A484,'[1]ma sp 02'!$A$5:$BD$1101,O$1,0)</f>
        <v>0</v>
      </c>
      <c r="P484" s="50">
        <f>VLOOKUP($A484,'[1]ma sp 02'!$A$5:$BD$1101,P$1,0)</f>
        <v>1.8</v>
      </c>
      <c r="Q484" s="50">
        <f>VLOOKUP($A484,'[1]ma sp 02'!$A$5:$BD$1101,Q$1,0)</f>
        <v>0</v>
      </c>
      <c r="R484" s="50">
        <f>VLOOKUP($A484,'[1]ma sp 02'!$A$5:$BD$1101,R$1,0)</f>
        <v>0</v>
      </c>
      <c r="S484" s="50">
        <f>VLOOKUP($A484,'[1]ma sp 02'!$A$5:$BD$1101,S$1,0)</f>
        <v>0</v>
      </c>
      <c r="T484" s="50">
        <f>VLOOKUP($A484,'[1]ma sp 02'!$A$5:$BD$1101,T$1,0)</f>
        <v>0</v>
      </c>
      <c r="U484" s="50">
        <f>VLOOKUP($A484,'[1]ma sp 02'!$A$5:$BD$1101,U$1,0)</f>
        <v>0</v>
      </c>
      <c r="V484" s="50">
        <f>VLOOKUP($A484,'[1]ma sp 02'!$A$5:$BD$1101,V$1,0)</f>
        <v>0</v>
      </c>
      <c r="W484" s="50">
        <f>VLOOKUP($A484,'[1]ma sp 02'!$A$5:$BD$1101,W$1,0)</f>
        <v>0</v>
      </c>
      <c r="X484" s="50">
        <f t="shared" si="17"/>
        <v>6</v>
      </c>
      <c r="Y484" s="57"/>
      <c r="Z484" s="57"/>
      <c r="AA484" s="57"/>
      <c r="AB484" s="57"/>
      <c r="AC484" s="57"/>
      <c r="AD484" s="57"/>
      <c r="AE484" s="58" t="s">
        <v>1212</v>
      </c>
      <c r="AF484" s="57"/>
      <c r="AG484" s="71">
        <f>(0.012*1.4+0.09*0.925)*0.59</f>
        <v>5.9029499999999999E-2</v>
      </c>
      <c r="AH484" s="63">
        <f>(4/0.75/2)*0.59</f>
        <v>1.5733333333333333</v>
      </c>
      <c r="AI484" s="63"/>
      <c r="AJ484" s="58">
        <v>9530</v>
      </c>
      <c r="AK484" s="57"/>
      <c r="AL484" s="58">
        <v>3.0000000000000001E-3</v>
      </c>
      <c r="AM484" s="52" t="s">
        <v>1575</v>
      </c>
      <c r="AN484" s="58">
        <v>375</v>
      </c>
      <c r="AO484" s="52" t="s">
        <v>1077</v>
      </c>
      <c r="AP484" s="59" t="str">
        <f>IFERROR(VLOOKUP($A484,[2]Mssp!$A$5:$BE$1463,AP$4+1,0),0)</f>
        <v>F122369-1</v>
      </c>
      <c r="AQ484" s="59" t="str">
        <f>IFERROR(VLOOKUP($A484,[2]Mssp!$A$5:$BE$1463,AQ$4+1,0),0)</f>
        <v>F122369-2</v>
      </c>
      <c r="AR484" s="59" t="str">
        <f>IFERROR(VLOOKUP($A484,[2]Mssp!$A$5:$BE$1463,AR$4+1,0),0)</f>
        <v>F122369G1-3</v>
      </c>
      <c r="AS484" s="59" t="str">
        <f>IFERROR(VLOOKUP($A484,[2]Mssp!$A$5:$BE$1463,AS$4+1,0),0)</f>
        <v>F122369-4</v>
      </c>
      <c r="AT484" s="59" t="str">
        <f>IFERROR(VLOOKUP($A484,[2]Mssp!$A$5:$BE$1463,AT$4+1,0),0)</f>
        <v>F122369-5</v>
      </c>
      <c r="AU484" s="59" t="str">
        <f>IFERROR(VLOOKUP($A484,[2]Mssp!$A$5:$BE$1463,AU$4+1,0),0)</f>
        <v>F122369-6</v>
      </c>
      <c r="AV484" s="59">
        <f>IFERROR(VLOOKUP($A484,[2]Mssp!$A$5:$BE$1463,AV$4+1,0),0)</f>
        <v>0</v>
      </c>
      <c r="AW484" s="59">
        <f>IFERROR(VLOOKUP($A484,[2]Mssp!$A$5:$BE$1463,AW$4+1,0),0)</f>
        <v>0</v>
      </c>
      <c r="AX484" s="59">
        <f>IFERROR(VLOOKUP($A484,[2]Mssp!$A$5:$BE$1463,AX$4+1,0),0)</f>
        <v>0</v>
      </c>
      <c r="AY484" s="59" t="str">
        <f>IFERROR(VLOOKUP($A484,[2]Mssp!$A$5:$BE$1463,AY$4+2,0),0)</f>
        <v>750x750</v>
      </c>
      <c r="AZ484" s="59" t="str">
        <f>IFERROR(VLOOKUP($A484,[2]Mssp!$A$5:$BE$1463,AZ$4+2,0),0)</f>
        <v>U1</v>
      </c>
      <c r="BA484" s="60">
        <v>1000</v>
      </c>
      <c r="BB484" s="61" t="s">
        <v>1576</v>
      </c>
      <c r="BC484" s="84"/>
      <c r="BD484" s="9"/>
      <c r="BE484" s="9"/>
      <c r="BF484" s="9"/>
      <c r="BG484" s="9"/>
      <c r="BH484" s="9"/>
      <c r="BI484" s="9"/>
      <c r="BJ484" s="9"/>
      <c r="BK484" s="9"/>
      <c r="BL484" s="9"/>
      <c r="BM484" s="9"/>
      <c r="BN484" s="9"/>
      <c r="BO484" s="9"/>
      <c r="BP484" s="9"/>
      <c r="BQ484" s="9"/>
      <c r="BR484" s="9"/>
      <c r="BS484" s="9"/>
      <c r="BT484" s="9"/>
      <c r="BU484" s="9"/>
      <c r="BV484" s="9"/>
      <c r="BW484" s="9"/>
      <c r="BX484" s="9"/>
      <c r="BY484" s="9"/>
      <c r="BZ484" s="9"/>
      <c r="CA484" s="9"/>
      <c r="CB484" s="9"/>
      <c r="CC484" s="9"/>
      <c r="CD484" s="9"/>
      <c r="CE484" s="9"/>
      <c r="CF484" s="9"/>
      <c r="CG484" s="9"/>
      <c r="CH484" s="9"/>
      <c r="CI484" s="9"/>
      <c r="CJ484" s="9"/>
      <c r="CK484" s="9"/>
      <c r="CL484" s="9"/>
      <c r="CM484" s="9"/>
      <c r="CN484" s="9"/>
      <c r="CO484" s="9"/>
      <c r="CP484" s="9"/>
    </row>
    <row r="485" spans="1:94" ht="30" x14ac:dyDescent="0.25">
      <c r="A485" s="50" t="s">
        <v>1577</v>
      </c>
      <c r="B485" s="122" t="s">
        <v>1578</v>
      </c>
      <c r="C485" s="50"/>
      <c r="D485" s="58">
        <v>1</v>
      </c>
      <c r="E485" s="58" t="s">
        <v>1216</v>
      </c>
      <c r="F485" s="58">
        <v>6</v>
      </c>
      <c r="G485" s="50" t="s">
        <v>530</v>
      </c>
      <c r="H485" s="50">
        <f>VLOOKUP($A485,'[1]ma sp 02'!$A$5:$BD$1101,H$1,0)</f>
        <v>0</v>
      </c>
      <c r="I485" s="50">
        <f>VLOOKUP($A485,'[1]ma sp 02'!$A$5:$BD$1101,I$1,0)</f>
        <v>0</v>
      </c>
      <c r="J485" s="50">
        <f>VLOOKUP($A485,'[1]ma sp 02'!$A$5:$BD$1101,J$1,0)</f>
        <v>0.19</v>
      </c>
      <c r="K485" s="50">
        <f>VLOOKUP($A485,'[1]ma sp 02'!$A$5:$BD$1101,K$1,0)</f>
        <v>0.37</v>
      </c>
      <c r="L485" s="50">
        <f>VLOOKUP($A485,'[1]ma sp 02'!$A$5:$BD$1101,L$1,0)</f>
        <v>0.69</v>
      </c>
      <c r="M485" s="50">
        <f>VLOOKUP($A485,'[1]ma sp 02'!$A$5:$BD$1101,M$1,0)</f>
        <v>0</v>
      </c>
      <c r="N485" s="50">
        <f>VLOOKUP($A485,'[1]ma sp 02'!$A$5:$BD$1101,N$1,0)</f>
        <v>0</v>
      </c>
      <c r="O485" s="50">
        <f>VLOOKUP($A485,'[1]ma sp 02'!$A$5:$BD$1101,O$1,0)</f>
        <v>0</v>
      </c>
      <c r="P485" s="50">
        <f>VLOOKUP($A485,'[1]ma sp 02'!$A$5:$BD$1101,P$1,0)</f>
        <v>1.99</v>
      </c>
      <c r="Q485" s="50">
        <f>VLOOKUP($A485,'[1]ma sp 02'!$A$5:$BD$1101,Q$1,0)</f>
        <v>0</v>
      </c>
      <c r="R485" s="50">
        <f>VLOOKUP($A485,'[1]ma sp 02'!$A$5:$BD$1101,R$1,0)</f>
        <v>0.01</v>
      </c>
      <c r="S485" s="50">
        <f>VLOOKUP($A485,'[1]ma sp 02'!$A$5:$BD$1101,S$1,0)</f>
        <v>0</v>
      </c>
      <c r="T485" s="50">
        <f>VLOOKUP($A485,'[1]ma sp 02'!$A$5:$BD$1101,T$1,0)</f>
        <v>0</v>
      </c>
      <c r="U485" s="50">
        <f>VLOOKUP($A485,'[1]ma sp 02'!$A$5:$BD$1101,U$1,0)</f>
        <v>0</v>
      </c>
      <c r="V485" s="50">
        <f>VLOOKUP($A485,'[1]ma sp 02'!$A$5:$BD$1101,V$1,0)</f>
        <v>0</v>
      </c>
      <c r="W485" s="50">
        <f>VLOOKUP($A485,'[1]ma sp 02'!$A$5:$BD$1101,W$1,0)</f>
        <v>0</v>
      </c>
      <c r="X485" s="50">
        <f t="shared" si="17"/>
        <v>5</v>
      </c>
      <c r="Y485" s="57"/>
      <c r="Z485" s="57"/>
      <c r="AA485" s="57"/>
      <c r="AB485" s="57"/>
      <c r="AC485" s="57"/>
      <c r="AD485" s="57"/>
      <c r="AE485" s="58" t="s">
        <v>1217</v>
      </c>
      <c r="AF485" s="57"/>
      <c r="AG485" s="71">
        <f>(0.012*1.4+0.09*0.925)*0.63</f>
        <v>6.3031500000000004E-2</v>
      </c>
      <c r="AH485" s="63">
        <f>(3/0.75/2)*0.62</f>
        <v>1.24</v>
      </c>
      <c r="AI485" s="63"/>
      <c r="AJ485" s="58">
        <v>9530</v>
      </c>
      <c r="AK485" s="57"/>
      <c r="AL485" s="58">
        <v>3.0000000000000001E-3</v>
      </c>
      <c r="AM485" s="52" t="s">
        <v>1579</v>
      </c>
      <c r="AN485" s="58">
        <v>390</v>
      </c>
      <c r="AO485" s="52" t="s">
        <v>1077</v>
      </c>
      <c r="AP485" s="59" t="str">
        <f>IFERROR(VLOOKUP($A485,[2]Mssp!$A$5:$BE$1463,AP$4+1,0),0)</f>
        <v>F122370-1</v>
      </c>
      <c r="AQ485" s="59" t="str">
        <f>IFERROR(VLOOKUP($A485,[2]Mssp!$A$5:$BE$1463,AQ$4+1,0),0)</f>
        <v>F122370-2</v>
      </c>
      <c r="AR485" s="59" t="str">
        <f>IFERROR(VLOOKUP($A485,[2]Mssp!$A$5:$BE$1463,AR$4+1,0),0)</f>
        <v>F122370G1-3</v>
      </c>
      <c r="AS485" s="59" t="str">
        <f>IFERROR(VLOOKUP($A485,[2]Mssp!$A$5:$BE$1463,AS$4+1,0),0)</f>
        <v>F122370-4</v>
      </c>
      <c r="AT485" s="59" t="str">
        <f>IFERROR(VLOOKUP($A485,[2]Mssp!$A$5:$BE$1463,AT$4+1,0),0)</f>
        <v>F122370-5</v>
      </c>
      <c r="AU485" s="59" t="str">
        <f>IFERROR(VLOOKUP($A485,[2]Mssp!$A$5:$BE$1463,AU$4+1,0),0)</f>
        <v>F122370-6</v>
      </c>
      <c r="AV485" s="59">
        <f>IFERROR(VLOOKUP($A485,[2]Mssp!$A$5:$BE$1463,AV$4+1,0),0)</f>
        <v>0</v>
      </c>
      <c r="AW485" s="59">
        <f>IFERROR(VLOOKUP($A485,[2]Mssp!$A$5:$BE$1463,AW$4+1,0),0)</f>
        <v>0</v>
      </c>
      <c r="AX485" s="59">
        <f>IFERROR(VLOOKUP($A485,[2]Mssp!$A$5:$BE$1463,AX$4+1,0),0)</f>
        <v>0</v>
      </c>
      <c r="AY485" s="59" t="str">
        <f>IFERROR(VLOOKUP($A485,[2]Mssp!$A$5:$BE$1463,AY$4+2,0),0)</f>
        <v>780x750</v>
      </c>
      <c r="AZ485" s="59" t="str">
        <f>IFERROR(VLOOKUP($A485,[2]Mssp!$A$5:$BE$1463,AZ$4+2,0),0)</f>
        <v>U1</v>
      </c>
      <c r="BA485" s="60">
        <v>1500</v>
      </c>
      <c r="BB485" s="61" t="s">
        <v>1576</v>
      </c>
      <c r="BC485" s="84"/>
      <c r="BD485" s="9"/>
      <c r="BE485" s="9"/>
      <c r="BF485" s="9"/>
      <c r="BG485" s="9"/>
      <c r="BH485" s="9"/>
      <c r="BI485" s="9"/>
      <c r="BJ485" s="9"/>
      <c r="BK485" s="9"/>
      <c r="BL485" s="9"/>
      <c r="BM485" s="9"/>
      <c r="BN485" s="9"/>
      <c r="BO485" s="9"/>
      <c r="BP485" s="9"/>
      <c r="BQ485" s="9"/>
      <c r="BR485" s="9"/>
      <c r="BS485" s="9"/>
      <c r="BT485" s="9"/>
      <c r="BU485" s="9"/>
      <c r="BV485" s="9"/>
      <c r="BW485" s="9"/>
      <c r="BX485" s="9"/>
      <c r="BY485" s="9"/>
      <c r="BZ485" s="9"/>
      <c r="CA485" s="9"/>
      <c r="CB485" s="9"/>
      <c r="CC485" s="9"/>
      <c r="CD485" s="9"/>
      <c r="CE485" s="9"/>
      <c r="CF485" s="9"/>
      <c r="CG485" s="9"/>
      <c r="CH485" s="9"/>
      <c r="CI485" s="9"/>
      <c r="CJ485" s="9"/>
      <c r="CK485" s="9"/>
      <c r="CL485" s="9"/>
      <c r="CM485" s="9"/>
      <c r="CN485" s="9"/>
      <c r="CO485" s="9"/>
      <c r="CP485" s="9"/>
    </row>
    <row r="486" spans="1:94" ht="30" x14ac:dyDescent="0.25">
      <c r="A486" s="50" t="s">
        <v>1580</v>
      </c>
      <c r="B486" s="122" t="s">
        <v>1581</v>
      </c>
      <c r="C486" s="50"/>
      <c r="D486" s="57">
        <v>1</v>
      </c>
      <c r="E486" s="62" t="s">
        <v>1582</v>
      </c>
      <c r="F486" s="57">
        <v>6</v>
      </c>
      <c r="G486" s="50" t="s">
        <v>530</v>
      </c>
      <c r="H486" s="50">
        <f>VLOOKUP($A486,'[1]ma sp 02'!$A$5:$BD$1101,H$1,0)</f>
        <v>0.12</v>
      </c>
      <c r="I486" s="50">
        <f>VLOOKUP($A486,'[1]ma sp 02'!$A$5:$BD$1101,I$1,0)</f>
        <v>0</v>
      </c>
      <c r="J486" s="50">
        <f>VLOOKUP($A486,'[1]ma sp 02'!$A$5:$BD$1101,J$1,0)</f>
        <v>0.16</v>
      </c>
      <c r="K486" s="50">
        <f>VLOOKUP($A486,'[1]ma sp 02'!$A$5:$BD$1101,K$1,0)</f>
        <v>0.01</v>
      </c>
      <c r="L486" s="50">
        <f>VLOOKUP($A486,'[1]ma sp 02'!$A$5:$BD$1101,L$1,0)</f>
        <v>0.11</v>
      </c>
      <c r="M486" s="50">
        <f>VLOOKUP($A486,'[1]ma sp 02'!$A$5:$BD$1101,M$1,0)</f>
        <v>0.16900000000000001</v>
      </c>
      <c r="N486" s="50">
        <f>VLOOKUP($A486,'[1]ma sp 02'!$A$5:$BD$1101,N$1,0)</f>
        <v>0</v>
      </c>
      <c r="O486" s="50">
        <f>VLOOKUP($A486,'[1]ma sp 02'!$A$5:$BD$1101,O$1,0)</f>
        <v>0</v>
      </c>
      <c r="P486" s="50">
        <f>VLOOKUP($A486,'[1]ma sp 02'!$A$5:$BD$1101,P$1,0)</f>
        <v>0.15</v>
      </c>
      <c r="Q486" s="50">
        <f>VLOOKUP($A486,'[1]ma sp 02'!$A$5:$BD$1101,Q$1,0)</f>
        <v>0</v>
      </c>
      <c r="R486" s="50">
        <f>VLOOKUP($A486,'[1]ma sp 02'!$A$5:$BD$1101,R$1,0)</f>
        <v>0.08</v>
      </c>
      <c r="S486" s="50">
        <f>VLOOKUP($A486,'[1]ma sp 02'!$A$5:$BD$1101,S$1,0)</f>
        <v>0</v>
      </c>
      <c r="T486" s="50">
        <f>VLOOKUP($A486,'[1]ma sp 02'!$A$5:$BD$1101,T$1,0)</f>
        <v>0</v>
      </c>
      <c r="U486" s="50">
        <f>VLOOKUP($A486,'[1]ma sp 02'!$A$5:$BD$1101,U$1,0)</f>
        <v>0</v>
      </c>
      <c r="V486" s="50">
        <f>VLOOKUP($A486,'[1]ma sp 02'!$A$5:$BD$1101,V$1,0)</f>
        <v>0</v>
      </c>
      <c r="W486" s="50">
        <f>VLOOKUP($A486,'[1]ma sp 02'!$A$5:$BD$1101,W$1,0)</f>
        <v>0</v>
      </c>
      <c r="X486" s="50">
        <f t="shared" si="17"/>
        <v>7</v>
      </c>
      <c r="Y486" s="57"/>
      <c r="Z486" s="57"/>
      <c r="AA486" s="57"/>
      <c r="AB486" s="57"/>
      <c r="AC486" s="57"/>
      <c r="AD486" s="57"/>
      <c r="AE486" s="62" t="s">
        <v>1583</v>
      </c>
      <c r="AF486" s="62"/>
      <c r="AG486" s="71">
        <f>(0.015*1.15+0.09*0.925)*0.67</f>
        <v>6.7335000000000006E-2</v>
      </c>
      <c r="AH486" s="63">
        <f>(3/0.75/2)*0.66</f>
        <v>1.32</v>
      </c>
      <c r="AI486" s="62"/>
      <c r="AJ486" s="58">
        <v>9530</v>
      </c>
      <c r="AK486" s="62"/>
      <c r="AL486" s="58">
        <v>3.0000000000000001E-3</v>
      </c>
      <c r="AM486" s="61" t="s">
        <v>1579</v>
      </c>
      <c r="AN486" s="62"/>
      <c r="AO486" s="52" t="s">
        <v>1077</v>
      </c>
      <c r="AP486" s="59" t="str">
        <f>IFERROR(VLOOKUP($A486,[2]Mssp!$A$5:$BE$1463,AP$4+1,0),0)</f>
        <v>F122371-1</v>
      </c>
      <c r="AQ486" s="59" t="str">
        <f>IFERROR(VLOOKUP($A486,[2]Mssp!$A$5:$BE$1463,AQ$4+1,0),0)</f>
        <v>F122371-2</v>
      </c>
      <c r="AR486" s="59" t="str">
        <f>IFERROR(VLOOKUP($A486,[2]Mssp!$A$5:$BE$1463,AR$4+1,0),0)</f>
        <v>F122371G1-3</v>
      </c>
      <c r="AS486" s="59" t="str">
        <f>IFERROR(VLOOKUP($A486,[2]Mssp!$A$5:$BE$1463,AS$4+1,0),0)</f>
        <v>F122371-4</v>
      </c>
      <c r="AT486" s="59" t="str">
        <f>IFERROR(VLOOKUP($A486,[2]Mssp!$A$5:$BE$1463,AT$4+1,0),0)</f>
        <v>F122371-5</v>
      </c>
      <c r="AU486" s="59" t="str">
        <f>IFERROR(VLOOKUP($A486,[2]Mssp!$A$5:$BE$1463,AU$4+1,0),0)</f>
        <v>F122371-6</v>
      </c>
      <c r="AV486" s="59">
        <f>IFERROR(VLOOKUP($A486,[2]Mssp!$A$5:$BE$1463,AV$4+1,0),0)</f>
        <v>0</v>
      </c>
      <c r="AW486" s="59">
        <f>IFERROR(VLOOKUP($A486,[2]Mssp!$A$5:$BE$1463,AW$4+1,0),0)</f>
        <v>0</v>
      </c>
      <c r="AX486" s="59">
        <f>IFERROR(VLOOKUP($A486,[2]Mssp!$A$5:$BE$1463,AX$4+1,0),0)</f>
        <v>0</v>
      </c>
      <c r="AY486" s="59" t="str">
        <f>IFERROR(VLOOKUP($A486,[2]Mssp!$A$5:$BE$1463,AY$4+2,0),0)</f>
        <v>422x750</v>
      </c>
      <c r="AZ486" s="59" t="str">
        <f>IFERROR(VLOOKUP($A486,[2]Mssp!$A$5:$BE$1463,AZ$4+2,0),0)</f>
        <v>U1</v>
      </c>
      <c r="BA486" s="60">
        <v>1000</v>
      </c>
      <c r="BB486" s="61" t="s">
        <v>1576</v>
      </c>
      <c r="BC486" s="84"/>
      <c r="BD486" s="9"/>
      <c r="BE486" s="9"/>
      <c r="BF486" s="9"/>
      <c r="BG486" s="9"/>
      <c r="BH486" s="9"/>
      <c r="BI486" s="9"/>
      <c r="BJ486" s="9"/>
      <c r="BK486" s="9"/>
      <c r="BL486" s="9"/>
      <c r="BM486" s="9"/>
      <c r="BN486" s="9"/>
      <c r="BO486" s="9"/>
      <c r="BP486" s="9"/>
      <c r="BQ486" s="9"/>
      <c r="BR486" s="9"/>
      <c r="BS486" s="9"/>
      <c r="BT486" s="9"/>
      <c r="BU486" s="9"/>
      <c r="BV486" s="9"/>
      <c r="BW486" s="9"/>
      <c r="BX486" s="9"/>
      <c r="BY486" s="9"/>
      <c r="BZ486" s="9"/>
      <c r="CA486" s="9"/>
      <c r="CB486" s="9"/>
      <c r="CC486" s="9"/>
      <c r="CD486" s="9"/>
      <c r="CE486" s="9"/>
      <c r="CF486" s="9"/>
      <c r="CG486" s="9"/>
      <c r="CH486" s="9"/>
      <c r="CI486" s="9"/>
      <c r="CJ486" s="9"/>
      <c r="CK486" s="9"/>
      <c r="CL486" s="9"/>
      <c r="CM486" s="9"/>
      <c r="CN486" s="9"/>
      <c r="CO486" s="9"/>
      <c r="CP486" s="9"/>
    </row>
    <row r="487" spans="1:94" ht="30" x14ac:dyDescent="0.25">
      <c r="A487" s="50" t="s">
        <v>1584</v>
      </c>
      <c r="B487" s="122" t="s">
        <v>1585</v>
      </c>
      <c r="C487" s="50"/>
      <c r="D487" s="57">
        <v>1</v>
      </c>
      <c r="E487" s="62" t="s">
        <v>1586</v>
      </c>
      <c r="F487" s="57">
        <v>6</v>
      </c>
      <c r="G487" s="50" t="s">
        <v>530</v>
      </c>
      <c r="H487" s="50">
        <f>VLOOKUP($A487,'[1]ma sp 02'!$A$5:$BD$1101,H$1,0)</f>
        <v>0.14000000000000001</v>
      </c>
      <c r="I487" s="50">
        <f>VLOOKUP($A487,'[1]ma sp 02'!$A$5:$BD$1101,I$1,0)</f>
        <v>0</v>
      </c>
      <c r="J487" s="50">
        <f>VLOOKUP($A487,'[1]ma sp 02'!$A$5:$BD$1101,J$1,0)</f>
        <v>0.35</v>
      </c>
      <c r="K487" s="50">
        <f>VLOOKUP($A487,'[1]ma sp 02'!$A$5:$BD$1101,K$1,0)</f>
        <v>0.15</v>
      </c>
      <c r="L487" s="50">
        <f>VLOOKUP($A487,'[1]ma sp 02'!$A$5:$BD$1101,L$1,0)</f>
        <v>0.14000000000000001</v>
      </c>
      <c r="M487" s="50">
        <f>VLOOKUP($A487,'[1]ma sp 02'!$A$5:$BD$1101,M$1,0)</f>
        <v>0</v>
      </c>
      <c r="N487" s="50">
        <f>VLOOKUP($A487,'[1]ma sp 02'!$A$5:$BD$1101,N$1,0)</f>
        <v>0</v>
      </c>
      <c r="O487" s="50">
        <f>VLOOKUP($A487,'[1]ma sp 02'!$A$5:$BD$1101,O$1,0)</f>
        <v>0</v>
      </c>
      <c r="P487" s="50">
        <f>VLOOKUP($A487,'[1]ma sp 02'!$A$5:$BD$1101,P$1,0)</f>
        <v>3.61</v>
      </c>
      <c r="Q487" s="50">
        <f>VLOOKUP($A487,'[1]ma sp 02'!$A$5:$BD$1101,Q$1,0)</f>
        <v>0</v>
      </c>
      <c r="R487" s="50">
        <f>VLOOKUP($A487,'[1]ma sp 02'!$A$5:$BD$1101,R$1,0)</f>
        <v>0.01</v>
      </c>
      <c r="S487" s="50">
        <f>VLOOKUP($A487,'[1]ma sp 02'!$A$5:$BD$1101,S$1,0)</f>
        <v>0</v>
      </c>
      <c r="T487" s="50">
        <f>VLOOKUP($A487,'[1]ma sp 02'!$A$5:$BD$1101,T$1,0)</f>
        <v>0</v>
      </c>
      <c r="U487" s="50">
        <f>VLOOKUP($A487,'[1]ma sp 02'!$A$5:$BD$1101,U$1,0)</f>
        <v>0</v>
      </c>
      <c r="V487" s="50">
        <f>VLOOKUP($A487,'[1]ma sp 02'!$A$5:$BD$1101,V$1,0)</f>
        <v>0</v>
      </c>
      <c r="W487" s="50">
        <f>VLOOKUP($A487,'[1]ma sp 02'!$A$5:$BD$1101,W$1,0)</f>
        <v>0</v>
      </c>
      <c r="X487" s="50">
        <f t="shared" si="17"/>
        <v>6</v>
      </c>
      <c r="Y487" s="57"/>
      <c r="Z487" s="57"/>
      <c r="AA487" s="57"/>
      <c r="AB487" s="57"/>
      <c r="AC487" s="57"/>
      <c r="AD487" s="57"/>
      <c r="AE487" s="62" t="s">
        <v>1587</v>
      </c>
      <c r="AF487" s="62"/>
      <c r="AG487" s="71">
        <f>(0.015*1.15+0.09*0.925)*0.745</f>
        <v>7.4872500000000008E-2</v>
      </c>
      <c r="AH487" s="63">
        <f>(3/0.75/2)*0.735</f>
        <v>1.47</v>
      </c>
      <c r="AI487" s="62"/>
      <c r="AJ487" s="58">
        <v>9530</v>
      </c>
      <c r="AK487" s="62"/>
      <c r="AL487" s="58">
        <v>3.0000000000000001E-3</v>
      </c>
      <c r="AM487" s="61" t="s">
        <v>1579</v>
      </c>
      <c r="AN487" s="62"/>
      <c r="AO487" s="52" t="s">
        <v>1077</v>
      </c>
      <c r="AP487" s="59" t="str">
        <f>IFERROR(VLOOKUP($A487,[2]Mssp!$A$5:$BE$1463,AP$4+1,0),0)</f>
        <v>F122372-1</v>
      </c>
      <c r="AQ487" s="59" t="str">
        <f>IFERROR(VLOOKUP($A487,[2]Mssp!$A$5:$BE$1463,AQ$4+1,0),0)</f>
        <v>F122372-2</v>
      </c>
      <c r="AR487" s="59" t="str">
        <f>IFERROR(VLOOKUP($A487,[2]Mssp!$A$5:$BE$1463,AR$4+1,0),0)</f>
        <v>F122372G1-3</v>
      </c>
      <c r="AS487" s="59" t="str">
        <f>IFERROR(VLOOKUP($A487,[2]Mssp!$A$5:$BE$1463,AS$4+1,0),0)</f>
        <v>F122372-4</v>
      </c>
      <c r="AT487" s="59" t="str">
        <f>IFERROR(VLOOKUP($A487,[2]Mssp!$A$5:$BE$1463,AT$4+1,0),0)</f>
        <v>F122372-5</v>
      </c>
      <c r="AU487" s="59" t="str">
        <f>IFERROR(VLOOKUP($A487,[2]Mssp!$A$5:$BE$1463,AU$4+1,0),0)</f>
        <v>F122372-6</v>
      </c>
      <c r="AV487" s="59">
        <f>IFERROR(VLOOKUP($A487,[2]Mssp!$A$5:$BE$1463,AV$4+1,0),0)</f>
        <v>0</v>
      </c>
      <c r="AW487" s="59">
        <f>IFERROR(VLOOKUP($A487,[2]Mssp!$A$5:$BE$1463,AW$4+1,0),0)</f>
        <v>0</v>
      </c>
      <c r="AX487" s="59">
        <f>IFERROR(VLOOKUP($A487,[2]Mssp!$A$5:$BE$1463,AX$4+1,0),0)</f>
        <v>0</v>
      </c>
      <c r="AY487" s="59" t="str">
        <f>IFERROR(VLOOKUP($A487,[2]Mssp!$A$5:$BE$1463,AY$4+2,0),0)</f>
        <v>480x860</v>
      </c>
      <c r="AZ487" s="59" t="str">
        <f>IFERROR(VLOOKUP($A487,[2]Mssp!$A$5:$BE$1463,AZ$4+2,0),0)</f>
        <v>U1</v>
      </c>
      <c r="BA487" s="60">
        <v>1000</v>
      </c>
      <c r="BB487" s="61" t="s">
        <v>1576</v>
      </c>
      <c r="BC487" s="84"/>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c r="CC487" s="9"/>
      <c r="CD487" s="9"/>
      <c r="CE487" s="9"/>
      <c r="CF487" s="9"/>
      <c r="CG487" s="9"/>
      <c r="CH487" s="9"/>
      <c r="CI487" s="9"/>
      <c r="CJ487" s="9"/>
      <c r="CK487" s="9"/>
      <c r="CL487" s="9"/>
      <c r="CM487" s="9"/>
      <c r="CN487" s="9"/>
      <c r="CO487" s="9"/>
      <c r="CP487" s="9"/>
    </row>
    <row r="488" spans="1:94" ht="45" x14ac:dyDescent="0.25">
      <c r="A488" s="50" t="s">
        <v>1588</v>
      </c>
      <c r="B488" s="122" t="s">
        <v>1589</v>
      </c>
      <c r="C488" s="50"/>
      <c r="D488" s="57">
        <v>5</v>
      </c>
      <c r="E488" s="62" t="s">
        <v>315</v>
      </c>
      <c r="F488" s="57">
        <v>7</v>
      </c>
      <c r="G488" s="50" t="s">
        <v>530</v>
      </c>
      <c r="H488" s="50">
        <f>VLOOKUP($A488,'[1]ma sp 02'!$A$5:$BD$1101,H$1,0)</f>
        <v>0</v>
      </c>
      <c r="I488" s="50">
        <f>VLOOKUP($A488,'[1]ma sp 02'!$A$5:$BD$1101,I$1,0)</f>
        <v>0.79</v>
      </c>
      <c r="J488" s="50">
        <f>VLOOKUP($A488,'[1]ma sp 02'!$A$5:$BD$1101,J$1,0)</f>
        <v>0.23</v>
      </c>
      <c r="K488" s="50">
        <f>VLOOKUP($A488,'[1]ma sp 02'!$A$5:$BD$1101,K$1,0)</f>
        <v>0.01</v>
      </c>
      <c r="L488" s="50">
        <f>VLOOKUP($A488,'[1]ma sp 02'!$A$5:$BD$1101,L$1,0)</f>
        <v>0.01</v>
      </c>
      <c r="M488" s="50">
        <f>VLOOKUP($A488,'[1]ma sp 02'!$A$5:$BD$1101,M$1,0)</f>
        <v>0.45900000000000002</v>
      </c>
      <c r="N488" s="50">
        <f>VLOOKUP($A488,'[1]ma sp 02'!$A$5:$BD$1101,N$1,0)</f>
        <v>2</v>
      </c>
      <c r="O488" s="50">
        <f>VLOOKUP($A488,'[1]ma sp 02'!$A$5:$BD$1101,O$1,0)</f>
        <v>0.19</v>
      </c>
      <c r="P488" s="50">
        <f>VLOOKUP($A488,'[1]ma sp 02'!$A$5:$BD$1101,P$1,0)</f>
        <v>0.08</v>
      </c>
      <c r="Q488" s="50">
        <f>VLOOKUP($A488,'[1]ma sp 02'!$A$5:$BD$1101,Q$1,0)</f>
        <v>0</v>
      </c>
      <c r="R488" s="50">
        <f>VLOOKUP($A488,'[1]ma sp 02'!$A$5:$BD$1101,R$1,0)</f>
        <v>0</v>
      </c>
      <c r="S488" s="50">
        <f>VLOOKUP($A488,'[1]ma sp 02'!$A$5:$BD$1101,S$1,0)</f>
        <v>0</v>
      </c>
      <c r="T488" s="50">
        <f>VLOOKUP($A488,'[1]ma sp 02'!$A$5:$BD$1101,T$1,0)</f>
        <v>0</v>
      </c>
      <c r="U488" s="50">
        <f>VLOOKUP($A488,'[1]ma sp 02'!$A$5:$BD$1101,U$1,0)</f>
        <v>0</v>
      </c>
      <c r="V488" s="50">
        <f>VLOOKUP($A488,'[1]ma sp 02'!$A$5:$BD$1101,V$1,0)</f>
        <v>0</v>
      </c>
      <c r="W488" s="50">
        <f>VLOOKUP($A488,'[1]ma sp 02'!$A$5:$BD$1101,W$1,0)</f>
        <v>0</v>
      </c>
      <c r="X488" s="50">
        <f t="shared" si="17"/>
        <v>8</v>
      </c>
      <c r="Y488" s="62"/>
      <c r="Z488" s="62"/>
      <c r="AA488" s="62"/>
      <c r="AB488" s="62"/>
      <c r="AC488" s="62"/>
      <c r="AD488" s="62"/>
      <c r="AE488" s="62" t="s">
        <v>525</v>
      </c>
      <c r="AF488" s="62" t="s">
        <v>317</v>
      </c>
      <c r="AG488" s="53">
        <f>(0.012*1.4+0.012*1.4+0.045*0.925)*0.82</f>
        <v>6.1684499999999996E-2</v>
      </c>
      <c r="AH488" s="54">
        <f>(2.3/0.75/2)*0.81</f>
        <v>1.242</v>
      </c>
      <c r="AI488" s="54">
        <f>(3/0.75/2)*0.81</f>
        <v>1.62</v>
      </c>
      <c r="AJ488" s="62">
        <v>9530</v>
      </c>
      <c r="AK488" s="62">
        <v>9530</v>
      </c>
      <c r="AL488" s="58" t="s">
        <v>1590</v>
      </c>
      <c r="AM488" s="61" t="s">
        <v>60</v>
      </c>
      <c r="AN488" s="62">
        <v>115</v>
      </c>
      <c r="AO488" s="61" t="s">
        <v>332</v>
      </c>
      <c r="AP488" s="59" t="str">
        <f>IFERROR(VLOOKUP($A488,[2]Mssp!$A$5:$BE$1463,AP$4+1,0),0)</f>
        <v>1902346-1</v>
      </c>
      <c r="AQ488" s="59" t="str">
        <f>IFERROR(VLOOKUP($A488,[2]Mssp!$A$5:$BE$1463,AQ$4+1,0),0)</f>
        <v>1902346-2</v>
      </c>
      <c r="AR488" s="59" t="str">
        <f>IFERROR(VLOOKUP($A488,[2]Mssp!$A$5:$BE$1463,AR$4+1,0),0)</f>
        <v>1902346-3</v>
      </c>
      <c r="AS488" s="59" t="str">
        <f>IFERROR(VLOOKUP($A488,[2]Mssp!$A$5:$BE$1463,AS$4+1,0),0)</f>
        <v>1902346-4</v>
      </c>
      <c r="AT488" s="59" t="str">
        <f>IFERROR(VLOOKUP($A488,[2]Mssp!$A$5:$BE$1463,AT$4+1,0),0)</f>
        <v>1902346-5</v>
      </c>
      <c r="AU488" s="59" t="str">
        <f>IFERROR(VLOOKUP($A488,[2]Mssp!$A$5:$BE$1463,AU$4+1,0),0)</f>
        <v>1902346-6</v>
      </c>
      <c r="AV488" s="59" t="str">
        <f>IFERROR(VLOOKUP($A488,[2]Mssp!$A$5:$BE$1463,AV$4+1,0),0)</f>
        <v>1902346-7</v>
      </c>
      <c r="AW488" s="59">
        <f>IFERROR(VLOOKUP($A488,[2]Mssp!$A$5:$BE$1463,AW$4+1,0),0)</f>
        <v>0</v>
      </c>
      <c r="AX488" s="59">
        <f>IFERROR(VLOOKUP($A488,[2]Mssp!$A$5:$BE$1463,AX$4+1,0),0)</f>
        <v>0</v>
      </c>
      <c r="AY488" s="59" t="str">
        <f>IFERROR(VLOOKUP($A488,[2]Mssp!$A$5:$BE$1463,AY$4+2,0),0)</f>
        <v>460x860</v>
      </c>
      <c r="AZ488" s="59" t="str">
        <f>IFERROR(VLOOKUP($A488,[2]Mssp!$A$5:$BE$1463,AZ$4+2,0),0)</f>
        <v>F4</v>
      </c>
      <c r="BA488" s="60">
        <v>18000</v>
      </c>
      <c r="BB488" s="61" t="s">
        <v>223</v>
      </c>
      <c r="BC488" s="84"/>
      <c r="BD488" s="9"/>
      <c r="BE488" s="9"/>
      <c r="BF488" s="9"/>
      <c r="BG488" s="9"/>
      <c r="BH488" s="9"/>
      <c r="BI488" s="9"/>
      <c r="BJ488" s="9"/>
      <c r="BK488" s="9"/>
      <c r="BL488" s="9"/>
      <c r="BM488" s="9"/>
      <c r="BN488" s="9"/>
      <c r="BO488" s="9"/>
      <c r="BP488" s="9"/>
      <c r="BQ488" s="9"/>
      <c r="BR488" s="9"/>
      <c r="BS488" s="9"/>
      <c r="BT488" s="9"/>
      <c r="BU488" s="9"/>
      <c r="BV488" s="9"/>
      <c r="BW488" s="9"/>
      <c r="BX488" s="9"/>
      <c r="BY488" s="9"/>
      <c r="BZ488" s="9"/>
      <c r="CA488" s="9"/>
      <c r="CB488" s="9"/>
      <c r="CC488" s="9"/>
      <c r="CD488" s="9"/>
      <c r="CE488" s="9"/>
      <c r="CF488" s="9"/>
      <c r="CG488" s="9"/>
      <c r="CH488" s="9"/>
      <c r="CI488" s="9"/>
      <c r="CJ488" s="9"/>
      <c r="CK488" s="9"/>
      <c r="CL488" s="9"/>
      <c r="CM488" s="9"/>
      <c r="CN488" s="9"/>
      <c r="CO488" s="9"/>
      <c r="CP488" s="9"/>
    </row>
    <row r="489" spans="1:94" ht="45" x14ac:dyDescent="0.25">
      <c r="A489" s="50" t="s">
        <v>1591</v>
      </c>
      <c r="B489" s="122" t="s">
        <v>1592</v>
      </c>
      <c r="C489" s="50"/>
      <c r="D489" s="57"/>
      <c r="E489" s="62" t="s">
        <v>636</v>
      </c>
      <c r="F489" s="57">
        <v>7</v>
      </c>
      <c r="G489" s="50" t="s">
        <v>530</v>
      </c>
      <c r="H489" s="50">
        <f>VLOOKUP($A489,'[1]ma sp 02'!$A$5:$BD$1101,H$1,0)</f>
        <v>0.1</v>
      </c>
      <c r="I489" s="50">
        <f>VLOOKUP($A489,'[1]ma sp 02'!$A$5:$BD$1101,I$1,0)</f>
        <v>2.0099999999999998</v>
      </c>
      <c r="J489" s="50">
        <f>VLOOKUP($A489,'[1]ma sp 02'!$A$5:$BD$1101,J$1,0)</f>
        <v>0.43</v>
      </c>
      <c r="K489" s="50">
        <f>VLOOKUP($A489,'[1]ma sp 02'!$A$5:$BD$1101,K$1,0)</f>
        <v>0.64</v>
      </c>
      <c r="L489" s="50">
        <f>VLOOKUP($A489,'[1]ma sp 02'!$A$5:$BD$1101,L$1,0)</f>
        <v>2.84</v>
      </c>
      <c r="M489" s="50">
        <f>VLOOKUP($A489,'[1]ma sp 02'!$A$5:$BD$1101,M$1,0)</f>
        <v>0.67300000000000004</v>
      </c>
      <c r="N489" s="50">
        <f>VLOOKUP($A489,'[1]ma sp 02'!$A$5:$BD$1101,N$1,0)</f>
        <v>0</v>
      </c>
      <c r="O489" s="50">
        <f>VLOOKUP($A489,'[1]ma sp 02'!$A$5:$BD$1101,O$1,0)</f>
        <v>0</v>
      </c>
      <c r="P489" s="50">
        <f>VLOOKUP($A489,'[1]ma sp 02'!$A$5:$BD$1101,P$1,0)</f>
        <v>0.01</v>
      </c>
      <c r="Q489" s="50">
        <f>VLOOKUP($A489,'[1]ma sp 02'!$A$5:$BD$1101,Q$1,0)</f>
        <v>0</v>
      </c>
      <c r="R489" s="50">
        <f>VLOOKUP($A489,'[1]ma sp 02'!$A$5:$BD$1101,R$1,0)</f>
        <v>0</v>
      </c>
      <c r="S489" s="50">
        <f>VLOOKUP($A489,'[1]ma sp 02'!$A$5:$BD$1101,S$1,0)</f>
        <v>0</v>
      </c>
      <c r="T489" s="50">
        <f>VLOOKUP($A489,'[1]ma sp 02'!$A$5:$BD$1101,T$1,0)</f>
        <v>0</v>
      </c>
      <c r="U489" s="50">
        <f>VLOOKUP($A489,'[1]ma sp 02'!$A$5:$BD$1101,U$1,0)</f>
        <v>0</v>
      </c>
      <c r="V489" s="50">
        <f>VLOOKUP($A489,'[1]ma sp 02'!$A$5:$BD$1101,V$1,0)</f>
        <v>0</v>
      </c>
      <c r="W489" s="50">
        <f>VLOOKUP($A489,'[1]ma sp 02'!$A$5:$BD$1101,W$1,0)</f>
        <v>0</v>
      </c>
      <c r="X489" s="50">
        <f t="shared" si="17"/>
        <v>7</v>
      </c>
      <c r="Y489" s="62"/>
      <c r="Z489" s="62"/>
      <c r="AA489" s="62"/>
      <c r="AB489" s="62"/>
      <c r="AC489" s="62"/>
      <c r="AD489" s="62"/>
      <c r="AE489" s="62" t="s">
        <v>1593</v>
      </c>
      <c r="AF489" s="62" t="s">
        <v>321</v>
      </c>
      <c r="AG489" s="71">
        <f>(0.012*1.4+0.012*1.4+0.075*0.925)*0.74</f>
        <v>7.6201500000000005E-2</v>
      </c>
      <c r="AH489" s="63">
        <f>(2.3/0.75/2)*0.73</f>
        <v>1.1193333333333333</v>
      </c>
      <c r="AI489" s="63">
        <f>(3/0.75/2)*0.73</f>
        <v>1.46</v>
      </c>
      <c r="AJ489" s="58">
        <v>9530</v>
      </c>
      <c r="AK489" s="58">
        <v>9530</v>
      </c>
      <c r="AL489" s="58" t="s">
        <v>117</v>
      </c>
      <c r="AM489" s="52" t="s">
        <v>60</v>
      </c>
      <c r="AN489" s="62">
        <v>270</v>
      </c>
      <c r="AO489" s="61" t="s">
        <v>332</v>
      </c>
      <c r="AP489" s="59" t="str">
        <f>IFERROR(VLOOKUP($A489,[2]Mssp!$A$5:$BE$1463,AP$4+1,0),0)</f>
        <v>20110752-1</v>
      </c>
      <c r="AQ489" s="59" t="str">
        <f>IFERROR(VLOOKUP($A489,[2]Mssp!$A$5:$BE$1463,AQ$4+1,0),0)</f>
        <v>17041138-2</v>
      </c>
      <c r="AR489" s="59" t="str">
        <f>IFERROR(VLOOKUP($A489,[2]Mssp!$A$5:$BE$1463,AR$4+1,0),0)</f>
        <v>17041138-3</v>
      </c>
      <c r="AS489" s="59" t="str">
        <f>IFERROR(VLOOKUP($A489,[2]Mssp!$A$5:$BE$1463,AS$4+1,0),0)</f>
        <v>17041138-4</v>
      </c>
      <c r="AT489" s="59" t="str">
        <f>IFERROR(VLOOKUP($A489,[2]Mssp!$A$5:$BE$1463,AT$4+1,0),0)</f>
        <v>17041138-5</v>
      </c>
      <c r="AU489" s="59" t="str">
        <f>IFERROR(VLOOKUP($A489,[2]Mssp!$A$5:$BE$1463,AU$4+1,0),0)</f>
        <v>17041138-6</v>
      </c>
      <c r="AV489" s="59" t="str">
        <f>IFERROR(VLOOKUP($A489,[2]Mssp!$A$5:$BE$1463,AV$4+1,0),0)</f>
        <v>17041138-7</v>
      </c>
      <c r="AW489" s="59">
        <f>IFERROR(VLOOKUP($A489,[2]Mssp!$A$5:$BE$1463,AW$4+1,0),0)</f>
        <v>0</v>
      </c>
      <c r="AX489" s="59">
        <f>IFERROR(VLOOKUP($A489,[2]Mssp!$A$5:$BE$1463,AX$4+1,0),0)</f>
        <v>0</v>
      </c>
      <c r="AY489" s="59" t="str">
        <f>IFERROR(VLOOKUP($A489,[2]Mssp!$A$5:$BE$1463,AY$4+2,0),0)</f>
        <v>540x850</v>
      </c>
      <c r="AZ489" s="59" t="str">
        <f>IFERROR(VLOOKUP($A489,[2]Mssp!$A$5:$BE$1463,AZ$4+2,0),0)</f>
        <v>F4</v>
      </c>
      <c r="BA489" s="60">
        <v>3500</v>
      </c>
      <c r="BB489" s="61" t="s">
        <v>223</v>
      </c>
      <c r="BC489" s="84"/>
      <c r="BD489" s="9"/>
      <c r="BE489" s="9"/>
      <c r="BF489" s="9"/>
      <c r="BG489" s="9"/>
      <c r="BH489" s="9"/>
      <c r="BI489" s="9"/>
      <c r="BJ489" s="9"/>
      <c r="BK489" s="9"/>
      <c r="BL489" s="9"/>
      <c r="BM489" s="9"/>
      <c r="BN489" s="9"/>
      <c r="BO489" s="9"/>
      <c r="BP489" s="9"/>
      <c r="BQ489" s="9"/>
      <c r="BR489" s="9"/>
      <c r="BS489" s="9"/>
      <c r="BT489" s="9"/>
      <c r="BU489" s="9"/>
      <c r="BV489" s="9"/>
      <c r="BW489" s="9"/>
      <c r="BX489" s="9"/>
      <c r="BY489" s="9"/>
      <c r="BZ489" s="9"/>
      <c r="CA489" s="9"/>
      <c r="CB489" s="9"/>
      <c r="CC489" s="9"/>
      <c r="CD489" s="9"/>
      <c r="CE489" s="9"/>
      <c r="CF489" s="9"/>
      <c r="CG489" s="9"/>
      <c r="CH489" s="9"/>
      <c r="CI489" s="9"/>
      <c r="CJ489" s="9"/>
      <c r="CK489" s="9"/>
      <c r="CL489" s="9"/>
      <c r="CM489" s="9"/>
      <c r="CN489" s="9"/>
      <c r="CO489" s="9"/>
      <c r="CP489" s="9"/>
    </row>
    <row r="490" spans="1:94" ht="45" x14ac:dyDescent="0.25">
      <c r="A490" s="50" t="s">
        <v>1594</v>
      </c>
      <c r="B490" s="122" t="s">
        <v>1595</v>
      </c>
      <c r="C490" s="50"/>
      <c r="D490" s="57"/>
      <c r="E490" s="62" t="s">
        <v>636</v>
      </c>
      <c r="F490" s="57">
        <v>5</v>
      </c>
      <c r="G490" s="50" t="s">
        <v>530</v>
      </c>
      <c r="H490" s="50">
        <f>VLOOKUP($A490,'[1]ma sp 02'!$A$5:$BD$1101,H$1,0)</f>
        <v>0</v>
      </c>
      <c r="I490" s="50">
        <f>VLOOKUP($A490,'[1]ma sp 02'!$A$5:$BD$1101,I$1,0)</f>
        <v>1.64</v>
      </c>
      <c r="J490" s="50">
        <f>VLOOKUP($A490,'[1]ma sp 02'!$A$5:$BD$1101,J$1,0)</f>
        <v>0.44</v>
      </c>
      <c r="K490" s="50">
        <f>VLOOKUP($A490,'[1]ma sp 02'!$A$5:$BD$1101,K$1,0)</f>
        <v>0.44</v>
      </c>
      <c r="L490" s="50">
        <f>VLOOKUP($A490,'[1]ma sp 02'!$A$5:$BD$1101,L$1,0)</f>
        <v>0</v>
      </c>
      <c r="M490" s="50">
        <f>VLOOKUP($A490,'[1]ma sp 02'!$A$5:$BD$1101,M$1,0)</f>
        <v>0</v>
      </c>
      <c r="N490" s="50">
        <f>VLOOKUP($A490,'[1]ma sp 02'!$A$5:$BD$1101,N$1,0)</f>
        <v>2.78</v>
      </c>
      <c r="O490" s="50">
        <f>VLOOKUP($A490,'[1]ma sp 02'!$A$5:$BD$1101,O$1,0)</f>
        <v>0.06</v>
      </c>
      <c r="P490" s="50">
        <f>VLOOKUP($A490,'[1]ma sp 02'!$A$5:$BD$1101,P$1,0)</f>
        <v>0.25</v>
      </c>
      <c r="Q490" s="50">
        <f>VLOOKUP($A490,'[1]ma sp 02'!$A$5:$BD$1101,Q$1,0)</f>
        <v>0</v>
      </c>
      <c r="R490" s="50">
        <f>VLOOKUP($A490,'[1]ma sp 02'!$A$5:$BD$1101,R$1,0)</f>
        <v>0</v>
      </c>
      <c r="S490" s="50">
        <f>VLOOKUP($A490,'[1]ma sp 02'!$A$5:$BD$1101,S$1,0)</f>
        <v>0</v>
      </c>
      <c r="T490" s="50">
        <f>VLOOKUP($A490,'[1]ma sp 02'!$A$5:$BD$1101,T$1,0)</f>
        <v>0</v>
      </c>
      <c r="U490" s="50">
        <f>VLOOKUP($A490,'[1]ma sp 02'!$A$5:$BD$1101,U$1,0)</f>
        <v>0</v>
      </c>
      <c r="V490" s="50">
        <f>VLOOKUP($A490,'[1]ma sp 02'!$A$5:$BD$1101,V$1,0)</f>
        <v>0</v>
      </c>
      <c r="W490" s="50">
        <f>VLOOKUP($A490,'[1]ma sp 02'!$A$5:$BD$1101,W$1,0)</f>
        <v>0</v>
      </c>
      <c r="X490" s="50">
        <f t="shared" si="17"/>
        <v>6</v>
      </c>
      <c r="Y490" s="62"/>
      <c r="Z490" s="62"/>
      <c r="AA490" s="62"/>
      <c r="AB490" s="62"/>
      <c r="AC490" s="62"/>
      <c r="AD490" s="62"/>
      <c r="AE490" s="62" t="s">
        <v>1593</v>
      </c>
      <c r="AF490" s="62" t="s">
        <v>321</v>
      </c>
      <c r="AG490" s="71">
        <f>(0.012*1.4+0.012*1.4+0.075*0.925)*0.74</f>
        <v>7.6201500000000005E-2</v>
      </c>
      <c r="AH490" s="63">
        <f>(2.3/0.75/2)*0.73</f>
        <v>1.1193333333333333</v>
      </c>
      <c r="AI490" s="63">
        <f>(3/0.75/2)*0.73</f>
        <v>1.46</v>
      </c>
      <c r="AJ490" s="58">
        <v>9530</v>
      </c>
      <c r="AK490" s="58">
        <v>9530</v>
      </c>
      <c r="AL490" s="58" t="s">
        <v>117</v>
      </c>
      <c r="AM490" s="52" t="s">
        <v>60</v>
      </c>
      <c r="AN490" s="62">
        <v>270</v>
      </c>
      <c r="AO490" s="61" t="s">
        <v>332</v>
      </c>
      <c r="AP490" s="59" t="str">
        <f>IFERROR(VLOOKUP($A490,[2]Mssp!$A$5:$BE$1463,AP$4+1,0),0)</f>
        <v>F416317-1</v>
      </c>
      <c r="AQ490" s="59" t="str">
        <f>IFERROR(VLOOKUP($A490,[2]Mssp!$A$5:$BE$1463,AQ$4+1,0),0)</f>
        <v>F416317-2</v>
      </c>
      <c r="AR490" s="59" t="str">
        <f>IFERROR(VLOOKUP($A490,[2]Mssp!$A$5:$BE$1463,AR$4+1,0),0)</f>
        <v>F416317-3</v>
      </c>
      <c r="AS490" s="59" t="str">
        <f>IFERROR(VLOOKUP($A490,[2]Mssp!$A$5:$BE$1463,AS$4+1,0),0)</f>
        <v>F416317-4</v>
      </c>
      <c r="AT490" s="59" t="str">
        <f>IFERROR(VLOOKUP($A490,[2]Mssp!$A$5:$BE$1463,AT$4+1,0),0)</f>
        <v>F416317-5</v>
      </c>
      <c r="AU490" s="59">
        <f>IFERROR(VLOOKUP($A490,[2]Mssp!$A$5:$BE$1463,AU$4+1,0),0)</f>
        <v>0</v>
      </c>
      <c r="AV490" s="59">
        <f>IFERROR(VLOOKUP($A490,[2]Mssp!$A$5:$BE$1463,AV$4+1,0),0)</f>
        <v>0</v>
      </c>
      <c r="AW490" s="59">
        <f>IFERROR(VLOOKUP($A490,[2]Mssp!$A$5:$BE$1463,AW$4+1,0),0)</f>
        <v>0</v>
      </c>
      <c r="AX490" s="59">
        <f>IFERROR(VLOOKUP($A490,[2]Mssp!$A$5:$BE$1463,AX$4+1,0),0)</f>
        <v>0</v>
      </c>
      <c r="AY490" s="59" t="str">
        <f>IFERROR(VLOOKUP($A490,[2]Mssp!$A$5:$BE$1463,AY$4+2,0),0)</f>
        <v>540x840</v>
      </c>
      <c r="AZ490" s="59" t="str">
        <f>IFERROR(VLOOKUP($A490,[2]Mssp!$A$5:$BE$1463,AZ$4+2,0),0)</f>
        <v>G1</v>
      </c>
      <c r="BA490" s="60">
        <v>3500</v>
      </c>
      <c r="BB490" s="61" t="s">
        <v>223</v>
      </c>
      <c r="BC490" s="84"/>
      <c r="BD490" s="9"/>
      <c r="BE490" s="9"/>
      <c r="BF490" s="9"/>
      <c r="BG490" s="9"/>
      <c r="BH490" s="9"/>
      <c r="BI490" s="9"/>
      <c r="BJ490" s="9"/>
      <c r="BK490" s="9"/>
      <c r="BL490" s="9"/>
      <c r="BM490" s="9"/>
      <c r="BN490" s="9"/>
      <c r="BO490" s="9"/>
      <c r="BP490" s="9"/>
      <c r="BQ490" s="9"/>
      <c r="BR490" s="9"/>
      <c r="BS490" s="9"/>
      <c r="BT490" s="9"/>
      <c r="BU490" s="9"/>
      <c r="BV490" s="9"/>
      <c r="BW490" s="9"/>
      <c r="BX490" s="9"/>
      <c r="BY490" s="9"/>
      <c r="BZ490" s="9"/>
      <c r="CA490" s="9"/>
      <c r="CB490" s="9"/>
      <c r="CC490" s="9"/>
      <c r="CD490" s="9"/>
      <c r="CE490" s="9"/>
      <c r="CF490" s="9"/>
      <c r="CG490" s="9"/>
      <c r="CH490" s="9"/>
      <c r="CI490" s="9"/>
      <c r="CJ490" s="9"/>
      <c r="CK490" s="9"/>
      <c r="CL490" s="9"/>
      <c r="CM490" s="9"/>
      <c r="CN490" s="9"/>
      <c r="CO490" s="9"/>
      <c r="CP490" s="9"/>
    </row>
    <row r="491" spans="1:94" ht="45" x14ac:dyDescent="0.25">
      <c r="A491" s="50" t="s">
        <v>1596</v>
      </c>
      <c r="B491" s="122" t="s">
        <v>1597</v>
      </c>
      <c r="C491" s="50"/>
      <c r="D491" s="57"/>
      <c r="E491" s="62" t="s">
        <v>636</v>
      </c>
      <c r="F491" s="57">
        <v>7</v>
      </c>
      <c r="G491" s="50" t="s">
        <v>530</v>
      </c>
      <c r="H491" s="50">
        <f>VLOOKUP($A491,'[1]ma sp 02'!$A$5:$BD$1101,H$1,0)</f>
        <v>0.06</v>
      </c>
      <c r="I491" s="50">
        <f>VLOOKUP($A491,'[1]ma sp 02'!$A$5:$BD$1101,I$1,0)</f>
        <v>1.57</v>
      </c>
      <c r="J491" s="50">
        <f>VLOOKUP($A491,'[1]ma sp 02'!$A$5:$BD$1101,J$1,0)</f>
        <v>0.48</v>
      </c>
      <c r="K491" s="50">
        <f>VLOOKUP($A491,'[1]ma sp 02'!$A$5:$BD$1101,K$1,0)</f>
        <v>0.45</v>
      </c>
      <c r="L491" s="50">
        <f>VLOOKUP($A491,'[1]ma sp 02'!$A$5:$BD$1101,L$1,0)</f>
        <v>2.17</v>
      </c>
      <c r="M491" s="50">
        <f>VLOOKUP($A491,'[1]ma sp 02'!$A$5:$BD$1101,M$1,0)</f>
        <v>1.026</v>
      </c>
      <c r="N491" s="50">
        <f>VLOOKUP($A491,'[1]ma sp 02'!$A$5:$BD$1101,N$1,0)</f>
        <v>2.6</v>
      </c>
      <c r="O491" s="50">
        <f>VLOOKUP($A491,'[1]ma sp 02'!$A$5:$BD$1101,O$1,0)</f>
        <v>0.01</v>
      </c>
      <c r="P491" s="50">
        <f>VLOOKUP($A491,'[1]ma sp 02'!$A$5:$BD$1101,P$1,0)</f>
        <v>0</v>
      </c>
      <c r="Q491" s="50">
        <f>VLOOKUP($A491,'[1]ma sp 02'!$A$5:$BD$1101,Q$1,0)</f>
        <v>0</v>
      </c>
      <c r="R491" s="50">
        <f>VLOOKUP($A491,'[1]ma sp 02'!$A$5:$BD$1101,R$1,0)</f>
        <v>0</v>
      </c>
      <c r="S491" s="50">
        <f>VLOOKUP($A491,'[1]ma sp 02'!$A$5:$BD$1101,S$1,0)</f>
        <v>0</v>
      </c>
      <c r="T491" s="50">
        <f>VLOOKUP($A491,'[1]ma sp 02'!$A$5:$BD$1101,T$1,0)</f>
        <v>0</v>
      </c>
      <c r="U491" s="50">
        <f>VLOOKUP($A491,'[1]ma sp 02'!$A$5:$BD$1101,U$1,0)</f>
        <v>0</v>
      </c>
      <c r="V491" s="50">
        <f>VLOOKUP($A491,'[1]ma sp 02'!$A$5:$BD$1101,V$1,0)</f>
        <v>0</v>
      </c>
      <c r="W491" s="50">
        <f>VLOOKUP($A491,'[1]ma sp 02'!$A$5:$BD$1101,W$1,0)</f>
        <v>0</v>
      </c>
      <c r="X491" s="50">
        <f t="shared" si="17"/>
        <v>8</v>
      </c>
      <c r="Y491" s="62"/>
      <c r="Z491" s="62"/>
      <c r="AA491" s="62"/>
      <c r="AB491" s="62"/>
      <c r="AC491" s="62"/>
      <c r="AD491" s="62"/>
      <c r="AE491" s="62" t="s">
        <v>1593</v>
      </c>
      <c r="AF491" s="62" t="s">
        <v>321</v>
      </c>
      <c r="AG491" s="71">
        <f>(0.012*1.4+0.012*1.4+0.075*0.925)*0.74</f>
        <v>7.6201500000000005E-2</v>
      </c>
      <c r="AH491" s="63">
        <f>(2.3/0.75/2)*0.73</f>
        <v>1.1193333333333333</v>
      </c>
      <c r="AI491" s="63">
        <f>(3/0.75/2)*0.73</f>
        <v>1.46</v>
      </c>
      <c r="AJ491" s="58">
        <v>9530</v>
      </c>
      <c r="AK491" s="58">
        <v>9530</v>
      </c>
      <c r="AL491" s="58" t="s">
        <v>117</v>
      </c>
      <c r="AM491" s="52" t="s">
        <v>60</v>
      </c>
      <c r="AN491" s="62">
        <v>270</v>
      </c>
      <c r="AO491" s="61" t="s">
        <v>332</v>
      </c>
      <c r="AP491" s="59" t="str">
        <f>IFERROR(VLOOKUP($A491,[2]Mssp!$A$5:$BE$1463,AP$4+1,0),0)</f>
        <v>F416431-1</v>
      </c>
      <c r="AQ491" s="59" t="str">
        <f>IFERROR(VLOOKUP($A491,[2]Mssp!$A$5:$BE$1463,AQ$4+1,0),0)</f>
        <v>F416431-2</v>
      </c>
      <c r="AR491" s="59" t="str">
        <f>IFERROR(VLOOKUP($A491,[2]Mssp!$A$5:$BE$1463,AR$4+1,0),0)</f>
        <v>F416431-3</v>
      </c>
      <c r="AS491" s="59" t="str">
        <f>IFERROR(VLOOKUP($A491,[2]Mssp!$A$5:$BE$1463,AS$4+1,0),0)</f>
        <v>F416431-4</v>
      </c>
      <c r="AT491" s="59" t="str">
        <f>IFERROR(VLOOKUP($A491,[2]Mssp!$A$5:$BE$1463,AT$4+1,0),0)</f>
        <v>F416431-5</v>
      </c>
      <c r="AU491" s="59" t="str">
        <f>IFERROR(VLOOKUP($A491,[2]Mssp!$A$5:$BE$1463,AU$4+1,0),0)</f>
        <v>F416431-6</v>
      </c>
      <c r="AV491" s="59" t="str">
        <f>IFERROR(VLOOKUP($A491,[2]Mssp!$A$5:$BE$1463,AV$4+1,0),0)</f>
        <v>F416431-7</v>
      </c>
      <c r="AW491" s="59">
        <f>IFERROR(VLOOKUP($A491,[2]Mssp!$A$5:$BE$1463,AW$4+1,0),0)</f>
        <v>0</v>
      </c>
      <c r="AX491" s="59">
        <f>IFERROR(VLOOKUP($A491,[2]Mssp!$A$5:$BE$1463,AX$4+1,0),0)</f>
        <v>0</v>
      </c>
      <c r="AY491" s="59" t="str">
        <f>IFERROR(VLOOKUP($A491,[2]Mssp!$A$5:$BE$1463,AY$4+2,0),0)</f>
        <v>540x840</v>
      </c>
      <c r="AZ491" s="59" t="str">
        <f>IFERROR(VLOOKUP($A491,[2]Mssp!$A$5:$BE$1463,AZ$4+2,0),0)</f>
        <v>G1</v>
      </c>
      <c r="BA491" s="60">
        <v>3500</v>
      </c>
      <c r="BB491" s="61" t="s">
        <v>223</v>
      </c>
      <c r="BC491" s="84"/>
      <c r="BD491" s="9"/>
      <c r="BE491" s="9"/>
      <c r="BF491" s="9"/>
      <c r="BG491" s="9"/>
      <c r="BH491" s="9"/>
      <c r="BI491" s="9"/>
      <c r="BJ491" s="9"/>
      <c r="BK491" s="9"/>
      <c r="BL491" s="9"/>
      <c r="BM491" s="9"/>
      <c r="BN491" s="9"/>
      <c r="BO491" s="9"/>
      <c r="BP491" s="9"/>
      <c r="BQ491" s="9"/>
      <c r="BR491" s="9"/>
      <c r="BS491" s="9"/>
      <c r="BT491" s="9"/>
      <c r="BU491" s="9"/>
      <c r="BV491" s="9"/>
      <c r="BW491" s="9"/>
      <c r="BX491" s="9"/>
      <c r="BY491" s="9"/>
      <c r="BZ491" s="9"/>
      <c r="CA491" s="9"/>
      <c r="CB491" s="9"/>
      <c r="CC491" s="9"/>
      <c r="CD491" s="9"/>
      <c r="CE491" s="9"/>
      <c r="CF491" s="9"/>
      <c r="CG491" s="9"/>
      <c r="CH491" s="9"/>
      <c r="CI491" s="9"/>
      <c r="CJ491" s="9"/>
      <c r="CK491" s="9"/>
      <c r="CL491" s="9"/>
      <c r="CM491" s="9"/>
      <c r="CN491" s="9"/>
      <c r="CO491" s="9"/>
      <c r="CP491" s="9"/>
    </row>
    <row r="492" spans="1:94" ht="45" x14ac:dyDescent="0.25">
      <c r="A492" s="50" t="s">
        <v>1598</v>
      </c>
      <c r="B492" s="122" t="s">
        <v>1599</v>
      </c>
      <c r="C492" s="50"/>
      <c r="D492" s="57">
        <v>1</v>
      </c>
      <c r="E492" s="62" t="s">
        <v>1582</v>
      </c>
      <c r="F492" s="57">
        <v>6</v>
      </c>
      <c r="G492" s="50" t="s">
        <v>530</v>
      </c>
      <c r="H492" s="50">
        <f>VLOOKUP($A492,'[1]ma sp 02'!$A$5:$BD$1101,H$1,0)</f>
        <v>0.25</v>
      </c>
      <c r="I492" s="50">
        <f>VLOOKUP($A492,'[1]ma sp 02'!$A$5:$BD$1101,I$1,0)</f>
        <v>0</v>
      </c>
      <c r="J492" s="50">
        <f>VLOOKUP($A492,'[1]ma sp 02'!$A$5:$BD$1101,J$1,0)</f>
        <v>0.18</v>
      </c>
      <c r="K492" s="50">
        <f>VLOOKUP($A492,'[1]ma sp 02'!$A$5:$BD$1101,K$1,0)</f>
        <v>0.05</v>
      </c>
      <c r="L492" s="50">
        <f>VLOOKUP($A492,'[1]ma sp 02'!$A$5:$BD$1101,L$1,0)</f>
        <v>0.13</v>
      </c>
      <c r="M492" s="50">
        <f>VLOOKUP($A492,'[1]ma sp 02'!$A$5:$BD$1101,M$1,0)</f>
        <v>0</v>
      </c>
      <c r="N492" s="50">
        <f>VLOOKUP($A492,'[1]ma sp 02'!$A$5:$BD$1101,N$1,0)</f>
        <v>0</v>
      </c>
      <c r="O492" s="50">
        <f>VLOOKUP($A492,'[1]ma sp 02'!$A$5:$BD$1101,O$1,0)</f>
        <v>0</v>
      </c>
      <c r="P492" s="50">
        <f>VLOOKUP($A492,'[1]ma sp 02'!$A$5:$BD$1101,P$1,0)</f>
        <v>2.98</v>
      </c>
      <c r="Q492" s="50">
        <f>VLOOKUP($A492,'[1]ma sp 02'!$A$5:$BD$1101,Q$1,0)</f>
        <v>0</v>
      </c>
      <c r="R492" s="50">
        <f>VLOOKUP($A492,'[1]ma sp 02'!$A$5:$BD$1101,R$1,0)</f>
        <v>0.18</v>
      </c>
      <c r="S492" s="50">
        <f>VLOOKUP($A492,'[1]ma sp 02'!$A$5:$BD$1101,S$1,0)</f>
        <v>0</v>
      </c>
      <c r="T492" s="50">
        <f>VLOOKUP($A492,'[1]ma sp 02'!$A$5:$BD$1101,T$1,0)</f>
        <v>0</v>
      </c>
      <c r="U492" s="50">
        <f>VLOOKUP($A492,'[1]ma sp 02'!$A$5:$BD$1101,U$1,0)</f>
        <v>0</v>
      </c>
      <c r="V492" s="50">
        <f>VLOOKUP($A492,'[1]ma sp 02'!$A$5:$BD$1101,V$1,0)</f>
        <v>0</v>
      </c>
      <c r="W492" s="50">
        <f>VLOOKUP($A492,'[1]ma sp 02'!$A$5:$BD$1101,W$1,0)</f>
        <v>0</v>
      </c>
      <c r="X492" s="50">
        <f t="shared" si="17"/>
        <v>6</v>
      </c>
      <c r="Y492" s="62"/>
      <c r="Z492" s="62"/>
      <c r="AA492" s="62"/>
      <c r="AB492" s="62"/>
      <c r="AC492" s="62"/>
      <c r="AD492" s="62"/>
      <c r="AE492" s="62" t="s">
        <v>1583</v>
      </c>
      <c r="AF492" s="62"/>
      <c r="AG492" s="71">
        <f>(0.015*1.4+0.075*0.94)*0.67</f>
        <v>6.1305000000000005E-2</v>
      </c>
      <c r="AH492" s="63">
        <f>(3/0.75/2)*0.66</f>
        <v>1.32</v>
      </c>
      <c r="AI492" s="62"/>
      <c r="AJ492" s="62">
        <v>9530</v>
      </c>
      <c r="AK492" s="62"/>
      <c r="AL492" s="58">
        <v>3.0000000000000001E-3</v>
      </c>
      <c r="AM492" s="61" t="s">
        <v>1579</v>
      </c>
      <c r="AN492" s="62">
        <v>432</v>
      </c>
      <c r="AO492" s="61" t="s">
        <v>1600</v>
      </c>
      <c r="AP492" s="59" t="str">
        <f>IFERROR(VLOOKUP($A492,[2]Mssp!$A$5:$BE$1463,AP$4+1,0),0)</f>
        <v>F122380-1</v>
      </c>
      <c r="AQ492" s="59" t="str">
        <f>IFERROR(VLOOKUP($A492,[2]Mssp!$A$5:$BE$1463,AQ$4+1,0),0)</f>
        <v>F122380-2</v>
      </c>
      <c r="AR492" s="59" t="str">
        <f>IFERROR(VLOOKUP($A492,[2]Mssp!$A$5:$BE$1463,AR$4+1,0),0)</f>
        <v>F122380-3</v>
      </c>
      <c r="AS492" s="59" t="str">
        <f>IFERROR(VLOOKUP($A492,[2]Mssp!$A$5:$BE$1463,AS$4+1,0),0)</f>
        <v>F122380-4</v>
      </c>
      <c r="AT492" s="59" t="str">
        <f>IFERROR(VLOOKUP($A492,[2]Mssp!$A$5:$BE$1463,AT$4+1,0),0)</f>
        <v>F122380-5</v>
      </c>
      <c r="AU492" s="59" t="str">
        <f>IFERROR(VLOOKUP($A492,[2]Mssp!$A$5:$BE$1463,AU$4+1,0),0)</f>
        <v>F122380-6</v>
      </c>
      <c r="AV492" s="59">
        <f>IFERROR(VLOOKUP($A492,[2]Mssp!$A$5:$BE$1463,AV$4+1,0),0)</f>
        <v>0</v>
      </c>
      <c r="AW492" s="59">
        <f>IFERROR(VLOOKUP($A492,[2]Mssp!$A$5:$BE$1463,AW$4+1,0),0)</f>
        <v>0</v>
      </c>
      <c r="AX492" s="59">
        <f>IFERROR(VLOOKUP($A492,[2]Mssp!$A$5:$BE$1463,AX$4+1,0),0)</f>
        <v>0</v>
      </c>
      <c r="AY492" s="59" t="str">
        <f>IFERROR(VLOOKUP($A492,[2]Mssp!$A$5:$BE$1463,AY$4+2,0),0)</f>
        <v>432x750</v>
      </c>
      <c r="AZ492" s="59" t="str">
        <f>IFERROR(VLOOKUP($A492,[2]Mssp!$A$5:$BE$1463,AZ$4+2,0),0)</f>
        <v>Q1</v>
      </c>
      <c r="BA492" s="60">
        <v>1000</v>
      </c>
      <c r="BB492" s="61" t="s">
        <v>1576</v>
      </c>
      <c r="BC492" s="84"/>
      <c r="BD492" s="9"/>
      <c r="BE492" s="9"/>
      <c r="BF492" s="9"/>
      <c r="BG492" s="9"/>
      <c r="BH492" s="9"/>
      <c r="BI492" s="9"/>
      <c r="BJ492" s="9"/>
      <c r="BK492" s="9"/>
      <c r="BL492" s="9"/>
      <c r="BM492" s="9"/>
      <c r="BN492" s="9"/>
      <c r="BO492" s="9"/>
      <c r="BP492" s="9"/>
      <c r="BQ492" s="9"/>
      <c r="BR492" s="9"/>
      <c r="BS492" s="9"/>
      <c r="BT492" s="9"/>
      <c r="BU492" s="9"/>
      <c r="BV492" s="9"/>
      <c r="BW492" s="9"/>
      <c r="BX492" s="9"/>
      <c r="BY492" s="9"/>
      <c r="BZ492" s="9"/>
      <c r="CA492" s="9"/>
      <c r="CB492" s="9"/>
      <c r="CC492" s="9"/>
      <c r="CD492" s="9"/>
      <c r="CE492" s="9"/>
      <c r="CF492" s="9"/>
      <c r="CG492" s="9"/>
      <c r="CH492" s="9"/>
      <c r="CI492" s="9"/>
      <c r="CJ492" s="9"/>
      <c r="CK492" s="9"/>
      <c r="CL492" s="9"/>
      <c r="CM492" s="9"/>
      <c r="CN492" s="9"/>
      <c r="CO492" s="9"/>
      <c r="CP492" s="9"/>
    </row>
    <row r="493" spans="1:94" ht="45" x14ac:dyDescent="0.25">
      <c r="A493" s="58" t="s">
        <v>1601</v>
      </c>
      <c r="B493" s="51" t="s">
        <v>1602</v>
      </c>
      <c r="C493" s="50"/>
      <c r="D493" s="57">
        <v>3</v>
      </c>
      <c r="E493" s="62" t="s">
        <v>636</v>
      </c>
      <c r="F493" s="57">
        <v>6</v>
      </c>
      <c r="G493" s="50" t="s">
        <v>530</v>
      </c>
      <c r="H493" s="50">
        <f>VLOOKUP($A493,'[1]ma sp 02'!$A$5:$BD$1101,H$1,0)</f>
        <v>0.03</v>
      </c>
      <c r="I493" s="50">
        <f>VLOOKUP($A493,'[1]ma sp 02'!$A$5:$BD$1101,I$1,0)</f>
        <v>2.44</v>
      </c>
      <c r="J493" s="50">
        <f>VLOOKUP($A493,'[1]ma sp 02'!$A$5:$BD$1101,J$1,0)</f>
        <v>0.71</v>
      </c>
      <c r="K493" s="50">
        <f>VLOOKUP($A493,'[1]ma sp 02'!$A$5:$BD$1101,K$1,0)</f>
        <v>0.06</v>
      </c>
      <c r="L493" s="50">
        <f>VLOOKUP($A493,'[1]ma sp 02'!$A$5:$BD$1101,L$1,0)</f>
        <v>1</v>
      </c>
      <c r="M493" s="50">
        <f>VLOOKUP($A493,'[1]ma sp 02'!$A$5:$BD$1101,M$1,0)</f>
        <v>0.80100000000000005</v>
      </c>
      <c r="N493" s="50">
        <f>VLOOKUP($A493,'[1]ma sp 02'!$A$5:$BD$1101,N$1,0)</f>
        <v>1.47</v>
      </c>
      <c r="O493" s="50">
        <f>VLOOKUP($A493,'[1]ma sp 02'!$A$5:$BD$1101,O$1,0)</f>
        <v>0.18</v>
      </c>
      <c r="P493" s="50">
        <f>VLOOKUP($A493,'[1]ma sp 02'!$A$5:$BD$1101,P$1,0)</f>
        <v>0</v>
      </c>
      <c r="Q493" s="50">
        <f>VLOOKUP($A493,'[1]ma sp 02'!$A$5:$BD$1101,Q$1,0)</f>
        <v>0</v>
      </c>
      <c r="R493" s="50">
        <f>VLOOKUP($A493,'[1]ma sp 02'!$A$5:$BD$1101,R$1,0)</f>
        <v>0</v>
      </c>
      <c r="S493" s="50">
        <f>VLOOKUP($A493,'[1]ma sp 02'!$A$5:$BD$1101,S$1,0)</f>
        <v>0</v>
      </c>
      <c r="T493" s="50">
        <f>VLOOKUP($A493,'[1]ma sp 02'!$A$5:$BD$1101,T$1,0)</f>
        <v>0</v>
      </c>
      <c r="U493" s="50">
        <f>VLOOKUP($A493,'[1]ma sp 02'!$A$5:$BD$1101,U$1,0)</f>
        <v>0</v>
      </c>
      <c r="V493" s="50">
        <f>VLOOKUP($A493,'[1]ma sp 02'!$A$5:$BD$1101,V$1,0)</f>
        <v>0</v>
      </c>
      <c r="W493" s="50">
        <f>VLOOKUP($A493,'[1]ma sp 02'!$A$5:$BD$1101,W$1,0)</f>
        <v>0</v>
      </c>
      <c r="X493" s="50">
        <f t="shared" si="17"/>
        <v>8</v>
      </c>
      <c r="Y493" s="62"/>
      <c r="Z493" s="62"/>
      <c r="AA493" s="62"/>
      <c r="AB493" s="62"/>
      <c r="AC493" s="62"/>
      <c r="AD493" s="62"/>
      <c r="AE493" s="62" t="s">
        <v>1593</v>
      </c>
      <c r="AF493" s="62" t="s">
        <v>321</v>
      </c>
      <c r="AG493" s="71">
        <f>(0.012*1.4+0.012*1.4+0.075*0.925)*0.74</f>
        <v>7.6201500000000005E-2</v>
      </c>
      <c r="AH493" s="63">
        <f>(2.3/0.75/2)*0.73</f>
        <v>1.1193333333333333</v>
      </c>
      <c r="AI493" s="63">
        <f>(3/0.75/2)*0.73</f>
        <v>1.46</v>
      </c>
      <c r="AJ493" s="58">
        <v>9530</v>
      </c>
      <c r="AK493" s="58">
        <v>9530</v>
      </c>
      <c r="AL493" s="58" t="s">
        <v>117</v>
      </c>
      <c r="AM493" s="52" t="s">
        <v>60</v>
      </c>
      <c r="AN493" s="62">
        <v>270</v>
      </c>
      <c r="AO493" s="61" t="s">
        <v>332</v>
      </c>
      <c r="AP493" s="59" t="str">
        <f>IFERROR(VLOOKUP($A493,[2]Mssp!$A$5:$BE$1463,AP$4+1,0),0)</f>
        <v>1903135-1</v>
      </c>
      <c r="AQ493" s="59" t="str">
        <f>IFERROR(VLOOKUP($A493,[2]Mssp!$A$5:$BE$1463,AQ$4+1,0),0)</f>
        <v>1903135-2</v>
      </c>
      <c r="AR493" s="59" t="str">
        <f>IFERROR(VLOOKUP($A493,[2]Mssp!$A$5:$BE$1463,AR$4+1,0),0)</f>
        <v>1903135-3</v>
      </c>
      <c r="AS493" s="59" t="str">
        <f>IFERROR(VLOOKUP($A493,[2]Mssp!$A$5:$BE$1463,AS$4+1,0),0)</f>
        <v>1903135-4</v>
      </c>
      <c r="AT493" s="59" t="str">
        <f>IFERROR(VLOOKUP($A493,[2]Mssp!$A$5:$BE$1463,AT$4+1,0),0)</f>
        <v>1903135-5</v>
      </c>
      <c r="AU493" s="59" t="str">
        <f>IFERROR(VLOOKUP($A493,[2]Mssp!$A$5:$BE$1463,AU$4+1,0),0)</f>
        <v>1903135-6</v>
      </c>
      <c r="AV493" s="59">
        <f>IFERROR(VLOOKUP($A493,[2]Mssp!$A$5:$BE$1463,AV$4+1,0),0)</f>
        <v>0</v>
      </c>
      <c r="AW493" s="59">
        <f>IFERROR(VLOOKUP($A493,[2]Mssp!$A$5:$BE$1463,AW$4+1,0),0)</f>
        <v>0</v>
      </c>
      <c r="AX493" s="59">
        <f>IFERROR(VLOOKUP($A493,[2]Mssp!$A$5:$BE$1463,AX$4+1,0),0)</f>
        <v>0</v>
      </c>
      <c r="AY493" s="59" t="str">
        <f>IFERROR(VLOOKUP($A493,[2]Mssp!$A$5:$BE$1463,AY$4+2,0),0)</f>
        <v>540x850</v>
      </c>
      <c r="AZ493" s="59" t="str">
        <f>IFERROR(VLOOKUP($A493,[2]Mssp!$A$5:$BE$1463,AZ$4+2,0),0)</f>
        <v>G1</v>
      </c>
      <c r="BA493" s="60">
        <v>3500</v>
      </c>
      <c r="BB493" s="61" t="s">
        <v>223</v>
      </c>
      <c r="BC493" s="84"/>
      <c r="BD493" s="9"/>
      <c r="BE493" s="9"/>
      <c r="BF493" s="9"/>
      <c r="BG493" s="9"/>
      <c r="BH493" s="9"/>
      <c r="BI493" s="9"/>
      <c r="BJ493" s="9"/>
      <c r="BK493" s="9"/>
      <c r="BL493" s="9"/>
      <c r="BM493" s="9"/>
      <c r="BN493" s="9"/>
      <c r="BO493" s="9"/>
      <c r="BP493" s="9"/>
      <c r="BQ493" s="9"/>
      <c r="BR493" s="9"/>
      <c r="BS493" s="9"/>
      <c r="BT493" s="9"/>
      <c r="BU493" s="9"/>
      <c r="BV493" s="9"/>
      <c r="BW493" s="9"/>
      <c r="BX493" s="9"/>
      <c r="BY493" s="9"/>
      <c r="BZ493" s="9"/>
      <c r="CA493" s="9"/>
      <c r="CB493" s="9"/>
      <c r="CC493" s="9"/>
      <c r="CD493" s="9"/>
      <c r="CE493" s="9"/>
      <c r="CF493" s="9"/>
      <c r="CG493" s="9"/>
      <c r="CH493" s="9"/>
      <c r="CI493" s="9"/>
      <c r="CJ493" s="9"/>
      <c r="CK493" s="9"/>
      <c r="CL493" s="9"/>
      <c r="CM493" s="9"/>
      <c r="CN493" s="9"/>
      <c r="CO493" s="9"/>
      <c r="CP493" s="9"/>
    </row>
    <row r="494" spans="1:94" ht="45" x14ac:dyDescent="0.25">
      <c r="A494" s="127" t="s">
        <v>1603</v>
      </c>
      <c r="B494" s="51" t="s">
        <v>1604</v>
      </c>
      <c r="C494" s="50"/>
      <c r="D494" s="57">
        <v>3</v>
      </c>
      <c r="E494" s="62" t="s">
        <v>636</v>
      </c>
      <c r="F494" s="57">
        <v>6</v>
      </c>
      <c r="G494" s="50" t="s">
        <v>530</v>
      </c>
      <c r="H494" s="50">
        <f>VLOOKUP($A494,'[1]ma sp 02'!$A$5:$BD$1101,H$1,0)</f>
        <v>0.03</v>
      </c>
      <c r="I494" s="50">
        <f>VLOOKUP($A494,'[1]ma sp 02'!$A$5:$BD$1101,I$1,0)</f>
        <v>2.42</v>
      </c>
      <c r="J494" s="50">
        <f>VLOOKUP($A494,'[1]ma sp 02'!$A$5:$BD$1101,J$1,0)</f>
        <v>0.7</v>
      </c>
      <c r="K494" s="50">
        <f>VLOOKUP($A494,'[1]ma sp 02'!$A$5:$BD$1101,K$1,0)</f>
        <v>0.06</v>
      </c>
      <c r="L494" s="50">
        <f>VLOOKUP($A494,'[1]ma sp 02'!$A$5:$BD$1101,L$1,0)</f>
        <v>1.02</v>
      </c>
      <c r="M494" s="50">
        <f>VLOOKUP($A494,'[1]ma sp 02'!$A$5:$BD$1101,M$1,0)</f>
        <v>0.78</v>
      </c>
      <c r="N494" s="50">
        <f>VLOOKUP($A494,'[1]ma sp 02'!$A$5:$BD$1101,N$1,0)</f>
        <v>1.46</v>
      </c>
      <c r="O494" s="50">
        <f>VLOOKUP($A494,'[1]ma sp 02'!$A$5:$BD$1101,O$1,0)</f>
        <v>0.17</v>
      </c>
      <c r="P494" s="50">
        <f>VLOOKUP($A494,'[1]ma sp 02'!$A$5:$BD$1101,P$1,0)</f>
        <v>0</v>
      </c>
      <c r="Q494" s="50">
        <f>VLOOKUP($A494,'[1]ma sp 02'!$A$5:$BD$1101,Q$1,0)</f>
        <v>0</v>
      </c>
      <c r="R494" s="50">
        <f>VLOOKUP($A494,'[1]ma sp 02'!$A$5:$BD$1101,R$1,0)</f>
        <v>0</v>
      </c>
      <c r="S494" s="50">
        <f>VLOOKUP($A494,'[1]ma sp 02'!$A$5:$BD$1101,S$1,0)</f>
        <v>0</v>
      </c>
      <c r="T494" s="50">
        <f>VLOOKUP($A494,'[1]ma sp 02'!$A$5:$BD$1101,T$1,0)</f>
        <v>0</v>
      </c>
      <c r="U494" s="50">
        <f>VLOOKUP($A494,'[1]ma sp 02'!$A$5:$BD$1101,U$1,0)</f>
        <v>0</v>
      </c>
      <c r="V494" s="50">
        <f>VLOOKUP($A494,'[1]ma sp 02'!$A$5:$BD$1101,V$1,0)</f>
        <v>0</v>
      </c>
      <c r="W494" s="50">
        <f>VLOOKUP($A494,'[1]ma sp 02'!$A$5:$BD$1101,W$1,0)</f>
        <v>0</v>
      </c>
      <c r="X494" s="50">
        <f t="shared" si="17"/>
        <v>8</v>
      </c>
      <c r="Y494" s="62"/>
      <c r="Z494" s="62"/>
      <c r="AA494" s="62"/>
      <c r="AB494" s="62"/>
      <c r="AC494" s="62"/>
      <c r="AD494" s="62"/>
      <c r="AE494" s="62" t="s">
        <v>1593</v>
      </c>
      <c r="AF494" s="62" t="s">
        <v>321</v>
      </c>
      <c r="AG494" s="71">
        <f>(0.012*1.4+0.012*1.4+0.075*0.925)*0.74</f>
        <v>7.6201500000000005E-2</v>
      </c>
      <c r="AH494" s="63">
        <f>(2.3/0.75/2)*0.73</f>
        <v>1.1193333333333333</v>
      </c>
      <c r="AI494" s="63">
        <f>(3/0.75/2)*0.73</f>
        <v>1.46</v>
      </c>
      <c r="AJ494" s="58">
        <v>9530</v>
      </c>
      <c r="AK494" s="58">
        <v>9530</v>
      </c>
      <c r="AL494" s="58" t="s">
        <v>117</v>
      </c>
      <c r="AM494" s="52" t="s">
        <v>60</v>
      </c>
      <c r="AN494" s="62">
        <v>270</v>
      </c>
      <c r="AO494" s="61" t="s">
        <v>332</v>
      </c>
      <c r="AP494" s="59" t="str">
        <f>IFERROR(VLOOKUP($A494,[2]Mssp!$A$5:$BE$1463,AP$4+1,0),0)</f>
        <v>1903136-1</v>
      </c>
      <c r="AQ494" s="59" t="str">
        <f>IFERROR(VLOOKUP($A494,[2]Mssp!$A$5:$BE$1463,AQ$4+1,0),0)</f>
        <v>1903135-2</v>
      </c>
      <c r="AR494" s="59" t="str">
        <f>IFERROR(VLOOKUP($A494,[2]Mssp!$A$5:$BE$1463,AR$4+1,0),0)</f>
        <v>1903135-3</v>
      </c>
      <c r="AS494" s="59" t="str">
        <f>IFERROR(VLOOKUP($A494,[2]Mssp!$A$5:$BE$1463,AS$4+1,0),0)</f>
        <v>1903135-4</v>
      </c>
      <c r="AT494" s="59" t="str">
        <f>IFERROR(VLOOKUP($A494,[2]Mssp!$A$5:$BE$1463,AT$4+1,0),0)</f>
        <v>1903136-5</v>
      </c>
      <c r="AU494" s="59" t="str">
        <f>IFERROR(VLOOKUP($A494,[2]Mssp!$A$5:$BE$1463,AU$4+1,0),0)</f>
        <v>1903136-6</v>
      </c>
      <c r="AV494" s="59">
        <f>IFERROR(VLOOKUP($A494,[2]Mssp!$A$5:$BE$1463,AV$4+1,0),0)</f>
        <v>0</v>
      </c>
      <c r="AW494" s="59">
        <f>IFERROR(VLOOKUP($A494,[2]Mssp!$A$5:$BE$1463,AW$4+1,0),0)</f>
        <v>0</v>
      </c>
      <c r="AX494" s="59">
        <f>IFERROR(VLOOKUP($A494,[2]Mssp!$A$5:$BE$1463,AX$4+1,0),0)</f>
        <v>0</v>
      </c>
      <c r="AY494" s="59" t="str">
        <f>IFERROR(VLOOKUP($A494,[2]Mssp!$A$5:$BE$1463,AY$4+2,0),0)</f>
        <v>540x850</v>
      </c>
      <c r="AZ494" s="59" t="str">
        <f>IFERROR(VLOOKUP($A494,[2]Mssp!$A$5:$BE$1463,AZ$4+2,0),0)</f>
        <v>G1</v>
      </c>
      <c r="BA494" s="60">
        <v>3500</v>
      </c>
      <c r="BB494" s="61" t="s">
        <v>223</v>
      </c>
      <c r="BC494" s="84"/>
      <c r="BD494" s="9"/>
      <c r="BE494" s="9"/>
      <c r="BF494" s="9"/>
      <c r="BG494" s="9"/>
      <c r="BH494" s="9"/>
      <c r="BI494" s="9"/>
      <c r="BJ494" s="9"/>
      <c r="BK494" s="9"/>
      <c r="BL494" s="9"/>
      <c r="BM494" s="9"/>
      <c r="BN494" s="9"/>
      <c r="BO494" s="9"/>
      <c r="BP494" s="9"/>
      <c r="BQ494" s="9"/>
      <c r="BR494" s="9"/>
      <c r="BS494" s="9"/>
      <c r="BT494" s="9"/>
      <c r="BU494" s="9"/>
      <c r="BV494" s="9"/>
      <c r="BW494" s="9"/>
      <c r="BX494" s="9"/>
      <c r="BY494" s="9"/>
      <c r="BZ494" s="9"/>
      <c r="CA494" s="9"/>
      <c r="CB494" s="9"/>
      <c r="CC494" s="9"/>
      <c r="CD494" s="9"/>
      <c r="CE494" s="9"/>
      <c r="CF494" s="9"/>
      <c r="CG494" s="9"/>
      <c r="CH494" s="9"/>
      <c r="CI494" s="9"/>
      <c r="CJ494" s="9"/>
      <c r="CK494" s="9"/>
      <c r="CL494" s="9"/>
      <c r="CM494" s="9"/>
      <c r="CN494" s="9"/>
      <c r="CO494" s="9"/>
      <c r="CP494" s="9"/>
    </row>
    <row r="495" spans="1:94" ht="45" x14ac:dyDescent="0.25">
      <c r="A495" s="127" t="s">
        <v>1605</v>
      </c>
      <c r="B495" s="51" t="s">
        <v>1606</v>
      </c>
      <c r="C495" s="50"/>
      <c r="D495" s="57">
        <v>2</v>
      </c>
      <c r="E495" s="57" t="s">
        <v>131</v>
      </c>
      <c r="F495" s="57">
        <v>6</v>
      </c>
      <c r="G495" s="50" t="s">
        <v>530</v>
      </c>
      <c r="H495" s="50">
        <f>VLOOKUP($A495,'[1]ma sp 02'!$A$5:$BD$1101,H$1,0)</f>
        <v>0.41</v>
      </c>
      <c r="I495" s="50">
        <f>VLOOKUP($A495,'[1]ma sp 02'!$A$5:$BD$1101,I$1,0)</f>
        <v>1.92</v>
      </c>
      <c r="J495" s="50">
        <f>VLOOKUP($A495,'[1]ma sp 02'!$A$5:$BD$1101,J$1,0)</f>
        <v>0</v>
      </c>
      <c r="K495" s="50">
        <f>VLOOKUP($A495,'[1]ma sp 02'!$A$5:$BD$1101,K$1,0)</f>
        <v>0.68</v>
      </c>
      <c r="L495" s="50">
        <f>VLOOKUP($A495,'[1]ma sp 02'!$A$5:$BD$1101,L$1,0)</f>
        <v>0.82</v>
      </c>
      <c r="M495" s="50">
        <f>VLOOKUP($A495,'[1]ma sp 02'!$A$5:$BD$1101,M$1,0)</f>
        <v>1.01</v>
      </c>
      <c r="N495" s="50">
        <f>VLOOKUP($A495,'[1]ma sp 02'!$A$5:$BD$1101,N$1,0)</f>
        <v>3.78</v>
      </c>
      <c r="O495" s="50">
        <f>VLOOKUP($A495,'[1]ma sp 02'!$A$5:$BD$1101,O$1,0)</f>
        <v>0.41</v>
      </c>
      <c r="P495" s="50">
        <f>VLOOKUP($A495,'[1]ma sp 02'!$A$5:$BD$1101,P$1,0)</f>
        <v>0</v>
      </c>
      <c r="Q495" s="50">
        <f>VLOOKUP($A495,'[1]ma sp 02'!$A$5:$BD$1101,Q$1,0)</f>
        <v>0</v>
      </c>
      <c r="R495" s="50">
        <f>VLOOKUP($A495,'[1]ma sp 02'!$A$5:$BD$1101,R$1,0)</f>
        <v>0</v>
      </c>
      <c r="S495" s="50">
        <f>VLOOKUP($A495,'[1]ma sp 02'!$A$5:$BD$1101,S$1,0)</f>
        <v>0</v>
      </c>
      <c r="T495" s="50">
        <f>VLOOKUP($A495,'[1]ma sp 02'!$A$5:$BD$1101,T$1,0)</f>
        <v>0</v>
      </c>
      <c r="U495" s="50">
        <f>VLOOKUP($A495,'[1]ma sp 02'!$A$5:$BD$1101,U$1,0)</f>
        <v>0</v>
      </c>
      <c r="V495" s="50">
        <f>VLOOKUP($A495,'[1]ma sp 02'!$A$5:$BD$1101,V$1,0)</f>
        <v>0</v>
      </c>
      <c r="W495" s="50">
        <f>VLOOKUP($A495,'[1]ma sp 02'!$A$5:$BD$1101,W$1,0)</f>
        <v>0</v>
      </c>
      <c r="X495" s="50">
        <f t="shared" si="17"/>
        <v>7</v>
      </c>
      <c r="Y495" s="62"/>
      <c r="Z495" s="62"/>
      <c r="AA495" s="62"/>
      <c r="AB495" s="62"/>
      <c r="AC495" s="62"/>
      <c r="AD495" s="62"/>
      <c r="AE495" s="62" t="s">
        <v>78</v>
      </c>
      <c r="AF495" s="62" t="s">
        <v>72</v>
      </c>
      <c r="AG495" s="128">
        <v>5.3428500000000004E-2</v>
      </c>
      <c r="AH495" s="54">
        <v>0.93533333333333324</v>
      </c>
      <c r="AI495" s="62">
        <v>1.22</v>
      </c>
      <c r="AJ495" s="62">
        <v>9530</v>
      </c>
      <c r="AK495" s="62">
        <v>9530</v>
      </c>
      <c r="AL495" s="62" t="s">
        <v>117</v>
      </c>
      <c r="AM495" s="61" t="s">
        <v>60</v>
      </c>
      <c r="AN495" s="62">
        <v>340</v>
      </c>
      <c r="AO495" s="61" t="s">
        <v>332</v>
      </c>
      <c r="AP495" s="59" t="str">
        <f>IFERROR(VLOOKUP($A495,[2]Mssp!$A$5:$BE$1463,AP$4+1,0),0)</f>
        <v>1903137-1</v>
      </c>
      <c r="AQ495" s="59" t="str">
        <f>IFERROR(VLOOKUP($A495,[2]Mssp!$A$5:$BE$1463,AQ$4+1,0),0)</f>
        <v>1903137-2</v>
      </c>
      <c r="AR495" s="59" t="str">
        <f>IFERROR(VLOOKUP($A495,[2]Mssp!$A$5:$BE$1463,AR$4+1,0),0)</f>
        <v>1903137-3</v>
      </c>
      <c r="AS495" s="59" t="str">
        <f>IFERROR(VLOOKUP($A495,[2]Mssp!$A$5:$BE$1463,AS$4+1,0),0)</f>
        <v>1903137-4</v>
      </c>
      <c r="AT495" s="59" t="str">
        <f>IFERROR(VLOOKUP($A495,[2]Mssp!$A$5:$BE$1463,AT$4+1,0),0)</f>
        <v>1903137-5</v>
      </c>
      <c r="AU495" s="59" t="str">
        <f>IFERROR(VLOOKUP($A495,[2]Mssp!$A$5:$BE$1463,AU$4+1,0),0)</f>
        <v>1903137-6</v>
      </c>
      <c r="AV495" s="59">
        <f>IFERROR(VLOOKUP($A495,[2]Mssp!$A$5:$BE$1463,AV$4+1,0),0)</f>
        <v>0</v>
      </c>
      <c r="AW495" s="59">
        <f>IFERROR(VLOOKUP($A495,[2]Mssp!$A$5:$BE$1463,AW$4+1,0),0)</f>
        <v>0</v>
      </c>
      <c r="AX495" s="59">
        <f>IFERROR(VLOOKUP($A495,[2]Mssp!$A$5:$BE$1463,AX$4+1,0),0)</f>
        <v>0</v>
      </c>
      <c r="AY495" s="59" t="str">
        <f>IFERROR(VLOOKUP($A495,[2]Mssp!$A$5:$BE$1463,AY$4+2,0),0)</f>
        <v>680x860</v>
      </c>
      <c r="AZ495" s="59" t="str">
        <f>IFERROR(VLOOKUP($A495,[2]Mssp!$A$5:$BE$1463,AZ$4+2,0),0)</f>
        <v>G1</v>
      </c>
      <c r="BA495" s="60">
        <v>2500</v>
      </c>
      <c r="BB495" s="61" t="s">
        <v>223</v>
      </c>
      <c r="BC495" s="84"/>
      <c r="BD495" s="9"/>
      <c r="BE495" s="9"/>
      <c r="BF495" s="9"/>
      <c r="BG495" s="9"/>
      <c r="BH495" s="9"/>
      <c r="BI495" s="9"/>
      <c r="BJ495" s="9"/>
      <c r="BK495" s="9"/>
      <c r="BL495" s="9"/>
      <c r="BM495" s="9"/>
      <c r="BN495" s="9"/>
      <c r="BO495" s="9"/>
      <c r="BP495" s="9"/>
      <c r="BQ495" s="9"/>
      <c r="BR495" s="9"/>
      <c r="BS495" s="9"/>
      <c r="BT495" s="9"/>
      <c r="BU495" s="9"/>
      <c r="BV495" s="9"/>
      <c r="BW495" s="9"/>
      <c r="BX495" s="9"/>
      <c r="BY495" s="9"/>
      <c r="BZ495" s="9"/>
      <c r="CA495" s="9"/>
      <c r="CB495" s="9"/>
      <c r="CC495" s="9"/>
      <c r="CD495" s="9"/>
      <c r="CE495" s="9"/>
      <c r="CF495" s="9"/>
      <c r="CG495" s="9"/>
      <c r="CH495" s="9"/>
      <c r="CI495" s="9"/>
      <c r="CJ495" s="9"/>
      <c r="CK495" s="9"/>
      <c r="CL495" s="9"/>
      <c r="CM495" s="9"/>
      <c r="CN495" s="9"/>
      <c r="CO495" s="9"/>
      <c r="CP495" s="9"/>
    </row>
    <row r="496" spans="1:94" ht="45" x14ac:dyDescent="0.25">
      <c r="A496" s="127" t="s">
        <v>1607</v>
      </c>
      <c r="B496" s="51" t="s">
        <v>1608</v>
      </c>
      <c r="C496" s="50"/>
      <c r="D496" s="57">
        <v>2</v>
      </c>
      <c r="E496" s="57" t="s">
        <v>131</v>
      </c>
      <c r="F496" s="57">
        <v>6</v>
      </c>
      <c r="G496" s="50" t="s">
        <v>530</v>
      </c>
      <c r="H496" s="50">
        <f>VLOOKUP($A496,'[1]ma sp 02'!$A$5:$BD$1101,H$1,0)</f>
        <v>0</v>
      </c>
      <c r="I496" s="50">
        <f>VLOOKUP($A496,'[1]ma sp 02'!$A$5:$BD$1101,I$1,0)</f>
        <v>2.09</v>
      </c>
      <c r="J496" s="50">
        <f>VLOOKUP($A496,'[1]ma sp 02'!$A$5:$BD$1101,J$1,0)</f>
        <v>0.19</v>
      </c>
      <c r="K496" s="50">
        <f>VLOOKUP($A496,'[1]ma sp 02'!$A$5:$BD$1101,K$1,0)</f>
        <v>0.19</v>
      </c>
      <c r="L496" s="50">
        <f>VLOOKUP($A496,'[1]ma sp 02'!$A$5:$BD$1101,L$1,0)</f>
        <v>0.95</v>
      </c>
      <c r="M496" s="50">
        <f>VLOOKUP($A496,'[1]ma sp 02'!$A$5:$BD$1101,M$1,0)</f>
        <v>0.95199999999999996</v>
      </c>
      <c r="N496" s="50">
        <f>VLOOKUP($A496,'[1]ma sp 02'!$A$5:$BD$1101,N$1,0)</f>
        <v>0.95</v>
      </c>
      <c r="O496" s="50">
        <f>VLOOKUP($A496,'[1]ma sp 02'!$A$5:$BD$1101,O$1,0)</f>
        <v>0.28999999999999998</v>
      </c>
      <c r="P496" s="50">
        <f>VLOOKUP($A496,'[1]ma sp 02'!$A$5:$BD$1101,P$1,0)</f>
        <v>0</v>
      </c>
      <c r="Q496" s="50">
        <f>VLOOKUP($A496,'[1]ma sp 02'!$A$5:$BD$1101,Q$1,0)</f>
        <v>0</v>
      </c>
      <c r="R496" s="50">
        <f>VLOOKUP($A496,'[1]ma sp 02'!$A$5:$BD$1101,R$1,0)</f>
        <v>0</v>
      </c>
      <c r="S496" s="50">
        <f>VLOOKUP($A496,'[1]ma sp 02'!$A$5:$BD$1101,S$1,0)</f>
        <v>0</v>
      </c>
      <c r="T496" s="50">
        <f>VLOOKUP($A496,'[1]ma sp 02'!$A$5:$BD$1101,T$1,0)</f>
        <v>0</v>
      </c>
      <c r="U496" s="50">
        <f>VLOOKUP($A496,'[1]ma sp 02'!$A$5:$BD$1101,U$1,0)</f>
        <v>0</v>
      </c>
      <c r="V496" s="50">
        <f>VLOOKUP($A496,'[1]ma sp 02'!$A$5:$BD$1101,V$1,0)</f>
        <v>0</v>
      </c>
      <c r="W496" s="50">
        <f>VLOOKUP($A496,'[1]ma sp 02'!$A$5:$BD$1101,W$1,0)</f>
        <v>0</v>
      </c>
      <c r="X496" s="50">
        <f t="shared" si="17"/>
        <v>7</v>
      </c>
      <c r="Y496" s="62"/>
      <c r="Z496" s="62"/>
      <c r="AA496" s="62"/>
      <c r="AB496" s="62"/>
      <c r="AC496" s="62"/>
      <c r="AD496" s="62"/>
      <c r="AE496" s="62" t="s">
        <v>78</v>
      </c>
      <c r="AF496" s="62" t="s">
        <v>72</v>
      </c>
      <c r="AG496" s="128">
        <v>5.3428500000000004E-2</v>
      </c>
      <c r="AH496" s="54">
        <v>0.93533333333333324</v>
      </c>
      <c r="AI496" s="62">
        <v>1.22</v>
      </c>
      <c r="AJ496" s="62">
        <v>9530</v>
      </c>
      <c r="AK496" s="62">
        <v>9530</v>
      </c>
      <c r="AL496" s="62" t="s">
        <v>117</v>
      </c>
      <c r="AM496" s="61" t="s">
        <v>60</v>
      </c>
      <c r="AN496" s="62">
        <v>340</v>
      </c>
      <c r="AO496" s="61" t="s">
        <v>332</v>
      </c>
      <c r="AP496" s="59" t="str">
        <f>IFERROR(VLOOKUP($A496,[2]Mssp!$A$5:$BE$1463,AP$4+1,0),0)</f>
        <v>1903138-1</v>
      </c>
      <c r="AQ496" s="59" t="str">
        <f>IFERROR(VLOOKUP($A496,[2]Mssp!$A$5:$BE$1463,AQ$4+1,0),0)</f>
        <v>1903137-2</v>
      </c>
      <c r="AR496" s="59" t="str">
        <f>IFERROR(VLOOKUP($A496,[2]Mssp!$A$5:$BE$1463,AR$4+1,0),0)</f>
        <v>1903137-3</v>
      </c>
      <c r="AS496" s="59" t="str">
        <f>IFERROR(VLOOKUP($A496,[2]Mssp!$A$5:$BE$1463,AS$4+1,0),0)</f>
        <v>1903137-4</v>
      </c>
      <c r="AT496" s="59" t="str">
        <f>IFERROR(VLOOKUP($A496,[2]Mssp!$A$5:$BE$1463,AT$4+1,0),0)</f>
        <v>1903138-5</v>
      </c>
      <c r="AU496" s="59" t="str">
        <f>IFERROR(VLOOKUP($A496,[2]Mssp!$A$5:$BE$1463,AU$4+1,0),0)</f>
        <v>1903138-6</v>
      </c>
      <c r="AV496" s="59">
        <f>IFERROR(VLOOKUP($A496,[2]Mssp!$A$5:$BE$1463,AV$4+1,0),0)</f>
        <v>0</v>
      </c>
      <c r="AW496" s="59">
        <f>IFERROR(VLOOKUP($A496,[2]Mssp!$A$5:$BE$1463,AW$4+1,0),0)</f>
        <v>0</v>
      </c>
      <c r="AX496" s="59">
        <f>IFERROR(VLOOKUP($A496,[2]Mssp!$A$5:$BE$1463,AX$4+1,0),0)</f>
        <v>0</v>
      </c>
      <c r="AY496" s="59" t="str">
        <f>IFERROR(VLOOKUP($A496,[2]Mssp!$A$5:$BE$1463,AY$4+2,0),0)</f>
        <v>680x860</v>
      </c>
      <c r="AZ496" s="59" t="str">
        <f>IFERROR(VLOOKUP($A496,[2]Mssp!$A$5:$BE$1463,AZ$4+2,0),0)</f>
        <v>G1</v>
      </c>
      <c r="BA496" s="60">
        <v>2500</v>
      </c>
      <c r="BB496" s="61" t="s">
        <v>223</v>
      </c>
      <c r="BC496" s="84"/>
      <c r="BD496" s="9"/>
      <c r="BE496" s="9"/>
      <c r="BF496" s="9"/>
      <c r="BG496" s="9"/>
      <c r="BH496" s="9"/>
      <c r="BI496" s="9"/>
      <c r="BJ496" s="9"/>
      <c r="BK496" s="9"/>
      <c r="BL496" s="9"/>
      <c r="BM496" s="9"/>
      <c r="BN496" s="9"/>
      <c r="BO496" s="9"/>
      <c r="BP496" s="9"/>
      <c r="BQ496" s="9"/>
      <c r="BR496" s="9"/>
      <c r="BS496" s="9"/>
      <c r="BT496" s="9"/>
      <c r="BU496" s="9"/>
      <c r="BV496" s="9"/>
      <c r="BW496" s="9"/>
      <c r="BX496" s="9"/>
      <c r="BY496" s="9"/>
      <c r="BZ496" s="9"/>
      <c r="CA496" s="9"/>
      <c r="CB496" s="9"/>
      <c r="CC496" s="9"/>
      <c r="CD496" s="9"/>
      <c r="CE496" s="9"/>
      <c r="CF496" s="9"/>
      <c r="CG496" s="9"/>
      <c r="CH496" s="9"/>
      <c r="CI496" s="9"/>
      <c r="CJ496" s="9"/>
      <c r="CK496" s="9"/>
      <c r="CL496" s="9"/>
      <c r="CM496" s="9"/>
      <c r="CN496" s="9"/>
      <c r="CO496" s="9"/>
      <c r="CP496" s="9"/>
    </row>
    <row r="497" spans="1:94" ht="90" x14ac:dyDescent="0.25">
      <c r="A497" s="127" t="s">
        <v>1609</v>
      </c>
      <c r="B497" s="51" t="s">
        <v>1610</v>
      </c>
      <c r="C497" s="50"/>
      <c r="D497" s="57">
        <v>2</v>
      </c>
      <c r="E497" s="62" t="s">
        <v>1611</v>
      </c>
      <c r="F497" s="57">
        <v>6</v>
      </c>
      <c r="G497" s="50" t="s">
        <v>530</v>
      </c>
      <c r="H497" s="50">
        <f>VLOOKUP($A497,'[1]ma sp 02'!$A$5:$BD$1101,H$1,0)</f>
        <v>0</v>
      </c>
      <c r="I497" s="50">
        <f>VLOOKUP($A497,'[1]ma sp 02'!$A$5:$BD$1101,I$1,0)</f>
        <v>3.11</v>
      </c>
      <c r="J497" s="50">
        <f>VLOOKUP($A497,'[1]ma sp 02'!$A$5:$BD$1101,J$1,0)</f>
        <v>0.66</v>
      </c>
      <c r="K497" s="50">
        <f>VLOOKUP($A497,'[1]ma sp 02'!$A$5:$BD$1101,K$1,0)</f>
        <v>0.56000000000000005</v>
      </c>
      <c r="L497" s="50">
        <f>VLOOKUP($A497,'[1]ma sp 02'!$A$5:$BD$1101,L$1,0)</f>
        <v>0.7</v>
      </c>
      <c r="M497" s="50">
        <f>VLOOKUP($A497,'[1]ma sp 02'!$A$5:$BD$1101,M$1,0)</f>
        <v>0.59</v>
      </c>
      <c r="N497" s="50">
        <f>VLOOKUP($A497,'[1]ma sp 02'!$A$5:$BD$1101,N$1,0)</f>
        <v>1.39</v>
      </c>
      <c r="O497" s="50">
        <f>VLOOKUP($A497,'[1]ma sp 02'!$A$5:$BD$1101,O$1,0)</f>
        <v>0.2</v>
      </c>
      <c r="P497" s="50">
        <f>VLOOKUP($A497,'[1]ma sp 02'!$A$5:$BD$1101,P$1,0)</f>
        <v>0</v>
      </c>
      <c r="Q497" s="50">
        <f>VLOOKUP($A497,'[1]ma sp 02'!$A$5:$BD$1101,Q$1,0)</f>
        <v>0</v>
      </c>
      <c r="R497" s="50">
        <f>VLOOKUP($A497,'[1]ma sp 02'!$A$5:$BD$1101,R$1,0)</f>
        <v>0</v>
      </c>
      <c r="S497" s="50">
        <f>VLOOKUP($A497,'[1]ma sp 02'!$A$5:$BD$1101,S$1,0)</f>
        <v>0</v>
      </c>
      <c r="T497" s="50">
        <f>VLOOKUP($A497,'[1]ma sp 02'!$A$5:$BD$1101,T$1,0)</f>
        <v>0</v>
      </c>
      <c r="U497" s="50">
        <f>VLOOKUP($A497,'[1]ma sp 02'!$A$5:$BD$1101,U$1,0)</f>
        <v>0</v>
      </c>
      <c r="V497" s="50">
        <f>VLOOKUP($A497,'[1]ma sp 02'!$A$5:$BD$1101,V$1,0)</f>
        <v>0</v>
      </c>
      <c r="W497" s="50">
        <f>VLOOKUP($A497,'[1]ma sp 02'!$A$5:$BD$1101,W$1,0)</f>
        <v>0</v>
      </c>
      <c r="X497" s="50">
        <f t="shared" si="17"/>
        <v>7</v>
      </c>
      <c r="Y497" s="62"/>
      <c r="Z497" s="62"/>
      <c r="AA497" s="62"/>
      <c r="AB497" s="62"/>
      <c r="AC497" s="62"/>
      <c r="AD497" s="62"/>
      <c r="AE497" s="62" t="s">
        <v>1612</v>
      </c>
      <c r="AF497" s="52" t="s">
        <v>486</v>
      </c>
      <c r="AG497" s="71">
        <f>(0.012*1.4+0.012*1.4+0.075*0.925)*0.76</f>
        <v>7.8261000000000011E-2</v>
      </c>
      <c r="AH497" s="63">
        <f>(2.3/0.75/2)*0.75</f>
        <v>1.1499999999999999</v>
      </c>
      <c r="AI497" s="63">
        <f>(3/0.75/2)*0.75</f>
        <v>1.5</v>
      </c>
      <c r="AJ497" s="58">
        <v>9530</v>
      </c>
      <c r="AK497" s="58">
        <v>9530</v>
      </c>
      <c r="AL497" s="58" t="s">
        <v>117</v>
      </c>
      <c r="AM497" s="52" t="s">
        <v>60</v>
      </c>
      <c r="AN497" s="62">
        <v>420</v>
      </c>
      <c r="AO497" s="61" t="s">
        <v>332</v>
      </c>
      <c r="AP497" s="59" t="str">
        <f>IFERROR(VLOOKUP($A497,[2]Mssp!$A$5:$BE$1463,AP$4+1,0),0)</f>
        <v>1903139-1</v>
      </c>
      <c r="AQ497" s="59" t="str">
        <f>IFERROR(VLOOKUP($A497,[2]Mssp!$A$5:$BE$1463,AQ$4+1,0),0)</f>
        <v>1903139-2</v>
      </c>
      <c r="AR497" s="59" t="str">
        <f>IFERROR(VLOOKUP($A497,[2]Mssp!$A$5:$BE$1463,AR$4+1,0),0)</f>
        <v>1903139-3</v>
      </c>
      <c r="AS497" s="59" t="str">
        <f>IFERROR(VLOOKUP($A497,[2]Mssp!$A$5:$BE$1463,AS$4+1,0),0)</f>
        <v>1903139-4</v>
      </c>
      <c r="AT497" s="59" t="str">
        <f>IFERROR(VLOOKUP($A497,[2]Mssp!$A$5:$BE$1463,AT$4+1,0),0)</f>
        <v>1903139-5</v>
      </c>
      <c r="AU497" s="59" t="str">
        <f>IFERROR(VLOOKUP($A497,[2]Mssp!$A$5:$BE$1463,AU$4+1,0),0)</f>
        <v>1903139-6</v>
      </c>
      <c r="AV497" s="59">
        <f>IFERROR(VLOOKUP($A497,[2]Mssp!$A$5:$BE$1463,AV$4+1,0),0)</f>
        <v>0</v>
      </c>
      <c r="AW497" s="59">
        <f>IFERROR(VLOOKUP($A497,[2]Mssp!$A$5:$BE$1463,AW$4+1,0),0)</f>
        <v>0</v>
      </c>
      <c r="AX497" s="59">
        <f>IFERROR(VLOOKUP($A497,[2]Mssp!$A$5:$BE$1463,AX$4+1,0),0)</f>
        <v>0</v>
      </c>
      <c r="AY497" s="59" t="str">
        <f>IFERROR(VLOOKUP($A497,[2]Mssp!$A$5:$BE$1463,AY$4+2,0),0)</f>
        <v>420x860</v>
      </c>
      <c r="AZ497" s="59" t="str">
        <f>IFERROR(VLOOKUP($A497,[2]Mssp!$A$5:$BE$1463,AZ$4+2,0),0)</f>
        <v>G1</v>
      </c>
      <c r="BA497" s="60">
        <v>1500</v>
      </c>
      <c r="BB497" s="61" t="s">
        <v>119</v>
      </c>
      <c r="BC497" s="84"/>
      <c r="BD497" s="9"/>
      <c r="BE497" s="9"/>
      <c r="BF497" s="9"/>
      <c r="BG497" s="9"/>
      <c r="BH497" s="9"/>
      <c r="BI497" s="9"/>
      <c r="BJ497" s="9"/>
      <c r="BK497" s="9"/>
      <c r="BL497" s="9"/>
      <c r="BM497" s="9"/>
      <c r="BN497" s="9"/>
      <c r="BO497" s="9"/>
      <c r="BP497" s="9"/>
      <c r="BQ497" s="9"/>
      <c r="BR497" s="9"/>
      <c r="BS497" s="9"/>
      <c r="BT497" s="9"/>
      <c r="BU497" s="9"/>
      <c r="BV497" s="9"/>
      <c r="BW497" s="9"/>
      <c r="BX497" s="9"/>
      <c r="BY497" s="9"/>
      <c r="BZ497" s="9"/>
      <c r="CA497" s="9"/>
      <c r="CB497" s="9"/>
      <c r="CC497" s="9"/>
      <c r="CD497" s="9"/>
      <c r="CE497" s="9"/>
      <c r="CF497" s="9"/>
      <c r="CG497" s="9"/>
      <c r="CH497" s="9"/>
      <c r="CI497" s="9"/>
      <c r="CJ497" s="9"/>
      <c r="CK497" s="9"/>
      <c r="CL497" s="9"/>
      <c r="CM497" s="9"/>
      <c r="CN497" s="9"/>
      <c r="CO497" s="9"/>
      <c r="CP497" s="9"/>
    </row>
    <row r="498" spans="1:94" ht="90" x14ac:dyDescent="0.25">
      <c r="A498" s="127" t="s">
        <v>1613</v>
      </c>
      <c r="B498" s="51" t="s">
        <v>1614</v>
      </c>
      <c r="C498" s="50">
        <f t="shared" ref="C498:C504" si="18">SUM(H498:W498)</f>
        <v>7.6840000000000002</v>
      </c>
      <c r="D498" s="57">
        <v>2</v>
      </c>
      <c r="E498" s="62" t="s">
        <v>1611</v>
      </c>
      <c r="F498" s="57">
        <v>6</v>
      </c>
      <c r="G498" s="50" t="s">
        <v>530</v>
      </c>
      <c r="H498" s="50">
        <f>VLOOKUP($A498,'[1]ma sp 02'!$A$5:$BD$1101,H$1,0)</f>
        <v>0</v>
      </c>
      <c r="I498" s="50">
        <f>VLOOKUP($A498,'[1]ma sp 02'!$A$5:$BD$1101,I$1,0)</f>
        <v>2.46</v>
      </c>
      <c r="J498" s="50">
        <f>VLOOKUP($A498,'[1]ma sp 02'!$A$5:$BD$1101,J$1,0)</f>
        <v>0.54</v>
      </c>
      <c r="K498" s="50">
        <f>VLOOKUP($A498,'[1]ma sp 02'!$A$5:$BD$1101,K$1,0)</f>
        <v>0.31</v>
      </c>
      <c r="L498" s="50">
        <f>VLOOKUP($A498,'[1]ma sp 02'!$A$5:$BD$1101,L$1,0)</f>
        <v>1.69</v>
      </c>
      <c r="M498" s="50">
        <f>VLOOKUP($A498,'[1]ma sp 02'!$A$5:$BD$1101,M$1,0)</f>
        <v>0.61399999999999999</v>
      </c>
      <c r="N498" s="50">
        <f>VLOOKUP($A498,'[1]ma sp 02'!$A$5:$BD$1101,N$1,0)</f>
        <v>1.92</v>
      </c>
      <c r="O498" s="50">
        <f>VLOOKUP($A498,'[1]ma sp 02'!$A$5:$BD$1101,O$1,0)</f>
        <v>0.15</v>
      </c>
      <c r="P498" s="50">
        <f>VLOOKUP($A498,'[1]ma sp 02'!$A$5:$BD$1101,P$1,0)</f>
        <v>0</v>
      </c>
      <c r="Q498" s="50">
        <f>VLOOKUP($A498,'[1]ma sp 02'!$A$5:$BD$1101,Q$1,0)</f>
        <v>0</v>
      </c>
      <c r="R498" s="50">
        <f>VLOOKUP($A498,'[1]ma sp 02'!$A$5:$BD$1101,R$1,0)</f>
        <v>0</v>
      </c>
      <c r="S498" s="50">
        <f>VLOOKUP($A498,'[1]ma sp 02'!$A$5:$BD$1101,S$1,0)</f>
        <v>0</v>
      </c>
      <c r="T498" s="50">
        <f>VLOOKUP($A498,'[1]ma sp 02'!$A$5:$BD$1101,T$1,0)</f>
        <v>0</v>
      </c>
      <c r="U498" s="50">
        <f>VLOOKUP($A498,'[1]ma sp 02'!$A$5:$BD$1101,U$1,0)</f>
        <v>0</v>
      </c>
      <c r="V498" s="50">
        <f>VLOOKUP($A498,'[1]ma sp 02'!$A$5:$BD$1101,V$1,0)</f>
        <v>0</v>
      </c>
      <c r="W498" s="50">
        <f>VLOOKUP($A498,'[1]ma sp 02'!$A$5:$BD$1101,W$1,0)</f>
        <v>0</v>
      </c>
      <c r="X498" s="50">
        <f t="shared" si="17"/>
        <v>7</v>
      </c>
      <c r="Y498" s="62"/>
      <c r="Z498" s="62"/>
      <c r="AA498" s="62"/>
      <c r="AB498" s="62"/>
      <c r="AC498" s="62"/>
      <c r="AD498" s="62"/>
      <c r="AE498" s="62" t="s">
        <v>1612</v>
      </c>
      <c r="AF498" s="52" t="s">
        <v>486</v>
      </c>
      <c r="AG498" s="71">
        <f>(0.012*1.4+0.012*1.4+0.075*0.925)*0.76</f>
        <v>7.8261000000000011E-2</v>
      </c>
      <c r="AH498" s="63">
        <f>(2.3/0.75/2)*0.75</f>
        <v>1.1499999999999999</v>
      </c>
      <c r="AI498" s="63">
        <f>(3/0.75/2)*0.75</f>
        <v>1.5</v>
      </c>
      <c r="AJ498" s="58">
        <v>9530</v>
      </c>
      <c r="AK498" s="58">
        <v>9530</v>
      </c>
      <c r="AL498" s="58" t="s">
        <v>117</v>
      </c>
      <c r="AM498" s="52" t="s">
        <v>60</v>
      </c>
      <c r="AN498" s="62">
        <v>420</v>
      </c>
      <c r="AO498" s="61" t="s">
        <v>332</v>
      </c>
      <c r="AP498" s="59" t="str">
        <f>IFERROR(VLOOKUP($A498,[2]Mssp!$A$5:$BE$1463,AP$4+1,0),0)</f>
        <v>1903140-1</v>
      </c>
      <c r="AQ498" s="59" t="str">
        <f>IFERROR(VLOOKUP($A498,[2]Mssp!$A$5:$BE$1463,AQ$4+1,0),0)</f>
        <v>1903139-2</v>
      </c>
      <c r="AR498" s="59" t="str">
        <f>IFERROR(VLOOKUP($A498,[2]Mssp!$A$5:$BE$1463,AR$4+1,0),0)</f>
        <v>1903139-3</v>
      </c>
      <c r="AS498" s="59" t="str">
        <f>IFERROR(VLOOKUP($A498,[2]Mssp!$A$5:$BE$1463,AS$4+1,0),0)</f>
        <v>1903139-4</v>
      </c>
      <c r="AT498" s="59" t="str">
        <f>IFERROR(VLOOKUP($A498,[2]Mssp!$A$5:$BE$1463,AT$4+1,0),0)</f>
        <v>1903140-5</v>
      </c>
      <c r="AU498" s="59" t="str">
        <f>IFERROR(VLOOKUP($A498,[2]Mssp!$A$5:$BE$1463,AU$4+1,0),0)</f>
        <v>1903140-6</v>
      </c>
      <c r="AV498" s="59">
        <f>IFERROR(VLOOKUP($A498,[2]Mssp!$A$5:$BE$1463,AV$4+1,0),0)</f>
        <v>0</v>
      </c>
      <c r="AW498" s="59">
        <f>IFERROR(VLOOKUP($A498,[2]Mssp!$A$5:$BE$1463,AW$4+1,0),0)</f>
        <v>0</v>
      </c>
      <c r="AX498" s="59">
        <f>IFERROR(VLOOKUP($A498,[2]Mssp!$A$5:$BE$1463,AX$4+1,0),0)</f>
        <v>0</v>
      </c>
      <c r="AY498" s="59" t="str">
        <f>IFERROR(VLOOKUP($A498,[2]Mssp!$A$5:$BE$1463,AY$4+2,0),0)</f>
        <v>420x860</v>
      </c>
      <c r="AZ498" s="59" t="str">
        <f>IFERROR(VLOOKUP($A498,[2]Mssp!$A$5:$BE$1463,AZ$4+2,0),0)</f>
        <v>G1</v>
      </c>
      <c r="BA498" s="60">
        <v>1500</v>
      </c>
      <c r="BB498" s="61" t="s">
        <v>119</v>
      </c>
      <c r="BC498" s="129" t="s">
        <v>1615</v>
      </c>
      <c r="BD498" s="130">
        <v>0.79</v>
      </c>
      <c r="BE498" s="131" t="s">
        <v>1616</v>
      </c>
      <c r="BF498" s="132">
        <v>0.2</v>
      </c>
      <c r="BG498" s="131" t="s">
        <v>1617</v>
      </c>
      <c r="BH498" s="132">
        <v>0.01</v>
      </c>
      <c r="BI498" s="133" t="s">
        <v>1618</v>
      </c>
      <c r="BJ498" s="132"/>
      <c r="BK498" s="134" t="s">
        <v>1619</v>
      </c>
      <c r="BL498" s="132">
        <v>1</v>
      </c>
      <c r="BM498" s="131" t="s">
        <v>1618</v>
      </c>
      <c r="BN498" s="132">
        <v>0</v>
      </c>
      <c r="BO498" s="9"/>
      <c r="BP498" s="132">
        <v>0</v>
      </c>
      <c r="BQ498" s="132"/>
      <c r="BR498" s="132"/>
      <c r="BS498" s="135" t="s">
        <v>1619</v>
      </c>
      <c r="BT498" s="132">
        <v>0.79</v>
      </c>
      <c r="BU498" s="131" t="s">
        <v>1616</v>
      </c>
      <c r="BV498" s="132">
        <v>0.2</v>
      </c>
      <c r="BW498" s="131" t="s">
        <v>1620</v>
      </c>
      <c r="BX498" s="132">
        <v>0</v>
      </c>
      <c r="BY498" s="131" t="s">
        <v>1617</v>
      </c>
      <c r="BZ498" s="132">
        <v>0.01</v>
      </c>
      <c r="CA498" s="131" t="s">
        <v>1621</v>
      </c>
      <c r="CB498" s="132">
        <v>0</v>
      </c>
      <c r="CC498" s="131" t="s">
        <v>1622</v>
      </c>
      <c r="CD498" s="132">
        <v>0</v>
      </c>
      <c r="CE498" s="9"/>
      <c r="CF498" s="9"/>
      <c r="CG498" s="9"/>
      <c r="CH498" s="9"/>
      <c r="CI498" s="9"/>
      <c r="CJ498" s="9"/>
      <c r="CK498" s="9"/>
      <c r="CL498" s="9"/>
      <c r="CM498" s="9"/>
      <c r="CN498" s="9"/>
      <c r="CO498" s="9"/>
      <c r="CP498" s="9"/>
    </row>
    <row r="499" spans="1:94" ht="45" x14ac:dyDescent="0.25">
      <c r="A499" s="127" t="s">
        <v>1623</v>
      </c>
      <c r="B499" s="51" t="s">
        <v>1624</v>
      </c>
      <c r="C499" s="50">
        <f t="shared" si="18"/>
        <v>4.5390000000000006</v>
      </c>
      <c r="D499" s="57">
        <v>3</v>
      </c>
      <c r="E499" s="62" t="s">
        <v>636</v>
      </c>
      <c r="F499" s="57">
        <v>7</v>
      </c>
      <c r="G499" s="50" t="s">
        <v>530</v>
      </c>
      <c r="H499" s="50">
        <f>VLOOKUP($A499,'[1]ma sp 02'!$A$5:$BD$1101,H$1,0)</f>
        <v>0</v>
      </c>
      <c r="I499" s="50">
        <f>VLOOKUP($A499,'[1]ma sp 02'!$A$5:$BD$1101,I$1,0)</f>
        <v>0.77</v>
      </c>
      <c r="J499" s="50">
        <f>VLOOKUP($A499,'[1]ma sp 02'!$A$5:$BD$1101,J$1,0)</f>
        <v>0.18</v>
      </c>
      <c r="K499" s="50">
        <f>VLOOKUP($A499,'[1]ma sp 02'!$A$5:$BD$1101,K$1,0)</f>
        <v>0.01</v>
      </c>
      <c r="L499" s="50">
        <f>VLOOKUP($A499,'[1]ma sp 02'!$A$5:$BD$1101,L$1,0)</f>
        <v>0.3</v>
      </c>
      <c r="M499" s="50">
        <f>VLOOKUP($A499,'[1]ma sp 02'!$A$5:$BD$1101,M$1,0)</f>
        <v>0.11899999999999999</v>
      </c>
      <c r="N499" s="50">
        <f>VLOOKUP($A499,'[1]ma sp 02'!$A$5:$BD$1101,N$1,0)</f>
        <v>3.04</v>
      </c>
      <c r="O499" s="50">
        <f>VLOOKUP($A499,'[1]ma sp 02'!$A$5:$BD$1101,O$1,0)</f>
        <v>0</v>
      </c>
      <c r="P499" s="50">
        <f>VLOOKUP($A499,'[1]ma sp 02'!$A$5:$BD$1101,P$1,0)</f>
        <v>0.12</v>
      </c>
      <c r="Q499" s="50">
        <f>VLOOKUP($A499,'[1]ma sp 02'!$A$5:$BD$1101,Q$1,0)</f>
        <v>0</v>
      </c>
      <c r="R499" s="50">
        <f>VLOOKUP($A499,'[1]ma sp 02'!$A$5:$BD$1101,R$1,0)</f>
        <v>0</v>
      </c>
      <c r="S499" s="50">
        <f>VLOOKUP($A499,'[1]ma sp 02'!$A$5:$BD$1101,S$1,0)</f>
        <v>0</v>
      </c>
      <c r="T499" s="50">
        <f>VLOOKUP($A499,'[1]ma sp 02'!$A$5:$BD$1101,T$1,0)</f>
        <v>0</v>
      </c>
      <c r="U499" s="50">
        <f>VLOOKUP($A499,'[1]ma sp 02'!$A$5:$BD$1101,U$1,0)</f>
        <v>0</v>
      </c>
      <c r="V499" s="50">
        <f>VLOOKUP($A499,'[1]ma sp 02'!$A$5:$BD$1101,V$1,0)</f>
        <v>0</v>
      </c>
      <c r="W499" s="50">
        <f>VLOOKUP($A499,'[1]ma sp 02'!$A$5:$BD$1101,W$1,0)</f>
        <v>0</v>
      </c>
      <c r="X499" s="50">
        <f t="shared" si="17"/>
        <v>7</v>
      </c>
      <c r="Y499" s="62"/>
      <c r="Z499" s="62"/>
      <c r="AA499" s="62"/>
      <c r="AB499" s="62"/>
      <c r="AC499" s="62"/>
      <c r="AD499" s="62"/>
      <c r="AE499" s="62" t="s">
        <v>1593</v>
      </c>
      <c r="AF499" s="62" t="s">
        <v>321</v>
      </c>
      <c r="AG499" s="71">
        <f>(0.012*1.4+0.012*1.4+0.075*0.925)*0.74</f>
        <v>7.6201500000000005E-2</v>
      </c>
      <c r="AH499" s="63">
        <f>(2.3/0.75/2)*0.73</f>
        <v>1.1193333333333333</v>
      </c>
      <c r="AI499" s="63">
        <f>(3/0.75/2)*0.73</f>
        <v>1.46</v>
      </c>
      <c r="AJ499" s="58">
        <v>9530</v>
      </c>
      <c r="AK499" s="58">
        <v>9530</v>
      </c>
      <c r="AL499" s="58" t="s">
        <v>117</v>
      </c>
      <c r="AM499" s="52" t="s">
        <v>60</v>
      </c>
      <c r="AN499" s="62">
        <v>270</v>
      </c>
      <c r="AO499" s="61" t="s">
        <v>332</v>
      </c>
      <c r="AP499" s="59" t="str">
        <f>IFERROR(VLOOKUP($A499,[2]Mssp!$A$5:$BE$1463,AP$4+1,0),0)</f>
        <v>X105137-1</v>
      </c>
      <c r="AQ499" s="59" t="str">
        <f>IFERROR(VLOOKUP($A499,[2]Mssp!$A$5:$BE$1463,AQ$4+1,0),0)</f>
        <v>X105137-2</v>
      </c>
      <c r="AR499" s="59" t="str">
        <f>IFERROR(VLOOKUP($A499,[2]Mssp!$A$5:$BE$1463,AR$4+1,0),0)</f>
        <v>X105137-3</v>
      </c>
      <c r="AS499" s="59" t="str">
        <f>IFERROR(VLOOKUP($A499,[2]Mssp!$A$5:$BE$1463,AS$4+1,0),0)</f>
        <v>X105137-4</v>
      </c>
      <c r="AT499" s="59" t="str">
        <f>IFERROR(VLOOKUP($A499,[2]Mssp!$A$5:$BE$1463,AT$4+1,0),0)</f>
        <v>X105137-5</v>
      </c>
      <c r="AU499" s="59" t="str">
        <f>IFERROR(VLOOKUP($A499,[2]Mssp!$A$5:$BE$1463,AU$4+1,0),0)</f>
        <v>X105137-6</v>
      </c>
      <c r="AV499" s="59" t="str">
        <f>IFERROR(VLOOKUP($A499,[2]Mssp!$A$5:$BE$1463,AV$4+1,0),0)</f>
        <v>X105137-7</v>
      </c>
      <c r="AW499" s="59">
        <f>IFERROR(VLOOKUP($A499,[2]Mssp!$A$5:$BE$1463,AW$4+1,0),0)</f>
        <v>0</v>
      </c>
      <c r="AX499" s="59">
        <f>IFERROR(VLOOKUP($A499,[2]Mssp!$A$5:$BE$1463,AX$4+1,0),0)</f>
        <v>0</v>
      </c>
      <c r="AY499" s="59" t="str">
        <f>IFERROR(VLOOKUP($A499,[2]Mssp!$A$5:$BE$1463,AY$4+2,0),0)</f>
        <v>420x860</v>
      </c>
      <c r="AZ499" s="59" t="str">
        <f>IFERROR(VLOOKUP($A499,[2]Mssp!$A$5:$BE$1463,AZ$4+2,0),0)</f>
        <v>G2</v>
      </c>
      <c r="BA499" s="60">
        <v>3500</v>
      </c>
      <c r="BB499" s="61" t="s">
        <v>223</v>
      </c>
      <c r="BC499" s="129"/>
      <c r="BD499" s="136"/>
      <c r="BE499" s="131"/>
      <c r="BF499" s="137"/>
      <c r="BG499" s="131"/>
      <c r="BH499" s="137"/>
      <c r="BI499" s="133"/>
      <c r="BJ499" s="137"/>
      <c r="BK499" s="134"/>
      <c r="BL499" s="137"/>
      <c r="BM499" s="131"/>
      <c r="BN499" s="137"/>
      <c r="BO499" s="9"/>
      <c r="BP499" s="137"/>
      <c r="BQ499" s="137"/>
      <c r="BR499" s="137"/>
      <c r="BS499" s="135"/>
      <c r="BT499" s="137"/>
      <c r="BU499" s="131"/>
      <c r="BV499" s="137"/>
      <c r="BW499" s="131"/>
      <c r="BX499" s="137"/>
      <c r="BY499" s="131"/>
      <c r="BZ499" s="137"/>
      <c r="CA499" s="131"/>
      <c r="CB499" s="137"/>
      <c r="CC499" s="131"/>
      <c r="CD499" s="137"/>
      <c r="CE499" s="9"/>
      <c r="CF499" s="9"/>
      <c r="CG499" s="9"/>
      <c r="CH499" s="9"/>
      <c r="CI499" s="9"/>
      <c r="CJ499" s="9"/>
      <c r="CK499" s="9"/>
      <c r="CL499" s="9"/>
      <c r="CM499" s="9"/>
      <c r="CN499" s="9"/>
      <c r="CO499" s="9"/>
      <c r="CP499" s="9"/>
    </row>
    <row r="500" spans="1:94" ht="45" x14ac:dyDescent="0.25">
      <c r="A500" s="127" t="s">
        <v>1625</v>
      </c>
      <c r="B500" s="51" t="s">
        <v>1626</v>
      </c>
      <c r="C500" s="50">
        <f t="shared" si="18"/>
        <v>4.8100000000000005</v>
      </c>
      <c r="D500" s="57">
        <v>3</v>
      </c>
      <c r="E500" s="62" t="s">
        <v>636</v>
      </c>
      <c r="F500" s="57">
        <v>7</v>
      </c>
      <c r="G500" s="50" t="s">
        <v>530</v>
      </c>
      <c r="H500" s="50">
        <f>VLOOKUP($A500,'[1]ma sp 02'!$A$5:$BD$1101,H$1,0)</f>
        <v>0.12</v>
      </c>
      <c r="I500" s="50">
        <f>VLOOKUP($A500,'[1]ma sp 02'!$A$5:$BD$1101,I$1,0)</f>
        <v>1.33</v>
      </c>
      <c r="J500" s="50">
        <f>VLOOKUP($A500,'[1]ma sp 02'!$A$5:$BD$1101,J$1,0)</f>
        <v>0.06</v>
      </c>
      <c r="K500" s="50">
        <f>VLOOKUP($A500,'[1]ma sp 02'!$A$5:$BD$1101,K$1,0)</f>
        <v>0</v>
      </c>
      <c r="L500" s="50">
        <f>VLOOKUP($A500,'[1]ma sp 02'!$A$5:$BD$1101,L$1,0)</f>
        <v>0.57999999999999996</v>
      </c>
      <c r="M500" s="50">
        <f>VLOOKUP($A500,'[1]ma sp 02'!$A$5:$BD$1101,M$1,0)</f>
        <v>0</v>
      </c>
      <c r="N500" s="50">
        <f>VLOOKUP($A500,'[1]ma sp 02'!$A$5:$BD$1101,N$1,0)</f>
        <v>2.6</v>
      </c>
      <c r="O500" s="50">
        <f>VLOOKUP($A500,'[1]ma sp 02'!$A$5:$BD$1101,O$1,0)</f>
        <v>0</v>
      </c>
      <c r="P500" s="50">
        <f>VLOOKUP($A500,'[1]ma sp 02'!$A$5:$BD$1101,P$1,0)</f>
        <v>0.12</v>
      </c>
      <c r="Q500" s="50">
        <f>VLOOKUP($A500,'[1]ma sp 02'!$A$5:$BD$1101,Q$1,0)</f>
        <v>0</v>
      </c>
      <c r="R500" s="50">
        <f>VLOOKUP($A500,'[1]ma sp 02'!$A$5:$BD$1101,R$1,0)</f>
        <v>0</v>
      </c>
      <c r="S500" s="50">
        <f>VLOOKUP($A500,'[1]ma sp 02'!$A$5:$BD$1101,S$1,0)</f>
        <v>0</v>
      </c>
      <c r="T500" s="50">
        <f>VLOOKUP($A500,'[1]ma sp 02'!$A$5:$BD$1101,T$1,0)</f>
        <v>0</v>
      </c>
      <c r="U500" s="50">
        <f>VLOOKUP($A500,'[1]ma sp 02'!$A$5:$BD$1101,U$1,0)</f>
        <v>0</v>
      </c>
      <c r="V500" s="50">
        <f>VLOOKUP($A500,'[1]ma sp 02'!$A$5:$BD$1101,V$1,0)</f>
        <v>0</v>
      </c>
      <c r="W500" s="50">
        <f>VLOOKUP($A500,'[1]ma sp 02'!$A$5:$BD$1101,W$1,0)</f>
        <v>0</v>
      </c>
      <c r="X500" s="50">
        <f t="shared" si="17"/>
        <v>6</v>
      </c>
      <c r="Y500" s="62"/>
      <c r="Z500" s="62"/>
      <c r="AA500" s="62"/>
      <c r="AB500" s="62"/>
      <c r="AC500" s="62"/>
      <c r="AD500" s="62"/>
      <c r="AE500" s="62" t="s">
        <v>1593</v>
      </c>
      <c r="AF500" s="62" t="s">
        <v>321</v>
      </c>
      <c r="AG500" s="71">
        <f>(0.012*1.4+0.012*1.4+0.075*0.925)*0.74</f>
        <v>7.6201500000000005E-2</v>
      </c>
      <c r="AH500" s="63">
        <f>(2.3/0.75/2)*0.73</f>
        <v>1.1193333333333333</v>
      </c>
      <c r="AI500" s="63">
        <f>(3/0.75/2)*0.73</f>
        <v>1.46</v>
      </c>
      <c r="AJ500" s="58">
        <v>9530</v>
      </c>
      <c r="AK500" s="58">
        <v>9530</v>
      </c>
      <c r="AL500" s="58" t="s">
        <v>117</v>
      </c>
      <c r="AM500" s="52" t="s">
        <v>60</v>
      </c>
      <c r="AN500" s="62">
        <v>270</v>
      </c>
      <c r="AO500" s="61" t="s">
        <v>332</v>
      </c>
      <c r="AP500" s="59" t="str">
        <f>IFERROR(VLOOKUP($A500,[2]Mssp!$A$5:$BE$1463,AP$4+1,0),0)</f>
        <v>X105137-1</v>
      </c>
      <c r="AQ500" s="59" t="str">
        <f>IFERROR(VLOOKUP($A500,[2]Mssp!$A$5:$BE$1463,AQ$4+1,0),0)</f>
        <v>X105138-2</v>
      </c>
      <c r="AR500" s="59" t="str">
        <f>IFERROR(VLOOKUP($A500,[2]Mssp!$A$5:$BE$1463,AR$4+1,0),0)</f>
        <v>X105138-3</v>
      </c>
      <c r="AS500" s="59" t="str">
        <f>IFERROR(VLOOKUP($A500,[2]Mssp!$A$5:$BE$1463,AS$4+1,0),0)</f>
        <v>X105137-4</v>
      </c>
      <c r="AT500" s="59" t="str">
        <f>IFERROR(VLOOKUP($A500,[2]Mssp!$A$5:$BE$1463,AT$4+1,0),0)</f>
        <v>X105137-5</v>
      </c>
      <c r="AU500" s="59" t="str">
        <f>IFERROR(VLOOKUP($A500,[2]Mssp!$A$5:$BE$1463,AU$4+1,0),0)</f>
        <v>X105138-6</v>
      </c>
      <c r="AV500" s="59" t="str">
        <f>IFERROR(VLOOKUP($A500,[2]Mssp!$A$5:$BE$1463,AV$4+1,0),0)</f>
        <v>X105138-7</v>
      </c>
      <c r="AW500" s="59">
        <f>IFERROR(VLOOKUP($A500,[2]Mssp!$A$5:$BE$1463,AW$4+1,0),0)</f>
        <v>0</v>
      </c>
      <c r="AX500" s="59">
        <f>IFERROR(VLOOKUP($A500,[2]Mssp!$A$5:$BE$1463,AX$4+1,0),0)</f>
        <v>0</v>
      </c>
      <c r="AY500" s="59" t="str">
        <f>IFERROR(VLOOKUP($A500,[2]Mssp!$A$5:$BE$1463,AY$4+2,0),0)</f>
        <v>540x860</v>
      </c>
      <c r="AZ500" s="59" t="str">
        <f>IFERROR(VLOOKUP($A500,[2]Mssp!$A$5:$BE$1463,AZ$4+2,0),0)</f>
        <v>G2</v>
      </c>
      <c r="BA500" s="60">
        <v>3500</v>
      </c>
      <c r="BB500" s="61" t="s">
        <v>223</v>
      </c>
      <c r="BC500" s="129" t="s">
        <v>1615</v>
      </c>
      <c r="BD500" s="138">
        <v>0.79</v>
      </c>
      <c r="BE500" s="131" t="s">
        <v>1616</v>
      </c>
      <c r="BF500" s="139">
        <v>0.2</v>
      </c>
      <c r="BG500" s="131" t="s">
        <v>1617</v>
      </c>
      <c r="BH500" s="139">
        <v>0.01</v>
      </c>
      <c r="BI500" s="140"/>
      <c r="BJ500" s="139"/>
      <c r="BK500" s="134" t="s">
        <v>1619</v>
      </c>
      <c r="BL500" s="139">
        <v>1</v>
      </c>
      <c r="BM500" s="131" t="s">
        <v>1618</v>
      </c>
      <c r="BN500" s="139">
        <v>0</v>
      </c>
      <c r="BO500" s="9"/>
      <c r="BP500" s="139">
        <v>0</v>
      </c>
      <c r="BQ500" s="139"/>
      <c r="BR500" s="139"/>
      <c r="BS500" s="135" t="s">
        <v>1619</v>
      </c>
      <c r="BT500" s="139">
        <v>0.79</v>
      </c>
      <c r="BU500" s="131" t="s">
        <v>1616</v>
      </c>
      <c r="BV500" s="139">
        <v>0.2</v>
      </c>
      <c r="BW500" s="131" t="s">
        <v>1620</v>
      </c>
      <c r="BX500" s="139">
        <v>0</v>
      </c>
      <c r="BY500" s="131" t="s">
        <v>1617</v>
      </c>
      <c r="BZ500" s="139">
        <v>0.01</v>
      </c>
      <c r="CA500" s="131" t="s">
        <v>1621</v>
      </c>
      <c r="CB500" s="139">
        <v>0</v>
      </c>
      <c r="CC500" s="131" t="s">
        <v>1622</v>
      </c>
      <c r="CD500" s="139">
        <v>0</v>
      </c>
      <c r="CE500" s="9"/>
      <c r="CF500" s="9"/>
      <c r="CG500" s="9"/>
      <c r="CH500" s="9"/>
      <c r="CI500" s="9"/>
      <c r="CJ500" s="9"/>
      <c r="CK500" s="9"/>
      <c r="CL500" s="9"/>
      <c r="CM500" s="9"/>
      <c r="CN500" s="9"/>
      <c r="CO500" s="9"/>
      <c r="CP500" s="9"/>
    </row>
    <row r="501" spans="1:94" ht="45" x14ac:dyDescent="0.25">
      <c r="A501" s="127" t="s">
        <v>1627</v>
      </c>
      <c r="B501" s="51" t="s">
        <v>1628</v>
      </c>
      <c r="C501" s="50">
        <f t="shared" si="18"/>
        <v>6.69</v>
      </c>
      <c r="D501" s="57">
        <v>2</v>
      </c>
      <c r="E501" s="57" t="s">
        <v>131</v>
      </c>
      <c r="F501" s="57">
        <v>7</v>
      </c>
      <c r="G501" s="50" t="s">
        <v>530</v>
      </c>
      <c r="H501" s="50">
        <f>VLOOKUP($A501,'[1]ma sp 02'!$A$5:$BD$1101,H$1,0)</f>
        <v>0.13</v>
      </c>
      <c r="I501" s="50">
        <f>VLOOKUP($A501,'[1]ma sp 02'!$A$5:$BD$1101,I$1,0)</f>
        <v>1.9</v>
      </c>
      <c r="J501" s="50">
        <f>VLOOKUP($A501,'[1]ma sp 02'!$A$5:$BD$1101,J$1,0)</f>
        <v>0.19</v>
      </c>
      <c r="K501" s="50">
        <f>VLOOKUP($A501,'[1]ma sp 02'!$A$5:$BD$1101,K$1,0)</f>
        <v>0.28999999999999998</v>
      </c>
      <c r="L501" s="50">
        <f>VLOOKUP($A501,'[1]ma sp 02'!$A$5:$BD$1101,L$1,0)</f>
        <v>0.95</v>
      </c>
      <c r="M501" s="50">
        <f>VLOOKUP($A501,'[1]ma sp 02'!$A$5:$BD$1101,M$1,0)</f>
        <v>0</v>
      </c>
      <c r="N501" s="50">
        <f>VLOOKUP($A501,'[1]ma sp 02'!$A$5:$BD$1101,N$1,0)</f>
        <v>3.04</v>
      </c>
      <c r="O501" s="50">
        <f>VLOOKUP($A501,'[1]ma sp 02'!$A$5:$BD$1101,O$1,0)</f>
        <v>0</v>
      </c>
      <c r="P501" s="50">
        <f>VLOOKUP($A501,'[1]ma sp 02'!$A$5:$BD$1101,P$1,0)</f>
        <v>0.19</v>
      </c>
      <c r="Q501" s="50">
        <f>VLOOKUP($A501,'[1]ma sp 02'!$A$5:$BD$1101,Q$1,0)</f>
        <v>0</v>
      </c>
      <c r="R501" s="50">
        <f>VLOOKUP($A501,'[1]ma sp 02'!$A$5:$BD$1101,R$1,0)</f>
        <v>0</v>
      </c>
      <c r="S501" s="50">
        <f>VLOOKUP($A501,'[1]ma sp 02'!$A$5:$BD$1101,S$1,0)</f>
        <v>0</v>
      </c>
      <c r="T501" s="50">
        <f>VLOOKUP($A501,'[1]ma sp 02'!$A$5:$BD$1101,T$1,0)</f>
        <v>0</v>
      </c>
      <c r="U501" s="50">
        <f>VLOOKUP($A501,'[1]ma sp 02'!$A$5:$BD$1101,U$1,0)</f>
        <v>0</v>
      </c>
      <c r="V501" s="50">
        <f>VLOOKUP($A501,'[1]ma sp 02'!$A$5:$BD$1101,V$1,0)</f>
        <v>0</v>
      </c>
      <c r="W501" s="50">
        <f>VLOOKUP($A501,'[1]ma sp 02'!$A$5:$BD$1101,W$1,0)</f>
        <v>0</v>
      </c>
      <c r="X501" s="50">
        <f t="shared" si="17"/>
        <v>7</v>
      </c>
      <c r="Y501" s="62"/>
      <c r="Z501" s="62"/>
      <c r="AA501" s="62"/>
      <c r="AB501" s="62"/>
      <c r="AC501" s="62"/>
      <c r="AD501" s="62"/>
      <c r="AE501" s="62" t="s">
        <v>78</v>
      </c>
      <c r="AF501" s="62" t="s">
        <v>72</v>
      </c>
      <c r="AG501" s="128">
        <v>5.3428500000000004E-2</v>
      </c>
      <c r="AH501" s="54">
        <v>0.93533333333333324</v>
      </c>
      <c r="AI501" s="62">
        <v>1.22</v>
      </c>
      <c r="AJ501" s="62">
        <v>9530</v>
      </c>
      <c r="AK501" s="62">
        <v>9530</v>
      </c>
      <c r="AL501" s="62" t="s">
        <v>117</v>
      </c>
      <c r="AM501" s="61" t="s">
        <v>60</v>
      </c>
      <c r="AN501" s="62">
        <v>340</v>
      </c>
      <c r="AO501" s="61" t="s">
        <v>332</v>
      </c>
      <c r="AP501" s="59" t="str">
        <f>IFERROR(VLOOKUP($A501,[2]Mssp!$A$5:$BE$1463,AP$4+1,0),0)</f>
        <v>X105139G1-1</v>
      </c>
      <c r="AQ501" s="59" t="str">
        <f>IFERROR(VLOOKUP($A501,[2]Mssp!$A$5:$BE$1463,AQ$4+1,0),0)</f>
        <v>X105139-2</v>
      </c>
      <c r="AR501" s="59" t="str">
        <f>IFERROR(VLOOKUP($A501,[2]Mssp!$A$5:$BE$1463,AR$4+1,0),0)</f>
        <v>X105139-3</v>
      </c>
      <c r="AS501" s="59" t="str">
        <f>IFERROR(VLOOKUP($A501,[2]Mssp!$A$5:$BE$1463,AS$4+1,0),0)</f>
        <v>X105139G1-4</v>
      </c>
      <c r="AT501" s="59" t="str">
        <f>IFERROR(VLOOKUP($A501,[2]Mssp!$A$5:$BE$1463,AT$4+1,0),0)</f>
        <v>X105139-5</v>
      </c>
      <c r="AU501" s="59" t="str">
        <f>IFERROR(VLOOKUP($A501,[2]Mssp!$A$5:$BE$1463,AU$4+1,0),0)</f>
        <v>X105139-6</v>
      </c>
      <c r="AV501" s="59" t="str">
        <f>IFERROR(VLOOKUP($A501,[2]Mssp!$A$5:$BE$1463,AV$4+1,0),0)</f>
        <v>X105139-7</v>
      </c>
      <c r="AW501" s="59">
        <f>IFERROR(VLOOKUP($A501,[2]Mssp!$A$5:$BE$1463,AW$4+1,0),0)</f>
        <v>0</v>
      </c>
      <c r="AX501" s="59">
        <f>IFERROR(VLOOKUP($A501,[2]Mssp!$A$5:$BE$1463,AX$4+1,0),0)</f>
        <v>0</v>
      </c>
      <c r="AY501" s="59" t="str">
        <f>IFERROR(VLOOKUP($A501,[2]Mssp!$A$5:$BE$1463,AY$4+2,0),0)</f>
        <v>680x860</v>
      </c>
      <c r="AZ501" s="59" t="str">
        <f>IFERROR(VLOOKUP($A501,[2]Mssp!$A$5:$BE$1463,AZ$4+2,0),0)</f>
        <v>G2</v>
      </c>
      <c r="BA501" s="60">
        <v>2500</v>
      </c>
      <c r="BB501" s="61" t="s">
        <v>223</v>
      </c>
      <c r="BC501" s="129" t="s">
        <v>1615</v>
      </c>
      <c r="BD501" s="138">
        <v>0.79</v>
      </c>
      <c r="BE501" s="131" t="s">
        <v>1616</v>
      </c>
      <c r="BF501" s="139">
        <v>0.2</v>
      </c>
      <c r="BG501" s="131" t="s">
        <v>1617</v>
      </c>
      <c r="BH501" s="139">
        <v>0.01</v>
      </c>
      <c r="BI501" s="140"/>
      <c r="BJ501" s="139"/>
      <c r="BK501" s="134" t="s">
        <v>1619</v>
      </c>
      <c r="BL501" s="139">
        <v>1</v>
      </c>
      <c r="BM501" s="131" t="s">
        <v>1618</v>
      </c>
      <c r="BN501" s="139"/>
      <c r="BO501" s="9"/>
      <c r="BP501" s="139"/>
      <c r="BQ501" s="139"/>
      <c r="BR501" s="139"/>
      <c r="BS501" s="135" t="s">
        <v>1619</v>
      </c>
      <c r="BT501" s="139">
        <v>0.79</v>
      </c>
      <c r="BU501" s="131" t="s">
        <v>1616</v>
      </c>
      <c r="BV501" s="139">
        <v>0.2</v>
      </c>
      <c r="BW501" s="131" t="s">
        <v>1620</v>
      </c>
      <c r="BX501" s="139"/>
      <c r="BY501" s="131" t="s">
        <v>1617</v>
      </c>
      <c r="BZ501" s="139">
        <v>0.01</v>
      </c>
      <c r="CA501" s="131" t="s">
        <v>1621</v>
      </c>
      <c r="CB501" s="139"/>
      <c r="CC501" s="131" t="s">
        <v>1622</v>
      </c>
      <c r="CD501" s="139"/>
      <c r="CE501" s="9"/>
      <c r="CF501" s="9"/>
      <c r="CG501" s="9"/>
      <c r="CH501" s="9"/>
      <c r="CI501" s="9"/>
      <c r="CJ501" s="9"/>
      <c r="CK501" s="9"/>
      <c r="CL501" s="9"/>
      <c r="CM501" s="9"/>
      <c r="CN501" s="9"/>
      <c r="CO501" s="9"/>
      <c r="CP501" s="9"/>
    </row>
    <row r="502" spans="1:94" ht="45" x14ac:dyDescent="0.25">
      <c r="A502" s="127" t="s">
        <v>1629</v>
      </c>
      <c r="B502" s="51" t="s">
        <v>1630</v>
      </c>
      <c r="C502" s="50">
        <f t="shared" si="18"/>
        <v>7.7410000000000005</v>
      </c>
      <c r="D502" s="57">
        <v>2</v>
      </c>
      <c r="E502" s="57" t="s">
        <v>131</v>
      </c>
      <c r="F502" s="57">
        <v>7</v>
      </c>
      <c r="G502" s="50" t="s">
        <v>530</v>
      </c>
      <c r="H502" s="50">
        <f>VLOOKUP($A502,'[1]ma sp 02'!$A$5:$BD$1101,H$1,0)</f>
        <v>0.15</v>
      </c>
      <c r="I502" s="50">
        <f>VLOOKUP($A502,'[1]ma sp 02'!$A$5:$BD$1101,I$1,0)</f>
        <v>2.02</v>
      </c>
      <c r="J502" s="50">
        <f>VLOOKUP($A502,'[1]ma sp 02'!$A$5:$BD$1101,J$1,0)</f>
        <v>0.1</v>
      </c>
      <c r="K502" s="50">
        <f>VLOOKUP($A502,'[1]ma sp 02'!$A$5:$BD$1101,K$1,0)</f>
        <v>0.28999999999999998</v>
      </c>
      <c r="L502" s="50">
        <f>VLOOKUP($A502,'[1]ma sp 02'!$A$5:$BD$1101,L$1,0)</f>
        <v>0.96</v>
      </c>
      <c r="M502" s="50">
        <f>VLOOKUP($A502,'[1]ma sp 02'!$A$5:$BD$1101,M$1,0)</f>
        <v>0.96099999999999997</v>
      </c>
      <c r="N502" s="50">
        <f>VLOOKUP($A502,'[1]ma sp 02'!$A$5:$BD$1101,N$1,0)</f>
        <v>3.07</v>
      </c>
      <c r="O502" s="50">
        <f>VLOOKUP($A502,'[1]ma sp 02'!$A$5:$BD$1101,O$1,0)</f>
        <v>0</v>
      </c>
      <c r="P502" s="50">
        <f>VLOOKUP($A502,'[1]ma sp 02'!$A$5:$BD$1101,P$1,0)</f>
        <v>0.19</v>
      </c>
      <c r="Q502" s="50">
        <f>VLOOKUP($A502,'[1]ma sp 02'!$A$5:$BD$1101,Q$1,0)</f>
        <v>0</v>
      </c>
      <c r="R502" s="50">
        <f>VLOOKUP($A502,'[1]ma sp 02'!$A$5:$BD$1101,R$1,0)</f>
        <v>0</v>
      </c>
      <c r="S502" s="50">
        <f>VLOOKUP($A502,'[1]ma sp 02'!$A$5:$BD$1101,S$1,0)</f>
        <v>0</v>
      </c>
      <c r="T502" s="50">
        <f>VLOOKUP($A502,'[1]ma sp 02'!$A$5:$BD$1101,T$1,0)</f>
        <v>0</v>
      </c>
      <c r="U502" s="50">
        <f>VLOOKUP($A502,'[1]ma sp 02'!$A$5:$BD$1101,U$1,0)</f>
        <v>0</v>
      </c>
      <c r="V502" s="50">
        <f>VLOOKUP($A502,'[1]ma sp 02'!$A$5:$BD$1101,V$1,0)</f>
        <v>0</v>
      </c>
      <c r="W502" s="50">
        <f>VLOOKUP($A502,'[1]ma sp 02'!$A$5:$BD$1101,W$1,0)</f>
        <v>0</v>
      </c>
      <c r="X502" s="50">
        <f t="shared" si="17"/>
        <v>8</v>
      </c>
      <c r="Y502" s="62"/>
      <c r="Z502" s="62"/>
      <c r="AA502" s="62"/>
      <c r="AB502" s="62"/>
      <c r="AC502" s="62"/>
      <c r="AD502" s="62"/>
      <c r="AE502" s="62" t="s">
        <v>78</v>
      </c>
      <c r="AF502" s="62" t="s">
        <v>72</v>
      </c>
      <c r="AG502" s="128">
        <v>5.3428500000000004E-2</v>
      </c>
      <c r="AH502" s="54">
        <v>0.93533333333333324</v>
      </c>
      <c r="AI502" s="62">
        <v>1.22</v>
      </c>
      <c r="AJ502" s="62">
        <v>9530</v>
      </c>
      <c r="AK502" s="62">
        <v>9530</v>
      </c>
      <c r="AL502" s="62" t="s">
        <v>117</v>
      </c>
      <c r="AM502" s="61" t="s">
        <v>60</v>
      </c>
      <c r="AN502" s="62">
        <v>340</v>
      </c>
      <c r="AO502" s="61" t="s">
        <v>332</v>
      </c>
      <c r="AP502" s="59" t="str">
        <f>IFERROR(VLOOKUP($A502,[2]Mssp!$A$5:$BE$1463,AP$4+1,0),0)</f>
        <v>X105139-1</v>
      </c>
      <c r="AQ502" s="59" t="str">
        <f>IFERROR(VLOOKUP($A502,[2]Mssp!$A$5:$BE$1463,AQ$4+1,0),0)</f>
        <v>X105140-2</v>
      </c>
      <c r="AR502" s="59" t="str">
        <f>IFERROR(VLOOKUP($A502,[2]Mssp!$A$5:$BE$1463,AR$4+1,0),0)</f>
        <v>X105140-3</v>
      </c>
      <c r="AS502" s="59" t="str">
        <f>IFERROR(VLOOKUP($A502,[2]Mssp!$A$5:$BE$1463,AS$4+1,0),0)</f>
        <v>X105139-4</v>
      </c>
      <c r="AT502" s="59" t="str">
        <f>IFERROR(VLOOKUP($A502,[2]Mssp!$A$5:$BE$1463,AT$4+1,0),0)</f>
        <v>X105139-5</v>
      </c>
      <c r="AU502" s="59" t="str">
        <f>IFERROR(VLOOKUP($A502,[2]Mssp!$A$5:$BE$1463,AU$4+1,0),0)</f>
        <v>X105140-6</v>
      </c>
      <c r="AV502" s="59" t="str">
        <f>IFERROR(VLOOKUP($A502,[2]Mssp!$A$5:$BE$1463,AV$4+1,0),0)</f>
        <v>X105140-7</v>
      </c>
      <c r="AW502" s="59">
        <f>IFERROR(VLOOKUP($A502,[2]Mssp!$A$5:$BE$1463,AW$4+1,0),0)</f>
        <v>0</v>
      </c>
      <c r="AX502" s="59">
        <f>IFERROR(VLOOKUP($A502,[2]Mssp!$A$5:$BE$1463,AX$4+1,0),0)</f>
        <v>0</v>
      </c>
      <c r="AY502" s="59" t="str">
        <f>IFERROR(VLOOKUP($A502,[2]Mssp!$A$5:$BE$1463,AY$4+2,0),0)</f>
        <v>680x860</v>
      </c>
      <c r="AZ502" s="59" t="str">
        <f>IFERROR(VLOOKUP($A502,[2]Mssp!$A$5:$BE$1463,AZ$4+2,0),0)</f>
        <v>G2</v>
      </c>
      <c r="BA502" s="60">
        <v>2500</v>
      </c>
      <c r="BB502" s="61" t="s">
        <v>223</v>
      </c>
      <c r="BC502" s="129" t="s">
        <v>1615</v>
      </c>
      <c r="BD502" s="138">
        <v>0.79</v>
      </c>
      <c r="BE502" s="131" t="s">
        <v>1616</v>
      </c>
      <c r="BF502" s="139">
        <v>0.2</v>
      </c>
      <c r="BG502" s="131" t="s">
        <v>1617</v>
      </c>
      <c r="BH502" s="139">
        <v>0.01</v>
      </c>
      <c r="BI502" s="140"/>
      <c r="BJ502" s="139"/>
      <c r="BK502" s="134" t="s">
        <v>1619</v>
      </c>
      <c r="BL502" s="139">
        <v>1</v>
      </c>
      <c r="BM502" s="131" t="s">
        <v>1618</v>
      </c>
      <c r="BN502" s="139"/>
      <c r="BO502" s="9"/>
      <c r="BP502" s="139"/>
      <c r="BQ502" s="139"/>
      <c r="BR502" s="139"/>
      <c r="BS502" s="135" t="s">
        <v>1619</v>
      </c>
      <c r="BT502" s="139">
        <v>0.79</v>
      </c>
      <c r="BU502" s="131" t="s">
        <v>1616</v>
      </c>
      <c r="BV502" s="139">
        <v>0.2</v>
      </c>
      <c r="BW502" s="131" t="s">
        <v>1620</v>
      </c>
      <c r="BX502" s="139"/>
      <c r="BY502" s="131" t="s">
        <v>1617</v>
      </c>
      <c r="BZ502" s="139">
        <v>0.01</v>
      </c>
      <c r="CA502" s="131" t="s">
        <v>1621</v>
      </c>
      <c r="CB502" s="139"/>
      <c r="CC502" s="131" t="s">
        <v>1622</v>
      </c>
      <c r="CD502" s="139"/>
      <c r="CE502" s="9"/>
      <c r="CF502" s="9"/>
      <c r="CG502" s="9"/>
      <c r="CH502" s="9"/>
      <c r="CI502" s="9"/>
      <c r="CJ502" s="9"/>
      <c r="CK502" s="9"/>
      <c r="CL502" s="9"/>
      <c r="CM502" s="9"/>
      <c r="CN502" s="9"/>
      <c r="CO502" s="9"/>
      <c r="CP502" s="9"/>
    </row>
    <row r="503" spans="1:94" ht="90" x14ac:dyDescent="0.25">
      <c r="A503" s="127" t="s">
        <v>1631</v>
      </c>
      <c r="B503" s="51" t="s">
        <v>1632</v>
      </c>
      <c r="C503" s="50">
        <f t="shared" si="18"/>
        <v>5.1190000000000007</v>
      </c>
      <c r="D503" s="57">
        <v>2</v>
      </c>
      <c r="E503" s="62" t="s">
        <v>1611</v>
      </c>
      <c r="F503" s="57">
        <v>7</v>
      </c>
      <c r="G503" s="50" t="s">
        <v>530</v>
      </c>
      <c r="H503" s="50">
        <f>VLOOKUP($A503,'[1]ma sp 02'!$A$5:$BD$1101,H$1,0)</f>
        <v>0.08</v>
      </c>
      <c r="I503" s="50">
        <f>VLOOKUP($A503,'[1]ma sp 02'!$A$5:$BD$1101,I$1,0)</f>
        <v>1.4</v>
      </c>
      <c r="J503" s="50">
        <f>VLOOKUP($A503,'[1]ma sp 02'!$A$5:$BD$1101,J$1,0)</f>
        <v>0</v>
      </c>
      <c r="K503" s="50">
        <f>VLOOKUP($A503,'[1]ma sp 02'!$A$5:$BD$1101,K$1,0)</f>
        <v>0.03</v>
      </c>
      <c r="L503" s="50">
        <f>VLOOKUP($A503,'[1]ma sp 02'!$A$5:$BD$1101,L$1,0)</f>
        <v>0.44</v>
      </c>
      <c r="M503" s="50">
        <f>VLOOKUP($A503,'[1]ma sp 02'!$A$5:$BD$1101,M$1,0)</f>
        <v>0.38900000000000001</v>
      </c>
      <c r="N503" s="50">
        <f>VLOOKUP($A503,'[1]ma sp 02'!$A$5:$BD$1101,N$1,0)</f>
        <v>2.4900000000000002</v>
      </c>
      <c r="O503" s="50">
        <f>VLOOKUP($A503,'[1]ma sp 02'!$A$5:$BD$1101,O$1,0)</f>
        <v>0</v>
      </c>
      <c r="P503" s="50">
        <f>VLOOKUP($A503,'[1]ma sp 02'!$A$5:$BD$1101,P$1,0)</f>
        <v>0.28999999999999998</v>
      </c>
      <c r="Q503" s="50">
        <f>VLOOKUP($A503,'[1]ma sp 02'!$A$5:$BD$1101,Q$1,0)</f>
        <v>0</v>
      </c>
      <c r="R503" s="50">
        <f>VLOOKUP($A503,'[1]ma sp 02'!$A$5:$BD$1101,R$1,0)</f>
        <v>0</v>
      </c>
      <c r="S503" s="50">
        <f>VLOOKUP($A503,'[1]ma sp 02'!$A$5:$BD$1101,S$1,0)</f>
        <v>0</v>
      </c>
      <c r="T503" s="50">
        <f>VLOOKUP($A503,'[1]ma sp 02'!$A$5:$BD$1101,T$1,0)</f>
        <v>0</v>
      </c>
      <c r="U503" s="50">
        <f>VLOOKUP($A503,'[1]ma sp 02'!$A$5:$BD$1101,U$1,0)</f>
        <v>0</v>
      </c>
      <c r="V503" s="50">
        <f>VLOOKUP($A503,'[1]ma sp 02'!$A$5:$BD$1101,V$1,0)</f>
        <v>0</v>
      </c>
      <c r="W503" s="50">
        <f>VLOOKUP($A503,'[1]ma sp 02'!$A$5:$BD$1101,W$1,0)</f>
        <v>0</v>
      </c>
      <c r="X503" s="50">
        <f t="shared" si="17"/>
        <v>7</v>
      </c>
      <c r="Y503" s="62"/>
      <c r="Z503" s="62"/>
      <c r="AA503" s="62"/>
      <c r="AB503" s="62"/>
      <c r="AC503" s="62"/>
      <c r="AD503" s="62"/>
      <c r="AE503" s="62" t="s">
        <v>1612</v>
      </c>
      <c r="AF503" s="52" t="s">
        <v>486</v>
      </c>
      <c r="AG503" s="71">
        <f>(0.012*1.4+0.012*1.4+0.075*0.925)*0.76</f>
        <v>7.8261000000000011E-2</v>
      </c>
      <c r="AH503" s="63">
        <f>(2.3/0.75/2)*0.75</f>
        <v>1.1499999999999999</v>
      </c>
      <c r="AI503" s="63">
        <f>(3/0.75/2)*0.75</f>
        <v>1.5</v>
      </c>
      <c r="AJ503" s="58">
        <v>9530</v>
      </c>
      <c r="AK503" s="58">
        <v>9530</v>
      </c>
      <c r="AL503" s="58" t="s">
        <v>117</v>
      </c>
      <c r="AM503" s="52" t="s">
        <v>60</v>
      </c>
      <c r="AN503" s="62">
        <v>420</v>
      </c>
      <c r="AO503" s="61" t="s">
        <v>332</v>
      </c>
      <c r="AP503" s="59" t="str">
        <f>IFERROR(VLOOKUP($A503,[2]Mssp!$A$5:$BE$1463,AP$4+1,0),0)</f>
        <v>X105141-1</v>
      </c>
      <c r="AQ503" s="59" t="str">
        <f>IFERROR(VLOOKUP($A503,[2]Mssp!$A$5:$BE$1463,AQ$4+1,0),0)</f>
        <v>X105141-2</v>
      </c>
      <c r="AR503" s="59" t="str">
        <f>IFERROR(VLOOKUP($A503,[2]Mssp!$A$5:$BE$1463,AR$4+1,0),0)</f>
        <v>X105141-3</v>
      </c>
      <c r="AS503" s="59" t="str">
        <f>IFERROR(VLOOKUP($A503,[2]Mssp!$A$5:$BE$1463,AS$4+1,0),0)</f>
        <v>X105141-4</v>
      </c>
      <c r="AT503" s="59" t="str">
        <f>IFERROR(VLOOKUP($A503,[2]Mssp!$A$5:$BE$1463,AT$4+1,0),0)</f>
        <v>X105141-5</v>
      </c>
      <c r="AU503" s="59" t="str">
        <f>IFERROR(VLOOKUP($A503,[2]Mssp!$A$5:$BE$1463,AU$4+1,0),0)</f>
        <v>X105141-6</v>
      </c>
      <c r="AV503" s="59" t="str">
        <f>IFERROR(VLOOKUP($A503,[2]Mssp!$A$5:$BE$1463,AV$4+1,0),0)</f>
        <v>X105141-7</v>
      </c>
      <c r="AW503" s="59">
        <f>IFERROR(VLOOKUP($A503,[2]Mssp!$A$5:$BE$1463,AW$4+1,0),0)</f>
        <v>0</v>
      </c>
      <c r="AX503" s="59">
        <f>IFERROR(VLOOKUP($A503,[2]Mssp!$A$5:$BE$1463,AX$4+1,0),0)</f>
        <v>0</v>
      </c>
      <c r="AY503" s="59" t="str">
        <f>IFERROR(VLOOKUP($A503,[2]Mssp!$A$5:$BE$1463,AY$4+2,0),0)</f>
        <v>420x860</v>
      </c>
      <c r="AZ503" s="59" t="str">
        <f>IFERROR(VLOOKUP($A503,[2]Mssp!$A$5:$BE$1463,AZ$4+2,0),0)</f>
        <v>G2</v>
      </c>
      <c r="BA503" s="60">
        <v>1500</v>
      </c>
      <c r="BB503" s="61" t="s">
        <v>119</v>
      </c>
      <c r="BC503" s="129" t="s">
        <v>1615</v>
      </c>
      <c r="BD503" s="138">
        <v>0.79</v>
      </c>
      <c r="BE503" s="131" t="s">
        <v>1616</v>
      </c>
      <c r="BF503" s="139">
        <v>0.2</v>
      </c>
      <c r="BG503" s="131" t="s">
        <v>1617</v>
      </c>
      <c r="BH503" s="139">
        <v>0.01</v>
      </c>
      <c r="BI503" s="140"/>
      <c r="BJ503" s="139"/>
      <c r="BK503" s="134" t="s">
        <v>1619</v>
      </c>
      <c r="BL503" s="139">
        <v>1</v>
      </c>
      <c r="BM503" s="131" t="s">
        <v>1618</v>
      </c>
      <c r="BN503" s="139"/>
      <c r="BO503" s="9"/>
      <c r="BP503" s="139"/>
      <c r="BQ503" s="139"/>
      <c r="BR503" s="139"/>
      <c r="BS503" s="135" t="s">
        <v>1619</v>
      </c>
      <c r="BT503" s="139">
        <v>0.79</v>
      </c>
      <c r="BU503" s="131" t="s">
        <v>1616</v>
      </c>
      <c r="BV503" s="139">
        <v>0.2</v>
      </c>
      <c r="BW503" s="131" t="s">
        <v>1620</v>
      </c>
      <c r="BX503" s="139"/>
      <c r="BY503" s="131" t="s">
        <v>1617</v>
      </c>
      <c r="BZ503" s="139">
        <v>0.01</v>
      </c>
      <c r="CA503" s="131" t="s">
        <v>1621</v>
      </c>
      <c r="CB503" s="139"/>
      <c r="CC503" s="131" t="s">
        <v>1622</v>
      </c>
      <c r="CD503" s="139"/>
      <c r="CE503" s="9"/>
      <c r="CF503" s="9"/>
      <c r="CG503" s="9"/>
      <c r="CH503" s="9"/>
      <c r="CI503" s="9"/>
      <c r="CJ503" s="9"/>
      <c r="CK503" s="9"/>
      <c r="CL503" s="9"/>
      <c r="CM503" s="9"/>
      <c r="CN503" s="9"/>
      <c r="CO503" s="9"/>
      <c r="CP503" s="9"/>
    </row>
    <row r="504" spans="1:94" ht="90" x14ac:dyDescent="0.25">
      <c r="A504" s="127" t="s">
        <v>1633</v>
      </c>
      <c r="B504" s="51" t="s">
        <v>1634</v>
      </c>
      <c r="C504" s="50">
        <f t="shared" si="18"/>
        <v>5</v>
      </c>
      <c r="D504" s="57">
        <v>2</v>
      </c>
      <c r="E504" s="62" t="s">
        <v>1611</v>
      </c>
      <c r="F504" s="57">
        <v>7</v>
      </c>
      <c r="G504" s="50" t="s">
        <v>530</v>
      </c>
      <c r="H504" s="50">
        <f>VLOOKUP($A504,'[1]ma sp 02'!$A$5:$BD$1101,H$1,0)</f>
        <v>0.08</v>
      </c>
      <c r="I504" s="50">
        <f>VLOOKUP($A504,'[1]ma sp 02'!$A$5:$BD$1101,I$1,0)</f>
        <v>1.45</v>
      </c>
      <c r="J504" s="50">
        <f>VLOOKUP($A504,'[1]ma sp 02'!$A$5:$BD$1101,J$1,0)</f>
        <v>0</v>
      </c>
      <c r="K504" s="50">
        <f>VLOOKUP($A504,'[1]ma sp 02'!$A$5:$BD$1101,K$1,0)</f>
        <v>0.03</v>
      </c>
      <c r="L504" s="50">
        <f>VLOOKUP($A504,'[1]ma sp 02'!$A$5:$BD$1101,L$1,0)</f>
        <v>0.41</v>
      </c>
      <c r="M504" s="50">
        <f>VLOOKUP($A504,'[1]ma sp 02'!$A$5:$BD$1101,M$1,0)</f>
        <v>0.38</v>
      </c>
      <c r="N504" s="50">
        <f>VLOOKUP($A504,'[1]ma sp 02'!$A$5:$BD$1101,N$1,0)</f>
        <v>2.36</v>
      </c>
      <c r="O504" s="50">
        <f>VLOOKUP($A504,'[1]ma sp 02'!$A$5:$BD$1101,O$1,0)</f>
        <v>0</v>
      </c>
      <c r="P504" s="50">
        <f>VLOOKUP($A504,'[1]ma sp 02'!$A$5:$BD$1101,P$1,0)</f>
        <v>0.28999999999999998</v>
      </c>
      <c r="Q504" s="50">
        <f>VLOOKUP($A504,'[1]ma sp 02'!$A$5:$BD$1101,Q$1,0)</f>
        <v>0</v>
      </c>
      <c r="R504" s="50">
        <f>VLOOKUP($A504,'[1]ma sp 02'!$A$5:$BD$1101,R$1,0)</f>
        <v>0</v>
      </c>
      <c r="S504" s="50">
        <f>VLOOKUP($A504,'[1]ma sp 02'!$A$5:$BD$1101,S$1,0)</f>
        <v>0</v>
      </c>
      <c r="T504" s="50">
        <f>VLOOKUP($A504,'[1]ma sp 02'!$A$5:$BD$1101,T$1,0)</f>
        <v>0</v>
      </c>
      <c r="U504" s="50">
        <f>VLOOKUP($A504,'[1]ma sp 02'!$A$5:$BD$1101,U$1,0)</f>
        <v>0</v>
      </c>
      <c r="V504" s="50">
        <f>VLOOKUP($A504,'[1]ma sp 02'!$A$5:$BD$1101,V$1,0)</f>
        <v>0</v>
      </c>
      <c r="W504" s="50">
        <f>VLOOKUP($A504,'[1]ma sp 02'!$A$5:$BD$1101,W$1,0)</f>
        <v>0</v>
      </c>
      <c r="X504" s="50">
        <f t="shared" si="17"/>
        <v>7</v>
      </c>
      <c r="Y504" s="62"/>
      <c r="Z504" s="84"/>
      <c r="AA504" s="62"/>
      <c r="AB504" s="62"/>
      <c r="AC504" s="62"/>
      <c r="AD504" s="62"/>
      <c r="AE504" s="62" t="s">
        <v>1612</v>
      </c>
      <c r="AF504" s="52" t="s">
        <v>486</v>
      </c>
      <c r="AG504" s="71">
        <f>(0.012*1.4+0.012*1.4+0.075*0.925)*0.76</f>
        <v>7.8261000000000011E-2</v>
      </c>
      <c r="AH504" s="63">
        <f>(2.3/0.75/2)*0.75</f>
        <v>1.1499999999999999</v>
      </c>
      <c r="AI504" s="63">
        <f>(3/0.75/2)*0.75</f>
        <v>1.5</v>
      </c>
      <c r="AJ504" s="58">
        <v>9530</v>
      </c>
      <c r="AK504" s="58">
        <v>9530</v>
      </c>
      <c r="AL504" s="58" t="s">
        <v>117</v>
      </c>
      <c r="AM504" s="52" t="s">
        <v>60</v>
      </c>
      <c r="AN504" s="62">
        <v>420</v>
      </c>
      <c r="AO504" s="61" t="s">
        <v>332</v>
      </c>
      <c r="AP504" s="59" t="str">
        <f>IFERROR(VLOOKUP($A504,[2]Mssp!$A$5:$BE$1463,AP$4+1,0),0)</f>
        <v>X105141-1</v>
      </c>
      <c r="AQ504" s="59" t="str">
        <f>IFERROR(VLOOKUP($A504,[2]Mssp!$A$5:$BE$1463,AQ$4+1,0),0)</f>
        <v>X105142-2</v>
      </c>
      <c r="AR504" s="59" t="str">
        <f>IFERROR(VLOOKUP($A504,[2]Mssp!$A$5:$BE$1463,AR$4+1,0),0)</f>
        <v>X105142-3</v>
      </c>
      <c r="AS504" s="59" t="str">
        <f>IFERROR(VLOOKUP($A504,[2]Mssp!$A$5:$BE$1463,AS$4+1,0),0)</f>
        <v>X105141-4</v>
      </c>
      <c r="AT504" s="59" t="str">
        <f>IFERROR(VLOOKUP($A504,[2]Mssp!$A$5:$BE$1463,AT$4+1,0),0)</f>
        <v>X105141-5</v>
      </c>
      <c r="AU504" s="59" t="str">
        <f>IFERROR(VLOOKUP($A504,[2]Mssp!$A$5:$BE$1463,AU$4+1,0),0)</f>
        <v>X105142-6</v>
      </c>
      <c r="AV504" s="59" t="str">
        <f>IFERROR(VLOOKUP($A504,[2]Mssp!$A$5:$BE$1463,AV$4+1,0),0)</f>
        <v>X105142-7</v>
      </c>
      <c r="AW504" s="59">
        <f>IFERROR(VLOOKUP($A504,[2]Mssp!$A$5:$BE$1463,AW$4+1,0),0)</f>
        <v>0</v>
      </c>
      <c r="AX504" s="59">
        <f>IFERROR(VLOOKUP($A504,[2]Mssp!$A$5:$BE$1463,AX$4+1,0),0)</f>
        <v>0</v>
      </c>
      <c r="AY504" s="59" t="str">
        <f>IFERROR(VLOOKUP($A504,[2]Mssp!$A$5:$BE$1463,AY$4+2,0),0)</f>
        <v>420x860</v>
      </c>
      <c r="AZ504" s="59" t="str">
        <f>IFERROR(VLOOKUP($A504,[2]Mssp!$A$5:$BE$1463,AZ$4+2,0),0)</f>
        <v>G2</v>
      </c>
      <c r="BA504" s="60">
        <v>1500</v>
      </c>
      <c r="BB504" s="61" t="s">
        <v>119</v>
      </c>
      <c r="BC504" s="129" t="s">
        <v>1615</v>
      </c>
      <c r="BD504" s="138">
        <v>0.79</v>
      </c>
      <c r="BE504" s="131" t="s">
        <v>1616</v>
      </c>
      <c r="BF504" s="139">
        <v>0.2</v>
      </c>
      <c r="BG504" s="131" t="s">
        <v>1617</v>
      </c>
      <c r="BH504" s="139">
        <v>0.01</v>
      </c>
      <c r="BI504" s="140"/>
      <c r="BJ504" s="139"/>
      <c r="BK504" s="134" t="s">
        <v>1619</v>
      </c>
      <c r="BL504" s="139">
        <v>1</v>
      </c>
      <c r="BM504" s="131" t="s">
        <v>1618</v>
      </c>
      <c r="BN504" s="139"/>
      <c r="BO504" s="9"/>
      <c r="BP504" s="139"/>
      <c r="BQ504" s="139"/>
      <c r="BR504" s="139"/>
      <c r="BS504" s="135" t="s">
        <v>1619</v>
      </c>
      <c r="BT504" s="139">
        <v>0.79</v>
      </c>
      <c r="BU504" s="131" t="s">
        <v>1616</v>
      </c>
      <c r="BV504" s="139">
        <v>0.2</v>
      </c>
      <c r="BW504" s="131" t="s">
        <v>1620</v>
      </c>
      <c r="BX504" s="139"/>
      <c r="BY504" s="131" t="s">
        <v>1617</v>
      </c>
      <c r="BZ504" s="139">
        <v>0.01</v>
      </c>
      <c r="CA504" s="131" t="s">
        <v>1621</v>
      </c>
      <c r="CB504" s="139"/>
      <c r="CC504" s="131" t="s">
        <v>1622</v>
      </c>
      <c r="CD504" s="139"/>
      <c r="CE504" s="9"/>
      <c r="CF504" s="9"/>
      <c r="CG504" s="9"/>
      <c r="CH504" s="9"/>
      <c r="CI504" s="9"/>
      <c r="CJ504" s="9"/>
      <c r="CK504" s="9"/>
      <c r="CL504" s="9"/>
      <c r="CM504" s="9"/>
      <c r="CN504" s="9"/>
      <c r="CO504" s="9"/>
      <c r="CP504" s="9"/>
    </row>
    <row r="505" spans="1:94" ht="30" x14ac:dyDescent="0.25">
      <c r="A505" s="127" t="s">
        <v>1635</v>
      </c>
      <c r="B505" s="51" t="s">
        <v>1636</v>
      </c>
      <c r="C505" s="62"/>
      <c r="D505" s="62">
        <v>1</v>
      </c>
      <c r="E505" s="62" t="s">
        <v>1637</v>
      </c>
      <c r="F505" s="62">
        <v>7</v>
      </c>
      <c r="G505" s="62" t="s">
        <v>184</v>
      </c>
      <c r="H505" s="50">
        <f>VLOOKUP($A505,'[1]ma sp 02'!$A$5:$BD$1101,H$1,0)</f>
        <v>0.08</v>
      </c>
      <c r="I505" s="50">
        <f>VLOOKUP($A505,'[1]ma sp 02'!$A$5:$BD$1101,I$1,0)</f>
        <v>0.57999999999999996</v>
      </c>
      <c r="J505" s="50">
        <f>VLOOKUP($A505,'[1]ma sp 02'!$A$5:$BD$1101,J$1,0)</f>
        <v>0.21</v>
      </c>
      <c r="K505" s="50">
        <f>VLOOKUP($A505,'[1]ma sp 02'!$A$5:$BD$1101,K$1,0)</f>
        <v>0.19</v>
      </c>
      <c r="L505" s="50">
        <f>VLOOKUP($A505,'[1]ma sp 02'!$A$5:$BD$1101,L$1,0)</f>
        <v>3.15</v>
      </c>
      <c r="M505" s="50">
        <f>VLOOKUP($A505,'[1]ma sp 02'!$A$5:$BD$1101,M$1,0)</f>
        <v>0.4</v>
      </c>
      <c r="N505" s="50">
        <f>VLOOKUP($A505,'[1]ma sp 02'!$A$5:$BD$1101,N$1,0)</f>
        <v>0</v>
      </c>
      <c r="O505" s="50">
        <f>VLOOKUP($A505,'[1]ma sp 02'!$A$5:$BD$1101,O$1,0)</f>
        <v>0.25</v>
      </c>
      <c r="P505" s="50">
        <f>VLOOKUP($A505,'[1]ma sp 02'!$A$5:$BD$1101,P$1,0)</f>
        <v>0.08</v>
      </c>
      <c r="Q505" s="50">
        <f>VLOOKUP($A505,'[1]ma sp 02'!$A$5:$BD$1101,Q$1,0)</f>
        <v>0</v>
      </c>
      <c r="R505" s="50">
        <f>VLOOKUP($A505,'[1]ma sp 02'!$A$5:$BD$1101,R$1,0)</f>
        <v>0</v>
      </c>
      <c r="S505" s="50">
        <f>VLOOKUP($A505,'[1]ma sp 02'!$A$5:$BD$1101,S$1,0)</f>
        <v>0</v>
      </c>
      <c r="T505" s="50">
        <f>VLOOKUP($A505,'[1]ma sp 02'!$A$5:$BD$1101,T$1,0)</f>
        <v>0.04</v>
      </c>
      <c r="U505" s="50">
        <f>VLOOKUP($A505,'[1]ma sp 02'!$A$5:$BD$1101,U$1,0)</f>
        <v>0</v>
      </c>
      <c r="V505" s="50">
        <f>VLOOKUP($A505,'[1]ma sp 02'!$A$5:$BD$1101,V$1,0)</f>
        <v>0</v>
      </c>
      <c r="W505" s="50">
        <f>VLOOKUP($A505,'[1]ma sp 02'!$A$5:$BD$1101,W$1,0)</f>
        <v>0</v>
      </c>
      <c r="X505" s="50">
        <f t="shared" si="17"/>
        <v>9</v>
      </c>
      <c r="Y505" s="9"/>
      <c r="Z505" s="9"/>
      <c r="AA505" s="62"/>
      <c r="AB505" s="62"/>
      <c r="AC505" s="62"/>
      <c r="AD505" s="62"/>
      <c r="AE505" s="62"/>
      <c r="AF505" s="62"/>
      <c r="AG505" s="62"/>
      <c r="AH505" s="62"/>
      <c r="AI505" s="62"/>
      <c r="AJ505" s="62"/>
      <c r="AK505" s="62"/>
      <c r="AL505" s="62"/>
      <c r="AM505" s="61" t="s">
        <v>1489</v>
      </c>
      <c r="AN505" s="62"/>
      <c r="AO505" s="61" t="s">
        <v>527</v>
      </c>
      <c r="AP505" s="59" t="str">
        <f>IFERROR(VLOOKUP($A505,[2]Mssp!$A$5:$BE$1463,AP$4+1,0),0)</f>
        <v>19031031-1</v>
      </c>
      <c r="AQ505" s="59" t="str">
        <f>IFERROR(VLOOKUP($A505,[2]Mssp!$A$5:$BE$1463,AQ$4+1,0),0)</f>
        <v>19031031-2</v>
      </c>
      <c r="AR505" s="59" t="str">
        <f>IFERROR(VLOOKUP($A505,[2]Mssp!$A$5:$BE$1463,AR$4+1,0),0)</f>
        <v>19031031-3</v>
      </c>
      <c r="AS505" s="59" t="str">
        <f>IFERROR(VLOOKUP($A505,[2]Mssp!$A$5:$BE$1463,AS$4+1,0),0)</f>
        <v>19031031-4</v>
      </c>
      <c r="AT505" s="59" t="str">
        <f>IFERROR(VLOOKUP($A505,[2]Mssp!$A$5:$BE$1463,AT$4+1,0),0)</f>
        <v>19031031-5</v>
      </c>
      <c r="AU505" s="59" t="str">
        <f>IFERROR(VLOOKUP($A505,[2]Mssp!$A$5:$BE$1463,AU$4+1,0),0)</f>
        <v>19031031-6</v>
      </c>
      <c r="AV505" s="59" t="str">
        <f>IFERROR(VLOOKUP($A505,[2]Mssp!$A$5:$BE$1463,AV$4+1,0),0)</f>
        <v>19031031-7</v>
      </c>
      <c r="AW505" s="59">
        <f>IFERROR(VLOOKUP($A505,[2]Mssp!$A$5:$BE$1463,AW$4+1,0),0)</f>
        <v>0</v>
      </c>
      <c r="AX505" s="59">
        <f>IFERROR(VLOOKUP($A505,[2]Mssp!$A$5:$BE$1463,AX$4+1,0),0)</f>
        <v>0</v>
      </c>
      <c r="AY505" s="59" t="str">
        <f>IFERROR(VLOOKUP($A505,[2]Mssp!$A$5:$BE$1463,AY$4+2,0),0)</f>
        <v>670x1100</v>
      </c>
      <c r="AZ505" s="59" t="str">
        <f>IFERROR(VLOOKUP($A505,[2]Mssp!$A$5:$BE$1463,AZ$4+2,0),0)</f>
        <v>J2</v>
      </c>
      <c r="BA505" s="141">
        <v>6000</v>
      </c>
      <c r="BB505" s="61" t="s">
        <v>1638</v>
      </c>
      <c r="BC505" s="129"/>
      <c r="BD505" s="138"/>
      <c r="BE505" s="131"/>
      <c r="BF505" s="139"/>
      <c r="BG505" s="131"/>
      <c r="BH505" s="139"/>
      <c r="BI505" s="140"/>
      <c r="BJ505" s="139"/>
      <c r="BK505" s="134"/>
      <c r="BL505" s="139"/>
      <c r="BM505" s="131"/>
      <c r="BN505" s="139"/>
      <c r="BO505" s="9"/>
      <c r="BP505" s="139"/>
      <c r="BQ505" s="139"/>
      <c r="BR505" s="139"/>
      <c r="BS505" s="135"/>
      <c r="BT505" s="139"/>
      <c r="BU505" s="131"/>
      <c r="BV505" s="139"/>
      <c r="BW505" s="131"/>
      <c r="BX505" s="139"/>
      <c r="BY505" s="131"/>
      <c r="BZ505" s="139"/>
      <c r="CA505" s="131"/>
      <c r="CB505" s="139"/>
      <c r="CC505" s="131"/>
      <c r="CD505" s="139"/>
      <c r="CE505" s="9"/>
      <c r="CF505" s="9"/>
      <c r="CG505" s="9"/>
      <c r="CH505" s="9"/>
      <c r="CI505" s="9"/>
      <c r="CJ505" s="9"/>
      <c r="CK505" s="9"/>
      <c r="CL505" s="9"/>
      <c r="CM505" s="9"/>
      <c r="CN505" s="9"/>
      <c r="CO505" s="9"/>
      <c r="CP505" s="9"/>
    </row>
    <row r="506" spans="1:94" ht="30" x14ac:dyDescent="0.25">
      <c r="A506" s="127" t="s">
        <v>1639</v>
      </c>
      <c r="B506" s="51" t="s">
        <v>1640</v>
      </c>
      <c r="C506" s="62"/>
      <c r="D506" s="62">
        <v>1</v>
      </c>
      <c r="E506" s="62" t="s">
        <v>1637</v>
      </c>
      <c r="F506" s="62">
        <v>7</v>
      </c>
      <c r="G506" s="62" t="s">
        <v>184</v>
      </c>
      <c r="H506" s="50">
        <f>VLOOKUP($A506,'[1]ma sp 02'!$A$5:$BD$1101,H$1,0)</f>
        <v>0.03</v>
      </c>
      <c r="I506" s="50">
        <f>VLOOKUP($A506,'[1]ma sp 02'!$A$5:$BD$1101,I$1,0)</f>
        <v>0.3</v>
      </c>
      <c r="J506" s="50">
        <f>VLOOKUP($A506,'[1]ma sp 02'!$A$5:$BD$1101,J$1,0)</f>
        <v>0.1</v>
      </c>
      <c r="K506" s="50">
        <f>VLOOKUP($A506,'[1]ma sp 02'!$A$5:$BD$1101,K$1,0)</f>
        <v>7.0000000000000007E-2</v>
      </c>
      <c r="L506" s="50">
        <f>VLOOKUP($A506,'[1]ma sp 02'!$A$5:$BD$1101,L$1,0)</f>
        <v>1.39</v>
      </c>
      <c r="M506" s="50">
        <f>VLOOKUP($A506,'[1]ma sp 02'!$A$5:$BD$1101,M$1,0)</f>
        <v>0.85</v>
      </c>
      <c r="N506" s="50">
        <f>VLOOKUP($A506,'[1]ma sp 02'!$A$5:$BD$1101,N$1,0)</f>
        <v>0</v>
      </c>
      <c r="O506" s="50">
        <f>VLOOKUP($A506,'[1]ma sp 02'!$A$5:$BD$1101,O$1,0)</f>
        <v>0.1</v>
      </c>
      <c r="P506" s="50">
        <f>VLOOKUP($A506,'[1]ma sp 02'!$A$5:$BD$1101,P$1,0)</f>
        <v>0.05</v>
      </c>
      <c r="Q506" s="50">
        <f>VLOOKUP($A506,'[1]ma sp 02'!$A$5:$BD$1101,Q$1,0)</f>
        <v>0.03</v>
      </c>
      <c r="R506" s="50">
        <f>VLOOKUP($A506,'[1]ma sp 02'!$A$5:$BD$1101,R$1,0)</f>
        <v>0</v>
      </c>
      <c r="S506" s="50">
        <f>VLOOKUP($A506,'[1]ma sp 02'!$A$5:$BD$1101,S$1,0)</f>
        <v>0</v>
      </c>
      <c r="T506" s="50">
        <f>VLOOKUP($A506,'[1]ma sp 02'!$A$5:$BD$1101,T$1,0)</f>
        <v>0.03</v>
      </c>
      <c r="U506" s="50">
        <f>VLOOKUP($A506,'[1]ma sp 02'!$A$5:$BD$1101,U$1,0)</f>
        <v>0</v>
      </c>
      <c r="V506" s="50">
        <f>VLOOKUP($A506,'[1]ma sp 02'!$A$5:$BD$1101,V$1,0)</f>
        <v>0</v>
      </c>
      <c r="W506" s="50">
        <f>VLOOKUP($A506,'[1]ma sp 02'!$A$5:$BD$1101,W$1,0)</f>
        <v>0</v>
      </c>
      <c r="X506" s="50">
        <f t="shared" si="17"/>
        <v>10</v>
      </c>
      <c r="Y506" s="9"/>
      <c r="Z506" s="9"/>
      <c r="AA506" s="62"/>
      <c r="AB506" s="62"/>
      <c r="AC506" s="62"/>
      <c r="AD506" s="62"/>
      <c r="AE506" s="62"/>
      <c r="AF506" s="62"/>
      <c r="AG506" s="62"/>
      <c r="AH506" s="62"/>
      <c r="AI506" s="62"/>
      <c r="AJ506" s="62"/>
      <c r="AK506" s="62"/>
      <c r="AL506" s="62"/>
      <c r="AM506" s="61" t="s">
        <v>1489</v>
      </c>
      <c r="AN506" s="62"/>
      <c r="AO506" s="61" t="s">
        <v>527</v>
      </c>
      <c r="AP506" s="59" t="str">
        <f>IFERROR(VLOOKUP($A506,[2]Mssp!$A$5:$BE$1463,AP$4+1,0),0)</f>
        <v>19031031-1</v>
      </c>
      <c r="AQ506" s="59" t="str">
        <f>IFERROR(VLOOKUP($A506,[2]Mssp!$A$5:$BE$1463,AQ$4+1,0),0)</f>
        <v>19031031-2</v>
      </c>
      <c r="AR506" s="59" t="str">
        <f>IFERROR(VLOOKUP($A506,[2]Mssp!$A$5:$BE$1463,AR$4+1,0),0)</f>
        <v>19031031-3</v>
      </c>
      <c r="AS506" s="59" t="str">
        <f>IFERROR(VLOOKUP($A506,[2]Mssp!$A$5:$BE$1463,AS$4+1,0),0)</f>
        <v>19031031-4</v>
      </c>
      <c r="AT506" s="59" t="str">
        <f>IFERROR(VLOOKUP($A506,[2]Mssp!$A$5:$BE$1463,AT$4+1,0),0)</f>
        <v>19031031-5</v>
      </c>
      <c r="AU506" s="59" t="str">
        <f>IFERROR(VLOOKUP($A506,[2]Mssp!$A$5:$BE$1463,AU$4+1,0),0)</f>
        <v>19031033-6</v>
      </c>
      <c r="AV506" s="59" t="str">
        <f>IFERROR(VLOOKUP($A506,[2]Mssp!$A$5:$BE$1463,AV$4+1,0),0)</f>
        <v>19031031-7</v>
      </c>
      <c r="AW506" s="59">
        <f>IFERROR(VLOOKUP($A506,[2]Mssp!$A$5:$BE$1463,AW$4+1,0),0)</f>
        <v>0</v>
      </c>
      <c r="AX506" s="59">
        <f>IFERROR(VLOOKUP($A506,[2]Mssp!$A$5:$BE$1463,AX$4+1,0),0)</f>
        <v>0</v>
      </c>
      <c r="AY506" s="59" t="str">
        <f>IFERROR(VLOOKUP($A506,[2]Mssp!$A$5:$BE$1463,AY$4+2,0),0)</f>
        <v>670x1100</v>
      </c>
      <c r="AZ506" s="59" t="str">
        <f>IFERROR(VLOOKUP($A506,[2]Mssp!$A$5:$BE$1463,AZ$4+2,0),0)</f>
        <v>J2</v>
      </c>
      <c r="BA506" s="141">
        <v>6000</v>
      </c>
      <c r="BB506" s="61" t="s">
        <v>1638</v>
      </c>
      <c r="BC506" s="129"/>
      <c r="BD506" s="138"/>
      <c r="BE506" s="131"/>
      <c r="BF506" s="139"/>
      <c r="BG506" s="131"/>
      <c r="BH506" s="139"/>
      <c r="BI506" s="140"/>
      <c r="BJ506" s="139"/>
      <c r="BK506" s="134"/>
      <c r="BL506" s="139"/>
      <c r="BM506" s="131"/>
      <c r="BN506" s="139"/>
      <c r="BO506" s="9"/>
      <c r="BP506" s="139"/>
      <c r="BQ506" s="139"/>
      <c r="BR506" s="139"/>
      <c r="BS506" s="135"/>
      <c r="BT506" s="139"/>
      <c r="BU506" s="131"/>
      <c r="BV506" s="139"/>
      <c r="BW506" s="131"/>
      <c r="BX506" s="139"/>
      <c r="BY506" s="131"/>
      <c r="BZ506" s="139"/>
      <c r="CA506" s="131"/>
      <c r="CB506" s="139"/>
      <c r="CC506" s="131"/>
      <c r="CD506" s="139"/>
      <c r="CE506" s="9"/>
      <c r="CF506" s="9"/>
      <c r="CG506" s="9"/>
      <c r="CH506" s="9"/>
      <c r="CI506" s="9"/>
      <c r="CJ506" s="9"/>
      <c r="CK506" s="9"/>
      <c r="CL506" s="9"/>
      <c r="CM506" s="9"/>
      <c r="CN506" s="9"/>
      <c r="CO506" s="9"/>
      <c r="CP506" s="9"/>
    </row>
    <row r="507" spans="1:94" ht="30" x14ac:dyDescent="0.25">
      <c r="A507" s="127" t="s">
        <v>1641</v>
      </c>
      <c r="B507" s="51" t="s">
        <v>1642</v>
      </c>
      <c r="C507" s="62"/>
      <c r="D507" s="62">
        <v>1</v>
      </c>
      <c r="E507" s="62" t="s">
        <v>1637</v>
      </c>
      <c r="F507" s="62">
        <v>7</v>
      </c>
      <c r="G507" s="62" t="s">
        <v>184</v>
      </c>
      <c r="H507" s="50">
        <f>VLOOKUP($A507,'[1]ma sp 02'!$A$5:$BD$1101,H$1,0)</f>
        <v>0.04</v>
      </c>
      <c r="I507" s="50">
        <f>VLOOKUP($A507,'[1]ma sp 02'!$A$5:$BD$1101,I$1,0)</f>
        <v>0.27</v>
      </c>
      <c r="J507" s="50">
        <f>VLOOKUP($A507,'[1]ma sp 02'!$A$5:$BD$1101,J$1,0)</f>
        <v>0.1</v>
      </c>
      <c r="K507" s="50">
        <f>VLOOKUP($A507,'[1]ma sp 02'!$A$5:$BD$1101,K$1,0)</f>
        <v>0.08</v>
      </c>
      <c r="L507" s="50">
        <f>VLOOKUP($A507,'[1]ma sp 02'!$A$5:$BD$1101,L$1,0)</f>
        <v>1.58</v>
      </c>
      <c r="M507" s="50">
        <f>VLOOKUP($A507,'[1]ma sp 02'!$A$5:$BD$1101,M$1,0)</f>
        <v>0.99</v>
      </c>
      <c r="N507" s="50">
        <f>VLOOKUP($A507,'[1]ma sp 02'!$A$5:$BD$1101,N$1,0)</f>
        <v>0</v>
      </c>
      <c r="O507" s="50">
        <f>VLOOKUP($A507,'[1]ma sp 02'!$A$5:$BD$1101,O$1,0)</f>
        <v>0.11</v>
      </c>
      <c r="P507" s="50">
        <f>VLOOKUP($A507,'[1]ma sp 02'!$A$5:$BD$1101,P$1,0)</f>
        <v>0.06</v>
      </c>
      <c r="Q507" s="50">
        <f>VLOOKUP($A507,'[1]ma sp 02'!$A$5:$BD$1101,Q$1,0)</f>
        <v>0.04</v>
      </c>
      <c r="R507" s="50">
        <f>VLOOKUP($A507,'[1]ma sp 02'!$A$5:$BD$1101,R$1,0)</f>
        <v>0</v>
      </c>
      <c r="S507" s="50">
        <f>VLOOKUP($A507,'[1]ma sp 02'!$A$5:$BD$1101,S$1,0)</f>
        <v>0</v>
      </c>
      <c r="T507" s="50">
        <f>VLOOKUP($A507,'[1]ma sp 02'!$A$5:$BD$1101,T$1,0)</f>
        <v>0.04</v>
      </c>
      <c r="U507" s="50">
        <f>VLOOKUP($A507,'[1]ma sp 02'!$A$5:$BD$1101,U$1,0)</f>
        <v>0</v>
      </c>
      <c r="V507" s="50">
        <f>VLOOKUP($A507,'[1]ma sp 02'!$A$5:$BD$1101,V$1,0)</f>
        <v>0</v>
      </c>
      <c r="W507" s="50">
        <f>VLOOKUP($A507,'[1]ma sp 02'!$A$5:$BD$1101,W$1,0)</f>
        <v>0</v>
      </c>
      <c r="X507" s="50">
        <f t="shared" si="17"/>
        <v>10</v>
      </c>
      <c r="Y507" s="57"/>
      <c r="Z507" s="109"/>
      <c r="AA507" s="57"/>
      <c r="AB507" s="57"/>
      <c r="AC507" s="57"/>
      <c r="AD507" s="57"/>
      <c r="AE507" s="62"/>
      <c r="AF507" s="62"/>
      <c r="AG507" s="62"/>
      <c r="AH507" s="62"/>
      <c r="AI507" s="62"/>
      <c r="AJ507" s="62"/>
      <c r="AK507" s="62"/>
      <c r="AL507" s="62"/>
      <c r="AM507" s="61" t="s">
        <v>1489</v>
      </c>
      <c r="AN507" s="62"/>
      <c r="AO507" s="61" t="s">
        <v>527</v>
      </c>
      <c r="AP507" s="59" t="str">
        <f>IFERROR(VLOOKUP($A507,[2]Mssp!$A$5:$BE$1463,AP$4+1,0),0)</f>
        <v>19031031-1</v>
      </c>
      <c r="AQ507" s="59" t="str">
        <f>IFERROR(VLOOKUP($A507,[2]Mssp!$A$5:$BE$1463,AQ$4+1,0),0)</f>
        <v>19031031-2</v>
      </c>
      <c r="AR507" s="59" t="str">
        <f>IFERROR(VLOOKUP($A507,[2]Mssp!$A$5:$BE$1463,AR$4+1,0),0)</f>
        <v>19031031-3</v>
      </c>
      <c r="AS507" s="59" t="str">
        <f>IFERROR(VLOOKUP($A507,[2]Mssp!$A$5:$BE$1463,AS$4+1,0),0)</f>
        <v>19031031-4</v>
      </c>
      <c r="AT507" s="59" t="str">
        <f>IFERROR(VLOOKUP($A507,[2]Mssp!$A$5:$BE$1463,AT$4+1,0),0)</f>
        <v>19031032-5</v>
      </c>
      <c r="AU507" s="59" t="str">
        <f>IFERROR(VLOOKUP($A507,[2]Mssp!$A$5:$BE$1463,AU$4+1,0),0)</f>
        <v>19031032-6</v>
      </c>
      <c r="AV507" s="59" t="str">
        <f>IFERROR(VLOOKUP($A507,[2]Mssp!$A$5:$BE$1463,AV$4+1,0),0)</f>
        <v>19031031-7</v>
      </c>
      <c r="AW507" s="59">
        <f>IFERROR(VLOOKUP($A507,[2]Mssp!$A$5:$BE$1463,AW$4+1,0),0)</f>
        <v>0</v>
      </c>
      <c r="AX507" s="59">
        <f>IFERROR(VLOOKUP($A507,[2]Mssp!$A$5:$BE$1463,AX$4+1,0),0)</f>
        <v>0</v>
      </c>
      <c r="AY507" s="59" t="str">
        <f>IFERROR(VLOOKUP($A507,[2]Mssp!$A$5:$BE$1463,AY$4+2,0),0)</f>
        <v>670x1100</v>
      </c>
      <c r="AZ507" s="59" t="str">
        <f>IFERROR(VLOOKUP($A507,[2]Mssp!$A$5:$BE$1463,AZ$4+2,0),0)</f>
        <v>J2</v>
      </c>
      <c r="BA507" s="141">
        <v>6000</v>
      </c>
      <c r="BB507" s="61" t="s">
        <v>1638</v>
      </c>
      <c r="BC507" s="129"/>
      <c r="BD507" s="138"/>
      <c r="BE507" s="131"/>
      <c r="BF507" s="139"/>
      <c r="BG507" s="131"/>
      <c r="BH507" s="139"/>
      <c r="BI507" s="140"/>
      <c r="BJ507" s="139"/>
      <c r="BK507" s="134"/>
      <c r="BL507" s="139"/>
      <c r="BM507" s="131"/>
      <c r="BN507" s="139"/>
      <c r="BO507" s="9"/>
      <c r="BP507" s="139"/>
      <c r="BQ507" s="139"/>
      <c r="BR507" s="139"/>
      <c r="BS507" s="135"/>
      <c r="BT507" s="139"/>
      <c r="BU507" s="131"/>
      <c r="BV507" s="139"/>
      <c r="BW507" s="131"/>
      <c r="BX507" s="139"/>
      <c r="BY507" s="131"/>
      <c r="BZ507" s="139"/>
      <c r="CA507" s="131"/>
      <c r="CB507" s="139"/>
      <c r="CC507" s="131"/>
      <c r="CD507" s="139"/>
      <c r="CE507" s="9"/>
      <c r="CF507" s="9"/>
      <c r="CG507" s="9"/>
      <c r="CH507" s="9"/>
      <c r="CI507" s="9"/>
      <c r="CJ507" s="9"/>
      <c r="CK507" s="9"/>
      <c r="CL507" s="9"/>
      <c r="CM507" s="9"/>
      <c r="CN507" s="9"/>
      <c r="CO507" s="9"/>
      <c r="CP507" s="9"/>
    </row>
    <row r="508" spans="1:94" ht="30" x14ac:dyDescent="0.25">
      <c r="A508" s="127" t="s">
        <v>1643</v>
      </c>
      <c r="B508" s="51" t="s">
        <v>1644</v>
      </c>
      <c r="C508" s="62"/>
      <c r="D508" s="62">
        <v>1</v>
      </c>
      <c r="E508" s="62" t="s">
        <v>1637</v>
      </c>
      <c r="F508" s="62">
        <v>7</v>
      </c>
      <c r="G508" s="62" t="s">
        <v>184</v>
      </c>
      <c r="H508" s="50">
        <f>VLOOKUP($A508,'[1]ma sp 02'!$A$5:$BD$1101,H$1,0)</f>
        <v>0.2</v>
      </c>
      <c r="I508" s="50">
        <f>VLOOKUP($A508,'[1]ma sp 02'!$A$5:$BD$1101,I$1,0)</f>
        <v>0.56999999999999995</v>
      </c>
      <c r="J508" s="50">
        <f>VLOOKUP($A508,'[1]ma sp 02'!$A$5:$BD$1101,J$1,0)</f>
        <v>0.19</v>
      </c>
      <c r="K508" s="50">
        <f>VLOOKUP($A508,'[1]ma sp 02'!$A$5:$BD$1101,K$1,0)</f>
        <v>0.14000000000000001</v>
      </c>
      <c r="L508" s="50">
        <f>VLOOKUP($A508,'[1]ma sp 02'!$A$5:$BD$1101,L$1,0)</f>
        <v>2.57</v>
      </c>
      <c r="M508" s="50">
        <f>VLOOKUP($A508,'[1]ma sp 02'!$A$5:$BD$1101,M$1,0)</f>
        <v>1.62</v>
      </c>
      <c r="N508" s="50">
        <f>VLOOKUP($A508,'[1]ma sp 02'!$A$5:$BD$1101,N$1,0)</f>
        <v>0</v>
      </c>
      <c r="O508" s="50">
        <f>VLOOKUP($A508,'[1]ma sp 02'!$A$5:$BD$1101,O$1,0)</f>
        <v>0.01</v>
      </c>
      <c r="P508" s="50">
        <f>VLOOKUP($A508,'[1]ma sp 02'!$A$5:$BD$1101,P$1,0)</f>
        <v>0.02</v>
      </c>
      <c r="Q508" s="50">
        <f>VLOOKUP($A508,'[1]ma sp 02'!$A$5:$BD$1101,Q$1,0)</f>
        <v>0</v>
      </c>
      <c r="R508" s="50">
        <f>VLOOKUP($A508,'[1]ma sp 02'!$A$5:$BD$1101,R$1,0)</f>
        <v>0</v>
      </c>
      <c r="S508" s="50">
        <f>VLOOKUP($A508,'[1]ma sp 02'!$A$5:$BD$1101,S$1,0)</f>
        <v>0</v>
      </c>
      <c r="T508" s="50">
        <f>VLOOKUP($A508,'[1]ma sp 02'!$A$5:$BD$1101,T$1,0)</f>
        <v>0.05</v>
      </c>
      <c r="U508" s="50">
        <f>VLOOKUP($A508,'[1]ma sp 02'!$A$5:$BD$1101,U$1,0)</f>
        <v>0</v>
      </c>
      <c r="V508" s="50">
        <f>VLOOKUP($A508,'[1]ma sp 02'!$A$5:$BD$1101,V$1,0)</f>
        <v>0</v>
      </c>
      <c r="W508" s="50">
        <f>VLOOKUP($A508,'[1]ma sp 02'!$A$5:$BD$1101,W$1,0)</f>
        <v>0</v>
      </c>
      <c r="X508" s="50">
        <f t="shared" si="17"/>
        <v>9</v>
      </c>
      <c r="Y508" s="57"/>
      <c r="Z508" s="109"/>
      <c r="AA508" s="58">
        <v>0.5</v>
      </c>
      <c r="AB508" s="57"/>
      <c r="AC508" s="57"/>
      <c r="AD508" s="57"/>
      <c r="AE508" s="62"/>
      <c r="AF508" s="62"/>
      <c r="AG508" s="62"/>
      <c r="AH508" s="62"/>
      <c r="AI508" s="62"/>
      <c r="AJ508" s="62"/>
      <c r="AK508" s="62"/>
      <c r="AL508" s="62"/>
      <c r="AM508" s="61" t="s">
        <v>1489</v>
      </c>
      <c r="AN508" s="62"/>
      <c r="AO508" s="61" t="s">
        <v>527</v>
      </c>
      <c r="AP508" s="59" t="str">
        <f>IFERROR(VLOOKUP($A508,[2]Mssp!$A$5:$BE$1463,AP$4+1,0),0)</f>
        <v>1803915-1</v>
      </c>
      <c r="AQ508" s="59" t="str">
        <f>IFERROR(VLOOKUP($A508,[2]Mssp!$A$5:$BE$1463,AQ$4+1,0),0)</f>
        <v>16100638-2</v>
      </c>
      <c r="AR508" s="59" t="str">
        <f>IFERROR(VLOOKUP($A508,[2]Mssp!$A$5:$BE$1463,AR$4+1,0),0)</f>
        <v>1610638-3</v>
      </c>
      <c r="AS508" s="59" t="str">
        <f>IFERROR(VLOOKUP($A508,[2]Mssp!$A$5:$BE$1463,AS$4+1,0),0)</f>
        <v>1610638-4</v>
      </c>
      <c r="AT508" s="59" t="str">
        <f>IFERROR(VLOOKUP($A508,[2]Mssp!$A$5:$BE$1463,AT$4+1,0),0)</f>
        <v>19031029-5</v>
      </c>
      <c r="AU508" s="59" t="str">
        <f>IFERROR(VLOOKUP($A508,[2]Mssp!$A$5:$BE$1463,AU$4+1,0),0)</f>
        <v>19031029-6</v>
      </c>
      <c r="AV508" s="59" t="str">
        <f>IFERROR(VLOOKUP($A508,[2]Mssp!$A$5:$BE$1463,AV$4+1,0),0)</f>
        <v>19031031-7</v>
      </c>
      <c r="AW508" s="142" t="str">
        <f>IFERROR(VLOOKUP($A508,[2]Mssp!$A$5:$BE$1463,AW$4+1,0),0)</f>
        <v>19031029-1.2.3.4 mẫu cũ</v>
      </c>
      <c r="AX508" s="59">
        <f>IFERROR(VLOOKUP($A508,[2]Mssp!$A$5:$BE$1463,AX$4+1,0),0)</f>
        <v>0</v>
      </c>
      <c r="AY508" s="59" t="str">
        <f>IFERROR(VLOOKUP($A508,[2]Mssp!$A$5:$BE$1463,AY$4+2,0),0)</f>
        <v>670x1100</v>
      </c>
      <c r="AZ508" s="59" t="str">
        <f>IFERROR(VLOOKUP($A508,[2]Mssp!$A$5:$BE$1463,AZ$4+2,0),0)</f>
        <v>J2</v>
      </c>
      <c r="BA508" s="141">
        <v>6000</v>
      </c>
      <c r="BB508" s="61" t="s">
        <v>1638</v>
      </c>
      <c r="BC508" s="129"/>
      <c r="BD508" s="138"/>
      <c r="BE508" s="131"/>
      <c r="BF508" s="139"/>
      <c r="BG508" s="131"/>
      <c r="BH508" s="139"/>
      <c r="BI508" s="140"/>
      <c r="BJ508" s="139"/>
      <c r="BK508" s="134"/>
      <c r="BL508" s="139"/>
      <c r="BM508" s="131"/>
      <c r="BN508" s="139"/>
      <c r="BO508" s="9"/>
      <c r="BP508" s="139"/>
      <c r="BQ508" s="139"/>
      <c r="BR508" s="139"/>
      <c r="BS508" s="135"/>
      <c r="BT508" s="139"/>
      <c r="BU508" s="131"/>
      <c r="BV508" s="139"/>
      <c r="BW508" s="131"/>
      <c r="BX508" s="139"/>
      <c r="BY508" s="131"/>
      <c r="BZ508" s="139"/>
      <c r="CA508" s="131"/>
      <c r="CB508" s="139"/>
      <c r="CC508" s="131"/>
      <c r="CD508" s="139"/>
      <c r="CE508" s="9"/>
      <c r="CF508" s="9"/>
      <c r="CG508" s="9"/>
      <c r="CH508" s="9"/>
      <c r="CI508" s="9"/>
      <c r="CJ508" s="9"/>
      <c r="CK508" s="9"/>
      <c r="CL508" s="9"/>
      <c r="CM508" s="9"/>
      <c r="CN508" s="9"/>
      <c r="CO508" s="9"/>
      <c r="CP508" s="9"/>
    </row>
    <row r="509" spans="1:94" ht="30" x14ac:dyDescent="0.25">
      <c r="A509" s="127" t="s">
        <v>1645</v>
      </c>
      <c r="B509" s="51" t="s">
        <v>1646</v>
      </c>
      <c r="C509" s="62"/>
      <c r="D509" s="62">
        <v>1</v>
      </c>
      <c r="E509" s="62" t="s">
        <v>1637</v>
      </c>
      <c r="F509" s="62">
        <v>7</v>
      </c>
      <c r="G509" s="62" t="s">
        <v>184</v>
      </c>
      <c r="H509" s="50">
        <f>VLOOKUP($A509,'[1]ma sp 02'!$A$5:$BD$1101,H$1,0)</f>
        <v>0.14000000000000001</v>
      </c>
      <c r="I509" s="50">
        <f>VLOOKUP($A509,'[1]ma sp 02'!$A$5:$BD$1101,I$1,0)</f>
        <v>0</v>
      </c>
      <c r="J509" s="50">
        <f>VLOOKUP($A509,'[1]ma sp 02'!$A$5:$BD$1101,J$1,0)</f>
        <v>0</v>
      </c>
      <c r="K509" s="50">
        <f>VLOOKUP($A509,'[1]ma sp 02'!$A$5:$BD$1101,K$1,0)</f>
        <v>0.22</v>
      </c>
      <c r="L509" s="50">
        <f>VLOOKUP($A509,'[1]ma sp 02'!$A$5:$BD$1101,L$1,0)</f>
        <v>2.64</v>
      </c>
      <c r="M509" s="50">
        <f>VLOOKUP($A509,'[1]ma sp 02'!$A$5:$BD$1101,M$1,0)</f>
        <v>1.9</v>
      </c>
      <c r="N509" s="50">
        <f>VLOOKUP($A509,'[1]ma sp 02'!$A$5:$BD$1101,N$1,0)</f>
        <v>0</v>
      </c>
      <c r="O509" s="50">
        <f>VLOOKUP($A509,'[1]ma sp 02'!$A$5:$BD$1101,O$1,0)</f>
        <v>0.28999999999999998</v>
      </c>
      <c r="P509" s="50">
        <f>VLOOKUP($A509,'[1]ma sp 02'!$A$5:$BD$1101,P$1,0)</f>
        <v>0</v>
      </c>
      <c r="Q509" s="50">
        <f>VLOOKUP($A509,'[1]ma sp 02'!$A$5:$BD$1101,Q$1,0)</f>
        <v>0</v>
      </c>
      <c r="R509" s="50">
        <f>VLOOKUP($A509,'[1]ma sp 02'!$A$5:$BD$1101,R$1,0)</f>
        <v>0</v>
      </c>
      <c r="S509" s="50">
        <f>VLOOKUP($A509,'[1]ma sp 02'!$A$5:$BD$1101,S$1,0)</f>
        <v>0</v>
      </c>
      <c r="T509" s="50">
        <f>VLOOKUP($A509,'[1]ma sp 02'!$A$5:$BD$1101,T$1,0)</f>
        <v>0.22</v>
      </c>
      <c r="U509" s="50">
        <f>VLOOKUP($A509,'[1]ma sp 02'!$A$5:$BD$1101,U$1,0)</f>
        <v>0</v>
      </c>
      <c r="V509" s="50">
        <f>VLOOKUP($A509,'[1]ma sp 02'!$A$5:$BD$1101,V$1,0)</f>
        <v>0</v>
      </c>
      <c r="W509" s="50">
        <f>VLOOKUP($A509,'[1]ma sp 02'!$A$5:$BD$1101,W$1,0)</f>
        <v>0</v>
      </c>
      <c r="X509" s="50">
        <f t="shared" si="17"/>
        <v>6</v>
      </c>
      <c r="Y509" s="57"/>
      <c r="Z509" s="109"/>
      <c r="AA509" s="57"/>
      <c r="AB509" s="57"/>
      <c r="AC509" s="57"/>
      <c r="AD509" s="57"/>
      <c r="AE509" s="62"/>
      <c r="AF509" s="62"/>
      <c r="AG509" s="62"/>
      <c r="AH509" s="62"/>
      <c r="AI509" s="62"/>
      <c r="AJ509" s="62"/>
      <c r="AK509" s="62"/>
      <c r="AL509" s="62"/>
      <c r="AM509" s="61" t="s">
        <v>1489</v>
      </c>
      <c r="AN509" s="62"/>
      <c r="AO509" s="61" t="s">
        <v>527</v>
      </c>
      <c r="AP509" s="59" t="str">
        <f>IFERROR(VLOOKUP($A509,[2]Mssp!$A$5:$BE$1463,AP$4+1,0),0)</f>
        <v>1803915-1</v>
      </c>
      <c r="AQ509" s="59" t="str">
        <f>IFERROR(VLOOKUP($A509,[2]Mssp!$A$5:$BE$1463,AQ$4+1,0),0)</f>
        <v>16100638-2</v>
      </c>
      <c r="AR509" s="59" t="str">
        <f>IFERROR(VLOOKUP($A509,[2]Mssp!$A$5:$BE$1463,AR$4+1,0),0)</f>
        <v>1610638-3</v>
      </c>
      <c r="AS509" s="59" t="str">
        <f>IFERROR(VLOOKUP($A509,[2]Mssp!$A$5:$BE$1463,AS$4+1,0),0)</f>
        <v>1610638-4</v>
      </c>
      <c r="AT509" s="59" t="str">
        <f>IFERROR(VLOOKUP($A509,[2]Mssp!$A$5:$BE$1463,AT$4+1,0),0)</f>
        <v>19031029-5</v>
      </c>
      <c r="AU509" s="59" t="str">
        <f>IFERROR(VLOOKUP($A509,[2]Mssp!$A$5:$BE$1463,AU$4+1,0),0)</f>
        <v>19031030-6</v>
      </c>
      <c r="AV509" s="59" t="str">
        <f>IFERROR(VLOOKUP($A509,[2]Mssp!$A$5:$BE$1463,AV$4+1,0),0)</f>
        <v>19031031-7</v>
      </c>
      <c r="AW509" s="59">
        <f>IFERROR(VLOOKUP($A509,[2]Mssp!$A$5:$BE$1463,AW$4+1,0),0)</f>
        <v>0</v>
      </c>
      <c r="AX509" s="59">
        <f>IFERROR(VLOOKUP($A509,[2]Mssp!$A$5:$BE$1463,AX$4+1,0),0)</f>
        <v>0</v>
      </c>
      <c r="AY509" s="59" t="str">
        <f>IFERROR(VLOOKUP($A509,[2]Mssp!$A$5:$BE$1463,AY$4+2,0),0)</f>
        <v>670x1100</v>
      </c>
      <c r="AZ509" s="59" t="str">
        <f>IFERROR(VLOOKUP($A509,[2]Mssp!$A$5:$BE$1463,AZ$4+2,0),0)</f>
        <v>J2</v>
      </c>
      <c r="BA509" s="141">
        <v>6000</v>
      </c>
      <c r="BB509" s="61" t="s">
        <v>1638</v>
      </c>
      <c r="BC509" s="129"/>
      <c r="BD509" s="138"/>
      <c r="BE509" s="131"/>
      <c r="BF509" s="139"/>
      <c r="BG509" s="131"/>
      <c r="BH509" s="139"/>
      <c r="BI509" s="140"/>
      <c r="BJ509" s="139"/>
      <c r="BK509" s="134"/>
      <c r="BL509" s="139"/>
      <c r="BM509" s="131"/>
      <c r="BN509" s="139"/>
      <c r="BO509" s="9"/>
      <c r="BP509" s="139"/>
      <c r="BQ509" s="139"/>
      <c r="BR509" s="139"/>
      <c r="BS509" s="135"/>
      <c r="BT509" s="139"/>
      <c r="BU509" s="131"/>
      <c r="BV509" s="139"/>
      <c r="BW509" s="131"/>
      <c r="BX509" s="139"/>
      <c r="BY509" s="131"/>
      <c r="BZ509" s="139"/>
      <c r="CA509" s="131"/>
      <c r="CB509" s="139"/>
      <c r="CC509" s="131"/>
      <c r="CD509" s="139"/>
      <c r="CE509" s="9"/>
      <c r="CF509" s="9"/>
      <c r="CG509" s="9"/>
      <c r="CH509" s="9"/>
      <c r="CI509" s="9"/>
      <c r="CJ509" s="9"/>
      <c r="CK509" s="9"/>
      <c r="CL509" s="9"/>
      <c r="CM509" s="9"/>
      <c r="CN509" s="9"/>
      <c r="CO509" s="9"/>
      <c r="CP509" s="9"/>
    </row>
    <row r="510" spans="1:94" ht="90" x14ac:dyDescent="0.25">
      <c r="A510" s="127" t="s">
        <v>1647</v>
      </c>
      <c r="B510" s="51" t="s">
        <v>1648</v>
      </c>
      <c r="C510" s="62"/>
      <c r="D510" s="62"/>
      <c r="E510" s="62" t="s">
        <v>1611</v>
      </c>
      <c r="F510" s="57">
        <v>7</v>
      </c>
      <c r="G510" s="50" t="s">
        <v>530</v>
      </c>
      <c r="H510" s="50">
        <f>VLOOKUP($A510,'[1]ma sp 02'!$A$5:$BD$1101,H$1,0)</f>
        <v>0.23</v>
      </c>
      <c r="I510" s="50">
        <f>VLOOKUP($A510,'[1]ma sp 02'!$A$5:$BD$1101,I$1,0)</f>
        <v>1.89</v>
      </c>
      <c r="J510" s="50">
        <f>VLOOKUP($A510,'[1]ma sp 02'!$A$5:$BD$1101,J$1,0)</f>
        <v>0.46</v>
      </c>
      <c r="K510" s="50">
        <f>VLOOKUP($A510,'[1]ma sp 02'!$A$5:$BD$1101,K$1,0)</f>
        <v>0.01</v>
      </c>
      <c r="L510" s="50">
        <f>VLOOKUP($A510,'[1]ma sp 02'!$A$5:$BD$1101,L$1,0)</f>
        <v>1.26</v>
      </c>
      <c r="M510" s="50">
        <f>VLOOKUP($A510,'[1]ma sp 02'!$A$5:$BD$1101,M$1,0)</f>
        <v>1.147</v>
      </c>
      <c r="N510" s="50">
        <f>VLOOKUP($A510,'[1]ma sp 02'!$A$5:$BD$1101,N$1,0)</f>
        <v>2.06</v>
      </c>
      <c r="O510" s="50">
        <f>VLOOKUP($A510,'[1]ma sp 02'!$A$5:$BD$1101,O$1,0)</f>
        <v>0.06</v>
      </c>
      <c r="P510" s="50">
        <f>VLOOKUP($A510,'[1]ma sp 02'!$A$5:$BD$1101,P$1,0)</f>
        <v>0</v>
      </c>
      <c r="Q510" s="50">
        <f>VLOOKUP($A510,'[1]ma sp 02'!$A$5:$BD$1101,Q$1,0)</f>
        <v>0</v>
      </c>
      <c r="R510" s="50">
        <f>VLOOKUP($A510,'[1]ma sp 02'!$A$5:$BD$1101,R$1,0)</f>
        <v>0</v>
      </c>
      <c r="S510" s="50">
        <f>VLOOKUP($A510,'[1]ma sp 02'!$A$5:$BD$1101,S$1,0)</f>
        <v>0</v>
      </c>
      <c r="T510" s="50">
        <f>VLOOKUP($A510,'[1]ma sp 02'!$A$5:$BD$1101,T$1,0)</f>
        <v>0</v>
      </c>
      <c r="U510" s="50">
        <f>VLOOKUP($A510,'[1]ma sp 02'!$A$5:$BD$1101,U$1,0)</f>
        <v>0</v>
      </c>
      <c r="V510" s="50">
        <f>VLOOKUP($A510,'[1]ma sp 02'!$A$5:$BD$1101,V$1,0)</f>
        <v>0</v>
      </c>
      <c r="W510" s="50">
        <f>VLOOKUP($A510,'[1]ma sp 02'!$A$5:$BD$1101,W$1,0)</f>
        <v>0</v>
      </c>
      <c r="X510" s="50">
        <f t="shared" si="17"/>
        <v>8</v>
      </c>
      <c r="Y510" s="62"/>
      <c r="Z510" s="84"/>
      <c r="AA510" s="62"/>
      <c r="AB510" s="62"/>
      <c r="AC510" s="62"/>
      <c r="AD510" s="62"/>
      <c r="AE510" s="62" t="s">
        <v>1612</v>
      </c>
      <c r="AF510" s="52" t="s">
        <v>486</v>
      </c>
      <c r="AG510" s="71">
        <f>(0.012*1.4+0.012*1.4+0.075*0.925)*0.76</f>
        <v>7.8261000000000011E-2</v>
      </c>
      <c r="AH510" s="63">
        <f>(2.3/0.75/2)*0.75</f>
        <v>1.1499999999999999</v>
      </c>
      <c r="AI510" s="63">
        <f>(3/0.75/2)*0.75</f>
        <v>1.5</v>
      </c>
      <c r="AJ510" s="58">
        <v>9530</v>
      </c>
      <c r="AK510" s="58">
        <v>9530</v>
      </c>
      <c r="AL510" s="58" t="s">
        <v>117</v>
      </c>
      <c r="AM510" s="52" t="s">
        <v>60</v>
      </c>
      <c r="AN510" s="62">
        <v>420</v>
      </c>
      <c r="AO510" s="61" t="s">
        <v>332</v>
      </c>
      <c r="AP510" s="59" t="str">
        <f>IFERROR(VLOOKUP($A510,[2]Mssp!$A$5:$BE$1463,AP$4+1,0),0)</f>
        <v>1707293-1</v>
      </c>
      <c r="AQ510" s="59" t="str">
        <f>IFERROR(VLOOKUP($A510,[2]Mssp!$A$5:$BE$1463,AQ$4+1,0),0)</f>
        <v>1707293-2</v>
      </c>
      <c r="AR510" s="59" t="str">
        <f>IFERROR(VLOOKUP($A510,[2]Mssp!$A$5:$BE$1463,AR$4+1,0),0)</f>
        <v>1707293-3</v>
      </c>
      <c r="AS510" s="59" t="str">
        <f>IFERROR(VLOOKUP($A510,[2]Mssp!$A$5:$BE$1463,AS$4+1,0),0)</f>
        <v>1707293-4</v>
      </c>
      <c r="AT510" s="59" t="str">
        <f>IFERROR(VLOOKUP($A510,[2]Mssp!$A$5:$BE$1463,AT$4+1,0),0)</f>
        <v>1707293-5</v>
      </c>
      <c r="AU510" s="59" t="str">
        <f>IFERROR(VLOOKUP($A510,[2]Mssp!$A$5:$BE$1463,AU$4+1,0),0)</f>
        <v>1707293-6</v>
      </c>
      <c r="AV510" s="59" t="str">
        <f>IFERROR(VLOOKUP($A510,[2]Mssp!$A$5:$BE$1463,AV$4+1,0),0)</f>
        <v>1707293-7</v>
      </c>
      <c r="AW510" s="59">
        <f>IFERROR(VLOOKUP($A510,[2]Mssp!$A$5:$BE$1463,AW$4+1,0),0)</f>
        <v>0</v>
      </c>
      <c r="AX510" s="59">
        <f>IFERROR(VLOOKUP($A510,[2]Mssp!$A$5:$BE$1463,AX$4+1,0),0)</f>
        <v>0</v>
      </c>
      <c r="AY510" s="59" t="str">
        <f>IFERROR(VLOOKUP($A510,[2]Mssp!$A$5:$BE$1463,AY$4+2,0),0)</f>
        <v>420x850</v>
      </c>
      <c r="AZ510" s="59" t="str">
        <f>IFERROR(VLOOKUP($A510,[2]Mssp!$A$5:$BE$1463,AZ$4+2,0),0)</f>
        <v>G2</v>
      </c>
      <c r="BA510" s="141"/>
      <c r="BB510" s="61" t="s">
        <v>119</v>
      </c>
      <c r="BC510" s="129"/>
      <c r="BD510" s="138"/>
      <c r="BE510" s="131"/>
      <c r="BF510" s="139"/>
      <c r="BG510" s="131"/>
      <c r="BH510" s="139"/>
      <c r="BI510" s="140"/>
      <c r="BJ510" s="139"/>
      <c r="BK510" s="134"/>
      <c r="BL510" s="139"/>
      <c r="BM510" s="131"/>
      <c r="BN510" s="139"/>
      <c r="BO510" s="9"/>
      <c r="BP510" s="139"/>
      <c r="BQ510" s="139"/>
      <c r="BR510" s="139"/>
      <c r="BS510" s="135"/>
      <c r="BT510" s="139"/>
      <c r="BU510" s="131"/>
      <c r="BV510" s="139"/>
      <c r="BW510" s="131"/>
      <c r="BX510" s="139"/>
      <c r="BY510" s="131"/>
      <c r="BZ510" s="139"/>
      <c r="CA510" s="131"/>
      <c r="CB510" s="139"/>
      <c r="CC510" s="131"/>
      <c r="CD510" s="139"/>
      <c r="CE510" s="9"/>
      <c r="CF510" s="9"/>
      <c r="CG510" s="9"/>
      <c r="CH510" s="9"/>
      <c r="CI510" s="9"/>
      <c r="CJ510" s="9"/>
      <c r="CK510" s="9"/>
      <c r="CL510" s="9"/>
      <c r="CM510" s="9"/>
      <c r="CN510" s="9"/>
      <c r="CO510" s="9"/>
      <c r="CP510" s="9"/>
    </row>
    <row r="511" spans="1:94" ht="45" x14ac:dyDescent="0.25">
      <c r="A511" s="127" t="s">
        <v>1649</v>
      </c>
      <c r="B511" s="51" t="s">
        <v>1650</v>
      </c>
      <c r="C511" s="62"/>
      <c r="D511" s="62"/>
      <c r="E511" s="62" t="s">
        <v>636</v>
      </c>
      <c r="F511" s="57">
        <v>6</v>
      </c>
      <c r="G511" s="50" t="s">
        <v>530</v>
      </c>
      <c r="H511" s="50">
        <f>VLOOKUP($A511,'[1]ma sp 02'!$A$5:$BD$1101,H$1,0)</f>
        <v>0.15</v>
      </c>
      <c r="I511" s="50">
        <f>VLOOKUP($A511,'[1]ma sp 02'!$A$5:$BD$1101,I$1,0)</f>
        <v>1.8</v>
      </c>
      <c r="J511" s="50">
        <f>VLOOKUP($A511,'[1]ma sp 02'!$A$5:$BD$1101,J$1,0)</f>
        <v>0.56000000000000005</v>
      </c>
      <c r="K511" s="50">
        <f>VLOOKUP($A511,'[1]ma sp 02'!$A$5:$BD$1101,K$1,0)</f>
        <v>0.35</v>
      </c>
      <c r="L511" s="50">
        <f>VLOOKUP($A511,'[1]ma sp 02'!$A$5:$BD$1101,L$1,0)</f>
        <v>0.75</v>
      </c>
      <c r="M511" s="50">
        <f>VLOOKUP($A511,'[1]ma sp 02'!$A$5:$BD$1101,M$1,0)</f>
        <v>0.47199999999999998</v>
      </c>
      <c r="N511" s="50">
        <f>VLOOKUP($A511,'[1]ma sp 02'!$A$5:$BD$1101,N$1,0)</f>
        <v>2.2200000000000002</v>
      </c>
      <c r="O511" s="50">
        <f>VLOOKUP($A511,'[1]ma sp 02'!$A$5:$BD$1101,O$1,0)</f>
        <v>0</v>
      </c>
      <c r="P511" s="50">
        <f>VLOOKUP($A511,'[1]ma sp 02'!$A$5:$BD$1101,P$1,0)</f>
        <v>0</v>
      </c>
      <c r="Q511" s="50">
        <f>VLOOKUP($A511,'[1]ma sp 02'!$A$5:$BD$1101,Q$1,0)</f>
        <v>0</v>
      </c>
      <c r="R511" s="50">
        <f>VLOOKUP($A511,'[1]ma sp 02'!$A$5:$BD$1101,R$1,0)</f>
        <v>0</v>
      </c>
      <c r="S511" s="50">
        <f>VLOOKUP($A511,'[1]ma sp 02'!$A$5:$BD$1101,S$1,0)</f>
        <v>0</v>
      </c>
      <c r="T511" s="50">
        <f>VLOOKUP($A511,'[1]ma sp 02'!$A$5:$BD$1101,T$1,0)</f>
        <v>0</v>
      </c>
      <c r="U511" s="50">
        <f>VLOOKUP($A511,'[1]ma sp 02'!$A$5:$BD$1101,U$1,0)</f>
        <v>0</v>
      </c>
      <c r="V511" s="50">
        <f>VLOOKUP($A511,'[1]ma sp 02'!$A$5:$BD$1101,V$1,0)</f>
        <v>0</v>
      </c>
      <c r="W511" s="50">
        <f>VLOOKUP($A511,'[1]ma sp 02'!$A$5:$BD$1101,W$1,0)</f>
        <v>0</v>
      </c>
      <c r="X511" s="50">
        <f t="shared" si="17"/>
        <v>7</v>
      </c>
      <c r="Y511" s="62"/>
      <c r="Z511" s="62"/>
      <c r="AA511" s="125"/>
      <c r="AB511" s="125"/>
      <c r="AC511" s="125"/>
      <c r="AD511" s="125"/>
      <c r="AE511" s="125" t="s">
        <v>1593</v>
      </c>
      <c r="AF511" s="125" t="s">
        <v>321</v>
      </c>
      <c r="AG511" s="143">
        <f>(0.012*1.4+0.012*1.4+0.075*0.925)*0.74</f>
        <v>7.6201500000000005E-2</v>
      </c>
      <c r="AH511" s="112">
        <f>(2.3/0.75/2)*0.73</f>
        <v>1.1193333333333333</v>
      </c>
      <c r="AI511" s="112">
        <f>(3/0.75/2)*0.73</f>
        <v>1.46</v>
      </c>
      <c r="AJ511" s="111">
        <v>9530</v>
      </c>
      <c r="AK511" s="111">
        <v>9530</v>
      </c>
      <c r="AL511" s="111" t="s">
        <v>117</v>
      </c>
      <c r="AM511" s="113" t="s">
        <v>60</v>
      </c>
      <c r="AN511" s="125">
        <v>270</v>
      </c>
      <c r="AO511" s="144" t="s">
        <v>332</v>
      </c>
      <c r="AP511" s="59" t="str">
        <f>IFERROR(VLOOKUP($A511,[2]Mssp!$A$5:$BE$1463,AP$4+1,0),0)</f>
        <v>1809154-1</v>
      </c>
      <c r="AQ511" s="59" t="str">
        <f>IFERROR(VLOOKUP($A511,[2]Mssp!$A$5:$BE$1463,AQ$4+1,0),0)</f>
        <v>1904089-2</v>
      </c>
      <c r="AR511" s="59" t="str">
        <f>IFERROR(VLOOKUP($A511,[2]Mssp!$A$5:$BE$1463,AR$4+1,0),0)</f>
        <v>1904089-3</v>
      </c>
      <c r="AS511" s="59" t="str">
        <f>IFERROR(VLOOKUP($A511,[2]Mssp!$A$5:$BE$1463,AS$4+1,0),0)</f>
        <v>1904089-4</v>
      </c>
      <c r="AT511" s="59" t="str">
        <f>IFERROR(VLOOKUP($A511,[2]Mssp!$A$5:$BE$1463,AT$4+1,0),0)</f>
        <v>1904089-5</v>
      </c>
      <c r="AU511" s="59" t="str">
        <f>IFERROR(VLOOKUP($A511,[2]Mssp!$A$5:$BE$1463,AU$4+1,0),0)</f>
        <v>1904089-6</v>
      </c>
      <c r="AV511" s="59">
        <f>IFERROR(VLOOKUP($A511,[2]Mssp!$A$5:$BE$1463,AV$4+1,0),0)</f>
        <v>0</v>
      </c>
      <c r="AW511" s="59">
        <f>IFERROR(VLOOKUP($A511,[2]Mssp!$A$5:$BE$1463,AW$4+1,0),0)</f>
        <v>0</v>
      </c>
      <c r="AX511" s="59">
        <f>IFERROR(VLOOKUP($A511,[2]Mssp!$A$5:$BE$1463,AX$4+1,0),0)</f>
        <v>0</v>
      </c>
      <c r="AY511" s="59" t="str">
        <f>IFERROR(VLOOKUP($A511,[2]Mssp!$A$5:$BE$1463,AY$4+2,0),0)</f>
        <v>540x850</v>
      </c>
      <c r="AZ511" s="59" t="str">
        <f>IFERROR(VLOOKUP($A511,[2]Mssp!$A$5:$BE$1463,AZ$4+2,0),0)</f>
        <v>G2</v>
      </c>
      <c r="BA511" s="141">
        <v>3500</v>
      </c>
      <c r="BB511" s="61" t="s">
        <v>223</v>
      </c>
      <c r="BC511" s="129"/>
      <c r="BD511" s="138"/>
      <c r="BE511" s="131"/>
      <c r="BF511" s="139"/>
      <c r="BG511" s="131"/>
      <c r="BH511" s="139"/>
      <c r="BI511" s="140"/>
      <c r="BJ511" s="139"/>
      <c r="BK511" s="134"/>
      <c r="BL511" s="139"/>
      <c r="BM511" s="131"/>
      <c r="BN511" s="139"/>
      <c r="BO511" s="9"/>
      <c r="BP511" s="139"/>
      <c r="BQ511" s="139"/>
      <c r="BR511" s="139"/>
      <c r="BS511" s="135"/>
      <c r="BT511" s="139"/>
      <c r="BU511" s="131"/>
      <c r="BV511" s="139"/>
      <c r="BW511" s="131"/>
      <c r="BX511" s="139"/>
      <c r="BY511" s="131"/>
      <c r="BZ511" s="139"/>
      <c r="CA511" s="131"/>
      <c r="CB511" s="139"/>
      <c r="CC511" s="131"/>
      <c r="CD511" s="139"/>
      <c r="CE511" s="9"/>
      <c r="CF511" s="9"/>
      <c r="CG511" s="9"/>
      <c r="CH511" s="9"/>
      <c r="CI511" s="9"/>
      <c r="CJ511" s="9"/>
      <c r="CK511" s="9"/>
      <c r="CL511" s="9"/>
      <c r="CM511" s="9"/>
      <c r="CN511" s="9"/>
      <c r="CO511" s="9"/>
      <c r="CP511" s="9"/>
    </row>
    <row r="512" spans="1:94" ht="45" x14ac:dyDescent="0.25">
      <c r="A512" s="127" t="s">
        <v>1651</v>
      </c>
      <c r="B512" s="51" t="s">
        <v>1652</v>
      </c>
      <c r="C512" s="62"/>
      <c r="D512" s="62">
        <v>3</v>
      </c>
      <c r="E512" s="62" t="s">
        <v>1653</v>
      </c>
      <c r="F512" s="62">
        <v>6</v>
      </c>
      <c r="G512" s="50" t="s">
        <v>530</v>
      </c>
      <c r="H512" s="50">
        <f>VLOOKUP($A512,'[1]ma sp 02'!$A$5:$BD$1101,H$1,0)</f>
        <v>0</v>
      </c>
      <c r="I512" s="50">
        <f>VLOOKUP($A512,'[1]ma sp 02'!$A$5:$BD$1101,I$1,0)</f>
        <v>0.75600000000000001</v>
      </c>
      <c r="J512" s="50">
        <f>VLOOKUP($A512,'[1]ma sp 02'!$A$5:$BD$1101,J$1,0)</f>
        <v>0.01</v>
      </c>
      <c r="K512" s="50">
        <f>VLOOKUP($A512,'[1]ma sp 02'!$A$5:$BD$1101,K$1,0)</f>
        <v>0</v>
      </c>
      <c r="L512" s="50">
        <f>VLOOKUP($A512,'[1]ma sp 02'!$A$5:$BD$1101,L$1,0)</f>
        <v>0.01</v>
      </c>
      <c r="M512" s="50">
        <f>VLOOKUP($A512,'[1]ma sp 02'!$A$5:$BD$1101,M$1,0)</f>
        <v>0.221</v>
      </c>
      <c r="N512" s="50">
        <f>VLOOKUP($A512,'[1]ma sp 02'!$A$5:$BD$1101,N$1,0)</f>
        <v>2.4500000000000002</v>
      </c>
      <c r="O512" s="50">
        <f>VLOOKUP($A512,'[1]ma sp 02'!$A$5:$BD$1101,O$1,0)</f>
        <v>0.01</v>
      </c>
      <c r="P512" s="50">
        <f>VLOOKUP($A512,'[1]ma sp 02'!$A$5:$BD$1101,P$1,0)</f>
        <v>3.6999999999999998E-2</v>
      </c>
      <c r="Q512" s="50">
        <f>VLOOKUP($A512,'[1]ma sp 02'!$A$5:$BD$1101,Q$1,0)</f>
        <v>0</v>
      </c>
      <c r="R512" s="50">
        <f>VLOOKUP($A512,'[1]ma sp 02'!$A$5:$BD$1101,R$1,0)</f>
        <v>0</v>
      </c>
      <c r="S512" s="50">
        <f>VLOOKUP($A512,'[1]ma sp 02'!$A$5:$BD$1101,S$1,0)</f>
        <v>0</v>
      </c>
      <c r="T512" s="50">
        <f>VLOOKUP($A512,'[1]ma sp 02'!$A$5:$BD$1101,T$1,0)</f>
        <v>0</v>
      </c>
      <c r="U512" s="50">
        <f>VLOOKUP($A512,'[1]ma sp 02'!$A$5:$BD$1101,U$1,0)</f>
        <v>0</v>
      </c>
      <c r="V512" s="50">
        <f>VLOOKUP($A512,'[1]ma sp 02'!$A$5:$BD$1101,V$1,0)</f>
        <v>0</v>
      </c>
      <c r="W512" s="50">
        <f>VLOOKUP($A512,'[1]ma sp 02'!$A$5:$BD$1101,W$1,0)</f>
        <v>0</v>
      </c>
      <c r="X512" s="50">
        <f t="shared" si="17"/>
        <v>7</v>
      </c>
      <c r="Y512" s="62"/>
      <c r="Z512" s="62"/>
      <c r="AA512" s="62"/>
      <c r="AB512" s="62"/>
      <c r="AC512" s="62"/>
      <c r="AD512" s="62"/>
      <c r="AE512" s="62" t="s">
        <v>1654</v>
      </c>
      <c r="AF512" s="62" t="s">
        <v>1655</v>
      </c>
      <c r="AG512" s="71">
        <f>(0.012*1.4+0.012*1.4+0.055*0.925)*0.68</f>
        <v>5.7443000000000001E-2</v>
      </c>
      <c r="AH512" s="63">
        <f>(2.3/0.75/2)*0.75</f>
        <v>1.1499999999999999</v>
      </c>
      <c r="AI512" s="63">
        <f>(3/0.75/2)*0.67</f>
        <v>1.34</v>
      </c>
      <c r="AJ512" s="58">
        <v>9530</v>
      </c>
      <c r="AK512" s="58">
        <v>9530</v>
      </c>
      <c r="AL512" s="58" t="s">
        <v>117</v>
      </c>
      <c r="AM512" s="52" t="s">
        <v>60</v>
      </c>
      <c r="AN512" s="9">
        <v>180</v>
      </c>
      <c r="AO512" s="61" t="s">
        <v>332</v>
      </c>
      <c r="AP512" s="59" t="str">
        <f>IFERROR(VLOOKUP($A512,[2]Mssp!$A$5:$BE$1463,AP$4+1,0),0)</f>
        <v>1904247-1</v>
      </c>
      <c r="AQ512" s="59" t="str">
        <f>IFERROR(VLOOKUP($A512,[2]Mssp!$A$5:$BE$1463,AQ$4+1,0),0)</f>
        <v>1904247-2</v>
      </c>
      <c r="AR512" s="59" t="str">
        <f>IFERROR(VLOOKUP($A512,[2]Mssp!$A$5:$BE$1463,AR$4+1,0),0)</f>
        <v>1904247-3</v>
      </c>
      <c r="AS512" s="59" t="str">
        <f>IFERROR(VLOOKUP($A512,[2]Mssp!$A$5:$BE$1463,AS$4+1,0),0)</f>
        <v>1904247-4</v>
      </c>
      <c r="AT512" s="59" t="str">
        <f>IFERROR(VLOOKUP($A512,[2]Mssp!$A$5:$BE$1463,AT$4+1,0),0)</f>
        <v>1904247-5</v>
      </c>
      <c r="AU512" s="59" t="str">
        <f>IFERROR(VLOOKUP($A512,[2]Mssp!$A$5:$BE$1463,AU$4+1,0),0)</f>
        <v>1904247-6</v>
      </c>
      <c r="AV512" s="59">
        <f>IFERROR(VLOOKUP($A512,[2]Mssp!$A$5:$BE$1463,AV$4+1,0),0)</f>
        <v>0</v>
      </c>
      <c r="AW512" s="59">
        <f>IFERROR(VLOOKUP($A512,[2]Mssp!$A$5:$BE$1463,AW$4+1,0),0)</f>
        <v>0</v>
      </c>
      <c r="AX512" s="59">
        <f>IFERROR(VLOOKUP($A512,[2]Mssp!$A$5:$BE$1463,AX$4+1,0),0)</f>
        <v>0</v>
      </c>
      <c r="AY512" s="59" t="str">
        <f>IFERROR(VLOOKUP($A512,[2]Mssp!$A$5:$BE$1463,AY$4+2,0),0)</f>
        <v>540x860</v>
      </c>
      <c r="AZ512" s="59" t="str">
        <f>IFERROR(VLOOKUP($A512,[2]Mssp!$A$5:$BE$1463,AZ$4+2,0),0)</f>
        <v>G2</v>
      </c>
      <c r="BA512" s="141"/>
      <c r="BB512" s="61" t="s">
        <v>223</v>
      </c>
      <c r="BC512" s="129"/>
      <c r="BD512" s="138"/>
      <c r="BE512" s="131"/>
      <c r="BF512" s="139"/>
      <c r="BG512" s="131"/>
      <c r="BH512" s="139"/>
      <c r="BI512" s="140"/>
      <c r="BJ512" s="139"/>
      <c r="BK512" s="134"/>
      <c r="BL512" s="139"/>
      <c r="BM512" s="131"/>
      <c r="BN512" s="139"/>
      <c r="BO512" s="9"/>
      <c r="BP512" s="139"/>
      <c r="BQ512" s="139"/>
      <c r="BR512" s="139"/>
      <c r="BS512" s="135"/>
      <c r="BT512" s="139"/>
      <c r="BU512" s="131"/>
      <c r="BV512" s="139"/>
      <c r="BW512" s="131"/>
      <c r="BX512" s="139"/>
      <c r="BY512" s="131"/>
      <c r="BZ512" s="139"/>
      <c r="CA512" s="131"/>
      <c r="CB512" s="139"/>
      <c r="CC512" s="131"/>
      <c r="CD512" s="139"/>
      <c r="CE512" s="9"/>
      <c r="CF512" s="9"/>
      <c r="CG512" s="9"/>
      <c r="CH512" s="9"/>
      <c r="CI512" s="9"/>
      <c r="CJ512" s="9"/>
      <c r="CK512" s="9"/>
      <c r="CL512" s="9"/>
      <c r="CM512" s="9"/>
      <c r="CN512" s="9"/>
      <c r="CO512" s="9"/>
      <c r="CP512" s="9"/>
    </row>
    <row r="513" spans="1:94" ht="45" x14ac:dyDescent="0.25">
      <c r="A513" s="127" t="s">
        <v>1656</v>
      </c>
      <c r="B513" s="51" t="s">
        <v>1657</v>
      </c>
      <c r="C513" s="62"/>
      <c r="D513" s="62">
        <v>3</v>
      </c>
      <c r="E513" s="62" t="s">
        <v>1658</v>
      </c>
      <c r="F513" s="62">
        <v>7</v>
      </c>
      <c r="G513" s="50" t="s">
        <v>530</v>
      </c>
      <c r="H513" s="50">
        <f>VLOOKUP($A513,'[1]ma sp 02'!$A$5:$BD$1101,H$1,0)</f>
        <v>0</v>
      </c>
      <c r="I513" s="50">
        <f>VLOOKUP($A513,'[1]ma sp 02'!$A$5:$BD$1101,I$1,0)</f>
        <v>0</v>
      </c>
      <c r="J513" s="50">
        <f>VLOOKUP($A513,'[1]ma sp 02'!$A$5:$BD$1101,J$1,0)</f>
        <v>0</v>
      </c>
      <c r="K513" s="50">
        <f>VLOOKUP($A513,'[1]ma sp 02'!$A$5:$BD$1101,K$1,0)</f>
        <v>0</v>
      </c>
      <c r="L513" s="50">
        <f>VLOOKUP($A513,'[1]ma sp 02'!$A$5:$BD$1101,L$1,0)</f>
        <v>0</v>
      </c>
      <c r="M513" s="50">
        <f>VLOOKUP($A513,'[1]ma sp 02'!$A$5:$BD$1101,M$1,0)</f>
        <v>0</v>
      </c>
      <c r="N513" s="50">
        <f>VLOOKUP($A513,'[1]ma sp 02'!$A$5:$BD$1101,N$1,0)</f>
        <v>0</v>
      </c>
      <c r="O513" s="50">
        <f>VLOOKUP($A513,'[1]ma sp 02'!$A$5:$BD$1101,O$1,0)</f>
        <v>0</v>
      </c>
      <c r="P513" s="50">
        <f>VLOOKUP($A513,'[1]ma sp 02'!$A$5:$BD$1101,P$1,0)</f>
        <v>0</v>
      </c>
      <c r="Q513" s="50">
        <f>VLOOKUP($A513,'[1]ma sp 02'!$A$5:$BD$1101,Q$1,0)</f>
        <v>0</v>
      </c>
      <c r="R513" s="50">
        <f>VLOOKUP($A513,'[1]ma sp 02'!$A$5:$BD$1101,R$1,0)</f>
        <v>0</v>
      </c>
      <c r="S513" s="50">
        <f>VLOOKUP($A513,'[1]ma sp 02'!$A$5:$BD$1101,S$1,0)</f>
        <v>0</v>
      </c>
      <c r="T513" s="50">
        <f>VLOOKUP($A513,'[1]ma sp 02'!$A$5:$BD$1101,T$1,0)</f>
        <v>0</v>
      </c>
      <c r="U513" s="50">
        <f>VLOOKUP($A513,'[1]ma sp 02'!$A$5:$BD$1101,U$1,0)</f>
        <v>0</v>
      </c>
      <c r="V513" s="50">
        <f>VLOOKUP($A513,'[1]ma sp 02'!$A$5:$BD$1101,V$1,0)</f>
        <v>0</v>
      </c>
      <c r="W513" s="50">
        <f>VLOOKUP($A513,'[1]ma sp 02'!$A$5:$BD$1101,W$1,0)</f>
        <v>0</v>
      </c>
      <c r="X513" s="145">
        <f t="shared" si="17"/>
        <v>0</v>
      </c>
      <c r="Y513" s="9"/>
      <c r="Z513" s="9"/>
      <c r="AA513" s="9"/>
      <c r="AB513" s="9"/>
      <c r="AC513" s="9"/>
      <c r="AD513" s="9"/>
      <c r="AE513" s="9" t="s">
        <v>1659</v>
      </c>
      <c r="AF513" s="9" t="s">
        <v>374</v>
      </c>
      <c r="AG513" s="143">
        <f>(0.012*1.4+0.012*1.4+0.055*0.925)*0.92</f>
        <v>7.7716999999999994E-2</v>
      </c>
      <c r="AH513" s="63">
        <f>(2.3/0.75/2)*0.91</f>
        <v>1.3953333333333333</v>
      </c>
      <c r="AI513" s="63">
        <f>(3/0.75/2)*0.91</f>
        <v>1.82</v>
      </c>
      <c r="AJ513" s="58">
        <v>9530</v>
      </c>
      <c r="AK513" s="58">
        <v>9530</v>
      </c>
      <c r="AL513" s="58" t="s">
        <v>117</v>
      </c>
      <c r="AM513" s="61" t="s">
        <v>74</v>
      </c>
      <c r="AN513" s="9">
        <v>210</v>
      </c>
      <c r="AO513" s="69" t="s">
        <v>1660</v>
      </c>
      <c r="AP513" s="59" t="str">
        <f>IFERROR(VLOOKUP($A513,[2]Mssp!$A$5:$BE$1463,AP$4+1,0),0)</f>
        <v>16111002-1</v>
      </c>
      <c r="AQ513" s="59" t="str">
        <f>IFERROR(VLOOKUP($A513,[2]Mssp!$A$5:$BE$1463,AQ$4+1,0),0)</f>
        <v>1204638-2</v>
      </c>
      <c r="AR513" s="59" t="str">
        <f>IFERROR(VLOOKUP($A513,[2]Mssp!$A$5:$BE$1463,AR$4+1,0),0)</f>
        <v>16111002-3</v>
      </c>
      <c r="AS513" s="59" t="str">
        <f>IFERROR(VLOOKUP($A513,[2]Mssp!$A$5:$BE$1463,AS$4+1,0),0)</f>
        <v>1204638-4</v>
      </c>
      <c r="AT513" s="59" t="str">
        <f>IFERROR(VLOOKUP($A513,[2]Mssp!$A$5:$BE$1463,AT$4+1,0),0)</f>
        <v>16111002-5</v>
      </c>
      <c r="AU513" s="59" t="str">
        <f>IFERROR(VLOOKUP($A513,[2]Mssp!$A$5:$BE$1463,AU$4+1,0),0)</f>
        <v>16111002-6</v>
      </c>
      <c r="AV513" s="59" t="str">
        <f>IFERROR(VLOOKUP($A513,[2]Mssp!$A$5:$BE$1463,AV$4+1,0),0)</f>
        <v>1204638-7</v>
      </c>
      <c r="AW513" s="59">
        <f>IFERROR(VLOOKUP($A513,[2]Mssp!$A$5:$BE$1463,AW$4+1,0),0)</f>
        <v>0</v>
      </c>
      <c r="AX513" s="59">
        <f>IFERROR(VLOOKUP($A513,[2]Mssp!$A$5:$BE$1463,AX$4+1,0),0)</f>
        <v>0</v>
      </c>
      <c r="AY513" s="59" t="str">
        <f>IFERROR(VLOOKUP($A513,[2]Mssp!$A$5:$BE$1463,AY$4+2,0),0)</f>
        <v>420x1000</v>
      </c>
      <c r="AZ513" s="59" t="str">
        <f>IFERROR(VLOOKUP($A513,[2]Mssp!$A$5:$BE$1463,AZ$4+2,0),0)</f>
        <v>Q1</v>
      </c>
      <c r="BA513" s="141"/>
      <c r="BB513" s="61" t="s">
        <v>223</v>
      </c>
      <c r="BC513" s="129"/>
      <c r="BD513" s="138"/>
      <c r="BE513" s="131"/>
      <c r="BF513" s="139"/>
      <c r="BG513" s="131"/>
      <c r="BH513" s="139"/>
      <c r="BI513" s="140"/>
      <c r="BJ513" s="139"/>
      <c r="BK513" s="134"/>
      <c r="BL513" s="139"/>
      <c r="BM513" s="131"/>
      <c r="BN513" s="139"/>
      <c r="BO513" s="9"/>
      <c r="BP513" s="139"/>
      <c r="BQ513" s="139"/>
      <c r="BR513" s="139"/>
      <c r="BS513" s="135"/>
      <c r="BT513" s="139"/>
      <c r="BU513" s="131"/>
      <c r="BV513" s="139"/>
      <c r="BW513" s="131"/>
      <c r="BX513" s="139"/>
      <c r="BY513" s="131"/>
      <c r="BZ513" s="139"/>
      <c r="CA513" s="131"/>
      <c r="CB513" s="139"/>
      <c r="CC513" s="131"/>
      <c r="CD513" s="139"/>
      <c r="CE513" s="9"/>
      <c r="CF513" s="9"/>
      <c r="CG513" s="9"/>
      <c r="CH513" s="9"/>
      <c r="CI513" s="9"/>
      <c r="CJ513" s="9"/>
      <c r="CK513" s="9"/>
      <c r="CL513" s="9"/>
      <c r="CM513" s="9"/>
      <c r="CN513" s="9"/>
      <c r="CO513" s="9"/>
      <c r="CP513" s="9"/>
    </row>
    <row r="514" spans="1:94" ht="45" x14ac:dyDescent="0.25">
      <c r="A514" s="127" t="s">
        <v>1661</v>
      </c>
      <c r="B514" s="51" t="s">
        <v>1662</v>
      </c>
      <c r="C514" s="50">
        <f t="shared" ref="C514:C519" si="19">SUM(H514:W514)</f>
        <v>3.76</v>
      </c>
      <c r="D514" s="57">
        <v>3</v>
      </c>
      <c r="E514" s="62" t="s">
        <v>636</v>
      </c>
      <c r="F514" s="57">
        <v>5</v>
      </c>
      <c r="G514" s="50" t="s">
        <v>530</v>
      </c>
      <c r="H514" s="50">
        <f>VLOOKUP($A514,'[1]ma sp 02'!$A$5:$BD$1101,H$1,0)</f>
        <v>0</v>
      </c>
      <c r="I514" s="50">
        <f>VLOOKUP($A514,'[1]ma sp 02'!$A$5:$BD$1101,I$1,0)</f>
        <v>0.3</v>
      </c>
      <c r="J514" s="50">
        <f>VLOOKUP($A514,'[1]ma sp 02'!$A$5:$BD$1101,J$1,0)</f>
        <v>0</v>
      </c>
      <c r="K514" s="50">
        <f>VLOOKUP($A514,'[1]ma sp 02'!$A$5:$BD$1101,K$1,0)</f>
        <v>0</v>
      </c>
      <c r="L514" s="50">
        <f>VLOOKUP($A514,'[1]ma sp 02'!$A$5:$BD$1101,L$1,0)</f>
        <v>0.12</v>
      </c>
      <c r="M514" s="50">
        <f>VLOOKUP($A514,'[1]ma sp 02'!$A$5:$BD$1101,M$1,0)</f>
        <v>0</v>
      </c>
      <c r="N514" s="50">
        <f>VLOOKUP($A514,'[1]ma sp 02'!$A$5:$BD$1101,N$1,0)</f>
        <v>3.12</v>
      </c>
      <c r="O514" s="50">
        <f>VLOOKUP($A514,'[1]ma sp 02'!$A$5:$BD$1101,O$1,0)</f>
        <v>0.21</v>
      </c>
      <c r="P514" s="50">
        <f>VLOOKUP($A514,'[1]ma sp 02'!$A$5:$BD$1101,P$1,0)</f>
        <v>0.01</v>
      </c>
      <c r="Q514" s="50">
        <f>VLOOKUP($A514,'[1]ma sp 02'!$A$5:$BD$1101,Q$1,0)</f>
        <v>0</v>
      </c>
      <c r="R514" s="50">
        <f>VLOOKUP($A514,'[1]ma sp 02'!$A$5:$BD$1101,R$1,0)</f>
        <v>0</v>
      </c>
      <c r="S514" s="50">
        <f>VLOOKUP($A514,'[1]ma sp 02'!$A$5:$BD$1101,S$1,0)</f>
        <v>0</v>
      </c>
      <c r="T514" s="50">
        <f>VLOOKUP($A514,'[1]ma sp 02'!$A$5:$BD$1101,T$1,0)</f>
        <v>0</v>
      </c>
      <c r="U514" s="50">
        <f>VLOOKUP($A514,'[1]ma sp 02'!$A$5:$BD$1101,U$1,0)</f>
        <v>0</v>
      </c>
      <c r="V514" s="50">
        <f>VLOOKUP($A514,'[1]ma sp 02'!$A$5:$BD$1101,V$1,0)</f>
        <v>0</v>
      </c>
      <c r="W514" s="50">
        <f>VLOOKUP($A514,'[1]ma sp 02'!$A$5:$BD$1101,W$1,0)</f>
        <v>0</v>
      </c>
      <c r="X514" s="50">
        <f t="shared" si="17"/>
        <v>5</v>
      </c>
      <c r="Y514" s="62"/>
      <c r="Z514" s="62"/>
      <c r="AA514" s="62"/>
      <c r="AB514" s="62"/>
      <c r="AC514" s="62"/>
      <c r="AD514" s="62"/>
      <c r="AE514" s="62" t="s">
        <v>1593</v>
      </c>
      <c r="AF514" s="62" t="s">
        <v>321</v>
      </c>
      <c r="AG514" s="71">
        <f>(0.012*1.4+0.012*1.4+0.075*0.925)*0.74</f>
        <v>7.6201500000000005E-2</v>
      </c>
      <c r="AH514" s="63">
        <f>(2.3/0.75/2)*0.73</f>
        <v>1.1193333333333333</v>
      </c>
      <c r="AI514" s="63">
        <f>(3/0.75/2)*0.73</f>
        <v>1.46</v>
      </c>
      <c r="AJ514" s="58">
        <v>9530</v>
      </c>
      <c r="AK514" s="58">
        <v>9530</v>
      </c>
      <c r="AL514" s="58" t="s">
        <v>117</v>
      </c>
      <c r="AM514" s="52" t="s">
        <v>60</v>
      </c>
      <c r="AN514" s="62">
        <v>270</v>
      </c>
      <c r="AO514" s="61" t="s">
        <v>332</v>
      </c>
      <c r="AP514" s="59" t="str">
        <f>IFERROR(VLOOKUP($A514,[2]Mssp!$A$5:$BE$1463,AP$4+1,0),0)</f>
        <v>1904578-1</v>
      </c>
      <c r="AQ514" s="59" t="str">
        <f>IFERROR(VLOOKUP($A514,[2]Mssp!$A$5:$BE$1463,AQ$4+1,0),0)</f>
        <v>1904578-2</v>
      </c>
      <c r="AR514" s="59" t="str">
        <f>IFERROR(VLOOKUP($A514,[2]Mssp!$A$5:$BE$1463,AR$4+1,0),0)</f>
        <v>1904578-3</v>
      </c>
      <c r="AS514" s="59" t="str">
        <f>IFERROR(VLOOKUP($A514,[2]Mssp!$A$5:$BE$1463,AS$4+1,0),0)</f>
        <v>1904578-4</v>
      </c>
      <c r="AT514" s="59" t="str">
        <f>IFERROR(VLOOKUP($A514,[2]Mssp!$A$5:$BE$1463,AT$4+1,0),0)</f>
        <v>1904578-5</v>
      </c>
      <c r="AU514" s="59">
        <f>IFERROR(VLOOKUP($A514,[2]Mssp!$A$5:$BE$1463,AU$4+1,0),0)</f>
        <v>0</v>
      </c>
      <c r="AV514" s="59">
        <f>IFERROR(VLOOKUP($A514,[2]Mssp!$A$5:$BE$1463,AV$4+1,0),0)</f>
        <v>0</v>
      </c>
      <c r="AW514" s="59">
        <f>IFERROR(VLOOKUP($A514,[2]Mssp!$A$5:$BE$1463,AW$4+1,0),0)</f>
        <v>0</v>
      </c>
      <c r="AX514" s="59">
        <f>IFERROR(VLOOKUP($A514,[2]Mssp!$A$5:$BE$1463,AX$4+1,0),0)</f>
        <v>0</v>
      </c>
      <c r="AY514" s="59" t="str">
        <f>IFERROR(VLOOKUP($A514,[2]Mssp!$A$5:$BE$1463,AY$4+2,0),0)</f>
        <v>540x860</v>
      </c>
      <c r="AZ514" s="59" t="str">
        <f>IFERROR(VLOOKUP($A514,[2]Mssp!$A$5:$BE$1463,AZ$4+2,0),0)</f>
        <v>G2</v>
      </c>
      <c r="BA514" s="141"/>
      <c r="BB514" s="61"/>
      <c r="BC514" s="129"/>
      <c r="BD514" s="138"/>
      <c r="BE514" s="131"/>
      <c r="BF514" s="139"/>
      <c r="BG514" s="131"/>
      <c r="BH514" s="139"/>
      <c r="BI514" s="140"/>
      <c r="BJ514" s="139"/>
      <c r="BK514" s="134"/>
      <c r="BL514" s="139"/>
      <c r="BM514" s="131"/>
      <c r="BN514" s="139"/>
      <c r="BO514" s="9"/>
      <c r="BP514" s="139"/>
      <c r="BQ514" s="139"/>
      <c r="BR514" s="139"/>
      <c r="BS514" s="135"/>
      <c r="BT514" s="139"/>
      <c r="BU514" s="131"/>
      <c r="BV514" s="139"/>
      <c r="BW514" s="131"/>
      <c r="BX514" s="139"/>
      <c r="BY514" s="131"/>
      <c r="BZ514" s="139"/>
      <c r="CA514" s="131"/>
      <c r="CB514" s="139"/>
      <c r="CC514" s="131"/>
      <c r="CD514" s="139"/>
      <c r="CE514" s="9"/>
      <c r="CF514" s="9"/>
      <c r="CG514" s="9"/>
      <c r="CH514" s="9"/>
      <c r="CI514" s="9"/>
      <c r="CJ514" s="9"/>
      <c r="CK514" s="9"/>
      <c r="CL514" s="9"/>
      <c r="CM514" s="9"/>
      <c r="CN514" s="9"/>
      <c r="CO514" s="9"/>
      <c r="CP514" s="9"/>
    </row>
    <row r="515" spans="1:94" ht="45" x14ac:dyDescent="0.25">
      <c r="A515" s="127" t="s">
        <v>1663</v>
      </c>
      <c r="B515" s="51" t="s">
        <v>1664</v>
      </c>
      <c r="C515" s="50">
        <f t="shared" si="19"/>
        <v>3.8800000000000003</v>
      </c>
      <c r="D515" s="57">
        <v>3</v>
      </c>
      <c r="E515" s="62" t="s">
        <v>636</v>
      </c>
      <c r="F515" s="57">
        <v>5</v>
      </c>
      <c r="G515" s="50" t="s">
        <v>530</v>
      </c>
      <c r="H515" s="50">
        <f>VLOOKUP($A515,'[1]ma sp 02'!$A$5:$BD$1101,H$1,0)</f>
        <v>0</v>
      </c>
      <c r="I515" s="50">
        <f>VLOOKUP($A515,'[1]ma sp 02'!$A$5:$BD$1101,I$1,0)</f>
        <v>0.28999999999999998</v>
      </c>
      <c r="J515" s="50">
        <f>VLOOKUP($A515,'[1]ma sp 02'!$A$5:$BD$1101,J$1,0)</f>
        <v>0.06</v>
      </c>
      <c r="K515" s="50">
        <f>VLOOKUP($A515,'[1]ma sp 02'!$A$5:$BD$1101,K$1,0)</f>
        <v>0</v>
      </c>
      <c r="L515" s="50">
        <f>VLOOKUP($A515,'[1]ma sp 02'!$A$5:$BD$1101,L$1,0)</f>
        <v>0.12</v>
      </c>
      <c r="M515" s="50">
        <f>VLOOKUP($A515,'[1]ma sp 02'!$A$5:$BD$1101,M$1,0)</f>
        <v>0</v>
      </c>
      <c r="N515" s="50">
        <f>VLOOKUP($A515,'[1]ma sp 02'!$A$5:$BD$1101,N$1,0)</f>
        <v>3.22</v>
      </c>
      <c r="O515" s="50">
        <f>VLOOKUP($A515,'[1]ma sp 02'!$A$5:$BD$1101,O$1,0)</f>
        <v>0.18</v>
      </c>
      <c r="P515" s="50">
        <f>VLOOKUP($A515,'[1]ma sp 02'!$A$5:$BD$1101,P$1,0)</f>
        <v>0.01</v>
      </c>
      <c r="Q515" s="50">
        <f>VLOOKUP($A515,'[1]ma sp 02'!$A$5:$BD$1101,Q$1,0)</f>
        <v>0</v>
      </c>
      <c r="R515" s="50">
        <f>VLOOKUP($A515,'[1]ma sp 02'!$A$5:$BD$1101,R$1,0)</f>
        <v>0</v>
      </c>
      <c r="S515" s="50">
        <f>VLOOKUP($A515,'[1]ma sp 02'!$A$5:$BD$1101,S$1,0)</f>
        <v>0</v>
      </c>
      <c r="T515" s="50">
        <f>VLOOKUP($A515,'[1]ma sp 02'!$A$5:$BD$1101,T$1,0)</f>
        <v>0</v>
      </c>
      <c r="U515" s="50">
        <f>VLOOKUP($A515,'[1]ma sp 02'!$A$5:$BD$1101,U$1,0)</f>
        <v>0</v>
      </c>
      <c r="V515" s="50">
        <f>VLOOKUP($A515,'[1]ma sp 02'!$A$5:$BD$1101,V$1,0)</f>
        <v>0</v>
      </c>
      <c r="W515" s="50">
        <f>VLOOKUP($A515,'[1]ma sp 02'!$A$5:$BD$1101,W$1,0)</f>
        <v>0</v>
      </c>
      <c r="X515" s="50">
        <f t="shared" si="17"/>
        <v>6</v>
      </c>
      <c r="Y515" s="62"/>
      <c r="Z515" s="62"/>
      <c r="AA515" s="62"/>
      <c r="AB515" s="62"/>
      <c r="AC515" s="62"/>
      <c r="AD515" s="62"/>
      <c r="AE515" s="62" t="s">
        <v>1593</v>
      </c>
      <c r="AF515" s="62" t="s">
        <v>321</v>
      </c>
      <c r="AG515" s="71">
        <f>(0.012*1.4+0.012*1.4+0.075*0.925)*0.74</f>
        <v>7.6201500000000005E-2</v>
      </c>
      <c r="AH515" s="63">
        <f>(2.3/0.75/2)*0.73</f>
        <v>1.1193333333333333</v>
      </c>
      <c r="AI515" s="63">
        <f>(3/0.75/2)*0.73</f>
        <v>1.46</v>
      </c>
      <c r="AJ515" s="58">
        <v>9530</v>
      </c>
      <c r="AK515" s="58">
        <v>9530</v>
      </c>
      <c r="AL515" s="58" t="s">
        <v>117</v>
      </c>
      <c r="AM515" s="52" t="s">
        <v>60</v>
      </c>
      <c r="AN515" s="62">
        <v>270</v>
      </c>
      <c r="AO515" s="61" t="s">
        <v>332</v>
      </c>
      <c r="AP515" s="59" t="str">
        <f>IFERROR(VLOOKUP($A515,[2]Mssp!$A$5:$BE$1463,AP$4+1,0),0)</f>
        <v>1904579-1</v>
      </c>
      <c r="AQ515" s="59" t="str">
        <f>IFERROR(VLOOKUP($A515,[2]Mssp!$A$5:$BE$1463,AQ$4+1,0),0)</f>
        <v>1904578-2</v>
      </c>
      <c r="AR515" s="59" t="str">
        <f>IFERROR(VLOOKUP($A515,[2]Mssp!$A$5:$BE$1463,AR$4+1,0),0)</f>
        <v>1904578-3</v>
      </c>
      <c r="AS515" s="59" t="str">
        <f>IFERROR(VLOOKUP($A515,[2]Mssp!$A$5:$BE$1463,AS$4+1,0),0)</f>
        <v>1904579-4</v>
      </c>
      <c r="AT515" s="59" t="str">
        <f>IFERROR(VLOOKUP($A515,[2]Mssp!$A$5:$BE$1463,AT$4+1,0),0)</f>
        <v>1904579-5</v>
      </c>
      <c r="AU515" s="59">
        <f>IFERROR(VLOOKUP($A515,[2]Mssp!$A$5:$BE$1463,AU$4+1,0),0)</f>
        <v>0</v>
      </c>
      <c r="AV515" s="59">
        <f>IFERROR(VLOOKUP($A515,[2]Mssp!$A$5:$BE$1463,AV$4+1,0),0)</f>
        <v>0</v>
      </c>
      <c r="AW515" s="59">
        <f>IFERROR(VLOOKUP($A515,[2]Mssp!$A$5:$BE$1463,AW$4+1,0),0)</f>
        <v>0</v>
      </c>
      <c r="AX515" s="59">
        <f>IFERROR(VLOOKUP($A515,[2]Mssp!$A$5:$BE$1463,AX$4+1,0),0)</f>
        <v>0</v>
      </c>
      <c r="AY515" s="59" t="str">
        <f>IFERROR(VLOOKUP($A515,[2]Mssp!$A$5:$BE$1463,AY$4+2,0),0)</f>
        <v>540x860</v>
      </c>
      <c r="AZ515" s="59" t="str">
        <f>IFERROR(VLOOKUP($A515,[2]Mssp!$A$5:$BE$1463,AZ$4+2,0),0)</f>
        <v>G3</v>
      </c>
      <c r="BA515" s="141"/>
      <c r="BB515" s="61"/>
      <c r="BC515" s="129"/>
      <c r="BD515" s="138"/>
      <c r="BE515" s="131"/>
      <c r="BF515" s="139"/>
      <c r="BG515" s="131"/>
      <c r="BH515" s="139"/>
      <c r="BI515" s="140"/>
      <c r="BJ515" s="139"/>
      <c r="BK515" s="134"/>
      <c r="BL515" s="139"/>
      <c r="BM515" s="131"/>
      <c r="BN515" s="139"/>
      <c r="BO515" s="9"/>
      <c r="BP515" s="139"/>
      <c r="BQ515" s="139"/>
      <c r="BR515" s="139"/>
      <c r="BS515" s="135"/>
      <c r="BT515" s="139"/>
      <c r="BU515" s="131"/>
      <c r="BV515" s="139"/>
      <c r="BW515" s="131"/>
      <c r="BX515" s="139"/>
      <c r="BY515" s="131"/>
      <c r="BZ515" s="139"/>
      <c r="CA515" s="131"/>
      <c r="CB515" s="139"/>
      <c r="CC515" s="131"/>
      <c r="CD515" s="139"/>
      <c r="CE515" s="9"/>
      <c r="CF515" s="9"/>
      <c r="CG515" s="9"/>
      <c r="CH515" s="9"/>
      <c r="CI515" s="9"/>
      <c r="CJ515" s="9"/>
      <c r="CK515" s="9"/>
      <c r="CL515" s="9"/>
      <c r="CM515" s="9"/>
      <c r="CN515" s="9"/>
      <c r="CO515" s="9"/>
      <c r="CP515" s="9"/>
    </row>
    <row r="516" spans="1:94" ht="45" x14ac:dyDescent="0.25">
      <c r="A516" s="127" t="s">
        <v>1665</v>
      </c>
      <c r="B516" s="51" t="s">
        <v>1666</v>
      </c>
      <c r="C516" s="50">
        <f t="shared" si="19"/>
        <v>8.5150000000000006</v>
      </c>
      <c r="D516" s="57">
        <v>2</v>
      </c>
      <c r="E516" s="57" t="s">
        <v>131</v>
      </c>
      <c r="F516" s="57">
        <v>5</v>
      </c>
      <c r="G516" s="50" t="s">
        <v>530</v>
      </c>
      <c r="H516" s="50">
        <f>VLOOKUP($A516,'[1]ma sp 02'!$A$5:$BD$1101,H$1,0)</f>
        <v>0.19</v>
      </c>
      <c r="I516" s="50">
        <f>VLOOKUP($A516,'[1]ma sp 02'!$A$5:$BD$1101,I$1,0)</f>
        <v>0.24</v>
      </c>
      <c r="J516" s="50">
        <f>VLOOKUP($A516,'[1]ma sp 02'!$A$5:$BD$1101,J$1,0)</f>
        <v>0.19</v>
      </c>
      <c r="K516" s="50">
        <f>VLOOKUP($A516,'[1]ma sp 02'!$A$5:$BD$1101,K$1,0)</f>
        <v>0</v>
      </c>
      <c r="L516" s="50">
        <f>VLOOKUP($A516,'[1]ma sp 02'!$A$5:$BD$1101,L$1,0)</f>
        <v>0.09</v>
      </c>
      <c r="M516" s="50">
        <f>VLOOKUP($A516,'[1]ma sp 02'!$A$5:$BD$1101,M$1,0)</f>
        <v>1.615</v>
      </c>
      <c r="N516" s="50">
        <f>VLOOKUP($A516,'[1]ma sp 02'!$A$5:$BD$1101,N$1,0)</f>
        <v>6.17</v>
      </c>
      <c r="O516" s="50">
        <f>VLOOKUP($A516,'[1]ma sp 02'!$A$5:$BD$1101,O$1,0)</f>
        <v>0.01</v>
      </c>
      <c r="P516" s="50">
        <f>VLOOKUP($A516,'[1]ma sp 02'!$A$5:$BD$1101,P$1,0)</f>
        <v>0.01</v>
      </c>
      <c r="Q516" s="50">
        <f>VLOOKUP($A516,'[1]ma sp 02'!$A$5:$BD$1101,Q$1,0)</f>
        <v>0</v>
      </c>
      <c r="R516" s="50">
        <f>VLOOKUP($A516,'[1]ma sp 02'!$A$5:$BD$1101,R$1,0)</f>
        <v>0</v>
      </c>
      <c r="S516" s="50">
        <f>VLOOKUP($A516,'[1]ma sp 02'!$A$5:$BD$1101,S$1,0)</f>
        <v>0</v>
      </c>
      <c r="T516" s="50">
        <f>VLOOKUP($A516,'[1]ma sp 02'!$A$5:$BD$1101,T$1,0)</f>
        <v>0</v>
      </c>
      <c r="U516" s="50">
        <f>VLOOKUP($A516,'[1]ma sp 02'!$A$5:$BD$1101,U$1,0)</f>
        <v>0</v>
      </c>
      <c r="V516" s="50">
        <f>VLOOKUP($A516,'[1]ma sp 02'!$A$5:$BD$1101,V$1,0)</f>
        <v>0</v>
      </c>
      <c r="W516" s="50">
        <f>VLOOKUP($A516,'[1]ma sp 02'!$A$5:$BD$1101,W$1,0)</f>
        <v>0</v>
      </c>
      <c r="X516" s="50">
        <f t="shared" si="17"/>
        <v>8</v>
      </c>
      <c r="Y516" s="62"/>
      <c r="Z516" s="62"/>
      <c r="AA516" s="62"/>
      <c r="AB516" s="62"/>
      <c r="AC516" s="62"/>
      <c r="AD516" s="62"/>
      <c r="AE516" s="62" t="s">
        <v>78</v>
      </c>
      <c r="AF516" s="62" t="s">
        <v>72</v>
      </c>
      <c r="AG516" s="128">
        <v>5.3428500000000004E-2</v>
      </c>
      <c r="AH516" s="54">
        <v>0.93533333333333324</v>
      </c>
      <c r="AI516" s="62">
        <v>1.22</v>
      </c>
      <c r="AJ516" s="62">
        <v>9530</v>
      </c>
      <c r="AK516" s="62">
        <v>9530</v>
      </c>
      <c r="AL516" s="62" t="s">
        <v>117</v>
      </c>
      <c r="AM516" s="61" t="s">
        <v>60</v>
      </c>
      <c r="AN516" s="62">
        <v>340</v>
      </c>
      <c r="AO516" s="61" t="s">
        <v>332</v>
      </c>
      <c r="AP516" s="59" t="str">
        <f>IFERROR(VLOOKUP($A516,[2]Mssp!$A$5:$BE$1463,AP$4+1,0),0)</f>
        <v>1904580-1</v>
      </c>
      <c r="AQ516" s="59" t="str">
        <f>IFERROR(VLOOKUP($A516,[2]Mssp!$A$5:$BE$1463,AQ$4+1,0),0)</f>
        <v>1904580-2</v>
      </c>
      <c r="AR516" s="59" t="str">
        <f>IFERROR(VLOOKUP($A516,[2]Mssp!$A$5:$BE$1463,AR$4+1,0),0)</f>
        <v>1904580-3</v>
      </c>
      <c r="AS516" s="59" t="str">
        <f>IFERROR(VLOOKUP($A516,[2]Mssp!$A$5:$BE$1463,AS$4+1,0),0)</f>
        <v>1904580-4</v>
      </c>
      <c r="AT516" s="59" t="str">
        <f>IFERROR(VLOOKUP($A516,[2]Mssp!$A$5:$BE$1463,AT$4+1,0),0)</f>
        <v>1904580-5</v>
      </c>
      <c r="AU516" s="59">
        <f>IFERROR(VLOOKUP($A516,[2]Mssp!$A$5:$BE$1463,AU$4+1,0),0)</f>
        <v>0</v>
      </c>
      <c r="AV516" s="59">
        <f>IFERROR(VLOOKUP($A516,[2]Mssp!$A$5:$BE$1463,AV$4+1,0),0)</f>
        <v>0</v>
      </c>
      <c r="AW516" s="59">
        <f>IFERROR(VLOOKUP($A516,[2]Mssp!$A$5:$BE$1463,AW$4+1,0),0)</f>
        <v>0</v>
      </c>
      <c r="AX516" s="59">
        <f>IFERROR(VLOOKUP($A516,[2]Mssp!$A$5:$BE$1463,AX$4+1,0),0)</f>
        <v>0</v>
      </c>
      <c r="AY516" s="59" t="str">
        <f>IFERROR(VLOOKUP($A516,[2]Mssp!$A$5:$BE$1463,AY$4+2,0),0)</f>
        <v>680x860</v>
      </c>
      <c r="AZ516" s="59" t="str">
        <f>IFERROR(VLOOKUP($A516,[2]Mssp!$A$5:$BE$1463,AZ$4+2,0),0)</f>
        <v>G3</v>
      </c>
      <c r="BA516" s="141"/>
      <c r="BB516" s="61"/>
      <c r="BC516" s="129"/>
      <c r="BD516" s="138"/>
      <c r="BE516" s="131"/>
      <c r="BF516" s="139"/>
      <c r="BG516" s="131"/>
      <c r="BH516" s="139"/>
      <c r="BI516" s="140"/>
      <c r="BJ516" s="139"/>
      <c r="BK516" s="134"/>
      <c r="BL516" s="139"/>
      <c r="BM516" s="131"/>
      <c r="BN516" s="139"/>
      <c r="BO516" s="9"/>
      <c r="BP516" s="139"/>
      <c r="BQ516" s="139"/>
      <c r="BR516" s="139"/>
      <c r="BS516" s="135"/>
      <c r="BT516" s="139"/>
      <c r="BU516" s="131"/>
      <c r="BV516" s="139"/>
      <c r="BW516" s="131"/>
      <c r="BX516" s="139"/>
      <c r="BY516" s="131"/>
      <c r="BZ516" s="139"/>
      <c r="CA516" s="131"/>
      <c r="CB516" s="139"/>
      <c r="CC516" s="131"/>
      <c r="CD516" s="139"/>
      <c r="CE516" s="9"/>
      <c r="CF516" s="9"/>
      <c r="CG516" s="9"/>
      <c r="CH516" s="9"/>
      <c r="CI516" s="9"/>
      <c r="CJ516" s="9"/>
      <c r="CK516" s="9"/>
      <c r="CL516" s="9"/>
      <c r="CM516" s="9"/>
      <c r="CN516" s="9"/>
      <c r="CO516" s="9"/>
      <c r="CP516" s="9"/>
    </row>
    <row r="517" spans="1:94" ht="45" x14ac:dyDescent="0.25">
      <c r="A517" s="127" t="s">
        <v>1667</v>
      </c>
      <c r="B517" s="51" t="s">
        <v>1668</v>
      </c>
      <c r="C517" s="50">
        <f t="shared" si="19"/>
        <v>4.2360000000000007</v>
      </c>
      <c r="D517" s="57">
        <v>2</v>
      </c>
      <c r="E517" s="57" t="s">
        <v>131</v>
      </c>
      <c r="F517" s="57">
        <v>5</v>
      </c>
      <c r="G517" s="50" t="s">
        <v>530</v>
      </c>
      <c r="H517" s="50">
        <f>VLOOKUP($A517,'[1]ma sp 02'!$A$5:$BD$1101,H$1,0)</f>
        <v>0</v>
      </c>
      <c r="I517" s="50">
        <f>VLOOKUP($A517,'[1]ma sp 02'!$A$5:$BD$1101,I$1,0)</f>
        <v>0.38</v>
      </c>
      <c r="J517" s="50">
        <f>VLOOKUP($A517,'[1]ma sp 02'!$A$5:$BD$1101,J$1,0)</f>
        <v>0</v>
      </c>
      <c r="K517" s="50">
        <f>VLOOKUP($A517,'[1]ma sp 02'!$A$5:$BD$1101,K$1,0)</f>
        <v>0</v>
      </c>
      <c r="L517" s="50">
        <f>VLOOKUP($A517,'[1]ma sp 02'!$A$5:$BD$1101,L$1,0)</f>
        <v>0.19</v>
      </c>
      <c r="M517" s="50">
        <f>VLOOKUP($A517,'[1]ma sp 02'!$A$5:$BD$1101,M$1,0)</f>
        <v>0.47599999999999998</v>
      </c>
      <c r="N517" s="50">
        <f>VLOOKUP($A517,'[1]ma sp 02'!$A$5:$BD$1101,N$1,0)</f>
        <v>3</v>
      </c>
      <c r="O517" s="50">
        <f>VLOOKUP($A517,'[1]ma sp 02'!$A$5:$BD$1101,O$1,0)</f>
        <v>0.19</v>
      </c>
      <c r="P517" s="50">
        <f>VLOOKUP($A517,'[1]ma sp 02'!$A$5:$BD$1101,P$1,0)</f>
        <v>0</v>
      </c>
      <c r="Q517" s="50">
        <f>VLOOKUP($A517,'[1]ma sp 02'!$A$5:$BD$1101,Q$1,0)</f>
        <v>0</v>
      </c>
      <c r="R517" s="50">
        <f>VLOOKUP($A517,'[1]ma sp 02'!$A$5:$BD$1101,R$1,0)</f>
        <v>0</v>
      </c>
      <c r="S517" s="50">
        <f>VLOOKUP($A517,'[1]ma sp 02'!$A$5:$BD$1101,S$1,0)</f>
        <v>0</v>
      </c>
      <c r="T517" s="50">
        <f>VLOOKUP($A517,'[1]ma sp 02'!$A$5:$BD$1101,T$1,0)</f>
        <v>0</v>
      </c>
      <c r="U517" s="50">
        <f>VLOOKUP($A517,'[1]ma sp 02'!$A$5:$BD$1101,U$1,0)</f>
        <v>0</v>
      </c>
      <c r="V517" s="50">
        <f>VLOOKUP($A517,'[1]ma sp 02'!$A$5:$BD$1101,V$1,0)</f>
        <v>0</v>
      </c>
      <c r="W517" s="50">
        <f>VLOOKUP($A517,'[1]ma sp 02'!$A$5:$BD$1101,W$1,0)</f>
        <v>0</v>
      </c>
      <c r="X517" s="50">
        <f t="shared" si="17"/>
        <v>5</v>
      </c>
      <c r="Y517" s="62"/>
      <c r="Z517" s="62"/>
      <c r="AA517" s="62"/>
      <c r="AB517" s="62"/>
      <c r="AC517" s="62"/>
      <c r="AD517" s="62"/>
      <c r="AE517" s="62" t="s">
        <v>78</v>
      </c>
      <c r="AF517" s="62" t="s">
        <v>72</v>
      </c>
      <c r="AG517" s="128">
        <v>5.3428500000000004E-2</v>
      </c>
      <c r="AH517" s="54">
        <v>0.93533333333333324</v>
      </c>
      <c r="AI517" s="62">
        <v>1.22</v>
      </c>
      <c r="AJ517" s="62">
        <v>9530</v>
      </c>
      <c r="AK517" s="62">
        <v>9530</v>
      </c>
      <c r="AL517" s="62" t="s">
        <v>117</v>
      </c>
      <c r="AM517" s="61" t="s">
        <v>60</v>
      </c>
      <c r="AN517" s="62">
        <v>340</v>
      </c>
      <c r="AO517" s="61" t="s">
        <v>332</v>
      </c>
      <c r="AP517" s="59" t="str">
        <f>IFERROR(VLOOKUP($A517,[2]Mssp!$A$5:$BE$1463,AP$4+1,0),0)</f>
        <v>1904581-1</v>
      </c>
      <c r="AQ517" s="59" t="str">
        <f>IFERROR(VLOOKUP($A517,[2]Mssp!$A$5:$BE$1463,AQ$4+1,0),0)</f>
        <v>1904580-2</v>
      </c>
      <c r="AR517" s="59" t="str">
        <f>IFERROR(VLOOKUP($A517,[2]Mssp!$A$5:$BE$1463,AR$4+1,0),0)</f>
        <v>1904580-3</v>
      </c>
      <c r="AS517" s="59" t="str">
        <f>IFERROR(VLOOKUP($A517,[2]Mssp!$A$5:$BE$1463,AS$4+1,0),0)</f>
        <v>1904581-4</v>
      </c>
      <c r="AT517" s="59" t="str">
        <f>IFERROR(VLOOKUP($A517,[2]Mssp!$A$5:$BE$1463,AT$4+1,0),0)</f>
        <v>1904581-5</v>
      </c>
      <c r="AU517" s="59">
        <f>IFERROR(VLOOKUP($A517,[2]Mssp!$A$5:$BE$1463,AU$4+1,0),0)</f>
        <v>0</v>
      </c>
      <c r="AV517" s="59">
        <f>IFERROR(VLOOKUP($A517,[2]Mssp!$A$5:$BE$1463,AV$4+1,0),0)</f>
        <v>0</v>
      </c>
      <c r="AW517" s="59">
        <f>IFERROR(VLOOKUP($A517,[2]Mssp!$A$5:$BE$1463,AW$4+1,0),0)</f>
        <v>0</v>
      </c>
      <c r="AX517" s="59">
        <f>IFERROR(VLOOKUP($A517,[2]Mssp!$A$5:$BE$1463,AX$4+1,0),0)</f>
        <v>0</v>
      </c>
      <c r="AY517" s="59" t="str">
        <f>IFERROR(VLOOKUP($A517,[2]Mssp!$A$5:$BE$1463,AY$4+2,0),0)</f>
        <v>680x860</v>
      </c>
      <c r="AZ517" s="59" t="str">
        <f>IFERROR(VLOOKUP($A517,[2]Mssp!$A$5:$BE$1463,AZ$4+2,0),0)</f>
        <v>G3</v>
      </c>
      <c r="BA517" s="141"/>
      <c r="BB517" s="61"/>
      <c r="BC517" s="129"/>
      <c r="BD517" s="138"/>
      <c r="BE517" s="131"/>
      <c r="BF517" s="139"/>
      <c r="BG517" s="131"/>
      <c r="BH517" s="139"/>
      <c r="BI517" s="140"/>
      <c r="BJ517" s="139"/>
      <c r="BK517" s="134"/>
      <c r="BL517" s="139"/>
      <c r="BM517" s="131"/>
      <c r="BN517" s="139"/>
      <c r="BO517" s="9"/>
      <c r="BP517" s="139"/>
      <c r="BQ517" s="139"/>
      <c r="BR517" s="139"/>
      <c r="BS517" s="135"/>
      <c r="BT517" s="139"/>
      <c r="BU517" s="131"/>
      <c r="BV517" s="139"/>
      <c r="BW517" s="131"/>
      <c r="BX517" s="139"/>
      <c r="BY517" s="131"/>
      <c r="BZ517" s="139"/>
      <c r="CA517" s="131"/>
      <c r="CB517" s="139"/>
      <c r="CC517" s="131"/>
      <c r="CD517" s="139"/>
      <c r="CE517" s="9"/>
      <c r="CF517" s="9"/>
      <c r="CG517" s="9"/>
      <c r="CH517" s="9"/>
      <c r="CI517" s="9"/>
      <c r="CJ517" s="9"/>
      <c r="CK517" s="9"/>
      <c r="CL517" s="9"/>
      <c r="CM517" s="9"/>
      <c r="CN517" s="9"/>
      <c r="CO517" s="9"/>
      <c r="CP517" s="9"/>
    </row>
    <row r="518" spans="1:94" ht="90" x14ac:dyDescent="0.25">
      <c r="A518" s="127" t="s">
        <v>1669</v>
      </c>
      <c r="B518" s="51" t="s">
        <v>1670</v>
      </c>
      <c r="C518" s="50">
        <f t="shared" si="19"/>
        <v>4.18</v>
      </c>
      <c r="D518" s="57">
        <v>2</v>
      </c>
      <c r="E518" s="62" t="s">
        <v>1611</v>
      </c>
      <c r="F518" s="57">
        <v>5</v>
      </c>
      <c r="G518" s="50" t="s">
        <v>530</v>
      </c>
      <c r="H518" s="50">
        <f>VLOOKUP($A518,'[1]ma sp 02'!$A$5:$BD$1101,H$1,0)</f>
        <v>0</v>
      </c>
      <c r="I518" s="50">
        <f>VLOOKUP($A518,'[1]ma sp 02'!$A$5:$BD$1101,I$1,0)</f>
        <v>0.92</v>
      </c>
      <c r="J518" s="50">
        <f>VLOOKUP($A518,'[1]ma sp 02'!$A$5:$BD$1101,J$1,0)</f>
        <v>0</v>
      </c>
      <c r="K518" s="50">
        <f>VLOOKUP($A518,'[1]ma sp 02'!$A$5:$BD$1101,K$1,0)</f>
        <v>0</v>
      </c>
      <c r="L518" s="50">
        <f>VLOOKUP($A518,'[1]ma sp 02'!$A$5:$BD$1101,L$1,0)</f>
        <v>0.08</v>
      </c>
      <c r="M518" s="50">
        <f>VLOOKUP($A518,'[1]ma sp 02'!$A$5:$BD$1101,M$1,0)</f>
        <v>0</v>
      </c>
      <c r="N518" s="50">
        <f>VLOOKUP($A518,'[1]ma sp 02'!$A$5:$BD$1101,N$1,0)</f>
        <v>2.83</v>
      </c>
      <c r="O518" s="50">
        <f>VLOOKUP($A518,'[1]ma sp 02'!$A$5:$BD$1101,O$1,0)</f>
        <v>0.08</v>
      </c>
      <c r="P518" s="50">
        <f>VLOOKUP($A518,'[1]ma sp 02'!$A$5:$BD$1101,P$1,0)</f>
        <v>0.27</v>
      </c>
      <c r="Q518" s="50">
        <f>VLOOKUP($A518,'[1]ma sp 02'!$A$5:$BD$1101,Q$1,0)</f>
        <v>0</v>
      </c>
      <c r="R518" s="50">
        <f>VLOOKUP($A518,'[1]ma sp 02'!$A$5:$BD$1101,R$1,0)</f>
        <v>0</v>
      </c>
      <c r="S518" s="50">
        <f>VLOOKUP($A518,'[1]ma sp 02'!$A$5:$BD$1101,S$1,0)</f>
        <v>0</v>
      </c>
      <c r="T518" s="50">
        <f>VLOOKUP($A518,'[1]ma sp 02'!$A$5:$BD$1101,T$1,0)</f>
        <v>0</v>
      </c>
      <c r="U518" s="50">
        <f>VLOOKUP($A518,'[1]ma sp 02'!$A$5:$BD$1101,U$1,0)</f>
        <v>0</v>
      </c>
      <c r="V518" s="50">
        <f>VLOOKUP($A518,'[1]ma sp 02'!$A$5:$BD$1101,V$1,0)</f>
        <v>0</v>
      </c>
      <c r="W518" s="50">
        <f>VLOOKUP($A518,'[1]ma sp 02'!$A$5:$BD$1101,W$1,0)</f>
        <v>0</v>
      </c>
      <c r="X518" s="50">
        <f t="shared" si="17"/>
        <v>5</v>
      </c>
      <c r="Y518" s="62"/>
      <c r="Z518" s="62"/>
      <c r="AA518" s="62"/>
      <c r="AB518" s="62"/>
      <c r="AC518" s="62"/>
      <c r="AD518" s="62"/>
      <c r="AE518" s="62" t="s">
        <v>1612</v>
      </c>
      <c r="AF518" s="52" t="s">
        <v>486</v>
      </c>
      <c r="AG518" s="71">
        <f>(0.012*1.4+0.012*1.4+0.075*0.925)*0.76</f>
        <v>7.8261000000000011E-2</v>
      </c>
      <c r="AH518" s="63">
        <f>(2.3/0.75/2)*0.75</f>
        <v>1.1499999999999999</v>
      </c>
      <c r="AI518" s="63">
        <f>(3/0.75/2)*0.75</f>
        <v>1.5</v>
      </c>
      <c r="AJ518" s="58">
        <v>9530</v>
      </c>
      <c r="AK518" s="58">
        <v>9530</v>
      </c>
      <c r="AL518" s="58" t="s">
        <v>117</v>
      </c>
      <c r="AM518" s="52" t="s">
        <v>60</v>
      </c>
      <c r="AN518" s="62">
        <v>420</v>
      </c>
      <c r="AO518" s="61" t="s">
        <v>332</v>
      </c>
      <c r="AP518" s="59" t="str">
        <f>IFERROR(VLOOKUP($A518,[2]Mssp!$A$5:$BE$1463,AP$4+1,0),0)</f>
        <v>1904582-1</v>
      </c>
      <c r="AQ518" s="59" t="str">
        <f>IFERROR(VLOOKUP($A518,[2]Mssp!$A$5:$BE$1463,AQ$4+1,0),0)</f>
        <v>1904582-2</v>
      </c>
      <c r="AR518" s="59" t="str">
        <f>IFERROR(VLOOKUP($A518,[2]Mssp!$A$5:$BE$1463,AR$4+1,0),0)</f>
        <v>1904582-3</v>
      </c>
      <c r="AS518" s="59" t="str">
        <f>IFERROR(VLOOKUP($A518,[2]Mssp!$A$5:$BE$1463,AS$4+1,0),0)</f>
        <v>1904582-4</v>
      </c>
      <c r="AT518" s="59" t="str">
        <f>IFERROR(VLOOKUP($A518,[2]Mssp!$A$5:$BE$1463,AT$4+1,0),0)</f>
        <v>1904582-5</v>
      </c>
      <c r="AU518" s="59">
        <f>IFERROR(VLOOKUP($A518,[2]Mssp!$A$5:$BE$1463,AU$4+1,0),0)</f>
        <v>0</v>
      </c>
      <c r="AV518" s="59">
        <f>IFERROR(VLOOKUP($A518,[2]Mssp!$A$5:$BE$1463,AV$4+1,0),0)</f>
        <v>0</v>
      </c>
      <c r="AW518" s="59">
        <f>IFERROR(VLOOKUP($A518,[2]Mssp!$A$5:$BE$1463,AW$4+1,0),0)</f>
        <v>0</v>
      </c>
      <c r="AX518" s="59">
        <f>IFERROR(VLOOKUP($A518,[2]Mssp!$A$5:$BE$1463,AX$4+1,0),0)</f>
        <v>0</v>
      </c>
      <c r="AY518" s="59" t="str">
        <f>IFERROR(VLOOKUP($A518,[2]Mssp!$A$5:$BE$1463,AY$4+2,0),0)</f>
        <v>420x850</v>
      </c>
      <c r="AZ518" s="59" t="str">
        <f>IFERROR(VLOOKUP($A518,[2]Mssp!$A$5:$BE$1463,AZ$4+2,0),0)</f>
        <v>G3</v>
      </c>
      <c r="BA518" s="141"/>
      <c r="BB518" s="61" t="s">
        <v>119</v>
      </c>
      <c r="BC518" s="129"/>
      <c r="BD518" s="138"/>
      <c r="BE518" s="131"/>
      <c r="BF518" s="139"/>
      <c r="BG518" s="131"/>
      <c r="BH518" s="139"/>
      <c r="BI518" s="140"/>
      <c r="BJ518" s="139"/>
      <c r="BK518" s="134"/>
      <c r="BL518" s="139"/>
      <c r="BM518" s="131"/>
      <c r="BN518" s="139"/>
      <c r="BO518" s="9"/>
      <c r="BP518" s="139"/>
      <c r="BQ518" s="139"/>
      <c r="BR518" s="139"/>
      <c r="BS518" s="135"/>
      <c r="BT518" s="139"/>
      <c r="BU518" s="131"/>
      <c r="BV518" s="139"/>
      <c r="BW518" s="131"/>
      <c r="BX518" s="139"/>
      <c r="BY518" s="131"/>
      <c r="BZ518" s="139"/>
      <c r="CA518" s="131"/>
      <c r="CB518" s="139"/>
      <c r="CC518" s="131"/>
      <c r="CD518" s="139"/>
      <c r="CE518" s="9"/>
      <c r="CF518" s="9"/>
      <c r="CG518" s="9"/>
      <c r="CH518" s="9"/>
      <c r="CI518" s="9"/>
      <c r="CJ518" s="9"/>
      <c r="CK518" s="9"/>
      <c r="CL518" s="9"/>
      <c r="CM518" s="9"/>
      <c r="CN518" s="9"/>
      <c r="CO518" s="9"/>
      <c r="CP518" s="9"/>
    </row>
    <row r="519" spans="1:94" ht="90" x14ac:dyDescent="0.25">
      <c r="A519" s="127" t="s">
        <v>1671</v>
      </c>
      <c r="B519" s="51" t="s">
        <v>1672</v>
      </c>
      <c r="C519" s="50">
        <f t="shared" si="19"/>
        <v>6.6369999999999996</v>
      </c>
      <c r="D519" s="57">
        <v>2</v>
      </c>
      <c r="E519" s="62" t="s">
        <v>1611</v>
      </c>
      <c r="F519" s="57">
        <v>5</v>
      </c>
      <c r="G519" s="50" t="s">
        <v>530</v>
      </c>
      <c r="H519" s="50">
        <f>VLOOKUP($A519,'[1]ma sp 02'!$A$5:$BD$1101,H$1,0)</f>
        <v>0</v>
      </c>
      <c r="I519" s="50">
        <f>VLOOKUP($A519,'[1]ma sp 02'!$A$5:$BD$1101,I$1,0)</f>
        <v>0.68</v>
      </c>
      <c r="J519" s="50">
        <f>VLOOKUP($A519,'[1]ma sp 02'!$A$5:$BD$1101,J$1,0)</f>
        <v>0.19</v>
      </c>
      <c r="K519" s="50">
        <f>VLOOKUP($A519,'[1]ma sp 02'!$A$5:$BD$1101,K$1,0)</f>
        <v>0.15</v>
      </c>
      <c r="L519" s="50">
        <f>VLOOKUP($A519,'[1]ma sp 02'!$A$5:$BD$1101,L$1,0)</f>
        <v>0.01</v>
      </c>
      <c r="M519" s="50">
        <f>VLOOKUP($A519,'[1]ma sp 02'!$A$5:$BD$1101,M$1,0)</f>
        <v>2.4769999999999999</v>
      </c>
      <c r="N519" s="50">
        <f>VLOOKUP($A519,'[1]ma sp 02'!$A$5:$BD$1101,N$1,0)</f>
        <v>2.91</v>
      </c>
      <c r="O519" s="50">
        <f>VLOOKUP($A519,'[1]ma sp 02'!$A$5:$BD$1101,O$1,0)</f>
        <v>0</v>
      </c>
      <c r="P519" s="50">
        <f>VLOOKUP($A519,'[1]ma sp 02'!$A$5:$BD$1101,P$1,0)</f>
        <v>0.22</v>
      </c>
      <c r="Q519" s="50">
        <f>VLOOKUP($A519,'[1]ma sp 02'!$A$5:$BD$1101,Q$1,0)</f>
        <v>0</v>
      </c>
      <c r="R519" s="50">
        <f>VLOOKUP($A519,'[1]ma sp 02'!$A$5:$BD$1101,R$1,0)</f>
        <v>0</v>
      </c>
      <c r="S519" s="50">
        <f>VLOOKUP($A519,'[1]ma sp 02'!$A$5:$BD$1101,S$1,0)</f>
        <v>0</v>
      </c>
      <c r="T519" s="50">
        <f>VLOOKUP($A519,'[1]ma sp 02'!$A$5:$BD$1101,T$1,0)</f>
        <v>0</v>
      </c>
      <c r="U519" s="50">
        <f>VLOOKUP($A519,'[1]ma sp 02'!$A$5:$BD$1101,U$1,0)</f>
        <v>0</v>
      </c>
      <c r="V519" s="50">
        <f>VLOOKUP($A519,'[1]ma sp 02'!$A$5:$BD$1101,V$1,0)</f>
        <v>0</v>
      </c>
      <c r="W519" s="50">
        <f>VLOOKUP($A519,'[1]ma sp 02'!$A$5:$BD$1101,W$1,0)</f>
        <v>0</v>
      </c>
      <c r="X519" s="50">
        <f t="shared" si="17"/>
        <v>7</v>
      </c>
      <c r="Y519" s="62"/>
      <c r="Z519" s="62"/>
      <c r="AA519" s="62"/>
      <c r="AB519" s="62"/>
      <c r="AC519" s="62"/>
      <c r="AD519" s="62"/>
      <c r="AE519" s="62" t="s">
        <v>1612</v>
      </c>
      <c r="AF519" s="52" t="s">
        <v>486</v>
      </c>
      <c r="AG519" s="71">
        <f>(0.012*1.4+0.012*1.4+0.075*0.925)*0.76</f>
        <v>7.8261000000000011E-2</v>
      </c>
      <c r="AH519" s="63">
        <f>(2.3/0.75/2)*0.75</f>
        <v>1.1499999999999999</v>
      </c>
      <c r="AI519" s="63">
        <f>(3/0.75/2)*0.75</f>
        <v>1.5</v>
      </c>
      <c r="AJ519" s="58">
        <v>9530</v>
      </c>
      <c r="AK519" s="58">
        <v>9530</v>
      </c>
      <c r="AL519" s="58" t="s">
        <v>117</v>
      </c>
      <c r="AM519" s="52" t="s">
        <v>60</v>
      </c>
      <c r="AN519" s="62">
        <v>420</v>
      </c>
      <c r="AO519" s="61" t="s">
        <v>332</v>
      </c>
      <c r="AP519" s="59" t="str">
        <f>IFERROR(VLOOKUP($A519,[2]Mssp!$A$5:$BE$1463,AP$4+1,0),0)</f>
        <v>1904583-1</v>
      </c>
      <c r="AQ519" s="59" t="str">
        <f>IFERROR(VLOOKUP($A519,[2]Mssp!$A$5:$BE$1463,AQ$4+1,0),0)</f>
        <v>1904582-2</v>
      </c>
      <c r="AR519" s="59" t="str">
        <f>IFERROR(VLOOKUP($A519,[2]Mssp!$A$5:$BE$1463,AR$4+1,0),0)</f>
        <v>1904582-3</v>
      </c>
      <c r="AS519" s="59" t="str">
        <f>IFERROR(VLOOKUP($A519,[2]Mssp!$A$5:$BE$1463,AS$4+1,0),0)</f>
        <v>1904583-4</v>
      </c>
      <c r="AT519" s="59" t="str">
        <f>IFERROR(VLOOKUP($A519,[2]Mssp!$A$5:$BE$1463,AT$4+1,0),0)</f>
        <v>1904583-5</v>
      </c>
      <c r="AU519" s="59" t="str">
        <f>IFERROR(VLOOKUP($A519,[2]Mssp!$A$5:$BE$1463,AU$4+1,0),0)</f>
        <v>1904583X2-1</v>
      </c>
      <c r="AV519" s="59">
        <f>IFERROR(VLOOKUP($A519,[2]Mssp!$A$5:$BE$1463,AV$4+1,0),0)</f>
        <v>0</v>
      </c>
      <c r="AW519" s="59">
        <f>IFERROR(VLOOKUP($A519,[2]Mssp!$A$5:$BE$1463,AW$4+1,0),0)</f>
        <v>0</v>
      </c>
      <c r="AX519" s="59">
        <f>IFERROR(VLOOKUP($A519,[2]Mssp!$A$5:$BE$1463,AX$4+1,0),0)</f>
        <v>0</v>
      </c>
      <c r="AY519" s="59" t="str">
        <f>IFERROR(VLOOKUP($A519,[2]Mssp!$A$5:$BE$1463,AY$4+2,0),0)</f>
        <v>420x850</v>
      </c>
      <c r="AZ519" s="59" t="str">
        <f>IFERROR(VLOOKUP($A519,[2]Mssp!$A$5:$BE$1463,AZ$4+2,0),0)</f>
        <v>G3</v>
      </c>
      <c r="BA519" s="141"/>
      <c r="BB519" s="61" t="s">
        <v>119</v>
      </c>
      <c r="BC519" s="129"/>
      <c r="BD519" s="138"/>
      <c r="BE519" s="131"/>
      <c r="BF519" s="139"/>
      <c r="BG519" s="131"/>
      <c r="BH519" s="139"/>
      <c r="BI519" s="140"/>
      <c r="BJ519" s="139"/>
      <c r="BK519" s="134"/>
      <c r="BL519" s="139"/>
      <c r="BM519" s="131"/>
      <c r="BN519" s="139"/>
      <c r="BO519" s="9"/>
      <c r="BP519" s="139"/>
      <c r="BQ519" s="139"/>
      <c r="BR519" s="139"/>
      <c r="BS519" s="135"/>
      <c r="BT519" s="139"/>
      <c r="BU519" s="131"/>
      <c r="BV519" s="139"/>
      <c r="BW519" s="131"/>
      <c r="BX519" s="139"/>
      <c r="BY519" s="131"/>
      <c r="BZ519" s="139"/>
      <c r="CA519" s="131"/>
      <c r="CB519" s="139"/>
      <c r="CC519" s="131"/>
      <c r="CD519" s="139"/>
      <c r="CE519" s="9"/>
      <c r="CF519" s="9"/>
      <c r="CG519" s="9"/>
      <c r="CH519" s="9"/>
      <c r="CI519" s="9"/>
      <c r="CJ519" s="9"/>
      <c r="CK519" s="9"/>
      <c r="CL519" s="9"/>
      <c r="CM519" s="9"/>
      <c r="CN519" s="9"/>
      <c r="CO519" s="9"/>
      <c r="CP519" s="9"/>
    </row>
    <row r="520" spans="1:94" ht="30" x14ac:dyDescent="0.25">
      <c r="A520" s="127" t="s">
        <v>1673</v>
      </c>
      <c r="B520" s="51" t="s">
        <v>1674</v>
      </c>
      <c r="C520" s="62"/>
      <c r="D520" s="62">
        <v>4</v>
      </c>
      <c r="E520" s="62" t="s">
        <v>910</v>
      </c>
      <c r="F520" s="62">
        <v>7</v>
      </c>
      <c r="G520" s="62" t="s">
        <v>184</v>
      </c>
      <c r="H520" s="50">
        <f>VLOOKUP($A520,'[1]ma sp 02'!$A$5:$BD$1101,H$1,0)</f>
        <v>0.2</v>
      </c>
      <c r="I520" s="50">
        <f>VLOOKUP($A520,'[1]ma sp 02'!$A$5:$BD$1101,I$1,0)</f>
        <v>3.84</v>
      </c>
      <c r="J520" s="50">
        <f>VLOOKUP($A520,'[1]ma sp 02'!$A$5:$BD$1101,J$1,0)</f>
        <v>0.08</v>
      </c>
      <c r="K520" s="50">
        <f>VLOOKUP($A520,'[1]ma sp 02'!$A$5:$BD$1101,K$1,0)</f>
        <v>0.85</v>
      </c>
      <c r="L520" s="50">
        <f>VLOOKUP($A520,'[1]ma sp 02'!$A$5:$BD$1101,L$1,0)</f>
        <v>0.85</v>
      </c>
      <c r="M520" s="50">
        <f>VLOOKUP($A520,'[1]ma sp 02'!$A$5:$BD$1101,M$1,0)</f>
        <v>0.66</v>
      </c>
      <c r="N520" s="50">
        <f>VLOOKUP($A520,'[1]ma sp 02'!$A$5:$BD$1101,N$1,0)</f>
        <v>0</v>
      </c>
      <c r="O520" s="50">
        <f>VLOOKUP($A520,'[1]ma sp 02'!$A$5:$BD$1101,O$1,0)</f>
        <v>0</v>
      </c>
      <c r="P520" s="50">
        <f>VLOOKUP($A520,'[1]ma sp 02'!$A$5:$BD$1101,P$1,0)</f>
        <v>7.0000000000000007E-2</v>
      </c>
      <c r="Q520" s="50">
        <f>VLOOKUP($A520,'[1]ma sp 02'!$A$5:$BD$1101,Q$1,0)</f>
        <v>0.79</v>
      </c>
      <c r="R520" s="50">
        <f>VLOOKUP($A520,'[1]ma sp 02'!$A$5:$BD$1101,R$1,0)</f>
        <v>0.84</v>
      </c>
      <c r="S520" s="50">
        <f>VLOOKUP($A520,'[1]ma sp 02'!$A$5:$BD$1101,S$1,0)</f>
        <v>0</v>
      </c>
      <c r="T520" s="50">
        <f>VLOOKUP($A520,'[1]ma sp 02'!$A$5:$BD$1101,T$1,0)</f>
        <v>0</v>
      </c>
      <c r="U520" s="50">
        <f>VLOOKUP($A520,'[1]ma sp 02'!$A$5:$BD$1101,U$1,0)</f>
        <v>0</v>
      </c>
      <c r="V520" s="50">
        <f>VLOOKUP($A520,'[1]ma sp 02'!$A$5:$BD$1101,V$1,0)</f>
        <v>0</v>
      </c>
      <c r="W520" s="50">
        <f>VLOOKUP($A520,'[1]ma sp 02'!$A$5:$BD$1101,W$1,0)</f>
        <v>0</v>
      </c>
      <c r="X520" s="50">
        <f t="shared" si="17"/>
        <v>9</v>
      </c>
      <c r="Y520" s="9"/>
      <c r="Z520" s="9"/>
      <c r="AA520" s="9"/>
      <c r="AB520" s="9"/>
      <c r="AC520" s="9"/>
      <c r="AD520" s="9"/>
      <c r="AE520" s="9" t="s">
        <v>1675</v>
      </c>
      <c r="AF520" s="9"/>
      <c r="AG520" s="71">
        <f>(0.02*0.91+0.025*0.925)*0.9</f>
        <v>3.7192500000000003E-2</v>
      </c>
      <c r="AH520" s="63">
        <f>(2.3/0.75/2)*0.89</f>
        <v>1.3646666666666665</v>
      </c>
      <c r="AI520" s="9"/>
      <c r="AJ520" s="58">
        <v>9530</v>
      </c>
      <c r="AK520" s="9"/>
      <c r="AL520" s="9">
        <v>2E-3</v>
      </c>
      <c r="AM520" s="69" t="s">
        <v>1489</v>
      </c>
      <c r="AN520" s="9">
        <v>175</v>
      </c>
      <c r="AO520" s="69" t="s">
        <v>1676</v>
      </c>
      <c r="AP520" s="59" t="str">
        <f>IFERROR(VLOOKUP($A520,[2]Mssp!$A$5:$BE$1463,AP$4+1,0),0)</f>
        <v>F125558-1</v>
      </c>
      <c r="AQ520" s="59" t="str">
        <f>IFERROR(VLOOKUP($A520,[2]Mssp!$A$5:$BE$1463,AQ$4+1,0),0)</f>
        <v>F125558-2</v>
      </c>
      <c r="AR520" s="59" t="str">
        <f>IFERROR(VLOOKUP($A520,[2]Mssp!$A$5:$BE$1463,AR$4+1,0),0)</f>
        <v>F125558-3</v>
      </c>
      <c r="AS520" s="59" t="str">
        <f>IFERROR(VLOOKUP($A520,[2]Mssp!$A$5:$BE$1463,AS$4+1,0),0)</f>
        <v>F125558-4</v>
      </c>
      <c r="AT520" s="59" t="str">
        <f>IFERROR(VLOOKUP($A520,[2]Mssp!$A$5:$BE$1463,AT$4+1,0),0)</f>
        <v>F125558-5</v>
      </c>
      <c r="AU520" s="59" t="str">
        <f>IFERROR(VLOOKUP($A520,[2]Mssp!$A$5:$BE$1463,AU$4+1,0),0)</f>
        <v>F125558-6</v>
      </c>
      <c r="AV520" s="59" t="str">
        <f>IFERROR(VLOOKUP($A520,[2]Mssp!$A$5:$BE$1463,AV$4+1,0),0)</f>
        <v>F125558-7</v>
      </c>
      <c r="AW520" s="59" t="str">
        <f>IFERROR(VLOOKUP($A520,[2]Mssp!$A$5:$BE$1463,AW$4+1,0),0)</f>
        <v>F125558-8</v>
      </c>
      <c r="AX520" s="59">
        <f>IFERROR(VLOOKUP($A520,[2]Mssp!$A$5:$BE$1463,AX$4+1,0),0)</f>
        <v>0</v>
      </c>
      <c r="AY520" s="59" t="str">
        <f>IFERROR(VLOOKUP($A520,[2]Mssp!$A$5:$BE$1463,AY$4+2,0),0)</f>
        <v>1100x525</v>
      </c>
      <c r="AZ520" s="59" t="str">
        <f>IFERROR(VLOOKUP($A520,[2]Mssp!$A$5:$BE$1463,AZ$4+2,0),0)</f>
        <v>Q2</v>
      </c>
      <c r="BA520" s="141"/>
      <c r="BB520" s="61" t="s">
        <v>223</v>
      </c>
      <c r="BC520" s="129"/>
      <c r="BD520" s="138"/>
      <c r="BE520" s="131"/>
      <c r="BF520" s="139"/>
      <c r="BG520" s="131"/>
      <c r="BH520" s="139"/>
      <c r="BI520" s="140"/>
      <c r="BJ520" s="139"/>
      <c r="BK520" s="134"/>
      <c r="BL520" s="139"/>
      <c r="BM520" s="131"/>
      <c r="BN520" s="139"/>
      <c r="BO520" s="9"/>
      <c r="BP520" s="139"/>
      <c r="BQ520" s="139"/>
      <c r="BR520" s="139"/>
      <c r="BS520" s="135"/>
      <c r="BT520" s="139"/>
      <c r="BU520" s="131"/>
      <c r="BV520" s="139"/>
      <c r="BW520" s="131"/>
      <c r="BX520" s="139"/>
      <c r="BY520" s="131"/>
      <c r="BZ520" s="139"/>
      <c r="CA520" s="131"/>
      <c r="CB520" s="139"/>
      <c r="CC520" s="131"/>
      <c r="CD520" s="139"/>
      <c r="CE520" s="9"/>
      <c r="CF520" s="9"/>
      <c r="CG520" s="9"/>
      <c r="CH520" s="9"/>
      <c r="CI520" s="9"/>
      <c r="CJ520" s="9"/>
      <c r="CK520" s="9"/>
      <c r="CL520" s="9"/>
      <c r="CM520" s="9"/>
      <c r="CN520" s="9"/>
      <c r="CO520" s="9"/>
      <c r="CP520" s="9"/>
    </row>
    <row r="521" spans="1:94" ht="60" x14ac:dyDescent="0.25">
      <c r="A521" s="127" t="s">
        <v>1677</v>
      </c>
      <c r="B521" s="51" t="s">
        <v>1678</v>
      </c>
      <c r="C521" s="62"/>
      <c r="D521" s="62"/>
      <c r="E521" s="62" t="s">
        <v>1679</v>
      </c>
      <c r="F521" s="62"/>
      <c r="G521" s="62"/>
      <c r="H521" s="50">
        <f>VLOOKUP($A521,'[1]ma sp 02'!$A$5:$BD$1101,H$1,0)</f>
        <v>0</v>
      </c>
      <c r="I521" s="50">
        <f>VLOOKUP($A521,'[1]ma sp 02'!$A$5:$BD$1101,I$1,0)</f>
        <v>0</v>
      </c>
      <c r="J521" s="50">
        <f>VLOOKUP($A521,'[1]ma sp 02'!$A$5:$BD$1101,J$1,0)</f>
        <v>0</v>
      </c>
      <c r="K521" s="50">
        <f>VLOOKUP($A521,'[1]ma sp 02'!$A$5:$BD$1101,K$1,0)</f>
        <v>0</v>
      </c>
      <c r="L521" s="50">
        <f>VLOOKUP($A521,'[1]ma sp 02'!$A$5:$BD$1101,L$1,0)</f>
        <v>0</v>
      </c>
      <c r="M521" s="50">
        <f>VLOOKUP($A521,'[1]ma sp 02'!$A$5:$BD$1101,M$1,0)</f>
        <v>0</v>
      </c>
      <c r="N521" s="50">
        <f>VLOOKUP($A521,'[1]ma sp 02'!$A$5:$BD$1101,N$1,0)</f>
        <v>0</v>
      </c>
      <c r="O521" s="50">
        <f>VLOOKUP($A521,'[1]ma sp 02'!$A$5:$BD$1101,O$1,0)</f>
        <v>0</v>
      </c>
      <c r="P521" s="50">
        <f>VLOOKUP($A521,'[1]ma sp 02'!$A$5:$BD$1101,P$1,0)</f>
        <v>0</v>
      </c>
      <c r="Q521" s="50">
        <f>VLOOKUP($A521,'[1]ma sp 02'!$A$5:$BD$1101,Q$1,0)</f>
        <v>0</v>
      </c>
      <c r="R521" s="50">
        <f>VLOOKUP($A521,'[1]ma sp 02'!$A$5:$BD$1101,R$1,0)</f>
        <v>0</v>
      </c>
      <c r="S521" s="50">
        <f>VLOOKUP($A521,'[1]ma sp 02'!$A$5:$BD$1101,S$1,0)</f>
        <v>0</v>
      </c>
      <c r="T521" s="50">
        <f>VLOOKUP($A521,'[1]ma sp 02'!$A$5:$BD$1101,T$1,0)</f>
        <v>0</v>
      </c>
      <c r="U521" s="50">
        <f>VLOOKUP($A521,'[1]ma sp 02'!$A$5:$BD$1101,U$1,0)</f>
        <v>0</v>
      </c>
      <c r="V521" s="50">
        <f>VLOOKUP($A521,'[1]ma sp 02'!$A$5:$BD$1101,V$1,0)</f>
        <v>0</v>
      </c>
      <c r="W521" s="50">
        <f>VLOOKUP($A521,'[1]ma sp 02'!$A$5:$BD$1101,W$1,0)</f>
        <v>0</v>
      </c>
      <c r="X521" s="50">
        <f t="shared" si="17"/>
        <v>0</v>
      </c>
      <c r="Y521" s="9"/>
      <c r="Z521" s="9"/>
      <c r="AA521" s="9"/>
      <c r="AB521" s="9"/>
      <c r="AC521" s="9"/>
      <c r="AD521" s="62"/>
      <c r="AE521" s="62" t="s">
        <v>1680</v>
      </c>
      <c r="AF521" s="9" t="s">
        <v>1681</v>
      </c>
      <c r="AG521" s="9"/>
      <c r="AH521" s="54">
        <f>(2.3/0.75/2)*0.775</f>
        <v>1.1883333333333332</v>
      </c>
      <c r="AI521" s="54">
        <f>(2.3/0.75/2)*0.775</f>
        <v>1.1883333333333332</v>
      </c>
      <c r="AJ521" s="9">
        <v>9530</v>
      </c>
      <c r="AK521" s="9">
        <v>9530</v>
      </c>
      <c r="AL521" s="9" t="s">
        <v>1682</v>
      </c>
      <c r="AM521" s="69" t="s">
        <v>1579</v>
      </c>
      <c r="AN521" s="9">
        <v>765</v>
      </c>
      <c r="AO521" s="69" t="s">
        <v>1490</v>
      </c>
      <c r="AP521" s="59">
        <f>IFERROR(VLOOKUP($A521,[2]Mssp!$A$5:$BE$1463,AP$4+1,0),0)</f>
        <v>0</v>
      </c>
      <c r="AQ521" s="59">
        <f>IFERROR(VLOOKUP($A521,[2]Mssp!$A$5:$BE$1463,AQ$4+1,0),0)</f>
        <v>0</v>
      </c>
      <c r="AR521" s="59">
        <f>IFERROR(VLOOKUP($A521,[2]Mssp!$A$5:$BE$1463,AR$4+1,0),0)</f>
        <v>0</v>
      </c>
      <c r="AS521" s="59">
        <f>IFERROR(VLOOKUP($A521,[2]Mssp!$A$5:$BE$1463,AS$4+1,0),0)</f>
        <v>0</v>
      </c>
      <c r="AT521" s="59">
        <f>IFERROR(VLOOKUP($A521,[2]Mssp!$A$5:$BE$1463,AT$4+1,0),0)</f>
        <v>0</v>
      </c>
      <c r="AU521" s="59">
        <f>IFERROR(VLOOKUP($A521,[2]Mssp!$A$5:$BE$1463,AU$4+1,0),0)</f>
        <v>0</v>
      </c>
      <c r="AV521" s="59">
        <f>IFERROR(VLOOKUP($A521,[2]Mssp!$A$5:$BE$1463,AV$4+1,0),0)</f>
        <v>0</v>
      </c>
      <c r="AW521" s="59">
        <f>IFERROR(VLOOKUP($A521,[2]Mssp!$A$5:$BE$1463,AW$4+1,0),0)</f>
        <v>0</v>
      </c>
      <c r="AX521" s="59">
        <f>IFERROR(VLOOKUP($A521,[2]Mssp!$A$5:$BE$1463,AX$4+1,0),0)</f>
        <v>0</v>
      </c>
      <c r="AY521" s="59">
        <f>IFERROR(VLOOKUP($A521,[2]Mssp!$A$5:$BE$1463,AY$4+2,0),0)</f>
        <v>0</v>
      </c>
      <c r="AZ521" s="59">
        <f>IFERROR(VLOOKUP($A521,[2]Mssp!$A$5:$BE$1463,AZ$4+2,0),0)</f>
        <v>0</v>
      </c>
      <c r="BA521" s="141"/>
      <c r="BB521" s="61" t="s">
        <v>1683</v>
      </c>
      <c r="BC521" s="129"/>
      <c r="BD521" s="138"/>
      <c r="BE521" s="131"/>
      <c r="BF521" s="139"/>
      <c r="BG521" s="131"/>
      <c r="BH521" s="139"/>
      <c r="BI521" s="140"/>
      <c r="BJ521" s="139"/>
      <c r="BK521" s="134"/>
      <c r="BL521" s="139"/>
      <c r="BM521" s="131"/>
      <c r="BN521" s="139"/>
      <c r="BO521" s="9"/>
      <c r="BP521" s="139"/>
      <c r="BQ521" s="139"/>
      <c r="BR521" s="139"/>
      <c r="BS521" s="135"/>
      <c r="BT521" s="139"/>
      <c r="BU521" s="131"/>
      <c r="BV521" s="139"/>
      <c r="BW521" s="131"/>
      <c r="BX521" s="139"/>
      <c r="BY521" s="131"/>
      <c r="BZ521" s="139"/>
      <c r="CA521" s="131"/>
      <c r="CB521" s="139"/>
      <c r="CC521" s="131"/>
      <c r="CD521" s="139"/>
      <c r="CE521" s="9"/>
      <c r="CF521" s="9"/>
      <c r="CG521" s="9"/>
      <c r="CH521" s="9"/>
      <c r="CI521" s="9"/>
      <c r="CJ521" s="9"/>
      <c r="CK521" s="9"/>
      <c r="CL521" s="9"/>
      <c r="CM521" s="9"/>
      <c r="CN521" s="9"/>
      <c r="CO521" s="9"/>
      <c r="CP521" s="9"/>
    </row>
    <row r="522" spans="1:94" ht="45" x14ac:dyDescent="0.25">
      <c r="A522" s="127" t="s">
        <v>1684</v>
      </c>
      <c r="B522" s="51" t="s">
        <v>1685</v>
      </c>
      <c r="C522" s="62"/>
      <c r="D522" s="62"/>
      <c r="E522" s="62" t="s">
        <v>636</v>
      </c>
      <c r="F522" s="57">
        <v>2</v>
      </c>
      <c r="G522" s="50" t="s">
        <v>530</v>
      </c>
      <c r="H522" s="50">
        <f>VLOOKUP($A522,'[1]ma sp 02'!$A$5:$BD$1101,H$1,0)</f>
        <v>0</v>
      </c>
      <c r="I522" s="50">
        <f>VLOOKUP($A522,'[1]ma sp 02'!$A$5:$BD$1101,I$1,0)</f>
        <v>0</v>
      </c>
      <c r="J522" s="50">
        <f>VLOOKUP($A522,'[1]ma sp 02'!$A$5:$BD$1101,J$1,0)</f>
        <v>0.06</v>
      </c>
      <c r="K522" s="50">
        <f>VLOOKUP($A522,'[1]ma sp 02'!$A$5:$BD$1101,K$1,0)</f>
        <v>0</v>
      </c>
      <c r="L522" s="50">
        <f>VLOOKUP($A522,'[1]ma sp 02'!$A$5:$BD$1101,L$1,0)</f>
        <v>0.06</v>
      </c>
      <c r="M522" s="50">
        <f>VLOOKUP($A522,'[1]ma sp 02'!$A$5:$BD$1101,M$1,0)</f>
        <v>0</v>
      </c>
      <c r="N522" s="50">
        <f>VLOOKUP($A522,'[1]ma sp 02'!$A$5:$BD$1101,N$1,0)</f>
        <v>2.68</v>
      </c>
      <c r="O522" s="50">
        <f>VLOOKUP($A522,'[1]ma sp 02'!$A$5:$BD$1101,O$1,0)</f>
        <v>0.3</v>
      </c>
      <c r="P522" s="50">
        <f>VLOOKUP($A522,'[1]ma sp 02'!$A$5:$BD$1101,P$1,0)</f>
        <v>0</v>
      </c>
      <c r="Q522" s="50">
        <f>VLOOKUP($A522,'[1]ma sp 02'!$A$5:$BD$1101,Q$1,0)</f>
        <v>0</v>
      </c>
      <c r="R522" s="50">
        <f>VLOOKUP($A522,'[1]ma sp 02'!$A$5:$BD$1101,R$1,0)</f>
        <v>0</v>
      </c>
      <c r="S522" s="50">
        <f>VLOOKUP($A522,'[1]ma sp 02'!$A$5:$BD$1101,S$1,0)</f>
        <v>0</v>
      </c>
      <c r="T522" s="50">
        <f>VLOOKUP($A522,'[1]ma sp 02'!$A$5:$BD$1101,T$1,0)</f>
        <v>0</v>
      </c>
      <c r="U522" s="50">
        <f>VLOOKUP($A522,'[1]ma sp 02'!$A$5:$BD$1101,U$1,0)</f>
        <v>0</v>
      </c>
      <c r="V522" s="50">
        <f>VLOOKUP($A522,'[1]ma sp 02'!$A$5:$BD$1101,V$1,0)</f>
        <v>0</v>
      </c>
      <c r="W522" s="50">
        <f>VLOOKUP($A522,'[1]ma sp 02'!$A$5:$BD$1101,W$1,0)</f>
        <v>0</v>
      </c>
      <c r="X522" s="50">
        <f t="shared" ref="X522:X559" si="20">COUNTIF(H522:W522, "&gt;0")</f>
        <v>4</v>
      </c>
      <c r="Y522" s="62"/>
      <c r="Z522" s="62"/>
      <c r="AA522" s="62"/>
      <c r="AB522" s="84"/>
      <c r="AC522" s="62"/>
      <c r="AD522" s="146"/>
      <c r="AE522" s="146" t="s">
        <v>1593</v>
      </c>
      <c r="AF522" s="62" t="s">
        <v>321</v>
      </c>
      <c r="AG522" s="71">
        <f>(0.012*1.4+0.012*1.4+0.075*0.925)*0.74</f>
        <v>7.6201500000000005E-2</v>
      </c>
      <c r="AH522" s="63">
        <f>(2.3/0.75/2)*0.73</f>
        <v>1.1193333333333333</v>
      </c>
      <c r="AI522" s="63">
        <f>(3/0.75/2)*0.73</f>
        <v>1.46</v>
      </c>
      <c r="AJ522" s="58">
        <v>9530</v>
      </c>
      <c r="AK522" s="58">
        <v>9530</v>
      </c>
      <c r="AL522" s="58" t="s">
        <v>117</v>
      </c>
      <c r="AM522" s="52" t="s">
        <v>60</v>
      </c>
      <c r="AN522" s="62">
        <v>270</v>
      </c>
      <c r="AO522" s="61" t="s">
        <v>332</v>
      </c>
      <c r="AP522" s="59" t="str">
        <f>IFERROR(VLOOKUP($A522,[2]Mssp!$A$5:$BE$1463,AP$4+1,0),0)</f>
        <v>1904747-1</v>
      </c>
      <c r="AQ522" s="59" t="str">
        <f>IFERROR(VLOOKUP($A522,[2]Mssp!$A$5:$BE$1463,AQ$4+1,0),0)</f>
        <v>1803222-2</v>
      </c>
      <c r="AR522" s="59">
        <f>IFERROR(VLOOKUP($A522,[2]Mssp!$A$5:$BE$1463,AR$4+1,0),0)</f>
        <v>0</v>
      </c>
      <c r="AS522" s="59">
        <f>IFERROR(VLOOKUP($A522,[2]Mssp!$A$5:$BE$1463,AS$4+1,0),0)</f>
        <v>0</v>
      </c>
      <c r="AT522" s="59">
        <f>IFERROR(VLOOKUP($A522,[2]Mssp!$A$5:$BE$1463,AT$4+1,0),0)</f>
        <v>0</v>
      </c>
      <c r="AU522" s="59">
        <f>IFERROR(VLOOKUP($A522,[2]Mssp!$A$5:$BE$1463,AU$4+1,0),0)</f>
        <v>0</v>
      </c>
      <c r="AV522" s="59">
        <f>IFERROR(VLOOKUP($A522,[2]Mssp!$A$5:$BE$1463,AV$4+1,0),0)</f>
        <v>0</v>
      </c>
      <c r="AW522" s="59">
        <f>IFERROR(VLOOKUP($A522,[2]Mssp!$A$5:$BE$1463,AW$4+1,0),0)</f>
        <v>0</v>
      </c>
      <c r="AX522" s="59">
        <f>IFERROR(VLOOKUP($A522,[2]Mssp!$A$5:$BE$1463,AX$4+1,0),0)</f>
        <v>0</v>
      </c>
      <c r="AY522" s="59" t="str">
        <f>IFERROR(VLOOKUP($A522,[2]Mssp!$A$5:$BE$1463,AY$4+2,0),0)</f>
        <v>540x850</v>
      </c>
      <c r="AZ522" s="59" t="str">
        <f>IFERROR(VLOOKUP($A522,[2]Mssp!$A$5:$BE$1463,AZ$4+2,0),0)</f>
        <v>G3</v>
      </c>
      <c r="BA522" s="141"/>
      <c r="BB522" s="61"/>
      <c r="BC522" s="129"/>
      <c r="BD522" s="138"/>
      <c r="BE522" s="131"/>
      <c r="BF522" s="139"/>
      <c r="BG522" s="131"/>
      <c r="BH522" s="139"/>
      <c r="BI522" s="140"/>
      <c r="BJ522" s="139"/>
      <c r="BK522" s="134"/>
      <c r="BL522" s="139"/>
      <c r="BM522" s="131"/>
      <c r="BN522" s="139"/>
      <c r="BO522" s="9"/>
      <c r="BP522" s="139"/>
      <c r="BQ522" s="139"/>
      <c r="BR522" s="139"/>
      <c r="BS522" s="135"/>
      <c r="BT522" s="139"/>
      <c r="BU522" s="131"/>
      <c r="BV522" s="139"/>
      <c r="BW522" s="131"/>
      <c r="BX522" s="139"/>
      <c r="BY522" s="131"/>
      <c r="BZ522" s="139"/>
      <c r="CA522" s="131"/>
      <c r="CB522" s="139"/>
      <c r="CC522" s="131"/>
      <c r="CD522" s="139"/>
      <c r="CE522" s="9"/>
      <c r="CF522" s="9"/>
      <c r="CG522" s="9"/>
      <c r="CH522" s="9"/>
      <c r="CI522" s="9"/>
      <c r="CJ522" s="9"/>
      <c r="CK522" s="9"/>
      <c r="CL522" s="9"/>
      <c r="CM522" s="9"/>
      <c r="CN522" s="9"/>
      <c r="CO522" s="9"/>
      <c r="CP522" s="9"/>
    </row>
    <row r="523" spans="1:94" ht="45" x14ac:dyDescent="0.25">
      <c r="A523" s="127" t="s">
        <v>1686</v>
      </c>
      <c r="B523" s="51" t="s">
        <v>1687</v>
      </c>
      <c r="C523" s="62"/>
      <c r="D523" s="62">
        <v>4</v>
      </c>
      <c r="E523" s="62" t="s">
        <v>1422</v>
      </c>
      <c r="F523" s="62">
        <f>4+1</f>
        <v>5</v>
      </c>
      <c r="G523" s="62" t="s">
        <v>184</v>
      </c>
      <c r="H523" s="50">
        <f>VLOOKUP($A523,'[1]ma sp 02'!$A$5:$BD$1101,H$1,0)</f>
        <v>4.2999999999999997E-2</v>
      </c>
      <c r="I523" s="50">
        <f>VLOOKUP($A523,'[1]ma sp 02'!$A$5:$BD$1101,I$1,0)</f>
        <v>2.1960000000000002</v>
      </c>
      <c r="J523" s="50">
        <f>VLOOKUP($A523,'[1]ma sp 02'!$A$5:$BD$1101,J$1,0)</f>
        <v>0</v>
      </c>
      <c r="K523" s="50">
        <f>VLOOKUP($A523,'[1]ma sp 02'!$A$5:$BD$1101,K$1,0)</f>
        <v>6.5000000000000002E-2</v>
      </c>
      <c r="L523" s="50">
        <f>VLOOKUP($A523,'[1]ma sp 02'!$A$5:$BD$1101,L$1,0)</f>
        <v>0.38700000000000001</v>
      </c>
      <c r="M523" s="50">
        <f>VLOOKUP($A523,'[1]ma sp 02'!$A$5:$BD$1101,M$1,0)</f>
        <v>0.108</v>
      </c>
      <c r="N523" s="50">
        <f>VLOOKUP($A523,'[1]ma sp 02'!$A$5:$BD$1101,N$1,0)</f>
        <v>0</v>
      </c>
      <c r="O523" s="50">
        <f>VLOOKUP($A523,'[1]ma sp 02'!$A$5:$BD$1101,O$1,0)</f>
        <v>8.5999999999999993E-2</v>
      </c>
      <c r="P523" s="50">
        <f>VLOOKUP($A523,'[1]ma sp 02'!$A$5:$BD$1101,P$1,0)</f>
        <v>0</v>
      </c>
      <c r="Q523" s="50">
        <f>VLOOKUP($A523,'[1]ma sp 02'!$A$5:$BD$1101,Q$1,0)</f>
        <v>2.1999999999999999E-2</v>
      </c>
      <c r="R523" s="50">
        <f>VLOOKUP($A523,'[1]ma sp 02'!$A$5:$BD$1101,R$1,0)</f>
        <v>0</v>
      </c>
      <c r="S523" s="50">
        <f>VLOOKUP($A523,'[1]ma sp 02'!$A$5:$BD$1101,S$1,0)</f>
        <v>0</v>
      </c>
      <c r="T523" s="50">
        <f>VLOOKUP($A523,'[1]ma sp 02'!$A$5:$BD$1101,T$1,0)</f>
        <v>1.0999999999999999E-2</v>
      </c>
      <c r="U523" s="50">
        <f>VLOOKUP($A523,'[1]ma sp 02'!$A$5:$BD$1101,U$1,0)</f>
        <v>0</v>
      </c>
      <c r="V523" s="50">
        <f>VLOOKUP($A523,'[1]ma sp 02'!$A$5:$BD$1101,V$1,0)</f>
        <v>0</v>
      </c>
      <c r="W523" s="50">
        <f>VLOOKUP($A523,'[1]ma sp 02'!$A$5:$BD$1101,W$1,0)</f>
        <v>0</v>
      </c>
      <c r="X523" s="50">
        <f t="shared" si="20"/>
        <v>8</v>
      </c>
      <c r="Y523" s="9"/>
      <c r="Z523" s="9"/>
      <c r="AA523" s="9"/>
      <c r="AB523" s="9"/>
      <c r="AC523" s="9"/>
      <c r="AD523" s="62"/>
      <c r="AE523" s="62" t="s">
        <v>1688</v>
      </c>
      <c r="AF523" s="9" t="s">
        <v>1689</v>
      </c>
      <c r="AG523" s="71">
        <f>(0.02*0.91+0.006*2.71+0.075*0.925)*0.62</f>
        <v>6.437770000000001E-2</v>
      </c>
      <c r="AH523" s="63">
        <f>(2.3/0.75/2)*0.61</f>
        <v>0.93533333333333324</v>
      </c>
      <c r="AI523" s="63">
        <f>(2.3/0.75/2)*0.61</f>
        <v>0.93533333333333324</v>
      </c>
      <c r="AJ523" s="58">
        <v>9530</v>
      </c>
      <c r="AK523" s="58">
        <v>9530</v>
      </c>
      <c r="AL523" s="58" t="s">
        <v>354</v>
      </c>
      <c r="AM523" s="69" t="s">
        <v>74</v>
      </c>
      <c r="AN523" s="9">
        <v>55</v>
      </c>
      <c r="AO523" s="69" t="s">
        <v>1690</v>
      </c>
      <c r="AP523" s="59">
        <f>IFERROR(VLOOKUP($A523,[2]Mssp!$A$5:$BE$1463,AP$4+1,0),0)</f>
        <v>0</v>
      </c>
      <c r="AQ523" s="59">
        <f>IFERROR(VLOOKUP($A523,[2]Mssp!$A$5:$BE$1463,AQ$4+1,0),0)</f>
        <v>0</v>
      </c>
      <c r="AR523" s="59">
        <f>IFERROR(VLOOKUP($A523,[2]Mssp!$A$5:$BE$1463,AR$4+1,0),0)</f>
        <v>0</v>
      </c>
      <c r="AS523" s="59">
        <f>IFERROR(VLOOKUP($A523,[2]Mssp!$A$5:$BE$1463,AS$4+1,0),0)</f>
        <v>0</v>
      </c>
      <c r="AT523" s="59">
        <f>IFERROR(VLOOKUP($A523,[2]Mssp!$A$5:$BE$1463,AT$4+1,0),0)</f>
        <v>0</v>
      </c>
      <c r="AU523" s="59">
        <f>IFERROR(VLOOKUP($A523,[2]Mssp!$A$5:$BE$1463,AU$4+1,0),0)</f>
        <v>0</v>
      </c>
      <c r="AV523" s="59">
        <f>IFERROR(VLOOKUP($A523,[2]Mssp!$A$5:$BE$1463,AV$4+1,0),0)</f>
        <v>0</v>
      </c>
      <c r="AW523" s="59">
        <f>IFERROR(VLOOKUP($A523,[2]Mssp!$A$5:$BE$1463,AW$4+1,0),0)</f>
        <v>0</v>
      </c>
      <c r="AX523" s="59">
        <f>IFERROR(VLOOKUP($A523,[2]Mssp!$A$5:$BE$1463,AX$4+1,0),0)</f>
        <v>0</v>
      </c>
      <c r="AY523" s="59">
        <f>IFERROR(VLOOKUP($A523,[2]Mssp!$A$5:$BE$1463,AY$4+2,0),0)</f>
        <v>0</v>
      </c>
      <c r="AZ523" s="59">
        <f>IFERROR(VLOOKUP($A523,[2]Mssp!$A$5:$BE$1463,AZ$4+2,0),0)</f>
        <v>0</v>
      </c>
      <c r="BA523" s="141"/>
      <c r="BB523" s="61" t="s">
        <v>223</v>
      </c>
      <c r="BC523" s="129"/>
      <c r="BD523" s="138"/>
      <c r="BE523" s="131"/>
      <c r="BF523" s="139"/>
      <c r="BG523" s="131"/>
      <c r="BH523" s="139"/>
      <c r="BI523" s="140"/>
      <c r="BJ523" s="139"/>
      <c r="BK523" s="134"/>
      <c r="BL523" s="139"/>
      <c r="BM523" s="131"/>
      <c r="BN523" s="139"/>
      <c r="BO523" s="9"/>
      <c r="BP523" s="139"/>
      <c r="BQ523" s="139"/>
      <c r="BR523" s="139"/>
      <c r="BS523" s="135"/>
      <c r="BT523" s="139"/>
      <c r="BU523" s="131"/>
      <c r="BV523" s="139"/>
      <c r="BW523" s="131"/>
      <c r="BX523" s="139"/>
      <c r="BY523" s="131"/>
      <c r="BZ523" s="139"/>
      <c r="CA523" s="131"/>
      <c r="CB523" s="139"/>
      <c r="CC523" s="131"/>
      <c r="CD523" s="139"/>
      <c r="CE523" s="9"/>
      <c r="CF523" s="9"/>
      <c r="CG523" s="9"/>
      <c r="CH523" s="9"/>
      <c r="CI523" s="9"/>
      <c r="CJ523" s="9"/>
      <c r="CK523" s="9"/>
      <c r="CL523" s="9"/>
      <c r="CM523" s="9"/>
      <c r="CN523" s="9"/>
      <c r="CO523" s="9"/>
      <c r="CP523" s="9"/>
    </row>
    <row r="524" spans="1:94" ht="30" x14ac:dyDescent="0.25">
      <c r="A524" s="127" t="s">
        <v>1691</v>
      </c>
      <c r="B524" s="51" t="s">
        <v>1692</v>
      </c>
      <c r="C524" s="62"/>
      <c r="D524" s="62">
        <v>1</v>
      </c>
      <c r="E524" s="62" t="s">
        <v>1013</v>
      </c>
      <c r="F524" s="62">
        <v>2</v>
      </c>
      <c r="G524" s="62" t="s">
        <v>184</v>
      </c>
      <c r="H524" s="50">
        <f>VLOOKUP($A524,'[1]ma sp 02'!$A$5:$BD$1101,H$1,0)</f>
        <v>0</v>
      </c>
      <c r="I524" s="50">
        <f>VLOOKUP($A524,'[1]ma sp 02'!$A$5:$BD$1101,I$1,0)</f>
        <v>0</v>
      </c>
      <c r="J524" s="50">
        <f>VLOOKUP($A524,'[1]ma sp 02'!$A$5:$BD$1101,J$1,0)</f>
        <v>0.86</v>
      </c>
      <c r="K524" s="50">
        <f>VLOOKUP($A524,'[1]ma sp 02'!$A$5:$BD$1101,K$1,0)</f>
        <v>0</v>
      </c>
      <c r="L524" s="50">
        <f>VLOOKUP($A524,'[1]ma sp 02'!$A$5:$BD$1101,L$1,0)</f>
        <v>0</v>
      </c>
      <c r="M524" s="50">
        <f>VLOOKUP($A524,'[1]ma sp 02'!$A$5:$BD$1101,M$1,0)</f>
        <v>0</v>
      </c>
      <c r="N524" s="50">
        <f>VLOOKUP($A524,'[1]ma sp 02'!$A$5:$BD$1101,N$1,0)</f>
        <v>0</v>
      </c>
      <c r="O524" s="50">
        <f>VLOOKUP($A524,'[1]ma sp 02'!$A$5:$BD$1101,O$1,0)</f>
        <v>0</v>
      </c>
      <c r="P524" s="50">
        <f>VLOOKUP($A524,'[1]ma sp 02'!$A$5:$BD$1101,P$1,0)</f>
        <v>0.36</v>
      </c>
      <c r="Q524" s="50">
        <f>VLOOKUP($A524,'[1]ma sp 02'!$A$5:$BD$1101,Q$1,0)</f>
        <v>0</v>
      </c>
      <c r="R524" s="50">
        <f>VLOOKUP($A524,'[1]ma sp 02'!$A$5:$BD$1101,R$1,0)</f>
        <v>0.68</v>
      </c>
      <c r="S524" s="50">
        <f>VLOOKUP($A524,'[1]ma sp 02'!$A$5:$BD$1101,S$1,0)</f>
        <v>0</v>
      </c>
      <c r="T524" s="50">
        <f>VLOOKUP($A524,'[1]ma sp 02'!$A$5:$BD$1101,T$1,0)</f>
        <v>0</v>
      </c>
      <c r="U524" s="50">
        <f>VLOOKUP($A524,'[1]ma sp 02'!$A$5:$BD$1101,U$1,0)</f>
        <v>0</v>
      </c>
      <c r="V524" s="50">
        <f>VLOOKUP($A524,'[1]ma sp 02'!$A$5:$BD$1101,V$1,0)</f>
        <v>0</v>
      </c>
      <c r="W524" s="50">
        <f>VLOOKUP($A524,'[1]ma sp 02'!$A$5:$BD$1101,W$1,0)</f>
        <v>0</v>
      </c>
      <c r="X524" s="50">
        <f t="shared" si="20"/>
        <v>3</v>
      </c>
      <c r="Y524" s="9"/>
      <c r="Z524" s="9"/>
      <c r="AA524" s="9"/>
      <c r="AB524" s="9"/>
      <c r="AC524" s="9"/>
      <c r="AD524" s="9"/>
      <c r="AE524" s="9" t="s">
        <v>1312</v>
      </c>
      <c r="AF524" s="9"/>
      <c r="AG524" s="62">
        <f>(0.04*0.925+0.04*0.925)*1.26</f>
        <v>9.3240000000000017E-2</v>
      </c>
      <c r="AH524" s="54">
        <f>(2.3/0.75/2)*1.26</f>
        <v>1.9319999999999999</v>
      </c>
      <c r="AI524" s="62"/>
      <c r="AJ524" s="62">
        <v>9530</v>
      </c>
      <c r="AK524" s="62"/>
      <c r="AL524" s="58">
        <v>2E-3</v>
      </c>
      <c r="AM524" s="61" t="s">
        <v>1452</v>
      </c>
      <c r="AN524" s="9"/>
      <c r="AO524" s="69" t="s">
        <v>959</v>
      </c>
      <c r="AP524" s="59">
        <f>IFERROR(VLOOKUP($A524,[2]Mssp!$A$5:$BE$1463,AP$4+1,0),0)</f>
        <v>0</v>
      </c>
      <c r="AQ524" s="59">
        <f>IFERROR(VLOOKUP($A524,[2]Mssp!$A$5:$BE$1463,AQ$4+1,0),0)</f>
        <v>0</v>
      </c>
      <c r="AR524" s="59">
        <f>IFERROR(VLOOKUP($A524,[2]Mssp!$A$5:$BE$1463,AR$4+1,0),0)</f>
        <v>0</v>
      </c>
      <c r="AS524" s="59">
        <f>IFERROR(VLOOKUP($A524,[2]Mssp!$A$5:$BE$1463,AS$4+1,0),0)</f>
        <v>0</v>
      </c>
      <c r="AT524" s="59">
        <f>IFERROR(VLOOKUP($A524,[2]Mssp!$A$5:$BE$1463,AT$4+1,0),0)</f>
        <v>0</v>
      </c>
      <c r="AU524" s="59">
        <f>IFERROR(VLOOKUP($A524,[2]Mssp!$A$5:$BE$1463,AU$4+1,0),0)</f>
        <v>0</v>
      </c>
      <c r="AV524" s="59">
        <f>IFERROR(VLOOKUP($A524,[2]Mssp!$A$5:$BE$1463,AV$4+1,0),0)</f>
        <v>0</v>
      </c>
      <c r="AW524" s="59">
        <f>IFERROR(VLOOKUP($A524,[2]Mssp!$A$5:$BE$1463,AW$4+1,0),0)</f>
        <v>0</v>
      </c>
      <c r="AX524" s="59">
        <f>IFERROR(VLOOKUP($A524,[2]Mssp!$A$5:$BE$1463,AX$4+1,0),0)</f>
        <v>0</v>
      </c>
      <c r="AY524" s="59">
        <f>IFERROR(VLOOKUP($A524,[2]Mssp!$A$5:$BE$1463,AY$4+2,0),0)</f>
        <v>0</v>
      </c>
      <c r="AZ524" s="59">
        <f>IFERROR(VLOOKUP($A524,[2]Mssp!$A$5:$BE$1463,AZ$4+2,0),0)</f>
        <v>0</v>
      </c>
      <c r="BA524" s="141"/>
      <c r="BB524" s="61"/>
      <c r="BC524" s="129"/>
      <c r="BD524" s="138"/>
      <c r="BE524" s="131"/>
      <c r="BF524" s="139"/>
      <c r="BG524" s="131"/>
      <c r="BH524" s="139"/>
      <c r="BI524" s="140"/>
      <c r="BJ524" s="139"/>
      <c r="BK524" s="134"/>
      <c r="BL524" s="139"/>
      <c r="BM524" s="131"/>
      <c r="BN524" s="139"/>
      <c r="BO524" s="9"/>
      <c r="BP524" s="139"/>
      <c r="BQ524" s="139"/>
      <c r="BR524" s="139"/>
      <c r="BS524" s="135"/>
      <c r="BT524" s="139"/>
      <c r="BU524" s="131"/>
      <c r="BV524" s="139"/>
      <c r="BW524" s="131"/>
      <c r="BX524" s="139"/>
      <c r="BY524" s="131"/>
      <c r="BZ524" s="139"/>
      <c r="CA524" s="131"/>
      <c r="CB524" s="139"/>
      <c r="CC524" s="131"/>
      <c r="CD524" s="139"/>
      <c r="CE524" s="9"/>
      <c r="CF524" s="9"/>
      <c r="CG524" s="9"/>
      <c r="CH524" s="9"/>
      <c r="CI524" s="9"/>
      <c r="CJ524" s="9"/>
      <c r="CK524" s="9"/>
      <c r="CL524" s="9"/>
      <c r="CM524" s="9"/>
      <c r="CN524" s="9"/>
      <c r="CO524" s="9"/>
      <c r="CP524" s="9"/>
    </row>
    <row r="525" spans="1:94" ht="30" x14ac:dyDescent="0.25">
      <c r="A525" s="127" t="s">
        <v>1693</v>
      </c>
      <c r="B525" s="51" t="s">
        <v>1694</v>
      </c>
      <c r="C525" s="62"/>
      <c r="D525" s="62">
        <v>1</v>
      </c>
      <c r="E525" s="62" t="s">
        <v>1013</v>
      </c>
      <c r="F525" s="62">
        <v>2</v>
      </c>
      <c r="G525" s="62" t="s">
        <v>184</v>
      </c>
      <c r="H525" s="50">
        <f>VLOOKUP($A525,'[1]ma sp 02'!$A$5:$BD$1101,H$1,0)</f>
        <v>0</v>
      </c>
      <c r="I525" s="50">
        <f>VLOOKUP($A525,'[1]ma sp 02'!$A$5:$BD$1101,I$1,0)</f>
        <v>0</v>
      </c>
      <c r="J525" s="50">
        <f>VLOOKUP($A525,'[1]ma sp 02'!$A$5:$BD$1101,J$1,0)</f>
        <v>0.42</v>
      </c>
      <c r="K525" s="50">
        <f>VLOOKUP($A525,'[1]ma sp 02'!$A$5:$BD$1101,K$1,0)</f>
        <v>0</v>
      </c>
      <c r="L525" s="50">
        <f>VLOOKUP($A525,'[1]ma sp 02'!$A$5:$BD$1101,L$1,0)</f>
        <v>0</v>
      </c>
      <c r="M525" s="50">
        <f>VLOOKUP($A525,'[1]ma sp 02'!$A$5:$BD$1101,M$1,0)</f>
        <v>0</v>
      </c>
      <c r="N525" s="50">
        <f>VLOOKUP($A525,'[1]ma sp 02'!$A$5:$BD$1101,N$1,0)</f>
        <v>0</v>
      </c>
      <c r="O525" s="50">
        <f>VLOOKUP($A525,'[1]ma sp 02'!$A$5:$BD$1101,O$1,0)</f>
        <v>0</v>
      </c>
      <c r="P525" s="50">
        <f>VLOOKUP($A525,'[1]ma sp 02'!$A$5:$BD$1101,P$1,0)</f>
        <v>0.16</v>
      </c>
      <c r="Q525" s="50">
        <f>VLOOKUP($A525,'[1]ma sp 02'!$A$5:$BD$1101,Q$1,0)</f>
        <v>0.34</v>
      </c>
      <c r="R525" s="50">
        <f>VLOOKUP($A525,'[1]ma sp 02'!$A$5:$BD$1101,R$1,0)</f>
        <v>0.35</v>
      </c>
      <c r="S525" s="50">
        <f>VLOOKUP($A525,'[1]ma sp 02'!$A$5:$BD$1101,S$1,0)</f>
        <v>0</v>
      </c>
      <c r="T525" s="50">
        <f>VLOOKUP($A525,'[1]ma sp 02'!$A$5:$BD$1101,T$1,0)</f>
        <v>0</v>
      </c>
      <c r="U525" s="50">
        <f>VLOOKUP($A525,'[1]ma sp 02'!$A$5:$BD$1101,U$1,0)</f>
        <v>0</v>
      </c>
      <c r="V525" s="50">
        <f>VLOOKUP($A525,'[1]ma sp 02'!$A$5:$BD$1101,V$1,0)</f>
        <v>0</v>
      </c>
      <c r="W525" s="50">
        <f>VLOOKUP($A525,'[1]ma sp 02'!$A$5:$BD$1101,W$1,0)</f>
        <v>0</v>
      </c>
      <c r="X525" s="50">
        <f t="shared" si="20"/>
        <v>4</v>
      </c>
      <c r="Y525" s="9"/>
      <c r="Z525" s="9"/>
      <c r="AA525" s="9"/>
      <c r="AB525" s="9"/>
      <c r="AC525" s="9"/>
      <c r="AD525" s="9"/>
      <c r="AE525" s="9" t="s">
        <v>1312</v>
      </c>
      <c r="AF525" s="9"/>
      <c r="AG525" s="62">
        <f>(0.04*0.925+0.04*0.925)*1.26</f>
        <v>9.3240000000000017E-2</v>
      </c>
      <c r="AH525" s="54">
        <f>(2.3/0.75/2)*1.26</f>
        <v>1.9319999999999999</v>
      </c>
      <c r="AI525" s="62"/>
      <c r="AJ525" s="62">
        <v>9530</v>
      </c>
      <c r="AK525" s="62"/>
      <c r="AL525" s="58">
        <v>2E-3</v>
      </c>
      <c r="AM525" s="61" t="s">
        <v>1452</v>
      </c>
      <c r="AN525" s="9"/>
      <c r="AO525" s="69" t="s">
        <v>959</v>
      </c>
      <c r="AP525" s="59">
        <f>IFERROR(VLOOKUP($A525,[2]Mssp!$A$5:$BE$1463,AP$4+1,0),0)</f>
        <v>0</v>
      </c>
      <c r="AQ525" s="59">
        <f>IFERROR(VLOOKUP($A525,[2]Mssp!$A$5:$BE$1463,AQ$4+1,0),0)</f>
        <v>0</v>
      </c>
      <c r="AR525" s="59">
        <f>IFERROR(VLOOKUP($A525,[2]Mssp!$A$5:$BE$1463,AR$4+1,0),0)</f>
        <v>0</v>
      </c>
      <c r="AS525" s="59">
        <f>IFERROR(VLOOKUP($A525,[2]Mssp!$A$5:$BE$1463,AS$4+1,0),0)</f>
        <v>0</v>
      </c>
      <c r="AT525" s="59">
        <f>IFERROR(VLOOKUP($A525,[2]Mssp!$A$5:$BE$1463,AT$4+1,0),0)</f>
        <v>0</v>
      </c>
      <c r="AU525" s="59">
        <f>IFERROR(VLOOKUP($A525,[2]Mssp!$A$5:$BE$1463,AU$4+1,0),0)</f>
        <v>0</v>
      </c>
      <c r="AV525" s="59">
        <f>IFERROR(VLOOKUP($A525,[2]Mssp!$A$5:$BE$1463,AV$4+1,0),0)</f>
        <v>0</v>
      </c>
      <c r="AW525" s="59">
        <f>IFERROR(VLOOKUP($A525,[2]Mssp!$A$5:$BE$1463,AW$4+1,0),0)</f>
        <v>0</v>
      </c>
      <c r="AX525" s="59">
        <f>IFERROR(VLOOKUP($A525,[2]Mssp!$A$5:$BE$1463,AX$4+1,0),0)</f>
        <v>0</v>
      </c>
      <c r="AY525" s="59">
        <f>IFERROR(VLOOKUP($A525,[2]Mssp!$A$5:$BE$1463,AY$4+2,0),0)</f>
        <v>0</v>
      </c>
      <c r="AZ525" s="59">
        <f>IFERROR(VLOOKUP($A525,[2]Mssp!$A$5:$BE$1463,AZ$4+2,0),0)</f>
        <v>0</v>
      </c>
      <c r="BA525" s="141"/>
      <c r="BB525" s="61"/>
      <c r="BC525" s="129"/>
      <c r="BD525" s="138"/>
      <c r="BE525" s="131"/>
      <c r="BF525" s="139"/>
      <c r="BG525" s="131"/>
      <c r="BH525" s="139"/>
      <c r="BI525" s="140"/>
      <c r="BJ525" s="139"/>
      <c r="BK525" s="134"/>
      <c r="BL525" s="139"/>
      <c r="BM525" s="131"/>
      <c r="BN525" s="139"/>
      <c r="BO525" s="9"/>
      <c r="BP525" s="139"/>
      <c r="BQ525" s="139"/>
      <c r="BR525" s="139"/>
      <c r="BS525" s="135"/>
      <c r="BT525" s="139"/>
      <c r="BU525" s="131"/>
      <c r="BV525" s="139"/>
      <c r="BW525" s="131"/>
      <c r="BX525" s="139"/>
      <c r="BY525" s="131"/>
      <c r="BZ525" s="139"/>
      <c r="CA525" s="131"/>
      <c r="CB525" s="139"/>
      <c r="CC525" s="131"/>
      <c r="CD525" s="139"/>
      <c r="CE525" s="9"/>
      <c r="CF525" s="9"/>
      <c r="CG525" s="9"/>
      <c r="CH525" s="9"/>
      <c r="CI525" s="9"/>
      <c r="CJ525" s="9"/>
      <c r="CK525" s="9"/>
      <c r="CL525" s="9"/>
      <c r="CM525" s="9"/>
      <c r="CN525" s="9"/>
      <c r="CO525" s="9"/>
      <c r="CP525" s="9"/>
    </row>
    <row r="526" spans="1:94" ht="30" x14ac:dyDescent="0.25">
      <c r="A526" s="127" t="s">
        <v>1695</v>
      </c>
      <c r="B526" s="51" t="s">
        <v>1696</v>
      </c>
      <c r="C526" s="62"/>
      <c r="D526" s="62">
        <v>1</v>
      </c>
      <c r="E526" s="62" t="s">
        <v>955</v>
      </c>
      <c r="F526" s="62">
        <v>2</v>
      </c>
      <c r="G526" s="62"/>
      <c r="H526" s="50">
        <f>VLOOKUP($A526,'[1]ma sp 02'!$A$5:$BD$1101,H$1,0)</f>
        <v>0</v>
      </c>
      <c r="I526" s="50">
        <f>VLOOKUP($A526,'[1]ma sp 02'!$A$5:$BD$1101,I$1,0)</f>
        <v>0</v>
      </c>
      <c r="J526" s="50">
        <f>VLOOKUP($A526,'[1]ma sp 02'!$A$5:$BD$1101,J$1,0)</f>
        <v>3.26</v>
      </c>
      <c r="K526" s="50">
        <f>VLOOKUP($A526,'[1]ma sp 02'!$A$5:$BD$1101,K$1,0)</f>
        <v>0</v>
      </c>
      <c r="L526" s="50">
        <f>VLOOKUP($A526,'[1]ma sp 02'!$A$5:$BD$1101,L$1,0)</f>
        <v>0.21</v>
      </c>
      <c r="M526" s="50">
        <f>VLOOKUP($A526,'[1]ma sp 02'!$A$5:$BD$1101,M$1,0)</f>
        <v>0</v>
      </c>
      <c r="N526" s="50">
        <f>VLOOKUP($A526,'[1]ma sp 02'!$A$5:$BD$1101,N$1,0)</f>
        <v>0</v>
      </c>
      <c r="O526" s="50">
        <f>VLOOKUP($A526,'[1]ma sp 02'!$A$5:$BD$1101,O$1,0)</f>
        <v>0</v>
      </c>
      <c r="P526" s="50">
        <f>VLOOKUP($A526,'[1]ma sp 02'!$A$5:$BD$1101,P$1,0)</f>
        <v>0.01</v>
      </c>
      <c r="Q526" s="50">
        <f>VLOOKUP($A526,'[1]ma sp 02'!$A$5:$BD$1101,Q$1,0)</f>
        <v>0.9</v>
      </c>
      <c r="R526" s="50">
        <f>VLOOKUP($A526,'[1]ma sp 02'!$A$5:$BD$1101,R$1,0)</f>
        <v>0.01</v>
      </c>
      <c r="S526" s="50">
        <f>VLOOKUP($A526,'[1]ma sp 02'!$A$5:$BD$1101,S$1,0)</f>
        <v>0</v>
      </c>
      <c r="T526" s="50">
        <f>VLOOKUP($A526,'[1]ma sp 02'!$A$5:$BD$1101,T$1,0)</f>
        <v>0</v>
      </c>
      <c r="U526" s="50">
        <f>VLOOKUP($A526,'[1]ma sp 02'!$A$5:$BD$1101,U$1,0)</f>
        <v>0</v>
      </c>
      <c r="V526" s="50">
        <f>VLOOKUP($A526,'[1]ma sp 02'!$A$5:$BD$1101,V$1,0)</f>
        <v>0</v>
      </c>
      <c r="W526" s="50">
        <f>VLOOKUP($A526,'[1]ma sp 02'!$A$5:$BD$1101,W$1,0)</f>
        <v>0</v>
      </c>
      <c r="X526" s="50">
        <f t="shared" si="20"/>
        <v>5</v>
      </c>
      <c r="Y526" s="9"/>
      <c r="Z526" s="9"/>
      <c r="AA526" s="9"/>
      <c r="AB526" s="9"/>
      <c r="AC526" s="9"/>
      <c r="AD526" s="9"/>
      <c r="AE526" s="9" t="s">
        <v>1697</v>
      </c>
      <c r="AF526" s="9"/>
      <c r="AG526" s="62">
        <f>(0.04*0.925+0.04*0.925)*1.26</f>
        <v>9.3240000000000017E-2</v>
      </c>
      <c r="AH526" s="54">
        <f>(2.3/0.75/2)*1.26</f>
        <v>1.9319999999999999</v>
      </c>
      <c r="AI526" s="62"/>
      <c r="AJ526" s="62">
        <v>9530</v>
      </c>
      <c r="AK526" s="62"/>
      <c r="AL526" s="58">
        <v>2E-3</v>
      </c>
      <c r="AM526" s="61" t="s">
        <v>1452</v>
      </c>
      <c r="AN526" s="9"/>
      <c r="AO526" s="69" t="s">
        <v>959</v>
      </c>
      <c r="AP526" s="59">
        <f>IFERROR(VLOOKUP($A526,[2]Mssp!$A$5:$BE$1463,AP$4+1,0),0)</f>
        <v>0</v>
      </c>
      <c r="AQ526" s="59">
        <f>IFERROR(VLOOKUP($A526,[2]Mssp!$A$5:$BE$1463,AQ$4+1,0),0)</f>
        <v>0</v>
      </c>
      <c r="AR526" s="59">
        <f>IFERROR(VLOOKUP($A526,[2]Mssp!$A$5:$BE$1463,AR$4+1,0),0)</f>
        <v>0</v>
      </c>
      <c r="AS526" s="59">
        <f>IFERROR(VLOOKUP($A526,[2]Mssp!$A$5:$BE$1463,AS$4+1,0),0)</f>
        <v>0</v>
      </c>
      <c r="AT526" s="59">
        <f>IFERROR(VLOOKUP($A526,[2]Mssp!$A$5:$BE$1463,AT$4+1,0),0)</f>
        <v>0</v>
      </c>
      <c r="AU526" s="59">
        <f>IFERROR(VLOOKUP($A526,[2]Mssp!$A$5:$BE$1463,AU$4+1,0),0)</f>
        <v>0</v>
      </c>
      <c r="AV526" s="59">
        <f>IFERROR(VLOOKUP($A526,[2]Mssp!$A$5:$BE$1463,AV$4+1,0),0)</f>
        <v>0</v>
      </c>
      <c r="AW526" s="59">
        <f>IFERROR(VLOOKUP($A526,[2]Mssp!$A$5:$BE$1463,AW$4+1,0),0)</f>
        <v>0</v>
      </c>
      <c r="AX526" s="59">
        <f>IFERROR(VLOOKUP($A526,[2]Mssp!$A$5:$BE$1463,AX$4+1,0),0)</f>
        <v>0</v>
      </c>
      <c r="AY526" s="59">
        <f>IFERROR(VLOOKUP($A526,[2]Mssp!$A$5:$BE$1463,AY$4+2,0),0)</f>
        <v>0</v>
      </c>
      <c r="AZ526" s="59">
        <f>IFERROR(VLOOKUP($A526,[2]Mssp!$A$5:$BE$1463,AZ$4+2,0),0)</f>
        <v>0</v>
      </c>
      <c r="BA526" s="141"/>
      <c r="BB526" s="61"/>
      <c r="BC526" s="129"/>
      <c r="BD526" s="138"/>
      <c r="BE526" s="131"/>
      <c r="BF526" s="139"/>
      <c r="BG526" s="131"/>
      <c r="BH526" s="139"/>
      <c r="BI526" s="140"/>
      <c r="BJ526" s="139"/>
      <c r="BK526" s="134"/>
      <c r="BL526" s="139"/>
      <c r="BM526" s="131"/>
      <c r="BN526" s="139"/>
      <c r="BO526" s="9"/>
      <c r="BP526" s="139"/>
      <c r="BQ526" s="139"/>
      <c r="BR526" s="139"/>
      <c r="BS526" s="135"/>
      <c r="BT526" s="139"/>
      <c r="BU526" s="131"/>
      <c r="BV526" s="139"/>
      <c r="BW526" s="131"/>
      <c r="BX526" s="139"/>
      <c r="BY526" s="131"/>
      <c r="BZ526" s="139"/>
      <c r="CA526" s="131"/>
      <c r="CB526" s="139"/>
      <c r="CC526" s="131"/>
      <c r="CD526" s="139"/>
      <c r="CE526" s="9"/>
      <c r="CF526" s="9"/>
      <c r="CG526" s="9"/>
      <c r="CH526" s="9"/>
      <c r="CI526" s="9"/>
      <c r="CJ526" s="9"/>
      <c r="CK526" s="9"/>
      <c r="CL526" s="9"/>
      <c r="CM526" s="9"/>
      <c r="CN526" s="9"/>
      <c r="CO526" s="9"/>
      <c r="CP526" s="9"/>
    </row>
    <row r="527" spans="1:94" ht="60" x14ac:dyDescent="0.25">
      <c r="A527" s="127" t="s">
        <v>1698</v>
      </c>
      <c r="B527" s="51" t="s">
        <v>1699</v>
      </c>
      <c r="C527" s="62"/>
      <c r="D527" s="62">
        <v>4</v>
      </c>
      <c r="E527" s="62" t="s">
        <v>113</v>
      </c>
      <c r="F527" s="62">
        <v>7</v>
      </c>
      <c r="G527" s="62" t="s">
        <v>530</v>
      </c>
      <c r="H527" s="50">
        <f>VLOOKUP($A527,'[1]ma sp 02'!$A$5:$BD$1101,H$1,0)</f>
        <v>0.09</v>
      </c>
      <c r="I527" s="50">
        <f>VLOOKUP($A527,'[1]ma sp 02'!$A$5:$BD$1101,I$1,0)</f>
        <v>3.93</v>
      </c>
      <c r="J527" s="50">
        <f>VLOOKUP($A527,'[1]ma sp 02'!$A$5:$BD$1101,J$1,0)</f>
        <v>0.18</v>
      </c>
      <c r="K527" s="50">
        <f>VLOOKUP($A527,'[1]ma sp 02'!$A$5:$BD$1101,K$1,0)</f>
        <v>0.31</v>
      </c>
      <c r="L527" s="50">
        <f>VLOOKUP($A527,'[1]ma sp 02'!$A$5:$BD$1101,L$1,0)</f>
        <v>0.64</v>
      </c>
      <c r="M527" s="50">
        <f>VLOOKUP($A527,'[1]ma sp 02'!$A$5:$BD$1101,M$1,0)</f>
        <v>0.98199999999999998</v>
      </c>
      <c r="N527" s="50">
        <f>VLOOKUP($A527,'[1]ma sp 02'!$A$5:$BD$1101,N$1,0)</f>
        <v>0</v>
      </c>
      <c r="O527" s="50">
        <f>VLOOKUP($A527,'[1]ma sp 02'!$A$5:$BD$1101,O$1,0)</f>
        <v>0.31</v>
      </c>
      <c r="P527" s="50">
        <f>VLOOKUP($A527,'[1]ma sp 02'!$A$5:$BD$1101,P$1,0)</f>
        <v>0.01</v>
      </c>
      <c r="Q527" s="50">
        <f>VLOOKUP($A527,'[1]ma sp 02'!$A$5:$BD$1101,Q$1,0)</f>
        <v>0</v>
      </c>
      <c r="R527" s="50">
        <f>VLOOKUP($A527,'[1]ma sp 02'!$A$5:$BD$1101,R$1,0)</f>
        <v>0</v>
      </c>
      <c r="S527" s="50">
        <f>VLOOKUP($A527,'[1]ma sp 02'!$A$5:$BD$1101,S$1,0)</f>
        <v>0</v>
      </c>
      <c r="T527" s="50">
        <f>VLOOKUP($A527,'[1]ma sp 02'!$A$5:$BD$1101,T$1,0)</f>
        <v>0</v>
      </c>
      <c r="U527" s="50">
        <f>VLOOKUP($A527,'[1]ma sp 02'!$A$5:$BD$1101,U$1,0)</f>
        <v>0</v>
      </c>
      <c r="V527" s="50">
        <f>VLOOKUP($A527,'[1]ma sp 02'!$A$5:$BD$1101,V$1,0)</f>
        <v>0</v>
      </c>
      <c r="W527" s="50">
        <f>VLOOKUP($A527,'[1]ma sp 02'!$A$5:$BD$1101,W$1,0)</f>
        <v>0</v>
      </c>
      <c r="X527" s="50">
        <f t="shared" si="20"/>
        <v>8</v>
      </c>
      <c r="Y527" s="9"/>
      <c r="Z527" s="9"/>
      <c r="AA527" s="9"/>
      <c r="AB527" s="9"/>
      <c r="AC527" s="9"/>
      <c r="AD527" s="62"/>
      <c r="AE527" s="62" t="s">
        <v>628</v>
      </c>
      <c r="AF527" s="9" t="s">
        <v>1200</v>
      </c>
      <c r="AG527" s="71">
        <f>(0.012*1.4+0.012*1.4+0.055*0.925)*0.72</f>
        <v>6.0821999999999994E-2</v>
      </c>
      <c r="AH527" s="54">
        <f>(2.3/0.75/2)*0.74</f>
        <v>1.1346666666666665</v>
      </c>
      <c r="AI527" s="63">
        <f>(2.3/0.75/2)*0.73</f>
        <v>1.1193333333333333</v>
      </c>
      <c r="AJ527" s="9">
        <v>9530</v>
      </c>
      <c r="AK527" s="9">
        <v>9530</v>
      </c>
      <c r="AL527" s="9" t="s">
        <v>1700</v>
      </c>
      <c r="AM527" s="69" t="s">
        <v>1701</v>
      </c>
      <c r="AN527" s="9">
        <v>120</v>
      </c>
      <c r="AO527" s="69" t="s">
        <v>1660</v>
      </c>
      <c r="AP527" s="59" t="str">
        <f>IFERROR(VLOOKUP($A527,[2]Mssp!$A$5:$BE$1463,AP$4+1,0),0)</f>
        <v>F122579G1-1</v>
      </c>
      <c r="AQ527" s="59" t="str">
        <f>IFERROR(VLOOKUP($A527,[2]Mssp!$A$5:$BE$1463,AQ$4+1,0),0)</f>
        <v>F122579-2</v>
      </c>
      <c r="AR527" s="59" t="str">
        <f>IFERROR(VLOOKUP($A527,[2]Mssp!$A$5:$BE$1463,AR$4+1,0),0)</f>
        <v>F122579-3</v>
      </c>
      <c r="AS527" s="59" t="str">
        <f>IFERROR(VLOOKUP($A527,[2]Mssp!$A$5:$BE$1463,AS$4+1,0),0)</f>
        <v>F122579-4</v>
      </c>
      <c r="AT527" s="59" t="str">
        <f>IFERROR(VLOOKUP($A527,[2]Mssp!$A$5:$BE$1463,AT$4+1,0),0)</f>
        <v>F122579-5</v>
      </c>
      <c r="AU527" s="59" t="str">
        <f>IFERROR(VLOOKUP($A527,[2]Mssp!$A$5:$BE$1463,AU$4+1,0),0)</f>
        <v>F122579-6</v>
      </c>
      <c r="AV527" s="59" t="str">
        <f>IFERROR(VLOOKUP($A527,[2]Mssp!$A$5:$BE$1463,AV$4+1,0),0)</f>
        <v>F122579-7</v>
      </c>
      <c r="AW527" s="59">
        <f>IFERROR(VLOOKUP($A527,[2]Mssp!$A$5:$BE$1463,AW$4+1,0),0)</f>
        <v>0</v>
      </c>
      <c r="AX527" s="59">
        <f>IFERROR(VLOOKUP($A527,[2]Mssp!$A$5:$BE$1463,AX$4+1,0),0)</f>
        <v>0</v>
      </c>
      <c r="AY527" s="59" t="str">
        <f>IFERROR(VLOOKUP($A527,[2]Mssp!$A$5:$BE$1463,AY$4+2,0),0)</f>
        <v>480x820</v>
      </c>
      <c r="AZ527" s="59" t="str">
        <f>IFERROR(VLOOKUP($A527,[2]Mssp!$A$5:$BE$1463,AZ$4+2,0),0)</f>
        <v>Q2</v>
      </c>
      <c r="BA527" s="141"/>
      <c r="BB527" s="61"/>
      <c r="BC527" s="129"/>
      <c r="BD527" s="138"/>
      <c r="BE527" s="131"/>
      <c r="BF527" s="139"/>
      <c r="BG527" s="131"/>
      <c r="BH527" s="139"/>
      <c r="BI527" s="140"/>
      <c r="BJ527" s="139"/>
      <c r="BK527" s="134"/>
      <c r="BL527" s="139"/>
      <c r="BM527" s="131"/>
      <c r="BN527" s="139"/>
      <c r="BO527" s="9"/>
      <c r="BP527" s="139"/>
      <c r="BQ527" s="139"/>
      <c r="BR527" s="139"/>
      <c r="BS527" s="135"/>
      <c r="BT527" s="139"/>
      <c r="BU527" s="131"/>
      <c r="BV527" s="139"/>
      <c r="BW527" s="131"/>
      <c r="BX527" s="139"/>
      <c r="BY527" s="131"/>
      <c r="BZ527" s="139"/>
      <c r="CA527" s="131"/>
      <c r="CB527" s="139"/>
      <c r="CC527" s="131"/>
      <c r="CD527" s="139"/>
      <c r="CE527" s="9"/>
      <c r="CF527" s="9"/>
      <c r="CG527" s="9"/>
      <c r="CH527" s="9"/>
      <c r="CI527" s="9"/>
      <c r="CJ527" s="9"/>
      <c r="CK527" s="9"/>
      <c r="CL527" s="9"/>
      <c r="CM527" s="9"/>
      <c r="CN527" s="9"/>
      <c r="CO527" s="9"/>
      <c r="CP527" s="9"/>
    </row>
    <row r="528" spans="1:94" ht="90" x14ac:dyDescent="0.25">
      <c r="A528" s="127" t="s">
        <v>1702</v>
      </c>
      <c r="B528" s="51" t="s">
        <v>1703</v>
      </c>
      <c r="C528" s="62"/>
      <c r="D528" s="62">
        <v>2</v>
      </c>
      <c r="E528" s="62" t="s">
        <v>484</v>
      </c>
      <c r="F528" s="62">
        <v>5</v>
      </c>
      <c r="G528" s="62" t="s">
        <v>530</v>
      </c>
      <c r="H528" s="50">
        <f>VLOOKUP($A528,'[1]ma sp 02'!$A$5:$BD$1101,H$1,0)</f>
        <v>0.12</v>
      </c>
      <c r="I528" s="50">
        <f>VLOOKUP($A528,'[1]ma sp 02'!$A$5:$BD$1101,I$1,0)</f>
        <v>0.67</v>
      </c>
      <c r="J528" s="50">
        <f>VLOOKUP($A528,'[1]ma sp 02'!$A$5:$BD$1101,J$1,0)</f>
        <v>0.49</v>
      </c>
      <c r="K528" s="50">
        <f>VLOOKUP($A528,'[1]ma sp 02'!$A$5:$BD$1101,K$1,0)</f>
        <v>0</v>
      </c>
      <c r="L528" s="50">
        <f>VLOOKUP($A528,'[1]ma sp 02'!$A$5:$BD$1101,L$1,0)</f>
        <v>0.01</v>
      </c>
      <c r="M528" s="50">
        <f>VLOOKUP($A528,'[1]ma sp 02'!$A$5:$BD$1101,M$1,0)</f>
        <v>1.5860000000000001</v>
      </c>
      <c r="N528" s="50">
        <f>VLOOKUP($A528,'[1]ma sp 02'!$A$5:$BD$1101,N$1,0)</f>
        <v>2.2599999999999998</v>
      </c>
      <c r="O528" s="50">
        <f>VLOOKUP($A528,'[1]ma sp 02'!$A$5:$BD$1101,O$1,0)</f>
        <v>0</v>
      </c>
      <c r="P528" s="50">
        <f>VLOOKUP($A528,'[1]ma sp 02'!$A$5:$BD$1101,P$1,0)</f>
        <v>0.01</v>
      </c>
      <c r="Q528" s="50">
        <f>VLOOKUP($A528,'[1]ma sp 02'!$A$5:$BD$1101,Q$1,0)</f>
        <v>0</v>
      </c>
      <c r="R528" s="50">
        <f>VLOOKUP($A528,'[1]ma sp 02'!$A$5:$BD$1101,R$1,0)</f>
        <v>0</v>
      </c>
      <c r="S528" s="50">
        <f>VLOOKUP($A528,'[1]ma sp 02'!$A$5:$BD$1101,S$1,0)</f>
        <v>0</v>
      </c>
      <c r="T528" s="50">
        <f>VLOOKUP($A528,'[1]ma sp 02'!$A$5:$BD$1101,T$1,0)</f>
        <v>0</v>
      </c>
      <c r="U528" s="50">
        <f>VLOOKUP($A528,'[1]ma sp 02'!$A$5:$BD$1101,U$1,0)</f>
        <v>0</v>
      </c>
      <c r="V528" s="50">
        <f>VLOOKUP($A528,'[1]ma sp 02'!$A$5:$BD$1101,V$1,0)</f>
        <v>0</v>
      </c>
      <c r="W528" s="50">
        <f>VLOOKUP($A528,'[1]ma sp 02'!$A$5:$BD$1101,W$1,0)</f>
        <v>0</v>
      </c>
      <c r="X528" s="50">
        <f t="shared" si="20"/>
        <v>7</v>
      </c>
      <c r="Y528" s="9"/>
      <c r="Z528" s="9"/>
      <c r="AA528" s="9"/>
      <c r="AB528" s="9"/>
      <c r="AC528" s="62"/>
      <c r="AD528" s="125"/>
      <c r="AE528" s="125" t="s">
        <v>485</v>
      </c>
      <c r="AF528" s="52" t="s">
        <v>486</v>
      </c>
      <c r="AG528" s="71">
        <f>(0.012*1.4+0.012*1.4+0.055*0.925)*0.74</f>
        <v>6.2511499999999998E-2</v>
      </c>
      <c r="AH528" s="54">
        <f>(2.3/0.75/2)*0.76</f>
        <v>1.1653333333333333</v>
      </c>
      <c r="AI528" s="63">
        <f>(2.3/0.75/2)*0.75</f>
        <v>1.1499999999999999</v>
      </c>
      <c r="AJ528" s="9">
        <v>9530</v>
      </c>
      <c r="AK528" s="9">
        <v>9530</v>
      </c>
      <c r="AL528" s="9" t="s">
        <v>1704</v>
      </c>
      <c r="AM528" s="69"/>
      <c r="AN528" s="9">
        <v>420</v>
      </c>
      <c r="AO528" s="69" t="s">
        <v>332</v>
      </c>
      <c r="AP528" s="59" t="str">
        <f>IFERROR(VLOOKUP($A528,[2]Mssp!$A$5:$BE$1463,AP$4+1,0),0)</f>
        <v>1904582-1</v>
      </c>
      <c r="AQ528" s="59" t="str">
        <f>IFERROR(VLOOKUP($A528,[2]Mssp!$A$5:$BE$1463,AQ$4+1,0),0)</f>
        <v>1904582-2</v>
      </c>
      <c r="AR528" s="59" t="str">
        <f>IFERROR(VLOOKUP($A528,[2]Mssp!$A$5:$BE$1463,AR$4+1,0),0)</f>
        <v>1904582-3</v>
      </c>
      <c r="AS528" s="59" t="str">
        <f>IFERROR(VLOOKUP($A528,[2]Mssp!$A$5:$BE$1463,AS$4+1,0),0)</f>
        <v>1904582-4</v>
      </c>
      <c r="AT528" s="59" t="str">
        <f>IFERROR(VLOOKUP($A528,[2]Mssp!$A$5:$BE$1463,AT$4+1,0),0)</f>
        <v>1904582-5</v>
      </c>
      <c r="AU528" s="59">
        <f>IFERROR(VLOOKUP($A528,[2]Mssp!$A$5:$BE$1463,AU$4+1,0),0)</f>
        <v>0</v>
      </c>
      <c r="AV528" s="59">
        <f>IFERROR(VLOOKUP($A528,[2]Mssp!$A$5:$BE$1463,AV$4+1,0),0)</f>
        <v>0</v>
      </c>
      <c r="AW528" s="59">
        <f>IFERROR(VLOOKUP($A528,[2]Mssp!$A$5:$BE$1463,AW$4+1,0),0)</f>
        <v>0</v>
      </c>
      <c r="AX528" s="59">
        <f>IFERROR(VLOOKUP($A528,[2]Mssp!$A$5:$BE$1463,AX$4+1,0),0)</f>
        <v>0</v>
      </c>
      <c r="AY528" s="59" t="str">
        <f>IFERROR(VLOOKUP($A528,[2]Mssp!$A$5:$BE$1463,AY$4+2,0),0)</f>
        <v>420x850</v>
      </c>
      <c r="AZ528" s="59" t="str">
        <f>IFERROR(VLOOKUP($A528,[2]Mssp!$A$5:$BE$1463,AZ$4+2,0),0)</f>
        <v>G3</v>
      </c>
      <c r="BA528" s="141">
        <v>1500</v>
      </c>
      <c r="BB528" s="61" t="s">
        <v>119</v>
      </c>
      <c r="BC528" s="129"/>
      <c r="BD528" s="138"/>
      <c r="BE528" s="131"/>
      <c r="BF528" s="139"/>
      <c r="BG528" s="131"/>
      <c r="BH528" s="139"/>
      <c r="BI528" s="140"/>
      <c r="BJ528" s="139"/>
      <c r="BK528" s="134"/>
      <c r="BL528" s="139"/>
      <c r="BM528" s="131"/>
      <c r="BN528" s="139"/>
      <c r="BO528" s="9"/>
      <c r="BP528" s="139"/>
      <c r="BQ528" s="139"/>
      <c r="BR528" s="139"/>
      <c r="BS528" s="135"/>
      <c r="BT528" s="139"/>
      <c r="BU528" s="131"/>
      <c r="BV528" s="139"/>
      <c r="BW528" s="131"/>
      <c r="BX528" s="139"/>
      <c r="BY528" s="131"/>
      <c r="BZ528" s="139"/>
      <c r="CA528" s="131"/>
      <c r="CB528" s="139"/>
      <c r="CC528" s="131"/>
      <c r="CD528" s="139"/>
      <c r="CE528" s="9"/>
      <c r="CF528" s="9"/>
      <c r="CG528" s="9"/>
      <c r="CH528" s="9"/>
      <c r="CI528" s="9"/>
      <c r="CJ528" s="9"/>
      <c r="CK528" s="9"/>
      <c r="CL528" s="9"/>
      <c r="CM528" s="9"/>
      <c r="CN528" s="9"/>
      <c r="CO528" s="9"/>
      <c r="CP528" s="9"/>
    </row>
    <row r="529" spans="1:94" ht="30" x14ac:dyDescent="0.25">
      <c r="A529" s="127" t="s">
        <v>1705</v>
      </c>
      <c r="B529" s="51" t="s">
        <v>1706</v>
      </c>
      <c r="C529" s="62"/>
      <c r="D529" s="62">
        <v>1</v>
      </c>
      <c r="E529" s="62" t="s">
        <v>1013</v>
      </c>
      <c r="F529" s="62">
        <v>3</v>
      </c>
      <c r="G529" s="62"/>
      <c r="H529" s="50">
        <f>VLOOKUP($A529,'[1]ma sp 02'!$A$5:$BD$1101,H$1,0)</f>
        <v>7.0000000000000007E-2</v>
      </c>
      <c r="I529" s="50">
        <f>VLOOKUP($A529,'[1]ma sp 02'!$A$5:$BD$1101,I$1,0)</f>
        <v>0</v>
      </c>
      <c r="J529" s="50">
        <f>VLOOKUP($A529,'[1]ma sp 02'!$A$5:$BD$1101,J$1,0)</f>
        <v>0.47</v>
      </c>
      <c r="K529" s="50">
        <f>VLOOKUP($A529,'[1]ma sp 02'!$A$5:$BD$1101,K$1,0)</f>
        <v>0.2</v>
      </c>
      <c r="L529" s="50">
        <f>VLOOKUP($A529,'[1]ma sp 02'!$A$5:$BD$1101,L$1,0)</f>
        <v>0</v>
      </c>
      <c r="M529" s="50">
        <f>VLOOKUP($A529,'[1]ma sp 02'!$A$5:$BD$1101,M$1,0)</f>
        <v>0</v>
      </c>
      <c r="N529" s="50">
        <f>VLOOKUP($A529,'[1]ma sp 02'!$A$5:$BD$1101,N$1,0)</f>
        <v>0</v>
      </c>
      <c r="O529" s="50">
        <f>VLOOKUP($A529,'[1]ma sp 02'!$A$5:$BD$1101,O$1,0)</f>
        <v>0</v>
      </c>
      <c r="P529" s="50">
        <f>VLOOKUP($A529,'[1]ma sp 02'!$A$5:$BD$1101,P$1,0)</f>
        <v>0.51</v>
      </c>
      <c r="Q529" s="50">
        <f>VLOOKUP($A529,'[1]ma sp 02'!$A$5:$BD$1101,Q$1,0)</f>
        <v>7.0000000000000007E-2</v>
      </c>
      <c r="R529" s="50">
        <f>VLOOKUP($A529,'[1]ma sp 02'!$A$5:$BD$1101,R$1,0)</f>
        <v>0.2</v>
      </c>
      <c r="S529" s="50">
        <f>VLOOKUP($A529,'[1]ma sp 02'!$A$5:$BD$1101,S$1,0)</f>
        <v>0</v>
      </c>
      <c r="T529" s="50">
        <f>VLOOKUP($A529,'[1]ma sp 02'!$A$5:$BD$1101,T$1,0)</f>
        <v>0</v>
      </c>
      <c r="U529" s="50">
        <f>VLOOKUP($A529,'[1]ma sp 02'!$A$5:$BD$1101,U$1,0)</f>
        <v>0</v>
      </c>
      <c r="V529" s="50">
        <f>VLOOKUP($A529,'[1]ma sp 02'!$A$5:$BD$1101,V$1,0)</f>
        <v>0</v>
      </c>
      <c r="W529" s="50">
        <f>VLOOKUP($A529,'[1]ma sp 02'!$A$5:$BD$1101,W$1,0)</f>
        <v>0</v>
      </c>
      <c r="X529" s="50">
        <f t="shared" si="20"/>
        <v>6</v>
      </c>
      <c r="Y529" s="9"/>
      <c r="Z529" s="9"/>
      <c r="AA529" s="9"/>
      <c r="AB529" s="9"/>
      <c r="AC529" s="9"/>
      <c r="AD529" s="9"/>
      <c r="AE529" s="9" t="s">
        <v>955</v>
      </c>
      <c r="AF529" s="9"/>
      <c r="AG529" s="9"/>
      <c r="AH529" s="9"/>
      <c r="AI529" s="9"/>
      <c r="AJ529" s="9">
        <v>9530</v>
      </c>
      <c r="AK529" s="9"/>
      <c r="AL529" s="9">
        <v>2E-3</v>
      </c>
      <c r="AM529" s="69" t="s">
        <v>1707</v>
      </c>
      <c r="AN529" s="9">
        <v>1270</v>
      </c>
      <c r="AO529" s="69" t="s">
        <v>959</v>
      </c>
      <c r="AP529" s="59">
        <f>IFERROR(VLOOKUP($A529,[2]Mssp!$A$5:$BE$1463,AP$4+1,0),0)</f>
        <v>0</v>
      </c>
      <c r="AQ529" s="59">
        <f>IFERROR(VLOOKUP($A529,[2]Mssp!$A$5:$BE$1463,AQ$4+1,0),0)</f>
        <v>0</v>
      </c>
      <c r="AR529" s="59">
        <f>IFERROR(VLOOKUP($A529,[2]Mssp!$A$5:$BE$1463,AR$4+1,0),0)</f>
        <v>0</v>
      </c>
      <c r="AS529" s="59">
        <f>IFERROR(VLOOKUP($A529,[2]Mssp!$A$5:$BE$1463,AS$4+1,0),0)</f>
        <v>0</v>
      </c>
      <c r="AT529" s="59">
        <f>IFERROR(VLOOKUP($A529,[2]Mssp!$A$5:$BE$1463,AT$4+1,0),0)</f>
        <v>0</v>
      </c>
      <c r="AU529" s="59">
        <f>IFERROR(VLOOKUP($A529,[2]Mssp!$A$5:$BE$1463,AU$4+1,0),0)</f>
        <v>0</v>
      </c>
      <c r="AV529" s="59">
        <f>IFERROR(VLOOKUP($A529,[2]Mssp!$A$5:$BE$1463,AV$4+1,0),0)</f>
        <v>0</v>
      </c>
      <c r="AW529" s="59">
        <f>IFERROR(VLOOKUP($A529,[2]Mssp!$A$5:$BE$1463,AW$4+1,0),0)</f>
        <v>0</v>
      </c>
      <c r="AX529" s="59">
        <f>IFERROR(VLOOKUP($A529,[2]Mssp!$A$5:$BE$1463,AX$4+1,0),0)</f>
        <v>0</v>
      </c>
      <c r="AY529" s="59">
        <f>IFERROR(VLOOKUP($A529,[2]Mssp!$A$5:$BE$1463,AY$4+2,0),0)</f>
        <v>0</v>
      </c>
      <c r="AZ529" s="59">
        <f>IFERROR(VLOOKUP($A529,[2]Mssp!$A$5:$BE$1463,AZ$4+2,0),0)</f>
        <v>0</v>
      </c>
      <c r="BA529" s="141">
        <v>3000</v>
      </c>
      <c r="BB529" s="61" t="s">
        <v>1708</v>
      </c>
      <c r="BC529" s="129"/>
      <c r="BD529" s="138"/>
      <c r="BE529" s="131"/>
      <c r="BF529" s="139"/>
      <c r="BG529" s="131"/>
      <c r="BH529" s="139"/>
      <c r="BI529" s="140"/>
      <c r="BJ529" s="139"/>
      <c r="BK529" s="134"/>
      <c r="BL529" s="139"/>
      <c r="BM529" s="131"/>
      <c r="BN529" s="139"/>
      <c r="BO529" s="9"/>
      <c r="BP529" s="139"/>
      <c r="BQ529" s="139"/>
      <c r="BR529" s="139"/>
      <c r="BS529" s="135"/>
      <c r="BT529" s="139"/>
      <c r="BU529" s="131"/>
      <c r="BV529" s="139"/>
      <c r="BW529" s="131"/>
      <c r="BX529" s="139"/>
      <c r="BY529" s="131"/>
      <c r="BZ529" s="139"/>
      <c r="CA529" s="131"/>
      <c r="CB529" s="139"/>
      <c r="CC529" s="131"/>
      <c r="CD529" s="139"/>
      <c r="CE529" s="9"/>
      <c r="CF529" s="9"/>
      <c r="CG529" s="9"/>
      <c r="CH529" s="9"/>
      <c r="CI529" s="9"/>
      <c r="CJ529" s="9"/>
      <c r="CK529" s="9"/>
      <c r="CL529" s="9"/>
      <c r="CM529" s="9"/>
      <c r="CN529" s="9"/>
      <c r="CO529" s="9"/>
      <c r="CP529" s="9"/>
    </row>
    <row r="530" spans="1:94" ht="45" x14ac:dyDescent="0.25">
      <c r="A530" s="127" t="s">
        <v>1709</v>
      </c>
      <c r="B530" s="51" t="s">
        <v>1710</v>
      </c>
      <c r="C530" s="62"/>
      <c r="D530" s="62">
        <v>10</v>
      </c>
      <c r="E530" s="62" t="s">
        <v>1711</v>
      </c>
      <c r="F530" s="62">
        <v>1</v>
      </c>
      <c r="G530" s="62"/>
      <c r="H530" s="50">
        <f>VLOOKUP($A530,'[1]ma sp 02'!$A$5:$BD$1101,H$1,0)</f>
        <v>0</v>
      </c>
      <c r="I530" s="50">
        <f>VLOOKUP($A530,'[1]ma sp 02'!$A$5:$BD$1101,I$1,0)</f>
        <v>0</v>
      </c>
      <c r="J530" s="50">
        <f>VLOOKUP($A530,'[1]ma sp 02'!$A$5:$BD$1101,J$1,0)</f>
        <v>0</v>
      </c>
      <c r="K530" s="50">
        <f>VLOOKUP($A530,'[1]ma sp 02'!$A$5:$BD$1101,K$1,0)</f>
        <v>0.09</v>
      </c>
      <c r="L530" s="50">
        <f>VLOOKUP($A530,'[1]ma sp 02'!$A$5:$BD$1101,L$1,0)</f>
        <v>0.44</v>
      </c>
      <c r="M530" s="50">
        <f>VLOOKUP($A530,'[1]ma sp 02'!$A$5:$BD$1101,M$1,0)</f>
        <v>0</v>
      </c>
      <c r="N530" s="50">
        <f>VLOOKUP($A530,'[1]ma sp 02'!$A$5:$BD$1101,N$1,0)</f>
        <v>0</v>
      </c>
      <c r="O530" s="50">
        <f>VLOOKUP($A530,'[1]ma sp 02'!$A$5:$BD$1101,O$1,0)</f>
        <v>0</v>
      </c>
      <c r="P530" s="50">
        <f>VLOOKUP($A530,'[1]ma sp 02'!$A$5:$BD$1101,P$1,0)</f>
        <v>1.34</v>
      </c>
      <c r="Q530" s="50">
        <f>VLOOKUP($A530,'[1]ma sp 02'!$A$5:$BD$1101,Q$1,0)</f>
        <v>0</v>
      </c>
      <c r="R530" s="50">
        <f>VLOOKUP($A530,'[1]ma sp 02'!$A$5:$BD$1101,R$1,0)</f>
        <v>0</v>
      </c>
      <c r="S530" s="50">
        <f>VLOOKUP($A530,'[1]ma sp 02'!$A$5:$BD$1101,S$1,0)</f>
        <v>0</v>
      </c>
      <c r="T530" s="50">
        <f>VLOOKUP($A530,'[1]ma sp 02'!$A$5:$BD$1101,T$1,0)</f>
        <v>0</v>
      </c>
      <c r="U530" s="50">
        <f>VLOOKUP($A530,'[1]ma sp 02'!$A$5:$BD$1101,U$1,0)</f>
        <v>0</v>
      </c>
      <c r="V530" s="50">
        <f>VLOOKUP($A530,'[1]ma sp 02'!$A$5:$BD$1101,V$1,0)</f>
        <v>0</v>
      </c>
      <c r="W530" s="50">
        <f>VLOOKUP($A530,'[1]ma sp 02'!$A$5:$BD$1101,W$1,0)</f>
        <v>0</v>
      </c>
      <c r="X530" s="50">
        <f t="shared" si="20"/>
        <v>3</v>
      </c>
      <c r="Y530" s="9"/>
      <c r="Z530" s="9"/>
      <c r="AA530" s="9"/>
      <c r="AB530" s="9"/>
      <c r="AC530" s="9"/>
      <c r="AD530" s="9"/>
      <c r="AE530" s="9"/>
      <c r="AF530" s="9"/>
      <c r="AG530" s="9"/>
      <c r="AH530" s="9"/>
      <c r="AI530" s="9"/>
      <c r="AJ530" s="9"/>
      <c r="AK530" s="9"/>
      <c r="AL530" s="9"/>
      <c r="AM530" s="69" t="s">
        <v>1489</v>
      </c>
      <c r="AN530" s="9">
        <v>180</v>
      </c>
      <c r="AO530" s="69" t="s">
        <v>1712</v>
      </c>
      <c r="AP530" s="59">
        <f>IFERROR(VLOOKUP($A530,[2]Mssp!$A$5:$BE$1463,AP$4+1,0),0)</f>
        <v>0</v>
      </c>
      <c r="AQ530" s="59">
        <f>IFERROR(VLOOKUP($A530,[2]Mssp!$A$5:$BE$1463,AQ$4+1,0),0)</f>
        <v>0</v>
      </c>
      <c r="AR530" s="59">
        <f>IFERROR(VLOOKUP($A530,[2]Mssp!$A$5:$BE$1463,AR$4+1,0),0)</f>
        <v>0</v>
      </c>
      <c r="AS530" s="59">
        <f>IFERROR(VLOOKUP($A530,[2]Mssp!$A$5:$BE$1463,AS$4+1,0),0)</f>
        <v>0</v>
      </c>
      <c r="AT530" s="59">
        <f>IFERROR(VLOOKUP($A530,[2]Mssp!$A$5:$BE$1463,AT$4+1,0),0)</f>
        <v>0</v>
      </c>
      <c r="AU530" s="59">
        <f>IFERROR(VLOOKUP($A530,[2]Mssp!$A$5:$BE$1463,AU$4+1,0),0)</f>
        <v>0</v>
      </c>
      <c r="AV530" s="59">
        <f>IFERROR(VLOOKUP($A530,[2]Mssp!$A$5:$BE$1463,AV$4+1,0),0)</f>
        <v>0</v>
      </c>
      <c r="AW530" s="59">
        <f>IFERROR(VLOOKUP($A530,[2]Mssp!$A$5:$BE$1463,AW$4+1,0),0)</f>
        <v>0</v>
      </c>
      <c r="AX530" s="59">
        <f>IFERROR(VLOOKUP($A530,[2]Mssp!$A$5:$BE$1463,AX$4+1,0),0)</f>
        <v>0</v>
      </c>
      <c r="AY530" s="59">
        <f>IFERROR(VLOOKUP($A530,[2]Mssp!$A$5:$BE$1463,AY$4+2,0),0)</f>
        <v>0</v>
      </c>
      <c r="AZ530" s="59">
        <f>IFERROR(VLOOKUP($A530,[2]Mssp!$A$5:$BE$1463,AZ$4+2,0),0)</f>
        <v>0</v>
      </c>
      <c r="BA530" s="141"/>
      <c r="BB530" s="61" t="s">
        <v>1713</v>
      </c>
      <c r="BC530" s="129"/>
      <c r="BD530" s="138"/>
      <c r="BE530" s="131"/>
      <c r="BF530" s="139"/>
      <c r="BG530" s="131"/>
      <c r="BH530" s="139"/>
      <c r="BI530" s="140"/>
      <c r="BJ530" s="139"/>
      <c r="BK530" s="134"/>
      <c r="BL530" s="139"/>
      <c r="BM530" s="131"/>
      <c r="BN530" s="139"/>
      <c r="BO530" s="9"/>
      <c r="BP530" s="139"/>
      <c r="BQ530" s="139"/>
      <c r="BR530" s="139"/>
      <c r="BS530" s="135"/>
      <c r="BT530" s="139"/>
      <c r="BU530" s="131"/>
      <c r="BV530" s="139"/>
      <c r="BW530" s="131"/>
      <c r="BX530" s="139"/>
      <c r="BY530" s="131"/>
      <c r="BZ530" s="139"/>
      <c r="CA530" s="131"/>
      <c r="CB530" s="139"/>
      <c r="CC530" s="131"/>
      <c r="CD530" s="139"/>
      <c r="CE530" s="9"/>
      <c r="CF530" s="9"/>
      <c r="CG530" s="9"/>
      <c r="CH530" s="9"/>
      <c r="CI530" s="9"/>
      <c r="CJ530" s="9"/>
      <c r="CK530" s="9"/>
      <c r="CL530" s="9"/>
      <c r="CM530" s="9"/>
      <c r="CN530" s="9"/>
      <c r="CO530" s="9"/>
      <c r="CP530" s="9"/>
    </row>
    <row r="531" spans="1:94" ht="45" x14ac:dyDescent="0.25">
      <c r="A531" s="127" t="s">
        <v>1714</v>
      </c>
      <c r="B531" s="51" t="s">
        <v>1715</v>
      </c>
      <c r="C531" s="62"/>
      <c r="D531" s="62">
        <v>1</v>
      </c>
      <c r="E531" s="62" t="s">
        <v>722</v>
      </c>
      <c r="F531" s="62">
        <v>6</v>
      </c>
      <c r="G531" s="62" t="str">
        <f>LEFT(E531,3)</f>
        <v>PET</v>
      </c>
      <c r="H531" s="50">
        <f>VLOOKUP($A531,'[1]ma sp 02'!$A$5:$BD$1101,H$1,0)</f>
        <v>0.01</v>
      </c>
      <c r="I531" s="50">
        <f>VLOOKUP($A531,'[1]ma sp 02'!$A$5:$BD$1101,I$1,0)</f>
        <v>3.92</v>
      </c>
      <c r="J531" s="50">
        <f>VLOOKUP($A531,'[1]ma sp 02'!$A$5:$BD$1101,J$1,0)</f>
        <v>2.04</v>
      </c>
      <c r="K531" s="50">
        <f>VLOOKUP($A531,'[1]ma sp 02'!$A$5:$BD$1101,K$1,0)</f>
        <v>0.65</v>
      </c>
      <c r="L531" s="50">
        <f>VLOOKUP($A531,'[1]ma sp 02'!$A$5:$BD$1101,L$1,0)</f>
        <v>4.57</v>
      </c>
      <c r="M531" s="50">
        <f>VLOOKUP($A531,'[1]ma sp 02'!$A$5:$BD$1101,M$1,0)</f>
        <v>0</v>
      </c>
      <c r="N531" s="50">
        <f>VLOOKUP($A531,'[1]ma sp 02'!$A$5:$BD$1101,N$1,0)</f>
        <v>0</v>
      </c>
      <c r="O531" s="50">
        <f>VLOOKUP($A531,'[1]ma sp 02'!$A$5:$BD$1101,O$1,0)</f>
        <v>0.01</v>
      </c>
      <c r="P531" s="50">
        <f>VLOOKUP($A531,'[1]ma sp 02'!$A$5:$BD$1101,P$1,0)</f>
        <v>0</v>
      </c>
      <c r="Q531" s="50">
        <f>VLOOKUP($A531,'[1]ma sp 02'!$A$5:$BD$1101,Q$1,0)</f>
        <v>0</v>
      </c>
      <c r="R531" s="50">
        <f>VLOOKUP($A531,'[1]ma sp 02'!$A$5:$BD$1101,R$1,0)</f>
        <v>0</v>
      </c>
      <c r="S531" s="50">
        <f>VLOOKUP($A531,'[1]ma sp 02'!$A$5:$BD$1101,S$1,0)</f>
        <v>0</v>
      </c>
      <c r="T531" s="50">
        <f>VLOOKUP($A531,'[1]ma sp 02'!$A$5:$BD$1101,T$1,0)</f>
        <v>0</v>
      </c>
      <c r="U531" s="50">
        <f>VLOOKUP($A531,'[1]ma sp 02'!$A$5:$BD$1101,U$1,0)</f>
        <v>0</v>
      </c>
      <c r="V531" s="50">
        <f>VLOOKUP($A531,'[1]ma sp 02'!$A$5:$BD$1101,V$1,0)</f>
        <v>0</v>
      </c>
      <c r="W531" s="50">
        <f>VLOOKUP($A531,'[1]ma sp 02'!$A$5:$BD$1101,W$1,0)</f>
        <v>0</v>
      </c>
      <c r="X531" s="50">
        <f t="shared" si="20"/>
        <v>6</v>
      </c>
      <c r="Y531" s="9"/>
      <c r="Z531" s="9"/>
      <c r="AA531" s="9"/>
      <c r="AB531" s="9"/>
      <c r="AC531" s="9"/>
      <c r="AD531" s="9"/>
      <c r="AE531" s="9" t="s">
        <v>878</v>
      </c>
      <c r="AF531" s="9"/>
      <c r="AG531" s="71">
        <f>(0.012*1.4+0.11*0.925)*0.56</f>
        <v>6.6388000000000003E-2</v>
      </c>
      <c r="AH531" s="54">
        <f>(4/0.75/2)*0.56</f>
        <v>1.4933333333333334</v>
      </c>
      <c r="AI531" s="9"/>
      <c r="AJ531" s="9">
        <v>9530</v>
      </c>
      <c r="AK531" s="9"/>
      <c r="AL531" s="9">
        <v>4.0000000000000001E-3</v>
      </c>
      <c r="AM531" s="69" t="s">
        <v>74</v>
      </c>
      <c r="AN531" s="9">
        <v>410</v>
      </c>
      <c r="AO531" s="69" t="s">
        <v>1716</v>
      </c>
      <c r="AP531" s="59" t="str">
        <f>IFERROR(VLOOKUP($A531,[2]Mssp!$A$5:$BE$1463,AP$4+1,0),0)</f>
        <v>1905761-1</v>
      </c>
      <c r="AQ531" s="59" t="str">
        <f>IFERROR(VLOOKUP($A531,[2]Mssp!$A$5:$BE$1463,AQ$4+1,0),0)</f>
        <v>1905761-2</v>
      </c>
      <c r="AR531" s="59" t="str">
        <f>IFERROR(VLOOKUP($A531,[2]Mssp!$A$5:$BE$1463,AR$4+1,0),0)</f>
        <v>1905761-3</v>
      </c>
      <c r="AS531" s="59" t="str">
        <f>IFERROR(VLOOKUP($A531,[2]Mssp!$A$5:$BE$1463,AS$4+1,0),0)</f>
        <v>1905761-4</v>
      </c>
      <c r="AT531" s="59" t="str">
        <f>IFERROR(VLOOKUP($A531,[2]Mssp!$A$5:$BE$1463,AT$4+1,0),0)</f>
        <v>1905761-5</v>
      </c>
      <c r="AU531" s="59" t="str">
        <f>IFERROR(VLOOKUP($A531,[2]Mssp!$A$5:$BE$1463,AU$4+1,0),0)</f>
        <v>1905761-6</v>
      </c>
      <c r="AV531" s="59">
        <f>IFERROR(VLOOKUP($A531,[2]Mssp!$A$5:$BE$1463,AV$4+1,0),0)</f>
        <v>0</v>
      </c>
      <c r="AW531" s="59">
        <f>IFERROR(VLOOKUP($A531,[2]Mssp!$A$5:$BE$1463,AW$4+1,0),0)</f>
        <v>0</v>
      </c>
      <c r="AX531" s="59">
        <f>IFERROR(VLOOKUP($A531,[2]Mssp!$A$5:$BE$1463,AX$4+1,0),0)</f>
        <v>0</v>
      </c>
      <c r="AY531" s="59" t="str">
        <f>IFERROR(VLOOKUP($A531,[2]Mssp!$A$5:$BE$1463,AY$4+2,0),0)</f>
        <v>410x860</v>
      </c>
      <c r="AZ531" s="59" t="str">
        <f>IFERROR(VLOOKUP($A531,[2]Mssp!$A$5:$BE$1463,AZ$4+2,0),0)</f>
        <v>Q2</v>
      </c>
      <c r="BA531" s="141"/>
      <c r="BB531" s="61" t="s">
        <v>223</v>
      </c>
      <c r="BC531" s="129"/>
      <c r="BD531" s="138"/>
      <c r="BE531" s="131"/>
      <c r="BF531" s="139"/>
      <c r="BG531" s="131"/>
      <c r="BH531" s="139"/>
      <c r="BI531" s="140"/>
      <c r="BJ531" s="139"/>
      <c r="BK531" s="134"/>
      <c r="BL531" s="139"/>
      <c r="BM531" s="131"/>
      <c r="BN531" s="139"/>
      <c r="BO531" s="9"/>
      <c r="BP531" s="139"/>
      <c r="BQ531" s="139"/>
      <c r="BR531" s="139"/>
      <c r="BS531" s="135"/>
      <c r="BT531" s="139"/>
      <c r="BU531" s="131"/>
      <c r="BV531" s="139"/>
      <c r="BW531" s="131"/>
      <c r="BX531" s="139"/>
      <c r="BY531" s="131"/>
      <c r="BZ531" s="139"/>
      <c r="CA531" s="131"/>
      <c r="CB531" s="139"/>
      <c r="CC531" s="131"/>
      <c r="CD531" s="139"/>
      <c r="CE531" s="9"/>
      <c r="CF531" s="9"/>
      <c r="CG531" s="9"/>
      <c r="CH531" s="9"/>
      <c r="CI531" s="9"/>
      <c r="CJ531" s="9"/>
      <c r="CK531" s="9"/>
      <c r="CL531" s="9"/>
      <c r="CM531" s="9"/>
      <c r="CN531" s="9"/>
      <c r="CO531" s="9"/>
      <c r="CP531" s="9"/>
    </row>
    <row r="532" spans="1:94" ht="45" x14ac:dyDescent="0.25">
      <c r="A532" s="127" t="s">
        <v>1717</v>
      </c>
      <c r="B532" s="51" t="s">
        <v>1718</v>
      </c>
      <c r="C532" s="62"/>
      <c r="D532" s="62">
        <v>2</v>
      </c>
      <c r="E532" s="62" t="s">
        <v>131</v>
      </c>
      <c r="F532" s="62">
        <v>7</v>
      </c>
      <c r="G532" s="62" t="str">
        <f>LEFT(E532,3)</f>
        <v>PET</v>
      </c>
      <c r="H532" s="50">
        <f>VLOOKUP($A532,'[1]ma sp 02'!$A$5:$BD$1101,H$1,0)</f>
        <v>0</v>
      </c>
      <c r="I532" s="50">
        <f>VLOOKUP($A532,'[1]ma sp 02'!$A$5:$BD$1101,I$1,0)</f>
        <v>0</v>
      </c>
      <c r="J532" s="50">
        <f>VLOOKUP($A532,'[1]ma sp 02'!$A$5:$BD$1101,J$1,0)</f>
        <v>0</v>
      </c>
      <c r="K532" s="50">
        <f>VLOOKUP($A532,'[1]ma sp 02'!$A$5:$BD$1101,K$1,0)</f>
        <v>0</v>
      </c>
      <c r="L532" s="50">
        <f>VLOOKUP($A532,'[1]ma sp 02'!$A$5:$BD$1101,L$1,0)</f>
        <v>0</v>
      </c>
      <c r="M532" s="50">
        <f>VLOOKUP($A532,'[1]ma sp 02'!$A$5:$BD$1101,M$1,0)</f>
        <v>0</v>
      </c>
      <c r="N532" s="50">
        <f>VLOOKUP($A532,'[1]ma sp 02'!$A$5:$BD$1101,N$1,0)</f>
        <v>0</v>
      </c>
      <c r="O532" s="50">
        <f>VLOOKUP($A532,'[1]ma sp 02'!$A$5:$BD$1101,O$1,0)</f>
        <v>0</v>
      </c>
      <c r="P532" s="50">
        <f>VLOOKUP($A532,'[1]ma sp 02'!$A$5:$BD$1101,P$1,0)</f>
        <v>0</v>
      </c>
      <c r="Q532" s="50">
        <f>VLOOKUP($A532,'[1]ma sp 02'!$A$5:$BD$1101,Q$1,0)</f>
        <v>0</v>
      </c>
      <c r="R532" s="50">
        <f>VLOOKUP($A532,'[1]ma sp 02'!$A$5:$BD$1101,R$1,0)</f>
        <v>0</v>
      </c>
      <c r="S532" s="50">
        <f>VLOOKUP($A532,'[1]ma sp 02'!$A$5:$BD$1101,S$1,0)</f>
        <v>0</v>
      </c>
      <c r="T532" s="50">
        <f>VLOOKUP($A532,'[1]ma sp 02'!$A$5:$BD$1101,T$1,0)</f>
        <v>0</v>
      </c>
      <c r="U532" s="50">
        <f>VLOOKUP($A532,'[1]ma sp 02'!$A$5:$BD$1101,U$1,0)</f>
        <v>0</v>
      </c>
      <c r="V532" s="50">
        <f>VLOOKUP($A532,'[1]ma sp 02'!$A$5:$BD$1101,V$1,0)</f>
        <v>0</v>
      </c>
      <c r="W532" s="50">
        <f>VLOOKUP($A532,'[1]ma sp 02'!$A$5:$BD$1101,W$1,0)</f>
        <v>0</v>
      </c>
      <c r="X532" s="50">
        <f t="shared" si="20"/>
        <v>0</v>
      </c>
      <c r="Y532" s="9"/>
      <c r="Z532" s="9"/>
      <c r="AA532" s="9"/>
      <c r="AB532" s="9"/>
      <c r="AC532" s="123"/>
      <c r="AD532" s="123"/>
      <c r="AE532" s="123" t="s">
        <v>78</v>
      </c>
      <c r="AF532" s="123" t="s">
        <v>324</v>
      </c>
      <c r="AG532" s="128">
        <v>5.3428500000000004E-2</v>
      </c>
      <c r="AH532" s="54">
        <v>0.93533333333333324</v>
      </c>
      <c r="AI532" s="123">
        <v>1.22</v>
      </c>
      <c r="AJ532" s="123">
        <v>9530</v>
      </c>
      <c r="AK532" s="123">
        <v>9530</v>
      </c>
      <c r="AL532" s="123" t="s">
        <v>117</v>
      </c>
      <c r="AM532" s="147" t="s">
        <v>60</v>
      </c>
      <c r="AN532" s="123">
        <v>340</v>
      </c>
      <c r="AO532" s="147" t="s">
        <v>332</v>
      </c>
      <c r="AP532" s="59" t="str">
        <f>IFERROR(VLOOKUP($A532,[2]Mssp!$A$5:$BE$1463,AP$4+1,0),0)</f>
        <v>1704680-1</v>
      </c>
      <c r="AQ532" s="59" t="str">
        <f>IFERROR(VLOOKUP($A532,[2]Mssp!$A$5:$BE$1463,AQ$4+1,0),0)</f>
        <v>1704680-2</v>
      </c>
      <c r="AR532" s="59" t="str">
        <f>IFERROR(VLOOKUP($A532,[2]Mssp!$A$5:$BE$1463,AR$4+1,0),0)</f>
        <v>1704680-3</v>
      </c>
      <c r="AS532" s="59" t="str">
        <f>IFERROR(VLOOKUP($A532,[2]Mssp!$A$5:$BE$1463,AS$4+1,0),0)</f>
        <v>1704680-4</v>
      </c>
      <c r="AT532" s="59" t="str">
        <f>IFERROR(VLOOKUP($A532,[2]Mssp!$A$5:$BE$1463,AT$4+1,0),0)</f>
        <v>1704680-5</v>
      </c>
      <c r="AU532" s="59" t="str">
        <f>IFERROR(VLOOKUP($A532,[2]Mssp!$A$5:$BE$1463,AU$4+1,0),0)</f>
        <v>1704680-6</v>
      </c>
      <c r="AV532" s="59" t="str">
        <f>IFERROR(VLOOKUP($A532,[2]Mssp!$A$5:$BE$1463,AV$4+1,0),0)</f>
        <v>1704680-7</v>
      </c>
      <c r="AW532" s="59">
        <f>IFERROR(VLOOKUP($A532,[2]Mssp!$A$5:$BE$1463,AW$4+1,0),0)</f>
        <v>0</v>
      </c>
      <c r="AX532" s="59">
        <f>IFERROR(VLOOKUP($A532,[2]Mssp!$A$5:$BE$1463,AX$4+1,0),0)</f>
        <v>0</v>
      </c>
      <c r="AY532" s="59" t="str">
        <f>IFERROR(VLOOKUP($A532,[2]Mssp!$A$5:$BE$1463,AY$4+2,0),0)</f>
        <v>680x680</v>
      </c>
      <c r="AZ532" s="59" t="str">
        <f>IFERROR(VLOOKUP($A532,[2]Mssp!$A$5:$BE$1463,AZ$4+2,0),0)</f>
        <v>G3</v>
      </c>
      <c r="BA532" s="141"/>
      <c r="BB532" s="61"/>
      <c r="BC532" s="129"/>
      <c r="BD532" s="138"/>
      <c r="BE532" s="131"/>
      <c r="BF532" s="139"/>
      <c r="BG532" s="131"/>
      <c r="BH532" s="139"/>
      <c r="BI532" s="140"/>
      <c r="BJ532" s="139"/>
      <c r="BK532" s="134"/>
      <c r="BL532" s="139"/>
      <c r="BM532" s="131"/>
      <c r="BN532" s="139"/>
      <c r="BO532" s="9"/>
      <c r="BP532" s="139"/>
      <c r="BQ532" s="139"/>
      <c r="BR532" s="139"/>
      <c r="BS532" s="135"/>
      <c r="BT532" s="139"/>
      <c r="BU532" s="131"/>
      <c r="BV532" s="139"/>
      <c r="BW532" s="131"/>
      <c r="BX532" s="139"/>
      <c r="BY532" s="131"/>
      <c r="BZ532" s="139"/>
      <c r="CA532" s="131"/>
      <c r="CB532" s="139"/>
      <c r="CC532" s="131"/>
      <c r="CD532" s="139"/>
      <c r="CE532" s="9"/>
      <c r="CF532" s="9"/>
      <c r="CG532" s="9"/>
      <c r="CH532" s="9"/>
      <c r="CI532" s="9"/>
      <c r="CJ532" s="9"/>
      <c r="CK532" s="9"/>
      <c r="CL532" s="9"/>
      <c r="CM532" s="9"/>
      <c r="CN532" s="9"/>
      <c r="CO532" s="9"/>
      <c r="CP532" s="9"/>
    </row>
    <row r="533" spans="1:94" ht="45" x14ac:dyDescent="0.25">
      <c r="A533" s="127" t="s">
        <v>1719</v>
      </c>
      <c r="B533" s="51" t="s">
        <v>1720</v>
      </c>
      <c r="C533" s="62"/>
      <c r="D533" s="62">
        <v>2</v>
      </c>
      <c r="E533" s="62" t="s">
        <v>131</v>
      </c>
      <c r="F533" s="62">
        <f>6+1</f>
        <v>7</v>
      </c>
      <c r="G533" s="62" t="s">
        <v>530</v>
      </c>
      <c r="H533" s="50">
        <f>VLOOKUP($A533,'[1]ma sp 02'!$A$5:$BD$1101,H$1,0)</f>
        <v>0</v>
      </c>
      <c r="I533" s="50">
        <f>VLOOKUP($A533,'[1]ma sp 02'!$A$5:$BD$1101,I$1,0)</f>
        <v>11</v>
      </c>
      <c r="J533" s="50">
        <f>VLOOKUP($A533,'[1]ma sp 02'!$A$5:$BD$1101,J$1,0)</f>
        <v>1</v>
      </c>
      <c r="K533" s="50">
        <f>VLOOKUP($A533,'[1]ma sp 02'!$A$5:$BD$1101,K$1,0)</f>
        <v>0.8</v>
      </c>
      <c r="L533" s="50">
        <f>VLOOKUP($A533,'[1]ma sp 02'!$A$5:$BD$1101,L$1,0)</f>
        <v>0.01</v>
      </c>
      <c r="M533" s="50">
        <f>VLOOKUP($A533,'[1]ma sp 02'!$A$5:$BD$1101,M$1,0)</f>
        <v>5</v>
      </c>
      <c r="N533" s="50">
        <f>VLOOKUP($A533,'[1]ma sp 02'!$A$5:$BD$1101,N$1,0)</f>
        <v>0</v>
      </c>
      <c r="O533" s="50">
        <f>VLOOKUP($A533,'[1]ma sp 02'!$A$5:$BD$1101,O$1,0)</f>
        <v>0.01</v>
      </c>
      <c r="P533" s="50">
        <f>VLOOKUP($A533,'[1]ma sp 02'!$A$5:$BD$1101,P$1,0)</f>
        <v>1</v>
      </c>
      <c r="Q533" s="50">
        <f>VLOOKUP($A533,'[1]ma sp 02'!$A$5:$BD$1101,Q$1,0)</f>
        <v>0</v>
      </c>
      <c r="R533" s="50">
        <f>VLOOKUP($A533,'[1]ma sp 02'!$A$5:$BD$1101,R$1,0)</f>
        <v>0</v>
      </c>
      <c r="S533" s="50">
        <f>VLOOKUP($A533,'[1]ma sp 02'!$A$5:$BD$1101,S$1,0)</f>
        <v>0</v>
      </c>
      <c r="T533" s="50">
        <f>VLOOKUP($A533,'[1]ma sp 02'!$A$5:$BD$1101,T$1,0)</f>
        <v>0</v>
      </c>
      <c r="U533" s="50">
        <f>VLOOKUP($A533,'[1]ma sp 02'!$A$5:$BD$1101,U$1,0)</f>
        <v>0</v>
      </c>
      <c r="V533" s="50">
        <f>VLOOKUP($A533,'[1]ma sp 02'!$A$5:$BD$1101,V$1,0)</f>
        <v>0</v>
      </c>
      <c r="W533" s="50">
        <f>VLOOKUP($A533,'[1]ma sp 02'!$A$5:$BD$1101,W$1,0)</f>
        <v>0</v>
      </c>
      <c r="X533" s="50">
        <f t="shared" si="20"/>
        <v>7</v>
      </c>
      <c r="Y533" s="9"/>
      <c r="Z533" s="62"/>
      <c r="AA533" s="62"/>
      <c r="AB533" s="62"/>
      <c r="AC533" s="84"/>
      <c r="AD533" s="62"/>
      <c r="AE533" s="62" t="s">
        <v>1721</v>
      </c>
      <c r="AF533" s="124" t="s">
        <v>1722</v>
      </c>
      <c r="AG533" s="71">
        <f>(0.012*1.4+0.006*2.71+0.06*0.925)*0.62</f>
        <v>5.4907199999999996E-2</v>
      </c>
      <c r="AH533" s="54">
        <f>(2.3/0.75/2)*0.61</f>
        <v>0.93533333333333324</v>
      </c>
      <c r="AI533" s="63">
        <f>(2.3/0.75/2)*0.61</f>
        <v>0.93533333333333324</v>
      </c>
      <c r="AJ533" s="62">
        <v>9530</v>
      </c>
      <c r="AK533" s="62">
        <v>9530</v>
      </c>
      <c r="AL533" s="62" t="s">
        <v>1700</v>
      </c>
      <c r="AM533" s="61" t="s">
        <v>1723</v>
      </c>
      <c r="AN533" s="62">
        <v>250</v>
      </c>
      <c r="AO533" s="61" t="s">
        <v>1724</v>
      </c>
      <c r="AP533" s="59" t="str">
        <f>IFERROR(VLOOKUP($A533,[2]Mssp!$A$5:$BE$1463,AP$4+1,0),0)</f>
        <v>X105890-1</v>
      </c>
      <c r="AQ533" s="59" t="str">
        <f>IFERROR(VLOOKUP($A533,[2]Mssp!$A$5:$BE$1463,AQ$4+1,0),0)</f>
        <v>X105890-2</v>
      </c>
      <c r="AR533" s="59" t="str">
        <f>IFERROR(VLOOKUP($A533,[2]Mssp!$A$5:$BE$1463,AR$4+1,0),0)</f>
        <v>X105890-3</v>
      </c>
      <c r="AS533" s="59" t="str">
        <f>IFERROR(VLOOKUP($A533,[2]Mssp!$A$5:$BE$1463,AS$4+1,0),0)</f>
        <v>X105890-4</v>
      </c>
      <c r="AT533" s="59" t="str">
        <f>IFERROR(VLOOKUP($A533,[2]Mssp!$A$5:$BE$1463,AT$4+1,0),0)</f>
        <v>X105890-5</v>
      </c>
      <c r="AU533" s="59" t="str">
        <f>IFERROR(VLOOKUP($A533,[2]Mssp!$A$5:$BE$1463,AU$4+1,0),0)</f>
        <v>X105890-6</v>
      </c>
      <c r="AV533" s="59" t="str">
        <f>IFERROR(VLOOKUP($A533,[2]Mssp!$A$5:$BE$1463,AV$4+1,0),0)</f>
        <v>X105890G1-0 cam</v>
      </c>
      <c r="AW533" s="59">
        <f>IFERROR(VLOOKUP($A533,[2]Mssp!$A$5:$BE$1463,AW$4+1,0),0)</f>
        <v>0</v>
      </c>
      <c r="AX533" s="59">
        <f>IFERROR(VLOOKUP($A533,[2]Mssp!$A$5:$BE$1463,AX$4+1,0),0)</f>
        <v>0</v>
      </c>
      <c r="AY533" s="59" t="str">
        <f>IFERROR(VLOOKUP($A533,[2]Mssp!$A$5:$BE$1463,AY$4+2,0),0)</f>
        <v>500x860</v>
      </c>
      <c r="AZ533" s="59" t="str">
        <f>IFERROR(VLOOKUP($A533,[2]Mssp!$A$5:$BE$1463,AZ$4+2,0),0)</f>
        <v>A2</v>
      </c>
      <c r="BA533" s="141"/>
      <c r="BB533" s="61" t="s">
        <v>223</v>
      </c>
      <c r="BC533" s="129"/>
      <c r="BD533" s="138"/>
      <c r="BE533" s="131"/>
      <c r="BF533" s="139"/>
      <c r="BG533" s="131"/>
      <c r="BH533" s="139"/>
      <c r="BI533" s="140"/>
      <c r="BJ533" s="139"/>
      <c r="BK533" s="134"/>
      <c r="BL533" s="139"/>
      <c r="BM533" s="131"/>
      <c r="BN533" s="139"/>
      <c r="BO533" s="9"/>
      <c r="BP533" s="139"/>
      <c r="BQ533" s="139"/>
      <c r="BR533" s="139"/>
      <c r="BS533" s="135"/>
      <c r="BT533" s="139"/>
      <c r="BU533" s="131"/>
      <c r="BV533" s="139"/>
      <c r="BW533" s="131"/>
      <c r="BX533" s="139"/>
      <c r="BY533" s="131"/>
      <c r="BZ533" s="139"/>
      <c r="CA533" s="131"/>
      <c r="CB533" s="139"/>
      <c r="CC533" s="131"/>
      <c r="CD533" s="139"/>
      <c r="CE533" s="9"/>
      <c r="CF533" s="9"/>
      <c r="CG533" s="9"/>
      <c r="CH533" s="9"/>
      <c r="CI533" s="9"/>
      <c r="CJ533" s="9"/>
      <c r="CK533" s="9"/>
      <c r="CL533" s="9"/>
      <c r="CM533" s="9"/>
      <c r="CN533" s="9"/>
      <c r="CO533" s="9"/>
      <c r="CP533" s="9"/>
    </row>
    <row r="534" spans="1:94" ht="45" x14ac:dyDescent="0.25">
      <c r="A534" s="127" t="s">
        <v>1725</v>
      </c>
      <c r="B534" s="51" t="s">
        <v>1726</v>
      </c>
      <c r="C534" s="62"/>
      <c r="D534" s="62">
        <v>2</v>
      </c>
      <c r="E534" s="62" t="s">
        <v>131</v>
      </c>
      <c r="F534" s="62">
        <f>6+1</f>
        <v>7</v>
      </c>
      <c r="G534" s="62" t="s">
        <v>530</v>
      </c>
      <c r="H534" s="50">
        <f>VLOOKUP($A534,'[1]ma sp 02'!$A$5:$BD$1101,H$1,0)</f>
        <v>0</v>
      </c>
      <c r="I534" s="50">
        <f>VLOOKUP($A534,'[1]ma sp 02'!$A$5:$BD$1101,I$1,0)</f>
        <v>10</v>
      </c>
      <c r="J534" s="50">
        <f>VLOOKUP($A534,'[1]ma sp 02'!$A$5:$BD$1101,J$1,0)</f>
        <v>0.4</v>
      </c>
      <c r="K534" s="50">
        <f>VLOOKUP($A534,'[1]ma sp 02'!$A$5:$BD$1101,K$1,0)</f>
        <v>0.01</v>
      </c>
      <c r="L534" s="50">
        <f>VLOOKUP($A534,'[1]ma sp 02'!$A$5:$BD$1101,L$1,0)</f>
        <v>1</v>
      </c>
      <c r="M534" s="50">
        <f>VLOOKUP($A534,'[1]ma sp 02'!$A$5:$BD$1101,M$1,0)</f>
        <v>5</v>
      </c>
      <c r="N534" s="50">
        <f>VLOOKUP($A534,'[1]ma sp 02'!$A$5:$BD$1101,N$1,0)</f>
        <v>0</v>
      </c>
      <c r="O534" s="50">
        <f>VLOOKUP($A534,'[1]ma sp 02'!$A$5:$BD$1101,O$1,0)</f>
        <v>0.1</v>
      </c>
      <c r="P534" s="50">
        <f>VLOOKUP($A534,'[1]ma sp 02'!$A$5:$BD$1101,P$1,0)</f>
        <v>1</v>
      </c>
      <c r="Q534" s="50">
        <f>VLOOKUP($A534,'[1]ma sp 02'!$A$5:$BD$1101,Q$1,0)</f>
        <v>0</v>
      </c>
      <c r="R534" s="50">
        <f>VLOOKUP($A534,'[1]ma sp 02'!$A$5:$BD$1101,R$1,0)</f>
        <v>0</v>
      </c>
      <c r="S534" s="50">
        <f>VLOOKUP($A534,'[1]ma sp 02'!$A$5:$BD$1101,S$1,0)</f>
        <v>0</v>
      </c>
      <c r="T534" s="50">
        <f>VLOOKUP($A534,'[1]ma sp 02'!$A$5:$BD$1101,T$1,0)</f>
        <v>0</v>
      </c>
      <c r="U534" s="50">
        <f>VLOOKUP($A534,'[1]ma sp 02'!$A$5:$BD$1101,U$1,0)</f>
        <v>0</v>
      </c>
      <c r="V534" s="50">
        <f>VLOOKUP($A534,'[1]ma sp 02'!$A$5:$BD$1101,V$1,0)</f>
        <v>0</v>
      </c>
      <c r="W534" s="50">
        <f>VLOOKUP($A534,'[1]ma sp 02'!$A$5:$BD$1101,W$1,0)</f>
        <v>0</v>
      </c>
      <c r="X534" s="50">
        <f t="shared" si="20"/>
        <v>7</v>
      </c>
      <c r="Y534" s="9"/>
      <c r="Z534" s="62"/>
      <c r="AA534" s="62"/>
      <c r="AB534" s="62"/>
      <c r="AC534" s="62"/>
      <c r="AD534" s="148"/>
      <c r="AE534" s="62" t="s">
        <v>1721</v>
      </c>
      <c r="AF534" s="124" t="s">
        <v>1722</v>
      </c>
      <c r="AG534" s="71">
        <f>(0.012*1.4+0.006*2.71+0.06*0.925)*0.62</f>
        <v>5.4907199999999996E-2</v>
      </c>
      <c r="AH534" s="54">
        <f>(2.3/0.75/2)*0.61</f>
        <v>0.93533333333333324</v>
      </c>
      <c r="AI534" s="63">
        <f>(2.3/0.75/2)*0.61</f>
        <v>0.93533333333333324</v>
      </c>
      <c r="AJ534" s="62">
        <v>9530</v>
      </c>
      <c r="AK534" s="62">
        <v>9530</v>
      </c>
      <c r="AL534" s="62" t="s">
        <v>1700</v>
      </c>
      <c r="AM534" s="61" t="s">
        <v>1723</v>
      </c>
      <c r="AN534" s="62">
        <v>250</v>
      </c>
      <c r="AO534" s="61" t="s">
        <v>1724</v>
      </c>
      <c r="AP534" s="59" t="str">
        <f>IFERROR(VLOOKUP($A534,[2]Mssp!$A$5:$BE$1463,AP$4+1,0),0)</f>
        <v>X105892-1</v>
      </c>
      <c r="AQ534" s="59" t="str">
        <f>IFERROR(VLOOKUP($A534,[2]Mssp!$A$5:$BE$1463,AQ$4+1,0),0)</f>
        <v>X105892-2</v>
      </c>
      <c r="AR534" s="59" t="str">
        <f>IFERROR(VLOOKUP($A534,[2]Mssp!$A$5:$BE$1463,AR$4+1,0),0)</f>
        <v>X105892-3</v>
      </c>
      <c r="AS534" s="59" t="str">
        <f>IFERROR(VLOOKUP($A534,[2]Mssp!$A$5:$BE$1463,AS$4+1,0),0)</f>
        <v>X105892-4</v>
      </c>
      <c r="AT534" s="59" t="str">
        <f>IFERROR(VLOOKUP($A534,[2]Mssp!$A$5:$BE$1463,AT$4+1,0),0)</f>
        <v>X105892-5</v>
      </c>
      <c r="AU534" s="59" t="str">
        <f>IFERROR(VLOOKUP($A534,[2]Mssp!$A$5:$BE$1463,AU$4+1,0),0)</f>
        <v>X105890-6</v>
      </c>
      <c r="AV534" s="59" t="str">
        <f>IFERROR(VLOOKUP($A534,[2]Mssp!$A$5:$BE$1463,AV$4+1,0),0)</f>
        <v>X105892G1- 0 cam</v>
      </c>
      <c r="AW534" s="59">
        <f>IFERROR(VLOOKUP($A534,[2]Mssp!$A$5:$BE$1463,AW$4+1,0),0)</f>
        <v>0</v>
      </c>
      <c r="AX534" s="59">
        <f>IFERROR(VLOOKUP($A534,[2]Mssp!$A$5:$BE$1463,AX$4+1,0),0)</f>
        <v>0</v>
      </c>
      <c r="AY534" s="59" t="str">
        <f>IFERROR(VLOOKUP($A534,[2]Mssp!$A$5:$BE$1463,AY$4+2,0),0)</f>
        <v>500x860</v>
      </c>
      <c r="AZ534" s="59" t="str">
        <f>IFERROR(VLOOKUP($A534,[2]Mssp!$A$5:$BE$1463,AZ$4+2,0),0)</f>
        <v>A2</v>
      </c>
      <c r="BA534" s="141"/>
      <c r="BB534" s="61" t="s">
        <v>223</v>
      </c>
      <c r="BC534" s="129"/>
      <c r="BD534" s="138"/>
      <c r="BE534" s="131"/>
      <c r="BF534" s="139"/>
      <c r="BG534" s="131"/>
      <c r="BH534" s="139"/>
      <c r="BI534" s="140"/>
      <c r="BJ534" s="139"/>
      <c r="BK534" s="134"/>
      <c r="BL534" s="139"/>
      <c r="BM534" s="131"/>
      <c r="BN534" s="139"/>
      <c r="BO534" s="9"/>
      <c r="BP534" s="139"/>
      <c r="BQ534" s="139"/>
      <c r="BR534" s="139"/>
      <c r="BS534" s="135"/>
      <c r="BT534" s="139"/>
      <c r="BU534" s="131"/>
      <c r="BV534" s="139"/>
      <c r="BW534" s="131"/>
      <c r="BX534" s="139"/>
      <c r="BY534" s="131"/>
      <c r="BZ534" s="139"/>
      <c r="CA534" s="131"/>
      <c r="CB534" s="139"/>
      <c r="CC534" s="131"/>
      <c r="CD534" s="139"/>
      <c r="CE534" s="9"/>
      <c r="CF534" s="9"/>
      <c r="CG534" s="9"/>
      <c r="CH534" s="9"/>
      <c r="CI534" s="9"/>
      <c r="CJ534" s="9"/>
      <c r="CK534" s="9"/>
      <c r="CL534" s="9"/>
      <c r="CM534" s="9"/>
      <c r="CN534" s="9"/>
      <c r="CO534" s="9"/>
      <c r="CP534" s="9"/>
    </row>
    <row r="535" spans="1:94" ht="30" x14ac:dyDescent="0.25">
      <c r="A535" s="127" t="s">
        <v>1727</v>
      </c>
      <c r="B535" s="51" t="s">
        <v>1728</v>
      </c>
      <c r="C535" s="62"/>
      <c r="D535" s="62">
        <v>4</v>
      </c>
      <c r="E535" s="62" t="s">
        <v>910</v>
      </c>
      <c r="F535" s="62">
        <v>7</v>
      </c>
      <c r="G535" s="62" t="s">
        <v>184</v>
      </c>
      <c r="H535" s="50">
        <f>VLOOKUP($A535,'[1]ma sp 02'!$A$5:$BD$1101,H$1,0)</f>
        <v>0.14000000000000001</v>
      </c>
      <c r="I535" s="50">
        <f>VLOOKUP($A535,'[1]ma sp 02'!$A$5:$BD$1101,I$1,0)</f>
        <v>3.82</v>
      </c>
      <c r="J535" s="50">
        <f>VLOOKUP($A535,'[1]ma sp 02'!$A$5:$BD$1101,J$1,0)</f>
        <v>0.74</v>
      </c>
      <c r="K535" s="50">
        <f>VLOOKUP($A535,'[1]ma sp 02'!$A$5:$BD$1101,K$1,0)</f>
        <v>1.27</v>
      </c>
      <c r="L535" s="50">
        <f>VLOOKUP($A535,'[1]ma sp 02'!$A$5:$BD$1101,L$1,0)</f>
        <v>2.0499999999999998</v>
      </c>
      <c r="M535" s="50">
        <f>VLOOKUP($A535,'[1]ma sp 02'!$A$5:$BD$1101,M$1,0)</f>
        <v>1.49</v>
      </c>
      <c r="N535" s="50">
        <f>VLOOKUP($A535,'[1]ma sp 02'!$A$5:$BD$1101,N$1,0)</f>
        <v>0</v>
      </c>
      <c r="O535" s="50">
        <f>VLOOKUP($A535,'[1]ma sp 02'!$A$5:$BD$1101,O$1,0)</f>
        <v>0</v>
      </c>
      <c r="P535" s="50">
        <f>VLOOKUP($A535,'[1]ma sp 02'!$A$5:$BD$1101,P$1,0)</f>
        <v>0</v>
      </c>
      <c r="Q535" s="50">
        <f>VLOOKUP($A535,'[1]ma sp 02'!$A$5:$BD$1101,Q$1,0)</f>
        <v>1.1000000000000001</v>
      </c>
      <c r="R535" s="50">
        <f>VLOOKUP($A535,'[1]ma sp 02'!$A$5:$BD$1101,R$1,0)</f>
        <v>0.42</v>
      </c>
      <c r="S535" s="50">
        <f>VLOOKUP($A535,'[1]ma sp 02'!$A$5:$BD$1101,S$1,0)</f>
        <v>0</v>
      </c>
      <c r="T535" s="50">
        <f>VLOOKUP($A535,'[1]ma sp 02'!$A$5:$BD$1101,T$1,0)</f>
        <v>0</v>
      </c>
      <c r="U535" s="50">
        <f>VLOOKUP($A535,'[1]ma sp 02'!$A$5:$BD$1101,U$1,0)</f>
        <v>0</v>
      </c>
      <c r="V535" s="50">
        <f>VLOOKUP($A535,'[1]ma sp 02'!$A$5:$BD$1101,V$1,0)</f>
        <v>0</v>
      </c>
      <c r="W535" s="50">
        <f>VLOOKUP($A535,'[1]ma sp 02'!$A$5:$BD$1101,W$1,0)</f>
        <v>0</v>
      </c>
      <c r="X535" s="50">
        <f t="shared" si="20"/>
        <v>8</v>
      </c>
      <c r="Y535" s="9"/>
      <c r="Z535" s="9"/>
      <c r="AA535" s="9"/>
      <c r="AB535" s="9"/>
      <c r="AC535" s="9"/>
      <c r="AD535" s="9"/>
      <c r="AE535" s="9" t="s">
        <v>1729</v>
      </c>
      <c r="AF535" s="9"/>
      <c r="AG535" s="149">
        <v>3.7192500000000003E-2</v>
      </c>
      <c r="AH535" s="150">
        <v>1.3646666666666665</v>
      </c>
      <c r="AI535" s="151"/>
      <c r="AJ535" s="9">
        <v>9530</v>
      </c>
      <c r="AK535" s="9"/>
      <c r="AL535" s="9">
        <v>2E-3</v>
      </c>
      <c r="AM535" s="69" t="s">
        <v>1489</v>
      </c>
      <c r="AN535" s="9">
        <v>175</v>
      </c>
      <c r="AO535" s="69" t="s">
        <v>1676</v>
      </c>
      <c r="AP535" s="59" t="str">
        <f>IFERROR(VLOOKUP($A535,[2]Mssp!$A$5:$BE$1463,AP$4+1,0),0)</f>
        <v>F125814G2-1</v>
      </c>
      <c r="AQ535" s="59" t="str">
        <f>IFERROR(VLOOKUP($A535,[2]Mssp!$A$5:$BE$1463,AQ$4+1,0),0)</f>
        <v>F125814G2-2</v>
      </c>
      <c r="AR535" s="59" t="str">
        <f>IFERROR(VLOOKUP($A535,[2]Mssp!$A$5:$BE$1463,AR$4+1,0),0)</f>
        <v>F125814-3</v>
      </c>
      <c r="AS535" s="59" t="str">
        <f>IFERROR(VLOOKUP($A535,[2]Mssp!$A$5:$BE$1463,AS$4+1,0),0)</f>
        <v>F125814-4</v>
      </c>
      <c r="AT535" s="59" t="str">
        <f>IFERROR(VLOOKUP($A535,[2]Mssp!$A$5:$BE$1463,AT$4+1,0),0)</f>
        <v>F125814-5</v>
      </c>
      <c r="AU535" s="59" t="str">
        <f>IFERROR(VLOOKUP($A535,[2]Mssp!$A$5:$BE$1463,AU$4+1,0),0)</f>
        <v>F125814-6</v>
      </c>
      <c r="AV535" s="59" t="str">
        <f>IFERROR(VLOOKUP($A535,[2]Mssp!$A$5:$BE$1463,AV$4+1,0),0)</f>
        <v>F125814-7</v>
      </c>
      <c r="AW535" s="59" t="str">
        <f>IFERROR(VLOOKUP($A535,[2]Mssp!$A$5:$BE$1463,AW$4+1,0),0)</f>
        <v>F125814G1-8</v>
      </c>
      <c r="AX535" s="59">
        <f>IFERROR(VLOOKUP($A535,[2]Mssp!$A$5:$BE$1463,AX$4+1,0),0)</f>
        <v>0</v>
      </c>
      <c r="AY535" s="59" t="str">
        <f>IFERROR(VLOOKUP($A535,[2]Mssp!$A$5:$BE$1463,AY$4+2,0),0)</f>
        <v>525x1100</v>
      </c>
      <c r="AZ535" s="59" t="str">
        <f>IFERROR(VLOOKUP($A535,[2]Mssp!$A$5:$BE$1463,AZ$4+2,0),0)</f>
        <v>Q2</v>
      </c>
      <c r="BA535" s="141" t="s">
        <v>1418</v>
      </c>
      <c r="BB535" s="61" t="s">
        <v>223</v>
      </c>
      <c r="BC535" s="129"/>
      <c r="BD535" s="138"/>
      <c r="BE535" s="131"/>
      <c r="BF535" s="139"/>
      <c r="BG535" s="131"/>
      <c r="BH535" s="139"/>
      <c r="BI535" s="140"/>
      <c r="BJ535" s="139"/>
      <c r="BK535" s="134"/>
      <c r="BL535" s="139"/>
      <c r="BM535" s="131"/>
      <c r="BN535" s="139"/>
      <c r="BO535" s="9"/>
      <c r="BP535" s="139"/>
      <c r="BQ535" s="139"/>
      <c r="BR535" s="139"/>
      <c r="BS535" s="135"/>
      <c r="BT535" s="139"/>
      <c r="BU535" s="131"/>
      <c r="BV535" s="139"/>
      <c r="BW535" s="131"/>
      <c r="BX535" s="139"/>
      <c r="BY535" s="131"/>
      <c r="BZ535" s="139"/>
      <c r="CA535" s="131"/>
      <c r="CB535" s="139"/>
      <c r="CC535" s="131"/>
      <c r="CD535" s="139"/>
      <c r="CE535" s="9"/>
      <c r="CF535" s="9"/>
      <c r="CG535" s="9"/>
      <c r="CH535" s="9"/>
      <c r="CI535" s="9"/>
      <c r="CJ535" s="9"/>
      <c r="CK535" s="9"/>
      <c r="CL535" s="9"/>
      <c r="CM535" s="9"/>
      <c r="CN535" s="9"/>
      <c r="CO535" s="9"/>
      <c r="CP535" s="9"/>
    </row>
    <row r="536" spans="1:94" ht="45" x14ac:dyDescent="0.25">
      <c r="A536" s="127" t="s">
        <v>1730</v>
      </c>
      <c r="B536" s="51" t="s">
        <v>1731</v>
      </c>
      <c r="C536" s="62"/>
      <c r="D536" s="62">
        <v>2</v>
      </c>
      <c r="E536" s="62" t="s">
        <v>131</v>
      </c>
      <c r="F536" s="62">
        <v>7</v>
      </c>
      <c r="G536" s="62" t="str">
        <f>LEFT(E536,3)</f>
        <v>PET</v>
      </c>
      <c r="H536" s="50">
        <f>VLOOKUP($A536,'[1]ma sp 02'!$A$5:$BD$1101,H$1,0)</f>
        <v>0</v>
      </c>
      <c r="I536" s="50">
        <f>VLOOKUP($A536,'[1]ma sp 02'!$A$5:$BD$1101,I$1,0)</f>
        <v>0</v>
      </c>
      <c r="J536" s="50">
        <f>VLOOKUP($A536,'[1]ma sp 02'!$A$5:$BD$1101,J$1,0)</f>
        <v>0</v>
      </c>
      <c r="K536" s="50">
        <f>VLOOKUP($A536,'[1]ma sp 02'!$A$5:$BD$1101,K$1,0)</f>
        <v>0</v>
      </c>
      <c r="L536" s="50">
        <f>VLOOKUP($A536,'[1]ma sp 02'!$A$5:$BD$1101,L$1,0)</f>
        <v>0</v>
      </c>
      <c r="M536" s="50">
        <f>VLOOKUP($A536,'[1]ma sp 02'!$A$5:$BD$1101,M$1,0)</f>
        <v>0</v>
      </c>
      <c r="N536" s="50">
        <f>VLOOKUP($A536,'[1]ma sp 02'!$A$5:$BD$1101,N$1,0)</f>
        <v>0</v>
      </c>
      <c r="O536" s="50">
        <f>VLOOKUP($A536,'[1]ma sp 02'!$A$5:$BD$1101,O$1,0)</f>
        <v>0</v>
      </c>
      <c r="P536" s="50">
        <f>VLOOKUP($A536,'[1]ma sp 02'!$A$5:$BD$1101,P$1,0)</f>
        <v>0</v>
      </c>
      <c r="Q536" s="50">
        <f>VLOOKUP($A536,'[1]ma sp 02'!$A$5:$BD$1101,Q$1,0)</f>
        <v>0</v>
      </c>
      <c r="R536" s="50">
        <f>VLOOKUP($A536,'[1]ma sp 02'!$A$5:$BD$1101,R$1,0)</f>
        <v>0</v>
      </c>
      <c r="S536" s="50">
        <f>VLOOKUP($A536,'[1]ma sp 02'!$A$5:$BD$1101,S$1,0)</f>
        <v>0</v>
      </c>
      <c r="T536" s="50">
        <f>VLOOKUP($A536,'[1]ma sp 02'!$A$5:$BD$1101,T$1,0)</f>
        <v>0</v>
      </c>
      <c r="U536" s="50">
        <f>VLOOKUP($A536,'[1]ma sp 02'!$A$5:$BD$1101,U$1,0)</f>
        <v>0</v>
      </c>
      <c r="V536" s="50">
        <f>VLOOKUP($A536,'[1]ma sp 02'!$A$5:$BD$1101,V$1,0)</f>
        <v>0</v>
      </c>
      <c r="W536" s="50">
        <f>VLOOKUP($A536,'[1]ma sp 02'!$A$5:$BD$1101,W$1,0)</f>
        <v>0</v>
      </c>
      <c r="X536" s="50">
        <f t="shared" si="20"/>
        <v>0</v>
      </c>
      <c r="Y536" s="9"/>
      <c r="Z536" s="9"/>
      <c r="AA536" s="9"/>
      <c r="AB536" s="9"/>
      <c r="AC536" s="62"/>
      <c r="AD536" s="62"/>
      <c r="AE536" s="62" t="s">
        <v>78</v>
      </c>
      <c r="AF536" s="62" t="s">
        <v>324</v>
      </c>
      <c r="AG536" s="128">
        <v>5.3428500000000004E-2</v>
      </c>
      <c r="AH536" s="54">
        <v>0.93533333333333324</v>
      </c>
      <c r="AI536" s="62">
        <v>1.22</v>
      </c>
      <c r="AJ536" s="62">
        <v>9530</v>
      </c>
      <c r="AK536" s="62">
        <v>9530</v>
      </c>
      <c r="AL536" s="62" t="s">
        <v>117</v>
      </c>
      <c r="AM536" s="61" t="s">
        <v>60</v>
      </c>
      <c r="AN536" s="62">
        <v>340</v>
      </c>
      <c r="AO536" s="61" t="s">
        <v>332</v>
      </c>
      <c r="AP536" s="59" t="str">
        <f>IFERROR(VLOOKUP($A536,[2]Mssp!$A$5:$BE$1463,AP$4+1,0),0)</f>
        <v>1707292-1</v>
      </c>
      <c r="AQ536" s="59" t="str">
        <f>IFERROR(VLOOKUP($A536,[2]Mssp!$A$5:$BE$1463,AQ$4+1,0),0)</f>
        <v>1707292-2</v>
      </c>
      <c r="AR536" s="59" t="str">
        <f>IFERROR(VLOOKUP($A536,[2]Mssp!$A$5:$BE$1463,AR$4+1,0),0)</f>
        <v>1707292-3</v>
      </c>
      <c r="AS536" s="59" t="str">
        <f>IFERROR(VLOOKUP($A536,[2]Mssp!$A$5:$BE$1463,AS$4+1,0),0)</f>
        <v>1707292-4</v>
      </c>
      <c r="AT536" s="59" t="str">
        <f>IFERROR(VLOOKUP($A536,[2]Mssp!$A$5:$BE$1463,AT$4+1,0),0)</f>
        <v>1707292-5</v>
      </c>
      <c r="AU536" s="59" t="str">
        <f>IFERROR(VLOOKUP($A536,[2]Mssp!$A$5:$BE$1463,AU$4+1,0),0)</f>
        <v>1707292-6</v>
      </c>
      <c r="AV536" s="59" t="str">
        <f>IFERROR(VLOOKUP($A536,[2]Mssp!$A$5:$BE$1463,AV$4+1,0),0)</f>
        <v>1707292-7</v>
      </c>
      <c r="AW536" s="59">
        <f>IFERROR(VLOOKUP($A536,[2]Mssp!$A$5:$BE$1463,AW$4+1,0),0)</f>
        <v>0</v>
      </c>
      <c r="AX536" s="59">
        <f>IFERROR(VLOOKUP($A536,[2]Mssp!$A$5:$BE$1463,AX$4+1,0),0)</f>
        <v>0</v>
      </c>
      <c r="AY536" s="59" t="str">
        <f>IFERROR(VLOOKUP($A536,[2]Mssp!$A$5:$BE$1463,AY$4+2,0),0)</f>
        <v>680x680</v>
      </c>
      <c r="AZ536" s="59" t="str">
        <f>IFERROR(VLOOKUP($A536,[2]Mssp!$A$5:$BE$1463,AZ$4+2,0),0)</f>
        <v>G3</v>
      </c>
      <c r="BA536" s="141"/>
      <c r="BB536" s="61"/>
      <c r="BC536" s="129"/>
      <c r="BD536" s="138"/>
      <c r="BE536" s="131"/>
      <c r="BF536" s="139"/>
      <c r="BG536" s="131"/>
      <c r="BH536" s="139"/>
      <c r="BI536" s="140"/>
      <c r="BJ536" s="139"/>
      <c r="BK536" s="134"/>
      <c r="BL536" s="139"/>
      <c r="BM536" s="131"/>
      <c r="BN536" s="139"/>
      <c r="BO536" s="9"/>
      <c r="BP536" s="139"/>
      <c r="BQ536" s="139"/>
      <c r="BR536" s="139"/>
      <c r="BS536" s="135"/>
      <c r="BT536" s="139"/>
      <c r="BU536" s="131"/>
      <c r="BV536" s="139"/>
      <c r="BW536" s="131"/>
      <c r="BX536" s="139"/>
      <c r="BY536" s="131"/>
      <c r="BZ536" s="139"/>
      <c r="CA536" s="131"/>
      <c r="CB536" s="139"/>
      <c r="CC536" s="131"/>
      <c r="CD536" s="139"/>
      <c r="CE536" s="9"/>
      <c r="CF536" s="9"/>
      <c r="CG536" s="9"/>
      <c r="CH536" s="9"/>
      <c r="CI536" s="9"/>
      <c r="CJ536" s="9"/>
      <c r="CK536" s="9"/>
      <c r="CL536" s="9"/>
      <c r="CM536" s="9"/>
      <c r="CN536" s="9"/>
      <c r="CO536" s="9"/>
      <c r="CP536" s="9"/>
    </row>
    <row r="537" spans="1:94" ht="30" x14ac:dyDescent="0.25">
      <c r="A537" s="127" t="s">
        <v>1732</v>
      </c>
      <c r="B537" s="51" t="s">
        <v>1733</v>
      </c>
      <c r="C537" s="62"/>
      <c r="D537" s="62">
        <v>2</v>
      </c>
      <c r="E537" s="62" t="s">
        <v>1734</v>
      </c>
      <c r="F537" s="62">
        <v>8</v>
      </c>
      <c r="G537" s="62" t="s">
        <v>184</v>
      </c>
      <c r="H537" s="50">
        <f>VLOOKUP($A537,'[1]ma sp 02'!$A$5:$BD$1101,H$1,0)</f>
        <v>0.13</v>
      </c>
      <c r="I537" s="50">
        <f>VLOOKUP($A537,'[1]ma sp 02'!$A$5:$BD$1101,I$1,0)</f>
        <v>5.76</v>
      </c>
      <c r="J537" s="50">
        <f>VLOOKUP($A537,'[1]ma sp 02'!$A$5:$BD$1101,J$1,0)</f>
        <v>0.15</v>
      </c>
      <c r="K537" s="50">
        <f>VLOOKUP($A537,'[1]ma sp 02'!$A$5:$BD$1101,K$1,0)</f>
        <v>0.56999999999999995</v>
      </c>
      <c r="L537" s="50">
        <f>VLOOKUP($A537,'[1]ma sp 02'!$A$5:$BD$1101,L$1,0)</f>
        <v>1.8</v>
      </c>
      <c r="M537" s="50">
        <f>VLOOKUP($A537,'[1]ma sp 02'!$A$5:$BD$1101,M$1,0)</f>
        <v>0.94</v>
      </c>
      <c r="N537" s="50">
        <f>VLOOKUP($A537,'[1]ma sp 02'!$A$5:$BD$1101,N$1,0)</f>
        <v>0.19</v>
      </c>
      <c r="O537" s="50">
        <f>VLOOKUP($A537,'[1]ma sp 02'!$A$5:$BD$1101,O$1,0)</f>
        <v>0</v>
      </c>
      <c r="P537" s="50">
        <f>VLOOKUP($A537,'[1]ma sp 02'!$A$5:$BD$1101,P$1,0)</f>
        <v>0.04</v>
      </c>
      <c r="Q537" s="50">
        <f>VLOOKUP($A537,'[1]ma sp 02'!$A$5:$BD$1101,Q$1,0)</f>
        <v>0</v>
      </c>
      <c r="R537" s="50">
        <f>VLOOKUP($A537,'[1]ma sp 02'!$A$5:$BD$1101,R$1,0)</f>
        <v>0</v>
      </c>
      <c r="S537" s="50">
        <f>VLOOKUP($A537,'[1]ma sp 02'!$A$5:$BD$1101,S$1,0)</f>
        <v>0.01</v>
      </c>
      <c r="T537" s="50">
        <f>VLOOKUP($A537,'[1]ma sp 02'!$A$5:$BD$1101,T$1,0)</f>
        <v>0.01</v>
      </c>
      <c r="U537" s="50">
        <f>VLOOKUP($A537,'[1]ma sp 02'!$A$5:$BD$1101,U$1,0)</f>
        <v>0</v>
      </c>
      <c r="V537" s="50">
        <f>VLOOKUP($A537,'[1]ma sp 02'!$A$5:$BD$1101,V$1,0)</f>
        <v>0</v>
      </c>
      <c r="W537" s="50">
        <f>VLOOKUP($A537,'[1]ma sp 02'!$A$5:$BD$1101,W$1,0)</f>
        <v>0</v>
      </c>
      <c r="X537" s="50">
        <f t="shared" si="20"/>
        <v>10</v>
      </c>
      <c r="Y537" s="9"/>
      <c r="Z537" s="9"/>
      <c r="AA537" s="9"/>
      <c r="AB537" s="9"/>
      <c r="AC537" s="9"/>
      <c r="AD537" s="9"/>
      <c r="AE537" s="9" t="s">
        <v>1735</v>
      </c>
      <c r="AF537" s="9"/>
      <c r="AG537" s="71">
        <f>(0.02*0.91+0.035*0.91)*0.79</f>
        <v>3.9539500000000005E-2</v>
      </c>
      <c r="AH537" s="54">
        <f>(3/0.75/2)*0.78</f>
        <v>1.56</v>
      </c>
      <c r="AI537" s="107"/>
      <c r="AJ537" s="9">
        <v>9530</v>
      </c>
      <c r="AK537" s="9"/>
      <c r="AL537" s="9">
        <v>3.0000000000000001E-3</v>
      </c>
      <c r="AM537" s="69" t="s">
        <v>74</v>
      </c>
      <c r="AN537" s="9">
        <v>270</v>
      </c>
      <c r="AO537" s="69" t="s">
        <v>1736</v>
      </c>
      <c r="AP537" s="59">
        <f>IFERROR(VLOOKUP($A537,[2]Mssp!$A$5:$BE$1463,AP$4+1,0),0)</f>
        <v>0</v>
      </c>
      <c r="AQ537" s="59">
        <f>IFERROR(VLOOKUP($A537,[2]Mssp!$A$5:$BE$1463,AQ$4+1,0),0)</f>
        <v>0</v>
      </c>
      <c r="AR537" s="59">
        <f>IFERROR(VLOOKUP($A537,[2]Mssp!$A$5:$BE$1463,AR$4+1,0),0)</f>
        <v>0</v>
      </c>
      <c r="AS537" s="59">
        <f>IFERROR(VLOOKUP($A537,[2]Mssp!$A$5:$BE$1463,AS$4+1,0),0)</f>
        <v>0</v>
      </c>
      <c r="AT537" s="59">
        <f>IFERROR(VLOOKUP($A537,[2]Mssp!$A$5:$BE$1463,AT$4+1,0),0)</f>
        <v>0</v>
      </c>
      <c r="AU537" s="59">
        <f>IFERROR(VLOOKUP($A537,[2]Mssp!$A$5:$BE$1463,AU$4+1,0),0)</f>
        <v>0</v>
      </c>
      <c r="AV537" s="59">
        <f>IFERROR(VLOOKUP($A537,[2]Mssp!$A$5:$BE$1463,AV$4+1,0),0)</f>
        <v>0</v>
      </c>
      <c r="AW537" s="59">
        <f>IFERROR(VLOOKUP($A537,[2]Mssp!$A$5:$BE$1463,AW$4+1,0),0)</f>
        <v>0</v>
      </c>
      <c r="AX537" s="59">
        <f>IFERROR(VLOOKUP($A537,[2]Mssp!$A$5:$BE$1463,AX$4+1,0),0)</f>
        <v>0</v>
      </c>
      <c r="AY537" s="59">
        <f>IFERROR(VLOOKUP($A537,[2]Mssp!$A$5:$BE$1463,AY$4+2,0),0)</f>
        <v>0</v>
      </c>
      <c r="AZ537" s="59">
        <f>IFERROR(VLOOKUP($A537,[2]Mssp!$A$5:$BE$1463,AZ$4+2,0),0)</f>
        <v>0</v>
      </c>
      <c r="BA537" s="141"/>
      <c r="BB537" s="61" t="s">
        <v>223</v>
      </c>
      <c r="BC537" s="129"/>
      <c r="BD537" s="138"/>
      <c r="BE537" s="131"/>
      <c r="BF537" s="139"/>
      <c r="BG537" s="131"/>
      <c r="BH537" s="139"/>
      <c r="BI537" s="140"/>
      <c r="BJ537" s="139"/>
      <c r="BK537" s="134"/>
      <c r="BL537" s="139"/>
      <c r="BM537" s="131"/>
      <c r="BN537" s="139"/>
      <c r="BO537" s="9"/>
      <c r="BP537" s="139"/>
      <c r="BQ537" s="139"/>
      <c r="BR537" s="139"/>
      <c r="BS537" s="135"/>
      <c r="BT537" s="139"/>
      <c r="BU537" s="131"/>
      <c r="BV537" s="139"/>
      <c r="BW537" s="131"/>
      <c r="BX537" s="139"/>
      <c r="BY537" s="131"/>
      <c r="BZ537" s="139"/>
      <c r="CA537" s="131"/>
      <c r="CB537" s="139"/>
      <c r="CC537" s="131"/>
      <c r="CD537" s="139"/>
      <c r="CE537" s="9"/>
      <c r="CF537" s="9"/>
      <c r="CG537" s="9"/>
      <c r="CH537" s="9"/>
      <c r="CI537" s="9"/>
      <c r="CJ537" s="9"/>
      <c r="CK537" s="9"/>
      <c r="CL537" s="9"/>
      <c r="CM537" s="9"/>
      <c r="CN537" s="9"/>
      <c r="CO537" s="9"/>
      <c r="CP537" s="9"/>
    </row>
    <row r="538" spans="1:94" ht="45" x14ac:dyDescent="0.25">
      <c r="A538" s="127" t="s">
        <v>1737</v>
      </c>
      <c r="B538" s="51" t="s">
        <v>1738</v>
      </c>
      <c r="C538" s="62"/>
      <c r="D538" s="62">
        <v>2</v>
      </c>
      <c r="E538" s="62" t="s">
        <v>131</v>
      </c>
      <c r="F538" s="62">
        <f>6+1</f>
        <v>7</v>
      </c>
      <c r="G538" s="62" t="s">
        <v>530</v>
      </c>
      <c r="H538" s="50" t="e">
        <f>VLOOKUP($A538,'[1]ma sp 02'!$A$5:$BD$1101,H$1,0)</f>
        <v>#REF!</v>
      </c>
      <c r="I538" s="50">
        <f>VLOOKUP($A538,'[1]ma sp 02'!$A$5:$BD$1101,I$1,0)</f>
        <v>4</v>
      </c>
      <c r="J538" s="50">
        <f>VLOOKUP($A538,'[1]ma sp 02'!$A$5:$BD$1101,J$1,0)</f>
        <v>0.08</v>
      </c>
      <c r="K538" s="50">
        <f>VLOOKUP($A538,'[1]ma sp 02'!$A$5:$BD$1101,K$1,0)</f>
        <v>1.5</v>
      </c>
      <c r="L538" s="50">
        <f>VLOOKUP($A538,'[1]ma sp 02'!$A$5:$BD$1101,L$1,0)</f>
        <v>3.5</v>
      </c>
      <c r="M538" s="50">
        <f>VLOOKUP($A538,'[1]ma sp 02'!$A$5:$BD$1101,M$1,0)</f>
        <v>0.7</v>
      </c>
      <c r="N538" s="50">
        <f>VLOOKUP($A538,'[1]ma sp 02'!$A$5:$BD$1101,N$1,0)</f>
        <v>0</v>
      </c>
      <c r="O538" s="50">
        <f>VLOOKUP($A538,'[1]ma sp 02'!$A$5:$BD$1101,O$1,0)</f>
        <v>0.5</v>
      </c>
      <c r="P538" s="50">
        <f>VLOOKUP($A538,'[1]ma sp 02'!$A$5:$BD$1101,P$1,0)</f>
        <v>0.7</v>
      </c>
      <c r="Q538" s="50">
        <f>VLOOKUP($A538,'[1]ma sp 02'!$A$5:$BD$1101,Q$1,0)</f>
        <v>0</v>
      </c>
      <c r="R538" s="50">
        <f>VLOOKUP($A538,'[1]ma sp 02'!$A$5:$BD$1101,R$1,0)</f>
        <v>0</v>
      </c>
      <c r="S538" s="50">
        <f>VLOOKUP($A538,'[1]ma sp 02'!$A$5:$BD$1101,S$1,0)</f>
        <v>0</v>
      </c>
      <c r="T538" s="50">
        <f>VLOOKUP($A538,'[1]ma sp 02'!$A$5:$BD$1101,T$1,0)</f>
        <v>0</v>
      </c>
      <c r="U538" s="50">
        <f>VLOOKUP($A538,'[1]ma sp 02'!$A$5:$BD$1101,U$1,0)</f>
        <v>0</v>
      </c>
      <c r="V538" s="50">
        <f>VLOOKUP($A538,'[1]ma sp 02'!$A$5:$BD$1101,V$1,0)</f>
        <v>0</v>
      </c>
      <c r="W538" s="50">
        <f>VLOOKUP($A538,'[1]ma sp 02'!$A$5:$BD$1101,W$1,0)</f>
        <v>0</v>
      </c>
      <c r="X538" s="50">
        <f t="shared" si="20"/>
        <v>7</v>
      </c>
      <c r="Y538" s="9"/>
      <c r="Z538" s="62"/>
      <c r="AA538" s="62"/>
      <c r="AB538" s="62"/>
      <c r="AC538" s="62"/>
      <c r="AD538" s="62"/>
      <c r="AE538" s="62" t="s">
        <v>1721</v>
      </c>
      <c r="AF538" s="62" t="s">
        <v>1722</v>
      </c>
      <c r="AG538" s="71">
        <f>(0.012*1.4+0.006*2.71+0.06*0.925)*0.62</f>
        <v>5.4907199999999996E-2</v>
      </c>
      <c r="AH538" s="54">
        <f>(2.3/0.75/2)*0.61</f>
        <v>0.93533333333333324</v>
      </c>
      <c r="AI538" s="63">
        <f>(2.3/0.75/2)*0.61</f>
        <v>0.93533333333333324</v>
      </c>
      <c r="AJ538" s="62">
        <v>9530</v>
      </c>
      <c r="AK538" s="62">
        <v>9530</v>
      </c>
      <c r="AL538" s="62" t="s">
        <v>1739</v>
      </c>
      <c r="AM538" s="61" t="s">
        <v>1723</v>
      </c>
      <c r="AN538" s="62">
        <v>250</v>
      </c>
      <c r="AO538" s="61" t="s">
        <v>1724</v>
      </c>
      <c r="AP538" s="59" t="str">
        <f>IFERROR(VLOOKUP($A538,[2]Mssp!$A$5:$BE$1463,AP$4+1,0),0)</f>
        <v>X106021-1</v>
      </c>
      <c r="AQ538" s="59" t="str">
        <f>IFERROR(VLOOKUP($A538,[2]Mssp!$A$5:$BE$1463,AQ$4+1,0),0)</f>
        <v>X106021-2</v>
      </c>
      <c r="AR538" s="59" t="str">
        <f>IFERROR(VLOOKUP($A538,[2]Mssp!$A$5:$BE$1463,AR$4+1,0),0)</f>
        <v>X106021-3</v>
      </c>
      <c r="AS538" s="59" t="str">
        <f>IFERROR(VLOOKUP($A538,[2]Mssp!$A$5:$BE$1463,AS$4+1,0),0)</f>
        <v>X106021-4</v>
      </c>
      <c r="AT538" s="59" t="str">
        <f>IFERROR(VLOOKUP($A538,[2]Mssp!$A$5:$BE$1463,AT$4+1,0),0)</f>
        <v>X106021-5</v>
      </c>
      <c r="AU538" s="59" t="str">
        <f>IFERROR(VLOOKUP($A538,[2]Mssp!$A$5:$BE$1463,AU$4+1,0),0)</f>
        <v>X105890-6</v>
      </c>
      <c r="AV538" s="59" t="str">
        <f>IFERROR(VLOOKUP($A538,[2]Mssp!$A$5:$BE$1463,AV$4+1,0),0)</f>
        <v>X106021G1-0 cam</v>
      </c>
      <c r="AW538" s="59">
        <f>IFERROR(VLOOKUP($A538,[2]Mssp!$A$5:$BE$1463,AW$4+1,0),0)</f>
        <v>0</v>
      </c>
      <c r="AX538" s="59">
        <f>IFERROR(VLOOKUP($A538,[2]Mssp!$A$5:$BE$1463,AX$4+1,0),0)</f>
        <v>0</v>
      </c>
      <c r="AY538" s="59" t="str">
        <f>IFERROR(VLOOKUP($A538,[2]Mssp!$A$5:$BE$1463,AY$4+2,0),0)</f>
        <v>500x860</v>
      </c>
      <c r="AZ538" s="59" t="str">
        <f>IFERROR(VLOOKUP($A538,[2]Mssp!$A$5:$BE$1463,AZ$4+2,0),0)</f>
        <v>A2</v>
      </c>
      <c r="BA538" s="141"/>
      <c r="BB538" s="61" t="s">
        <v>223</v>
      </c>
      <c r="BC538" s="129"/>
      <c r="BD538" s="138"/>
      <c r="BE538" s="131"/>
      <c r="BF538" s="139"/>
      <c r="BG538" s="131"/>
      <c r="BH538" s="139"/>
      <c r="BI538" s="140"/>
      <c r="BJ538" s="139"/>
      <c r="BK538" s="134"/>
      <c r="BL538" s="139"/>
      <c r="BM538" s="131"/>
      <c r="BN538" s="139"/>
      <c r="BO538" s="9"/>
      <c r="BP538" s="139"/>
      <c r="BQ538" s="139"/>
      <c r="BR538" s="139"/>
      <c r="BS538" s="135"/>
      <c r="BT538" s="139"/>
      <c r="BU538" s="131"/>
      <c r="BV538" s="139"/>
      <c r="BW538" s="131"/>
      <c r="BX538" s="139"/>
      <c r="BY538" s="131"/>
      <c r="BZ538" s="139"/>
      <c r="CA538" s="131"/>
      <c r="CB538" s="139"/>
      <c r="CC538" s="131"/>
      <c r="CD538" s="139"/>
      <c r="CE538" s="9"/>
      <c r="CF538" s="9"/>
      <c r="CG538" s="9"/>
      <c r="CH538" s="9"/>
      <c r="CI538" s="9"/>
      <c r="CJ538" s="9"/>
      <c r="CK538" s="9"/>
      <c r="CL538" s="9"/>
      <c r="CM538" s="9"/>
      <c r="CN538" s="9"/>
      <c r="CO538" s="9"/>
      <c r="CP538" s="9"/>
    </row>
    <row r="539" spans="1:94" ht="30" x14ac:dyDescent="0.25">
      <c r="A539" s="127" t="s">
        <v>1740</v>
      </c>
      <c r="B539" s="51" t="s">
        <v>1741</v>
      </c>
      <c r="C539" s="62"/>
      <c r="D539" s="62">
        <v>4</v>
      </c>
      <c r="E539" s="62" t="s">
        <v>90</v>
      </c>
      <c r="F539" s="62">
        <v>8</v>
      </c>
      <c r="G539" s="62" t="s">
        <v>184</v>
      </c>
      <c r="H539" s="50">
        <f>VLOOKUP($A539,'[1]ma sp 02'!$A$5:$BD$1101,H$1,0)</f>
        <v>0.08</v>
      </c>
      <c r="I539" s="50">
        <f>VLOOKUP($A539,'[1]ma sp 02'!$A$5:$BD$1101,I$1,0)</f>
        <v>3.2</v>
      </c>
      <c r="J539" s="50">
        <f>VLOOKUP($A539,'[1]ma sp 02'!$A$5:$BD$1101,J$1,0)</f>
        <v>0.06</v>
      </c>
      <c r="K539" s="50">
        <f>VLOOKUP($A539,'[1]ma sp 02'!$A$5:$BD$1101,K$1,0)</f>
        <v>0.03</v>
      </c>
      <c r="L539" s="50">
        <f>VLOOKUP($A539,'[1]ma sp 02'!$A$5:$BD$1101,L$1,0)</f>
        <v>1.18</v>
      </c>
      <c r="M539" s="50">
        <f>VLOOKUP($A539,'[1]ma sp 02'!$A$5:$BD$1101,M$1,0)</f>
        <v>0.83</v>
      </c>
      <c r="N539" s="50">
        <f>VLOOKUP($A539,'[1]ma sp 02'!$A$5:$BD$1101,N$1,0)</f>
        <v>0</v>
      </c>
      <c r="O539" s="50">
        <f>VLOOKUP($A539,'[1]ma sp 02'!$A$5:$BD$1101,O$1,0)</f>
        <v>0.08</v>
      </c>
      <c r="P539" s="50">
        <f>VLOOKUP($A539,'[1]ma sp 02'!$A$5:$BD$1101,P$1,0)</f>
        <v>0.5</v>
      </c>
      <c r="Q539" s="50">
        <f>VLOOKUP($A539,'[1]ma sp 02'!$A$5:$BD$1101,Q$1,0)</f>
        <v>0.16</v>
      </c>
      <c r="R539" s="50">
        <f>VLOOKUP($A539,'[1]ma sp 02'!$A$5:$BD$1101,R$1,0)</f>
        <v>0.12</v>
      </c>
      <c r="S539" s="50">
        <f>VLOOKUP($A539,'[1]ma sp 02'!$A$5:$BD$1101,S$1,0)</f>
        <v>0</v>
      </c>
      <c r="T539" s="50">
        <f>VLOOKUP($A539,'[1]ma sp 02'!$A$5:$BD$1101,T$1,0)</f>
        <v>0</v>
      </c>
      <c r="U539" s="50">
        <f>VLOOKUP($A539,'[1]ma sp 02'!$A$5:$BD$1101,U$1,0)</f>
        <v>0</v>
      </c>
      <c r="V539" s="50">
        <f>VLOOKUP($A539,'[1]ma sp 02'!$A$5:$BD$1101,V$1,0)</f>
        <v>0</v>
      </c>
      <c r="W539" s="50">
        <f>VLOOKUP($A539,'[1]ma sp 02'!$A$5:$BD$1101,W$1,0)</f>
        <v>0</v>
      </c>
      <c r="X539" s="50">
        <f t="shared" si="20"/>
        <v>10</v>
      </c>
      <c r="Y539" s="9"/>
      <c r="Z539" s="9"/>
      <c r="AA539" s="9"/>
      <c r="AB539" s="9"/>
      <c r="AC539" s="9"/>
      <c r="AD539" s="9"/>
      <c r="AE539" s="9" t="s">
        <v>91</v>
      </c>
      <c r="AF539" s="9"/>
      <c r="AG539" s="71">
        <f>(0.02*0.91+0.025*0.91)*0.7</f>
        <v>2.8665E-2</v>
      </c>
      <c r="AH539" s="54">
        <f>(2.3/0.75/2)*0.69</f>
        <v>1.0579999999999998</v>
      </c>
      <c r="AI539" s="152"/>
      <c r="AJ539" s="9">
        <v>9530</v>
      </c>
      <c r="AK539" s="9"/>
      <c r="AL539" s="9">
        <v>2.3E-3</v>
      </c>
      <c r="AM539" s="69" t="s">
        <v>1489</v>
      </c>
      <c r="AN539" s="9">
        <v>1000</v>
      </c>
      <c r="AO539" s="69" t="s">
        <v>1742</v>
      </c>
      <c r="AP539" s="59" t="str">
        <f>IFERROR(VLOOKUP($A539,[2]Mssp!$A$5:$BE$1463,AP$4+1,0),0)</f>
        <v>F121164-1</v>
      </c>
      <c r="AQ539" s="59" t="str">
        <f>IFERROR(VLOOKUP($A539,[2]Mssp!$A$5:$BE$1463,AQ$4+1,0),0)</f>
        <v>F121164-2</v>
      </c>
      <c r="AR539" s="59" t="str">
        <f>IFERROR(VLOOKUP($A539,[2]Mssp!$A$5:$BE$1463,AR$4+1,0),0)</f>
        <v>F121164G4NG2-3</v>
      </c>
      <c r="AS539" s="59" t="str">
        <f>IFERROR(VLOOKUP($A539,[2]Mssp!$A$5:$BE$1463,AS$4+1,0),0)</f>
        <v>F121164-4</v>
      </c>
      <c r="AT539" s="59" t="str">
        <f>IFERROR(VLOOKUP($A539,[2]Mssp!$A$5:$BE$1463,AT$4+1,0),0)</f>
        <v>F121164G4-5</v>
      </c>
      <c r="AU539" s="59" t="str">
        <f>IFERROR(VLOOKUP($A539,[2]Mssp!$A$5:$BE$1463,AU$4+1,0),0)</f>
        <v>F121164-6</v>
      </c>
      <c r="AV539" s="59" t="str">
        <f>IFERROR(VLOOKUP($A539,[2]Mssp!$A$5:$BE$1463,AV$4+1,0),0)</f>
        <v>F121164G3-7</v>
      </c>
      <c r="AW539" s="59" t="str">
        <f>IFERROR(VLOOKUP($A539,[2]Mssp!$A$5:$BE$1463,AW$4+1,0),0)</f>
        <v>F121164G1-0</v>
      </c>
      <c r="AX539" s="59">
        <f>IFERROR(VLOOKUP($A539,[2]Mssp!$A$5:$BE$1463,AX$4+1,0),0)</f>
        <v>0</v>
      </c>
      <c r="AY539" s="59" t="str">
        <f>IFERROR(VLOOKUP($A539,[2]Mssp!$A$5:$BE$1463,AY$4+2,0),0)</f>
        <v>500x870</v>
      </c>
      <c r="AZ539" s="59" t="str">
        <f>IFERROR(VLOOKUP($A539,[2]Mssp!$A$5:$BE$1463,AZ$4+2,0),0)</f>
        <v>B1</v>
      </c>
      <c r="BA539" s="141"/>
      <c r="BB539" s="61" t="s">
        <v>223</v>
      </c>
      <c r="BC539" s="129"/>
      <c r="BD539" s="138"/>
      <c r="BE539" s="131"/>
      <c r="BF539" s="139"/>
      <c r="BG539" s="131"/>
      <c r="BH539" s="139"/>
      <c r="BI539" s="140"/>
      <c r="BJ539" s="139"/>
      <c r="BK539" s="134"/>
      <c r="BL539" s="139"/>
      <c r="BM539" s="131"/>
      <c r="BN539" s="139"/>
      <c r="BO539" s="9"/>
      <c r="BP539" s="139"/>
      <c r="BQ539" s="139"/>
      <c r="BR539" s="139"/>
      <c r="BS539" s="135"/>
      <c r="BT539" s="139"/>
      <c r="BU539" s="131"/>
      <c r="BV539" s="139"/>
      <c r="BW539" s="131"/>
      <c r="BX539" s="139"/>
      <c r="BY539" s="131"/>
      <c r="BZ539" s="139"/>
      <c r="CA539" s="131"/>
      <c r="CB539" s="139"/>
      <c r="CC539" s="131"/>
      <c r="CD539" s="139"/>
      <c r="CE539" s="9"/>
      <c r="CF539" s="9"/>
      <c r="CG539" s="9"/>
      <c r="CH539" s="9"/>
      <c r="CI539" s="9"/>
      <c r="CJ539" s="9"/>
      <c r="CK539" s="9"/>
      <c r="CL539" s="9"/>
      <c r="CM539" s="9"/>
      <c r="CN539" s="9"/>
      <c r="CO539" s="9"/>
      <c r="CP539" s="9"/>
    </row>
    <row r="540" spans="1:94" ht="45" x14ac:dyDescent="0.25">
      <c r="A540" s="127" t="s">
        <v>1743</v>
      </c>
      <c r="B540" s="51" t="s">
        <v>1744</v>
      </c>
      <c r="C540" s="62"/>
      <c r="D540" s="62">
        <v>2</v>
      </c>
      <c r="E540" s="62" t="s">
        <v>1745</v>
      </c>
      <c r="F540" s="62">
        <v>7</v>
      </c>
      <c r="G540" s="62" t="s">
        <v>184</v>
      </c>
      <c r="H540" s="50">
        <f>VLOOKUP($A540,'[1]ma sp 02'!$A$5:$BD$1101,H$1,0)</f>
        <v>0.19</v>
      </c>
      <c r="I540" s="50">
        <f>VLOOKUP($A540,'[1]ma sp 02'!$A$5:$BD$1101,I$1,0)</f>
        <v>5.28</v>
      </c>
      <c r="J540" s="50">
        <f>VLOOKUP($A540,'[1]ma sp 02'!$A$5:$BD$1101,J$1,0)</f>
        <v>0.14000000000000001</v>
      </c>
      <c r="K540" s="50">
        <f>VLOOKUP($A540,'[1]ma sp 02'!$A$5:$BD$1101,K$1,0)</f>
        <v>0.38</v>
      </c>
      <c r="L540" s="50">
        <f>VLOOKUP($A540,'[1]ma sp 02'!$A$5:$BD$1101,L$1,0)</f>
        <v>2.81</v>
      </c>
      <c r="M540" s="50">
        <f>VLOOKUP($A540,'[1]ma sp 02'!$A$5:$BD$1101,M$1,0)</f>
        <v>0.56999999999999995</v>
      </c>
      <c r="N540" s="50">
        <f>VLOOKUP($A540,'[1]ma sp 02'!$A$5:$BD$1101,N$1,0)</f>
        <v>0</v>
      </c>
      <c r="O540" s="50">
        <f>VLOOKUP($A540,'[1]ma sp 02'!$A$5:$BD$1101,O$1,0)</f>
        <v>0.24</v>
      </c>
      <c r="P540" s="50">
        <f>VLOOKUP($A540,'[1]ma sp 02'!$A$5:$BD$1101,P$1,0)</f>
        <v>0</v>
      </c>
      <c r="Q540" s="50">
        <f>VLOOKUP($A540,'[1]ma sp 02'!$A$5:$BD$1101,Q$1,0)</f>
        <v>0.52</v>
      </c>
      <c r="R540" s="50">
        <f>VLOOKUP($A540,'[1]ma sp 02'!$A$5:$BD$1101,R$1,0)</f>
        <v>0</v>
      </c>
      <c r="S540" s="50">
        <f>VLOOKUP($A540,'[1]ma sp 02'!$A$5:$BD$1101,S$1,0)</f>
        <v>0</v>
      </c>
      <c r="T540" s="50">
        <f>VLOOKUP($A540,'[1]ma sp 02'!$A$5:$BD$1101,T$1,0)</f>
        <v>0</v>
      </c>
      <c r="U540" s="50">
        <f>VLOOKUP($A540,'[1]ma sp 02'!$A$5:$BD$1101,U$1,0)</f>
        <v>0</v>
      </c>
      <c r="V540" s="50">
        <f>VLOOKUP($A540,'[1]ma sp 02'!$A$5:$BD$1101,V$1,0)</f>
        <v>0</v>
      </c>
      <c r="W540" s="50">
        <f>VLOOKUP($A540,'[1]ma sp 02'!$A$5:$BD$1101,W$1,0)</f>
        <v>0</v>
      </c>
      <c r="X540" s="50">
        <f t="shared" si="20"/>
        <v>8</v>
      </c>
      <c r="Y540" s="9"/>
      <c r="Z540" s="62"/>
      <c r="AA540" s="62"/>
      <c r="AB540" s="62"/>
      <c r="AC540" s="62"/>
      <c r="AD540" s="62"/>
      <c r="AE540" s="62" t="s">
        <v>1746</v>
      </c>
      <c r="AF540" s="62" t="s">
        <v>1747</v>
      </c>
      <c r="AG540" s="71">
        <f>(0.02*0.91+0.012*0.91+0.06*0.925)*0.96</f>
        <v>8.1235199999999994E-2</v>
      </c>
      <c r="AH540" s="54">
        <f t="shared" ref="AH540:AI542" si="21">(2.3/0.75/2)*0.95</f>
        <v>1.4566666666666666</v>
      </c>
      <c r="AI540" s="63">
        <f t="shared" si="21"/>
        <v>1.4566666666666666</v>
      </c>
      <c r="AJ540" s="62">
        <v>9530</v>
      </c>
      <c r="AK540" s="62">
        <v>9530</v>
      </c>
      <c r="AL540" s="61" t="s">
        <v>1700</v>
      </c>
      <c r="AM540" s="61" t="s">
        <v>128</v>
      </c>
      <c r="AN540" s="62">
        <v>340</v>
      </c>
      <c r="AO540" s="61" t="s">
        <v>1724</v>
      </c>
      <c r="AP540" s="59" t="str">
        <f>IFERROR(VLOOKUP($A540,[2]Mssp!$A$5:$BE$1463,AP$4+1,0),0)</f>
        <v>F123477-1</v>
      </c>
      <c r="AQ540" s="59" t="str">
        <f>IFERROR(VLOOKUP($A540,[2]Mssp!$A$5:$BE$1463,AQ$4+1,0),0)</f>
        <v>F123477-2</v>
      </c>
      <c r="AR540" s="59" t="str">
        <f>IFERROR(VLOOKUP($A540,[2]Mssp!$A$5:$BE$1463,AR$4+1,0),0)</f>
        <v>F123477-3</v>
      </c>
      <c r="AS540" s="59" t="str">
        <f>IFERROR(VLOOKUP($A540,[2]Mssp!$A$5:$BE$1463,AS$4+1,0),0)</f>
        <v>F123477-4</v>
      </c>
      <c r="AT540" s="59" t="str">
        <f>IFERROR(VLOOKUP($A540,[2]Mssp!$A$5:$BE$1463,AT$4+1,0),0)</f>
        <v>F123477-5</v>
      </c>
      <c r="AU540" s="59" t="str">
        <f>IFERROR(VLOOKUP($A540,[2]Mssp!$A$5:$BE$1463,AU$4+1,0),0)</f>
        <v>F123477-6</v>
      </c>
      <c r="AV540" s="59" t="str">
        <f>IFERROR(VLOOKUP($A540,[2]Mssp!$A$5:$BE$1463,AV$4+1,0),0)</f>
        <v>F122947-7</v>
      </c>
      <c r="AW540" s="59">
        <f>IFERROR(VLOOKUP($A540,[2]Mssp!$A$5:$BE$1463,AW$4+1,0),0)</f>
        <v>0</v>
      </c>
      <c r="AX540" s="59">
        <f>IFERROR(VLOOKUP($A540,[2]Mssp!$A$5:$BE$1463,AX$4+1,0),0)</f>
        <v>0</v>
      </c>
      <c r="AY540" s="59" t="str">
        <f>IFERROR(VLOOKUP($A540,[2]Mssp!$A$5:$BE$1463,AY$4+2,0),0)</f>
        <v>680x1100</v>
      </c>
      <c r="AZ540" s="59" t="str">
        <f>IFERROR(VLOOKUP($A540,[2]Mssp!$A$5:$BE$1463,AZ$4+2,0),0)</f>
        <v>A2</v>
      </c>
      <c r="BA540" s="141">
        <v>2000</v>
      </c>
      <c r="BB540" s="61" t="s">
        <v>223</v>
      </c>
      <c r="BC540" s="129"/>
      <c r="BD540" s="138"/>
      <c r="BE540" s="131"/>
      <c r="BF540" s="139"/>
      <c r="BG540" s="131"/>
      <c r="BH540" s="139"/>
      <c r="BI540" s="140"/>
      <c r="BJ540" s="139"/>
      <c r="BK540" s="134"/>
      <c r="BL540" s="139"/>
      <c r="BM540" s="131"/>
      <c r="BN540" s="139"/>
      <c r="BO540" s="9"/>
      <c r="BP540" s="139"/>
      <c r="BQ540" s="139"/>
      <c r="BR540" s="139"/>
      <c r="BS540" s="135"/>
      <c r="BT540" s="139"/>
      <c r="BU540" s="131"/>
      <c r="BV540" s="139"/>
      <c r="BW540" s="131"/>
      <c r="BX540" s="139"/>
      <c r="BY540" s="131"/>
      <c r="BZ540" s="139"/>
      <c r="CA540" s="131"/>
      <c r="CB540" s="139"/>
      <c r="CC540" s="131"/>
      <c r="CD540" s="139"/>
      <c r="CE540" s="9"/>
      <c r="CF540" s="9"/>
      <c r="CG540" s="9"/>
      <c r="CH540" s="9"/>
      <c r="CI540" s="9"/>
      <c r="CJ540" s="9"/>
      <c r="CK540" s="9"/>
      <c r="CL540" s="9"/>
      <c r="CM540" s="9"/>
      <c r="CN540" s="9"/>
      <c r="CO540" s="9"/>
      <c r="CP540" s="9"/>
    </row>
    <row r="541" spans="1:94" ht="45" x14ac:dyDescent="0.25">
      <c r="A541" s="127" t="s">
        <v>1748</v>
      </c>
      <c r="B541" s="51" t="s">
        <v>1749</v>
      </c>
      <c r="C541" s="62"/>
      <c r="D541" s="62">
        <v>2</v>
      </c>
      <c r="E541" s="62" t="s">
        <v>1745</v>
      </c>
      <c r="F541" s="62">
        <v>7</v>
      </c>
      <c r="G541" s="62" t="s">
        <v>184</v>
      </c>
      <c r="H541" s="50">
        <f>VLOOKUP($A541,'[1]ma sp 02'!$A$5:$BD$1101,H$1,0)</f>
        <v>0.19</v>
      </c>
      <c r="I541" s="50">
        <f>VLOOKUP($A541,'[1]ma sp 02'!$A$5:$BD$1101,I$1,0)</f>
        <v>5.14</v>
      </c>
      <c r="J541" s="50">
        <f>VLOOKUP($A541,'[1]ma sp 02'!$A$5:$BD$1101,J$1,0)</f>
        <v>0.09</v>
      </c>
      <c r="K541" s="50">
        <f>VLOOKUP($A541,'[1]ma sp 02'!$A$5:$BD$1101,K$1,0)</f>
        <v>0.37</v>
      </c>
      <c r="L541" s="50">
        <f>VLOOKUP($A541,'[1]ma sp 02'!$A$5:$BD$1101,L$1,0)</f>
        <v>2.76</v>
      </c>
      <c r="M541" s="50">
        <f>VLOOKUP($A541,'[1]ma sp 02'!$A$5:$BD$1101,M$1,0)</f>
        <v>0.56000000000000005</v>
      </c>
      <c r="N541" s="50">
        <f>VLOOKUP($A541,'[1]ma sp 02'!$A$5:$BD$1101,N$1,0)</f>
        <v>0</v>
      </c>
      <c r="O541" s="50">
        <f>VLOOKUP($A541,'[1]ma sp 02'!$A$5:$BD$1101,O$1,0)</f>
        <v>0.01</v>
      </c>
      <c r="P541" s="50">
        <f>VLOOKUP($A541,'[1]ma sp 02'!$A$5:$BD$1101,P$1,0)</f>
        <v>0.14000000000000001</v>
      </c>
      <c r="Q541" s="50">
        <f>VLOOKUP($A541,'[1]ma sp 02'!$A$5:$BD$1101,Q$1,0)</f>
        <v>0.09</v>
      </c>
      <c r="R541" s="50">
        <f>VLOOKUP($A541,'[1]ma sp 02'!$A$5:$BD$1101,R$1,0)</f>
        <v>0</v>
      </c>
      <c r="S541" s="50">
        <f>VLOOKUP($A541,'[1]ma sp 02'!$A$5:$BD$1101,S$1,0)</f>
        <v>0</v>
      </c>
      <c r="T541" s="50">
        <f>VLOOKUP($A541,'[1]ma sp 02'!$A$5:$BD$1101,T$1,0)</f>
        <v>0</v>
      </c>
      <c r="U541" s="50">
        <f>VLOOKUP($A541,'[1]ma sp 02'!$A$5:$BD$1101,U$1,0)</f>
        <v>0</v>
      </c>
      <c r="V541" s="50">
        <f>VLOOKUP($A541,'[1]ma sp 02'!$A$5:$BD$1101,V$1,0)</f>
        <v>0</v>
      </c>
      <c r="W541" s="50">
        <f>VLOOKUP($A541,'[1]ma sp 02'!$A$5:$BD$1101,W$1,0)</f>
        <v>0</v>
      </c>
      <c r="X541" s="50">
        <f t="shared" si="20"/>
        <v>9</v>
      </c>
      <c r="Y541" s="9"/>
      <c r="Z541" s="62"/>
      <c r="AA541" s="62"/>
      <c r="AB541" s="62"/>
      <c r="AC541" s="62"/>
      <c r="AD541" s="62"/>
      <c r="AE541" s="62" t="s">
        <v>1746</v>
      </c>
      <c r="AF541" s="62" t="s">
        <v>1747</v>
      </c>
      <c r="AG541" s="71">
        <f>(0.02*0.91+0.012*0.91+0.06*0.925)*0.96</f>
        <v>8.1235199999999994E-2</v>
      </c>
      <c r="AH541" s="54">
        <f t="shared" si="21"/>
        <v>1.4566666666666666</v>
      </c>
      <c r="AI541" s="63">
        <f t="shared" si="21"/>
        <v>1.4566666666666666</v>
      </c>
      <c r="AJ541" s="62">
        <v>9530</v>
      </c>
      <c r="AK541" s="62">
        <v>9530</v>
      </c>
      <c r="AL541" s="61" t="s">
        <v>1700</v>
      </c>
      <c r="AM541" s="61" t="s">
        <v>128</v>
      </c>
      <c r="AN541" s="62">
        <v>340</v>
      </c>
      <c r="AO541" s="61" t="s">
        <v>1724</v>
      </c>
      <c r="AP541" s="59" t="str">
        <f>IFERROR(VLOOKUP($A541,[2]Mssp!$A$5:$BE$1463,AP$4+1,0),0)</f>
        <v>F123473-1</v>
      </c>
      <c r="AQ541" s="59" t="str">
        <f>IFERROR(VLOOKUP($A541,[2]Mssp!$A$5:$BE$1463,AQ$4+1,0),0)</f>
        <v>F123473-2</v>
      </c>
      <c r="AR541" s="59" t="str">
        <f>IFERROR(VLOOKUP($A541,[2]Mssp!$A$5:$BE$1463,AR$4+1,0),0)</f>
        <v>F123473-3</v>
      </c>
      <c r="AS541" s="59" t="str">
        <f>IFERROR(VLOOKUP($A541,[2]Mssp!$A$5:$BE$1463,AS$4+1,0),0)</f>
        <v>F123473-4</v>
      </c>
      <c r="AT541" s="59" t="str">
        <f>IFERROR(VLOOKUP($A541,[2]Mssp!$A$5:$BE$1463,AT$4+1,0),0)</f>
        <v>F123473-5</v>
      </c>
      <c r="AU541" s="59" t="str">
        <f>IFERROR(VLOOKUP($A541,[2]Mssp!$A$5:$BE$1463,AU$4+1,0),0)</f>
        <v>F123473-6</v>
      </c>
      <c r="AV541" s="59" t="str">
        <f>IFERROR(VLOOKUP($A541,[2]Mssp!$A$5:$BE$1463,AV$4+1,0),0)</f>
        <v>F122947-7</v>
      </c>
      <c r="AW541" s="59">
        <f>IFERROR(VLOOKUP($A541,[2]Mssp!$A$5:$BE$1463,AW$4+1,0),0)</f>
        <v>0</v>
      </c>
      <c r="AX541" s="59">
        <f>IFERROR(VLOOKUP($A541,[2]Mssp!$A$5:$BE$1463,AX$4+1,0),0)</f>
        <v>0</v>
      </c>
      <c r="AY541" s="59" t="str">
        <f>IFERROR(VLOOKUP($A541,[2]Mssp!$A$5:$BE$1463,AY$4+2,0),0)</f>
        <v>680x1100</v>
      </c>
      <c r="AZ541" s="59" t="str">
        <f>IFERROR(VLOOKUP($A541,[2]Mssp!$A$5:$BE$1463,AZ$4+2,0),0)</f>
        <v>A2</v>
      </c>
      <c r="BA541" s="141"/>
      <c r="BB541" s="61" t="s">
        <v>223</v>
      </c>
      <c r="BC541" s="129"/>
      <c r="BD541" s="138"/>
      <c r="BE541" s="131"/>
      <c r="BF541" s="139"/>
      <c r="BG541" s="131"/>
      <c r="BH541" s="139"/>
      <c r="BI541" s="140"/>
      <c r="BJ541" s="139"/>
      <c r="BK541" s="134"/>
      <c r="BL541" s="139"/>
      <c r="BM541" s="131"/>
      <c r="BN541" s="139"/>
      <c r="BO541" s="9"/>
      <c r="BP541" s="139"/>
      <c r="BQ541" s="139"/>
      <c r="BR541" s="139"/>
      <c r="BS541" s="135"/>
      <c r="BT541" s="139"/>
      <c r="BU541" s="131"/>
      <c r="BV541" s="139"/>
      <c r="BW541" s="131"/>
      <c r="BX541" s="139"/>
      <c r="BY541" s="131"/>
      <c r="BZ541" s="139"/>
      <c r="CA541" s="131"/>
      <c r="CB541" s="139"/>
      <c r="CC541" s="131"/>
      <c r="CD541" s="139"/>
      <c r="CE541" s="9"/>
      <c r="CF541" s="9"/>
      <c r="CG541" s="9"/>
      <c r="CH541" s="9"/>
      <c r="CI541" s="9"/>
      <c r="CJ541" s="9"/>
      <c r="CK541" s="9"/>
      <c r="CL541" s="9"/>
      <c r="CM541" s="9"/>
      <c r="CN541" s="9"/>
      <c r="CO541" s="9"/>
      <c r="CP541" s="9"/>
    </row>
    <row r="542" spans="1:94" ht="45" x14ac:dyDescent="0.25">
      <c r="A542" s="127" t="s">
        <v>1750</v>
      </c>
      <c r="B542" s="51" t="s">
        <v>1751</v>
      </c>
      <c r="C542" s="62"/>
      <c r="D542" s="62">
        <v>2</v>
      </c>
      <c r="E542" s="62" t="s">
        <v>1745</v>
      </c>
      <c r="F542" s="62">
        <v>6</v>
      </c>
      <c r="G542" s="62" t="s">
        <v>184</v>
      </c>
      <c r="H542" s="50">
        <f>VLOOKUP($A542,'[1]ma sp 02'!$A$5:$BD$1101,H$1,0)</f>
        <v>0.01</v>
      </c>
      <c r="I542" s="50">
        <f>VLOOKUP($A542,'[1]ma sp 02'!$A$5:$BD$1101,I$1,0)</f>
        <v>5.18</v>
      </c>
      <c r="J542" s="50">
        <f>VLOOKUP($A542,'[1]ma sp 02'!$A$5:$BD$1101,J$1,0)</f>
        <v>0.01</v>
      </c>
      <c r="K542" s="50">
        <f>VLOOKUP($A542,'[1]ma sp 02'!$A$5:$BD$1101,K$1,0)</f>
        <v>0.28000000000000003</v>
      </c>
      <c r="L542" s="50">
        <f>VLOOKUP($A542,'[1]ma sp 02'!$A$5:$BD$1101,L$1,0)</f>
        <v>2.21</v>
      </c>
      <c r="M542" s="50">
        <f>VLOOKUP($A542,'[1]ma sp 02'!$A$5:$BD$1101,M$1,0)</f>
        <v>0.75</v>
      </c>
      <c r="N542" s="50">
        <f>VLOOKUP($A542,'[1]ma sp 02'!$A$5:$BD$1101,N$1,0)</f>
        <v>0</v>
      </c>
      <c r="O542" s="50">
        <f>VLOOKUP($A542,'[1]ma sp 02'!$A$5:$BD$1101,O$1,0)</f>
        <v>0</v>
      </c>
      <c r="P542" s="50">
        <f>VLOOKUP($A542,'[1]ma sp 02'!$A$5:$BD$1101,P$1,0)</f>
        <v>0.85</v>
      </c>
      <c r="Q542" s="50">
        <f>VLOOKUP($A542,'[1]ma sp 02'!$A$5:$BD$1101,Q$1,0)</f>
        <v>0.9</v>
      </c>
      <c r="R542" s="50">
        <f>VLOOKUP($A542,'[1]ma sp 02'!$A$5:$BD$1101,R$1,0)</f>
        <v>0</v>
      </c>
      <c r="S542" s="50">
        <f>VLOOKUP($A542,'[1]ma sp 02'!$A$5:$BD$1101,S$1,0)</f>
        <v>0</v>
      </c>
      <c r="T542" s="50">
        <f>VLOOKUP($A542,'[1]ma sp 02'!$A$5:$BD$1101,T$1,0)</f>
        <v>0</v>
      </c>
      <c r="U542" s="50">
        <f>VLOOKUP($A542,'[1]ma sp 02'!$A$5:$BD$1101,U$1,0)</f>
        <v>0</v>
      </c>
      <c r="V542" s="50">
        <f>VLOOKUP($A542,'[1]ma sp 02'!$A$5:$BD$1101,V$1,0)</f>
        <v>0</v>
      </c>
      <c r="W542" s="50">
        <f>VLOOKUP($A542,'[1]ma sp 02'!$A$5:$BD$1101,W$1,0)</f>
        <v>0</v>
      </c>
      <c r="X542" s="50">
        <f t="shared" si="20"/>
        <v>8</v>
      </c>
      <c r="Y542" s="9"/>
      <c r="Z542" s="62"/>
      <c r="AA542" s="62"/>
      <c r="AB542" s="62"/>
      <c r="AC542" s="62"/>
      <c r="AD542" s="62"/>
      <c r="AE542" s="62" t="s">
        <v>1746</v>
      </c>
      <c r="AF542" s="62" t="s">
        <v>1747</v>
      </c>
      <c r="AG542" s="71">
        <f>(0.02*0.91+0.012*0.91+0.06*0.925)*0.96</f>
        <v>8.1235199999999994E-2</v>
      </c>
      <c r="AH542" s="54">
        <f t="shared" si="21"/>
        <v>1.4566666666666666</v>
      </c>
      <c r="AI542" s="63">
        <f t="shared" si="21"/>
        <v>1.4566666666666666</v>
      </c>
      <c r="AJ542" s="62">
        <v>9530</v>
      </c>
      <c r="AK542" s="62">
        <v>9530</v>
      </c>
      <c r="AL542" s="61" t="s">
        <v>1700</v>
      </c>
      <c r="AM542" s="61" t="s">
        <v>128</v>
      </c>
      <c r="AN542" s="62">
        <v>340</v>
      </c>
      <c r="AO542" s="61" t="s">
        <v>1724</v>
      </c>
      <c r="AP542" s="59">
        <f>IFERROR(VLOOKUP($A542,[2]Mssp!$A$5:$BE$1463,AP$4+1,0),0)</f>
        <v>0</v>
      </c>
      <c r="AQ542" s="59" t="str">
        <f>IFERROR(VLOOKUP($A542,[2]Mssp!$A$5:$BE$1463,AQ$4+1,0),0)</f>
        <v>F122947-2</v>
      </c>
      <c r="AR542" s="59" t="str">
        <f>IFERROR(VLOOKUP($A542,[2]Mssp!$A$5:$BE$1463,AR$4+1,0),0)</f>
        <v>F122947-3</v>
      </c>
      <c r="AS542" s="59" t="str">
        <f>IFERROR(VLOOKUP($A542,[2]Mssp!$A$5:$BE$1463,AS$4+1,0),0)</f>
        <v>F122947-4</v>
      </c>
      <c r="AT542" s="59" t="str">
        <f>IFERROR(VLOOKUP($A542,[2]Mssp!$A$5:$BE$1463,AT$4+1,0),0)</f>
        <v>F122947-5</v>
      </c>
      <c r="AU542" s="59" t="str">
        <f>IFERROR(VLOOKUP($A542,[2]Mssp!$A$5:$BE$1463,AU$4+1,0),0)</f>
        <v>F122947-6</v>
      </c>
      <c r="AV542" s="59" t="str">
        <f>IFERROR(VLOOKUP($A542,[2]Mssp!$A$5:$BE$1463,AV$4+1,0),0)</f>
        <v>F122947-7</v>
      </c>
      <c r="AW542" s="59">
        <f>IFERROR(VLOOKUP($A542,[2]Mssp!$A$5:$BE$1463,AW$4+1,0),0)</f>
        <v>0</v>
      </c>
      <c r="AX542" s="59">
        <f>IFERROR(VLOOKUP($A542,[2]Mssp!$A$5:$BE$1463,AX$4+1,0),0)</f>
        <v>0</v>
      </c>
      <c r="AY542" s="59" t="str">
        <f>IFERROR(VLOOKUP($A542,[2]Mssp!$A$5:$BE$1463,AY$4+2,0),0)</f>
        <v>680x1100</v>
      </c>
      <c r="AZ542" s="59" t="str">
        <f>IFERROR(VLOOKUP($A542,[2]Mssp!$A$5:$BE$1463,AZ$4+2,0),0)</f>
        <v>A2</v>
      </c>
      <c r="BA542" s="141"/>
      <c r="BB542" s="61" t="s">
        <v>223</v>
      </c>
      <c r="BC542" s="129"/>
      <c r="BD542" s="138"/>
      <c r="BE542" s="131"/>
      <c r="BF542" s="139"/>
      <c r="BG542" s="131"/>
      <c r="BH542" s="139"/>
      <c r="BI542" s="140"/>
      <c r="BJ542" s="139"/>
      <c r="BK542" s="134"/>
      <c r="BL542" s="139"/>
      <c r="BM542" s="131"/>
      <c r="BN542" s="139"/>
      <c r="BO542" s="9"/>
      <c r="BP542" s="139"/>
      <c r="BQ542" s="139"/>
      <c r="BR542" s="139"/>
      <c r="BS542" s="135"/>
      <c r="BT542" s="139"/>
      <c r="BU542" s="131"/>
      <c r="BV542" s="139"/>
      <c r="BW542" s="131"/>
      <c r="BX542" s="139"/>
      <c r="BY542" s="131"/>
      <c r="BZ542" s="139"/>
      <c r="CA542" s="131"/>
      <c r="CB542" s="139"/>
      <c r="CC542" s="131"/>
      <c r="CD542" s="139"/>
      <c r="CE542" s="9"/>
      <c r="CF542" s="9"/>
      <c r="CG542" s="9"/>
      <c r="CH542" s="9"/>
      <c r="CI542" s="9"/>
      <c r="CJ542" s="9"/>
      <c r="CK542" s="9"/>
      <c r="CL542" s="9"/>
      <c r="CM542" s="9"/>
      <c r="CN542" s="9"/>
      <c r="CO542" s="9"/>
      <c r="CP542" s="9"/>
    </row>
    <row r="543" spans="1:94" ht="90" x14ac:dyDescent="0.25">
      <c r="A543" s="127" t="s">
        <v>1752</v>
      </c>
      <c r="B543" s="51" t="s">
        <v>1753</v>
      </c>
      <c r="C543" s="50">
        <f>SUM(H543:W543)</f>
        <v>7.379999999999999</v>
      </c>
      <c r="D543" s="109">
        <v>2</v>
      </c>
      <c r="E543" s="62" t="s">
        <v>1611</v>
      </c>
      <c r="F543" s="57">
        <v>5</v>
      </c>
      <c r="G543" s="50" t="s">
        <v>530</v>
      </c>
      <c r="H543" s="50">
        <f>VLOOKUP($A543,'[1]ma sp 02'!$A$5:$BD$1101,H$1,0)</f>
        <v>0.46</v>
      </c>
      <c r="I543" s="50">
        <f>VLOOKUP($A543,'[1]ma sp 02'!$A$5:$BD$1101,I$1,0)</f>
        <v>1.6</v>
      </c>
      <c r="J543" s="50">
        <f>VLOOKUP($A543,'[1]ma sp 02'!$A$5:$BD$1101,J$1,0)</f>
        <v>0.23</v>
      </c>
      <c r="K543" s="50">
        <f>VLOOKUP($A543,'[1]ma sp 02'!$A$5:$BD$1101,K$1,0)</f>
        <v>0</v>
      </c>
      <c r="L543" s="50">
        <f>VLOOKUP($A543,'[1]ma sp 02'!$A$5:$BD$1101,L$1,0)</f>
        <v>0.01</v>
      </c>
      <c r="M543" s="50">
        <f>VLOOKUP($A543,'[1]ma sp 02'!$A$5:$BD$1101,M$1,0)</f>
        <v>2.5099999999999998</v>
      </c>
      <c r="N543" s="50">
        <f>VLOOKUP($A543,'[1]ma sp 02'!$A$5:$BD$1101,N$1,0)</f>
        <v>2.5099999999999998</v>
      </c>
      <c r="O543" s="50">
        <f>VLOOKUP($A543,'[1]ma sp 02'!$A$5:$BD$1101,O$1,0)</f>
        <v>0.06</v>
      </c>
      <c r="P543" s="50">
        <f>VLOOKUP($A543,'[1]ma sp 02'!$A$5:$BD$1101,P$1,0)</f>
        <v>0</v>
      </c>
      <c r="Q543" s="50">
        <f>VLOOKUP($A543,'[1]ma sp 02'!$A$5:$BD$1101,Q$1,0)</f>
        <v>0</v>
      </c>
      <c r="R543" s="50">
        <f>VLOOKUP($A543,'[1]ma sp 02'!$A$5:$BD$1101,R$1,0)</f>
        <v>0</v>
      </c>
      <c r="S543" s="50">
        <f>VLOOKUP($A543,'[1]ma sp 02'!$A$5:$BD$1101,S$1,0)</f>
        <v>0</v>
      </c>
      <c r="T543" s="50">
        <f>VLOOKUP($A543,'[1]ma sp 02'!$A$5:$BD$1101,T$1,0)</f>
        <v>0</v>
      </c>
      <c r="U543" s="50">
        <f>VLOOKUP($A543,'[1]ma sp 02'!$A$5:$BD$1101,U$1,0)</f>
        <v>0</v>
      </c>
      <c r="V543" s="50">
        <f>VLOOKUP($A543,'[1]ma sp 02'!$A$5:$BD$1101,V$1,0)</f>
        <v>0</v>
      </c>
      <c r="W543" s="50">
        <f>VLOOKUP($A543,'[1]ma sp 02'!$A$5:$BD$1101,W$1,0)</f>
        <v>0</v>
      </c>
      <c r="X543" s="50">
        <f t="shared" si="20"/>
        <v>7</v>
      </c>
      <c r="Y543" s="62"/>
      <c r="Z543" s="125"/>
      <c r="AA543" s="125"/>
      <c r="AB543" s="125"/>
      <c r="AC543" s="125"/>
      <c r="AD543" s="125"/>
      <c r="AE543" s="125" t="s">
        <v>1612</v>
      </c>
      <c r="AF543" s="113" t="s">
        <v>486</v>
      </c>
      <c r="AG543" s="71">
        <f>(0.012*1.4+0.012*1.4+0.075*0.925)*0.76</f>
        <v>7.8261000000000011E-2</v>
      </c>
      <c r="AH543" s="153">
        <f>(2.3/0.75/2)*0.75</f>
        <v>1.1499999999999999</v>
      </c>
      <c r="AI543" s="112">
        <f>(3/0.75/2)*0.75</f>
        <v>1.5</v>
      </c>
      <c r="AJ543" s="111">
        <v>9530</v>
      </c>
      <c r="AK543" s="111">
        <v>9530</v>
      </c>
      <c r="AL543" s="111" t="s">
        <v>117</v>
      </c>
      <c r="AM543" s="113" t="s">
        <v>60</v>
      </c>
      <c r="AN543" s="125">
        <v>420</v>
      </c>
      <c r="AO543" s="144" t="s">
        <v>332</v>
      </c>
      <c r="AP543" s="59" t="str">
        <f>IFERROR(VLOOKUP($A543,[2]Mssp!$A$5:$BE$1463,AP$4+1,0),0)</f>
        <v>1904583-1</v>
      </c>
      <c r="AQ543" s="59" t="str">
        <f>IFERROR(VLOOKUP($A543,[2]Mssp!$A$5:$BE$1463,AQ$4+1,0),0)</f>
        <v>1904582-2</v>
      </c>
      <c r="AR543" s="59" t="str">
        <f>IFERROR(VLOOKUP($A543,[2]Mssp!$A$5:$BE$1463,AR$4+1,0),0)</f>
        <v>1904582-3</v>
      </c>
      <c r="AS543" s="59" t="str">
        <f>IFERROR(VLOOKUP($A543,[2]Mssp!$A$5:$BE$1463,AS$4+1,0),0)</f>
        <v>1904583-4</v>
      </c>
      <c r="AT543" s="59" t="str">
        <f>IFERROR(VLOOKUP($A543,[2]Mssp!$A$5:$BE$1463,AT$4+1,0),0)</f>
        <v>1904583-5</v>
      </c>
      <c r="AU543" s="59" t="str">
        <f>IFERROR(VLOOKUP($A543,[2]Mssp!$A$5:$BE$1463,AU$4+1,0),0)</f>
        <v>1904583X2-1</v>
      </c>
      <c r="AV543" s="59">
        <f>IFERROR(VLOOKUP($A543,[2]Mssp!$A$5:$BE$1463,AV$4+1,0),0)</f>
        <v>0</v>
      </c>
      <c r="AW543" s="59">
        <f>IFERROR(VLOOKUP($A543,[2]Mssp!$A$5:$BE$1463,AW$4+1,0),0)</f>
        <v>0</v>
      </c>
      <c r="AX543" s="59">
        <f>IFERROR(VLOOKUP($A543,[2]Mssp!$A$5:$BE$1463,AX$4+1,0),0)</f>
        <v>0</v>
      </c>
      <c r="AY543" s="59" t="str">
        <f>IFERROR(VLOOKUP($A543,[2]Mssp!$A$5:$BE$1463,AY$4+2,0),0)</f>
        <v>420x850</v>
      </c>
      <c r="AZ543" s="59" t="str">
        <f>IFERROR(VLOOKUP($A543,[2]Mssp!$A$5:$BE$1463,AZ$4+2,0),0)</f>
        <v>G3</v>
      </c>
      <c r="BA543" s="141"/>
      <c r="BB543" s="61" t="s">
        <v>119</v>
      </c>
      <c r="BC543" s="129"/>
      <c r="BD543" s="138"/>
      <c r="BE543" s="131"/>
      <c r="BF543" s="139"/>
      <c r="BG543" s="131"/>
      <c r="BH543" s="139"/>
      <c r="BI543" s="140"/>
      <c r="BJ543" s="139"/>
      <c r="BK543" s="134"/>
      <c r="BL543" s="139"/>
      <c r="BM543" s="131"/>
      <c r="BN543" s="139"/>
      <c r="BO543" s="9"/>
      <c r="BP543" s="139"/>
      <c r="BQ543" s="139"/>
      <c r="BR543" s="139"/>
      <c r="BS543" s="135"/>
      <c r="BT543" s="139"/>
      <c r="BU543" s="131"/>
      <c r="BV543" s="139"/>
      <c r="BW543" s="131"/>
      <c r="BX543" s="139"/>
      <c r="BY543" s="131"/>
      <c r="BZ543" s="139"/>
      <c r="CA543" s="131"/>
      <c r="CB543" s="139"/>
      <c r="CC543" s="131"/>
      <c r="CD543" s="139"/>
      <c r="CE543" s="9"/>
      <c r="CF543" s="9"/>
      <c r="CG543" s="9"/>
      <c r="CH543" s="9"/>
      <c r="CI543" s="9"/>
      <c r="CJ543" s="9"/>
      <c r="CK543" s="9"/>
      <c r="CL543" s="9"/>
      <c r="CM543" s="9"/>
      <c r="CN543" s="9"/>
      <c r="CO543" s="9"/>
      <c r="CP543" s="9"/>
    </row>
    <row r="544" spans="1:94" x14ac:dyDescent="0.25">
      <c r="A544" s="127" t="s">
        <v>1754</v>
      </c>
      <c r="B544" s="51"/>
      <c r="C544" s="62"/>
      <c r="D544" s="84"/>
      <c r="E544" s="62"/>
      <c r="F544" s="62"/>
      <c r="G544" s="62"/>
      <c r="H544" s="50">
        <f>VLOOKUP($A544,'[1]ma sp 02'!$A$5:$BD$1101,H$1,0)</f>
        <v>0</v>
      </c>
      <c r="I544" s="50">
        <f>VLOOKUP($A544,'[1]ma sp 02'!$A$5:$BD$1101,I$1,0)</f>
        <v>0</v>
      </c>
      <c r="J544" s="50">
        <f>VLOOKUP($A544,'[1]ma sp 02'!$A$5:$BD$1101,J$1,0)</f>
        <v>0</v>
      </c>
      <c r="K544" s="50">
        <f>VLOOKUP($A544,'[1]ma sp 02'!$A$5:$BD$1101,K$1,0)</f>
        <v>0</v>
      </c>
      <c r="L544" s="50">
        <f>VLOOKUP($A544,'[1]ma sp 02'!$A$5:$BD$1101,L$1,0)</f>
        <v>0</v>
      </c>
      <c r="M544" s="50">
        <f>VLOOKUP($A544,'[1]ma sp 02'!$A$5:$BD$1101,M$1,0)</f>
        <v>0</v>
      </c>
      <c r="N544" s="50">
        <f>VLOOKUP($A544,'[1]ma sp 02'!$A$5:$BD$1101,N$1,0)</f>
        <v>0</v>
      </c>
      <c r="O544" s="50">
        <f>VLOOKUP($A544,'[1]ma sp 02'!$A$5:$BD$1101,O$1,0)</f>
        <v>0</v>
      </c>
      <c r="P544" s="50">
        <f>VLOOKUP($A544,'[1]ma sp 02'!$A$5:$BD$1101,P$1,0)</f>
        <v>0</v>
      </c>
      <c r="Q544" s="50">
        <f>VLOOKUP($A544,'[1]ma sp 02'!$A$5:$BD$1101,Q$1,0)</f>
        <v>0</v>
      </c>
      <c r="R544" s="50">
        <f>VLOOKUP($A544,'[1]ma sp 02'!$A$5:$BD$1101,R$1,0)</f>
        <v>0</v>
      </c>
      <c r="S544" s="50">
        <f>VLOOKUP($A544,'[1]ma sp 02'!$A$5:$BD$1101,S$1,0)</f>
        <v>0</v>
      </c>
      <c r="T544" s="50">
        <f>VLOOKUP($A544,'[1]ma sp 02'!$A$5:$BD$1101,T$1,0)</f>
        <v>0</v>
      </c>
      <c r="U544" s="50">
        <f>VLOOKUP($A544,'[1]ma sp 02'!$A$5:$BD$1101,U$1,0)</f>
        <v>0</v>
      </c>
      <c r="V544" s="50">
        <f>VLOOKUP($A544,'[1]ma sp 02'!$A$5:$BD$1101,V$1,0)</f>
        <v>0</v>
      </c>
      <c r="W544" s="50">
        <f>VLOOKUP($A544,'[1]ma sp 02'!$A$5:$BD$1101,W$1,0)</f>
        <v>0</v>
      </c>
      <c r="X544" s="50">
        <f t="shared" si="20"/>
        <v>0</v>
      </c>
      <c r="Y544" s="62"/>
      <c r="Z544" s="62"/>
      <c r="AA544" s="62"/>
      <c r="AB544" s="62"/>
      <c r="AC544" s="62"/>
      <c r="AD544" s="62"/>
      <c r="AE544" s="62"/>
      <c r="AF544" s="62"/>
      <c r="AG544" s="71"/>
      <c r="AH544" s="150"/>
      <c r="AI544" s="151"/>
      <c r="AJ544" s="9"/>
      <c r="AK544" s="9"/>
      <c r="AL544" s="9"/>
      <c r="AM544" s="69"/>
      <c r="AN544" s="9"/>
      <c r="AO544" s="69"/>
      <c r="AP544" s="59" t="str">
        <f>IFERROR(VLOOKUP($A544,[2]Mssp!$A$5:$BE$1463,AP$4+1,0),0)</f>
        <v>F123985-1</v>
      </c>
      <c r="AQ544" s="59" t="str">
        <f>IFERROR(VLOOKUP($A544,[2]Mssp!$A$5:$BE$1463,AQ$4+1,0),0)</f>
        <v>F123985-2</v>
      </c>
      <c r="AR544" s="59" t="str">
        <f>IFERROR(VLOOKUP($A544,[2]Mssp!$A$5:$BE$1463,AR$4+1,0),0)</f>
        <v>F123985-3</v>
      </c>
      <c r="AS544" s="59" t="str">
        <f>IFERROR(VLOOKUP($A544,[2]Mssp!$A$5:$BE$1463,AS$4+1,0),0)</f>
        <v>F123985-4</v>
      </c>
      <c r="AT544" s="59" t="str">
        <f>IFERROR(VLOOKUP($A544,[2]Mssp!$A$5:$BE$1463,AT$4+1,0),0)</f>
        <v>F123985-5</v>
      </c>
      <c r="AU544" s="59" t="str">
        <f>IFERROR(VLOOKUP($A544,[2]Mssp!$A$5:$BE$1463,AU$4+1,0),0)</f>
        <v>F123985-6</v>
      </c>
      <c r="AV544" s="59" t="str">
        <f>IFERROR(VLOOKUP($A544,[2]Mssp!$A$5:$BE$1463,AV$4+1,0),0)</f>
        <v>F123985-7</v>
      </c>
      <c r="AW544" s="59" t="str">
        <f>IFERROR(VLOOKUP($A544,[2]Mssp!$A$5:$BE$1463,AW$4+1,0),0)</f>
        <v>F123985-8</v>
      </c>
      <c r="AX544" s="59">
        <f>IFERROR(VLOOKUP($A544,[2]Mssp!$A$5:$BE$1463,AX$4+1,0),0)</f>
        <v>0</v>
      </c>
      <c r="AY544" s="59" t="str">
        <f>IFERROR(VLOOKUP($A544,[2]Mssp!$A$5:$BE$1463,AY$4+2,0),0)</f>
        <v>500x1100</v>
      </c>
      <c r="AZ544" s="59" t="str">
        <f>IFERROR(VLOOKUP($A544,[2]Mssp!$A$5:$BE$1463,AZ$4+2,0),0)</f>
        <v>B1</v>
      </c>
      <c r="BA544" s="141"/>
      <c r="BB544" s="61"/>
      <c r="BC544" s="129"/>
      <c r="BD544" s="138"/>
      <c r="BE544" s="131"/>
      <c r="BF544" s="139"/>
      <c r="BG544" s="131"/>
      <c r="BH544" s="139"/>
      <c r="BI544" s="140"/>
      <c r="BJ544" s="139"/>
      <c r="BK544" s="134"/>
      <c r="BL544" s="139"/>
      <c r="BM544" s="131"/>
      <c r="BN544" s="139"/>
      <c r="BO544" s="9"/>
      <c r="BP544" s="139"/>
      <c r="BQ544" s="139"/>
      <c r="BR544" s="139"/>
      <c r="BS544" s="135"/>
      <c r="BT544" s="139"/>
      <c r="BU544" s="131"/>
      <c r="BV544" s="139"/>
      <c r="BW544" s="131"/>
      <c r="BX544" s="139"/>
      <c r="BY544" s="131"/>
      <c r="BZ544" s="139"/>
      <c r="CA544" s="131"/>
      <c r="CB544" s="139"/>
      <c r="CC544" s="131"/>
      <c r="CD544" s="139"/>
      <c r="CE544" s="9"/>
      <c r="CF544" s="9"/>
      <c r="CG544" s="9"/>
      <c r="CH544" s="9"/>
      <c r="CI544" s="9"/>
      <c r="CJ544" s="9"/>
      <c r="CK544" s="9"/>
      <c r="CL544" s="9"/>
      <c r="CM544" s="9"/>
      <c r="CN544" s="9"/>
      <c r="CO544" s="9"/>
      <c r="CP544" s="9"/>
    </row>
    <row r="545" spans="1:94" ht="30" x14ac:dyDescent="0.25">
      <c r="A545" s="127" t="s">
        <v>1755</v>
      </c>
      <c r="B545" s="51" t="s">
        <v>1756</v>
      </c>
      <c r="C545" s="62"/>
      <c r="D545" s="84">
        <v>10</v>
      </c>
      <c r="E545" s="62" t="s">
        <v>315</v>
      </c>
      <c r="F545" s="62">
        <v>7</v>
      </c>
      <c r="G545" s="62" t="s">
        <v>530</v>
      </c>
      <c r="H545" s="50">
        <f>VLOOKUP($A545,'[1]ma sp 02'!$A$5:$BD$1101,H$1,0)</f>
        <v>0.02</v>
      </c>
      <c r="I545" s="50">
        <f>VLOOKUP($A545,'[1]ma sp 02'!$A$5:$BD$1101,I$1,0)</f>
        <v>3.49</v>
      </c>
      <c r="J545" s="50">
        <f>VLOOKUP($A545,'[1]ma sp 02'!$A$5:$BD$1101,J$1,0)</f>
        <v>0.51</v>
      </c>
      <c r="K545" s="50">
        <f>VLOOKUP($A545,'[1]ma sp 02'!$A$5:$BD$1101,K$1,0)</f>
        <v>0.04</v>
      </c>
      <c r="L545" s="50">
        <f>VLOOKUP($A545,'[1]ma sp 02'!$A$5:$BD$1101,L$1,0)</f>
        <v>3.32</v>
      </c>
      <c r="M545" s="50">
        <f>VLOOKUP($A545,'[1]ma sp 02'!$A$5:$BD$1101,M$1,0)</f>
        <v>0.255</v>
      </c>
      <c r="N545" s="50">
        <f>VLOOKUP($A545,'[1]ma sp 02'!$A$5:$BD$1101,N$1,0)</f>
        <v>0</v>
      </c>
      <c r="O545" s="50">
        <f>VLOOKUP($A545,'[1]ma sp 02'!$A$5:$BD$1101,O$1,0)</f>
        <v>0</v>
      </c>
      <c r="P545" s="50">
        <f>VLOOKUP($A545,'[1]ma sp 02'!$A$5:$BD$1101,P$1,0)</f>
        <v>0</v>
      </c>
      <c r="Q545" s="50">
        <f>VLOOKUP($A545,'[1]ma sp 02'!$A$5:$BD$1101,Q$1,0)</f>
        <v>0</v>
      </c>
      <c r="R545" s="50">
        <f>VLOOKUP($A545,'[1]ma sp 02'!$A$5:$BD$1101,R$1,0)</f>
        <v>0.01</v>
      </c>
      <c r="S545" s="50">
        <f>VLOOKUP($A545,'[1]ma sp 02'!$A$5:$BD$1101,S$1,0)</f>
        <v>0</v>
      </c>
      <c r="T545" s="50">
        <f>VLOOKUP($A545,'[1]ma sp 02'!$A$5:$BD$1101,T$1,0)</f>
        <v>0</v>
      </c>
      <c r="U545" s="50">
        <f>VLOOKUP($A545,'[1]ma sp 02'!$A$5:$BD$1101,U$1,0)</f>
        <v>0</v>
      </c>
      <c r="V545" s="50">
        <f>VLOOKUP($A545,'[1]ma sp 02'!$A$5:$BD$1101,V$1,0)</f>
        <v>0</v>
      </c>
      <c r="W545" s="50">
        <f>VLOOKUP($A545,'[1]ma sp 02'!$A$5:$BD$1101,W$1,0)</f>
        <v>0</v>
      </c>
      <c r="X545" s="50">
        <f t="shared" si="20"/>
        <v>7</v>
      </c>
      <c r="Y545" s="62"/>
      <c r="Z545" s="62"/>
      <c r="AA545" s="62"/>
      <c r="AB545" s="62"/>
      <c r="AC545" s="62"/>
      <c r="AD545" s="62"/>
      <c r="AE545" s="62" t="s">
        <v>1757</v>
      </c>
      <c r="AF545" s="62" t="s">
        <v>1758</v>
      </c>
      <c r="AG545" s="71">
        <f>(0.012*1.4+0.006*2.71+0.06*0.91)*0.82</f>
        <v>7.1881199999999992E-2</v>
      </c>
      <c r="AH545" s="153">
        <f>(2.3/0.75/2)*0.81</f>
        <v>1.242</v>
      </c>
      <c r="AI545" s="63">
        <f>(2.3/0.75/2)*0.81</f>
        <v>1.242</v>
      </c>
      <c r="AJ545" s="58">
        <v>9530</v>
      </c>
      <c r="AK545" s="58">
        <v>9530</v>
      </c>
      <c r="AL545" s="62" t="s">
        <v>1700</v>
      </c>
      <c r="AM545" s="61" t="s">
        <v>1489</v>
      </c>
      <c r="AN545" s="62">
        <v>150</v>
      </c>
      <c r="AO545" s="61" t="s">
        <v>1724</v>
      </c>
      <c r="AP545" s="59" t="str">
        <f>IFERROR(VLOOKUP($A545,[2]Mssp!$A$5:$BE$1463,AP$4+1,0),0)</f>
        <v xml:space="preserve">F123486-1 </v>
      </c>
      <c r="AQ545" s="59" t="str">
        <f>IFERROR(VLOOKUP($A545,[2]Mssp!$A$5:$BE$1463,AQ$4+1,0),0)</f>
        <v xml:space="preserve">F123486-2 </v>
      </c>
      <c r="AR545" s="59" t="str">
        <f>IFERROR(VLOOKUP($A545,[2]Mssp!$A$5:$BE$1463,AR$4+1,0),0)</f>
        <v xml:space="preserve">F123486-3 </v>
      </c>
      <c r="AS545" s="59" t="str">
        <f>IFERROR(VLOOKUP($A545,[2]Mssp!$A$5:$BE$1463,AS$4+1,0),0)</f>
        <v>F123486-4</v>
      </c>
      <c r="AT545" s="59" t="str">
        <f>IFERROR(VLOOKUP($A545,[2]Mssp!$A$5:$BE$1463,AT$4+1,0),0)</f>
        <v>F123486-5</v>
      </c>
      <c r="AU545" s="59" t="str">
        <f>IFERROR(VLOOKUP($A545,[2]Mssp!$A$5:$BE$1463,AU$4+1,0),0)</f>
        <v>F123486-6</v>
      </c>
      <c r="AV545" s="59" t="str">
        <f>IFERROR(VLOOKUP($A545,[2]Mssp!$A$5:$BE$1463,AV$4+1,0),0)</f>
        <v>F123486-7</v>
      </c>
      <c r="AW545" s="59">
        <f>IFERROR(VLOOKUP($A545,[2]Mssp!$A$5:$BE$1463,AW$4+1,0),0)</f>
        <v>0</v>
      </c>
      <c r="AX545" s="59">
        <f>IFERROR(VLOOKUP($A545,[2]Mssp!$A$5:$BE$1463,AX$4+1,0),0)</f>
        <v>0</v>
      </c>
      <c r="AY545" s="59" t="str">
        <f>IFERROR(VLOOKUP($A545,[2]Mssp!$A$5:$BE$1463,AY$4+2,0),0)</f>
        <v>450x1100</v>
      </c>
      <c r="AZ545" s="59" t="str">
        <f>IFERROR(VLOOKUP($A545,[2]Mssp!$A$5:$BE$1463,AZ$4+2,0),0)</f>
        <v>A2</v>
      </c>
      <c r="BA545" s="141"/>
      <c r="BB545" s="61" t="s">
        <v>1683</v>
      </c>
      <c r="BC545" s="129"/>
      <c r="BD545" s="138"/>
      <c r="BE545" s="131"/>
      <c r="BF545" s="139"/>
      <c r="BG545" s="131"/>
      <c r="BH545" s="139"/>
      <c r="BI545" s="140"/>
      <c r="BJ545" s="139"/>
      <c r="BK545" s="134"/>
      <c r="BL545" s="139"/>
      <c r="BM545" s="131"/>
      <c r="BN545" s="139"/>
      <c r="BO545" s="9"/>
      <c r="BP545" s="139"/>
      <c r="BQ545" s="139"/>
      <c r="BR545" s="139"/>
      <c r="BS545" s="135"/>
      <c r="BT545" s="139"/>
      <c r="BU545" s="131"/>
      <c r="BV545" s="139"/>
      <c r="BW545" s="131"/>
      <c r="BX545" s="139"/>
      <c r="BY545" s="131"/>
      <c r="BZ545" s="139"/>
      <c r="CA545" s="131"/>
      <c r="CB545" s="139"/>
      <c r="CC545" s="131"/>
      <c r="CD545" s="139"/>
      <c r="CE545" s="9"/>
      <c r="CF545" s="9"/>
      <c r="CG545" s="9"/>
      <c r="CH545" s="9"/>
      <c r="CI545" s="9"/>
      <c r="CJ545" s="9"/>
      <c r="CK545" s="9"/>
      <c r="CL545" s="9"/>
      <c r="CM545" s="9"/>
      <c r="CN545" s="9"/>
      <c r="CO545" s="9"/>
      <c r="CP545" s="9"/>
    </row>
    <row r="546" spans="1:94" ht="30" x14ac:dyDescent="0.25">
      <c r="A546" s="127" t="s">
        <v>1759</v>
      </c>
      <c r="B546" s="51" t="s">
        <v>1760</v>
      </c>
      <c r="C546" s="62"/>
      <c r="D546" s="84"/>
      <c r="E546" s="62" t="s">
        <v>1068</v>
      </c>
      <c r="F546" s="62"/>
      <c r="G546" s="62"/>
      <c r="H546" s="50">
        <f>VLOOKUP($A546,'[1]ma sp 02'!$A$5:$BD$1101,H$1,0)</f>
        <v>0</v>
      </c>
      <c r="I546" s="50">
        <f>VLOOKUP($A546,'[1]ma sp 02'!$A$5:$BD$1101,I$1,0)</f>
        <v>0</v>
      </c>
      <c r="J546" s="50">
        <f>VLOOKUP($A546,'[1]ma sp 02'!$A$5:$BD$1101,J$1,0)</f>
        <v>0</v>
      </c>
      <c r="K546" s="50">
        <f>VLOOKUP($A546,'[1]ma sp 02'!$A$5:$BD$1101,K$1,0)</f>
        <v>0</v>
      </c>
      <c r="L546" s="50">
        <f>VLOOKUP($A546,'[1]ma sp 02'!$A$5:$BD$1101,L$1,0)</f>
        <v>0</v>
      </c>
      <c r="M546" s="50">
        <f>VLOOKUP($A546,'[1]ma sp 02'!$A$5:$BD$1101,M$1,0)</f>
        <v>0</v>
      </c>
      <c r="N546" s="50">
        <f>VLOOKUP($A546,'[1]ma sp 02'!$A$5:$BD$1101,N$1,0)</f>
        <v>0</v>
      </c>
      <c r="O546" s="50">
        <f>VLOOKUP($A546,'[1]ma sp 02'!$A$5:$BD$1101,O$1,0)</f>
        <v>0</v>
      </c>
      <c r="P546" s="50">
        <f>VLOOKUP($A546,'[1]ma sp 02'!$A$5:$BD$1101,P$1,0)</f>
        <v>0</v>
      </c>
      <c r="Q546" s="50">
        <f>VLOOKUP($A546,'[1]ma sp 02'!$A$5:$BD$1101,Q$1,0)</f>
        <v>0</v>
      </c>
      <c r="R546" s="50">
        <f>VLOOKUP($A546,'[1]ma sp 02'!$A$5:$BD$1101,R$1,0)</f>
        <v>0</v>
      </c>
      <c r="S546" s="50">
        <f>VLOOKUP($A546,'[1]ma sp 02'!$A$5:$BD$1101,S$1,0)</f>
        <v>0</v>
      </c>
      <c r="T546" s="50">
        <f>VLOOKUP($A546,'[1]ma sp 02'!$A$5:$BD$1101,T$1,0)</f>
        <v>0</v>
      </c>
      <c r="U546" s="50">
        <f>VLOOKUP($A546,'[1]ma sp 02'!$A$5:$BD$1101,U$1,0)</f>
        <v>0</v>
      </c>
      <c r="V546" s="50">
        <f>VLOOKUP($A546,'[1]ma sp 02'!$A$5:$BD$1101,V$1,0)</f>
        <v>0</v>
      </c>
      <c r="W546" s="50">
        <f>VLOOKUP($A546,'[1]ma sp 02'!$A$5:$BD$1101,W$1,0)</f>
        <v>0</v>
      </c>
      <c r="X546" s="50">
        <f t="shared" si="20"/>
        <v>0</v>
      </c>
      <c r="Y546" s="62"/>
      <c r="Z546" s="62"/>
      <c r="AA546" s="62"/>
      <c r="AB546" s="62"/>
      <c r="AC546" s="62"/>
      <c r="AD546" s="62"/>
      <c r="AE546" s="62" t="s">
        <v>1761</v>
      </c>
      <c r="AF546" s="62"/>
      <c r="AG546" s="71"/>
      <c r="AH546" s="153">
        <f>(2/0.75/2)*0.63</f>
        <v>0.84</v>
      </c>
      <c r="AI546" s="151"/>
      <c r="AJ546" s="9">
        <v>9530</v>
      </c>
      <c r="AK546" s="9"/>
      <c r="AL546" s="9">
        <v>2E-3</v>
      </c>
      <c r="AM546" s="69" t="s">
        <v>74</v>
      </c>
      <c r="AN546" s="9">
        <v>250</v>
      </c>
      <c r="AO546" s="69" t="s">
        <v>1762</v>
      </c>
      <c r="AP546" s="59">
        <f>IFERROR(VLOOKUP($A546,[2]Mssp!$A$5:$BE$1463,AP$4+1,0),0)</f>
        <v>0</v>
      </c>
      <c r="AQ546" s="59">
        <f>IFERROR(VLOOKUP($A546,[2]Mssp!$A$5:$BE$1463,AQ$4+1,0),0)</f>
        <v>0</v>
      </c>
      <c r="AR546" s="59">
        <f>IFERROR(VLOOKUP($A546,[2]Mssp!$A$5:$BE$1463,AR$4+1,0),0)</f>
        <v>0</v>
      </c>
      <c r="AS546" s="59">
        <f>IFERROR(VLOOKUP($A546,[2]Mssp!$A$5:$BE$1463,AS$4+1,0),0)</f>
        <v>0</v>
      </c>
      <c r="AT546" s="59">
        <f>IFERROR(VLOOKUP($A546,[2]Mssp!$A$5:$BE$1463,AT$4+1,0),0)</f>
        <v>0</v>
      </c>
      <c r="AU546" s="59">
        <f>IFERROR(VLOOKUP($A546,[2]Mssp!$A$5:$BE$1463,AU$4+1,0),0)</f>
        <v>0</v>
      </c>
      <c r="AV546" s="59">
        <f>IFERROR(VLOOKUP($A546,[2]Mssp!$A$5:$BE$1463,AV$4+1,0),0)</f>
        <v>0</v>
      </c>
      <c r="AW546" s="59">
        <f>IFERROR(VLOOKUP($A546,[2]Mssp!$A$5:$BE$1463,AW$4+1,0),0)</f>
        <v>0</v>
      </c>
      <c r="AX546" s="59">
        <f>IFERROR(VLOOKUP($A546,[2]Mssp!$A$5:$BE$1463,AX$4+1,0),0)</f>
        <v>0</v>
      </c>
      <c r="AY546" s="59">
        <f>IFERROR(VLOOKUP($A546,[2]Mssp!$A$5:$BE$1463,AY$4+2,0),0)</f>
        <v>0</v>
      </c>
      <c r="AZ546" s="59">
        <f>IFERROR(VLOOKUP($A546,[2]Mssp!$A$5:$BE$1463,AZ$4+2,0),0)</f>
        <v>0</v>
      </c>
      <c r="BA546" s="141"/>
      <c r="BB546" s="61"/>
      <c r="BC546" s="129"/>
      <c r="BD546" s="138"/>
      <c r="BE546" s="131"/>
      <c r="BF546" s="139"/>
      <c r="BG546" s="131"/>
      <c r="BH546" s="139"/>
      <c r="BI546" s="140"/>
      <c r="BJ546" s="139"/>
      <c r="BK546" s="134"/>
      <c r="BL546" s="139"/>
      <c r="BM546" s="131"/>
      <c r="BN546" s="139"/>
      <c r="BO546" s="9"/>
      <c r="BP546" s="139"/>
      <c r="BQ546" s="139"/>
      <c r="BR546" s="139"/>
      <c r="BS546" s="135"/>
      <c r="BT546" s="139"/>
      <c r="BU546" s="131"/>
      <c r="BV546" s="139"/>
      <c r="BW546" s="131"/>
      <c r="BX546" s="139"/>
      <c r="BY546" s="131"/>
      <c r="BZ546" s="139"/>
      <c r="CA546" s="131"/>
      <c r="CB546" s="139"/>
      <c r="CC546" s="131"/>
      <c r="CD546" s="139"/>
      <c r="CE546" s="9"/>
      <c r="CF546" s="9"/>
      <c r="CG546" s="9"/>
      <c r="CH546" s="9"/>
      <c r="CI546" s="9"/>
      <c r="CJ546" s="9"/>
      <c r="CK546" s="9"/>
      <c r="CL546" s="9"/>
      <c r="CM546" s="9"/>
      <c r="CN546" s="9"/>
      <c r="CO546" s="9"/>
      <c r="CP546" s="9"/>
    </row>
    <row r="547" spans="1:94" ht="30" x14ac:dyDescent="0.25">
      <c r="A547" s="127" t="s">
        <v>1763</v>
      </c>
      <c r="B547" s="51" t="s">
        <v>1764</v>
      </c>
      <c r="C547" s="62"/>
      <c r="D547" s="84"/>
      <c r="E547" s="62" t="s">
        <v>1068</v>
      </c>
      <c r="F547" s="62"/>
      <c r="G547" s="62"/>
      <c r="H547" s="50">
        <f>VLOOKUP($A547,'[1]ma sp 02'!$A$5:$BD$1101,H$1,0)</f>
        <v>0</v>
      </c>
      <c r="I547" s="50">
        <f>VLOOKUP($A547,'[1]ma sp 02'!$A$5:$BD$1101,I$1,0)</f>
        <v>0</v>
      </c>
      <c r="J547" s="50">
        <f>VLOOKUP($A547,'[1]ma sp 02'!$A$5:$BD$1101,J$1,0)</f>
        <v>0</v>
      </c>
      <c r="K547" s="50">
        <f>VLOOKUP($A547,'[1]ma sp 02'!$A$5:$BD$1101,K$1,0)</f>
        <v>0</v>
      </c>
      <c r="L547" s="50">
        <f>VLOOKUP($A547,'[1]ma sp 02'!$A$5:$BD$1101,L$1,0)</f>
        <v>0</v>
      </c>
      <c r="M547" s="50">
        <f>VLOOKUP($A547,'[1]ma sp 02'!$A$5:$BD$1101,M$1,0)</f>
        <v>0</v>
      </c>
      <c r="N547" s="50">
        <f>VLOOKUP($A547,'[1]ma sp 02'!$A$5:$BD$1101,N$1,0)</f>
        <v>0</v>
      </c>
      <c r="O547" s="50">
        <f>VLOOKUP($A547,'[1]ma sp 02'!$A$5:$BD$1101,O$1,0)</f>
        <v>0</v>
      </c>
      <c r="P547" s="50">
        <f>VLOOKUP($A547,'[1]ma sp 02'!$A$5:$BD$1101,P$1,0)</f>
        <v>0</v>
      </c>
      <c r="Q547" s="50">
        <f>VLOOKUP($A547,'[1]ma sp 02'!$A$5:$BD$1101,Q$1,0)</f>
        <v>0</v>
      </c>
      <c r="R547" s="50">
        <f>VLOOKUP($A547,'[1]ma sp 02'!$A$5:$BD$1101,R$1,0)</f>
        <v>0</v>
      </c>
      <c r="S547" s="50">
        <f>VLOOKUP($A547,'[1]ma sp 02'!$A$5:$BD$1101,S$1,0)</f>
        <v>0</v>
      </c>
      <c r="T547" s="50">
        <f>VLOOKUP($A547,'[1]ma sp 02'!$A$5:$BD$1101,T$1,0)</f>
        <v>0</v>
      </c>
      <c r="U547" s="50">
        <f>VLOOKUP($A547,'[1]ma sp 02'!$A$5:$BD$1101,U$1,0)</f>
        <v>0</v>
      </c>
      <c r="V547" s="50">
        <f>VLOOKUP($A547,'[1]ma sp 02'!$A$5:$BD$1101,V$1,0)</f>
        <v>0</v>
      </c>
      <c r="W547" s="50">
        <f>VLOOKUP($A547,'[1]ma sp 02'!$A$5:$BD$1101,W$1,0)</f>
        <v>0</v>
      </c>
      <c r="X547" s="50">
        <f t="shared" si="20"/>
        <v>0</v>
      </c>
      <c r="Y547" s="62"/>
      <c r="Z547" s="62"/>
      <c r="AA547" s="62"/>
      <c r="AB547" s="62"/>
      <c r="AC547" s="62"/>
      <c r="AD547" s="62"/>
      <c r="AE547" s="62" t="s">
        <v>1765</v>
      </c>
      <c r="AF547" s="62"/>
      <c r="AG547" s="71"/>
      <c r="AH547" s="153">
        <f>(2/0.75/2)*0.63</f>
        <v>0.84</v>
      </c>
      <c r="AI547" s="151"/>
      <c r="AJ547" s="9">
        <v>9530</v>
      </c>
      <c r="AK547" s="9"/>
      <c r="AL547" s="9">
        <v>2E-3</v>
      </c>
      <c r="AM547" s="69" t="s">
        <v>74</v>
      </c>
      <c r="AN547" s="9">
        <v>280</v>
      </c>
      <c r="AO547" s="69" t="s">
        <v>1762</v>
      </c>
      <c r="AP547" s="59">
        <f>IFERROR(VLOOKUP($A547,[2]Mssp!$A$5:$BE$1463,AP$4+1,0),0)</f>
        <v>0</v>
      </c>
      <c r="AQ547" s="59">
        <f>IFERROR(VLOOKUP($A547,[2]Mssp!$A$5:$BE$1463,AQ$4+1,0),0)</f>
        <v>0</v>
      </c>
      <c r="AR547" s="59">
        <f>IFERROR(VLOOKUP($A547,[2]Mssp!$A$5:$BE$1463,AR$4+1,0),0)</f>
        <v>0</v>
      </c>
      <c r="AS547" s="59">
        <f>IFERROR(VLOOKUP($A547,[2]Mssp!$A$5:$BE$1463,AS$4+1,0),0)</f>
        <v>0</v>
      </c>
      <c r="AT547" s="59">
        <f>IFERROR(VLOOKUP($A547,[2]Mssp!$A$5:$BE$1463,AT$4+1,0),0)</f>
        <v>0</v>
      </c>
      <c r="AU547" s="59">
        <f>IFERROR(VLOOKUP($A547,[2]Mssp!$A$5:$BE$1463,AU$4+1,0),0)</f>
        <v>0</v>
      </c>
      <c r="AV547" s="59">
        <f>IFERROR(VLOOKUP($A547,[2]Mssp!$A$5:$BE$1463,AV$4+1,0),0)</f>
        <v>0</v>
      </c>
      <c r="AW547" s="59">
        <f>IFERROR(VLOOKUP($A547,[2]Mssp!$A$5:$BE$1463,AW$4+1,0),0)</f>
        <v>0</v>
      </c>
      <c r="AX547" s="59">
        <f>IFERROR(VLOOKUP($A547,[2]Mssp!$A$5:$BE$1463,AX$4+1,0),0)</f>
        <v>0</v>
      </c>
      <c r="AY547" s="59">
        <f>IFERROR(VLOOKUP($A547,[2]Mssp!$A$5:$BE$1463,AY$4+2,0),0)</f>
        <v>0</v>
      </c>
      <c r="AZ547" s="59">
        <f>IFERROR(VLOOKUP($A547,[2]Mssp!$A$5:$BE$1463,AZ$4+2,0),0)</f>
        <v>0</v>
      </c>
      <c r="BA547" s="141"/>
      <c r="BB547" s="61"/>
      <c r="BC547" s="129"/>
      <c r="BD547" s="138"/>
      <c r="BE547" s="131"/>
      <c r="BF547" s="139"/>
      <c r="BG547" s="131"/>
      <c r="BH547" s="139"/>
      <c r="BI547" s="140"/>
      <c r="BJ547" s="139"/>
      <c r="BK547" s="134"/>
      <c r="BL547" s="139"/>
      <c r="BM547" s="131"/>
      <c r="BN547" s="139"/>
      <c r="BO547" s="9"/>
      <c r="BP547" s="139"/>
      <c r="BQ547" s="139"/>
      <c r="BR547" s="139"/>
      <c r="BS547" s="135"/>
      <c r="BT547" s="139"/>
      <c r="BU547" s="131"/>
      <c r="BV547" s="139"/>
      <c r="BW547" s="131"/>
      <c r="BX547" s="139"/>
      <c r="BY547" s="131"/>
      <c r="BZ547" s="139"/>
      <c r="CA547" s="131"/>
      <c r="CB547" s="139"/>
      <c r="CC547" s="131"/>
      <c r="CD547" s="139"/>
      <c r="CE547" s="9"/>
      <c r="CF547" s="9"/>
      <c r="CG547" s="9"/>
      <c r="CH547" s="9"/>
      <c r="CI547" s="9"/>
      <c r="CJ547" s="9"/>
      <c r="CK547" s="9"/>
      <c r="CL547" s="9"/>
      <c r="CM547" s="9"/>
      <c r="CN547" s="9"/>
      <c r="CO547" s="9"/>
      <c r="CP547" s="9"/>
    </row>
    <row r="548" spans="1:94" ht="30" x14ac:dyDescent="0.25">
      <c r="A548" s="154" t="s">
        <v>1766</v>
      </c>
      <c r="B548" s="101" t="s">
        <v>1767</v>
      </c>
      <c r="C548" s="62"/>
      <c r="D548" s="84">
        <v>2</v>
      </c>
      <c r="E548" s="62" t="s">
        <v>1768</v>
      </c>
      <c r="F548" s="62">
        <v>7</v>
      </c>
      <c r="G548" s="62" t="s">
        <v>184</v>
      </c>
      <c r="H548" s="50">
        <f>VLOOKUP($A548,'[1]ma sp 02'!$A$5:$BD$1101,H$1,0)</f>
        <v>0.1</v>
      </c>
      <c r="I548" s="50">
        <f>VLOOKUP($A548,'[1]ma sp 02'!$A$5:$BD$1101,I$1,0)</f>
        <v>5</v>
      </c>
      <c r="J548" s="50">
        <f>VLOOKUP($A548,'[1]ma sp 02'!$A$5:$BD$1101,J$1,0)</f>
        <v>0.05</v>
      </c>
      <c r="K548" s="50">
        <f>VLOOKUP($A548,'[1]ma sp 02'!$A$5:$BD$1101,K$1,0)</f>
        <v>0.25</v>
      </c>
      <c r="L548" s="50">
        <f>VLOOKUP($A548,'[1]ma sp 02'!$A$5:$BD$1101,L$1,0)</f>
        <v>1.3</v>
      </c>
      <c r="M548" s="50">
        <f>VLOOKUP($A548,'[1]ma sp 02'!$A$5:$BD$1101,M$1,0)</f>
        <v>0.7</v>
      </c>
      <c r="N548" s="50">
        <f>VLOOKUP($A548,'[1]ma sp 02'!$A$5:$BD$1101,N$1,0)</f>
        <v>0</v>
      </c>
      <c r="O548" s="50">
        <f>VLOOKUP($A548,'[1]ma sp 02'!$A$5:$BD$1101,O$1,0)</f>
        <v>0</v>
      </c>
      <c r="P548" s="50">
        <f>VLOOKUP($A548,'[1]ma sp 02'!$A$5:$BD$1101,P$1,0)</f>
        <v>0.23</v>
      </c>
      <c r="Q548" s="50">
        <f>VLOOKUP($A548,'[1]ma sp 02'!$A$5:$BD$1101,Q$1,0)</f>
        <v>0.4</v>
      </c>
      <c r="R548" s="50">
        <f>VLOOKUP($A548,'[1]ma sp 02'!$A$5:$BD$1101,R$1,0)</f>
        <v>0</v>
      </c>
      <c r="S548" s="50">
        <f>VLOOKUP($A548,'[1]ma sp 02'!$A$5:$BD$1101,S$1,0)</f>
        <v>0</v>
      </c>
      <c r="T548" s="50">
        <f>VLOOKUP($A548,'[1]ma sp 02'!$A$5:$BD$1101,T$1,0)</f>
        <v>0.01</v>
      </c>
      <c r="U548" s="50">
        <f>VLOOKUP($A548,'[1]ma sp 02'!$A$5:$BD$1101,U$1,0)</f>
        <v>0</v>
      </c>
      <c r="V548" s="50">
        <f>VLOOKUP($A548,'[1]ma sp 02'!$A$5:$BD$1101,V$1,0)</f>
        <v>0</v>
      </c>
      <c r="W548" s="50">
        <f>VLOOKUP($A548,'[1]ma sp 02'!$A$5:$BD$1101,W$1,0)</f>
        <v>0</v>
      </c>
      <c r="X548" s="50">
        <f t="shared" si="20"/>
        <v>9</v>
      </c>
      <c r="Y548" s="62"/>
      <c r="Z548" s="62"/>
      <c r="AA548" s="62"/>
      <c r="AB548" s="62"/>
      <c r="AC548" s="62"/>
      <c r="AD548" s="62"/>
      <c r="AE548" s="62" t="s">
        <v>1769</v>
      </c>
      <c r="AF548" s="62" t="s">
        <v>1770</v>
      </c>
      <c r="AG548" s="71">
        <f>(0.02*0.91+0.012*1.4+0.045*0.925)*0.86</f>
        <v>6.5897499999999998E-2</v>
      </c>
      <c r="AH548" s="153">
        <f>(2.5/0.75/2)*0.85</f>
        <v>1.4166666666666667</v>
      </c>
      <c r="AI548" s="63">
        <f>(3/0.75/2)*0.85</f>
        <v>1.7</v>
      </c>
      <c r="AJ548" s="9">
        <v>9530</v>
      </c>
      <c r="AK548" s="9">
        <v>9530</v>
      </c>
      <c r="AL548" s="9" t="s">
        <v>1771</v>
      </c>
      <c r="AM548" s="69" t="s">
        <v>1489</v>
      </c>
      <c r="AN548" s="9">
        <v>265</v>
      </c>
      <c r="AO548" s="69" t="s">
        <v>1772</v>
      </c>
      <c r="AP548" s="59" t="str">
        <f>IFERROR(VLOOKUP($A548,[2]Mssp!$A$5:$BE$1463,AP$4+1,0),0)</f>
        <v>F124018G1-1</v>
      </c>
      <c r="AQ548" s="59" t="str">
        <f>IFERROR(VLOOKUP($A548,[2]Mssp!$A$5:$BE$1463,AQ$4+1,0),0)</f>
        <v>F124018-2</v>
      </c>
      <c r="AR548" s="59" t="str">
        <f>IFERROR(VLOOKUP($A548,[2]Mssp!$A$5:$BE$1463,AR$4+1,0),0)</f>
        <v>F124018-3</v>
      </c>
      <c r="AS548" s="59" t="str">
        <f>IFERROR(VLOOKUP($A548,[2]Mssp!$A$5:$BE$1463,AS$4+1,0),0)</f>
        <v>F124018-4</v>
      </c>
      <c r="AT548" s="59" t="str">
        <f>IFERROR(VLOOKUP($A548,[2]Mssp!$A$5:$BE$1463,AT$4+1,0),0)</f>
        <v>F124018G2-5</v>
      </c>
      <c r="AU548" s="59" t="str">
        <f>IFERROR(VLOOKUP($A548,[2]Mssp!$A$5:$BE$1463,AU$4+1,0),0)</f>
        <v>F124018G1-6</v>
      </c>
      <c r="AV548" s="59" t="str">
        <f>IFERROR(VLOOKUP($A548,[2]Mssp!$A$5:$BE$1463,AV$4+1,0),0)</f>
        <v>F124018-7</v>
      </c>
      <c r="AW548" s="59">
        <f>IFERROR(VLOOKUP($A548,[2]Mssp!$A$5:$BE$1463,AW$4+1,0),0)</f>
        <v>0</v>
      </c>
      <c r="AX548" s="59">
        <f>IFERROR(VLOOKUP($A548,[2]Mssp!$A$5:$BE$1463,AX$4+1,0),0)</f>
        <v>0</v>
      </c>
      <c r="AY548" s="59" t="str">
        <f>IFERROR(VLOOKUP($A548,[2]Mssp!$A$5:$BE$1463,AY$4+2,0),0)</f>
        <v>530x1100</v>
      </c>
      <c r="AZ548" s="59" t="str">
        <f>IFERROR(VLOOKUP($A548,[2]Mssp!$A$5:$BE$1463,AZ$4+2,0),0)</f>
        <v>Q2</v>
      </c>
      <c r="BA548" s="141"/>
      <c r="BB548" s="61" t="s">
        <v>1773</v>
      </c>
      <c r="BC548" s="129"/>
      <c r="BD548" s="138"/>
      <c r="BE548" s="131"/>
      <c r="BF548" s="139"/>
      <c r="BG548" s="131"/>
      <c r="BH548" s="139"/>
      <c r="BI548" s="140"/>
      <c r="BJ548" s="139"/>
      <c r="BK548" s="134"/>
      <c r="BL548" s="139"/>
      <c r="BM548" s="131"/>
      <c r="BN548" s="139"/>
      <c r="BO548" s="9"/>
      <c r="BP548" s="139"/>
      <c r="BQ548" s="139"/>
      <c r="BR548" s="139"/>
      <c r="BS548" s="135"/>
      <c r="BT548" s="139"/>
      <c r="BU548" s="131"/>
      <c r="BV548" s="139"/>
      <c r="BW548" s="131"/>
      <c r="BX548" s="139"/>
      <c r="BY548" s="131"/>
      <c r="BZ548" s="139"/>
      <c r="CA548" s="131"/>
      <c r="CB548" s="139"/>
      <c r="CC548" s="131"/>
      <c r="CD548" s="139"/>
      <c r="CE548" s="9"/>
      <c r="CF548" s="9"/>
      <c r="CG548" s="9"/>
      <c r="CH548" s="9"/>
      <c r="CI548" s="9"/>
      <c r="CJ548" s="9"/>
      <c r="CK548" s="9"/>
      <c r="CL548" s="9"/>
      <c r="CM548" s="9"/>
      <c r="CN548" s="9"/>
      <c r="CO548" s="9"/>
      <c r="CP548" s="9"/>
    </row>
    <row r="549" spans="1:94" ht="30" x14ac:dyDescent="0.25">
      <c r="A549" s="127" t="s">
        <v>1774</v>
      </c>
      <c r="B549" s="51" t="s">
        <v>1775</v>
      </c>
      <c r="C549" s="62"/>
      <c r="D549" s="84">
        <v>4</v>
      </c>
      <c r="E549" s="62" t="s">
        <v>1776</v>
      </c>
      <c r="F549" s="62">
        <v>5</v>
      </c>
      <c r="G549" s="62"/>
      <c r="H549" s="50">
        <f>VLOOKUP($A549,'[1]ma sp 02'!$A$5:$BD$1101,H$1,0)</f>
        <v>0</v>
      </c>
      <c r="I549" s="50">
        <f>VLOOKUP($A549,'[1]ma sp 02'!$A$5:$BD$1101,I$1,0)</f>
        <v>0</v>
      </c>
      <c r="J549" s="50">
        <f>VLOOKUP($A549,'[1]ma sp 02'!$A$5:$BD$1101,J$1,0)</f>
        <v>0</v>
      </c>
      <c r="K549" s="50">
        <f>VLOOKUP($A549,'[1]ma sp 02'!$A$5:$BD$1101,K$1,0)</f>
        <v>0</v>
      </c>
      <c r="L549" s="50">
        <f>VLOOKUP($A549,'[1]ma sp 02'!$A$5:$BD$1101,L$1,0)</f>
        <v>0</v>
      </c>
      <c r="M549" s="50">
        <f>VLOOKUP($A549,'[1]ma sp 02'!$A$5:$BD$1101,M$1,0)</f>
        <v>0</v>
      </c>
      <c r="N549" s="50">
        <f>VLOOKUP($A549,'[1]ma sp 02'!$A$5:$BD$1101,N$1,0)</f>
        <v>0</v>
      </c>
      <c r="O549" s="50">
        <f>VLOOKUP($A549,'[1]ma sp 02'!$A$5:$BD$1101,O$1,0)</f>
        <v>0</v>
      </c>
      <c r="P549" s="50">
        <f>VLOOKUP($A549,'[1]ma sp 02'!$A$5:$BD$1101,P$1,0)</f>
        <v>0</v>
      </c>
      <c r="Q549" s="50">
        <f>VLOOKUP($A549,'[1]ma sp 02'!$A$5:$BD$1101,Q$1,0)</f>
        <v>0</v>
      </c>
      <c r="R549" s="50">
        <f>VLOOKUP($A549,'[1]ma sp 02'!$A$5:$BD$1101,R$1,0)</f>
        <v>0</v>
      </c>
      <c r="S549" s="50">
        <f>VLOOKUP($A549,'[1]ma sp 02'!$A$5:$BD$1101,S$1,0)</f>
        <v>0</v>
      </c>
      <c r="T549" s="50">
        <f>VLOOKUP($A549,'[1]ma sp 02'!$A$5:$BD$1101,T$1,0)</f>
        <v>0</v>
      </c>
      <c r="U549" s="50">
        <f>VLOOKUP($A549,'[1]ma sp 02'!$A$5:$BD$1101,U$1,0)</f>
        <v>0</v>
      </c>
      <c r="V549" s="50">
        <f>VLOOKUP($A549,'[1]ma sp 02'!$A$5:$BD$1101,V$1,0)</f>
        <v>0</v>
      </c>
      <c r="W549" s="50">
        <f>VLOOKUP($A549,'[1]ma sp 02'!$A$5:$BD$1101,W$1,0)</f>
        <v>0</v>
      </c>
      <c r="X549" s="50">
        <f t="shared" si="20"/>
        <v>0</v>
      </c>
      <c r="Y549" s="62"/>
      <c r="Z549" s="62"/>
      <c r="AA549" s="62"/>
      <c r="AB549" s="62"/>
      <c r="AC549" s="62"/>
      <c r="AD549" s="62"/>
      <c r="AE549" s="62" t="s">
        <v>1777</v>
      </c>
      <c r="AF549" s="62"/>
      <c r="AG549" s="71">
        <f>(0.02*0.91+0.03*0.925)*0.58</f>
        <v>2.6651000000000001E-2</v>
      </c>
      <c r="AH549" s="153">
        <f>(1.8/0.75/2)*0.58</f>
        <v>0.69599999999999995</v>
      </c>
      <c r="AI549" s="151"/>
      <c r="AJ549" s="9">
        <v>9530</v>
      </c>
      <c r="AK549" s="9"/>
      <c r="AL549" s="9">
        <v>1.8E-3</v>
      </c>
      <c r="AM549" s="69" t="s">
        <v>74</v>
      </c>
      <c r="AN549" s="9">
        <v>465</v>
      </c>
      <c r="AO549" s="69" t="s">
        <v>1778</v>
      </c>
      <c r="AP549" s="59" t="str">
        <f>IFERROR(VLOOKUP($A549,[2]Mssp!$A$5:$BE$1463,AP$4+1,0),0)</f>
        <v>1908189-1</v>
      </c>
      <c r="AQ549" s="59" t="str">
        <f>IFERROR(VLOOKUP($A549,[2]Mssp!$A$5:$BE$1463,AQ$4+1,0),0)</f>
        <v>1908189-2</v>
      </c>
      <c r="AR549" s="59" t="str">
        <f>IFERROR(VLOOKUP($A549,[2]Mssp!$A$5:$BE$1463,AR$4+1,0),0)</f>
        <v>1908189-3</v>
      </c>
      <c r="AS549" s="59" t="str">
        <f>IFERROR(VLOOKUP($A549,[2]Mssp!$A$5:$BE$1463,AS$4+1,0),0)</f>
        <v>1908189-4</v>
      </c>
      <c r="AT549" s="59" t="str">
        <f>IFERROR(VLOOKUP($A549,[2]Mssp!$A$5:$BE$1463,AT$4+1,0),0)</f>
        <v>1908189-5</v>
      </c>
      <c r="AU549" s="59">
        <f>IFERROR(VLOOKUP($A549,[2]Mssp!$A$5:$BE$1463,AU$4+1,0),0)</f>
        <v>0</v>
      </c>
      <c r="AV549" s="59">
        <f>IFERROR(VLOOKUP($A549,[2]Mssp!$A$5:$BE$1463,AV$4+1,0),0)</f>
        <v>0</v>
      </c>
      <c r="AW549" s="59">
        <f>IFERROR(VLOOKUP($A549,[2]Mssp!$A$5:$BE$1463,AW$4+1,0),0)</f>
        <v>0</v>
      </c>
      <c r="AX549" s="59">
        <f>IFERROR(VLOOKUP($A549,[2]Mssp!$A$5:$BE$1463,AX$4+1,0),0)</f>
        <v>0</v>
      </c>
      <c r="AY549" s="59" t="str">
        <f>IFERROR(VLOOKUP($A549,[2]Mssp!$A$5:$BE$1463,AY$4+2,0),0)</f>
        <v>465x850</v>
      </c>
      <c r="AZ549" s="59" t="str">
        <f>IFERROR(VLOOKUP($A549,[2]Mssp!$A$5:$BE$1463,AZ$4+2,0),0)</f>
        <v>Q2</v>
      </c>
      <c r="BA549" s="141"/>
      <c r="BB549" s="61" t="s">
        <v>251</v>
      </c>
      <c r="BC549" s="129"/>
      <c r="BD549" s="138"/>
      <c r="BE549" s="131"/>
      <c r="BF549" s="139"/>
      <c r="BG549" s="131"/>
      <c r="BH549" s="139"/>
      <c r="BI549" s="140"/>
      <c r="BJ549" s="139"/>
      <c r="BK549" s="134"/>
      <c r="BL549" s="139"/>
      <c r="BM549" s="131"/>
      <c r="BN549" s="139"/>
      <c r="BO549" s="9"/>
      <c r="BP549" s="139"/>
      <c r="BQ549" s="139"/>
      <c r="BR549" s="139"/>
      <c r="BS549" s="135"/>
      <c r="BT549" s="139"/>
      <c r="BU549" s="131"/>
      <c r="BV549" s="139"/>
      <c r="BW549" s="131"/>
      <c r="BX549" s="139"/>
      <c r="BY549" s="131"/>
      <c r="BZ549" s="139"/>
      <c r="CA549" s="131"/>
      <c r="CB549" s="139"/>
      <c r="CC549" s="131"/>
      <c r="CD549" s="139"/>
      <c r="CE549" s="9"/>
      <c r="CF549" s="9"/>
      <c r="CG549" s="9"/>
      <c r="CH549" s="9"/>
      <c r="CI549" s="9"/>
      <c r="CJ549" s="9"/>
      <c r="CK549" s="9"/>
      <c r="CL549" s="9"/>
      <c r="CM549" s="9"/>
      <c r="CN549" s="9"/>
      <c r="CO549" s="9"/>
      <c r="CP549" s="9"/>
    </row>
    <row r="550" spans="1:94" ht="45" x14ac:dyDescent="0.25">
      <c r="A550" s="127" t="s">
        <v>1779</v>
      </c>
      <c r="B550" s="51" t="s">
        <v>1780</v>
      </c>
      <c r="C550" s="62"/>
      <c r="D550" s="84">
        <v>1</v>
      </c>
      <c r="E550" s="62" t="s">
        <v>1781</v>
      </c>
      <c r="F550" s="62">
        <v>6</v>
      </c>
      <c r="G550" s="62" t="s">
        <v>530</v>
      </c>
      <c r="H550" s="50">
        <f>VLOOKUP($A550,'[1]ma sp 02'!$A$5:$BD$1101,H$1,0)</f>
        <v>0.59</v>
      </c>
      <c r="I550" s="50">
        <f>VLOOKUP($A550,'[1]ma sp 02'!$A$5:$BD$1101,I$1,0)</f>
        <v>0</v>
      </c>
      <c r="J550" s="50">
        <f>VLOOKUP($A550,'[1]ma sp 02'!$A$5:$BD$1101,J$1,0)</f>
        <v>0.59</v>
      </c>
      <c r="K550" s="50">
        <f>VLOOKUP($A550,'[1]ma sp 02'!$A$5:$BD$1101,K$1,0)</f>
        <v>0.28999999999999998</v>
      </c>
      <c r="L550" s="50">
        <f>VLOOKUP($A550,'[1]ma sp 02'!$A$5:$BD$1101,L$1,0)</f>
        <v>0</v>
      </c>
      <c r="M550" s="50">
        <f>VLOOKUP($A550,'[1]ma sp 02'!$A$5:$BD$1101,M$1,0)</f>
        <v>0.58699999999999997</v>
      </c>
      <c r="N550" s="50">
        <f>VLOOKUP($A550,'[1]ma sp 02'!$A$5:$BD$1101,N$1,0)</f>
        <v>0</v>
      </c>
      <c r="O550" s="50">
        <f>VLOOKUP($A550,'[1]ma sp 02'!$A$5:$BD$1101,O$1,0)</f>
        <v>0</v>
      </c>
      <c r="P550" s="50">
        <f>VLOOKUP($A550,'[1]ma sp 02'!$A$5:$BD$1101,P$1,0)</f>
        <v>2.13</v>
      </c>
      <c r="Q550" s="50">
        <f>VLOOKUP($A550,'[1]ma sp 02'!$A$5:$BD$1101,Q$1,0)</f>
        <v>0</v>
      </c>
      <c r="R550" s="50">
        <f>VLOOKUP($A550,'[1]ma sp 02'!$A$5:$BD$1101,R$1,0)</f>
        <v>1.76</v>
      </c>
      <c r="S550" s="50">
        <f>VLOOKUP($A550,'[1]ma sp 02'!$A$5:$BD$1101,S$1,0)</f>
        <v>0</v>
      </c>
      <c r="T550" s="50">
        <f>VLOOKUP($A550,'[1]ma sp 02'!$A$5:$BD$1101,T$1,0)</f>
        <v>0</v>
      </c>
      <c r="U550" s="50">
        <f>VLOOKUP($A550,'[1]ma sp 02'!$A$5:$BD$1101,U$1,0)</f>
        <v>0</v>
      </c>
      <c r="V550" s="50">
        <f>VLOOKUP($A550,'[1]ma sp 02'!$A$5:$BD$1101,V$1,0)</f>
        <v>0</v>
      </c>
      <c r="W550" s="50">
        <f>VLOOKUP($A550,'[1]ma sp 02'!$A$5:$BD$1101,W$1,0)</f>
        <v>0</v>
      </c>
      <c r="X550" s="50">
        <f t="shared" si="20"/>
        <v>6</v>
      </c>
      <c r="Y550" s="62"/>
      <c r="Z550" s="62"/>
      <c r="AA550" s="62"/>
      <c r="AB550" s="62"/>
      <c r="AC550" s="62"/>
      <c r="AD550" s="62"/>
      <c r="AE550" s="62" t="s">
        <v>1782</v>
      </c>
      <c r="AF550" s="62"/>
      <c r="AG550" s="71">
        <f>(0.015*1.15+0.09*0.94)*0.67</f>
        <v>6.8239499999999995E-2</v>
      </c>
      <c r="AH550" s="153">
        <f>(3/0.75/2)*0.66</f>
        <v>1.32</v>
      </c>
      <c r="AI550" s="151"/>
      <c r="AJ550" s="9">
        <v>9530</v>
      </c>
      <c r="AK550" s="9"/>
      <c r="AL550" s="9">
        <v>3.0000000000000001E-3</v>
      </c>
      <c r="AM550" s="69" t="s">
        <v>1489</v>
      </c>
      <c r="AN550" s="9">
        <v>432</v>
      </c>
      <c r="AO550" s="69" t="s">
        <v>1783</v>
      </c>
      <c r="AP550" s="59" t="str">
        <f>IFERROR(VLOOKUP($A550,[2]Mssp!$A$5:$BE$1463,AP$4+1,0),0)</f>
        <v>F124026-1</v>
      </c>
      <c r="AQ550" s="59" t="str">
        <f>IFERROR(VLOOKUP($A550,[2]Mssp!$A$5:$BE$1463,AQ$4+1,0),0)</f>
        <v>F124026-2</v>
      </c>
      <c r="AR550" s="59" t="str">
        <f>IFERROR(VLOOKUP($A550,[2]Mssp!$A$5:$BE$1463,AR$4+1,0),0)</f>
        <v>F124026-3</v>
      </c>
      <c r="AS550" s="59" t="str">
        <f>IFERROR(VLOOKUP($A550,[2]Mssp!$A$5:$BE$1463,AS$4+1,0),0)</f>
        <v>F124026-4</v>
      </c>
      <c r="AT550" s="59" t="str">
        <f>IFERROR(VLOOKUP($A550,[2]Mssp!$A$5:$BE$1463,AT$4+1,0),0)</f>
        <v>F124026-5</v>
      </c>
      <c r="AU550" s="59" t="str">
        <f>IFERROR(VLOOKUP($A550,[2]Mssp!$A$5:$BE$1463,AU$4+1,0),0)</f>
        <v>F124026-6</v>
      </c>
      <c r="AV550" s="59">
        <f>IFERROR(VLOOKUP($A550,[2]Mssp!$A$5:$BE$1463,AV$4+1,0),0)</f>
        <v>0</v>
      </c>
      <c r="AW550" s="59">
        <f>IFERROR(VLOOKUP($A550,[2]Mssp!$A$5:$BE$1463,AW$4+1,0),0)</f>
        <v>0</v>
      </c>
      <c r="AX550" s="59">
        <f>IFERROR(VLOOKUP($A550,[2]Mssp!$A$5:$BE$1463,AX$4+1,0),0)</f>
        <v>0</v>
      </c>
      <c r="AY550" s="59" t="str">
        <f>IFERROR(VLOOKUP($A550,[2]Mssp!$A$5:$BE$1463,AY$4+2,0),0)</f>
        <v>860x432</v>
      </c>
      <c r="AZ550" s="59" t="str">
        <f>IFERROR(VLOOKUP($A550,[2]Mssp!$A$5:$BE$1463,AZ$4+2,0),0)</f>
        <v>Q2</v>
      </c>
      <c r="BA550" s="141"/>
      <c r="BB550" s="61" t="s">
        <v>1784</v>
      </c>
      <c r="BC550" s="129"/>
      <c r="BD550" s="138"/>
      <c r="BE550" s="131"/>
      <c r="BF550" s="139"/>
      <c r="BG550" s="131"/>
      <c r="BH550" s="139"/>
      <c r="BI550" s="140"/>
      <c r="BJ550" s="139"/>
      <c r="BK550" s="134"/>
      <c r="BL550" s="139"/>
      <c r="BM550" s="131"/>
      <c r="BN550" s="139"/>
      <c r="BO550" s="9"/>
      <c r="BP550" s="139"/>
      <c r="BQ550" s="139"/>
      <c r="BR550" s="139"/>
      <c r="BS550" s="135"/>
      <c r="BT550" s="139"/>
      <c r="BU550" s="131"/>
      <c r="BV550" s="139"/>
      <c r="BW550" s="131"/>
      <c r="BX550" s="139"/>
      <c r="BY550" s="131"/>
      <c r="BZ550" s="139"/>
      <c r="CA550" s="131"/>
      <c r="CB550" s="139"/>
      <c r="CC550" s="131"/>
      <c r="CD550" s="139"/>
      <c r="CE550" s="9"/>
      <c r="CF550" s="9"/>
      <c r="CG550" s="9"/>
      <c r="CH550" s="9"/>
      <c r="CI550" s="9"/>
      <c r="CJ550" s="9"/>
      <c r="CK550" s="9"/>
      <c r="CL550" s="9"/>
      <c r="CM550" s="9"/>
      <c r="CN550" s="9"/>
      <c r="CO550" s="9"/>
      <c r="CP550" s="9"/>
    </row>
    <row r="551" spans="1:94" ht="45" x14ac:dyDescent="0.25">
      <c r="A551" s="127" t="s">
        <v>1785</v>
      </c>
      <c r="B551" s="51" t="s">
        <v>1786</v>
      </c>
      <c r="C551" s="62"/>
      <c r="D551" s="84">
        <v>1</v>
      </c>
      <c r="E551" s="62" t="s">
        <v>1216</v>
      </c>
      <c r="F551" s="62">
        <v>6</v>
      </c>
      <c r="G551" s="62" t="s">
        <v>530</v>
      </c>
      <c r="H551" s="50">
        <f>VLOOKUP($A551,'[1]ma sp 02'!$A$5:$BD$1101,H$1,0)</f>
        <v>1.21</v>
      </c>
      <c r="I551" s="50">
        <f>VLOOKUP($A551,'[1]ma sp 02'!$A$5:$BD$1101,I$1,0)</f>
        <v>0</v>
      </c>
      <c r="J551" s="50">
        <f>VLOOKUP($A551,'[1]ma sp 02'!$A$5:$BD$1101,J$1,0)</f>
        <v>0.01</v>
      </c>
      <c r="K551" s="50">
        <f>VLOOKUP($A551,'[1]ma sp 02'!$A$5:$BD$1101,K$1,0)</f>
        <v>0.43</v>
      </c>
      <c r="L551" s="50">
        <f>VLOOKUP($A551,'[1]ma sp 02'!$A$5:$BD$1101,L$1,0)</f>
        <v>0.39</v>
      </c>
      <c r="M551" s="50">
        <f>VLOOKUP($A551,'[1]ma sp 02'!$A$5:$BD$1101,M$1,0)</f>
        <v>0.77200000000000002</v>
      </c>
      <c r="N551" s="50">
        <f>VLOOKUP($A551,'[1]ma sp 02'!$A$5:$BD$1101,N$1,0)</f>
        <v>0</v>
      </c>
      <c r="O551" s="50">
        <f>VLOOKUP($A551,'[1]ma sp 02'!$A$5:$BD$1101,O$1,0)</f>
        <v>0</v>
      </c>
      <c r="P551" s="50">
        <f>VLOOKUP($A551,'[1]ma sp 02'!$A$5:$BD$1101,P$1,0)</f>
        <v>1.45</v>
      </c>
      <c r="Q551" s="50">
        <f>VLOOKUP($A551,'[1]ma sp 02'!$A$5:$BD$1101,Q$1,0)</f>
        <v>0</v>
      </c>
      <c r="R551" s="50">
        <f>VLOOKUP($A551,'[1]ma sp 02'!$A$5:$BD$1101,R$1,0)</f>
        <v>0.31</v>
      </c>
      <c r="S551" s="50">
        <f>VLOOKUP($A551,'[1]ma sp 02'!$A$5:$BD$1101,S$1,0)</f>
        <v>0</v>
      </c>
      <c r="T551" s="50">
        <f>VLOOKUP($A551,'[1]ma sp 02'!$A$5:$BD$1101,T$1,0)</f>
        <v>0</v>
      </c>
      <c r="U551" s="50">
        <f>VLOOKUP($A551,'[1]ma sp 02'!$A$5:$BD$1101,U$1,0)</f>
        <v>0</v>
      </c>
      <c r="V551" s="50">
        <f>VLOOKUP($A551,'[1]ma sp 02'!$A$5:$BD$1101,V$1,0)</f>
        <v>0</v>
      </c>
      <c r="W551" s="50">
        <f>VLOOKUP($A551,'[1]ma sp 02'!$A$5:$BD$1101,W$1,0)</f>
        <v>0</v>
      </c>
      <c r="X551" s="50">
        <f t="shared" si="20"/>
        <v>7</v>
      </c>
      <c r="Y551" s="62"/>
      <c r="Z551" s="62"/>
      <c r="AA551" s="62"/>
      <c r="AB551" s="62"/>
      <c r="AC551" s="62"/>
      <c r="AD551" s="62"/>
      <c r="AE551" s="58" t="s">
        <v>1217</v>
      </c>
      <c r="AF551" s="62"/>
      <c r="AG551" s="71">
        <f>(0.012*1.4+0.09*0.94)*0.63</f>
        <v>6.3881999999999994E-2</v>
      </c>
      <c r="AH551" s="153">
        <f>(3/0.75/2)*0.66</f>
        <v>1.32</v>
      </c>
      <c r="AI551" s="63">
        <f>(3/0.75/2)*0.62</f>
        <v>1.24</v>
      </c>
      <c r="AJ551" s="9">
        <v>9530</v>
      </c>
      <c r="AK551" s="9"/>
      <c r="AL551" s="9">
        <v>3.0000000000000001E-3</v>
      </c>
      <c r="AM551" s="69" t="s">
        <v>1489</v>
      </c>
      <c r="AN551" s="9">
        <v>390</v>
      </c>
      <c r="AO551" s="69" t="s">
        <v>1787</v>
      </c>
      <c r="AP551" s="59" t="str">
        <f>IFERROR(VLOOKUP($A551,[2]Mssp!$A$5:$BE$1463,AP$4+1,0),0)</f>
        <v>F124130-1</v>
      </c>
      <c r="AQ551" s="59" t="str">
        <f>IFERROR(VLOOKUP($A551,[2]Mssp!$A$5:$BE$1463,AQ$4+1,0),0)</f>
        <v>F124130-2</v>
      </c>
      <c r="AR551" s="59" t="str">
        <f>IFERROR(VLOOKUP($A551,[2]Mssp!$A$5:$BE$1463,AR$4+1,0),0)</f>
        <v>F124130-3</v>
      </c>
      <c r="AS551" s="59" t="str">
        <f>IFERROR(VLOOKUP($A551,[2]Mssp!$A$5:$BE$1463,AS$4+1,0),0)</f>
        <v>F124130-4</v>
      </c>
      <c r="AT551" s="59" t="str">
        <f>IFERROR(VLOOKUP($A551,[2]Mssp!$A$5:$BE$1463,AT$4+1,0),0)</f>
        <v>F124130-5</v>
      </c>
      <c r="AU551" s="59" t="str">
        <f>IFERROR(VLOOKUP($A551,[2]Mssp!$A$5:$BE$1463,AU$4+1,0),0)</f>
        <v>F124130-6</v>
      </c>
      <c r="AV551" s="59">
        <f>IFERROR(VLOOKUP($A551,[2]Mssp!$A$5:$BE$1463,AV$4+1,0),0)</f>
        <v>0</v>
      </c>
      <c r="AW551" s="59">
        <f>IFERROR(VLOOKUP($A551,[2]Mssp!$A$5:$BE$1463,AW$4+1,0),0)</f>
        <v>0</v>
      </c>
      <c r="AX551" s="59">
        <f>IFERROR(VLOOKUP($A551,[2]Mssp!$A$5:$BE$1463,AX$4+1,0),0)</f>
        <v>0</v>
      </c>
      <c r="AY551" s="59" t="str">
        <f>IFERROR(VLOOKUP($A551,[2]Mssp!$A$5:$BE$1463,AY$4+2,0),0)</f>
        <v>780x860</v>
      </c>
      <c r="AZ551" s="59" t="str">
        <f>IFERROR(VLOOKUP($A551,[2]Mssp!$A$5:$BE$1463,AZ$4+2,0),0)</f>
        <v>U2</v>
      </c>
      <c r="BA551" s="141"/>
      <c r="BB551" s="61"/>
      <c r="BC551" s="129"/>
      <c r="BD551" s="138"/>
      <c r="BE551" s="131"/>
      <c r="BF551" s="139"/>
      <c r="BG551" s="131"/>
      <c r="BH551" s="139"/>
      <c r="BI551" s="140"/>
      <c r="BJ551" s="139"/>
      <c r="BK551" s="134"/>
      <c r="BL551" s="139"/>
      <c r="BM551" s="131"/>
      <c r="BN551" s="139"/>
      <c r="BO551" s="9"/>
      <c r="BP551" s="139"/>
      <c r="BQ551" s="139"/>
      <c r="BR551" s="139"/>
      <c r="BS551" s="135"/>
      <c r="BT551" s="139"/>
      <c r="BU551" s="131"/>
      <c r="BV551" s="139"/>
      <c r="BW551" s="131"/>
      <c r="BX551" s="139"/>
      <c r="BY551" s="131"/>
      <c r="BZ551" s="139"/>
      <c r="CA551" s="131"/>
      <c r="CB551" s="139"/>
      <c r="CC551" s="131"/>
      <c r="CD551" s="139"/>
      <c r="CE551" s="9"/>
      <c r="CF551" s="9"/>
      <c r="CG551" s="9"/>
      <c r="CH551" s="9"/>
      <c r="CI551" s="9"/>
      <c r="CJ551" s="9"/>
      <c r="CK551" s="9"/>
      <c r="CL551" s="9"/>
      <c r="CM551" s="9"/>
      <c r="CN551" s="9"/>
      <c r="CO551" s="9"/>
      <c r="CP551" s="9"/>
    </row>
    <row r="552" spans="1:94" ht="45" x14ac:dyDescent="0.25">
      <c r="A552" s="127" t="s">
        <v>1788</v>
      </c>
      <c r="B552" s="51" t="s">
        <v>1789</v>
      </c>
      <c r="C552" s="62"/>
      <c r="D552" s="84">
        <v>1</v>
      </c>
      <c r="E552" s="62" t="s">
        <v>1781</v>
      </c>
      <c r="F552" s="62">
        <v>7</v>
      </c>
      <c r="G552" s="62" t="s">
        <v>530</v>
      </c>
      <c r="H552" s="50">
        <f>VLOOKUP($A552,'[1]ma sp 02'!$A$5:$BD$1101,H$1,0)</f>
        <v>0.01</v>
      </c>
      <c r="I552" s="50">
        <f>VLOOKUP($A552,'[1]ma sp 02'!$A$5:$BD$1101,I$1,0)</f>
        <v>0</v>
      </c>
      <c r="J552" s="50">
        <f>VLOOKUP($A552,'[1]ma sp 02'!$A$5:$BD$1101,J$1,0)</f>
        <v>0.01</v>
      </c>
      <c r="K552" s="50">
        <f>VLOOKUP($A552,'[1]ma sp 02'!$A$5:$BD$1101,K$1,0)</f>
        <v>0.6</v>
      </c>
      <c r="L552" s="50">
        <f>VLOOKUP($A552,'[1]ma sp 02'!$A$5:$BD$1101,L$1,0)</f>
        <v>2.6</v>
      </c>
      <c r="M552" s="50">
        <f>VLOOKUP($A552,'[1]ma sp 02'!$A$5:$BD$1101,M$1,0)</f>
        <v>2</v>
      </c>
      <c r="N552" s="50">
        <f>VLOOKUP($A552,'[1]ma sp 02'!$A$5:$BD$1101,N$1,0)</f>
        <v>0</v>
      </c>
      <c r="O552" s="50">
        <f>VLOOKUP($A552,'[1]ma sp 02'!$A$5:$BD$1101,O$1,0)</f>
        <v>0.6</v>
      </c>
      <c r="P552" s="50">
        <f>VLOOKUP($A552,'[1]ma sp 02'!$A$5:$BD$1101,P$1,0)</f>
        <v>0.01</v>
      </c>
      <c r="Q552" s="50">
        <f>VLOOKUP($A552,'[1]ma sp 02'!$A$5:$BD$1101,Q$1,0)</f>
        <v>0</v>
      </c>
      <c r="R552" s="50">
        <f>VLOOKUP($A552,'[1]ma sp 02'!$A$5:$BD$1101,R$1,0)</f>
        <v>0.01</v>
      </c>
      <c r="S552" s="50">
        <f>VLOOKUP($A552,'[1]ma sp 02'!$A$5:$BD$1101,S$1,0)</f>
        <v>0</v>
      </c>
      <c r="T552" s="50">
        <f>VLOOKUP($A552,'[1]ma sp 02'!$A$5:$BD$1101,T$1,0)</f>
        <v>0</v>
      </c>
      <c r="U552" s="50">
        <f>VLOOKUP($A552,'[1]ma sp 02'!$A$5:$BD$1101,U$1,0)</f>
        <v>0</v>
      </c>
      <c r="V552" s="50">
        <f>VLOOKUP($A552,'[1]ma sp 02'!$A$5:$BD$1101,V$1,0)</f>
        <v>0</v>
      </c>
      <c r="W552" s="50">
        <f>VLOOKUP($A552,'[1]ma sp 02'!$A$5:$BD$1101,W$1,0)</f>
        <v>0</v>
      </c>
      <c r="X552" s="50">
        <f t="shared" si="20"/>
        <v>8</v>
      </c>
      <c r="Y552" s="62"/>
      <c r="Z552" s="62"/>
      <c r="AA552" s="62"/>
      <c r="AB552" s="62"/>
      <c r="AC552" s="62"/>
      <c r="AD552" s="62"/>
      <c r="AE552" s="62" t="s">
        <v>1790</v>
      </c>
      <c r="AF552" s="62"/>
      <c r="AG552" s="71">
        <f>(0.015*1.15+0.09*0.94)*0.67</f>
        <v>6.8239499999999995E-2</v>
      </c>
      <c r="AH552" s="153">
        <f>(3/0.75/2)*0.66</f>
        <v>1.32</v>
      </c>
      <c r="AI552" s="151"/>
      <c r="AJ552" s="9">
        <v>9530</v>
      </c>
      <c r="AK552" s="9"/>
      <c r="AL552" s="9">
        <v>3.0000000000000001E-3</v>
      </c>
      <c r="AM552" s="69" t="s">
        <v>1489</v>
      </c>
      <c r="AN552" s="9">
        <v>422</v>
      </c>
      <c r="AO552" s="69" t="s">
        <v>1791</v>
      </c>
      <c r="AP552" s="59" t="str">
        <f>IFERROR(VLOOKUP($A552,[2]Mssp!$A$5:$BE$1463,AP$4+1,0),0)</f>
        <v>F124164-1</v>
      </c>
      <c r="AQ552" s="59" t="str">
        <f>IFERROR(VLOOKUP($A552,[2]Mssp!$A$5:$BE$1463,AQ$4+1,0),0)</f>
        <v>F124164-2</v>
      </c>
      <c r="AR552" s="59" t="str">
        <f>IFERROR(VLOOKUP($A552,[2]Mssp!$A$5:$BE$1463,AR$4+1,0),0)</f>
        <v>F124164-3</v>
      </c>
      <c r="AS552" s="59" t="str">
        <f>IFERROR(VLOOKUP($A552,[2]Mssp!$A$5:$BE$1463,AS$4+1,0),0)</f>
        <v>F124164-4</v>
      </c>
      <c r="AT552" s="59" t="str">
        <f>IFERROR(VLOOKUP($A552,[2]Mssp!$A$5:$BE$1463,AT$4+1,0),0)</f>
        <v>F124164-5</v>
      </c>
      <c r="AU552" s="59" t="str">
        <f>IFERROR(VLOOKUP($A552,[2]Mssp!$A$5:$BE$1463,AU$4+1,0),0)</f>
        <v>F124164-6</v>
      </c>
      <c r="AV552" s="59" t="str">
        <f>IFERROR(VLOOKUP($A552,[2]Mssp!$A$5:$BE$1463,AV$4+1,0),0)</f>
        <v>F124164-7</v>
      </c>
      <c r="AW552" s="59">
        <f>IFERROR(VLOOKUP($A552,[2]Mssp!$A$5:$BE$1463,AW$4+1,0),0)</f>
        <v>0</v>
      </c>
      <c r="AX552" s="59">
        <f>IFERROR(VLOOKUP($A552,[2]Mssp!$A$5:$BE$1463,AX$4+1,0),0)</f>
        <v>0</v>
      </c>
      <c r="AY552" s="59" t="str">
        <f>IFERROR(VLOOKUP($A552,[2]Mssp!$A$5:$BE$1463,AY$4+2,0),0)</f>
        <v>422x870</v>
      </c>
      <c r="AZ552" s="59" t="str">
        <f>IFERROR(VLOOKUP($A552,[2]Mssp!$A$5:$BE$1463,AZ$4+2,0),0)</f>
        <v>Q2</v>
      </c>
      <c r="BA552" s="141"/>
      <c r="BB552" s="61"/>
      <c r="BC552" s="129"/>
      <c r="BD552" s="138"/>
      <c r="BE552" s="131"/>
      <c r="BF552" s="139"/>
      <c r="BG552" s="131"/>
      <c r="BH552" s="139"/>
      <c r="BI552" s="140"/>
      <c r="BJ552" s="139"/>
      <c r="BK552" s="134"/>
      <c r="BL552" s="139"/>
      <c r="BM552" s="131"/>
      <c r="BN552" s="139"/>
      <c r="BO552" s="9"/>
      <c r="BP552" s="139"/>
      <c r="BQ552" s="139"/>
      <c r="BR552" s="139"/>
      <c r="BS552" s="135"/>
      <c r="BT552" s="139"/>
      <c r="BU552" s="131"/>
      <c r="BV552" s="139"/>
      <c r="BW552" s="131"/>
      <c r="BX552" s="139"/>
      <c r="BY552" s="131"/>
      <c r="BZ552" s="139"/>
      <c r="CA552" s="131"/>
      <c r="CB552" s="139"/>
      <c r="CC552" s="131"/>
      <c r="CD552" s="139"/>
      <c r="CE552" s="9"/>
      <c r="CF552" s="9"/>
      <c r="CG552" s="9"/>
      <c r="CH552" s="9"/>
      <c r="CI552" s="9"/>
      <c r="CJ552" s="9"/>
      <c r="CK552" s="9"/>
      <c r="CL552" s="9"/>
      <c r="CM552" s="9"/>
      <c r="CN552" s="9"/>
      <c r="CO552" s="9"/>
      <c r="CP552" s="9"/>
    </row>
    <row r="553" spans="1:94" ht="45" x14ac:dyDescent="0.25">
      <c r="A553" s="127" t="s">
        <v>1792</v>
      </c>
      <c r="B553" s="51" t="s">
        <v>1793</v>
      </c>
      <c r="C553" s="62"/>
      <c r="D553" s="84">
        <v>2</v>
      </c>
      <c r="E553" s="62" t="s">
        <v>131</v>
      </c>
      <c r="F553" s="62">
        <f>6+1</f>
        <v>7</v>
      </c>
      <c r="G553" s="62" t="s">
        <v>530</v>
      </c>
      <c r="H553" s="50">
        <f>VLOOKUP($A553,'[1]ma sp 02'!$A$5:$BD$1101,H$1,0)</f>
        <v>0</v>
      </c>
      <c r="I553" s="50">
        <f>VLOOKUP($A553,'[1]ma sp 02'!$A$5:$BD$1101,I$1,0)</f>
        <v>5.5</v>
      </c>
      <c r="J553" s="50">
        <f>VLOOKUP($A553,'[1]ma sp 02'!$A$5:$BD$1101,J$1,0)</f>
        <v>1.4</v>
      </c>
      <c r="K553" s="50">
        <f>VLOOKUP($A553,'[1]ma sp 02'!$A$5:$BD$1101,K$1,0)</f>
        <v>0.75</v>
      </c>
      <c r="L553" s="50">
        <f>VLOOKUP($A553,'[1]ma sp 02'!$A$5:$BD$1101,L$1,0)</f>
        <v>0.01</v>
      </c>
      <c r="M553" s="50">
        <f>VLOOKUP($A553,'[1]ma sp 02'!$A$5:$BD$1101,M$1,0)</f>
        <v>2</v>
      </c>
      <c r="N553" s="50">
        <f>VLOOKUP($A553,'[1]ma sp 02'!$A$5:$BD$1101,N$1,0)</f>
        <v>0</v>
      </c>
      <c r="O553" s="50">
        <f>VLOOKUP($A553,'[1]ma sp 02'!$A$5:$BD$1101,O$1,0)</f>
        <v>0.6</v>
      </c>
      <c r="P553" s="50">
        <f>VLOOKUP($A553,'[1]ma sp 02'!$A$5:$BD$1101,P$1,0)</f>
        <v>0</v>
      </c>
      <c r="Q553" s="50">
        <f>VLOOKUP($A553,'[1]ma sp 02'!$A$5:$BD$1101,Q$1,0)</f>
        <v>0.1</v>
      </c>
      <c r="R553" s="50">
        <f>VLOOKUP($A553,'[1]ma sp 02'!$A$5:$BD$1101,R$1,0)</f>
        <v>0</v>
      </c>
      <c r="S553" s="50">
        <f>VLOOKUP($A553,'[1]ma sp 02'!$A$5:$BD$1101,S$1,0)</f>
        <v>0</v>
      </c>
      <c r="T553" s="50">
        <f>VLOOKUP($A553,'[1]ma sp 02'!$A$5:$BD$1101,T$1,0)</f>
        <v>1</v>
      </c>
      <c r="U553" s="50">
        <f>VLOOKUP($A553,'[1]ma sp 02'!$A$5:$BD$1101,U$1,0)</f>
        <v>0</v>
      </c>
      <c r="V553" s="50">
        <f>VLOOKUP($A553,'[1]ma sp 02'!$A$5:$BD$1101,V$1,0)</f>
        <v>0</v>
      </c>
      <c r="W553" s="50">
        <f>VLOOKUP($A553,'[1]ma sp 02'!$A$5:$BD$1101,W$1,0)</f>
        <v>0</v>
      </c>
      <c r="X553" s="50">
        <f t="shared" si="20"/>
        <v>8</v>
      </c>
      <c r="Y553" s="62"/>
      <c r="Z553" s="62"/>
      <c r="AA553" s="62"/>
      <c r="AB553" s="62"/>
      <c r="AC553" s="62"/>
      <c r="AD553" s="62"/>
      <c r="AE553" s="62" t="s">
        <v>1721</v>
      </c>
      <c r="AF553" s="62" t="s">
        <v>1722</v>
      </c>
      <c r="AG553" s="71">
        <f>(0.012*1.4+0.006*2.71+0.06*0.925)*0.62</f>
        <v>5.4907199999999996E-2</v>
      </c>
      <c r="AH553" s="155">
        <f>(2.3/0.75/2)*0.61</f>
        <v>0.93533333333333324</v>
      </c>
      <c r="AI553" s="63">
        <f>(2.3/0.75/2)*0.61</f>
        <v>0.93533333333333324</v>
      </c>
      <c r="AJ553" s="62">
        <v>9530</v>
      </c>
      <c r="AK553" s="62">
        <v>9530</v>
      </c>
      <c r="AL553" s="62" t="s">
        <v>1700</v>
      </c>
      <c r="AM553" s="61" t="s">
        <v>1723</v>
      </c>
      <c r="AN553" s="62">
        <v>250</v>
      </c>
      <c r="AO553" s="61" t="s">
        <v>1724</v>
      </c>
      <c r="AP553" s="59" t="str">
        <f>IFERROR(VLOOKUP($A553,[2]Mssp!$A$5:$BE$1463,AP$4+1,0),0)</f>
        <v>X106818-1</v>
      </c>
      <c r="AQ553" s="59" t="str">
        <f>IFERROR(VLOOKUP($A553,[2]Mssp!$A$5:$BE$1463,AQ$4+1,0),0)</f>
        <v>X106818-2</v>
      </c>
      <c r="AR553" s="59" t="str">
        <f>IFERROR(VLOOKUP($A553,[2]Mssp!$A$5:$BE$1463,AR$4+1,0),0)</f>
        <v>X106818-3</v>
      </c>
      <c r="AS553" s="59" t="str">
        <f>IFERROR(VLOOKUP($A553,[2]Mssp!$A$5:$BE$1463,AS$4+1,0),0)</f>
        <v>X106818-4</v>
      </c>
      <c r="AT553" s="59" t="str">
        <f>IFERROR(VLOOKUP($A553,[2]Mssp!$A$5:$BE$1463,AT$4+1,0),0)</f>
        <v>X106818-5</v>
      </c>
      <c r="AU553" s="59" t="str">
        <f>IFERROR(VLOOKUP($A553,[2]Mssp!$A$5:$BE$1463,AU$4+1,0),0)</f>
        <v>X106818-6</v>
      </c>
      <c r="AV553" s="59" t="str">
        <f>IFERROR(VLOOKUP($A553,[2]Mssp!$A$5:$BE$1463,AV$4+1,0),0)</f>
        <v>X105890-7</v>
      </c>
      <c r="AW553" s="59">
        <f>IFERROR(VLOOKUP($A553,[2]Mssp!$A$5:$BE$1463,AW$4+1,0),0)</f>
        <v>0</v>
      </c>
      <c r="AX553" s="59">
        <f>IFERROR(VLOOKUP($A553,[2]Mssp!$A$5:$BE$1463,AX$4+1,0),0)</f>
        <v>0</v>
      </c>
      <c r="AY553" s="59" t="str">
        <f>IFERROR(VLOOKUP($A553,[2]Mssp!$A$5:$BE$1463,AY$4+2,0),0)</f>
        <v>500x860</v>
      </c>
      <c r="AZ553" s="59" t="str">
        <f>IFERROR(VLOOKUP($A553,[2]Mssp!$A$5:$BE$1463,AZ$4+2,0),0)</f>
        <v>A3</v>
      </c>
      <c r="BA553" s="141"/>
      <c r="BB553" s="61"/>
      <c r="BC553" s="129"/>
      <c r="BD553" s="138"/>
      <c r="BE553" s="131"/>
      <c r="BF553" s="139"/>
      <c r="BG553" s="131"/>
      <c r="BH553" s="139"/>
      <c r="BI553" s="140"/>
      <c r="BJ553" s="139"/>
      <c r="BK553" s="134"/>
      <c r="BL553" s="139"/>
      <c r="BM553" s="131"/>
      <c r="BN553" s="139"/>
      <c r="BO553" s="9"/>
      <c r="BP553" s="139"/>
      <c r="BQ553" s="139"/>
      <c r="BR553" s="139"/>
      <c r="BS553" s="135"/>
      <c r="BT553" s="139"/>
      <c r="BU553" s="131"/>
      <c r="BV553" s="139"/>
      <c r="BW553" s="131"/>
      <c r="BX553" s="139"/>
      <c r="BY553" s="131"/>
      <c r="BZ553" s="139"/>
      <c r="CA553" s="131"/>
      <c r="CB553" s="139"/>
      <c r="CC553" s="131"/>
      <c r="CD553" s="139"/>
      <c r="CE553" s="9"/>
      <c r="CF553" s="9"/>
      <c r="CG553" s="9"/>
      <c r="CH553" s="9"/>
      <c r="CI553" s="9"/>
      <c r="CJ553" s="9"/>
      <c r="CK553" s="9"/>
      <c r="CL553" s="9"/>
      <c r="CM553" s="9"/>
      <c r="CN553" s="9"/>
      <c r="CO553" s="9"/>
      <c r="CP553" s="9"/>
    </row>
    <row r="554" spans="1:94" x14ac:dyDescent="0.25">
      <c r="A554" s="127" t="s">
        <v>1794</v>
      </c>
      <c r="B554" s="51"/>
      <c r="C554" s="62"/>
      <c r="D554" s="84"/>
      <c r="E554" s="62"/>
      <c r="F554" s="62"/>
      <c r="G554" s="62"/>
      <c r="H554" s="50">
        <f>VLOOKUP($A554,'[1]ma sp 02'!$A$5:$BD$1101,H$1,0)</f>
        <v>0</v>
      </c>
      <c r="I554" s="50">
        <f>VLOOKUP($A554,'[1]ma sp 02'!$A$5:$BD$1101,I$1,0)</f>
        <v>0</v>
      </c>
      <c r="J554" s="50">
        <f>VLOOKUP($A554,'[1]ma sp 02'!$A$5:$BD$1101,J$1,0)</f>
        <v>0</v>
      </c>
      <c r="K554" s="50">
        <f>VLOOKUP($A554,'[1]ma sp 02'!$A$5:$BD$1101,K$1,0)</f>
        <v>0</v>
      </c>
      <c r="L554" s="50">
        <f>VLOOKUP($A554,'[1]ma sp 02'!$A$5:$BD$1101,L$1,0)</f>
        <v>0</v>
      </c>
      <c r="M554" s="50">
        <f>VLOOKUP($A554,'[1]ma sp 02'!$A$5:$BD$1101,M$1,0)</f>
        <v>0</v>
      </c>
      <c r="N554" s="50">
        <f>VLOOKUP($A554,'[1]ma sp 02'!$A$5:$BD$1101,N$1,0)</f>
        <v>0</v>
      </c>
      <c r="O554" s="50">
        <f>VLOOKUP($A554,'[1]ma sp 02'!$A$5:$BD$1101,O$1,0)</f>
        <v>0</v>
      </c>
      <c r="P554" s="50">
        <f>VLOOKUP($A554,'[1]ma sp 02'!$A$5:$BD$1101,P$1,0)</f>
        <v>0</v>
      </c>
      <c r="Q554" s="50">
        <f>VLOOKUP($A554,'[1]ma sp 02'!$A$5:$BD$1101,Q$1,0)</f>
        <v>0</v>
      </c>
      <c r="R554" s="50">
        <f>VLOOKUP($A554,'[1]ma sp 02'!$A$5:$BD$1101,R$1,0)</f>
        <v>0</v>
      </c>
      <c r="S554" s="50">
        <f>VLOOKUP($A554,'[1]ma sp 02'!$A$5:$BD$1101,S$1,0)</f>
        <v>0</v>
      </c>
      <c r="T554" s="50">
        <f>VLOOKUP($A554,'[1]ma sp 02'!$A$5:$BD$1101,T$1,0)</f>
        <v>0</v>
      </c>
      <c r="U554" s="50">
        <f>VLOOKUP($A554,'[1]ma sp 02'!$A$5:$BD$1101,U$1,0)</f>
        <v>0</v>
      </c>
      <c r="V554" s="50">
        <f>VLOOKUP($A554,'[1]ma sp 02'!$A$5:$BD$1101,V$1,0)</f>
        <v>0</v>
      </c>
      <c r="W554" s="50">
        <f>VLOOKUP($A554,'[1]ma sp 02'!$A$5:$BD$1101,W$1,0)</f>
        <v>0</v>
      </c>
      <c r="X554" s="50">
        <f t="shared" si="20"/>
        <v>0</v>
      </c>
      <c r="Y554" s="62"/>
      <c r="Z554" s="62"/>
      <c r="AA554" s="62"/>
      <c r="AB554" s="62"/>
      <c r="AC554" s="62"/>
      <c r="AD554" s="62"/>
      <c r="AE554" s="62"/>
      <c r="AF554" s="62"/>
      <c r="AG554" s="71"/>
      <c r="AH554" s="155"/>
      <c r="AI554" s="151"/>
      <c r="AJ554" s="9"/>
      <c r="AK554" s="9"/>
      <c r="AL554" s="9"/>
      <c r="AM554" s="69"/>
      <c r="AN554" s="9"/>
      <c r="AO554" s="69"/>
      <c r="AP554" s="59" t="str">
        <f>IFERROR(VLOOKUP($A554,[2]Mssp!$A$5:$BE$1463,AP$4+1,0),0)</f>
        <v>19081114-1</v>
      </c>
      <c r="AQ554" s="59" t="str">
        <f>IFERROR(VLOOKUP($A554,[2]Mssp!$A$5:$BE$1463,AQ$4+1,0),0)</f>
        <v>19081114-2</v>
      </c>
      <c r="AR554" s="59" t="str">
        <f>IFERROR(VLOOKUP($A554,[2]Mssp!$A$5:$BE$1463,AR$4+1,0),0)</f>
        <v>19081114-3</v>
      </c>
      <c r="AS554" s="59" t="str">
        <f>IFERROR(VLOOKUP($A554,[2]Mssp!$A$5:$BE$1463,AS$4+1,0),0)</f>
        <v>19081114-4</v>
      </c>
      <c r="AT554" s="59" t="str">
        <f>IFERROR(VLOOKUP($A554,[2]Mssp!$A$5:$BE$1463,AT$4+1,0),0)</f>
        <v>19081114-5</v>
      </c>
      <c r="AU554" s="59" t="str">
        <f>IFERROR(VLOOKUP($A554,[2]Mssp!$A$5:$BE$1463,AU$4+1,0),0)</f>
        <v>19081114-6</v>
      </c>
      <c r="AV554" s="59">
        <f>IFERROR(VLOOKUP($A554,[2]Mssp!$A$5:$BE$1463,AV$4+1,0),0)</f>
        <v>0</v>
      </c>
      <c r="AW554" s="59">
        <f>IFERROR(VLOOKUP($A554,[2]Mssp!$A$5:$BE$1463,AW$4+1,0),0)</f>
        <v>0</v>
      </c>
      <c r="AX554" s="59">
        <f>IFERROR(VLOOKUP($A554,[2]Mssp!$A$5:$BE$1463,AX$4+1,0),0)</f>
        <v>0</v>
      </c>
      <c r="AY554" s="59" t="str">
        <f>IFERROR(VLOOKUP($A554,[2]Mssp!$A$5:$BE$1463,AY$4+2,0),0)</f>
        <v>450x870</v>
      </c>
      <c r="AZ554" s="59" t="str">
        <f>IFERROR(VLOOKUP($A554,[2]Mssp!$A$5:$BE$1463,AZ$4+2,0),0)</f>
        <v>D4</v>
      </c>
      <c r="BA554" s="141"/>
      <c r="BB554" s="61"/>
      <c r="BC554" s="129"/>
      <c r="BD554" s="138"/>
      <c r="BE554" s="131"/>
      <c r="BF554" s="139"/>
      <c r="BG554" s="131"/>
      <c r="BH554" s="139"/>
      <c r="BI554" s="140"/>
      <c r="BJ554" s="139"/>
      <c r="BK554" s="134"/>
      <c r="BL554" s="139"/>
      <c r="BM554" s="131"/>
      <c r="BN554" s="139"/>
      <c r="BO554" s="9"/>
      <c r="BP554" s="139"/>
      <c r="BQ554" s="139"/>
      <c r="BR554" s="139"/>
      <c r="BS554" s="135"/>
      <c r="BT554" s="139"/>
      <c r="BU554" s="131"/>
      <c r="BV554" s="139"/>
      <c r="BW554" s="131"/>
      <c r="BX554" s="139"/>
      <c r="BY554" s="131"/>
      <c r="BZ554" s="139"/>
      <c r="CA554" s="131"/>
      <c r="CB554" s="139"/>
      <c r="CC554" s="131"/>
      <c r="CD554" s="139"/>
      <c r="CE554" s="9"/>
      <c r="CF554" s="9"/>
      <c r="CG554" s="9"/>
      <c r="CH554" s="9"/>
      <c r="CI554" s="9"/>
      <c r="CJ554" s="9"/>
      <c r="CK554" s="9"/>
      <c r="CL554" s="9"/>
      <c r="CM554" s="9"/>
      <c r="CN554" s="9"/>
      <c r="CO554" s="9"/>
      <c r="CP554" s="9"/>
    </row>
    <row r="555" spans="1:94" ht="30" x14ac:dyDescent="0.25">
      <c r="A555" s="127" t="s">
        <v>1795</v>
      </c>
      <c r="B555" s="51" t="s">
        <v>1796</v>
      </c>
      <c r="C555" s="62"/>
      <c r="D555" s="84">
        <v>3</v>
      </c>
      <c r="E555" s="62" t="s">
        <v>351</v>
      </c>
      <c r="F555" s="62">
        <v>6</v>
      </c>
      <c r="G555" s="62"/>
      <c r="H555" s="50">
        <f>VLOOKUP($A555,'[1]ma sp 02'!$A$5:$BD$1101,H$1,0)</f>
        <v>0</v>
      </c>
      <c r="I555" s="50">
        <f>VLOOKUP($A555,'[1]ma sp 02'!$A$5:$BD$1101,I$1,0)</f>
        <v>1.2150000000000001</v>
      </c>
      <c r="J555" s="50">
        <f>VLOOKUP($A555,'[1]ma sp 02'!$A$5:$BD$1101,J$1,0)</f>
        <v>0.26400000000000001</v>
      </c>
      <c r="K555" s="50">
        <f>VLOOKUP($A555,'[1]ma sp 02'!$A$5:$BD$1101,K$1,0)</f>
        <v>0.01</v>
      </c>
      <c r="L555" s="50">
        <f>VLOOKUP($A555,'[1]ma sp 02'!$A$5:$BD$1101,L$1,0)</f>
        <v>0.42299999999999999</v>
      </c>
      <c r="M555" s="50">
        <f>VLOOKUP($A555,'[1]ma sp 02'!$A$5:$BD$1101,M$1,0)</f>
        <v>0.42299999999999999</v>
      </c>
      <c r="N555" s="50">
        <f>VLOOKUP($A555,'[1]ma sp 02'!$A$5:$BD$1101,N$1,0)</f>
        <v>0</v>
      </c>
      <c r="O555" s="50">
        <f>VLOOKUP($A555,'[1]ma sp 02'!$A$5:$BD$1101,O$1,0)</f>
        <v>0</v>
      </c>
      <c r="P555" s="50">
        <f>VLOOKUP($A555,'[1]ma sp 02'!$A$5:$BD$1101,P$1,0)</f>
        <v>0</v>
      </c>
      <c r="Q555" s="50">
        <f>VLOOKUP($A555,'[1]ma sp 02'!$A$5:$BD$1101,Q$1,0)</f>
        <v>0</v>
      </c>
      <c r="R555" s="50">
        <f>VLOOKUP($A555,'[1]ma sp 02'!$A$5:$BD$1101,R$1,0)</f>
        <v>0</v>
      </c>
      <c r="S555" s="50">
        <f>VLOOKUP($A555,'[1]ma sp 02'!$A$5:$BD$1101,S$1,0)</f>
        <v>0</v>
      </c>
      <c r="T555" s="50">
        <f>VLOOKUP($A555,'[1]ma sp 02'!$A$5:$BD$1101,T$1,0)</f>
        <v>0</v>
      </c>
      <c r="U555" s="50">
        <f>VLOOKUP($A555,'[1]ma sp 02'!$A$5:$BD$1101,U$1,0)</f>
        <v>0</v>
      </c>
      <c r="V555" s="50">
        <f>VLOOKUP($A555,'[1]ma sp 02'!$A$5:$BD$1101,V$1,0)</f>
        <v>0</v>
      </c>
      <c r="W555" s="50">
        <f>VLOOKUP($A555,'[1]ma sp 02'!$A$5:$BD$1101,W$1,0)</f>
        <v>0</v>
      </c>
      <c r="X555" s="50">
        <f t="shared" si="20"/>
        <v>5</v>
      </c>
      <c r="Y555" s="62"/>
      <c r="Z555" s="62"/>
      <c r="AA555" s="62"/>
      <c r="AB555" s="62"/>
      <c r="AC555" s="62"/>
      <c r="AD555" s="62"/>
      <c r="AE555" s="62" t="s">
        <v>1797</v>
      </c>
      <c r="AF555" s="62" t="s">
        <v>1192</v>
      </c>
      <c r="AG555" s="71">
        <f>(0.012*1.4+0.006*2.71+0.08*0.925)*0.8</f>
        <v>8.5648000000000016E-2</v>
      </c>
      <c r="AH555" s="155">
        <f>(2.3/0.75/2)*0.79</f>
        <v>1.2113333333333334</v>
      </c>
      <c r="AI555" s="155">
        <f>(2.3/0.75/2)*0.79</f>
        <v>1.2113333333333334</v>
      </c>
      <c r="AJ555" s="62">
        <v>9530</v>
      </c>
      <c r="AK555" s="62">
        <v>9530</v>
      </c>
      <c r="AL555" s="62" t="s">
        <v>1700</v>
      </c>
      <c r="AM555" s="69" t="s">
        <v>1489</v>
      </c>
      <c r="AN555" s="9">
        <v>90</v>
      </c>
      <c r="AO555" s="69" t="s">
        <v>612</v>
      </c>
      <c r="AP555" s="59" t="str">
        <f>IFERROR(VLOOKUP($A555,[2]Mssp!$A$5:$BE$1463,AP$4+1,0),0)</f>
        <v>21050947-1</v>
      </c>
      <c r="AQ555" s="59" t="str">
        <f>IFERROR(VLOOKUP($A555,[2]Mssp!$A$5:$BE$1463,AQ$4+1,0),0)</f>
        <v>21050947-2</v>
      </c>
      <c r="AR555" s="59" t="str">
        <f>IFERROR(VLOOKUP($A555,[2]Mssp!$A$5:$BE$1463,AR$4+1,0),0)</f>
        <v>21050947-3</v>
      </c>
      <c r="AS555" s="59" t="str">
        <f>IFERROR(VLOOKUP($A555,[2]Mssp!$A$5:$BE$1463,AS$4+1,0),0)</f>
        <v>19081115-4</v>
      </c>
      <c r="AT555" s="59" t="str">
        <f>IFERROR(VLOOKUP($A555,[2]Mssp!$A$5:$BE$1463,AT$4+1,0),0)</f>
        <v>21050947-5</v>
      </c>
      <c r="AU555" s="59" t="str">
        <f>IFERROR(VLOOKUP($A555,[2]Mssp!$A$5:$BE$1463,AU$4+1,0),0)</f>
        <v>19081115-6</v>
      </c>
      <c r="AV555" s="59">
        <f>IFERROR(VLOOKUP($A555,[2]Mssp!$A$5:$BE$1463,AV$4+1,0),0)</f>
        <v>0</v>
      </c>
      <c r="AW555" s="59">
        <f>IFERROR(VLOOKUP($A555,[2]Mssp!$A$5:$BE$1463,AW$4+1,0),0)</f>
        <v>0</v>
      </c>
      <c r="AX555" s="59">
        <f>IFERROR(VLOOKUP($A555,[2]Mssp!$A$5:$BE$1463,AX$4+1,0),0)</f>
        <v>0</v>
      </c>
      <c r="AY555" s="59" t="str">
        <f>IFERROR(VLOOKUP($A555,[2]Mssp!$A$5:$BE$1463,AY$4+2,0),0)</f>
        <v>450x870</v>
      </c>
      <c r="AZ555" s="59" t="str">
        <f>IFERROR(VLOOKUP($A555,[2]Mssp!$A$5:$BE$1463,AZ$4+2,0),0)</f>
        <v>D4</v>
      </c>
      <c r="BA555" s="141"/>
      <c r="BB555" s="61" t="s">
        <v>952</v>
      </c>
      <c r="BC555" s="129"/>
      <c r="BD555" s="138"/>
      <c r="BE555" s="131"/>
      <c r="BF555" s="139"/>
      <c r="BG555" s="131"/>
      <c r="BH555" s="139"/>
      <c r="BI555" s="140"/>
      <c r="BJ555" s="139"/>
      <c r="BK555" s="134"/>
      <c r="BL555" s="139"/>
      <c r="BM555" s="131"/>
      <c r="BN555" s="139"/>
      <c r="BO555" s="9"/>
      <c r="BP555" s="139"/>
      <c r="BQ555" s="139"/>
      <c r="BR555" s="139"/>
      <c r="BS555" s="135"/>
      <c r="BT555" s="139"/>
      <c r="BU555" s="131"/>
      <c r="BV555" s="139"/>
      <c r="BW555" s="131"/>
      <c r="BX555" s="139"/>
      <c r="BY555" s="131"/>
      <c r="BZ555" s="139"/>
      <c r="CA555" s="131"/>
      <c r="CB555" s="139"/>
      <c r="CC555" s="131"/>
      <c r="CD555" s="139"/>
      <c r="CE555" s="9"/>
      <c r="CF555" s="9"/>
      <c r="CG555" s="9"/>
      <c r="CH555" s="9"/>
      <c r="CI555" s="9"/>
      <c r="CJ555" s="9"/>
      <c r="CK555" s="9"/>
      <c r="CL555" s="9"/>
      <c r="CM555" s="9"/>
      <c r="CN555" s="9"/>
      <c r="CO555" s="9"/>
      <c r="CP555" s="9"/>
    </row>
    <row r="556" spans="1:94" ht="30" x14ac:dyDescent="0.25">
      <c r="A556" s="127" t="s">
        <v>1798</v>
      </c>
      <c r="B556" s="51" t="s">
        <v>1799</v>
      </c>
      <c r="C556" s="62"/>
      <c r="D556" s="84">
        <v>1</v>
      </c>
      <c r="E556" s="62" t="s">
        <v>1800</v>
      </c>
      <c r="F556" s="62">
        <v>7</v>
      </c>
      <c r="G556" s="62" t="s">
        <v>530</v>
      </c>
      <c r="H556" s="50">
        <f>VLOOKUP($A556,'[1]ma sp 02'!$A$5:$BD$1101,H$1,0)</f>
        <v>0.63</v>
      </c>
      <c r="I556" s="50">
        <f>VLOOKUP($A556,'[1]ma sp 02'!$A$5:$BD$1101,I$1,0)</f>
        <v>2.02</v>
      </c>
      <c r="J556" s="50">
        <f>VLOOKUP($A556,'[1]ma sp 02'!$A$5:$BD$1101,J$1,0)</f>
        <v>0.05</v>
      </c>
      <c r="K556" s="50">
        <f>VLOOKUP($A556,'[1]ma sp 02'!$A$5:$BD$1101,K$1,0)</f>
        <v>0.01</v>
      </c>
      <c r="L556" s="50">
        <f>VLOOKUP($A556,'[1]ma sp 02'!$A$5:$BD$1101,L$1,0)</f>
        <v>0.86</v>
      </c>
      <c r="M556" s="50">
        <f>VLOOKUP($A556,'[1]ma sp 02'!$A$5:$BD$1101,M$1,0)</f>
        <v>1.1499999999999999</v>
      </c>
      <c r="N556" s="50">
        <f>VLOOKUP($A556,'[1]ma sp 02'!$A$5:$BD$1101,N$1,0)</f>
        <v>0</v>
      </c>
      <c r="O556" s="50">
        <f>VLOOKUP($A556,'[1]ma sp 02'!$A$5:$BD$1101,O$1,0)</f>
        <v>0.01</v>
      </c>
      <c r="P556" s="50">
        <f>VLOOKUP($A556,'[1]ma sp 02'!$A$5:$BD$1101,P$1,0)</f>
        <v>0</v>
      </c>
      <c r="Q556" s="50">
        <f>VLOOKUP($A556,'[1]ma sp 02'!$A$5:$BD$1101,Q$1,0)</f>
        <v>0</v>
      </c>
      <c r="R556" s="50">
        <f>VLOOKUP($A556,'[1]ma sp 02'!$A$5:$BD$1101,R$1,0)</f>
        <v>0</v>
      </c>
      <c r="S556" s="50">
        <f>VLOOKUP($A556,'[1]ma sp 02'!$A$5:$BD$1101,S$1,0)</f>
        <v>0</v>
      </c>
      <c r="T556" s="50">
        <f>VLOOKUP($A556,'[1]ma sp 02'!$A$5:$BD$1101,T$1,0)</f>
        <v>0.73</v>
      </c>
      <c r="U556" s="50">
        <f>VLOOKUP($A556,'[1]ma sp 02'!$A$5:$BD$1101,U$1,0)</f>
        <v>0</v>
      </c>
      <c r="V556" s="50">
        <f>VLOOKUP($A556,'[1]ma sp 02'!$A$5:$BD$1101,V$1,0)</f>
        <v>0</v>
      </c>
      <c r="W556" s="50">
        <f>VLOOKUP($A556,'[1]ma sp 02'!$A$5:$BD$1101,W$1,0)</f>
        <v>0</v>
      </c>
      <c r="X556" s="50">
        <f t="shared" si="20"/>
        <v>8</v>
      </c>
      <c r="Y556" s="62"/>
      <c r="Z556" s="62"/>
      <c r="AA556" s="62"/>
      <c r="AB556" s="62"/>
      <c r="AC556" s="62"/>
      <c r="AD556" s="62"/>
      <c r="AE556" s="62" t="s">
        <v>1801</v>
      </c>
      <c r="AF556" s="62"/>
      <c r="AG556" s="71">
        <f>(0.015*1.15+0.06*0.925)*0.78</f>
        <v>5.6744999999999997E-2</v>
      </c>
      <c r="AH556" s="155">
        <f>(2.3/0.75/2)*0.77</f>
        <v>1.1806666666666665</v>
      </c>
      <c r="AI556" s="151"/>
      <c r="AJ556" s="9">
        <v>9530</v>
      </c>
      <c r="AK556" s="9"/>
      <c r="AL556" s="9">
        <v>2.3E-3</v>
      </c>
      <c r="AM556" s="69" t="s">
        <v>74</v>
      </c>
      <c r="AN556" s="9">
        <v>220</v>
      </c>
      <c r="AO556" s="69" t="s">
        <v>1802</v>
      </c>
      <c r="AP556" s="59" t="str">
        <f>IFERROR(VLOOKUP($A556,[2]Mssp!$A$5:$BE$1463,AP$4+1,0),0)</f>
        <v>F124439-1</v>
      </c>
      <c r="AQ556" s="59" t="str">
        <f>IFERROR(VLOOKUP($A556,[2]Mssp!$A$5:$BE$1463,AQ$4+1,0),0)</f>
        <v>F124439-2</v>
      </c>
      <c r="AR556" s="59" t="str">
        <f>IFERROR(VLOOKUP($A556,[2]Mssp!$A$5:$BE$1463,AR$4+1,0),0)</f>
        <v>F124439-3</v>
      </c>
      <c r="AS556" s="59" t="str">
        <f>IFERROR(VLOOKUP($A556,[2]Mssp!$A$5:$BE$1463,AS$4+1,0),0)</f>
        <v>F124439-4</v>
      </c>
      <c r="AT556" s="59" t="str">
        <f>IFERROR(VLOOKUP($A556,[2]Mssp!$A$5:$BE$1463,AT$4+1,0),0)</f>
        <v>F124439-5</v>
      </c>
      <c r="AU556" s="59" t="str">
        <f>IFERROR(VLOOKUP($A556,[2]Mssp!$A$5:$BE$1463,AU$4+1,0),0)</f>
        <v>F124439-6</v>
      </c>
      <c r="AV556" s="59" t="str">
        <f>IFERROR(VLOOKUP($A556,[2]Mssp!$A$5:$BE$1463,AV$4+1,0),0)</f>
        <v>F124439-7</v>
      </c>
      <c r="AW556" s="59">
        <f>IFERROR(VLOOKUP($A556,[2]Mssp!$A$5:$BE$1463,AW$4+1,0),0)</f>
        <v>0</v>
      </c>
      <c r="AX556" s="59">
        <f>IFERROR(VLOOKUP($A556,[2]Mssp!$A$5:$BE$1463,AX$4+1,0),0)</f>
        <v>0</v>
      </c>
      <c r="AY556" s="59" t="str">
        <f>IFERROR(VLOOKUP($A556,[2]Mssp!$A$5:$BE$1463,AY$4+2,0),0)</f>
        <v>440x870</v>
      </c>
      <c r="AZ556" s="59" t="str">
        <f>IFERROR(VLOOKUP($A556,[2]Mssp!$A$5:$BE$1463,AZ$4+2,0),0)</f>
        <v>Q2</v>
      </c>
      <c r="BA556" s="141"/>
      <c r="BB556" s="61"/>
      <c r="BC556" s="129"/>
      <c r="BD556" s="138"/>
      <c r="BE556" s="131"/>
      <c r="BF556" s="139"/>
      <c r="BG556" s="131"/>
      <c r="BH556" s="139"/>
      <c r="BI556" s="140"/>
      <c r="BJ556" s="139"/>
      <c r="BK556" s="134"/>
      <c r="BL556" s="139"/>
      <c r="BM556" s="131"/>
      <c r="BN556" s="139"/>
      <c r="BO556" s="9"/>
      <c r="BP556" s="139"/>
      <c r="BQ556" s="139"/>
      <c r="BR556" s="139"/>
      <c r="BS556" s="135"/>
      <c r="BT556" s="139"/>
      <c r="BU556" s="131"/>
      <c r="BV556" s="139"/>
      <c r="BW556" s="131"/>
      <c r="BX556" s="139"/>
      <c r="BY556" s="131"/>
      <c r="BZ556" s="139"/>
      <c r="CA556" s="131"/>
      <c r="CB556" s="139"/>
      <c r="CC556" s="131"/>
      <c r="CD556" s="139"/>
      <c r="CE556" s="9"/>
      <c r="CF556" s="9"/>
      <c r="CG556" s="9"/>
      <c r="CH556" s="9"/>
      <c r="CI556" s="9"/>
      <c r="CJ556" s="9"/>
      <c r="CK556" s="9"/>
      <c r="CL556" s="9"/>
      <c r="CM556" s="9"/>
      <c r="CN556" s="9"/>
      <c r="CO556" s="9"/>
      <c r="CP556" s="9"/>
    </row>
    <row r="557" spans="1:94" ht="30" x14ac:dyDescent="0.25">
      <c r="A557" s="127" t="s">
        <v>1803</v>
      </c>
      <c r="B557" s="51" t="s">
        <v>1804</v>
      </c>
      <c r="C557" s="62"/>
      <c r="D557" s="84">
        <v>2</v>
      </c>
      <c r="E557" s="62" t="s">
        <v>173</v>
      </c>
      <c r="F557" s="62">
        <v>6</v>
      </c>
      <c r="G557" s="62" t="s">
        <v>184</v>
      </c>
      <c r="H557" s="50">
        <f>VLOOKUP($A557,'[1]ma sp 02'!$A$5:$BD$1101,H$1,0)</f>
        <v>0.19</v>
      </c>
      <c r="I557" s="50">
        <f>VLOOKUP($A557,'[1]ma sp 02'!$A$5:$BD$1101,I$1,0)</f>
        <v>5.32</v>
      </c>
      <c r="J557" s="50">
        <f>VLOOKUP($A557,'[1]ma sp 02'!$A$5:$BD$1101,J$1,0)</f>
        <v>0.75</v>
      </c>
      <c r="K557" s="50">
        <f>VLOOKUP($A557,'[1]ma sp 02'!$A$5:$BD$1101,K$1,0)</f>
        <v>1.03</v>
      </c>
      <c r="L557" s="50">
        <f>VLOOKUP($A557,'[1]ma sp 02'!$A$5:$BD$1101,L$1,0)</f>
        <v>0.65</v>
      </c>
      <c r="M557" s="50">
        <f>VLOOKUP($A557,'[1]ma sp 02'!$A$5:$BD$1101,M$1,0)</f>
        <v>1.1200000000000001</v>
      </c>
      <c r="N557" s="50">
        <f>VLOOKUP($A557,'[1]ma sp 02'!$A$5:$BD$1101,N$1,0)</f>
        <v>0</v>
      </c>
      <c r="O557" s="50">
        <f>VLOOKUP($A557,'[1]ma sp 02'!$A$5:$BD$1101,O$1,0)</f>
        <v>0.56000000000000005</v>
      </c>
      <c r="P557" s="50">
        <f>VLOOKUP($A557,'[1]ma sp 02'!$A$5:$BD$1101,P$1,0)</f>
        <v>0.28000000000000003</v>
      </c>
      <c r="Q557" s="50">
        <f>VLOOKUP($A557,'[1]ma sp 02'!$A$5:$BD$1101,Q$1,0)</f>
        <v>0.75</v>
      </c>
      <c r="R557" s="50">
        <f>VLOOKUP($A557,'[1]ma sp 02'!$A$5:$BD$1101,R$1,0)</f>
        <v>0</v>
      </c>
      <c r="S557" s="50">
        <f>VLOOKUP($A557,'[1]ma sp 02'!$A$5:$BD$1101,S$1,0)</f>
        <v>0</v>
      </c>
      <c r="T557" s="50">
        <f>VLOOKUP($A557,'[1]ma sp 02'!$A$5:$BD$1101,T$1,0)</f>
        <v>0</v>
      </c>
      <c r="U557" s="50">
        <f>VLOOKUP($A557,'[1]ma sp 02'!$A$5:$BD$1101,U$1,0)</f>
        <v>0</v>
      </c>
      <c r="V557" s="50">
        <f>VLOOKUP($A557,'[1]ma sp 02'!$A$5:$BD$1101,V$1,0)</f>
        <v>0</v>
      </c>
      <c r="W557" s="50">
        <f>VLOOKUP($A557,'[1]ma sp 02'!$A$5:$BD$1101,W$1,0)</f>
        <v>0</v>
      </c>
      <c r="X557" s="50">
        <f t="shared" si="20"/>
        <v>9</v>
      </c>
      <c r="Y557" s="62"/>
      <c r="Z557" s="62"/>
      <c r="AA557" s="62"/>
      <c r="AB557" s="62"/>
      <c r="AC557" s="62"/>
      <c r="AD557" s="62"/>
      <c r="AE557" s="58" t="s">
        <v>1805</v>
      </c>
      <c r="AF557" s="62"/>
      <c r="AG557" s="71">
        <f>(0.02*0.91+0.045*0.925)*0.78</f>
        <v>4.6663500000000004E-2</v>
      </c>
      <c r="AH557" s="155">
        <f>(2.5/0.75/2)*0.76</f>
        <v>1.2666666666666668</v>
      </c>
      <c r="AI557" s="151"/>
      <c r="AJ557" s="9">
        <v>9530</v>
      </c>
      <c r="AK557" s="9"/>
      <c r="AL557" s="9">
        <v>2.3E-3</v>
      </c>
      <c r="AM557" s="69" t="s">
        <v>74</v>
      </c>
      <c r="AN557" s="9">
        <v>270</v>
      </c>
      <c r="AO557" s="69" t="s">
        <v>1736</v>
      </c>
      <c r="AP557" s="59" t="str">
        <f>IFERROR(VLOOKUP($A557,[2]Mssp!$A$5:$BE$1463,AP$4+1,0),0)</f>
        <v>F124247-1</v>
      </c>
      <c r="AQ557" s="59" t="str">
        <f>IFERROR(VLOOKUP($A557,[2]Mssp!$A$5:$BE$1463,AQ$4+1,0),0)</f>
        <v>F124247-2</v>
      </c>
      <c r="AR557" s="59" t="str">
        <f>IFERROR(VLOOKUP($A557,[2]Mssp!$A$5:$BE$1463,AR$4+1,0),0)</f>
        <v>F124247-3</v>
      </c>
      <c r="AS557" s="59" t="str">
        <f>IFERROR(VLOOKUP($A557,[2]Mssp!$A$5:$BE$1463,AS$4+1,0),0)</f>
        <v>F124247-4</v>
      </c>
      <c r="AT557" s="59" t="str">
        <f>IFERROR(VLOOKUP($A557,[2]Mssp!$A$5:$BE$1463,AT$4+1,0),0)</f>
        <v>F124247-5</v>
      </c>
      <c r="AU557" s="59" t="str">
        <f>IFERROR(VLOOKUP($A557,[2]Mssp!$A$5:$BE$1463,AU$4+1,0),0)</f>
        <v>F124247-6</v>
      </c>
      <c r="AV557" s="59" t="str">
        <f>IFERROR(VLOOKUP($A557,[2]Mssp!$A$5:$BE$1463,AV$4+1,0),0)</f>
        <v>F124247-7</v>
      </c>
      <c r="AW557" s="59">
        <f>IFERROR(VLOOKUP($A557,[2]Mssp!$A$5:$BE$1463,AW$4+1,0),0)</f>
        <v>0</v>
      </c>
      <c r="AX557" s="59">
        <f>IFERROR(VLOOKUP($A557,[2]Mssp!$A$5:$BE$1463,AX$4+1,0),0)</f>
        <v>0</v>
      </c>
      <c r="AY557" s="59" t="str">
        <f>IFERROR(VLOOKUP($A557,[2]Mssp!$A$5:$BE$1463,AY$4+2,0),0)</f>
        <v>540x870</v>
      </c>
      <c r="AZ557" s="59" t="str">
        <f>IFERROR(VLOOKUP($A557,[2]Mssp!$A$5:$BE$1463,AZ$4+2,0),0)</f>
        <v>Q2</v>
      </c>
      <c r="BA557" s="141"/>
      <c r="BB557" s="61"/>
      <c r="BC557" s="129"/>
      <c r="BD557" s="138"/>
      <c r="BE557" s="131"/>
      <c r="BF557" s="139"/>
      <c r="BG557" s="131"/>
      <c r="BH557" s="139"/>
      <c r="BI557" s="140"/>
      <c r="BJ557" s="139"/>
      <c r="BK557" s="134"/>
      <c r="BL557" s="139"/>
      <c r="BM557" s="131"/>
      <c r="BN557" s="139"/>
      <c r="BO557" s="9"/>
      <c r="BP557" s="139"/>
      <c r="BQ557" s="139"/>
      <c r="BR557" s="139"/>
      <c r="BS557" s="135"/>
      <c r="BT557" s="139"/>
      <c r="BU557" s="131"/>
      <c r="BV557" s="139"/>
      <c r="BW557" s="131"/>
      <c r="BX557" s="139"/>
      <c r="BY557" s="131"/>
      <c r="BZ557" s="139"/>
      <c r="CA557" s="131"/>
      <c r="CB557" s="139"/>
      <c r="CC557" s="131"/>
      <c r="CD557" s="139"/>
      <c r="CE557" s="9"/>
      <c r="CF557" s="9"/>
      <c r="CG557" s="9"/>
      <c r="CH557" s="9"/>
      <c r="CI557" s="9"/>
      <c r="CJ557" s="9"/>
      <c r="CK557" s="9"/>
      <c r="CL557" s="9"/>
      <c r="CM557" s="9"/>
      <c r="CN557" s="9"/>
      <c r="CO557" s="9"/>
      <c r="CP557" s="9"/>
    </row>
    <row r="558" spans="1:94" ht="75" x14ac:dyDescent="0.25">
      <c r="A558" s="127" t="s">
        <v>1806</v>
      </c>
      <c r="B558" s="51" t="s">
        <v>1807</v>
      </c>
      <c r="C558" s="62"/>
      <c r="D558" s="84">
        <v>2</v>
      </c>
      <c r="E558" s="58" t="s">
        <v>748</v>
      </c>
      <c r="F558" s="62">
        <v>7</v>
      </c>
      <c r="G558" s="62" t="s">
        <v>184</v>
      </c>
      <c r="H558" s="50">
        <f>VLOOKUP($A558,'[1]ma sp 02'!$A$5:$BD$1101,H$1,0)</f>
        <v>3.5000000000000003E-2</v>
      </c>
      <c r="I558" s="50">
        <f>VLOOKUP($A558,'[1]ma sp 02'!$A$5:$BD$1101,I$1,0)</f>
        <v>2.1800000000000002</v>
      </c>
      <c r="J558" s="50">
        <f>VLOOKUP($A558,'[1]ma sp 02'!$A$5:$BD$1101,J$1,0)</f>
        <v>0.01</v>
      </c>
      <c r="K558" s="50">
        <f>VLOOKUP($A558,'[1]ma sp 02'!$A$5:$BD$1101,K$1,0)</f>
        <v>0.01</v>
      </c>
      <c r="L558" s="50">
        <f>VLOOKUP($A558,'[1]ma sp 02'!$A$5:$BD$1101,L$1,0)</f>
        <v>0.63</v>
      </c>
      <c r="M558" s="50">
        <f>VLOOKUP($A558,'[1]ma sp 02'!$A$5:$BD$1101,M$1,0)</f>
        <v>2.82</v>
      </c>
      <c r="N558" s="50">
        <f>VLOOKUP($A558,'[1]ma sp 02'!$A$5:$BD$1101,N$1,0)</f>
        <v>0</v>
      </c>
      <c r="O558" s="50">
        <f>VLOOKUP($A558,'[1]ma sp 02'!$A$5:$BD$1101,O$1,0)</f>
        <v>0</v>
      </c>
      <c r="P558" s="50">
        <f>VLOOKUP($A558,'[1]ma sp 02'!$A$5:$BD$1101,P$1,0)</f>
        <v>7.0000000000000007E-2</v>
      </c>
      <c r="Q558" s="50">
        <f>VLOOKUP($A558,'[1]ma sp 02'!$A$5:$BD$1101,Q$1,0)</f>
        <v>0.98</v>
      </c>
      <c r="R558" s="50">
        <f>VLOOKUP($A558,'[1]ma sp 02'!$A$5:$BD$1101,R$1,0)</f>
        <v>0</v>
      </c>
      <c r="S558" s="50">
        <f>VLOOKUP($A558,'[1]ma sp 02'!$A$5:$BD$1101,S$1,0)</f>
        <v>0</v>
      </c>
      <c r="T558" s="50">
        <f>VLOOKUP($A558,'[1]ma sp 02'!$A$5:$BD$1101,T$1,0)</f>
        <v>0</v>
      </c>
      <c r="U558" s="50">
        <f>VLOOKUP($A558,'[1]ma sp 02'!$A$5:$BD$1101,U$1,0)</f>
        <v>0</v>
      </c>
      <c r="V558" s="50">
        <f>VLOOKUP($A558,'[1]ma sp 02'!$A$5:$BD$1101,V$1,0)</f>
        <v>0</v>
      </c>
      <c r="W558" s="50">
        <f>VLOOKUP($A558,'[1]ma sp 02'!$A$5:$BD$1101,W$1,0)</f>
        <v>0</v>
      </c>
      <c r="X558" s="50">
        <f t="shared" si="20"/>
        <v>8</v>
      </c>
      <c r="Y558" s="62"/>
      <c r="Z558" s="62"/>
      <c r="AA558" s="62"/>
      <c r="AB558" s="62"/>
      <c r="AC558" s="62"/>
      <c r="AD558" s="62"/>
      <c r="AE558" s="58" t="s">
        <v>749</v>
      </c>
      <c r="AF558" s="62"/>
      <c r="AG558" s="71">
        <f>(0.02*0.91+0.08*0.925)*0.9</f>
        <v>8.2980000000000012E-2</v>
      </c>
      <c r="AH558" s="153">
        <f>(2.3/0.75/2)*0.89</f>
        <v>1.3646666666666665</v>
      </c>
      <c r="AI558" s="57"/>
      <c r="AJ558" s="58">
        <v>9530</v>
      </c>
      <c r="AK558" s="57"/>
      <c r="AL558" s="58">
        <v>2.3E-3</v>
      </c>
      <c r="AM558" s="52" t="s">
        <v>750</v>
      </c>
      <c r="AN558" s="57">
        <v>310</v>
      </c>
      <c r="AO558" s="52" t="s">
        <v>527</v>
      </c>
      <c r="AP558" s="59" t="str">
        <f>IFERROR(VLOOKUP($A558,[2]Mssp!$A$5:$BE$1463,AP$4+1,0),0)</f>
        <v>1909337-1</v>
      </c>
      <c r="AQ558" s="59" t="str">
        <f>IFERROR(VLOOKUP($A558,[2]Mssp!$A$5:$BE$1463,AQ$4+1,0),0)</f>
        <v>1909337-2</v>
      </c>
      <c r="AR558" s="59" t="str">
        <f>IFERROR(VLOOKUP($A558,[2]Mssp!$A$5:$BE$1463,AR$4+1,0),0)</f>
        <v>1909337-3</v>
      </c>
      <c r="AS558" s="59" t="str">
        <f>IFERROR(VLOOKUP($A558,[2]Mssp!$A$5:$BE$1463,AS$4+1,0),0)</f>
        <v>1909337-4</v>
      </c>
      <c r="AT558" s="59" t="str">
        <f>IFERROR(VLOOKUP($A558,[2]Mssp!$A$5:$BE$1463,AT$4+1,0),0)</f>
        <v>1909337-5</v>
      </c>
      <c r="AU558" s="59" t="str">
        <f>IFERROR(VLOOKUP($A558,[2]Mssp!$A$5:$BE$1463,AU$4+1,0),0)</f>
        <v>1909337-6</v>
      </c>
      <c r="AV558" s="59">
        <f>IFERROR(VLOOKUP($A558,[2]Mssp!$A$5:$BE$1463,AV$4+1,0),0)</f>
        <v>0</v>
      </c>
      <c r="AW558" s="59" t="str">
        <f>IFERROR(VLOOKUP($A558,[2]Mssp!$A$5:$BE$1463,AW$4+1,0),0)</f>
        <v>20110138-8</v>
      </c>
      <c r="AX558" s="59">
        <f>IFERROR(VLOOKUP($A558,[2]Mssp!$A$5:$BE$1463,AX$4+1,0),0)</f>
        <v>0</v>
      </c>
      <c r="AY558" s="59" t="str">
        <f>IFERROR(VLOOKUP($A558,[2]Mssp!$A$5:$BE$1463,AY$4+2,0),0)</f>
        <v>620x1100</v>
      </c>
      <c r="AZ558" s="59" t="str">
        <f>IFERROR(VLOOKUP($A558,[2]Mssp!$A$5:$BE$1463,AZ$4+2,0),0)</f>
        <v>I3</v>
      </c>
      <c r="BA558" s="141"/>
      <c r="BB558" s="61"/>
      <c r="BC558" s="129"/>
      <c r="BD558" s="138"/>
      <c r="BE558" s="131"/>
      <c r="BF558" s="139"/>
      <c r="BG558" s="131"/>
      <c r="BH558" s="139"/>
      <c r="BI558" s="140"/>
      <c r="BJ558" s="139"/>
      <c r="BK558" s="134"/>
      <c r="BL558" s="139"/>
      <c r="BM558" s="131"/>
      <c r="BN558" s="139"/>
      <c r="BO558" s="9"/>
      <c r="BP558" s="139"/>
      <c r="BQ558" s="139"/>
      <c r="BR558" s="139"/>
      <c r="BS558" s="135"/>
      <c r="BT558" s="139"/>
      <c r="BU558" s="131"/>
      <c r="BV558" s="139"/>
      <c r="BW558" s="131"/>
      <c r="BX558" s="139"/>
      <c r="BY558" s="131"/>
      <c r="BZ558" s="139"/>
      <c r="CA558" s="131"/>
      <c r="CB558" s="139"/>
      <c r="CC558" s="131"/>
      <c r="CD558" s="139"/>
      <c r="CE558" s="9"/>
      <c r="CF558" s="9"/>
      <c r="CG558" s="9"/>
      <c r="CH558" s="9"/>
      <c r="CI558" s="9"/>
      <c r="CJ558" s="9"/>
      <c r="CK558" s="9"/>
      <c r="CL558" s="9"/>
      <c r="CM558" s="9"/>
      <c r="CN558" s="9"/>
      <c r="CO558" s="9"/>
      <c r="CP558" s="9"/>
    </row>
    <row r="559" spans="1:94" ht="45" x14ac:dyDescent="0.25">
      <c r="A559" s="127" t="s">
        <v>1808</v>
      </c>
      <c r="B559" s="51" t="s">
        <v>1809</v>
      </c>
      <c r="C559" s="62"/>
      <c r="D559" s="84">
        <v>1</v>
      </c>
      <c r="E559" s="62" t="s">
        <v>1107</v>
      </c>
      <c r="F559" s="62">
        <v>5</v>
      </c>
      <c r="G559" s="62" t="s">
        <v>184</v>
      </c>
      <c r="H559" s="50">
        <f>VLOOKUP($A559,'[1]ma sp 02'!$A$5:$BD$1101,H$1,0)</f>
        <v>2</v>
      </c>
      <c r="I559" s="50">
        <f>VLOOKUP($A559,'[1]ma sp 02'!$A$5:$BD$1101,I$1,0)</f>
        <v>0</v>
      </c>
      <c r="J559" s="50">
        <f>VLOOKUP($A559,'[1]ma sp 02'!$A$5:$BD$1101,J$1,0)</f>
        <v>0.01</v>
      </c>
      <c r="K559" s="50">
        <f>VLOOKUP($A559,'[1]ma sp 02'!$A$5:$BD$1101,K$1,0)</f>
        <v>0.01</v>
      </c>
      <c r="L559" s="50">
        <f>VLOOKUP($A559,'[1]ma sp 02'!$A$5:$BD$1101,L$1,0)</f>
        <v>2.23</v>
      </c>
      <c r="M559" s="50">
        <f>VLOOKUP($A559,'[1]ma sp 02'!$A$5:$BD$1101,M$1,0)</f>
        <v>1.67</v>
      </c>
      <c r="N559" s="50">
        <f>VLOOKUP($A559,'[1]ma sp 02'!$A$5:$BD$1101,N$1,0)</f>
        <v>0</v>
      </c>
      <c r="O559" s="50">
        <f>VLOOKUP($A559,'[1]ma sp 02'!$A$5:$BD$1101,O$1,0)</f>
        <v>0</v>
      </c>
      <c r="P559" s="50">
        <f>VLOOKUP($A559,'[1]ma sp 02'!$A$5:$BD$1101,P$1,0)</f>
        <v>0.55000000000000004</v>
      </c>
      <c r="Q559" s="50">
        <f>VLOOKUP($A559,'[1]ma sp 02'!$A$5:$BD$1101,Q$1,0)</f>
        <v>0.44</v>
      </c>
      <c r="R559" s="50">
        <f>VLOOKUP($A559,'[1]ma sp 02'!$A$5:$BD$1101,R$1,0)</f>
        <v>0</v>
      </c>
      <c r="S559" s="50">
        <f>VLOOKUP($A559,'[1]ma sp 02'!$A$5:$BD$1101,S$1,0)</f>
        <v>0</v>
      </c>
      <c r="T559" s="50">
        <f>VLOOKUP($A559,'[1]ma sp 02'!$A$5:$BD$1101,T$1,0)</f>
        <v>0</v>
      </c>
      <c r="U559" s="50">
        <f>VLOOKUP($A559,'[1]ma sp 02'!$A$5:$BD$1101,U$1,0)</f>
        <v>0</v>
      </c>
      <c r="V559" s="50">
        <f>VLOOKUP($A559,'[1]ma sp 02'!$A$5:$BD$1101,V$1,0)</f>
        <v>0</v>
      </c>
      <c r="W559" s="50">
        <f>VLOOKUP($A559,'[1]ma sp 02'!$A$5:$BD$1101,W$1,0)</f>
        <v>0</v>
      </c>
      <c r="X559" s="50">
        <f t="shared" si="20"/>
        <v>7</v>
      </c>
      <c r="Y559" s="62"/>
      <c r="Z559" s="62"/>
      <c r="AA559" s="62"/>
      <c r="AB559" s="62"/>
      <c r="AC559" s="62"/>
      <c r="AD559" s="62"/>
      <c r="AE559" s="62"/>
      <c r="AF559" s="62"/>
      <c r="AG559" s="71"/>
      <c r="AH559" s="153"/>
      <c r="AI559" s="151"/>
      <c r="AJ559" s="9"/>
      <c r="AK559" s="9"/>
      <c r="AL559" s="9"/>
      <c r="AM559" s="52" t="s">
        <v>756</v>
      </c>
      <c r="AN559" s="9"/>
      <c r="AO559" s="52" t="s">
        <v>527</v>
      </c>
      <c r="AP559" s="59" t="str">
        <f>IFERROR(VLOOKUP($A559,[2]Mssp!$A$5:$BE$1463,AP$4+1,0),0)</f>
        <v>1909336-1</v>
      </c>
      <c r="AQ559" s="59" t="str">
        <f>IFERROR(VLOOKUP($A559,[2]Mssp!$A$5:$BE$1463,AQ$4+1,0),0)</f>
        <v>1909336-2</v>
      </c>
      <c r="AR559" s="59" t="str">
        <f>IFERROR(VLOOKUP($A559,[2]Mssp!$A$5:$BE$1463,AR$4+1,0),0)</f>
        <v>1909336-3</v>
      </c>
      <c r="AS559" s="59" t="str">
        <f>IFERROR(VLOOKUP($A559,[2]Mssp!$A$5:$BE$1463,AS$4+1,0),0)</f>
        <v>1909336-4</v>
      </c>
      <c r="AT559" s="59" t="str">
        <f>IFERROR(VLOOKUP($A559,[2]Mssp!$A$5:$BE$1463,AT$4+1,0),0)</f>
        <v>1909336-5</v>
      </c>
      <c r="AU559" s="59">
        <f>IFERROR(VLOOKUP($A559,[2]Mssp!$A$5:$BE$1463,AU$4+1,0),0)</f>
        <v>0</v>
      </c>
      <c r="AV559" s="59">
        <f>IFERROR(VLOOKUP($A559,[2]Mssp!$A$5:$BE$1463,AV$4+1,0),0)</f>
        <v>0</v>
      </c>
      <c r="AW559" s="59">
        <f>IFERROR(VLOOKUP($A559,[2]Mssp!$A$5:$BE$1463,AW$4+1,0),0)</f>
        <v>0</v>
      </c>
      <c r="AX559" s="59">
        <f>IFERROR(VLOOKUP($A559,[2]Mssp!$A$5:$BE$1463,AX$4+1,0),0)</f>
        <v>0</v>
      </c>
      <c r="AY559" s="59" t="str">
        <f>IFERROR(VLOOKUP($A559,[2]Mssp!$A$5:$BE$1463,AY$4+2,0),0)</f>
        <v>1100x850</v>
      </c>
      <c r="AZ559" s="59" t="str">
        <f>IFERROR(VLOOKUP($A559,[2]Mssp!$A$5:$BE$1463,AZ$4+2,0),0)</f>
        <v>L1</v>
      </c>
      <c r="BA559" s="60" t="s">
        <v>106</v>
      </c>
      <c r="BB559" s="61" t="s">
        <v>107</v>
      </c>
      <c r="BC559" s="129"/>
      <c r="BD559" s="138"/>
      <c r="BE559" s="131"/>
      <c r="BF559" s="139"/>
      <c r="BG559" s="131"/>
      <c r="BH559" s="139"/>
      <c r="BI559" s="140"/>
      <c r="BJ559" s="139"/>
      <c r="BK559" s="134"/>
      <c r="BL559" s="139"/>
      <c r="BM559" s="131"/>
      <c r="BN559" s="139"/>
      <c r="BO559" s="9"/>
      <c r="BP559" s="139"/>
      <c r="BQ559" s="139"/>
      <c r="BR559" s="139"/>
      <c r="BS559" s="135"/>
      <c r="BT559" s="139"/>
      <c r="BU559" s="131"/>
      <c r="BV559" s="139"/>
      <c r="BW559" s="131"/>
      <c r="BX559" s="139"/>
      <c r="BY559" s="131"/>
      <c r="BZ559" s="139"/>
      <c r="CA559" s="131"/>
      <c r="CB559" s="139"/>
      <c r="CC559" s="131"/>
      <c r="CD559" s="139"/>
      <c r="CE559" s="9"/>
      <c r="CF559" s="9"/>
      <c r="CG559" s="9"/>
      <c r="CH559" s="9"/>
      <c r="CI559" s="9"/>
      <c r="CJ559" s="9"/>
      <c r="CK559" s="9"/>
      <c r="CL559" s="9"/>
      <c r="CM559" s="9"/>
      <c r="CN559" s="9"/>
      <c r="CO559" s="9"/>
      <c r="CP559" s="9"/>
    </row>
    <row r="560" spans="1:94" ht="45" x14ac:dyDescent="0.25">
      <c r="A560" s="127" t="s">
        <v>1810</v>
      </c>
      <c r="B560" s="51" t="s">
        <v>1811</v>
      </c>
      <c r="C560" s="62"/>
      <c r="D560" s="84">
        <v>1</v>
      </c>
      <c r="E560" s="62" t="s">
        <v>1486</v>
      </c>
      <c r="F560" s="62">
        <v>7</v>
      </c>
      <c r="G560" s="62" t="s">
        <v>530</v>
      </c>
      <c r="H560" s="50">
        <f>VLOOKUP($A560,'[1]ma sp 02'!$A$5:$BD$1101,H$1,0)</f>
        <v>0</v>
      </c>
      <c r="I560" s="50">
        <f>VLOOKUP($A560,'[1]ma sp 02'!$A$5:$BD$1101,I$1,0)</f>
        <v>0</v>
      </c>
      <c r="J560" s="50">
        <f>VLOOKUP($A560,'[1]ma sp 02'!$A$5:$BD$1101,J$1,0)</f>
        <v>0</v>
      </c>
      <c r="K560" s="50">
        <f>VLOOKUP($A560,'[1]ma sp 02'!$A$5:$BD$1101,K$1,0)</f>
        <v>0</v>
      </c>
      <c r="L560" s="50">
        <f>VLOOKUP($A560,'[1]ma sp 02'!$A$5:$BD$1101,L$1,0)</f>
        <v>0</v>
      </c>
      <c r="M560" s="50">
        <f>VLOOKUP($A560,'[1]ma sp 02'!$A$5:$BD$1101,M$1,0)</f>
        <v>0</v>
      </c>
      <c r="N560" s="50">
        <f>VLOOKUP($A560,'[1]ma sp 02'!$A$5:$BD$1101,N$1,0)</f>
        <v>0</v>
      </c>
      <c r="O560" s="50">
        <f>VLOOKUP($A560,'[1]ma sp 02'!$A$5:$BD$1101,O$1,0)</f>
        <v>0</v>
      </c>
      <c r="P560" s="50">
        <f>VLOOKUP($A560,'[1]ma sp 02'!$A$5:$BD$1101,P$1,0)</f>
        <v>0</v>
      </c>
      <c r="Q560" s="50">
        <f>VLOOKUP($A560,'[1]ma sp 02'!$A$5:$BD$1101,Q$1,0)</f>
        <v>0</v>
      </c>
      <c r="R560" s="50">
        <f>VLOOKUP($A560,'[1]ma sp 02'!$A$5:$BD$1101,R$1,0)</f>
        <v>0</v>
      </c>
      <c r="S560" s="50">
        <f>VLOOKUP($A560,'[1]ma sp 02'!$A$5:$BD$1101,S$1,0)</f>
        <v>0</v>
      </c>
      <c r="T560" s="50">
        <f>VLOOKUP($A560,'[1]ma sp 02'!$A$5:$BD$1101,T$1,0)</f>
        <v>0</v>
      </c>
      <c r="U560" s="50">
        <f>VLOOKUP($A560,'[1]ma sp 02'!$A$5:$BD$1101,U$1,0)</f>
        <v>0</v>
      </c>
      <c r="V560" s="50">
        <f>VLOOKUP($A560,'[1]ma sp 02'!$A$5:$BD$1101,V$1,0)</f>
        <v>0</v>
      </c>
      <c r="W560" s="50">
        <f>VLOOKUP($A560,'[1]ma sp 02'!$A$5:$BD$1101,W$1,0)</f>
        <v>0</v>
      </c>
      <c r="X560" s="50"/>
      <c r="Y560" s="62"/>
      <c r="Z560" s="62"/>
      <c r="AA560" s="62"/>
      <c r="AB560" s="62"/>
      <c r="AC560" s="62"/>
      <c r="AD560" s="62"/>
      <c r="AE560" s="62" t="s">
        <v>1812</v>
      </c>
      <c r="AF560" s="62" t="s">
        <v>1813</v>
      </c>
      <c r="AG560" s="71">
        <f>(0.012*1.4+0.012*1.4+0.07*0.925)*0.52</f>
        <v>5.1142000000000014E-2</v>
      </c>
      <c r="AH560" s="155">
        <f>(2.5/0.75/2)*0.51</f>
        <v>0.85000000000000009</v>
      </c>
      <c r="AI560" s="54">
        <f>(3/0.75/2)*0.51</f>
        <v>1.02</v>
      </c>
      <c r="AJ560" s="9">
        <v>9530</v>
      </c>
      <c r="AK560" s="9">
        <v>9530</v>
      </c>
      <c r="AL560" s="69" t="s">
        <v>1814</v>
      </c>
      <c r="AM560" s="69"/>
      <c r="AN560" s="9">
        <v>295</v>
      </c>
      <c r="AO560" s="69" t="s">
        <v>1815</v>
      </c>
      <c r="AP560" s="59" t="str">
        <f>IFERROR(VLOOKUP($A560,[2]Mssp!$A$5:$BE$1463,AP$4+1,0),0)</f>
        <v>1506971-1</v>
      </c>
      <c r="AQ560" s="59" t="str">
        <f>IFERROR(VLOOKUP($A560,[2]Mssp!$A$5:$BE$1463,AQ$4+1,0),0)</f>
        <v>1506971-2</v>
      </c>
      <c r="AR560" s="59" t="str">
        <f>IFERROR(VLOOKUP($A560,[2]Mssp!$A$5:$BE$1463,AR$4+1,0),0)</f>
        <v>1506971-3</v>
      </c>
      <c r="AS560" s="59" t="str">
        <f>IFERROR(VLOOKUP($A560,[2]Mssp!$A$5:$BE$1463,AS$4+1,0),0)</f>
        <v>1506971-4</v>
      </c>
      <c r="AT560" s="59" t="str">
        <f>IFERROR(VLOOKUP($A560,[2]Mssp!$A$5:$BE$1463,AT$4+1,0),0)</f>
        <v>1506971-5</v>
      </c>
      <c r="AU560" s="59" t="str">
        <f>IFERROR(VLOOKUP($A560,[2]Mssp!$A$5:$BE$1463,AU$4+1,0),0)</f>
        <v>1506971-6</v>
      </c>
      <c r="AV560" s="59" t="str">
        <f>IFERROR(VLOOKUP($A560,[2]Mssp!$A$5:$BE$1463,AV$4+1,0),0)</f>
        <v>1506971-7</v>
      </c>
      <c r="AW560" s="59">
        <f>IFERROR(VLOOKUP($A560,[2]Mssp!$A$5:$BE$1463,AW$4+1,0),0)</f>
        <v>0</v>
      </c>
      <c r="AX560" s="59">
        <f>IFERROR(VLOOKUP($A560,[2]Mssp!$A$5:$BE$1463,AX$4+1,0),0)</f>
        <v>0</v>
      </c>
      <c r="AY560" s="59" t="str">
        <f>IFERROR(VLOOKUP($A560,[2]Mssp!$A$5:$BE$1463,AY$4+2,0),0)</f>
        <v>590x720</v>
      </c>
      <c r="AZ560" s="59" t="str">
        <f>IFERROR(VLOOKUP($A560,[2]Mssp!$A$5:$BE$1463,AZ$4+2,0),0)</f>
        <v>U2</v>
      </c>
      <c r="BA560" s="141"/>
      <c r="BB560" s="61"/>
      <c r="BC560" s="129"/>
      <c r="BD560" s="138"/>
      <c r="BE560" s="131"/>
      <c r="BF560" s="139"/>
      <c r="BG560" s="131"/>
      <c r="BH560" s="139"/>
      <c r="BI560" s="140"/>
      <c r="BJ560" s="139"/>
      <c r="BK560" s="134"/>
      <c r="BL560" s="139"/>
      <c r="BM560" s="131"/>
      <c r="BN560" s="139"/>
      <c r="BO560" s="9"/>
      <c r="BP560" s="139"/>
      <c r="BQ560" s="139"/>
      <c r="BR560" s="139"/>
      <c r="BS560" s="135"/>
      <c r="BT560" s="139"/>
      <c r="BU560" s="131"/>
      <c r="BV560" s="139"/>
      <c r="BW560" s="131"/>
      <c r="BX560" s="139"/>
      <c r="BY560" s="131"/>
      <c r="BZ560" s="139"/>
      <c r="CA560" s="131"/>
      <c r="CB560" s="139"/>
      <c r="CC560" s="131"/>
      <c r="CD560" s="139"/>
      <c r="CE560" s="9"/>
      <c r="CF560" s="9"/>
      <c r="CG560" s="9"/>
      <c r="CH560" s="9"/>
      <c r="CI560" s="9"/>
      <c r="CJ560" s="9"/>
      <c r="CK560" s="9"/>
      <c r="CL560" s="9"/>
      <c r="CM560" s="9"/>
      <c r="CN560" s="9"/>
      <c r="CO560" s="9"/>
      <c r="CP560" s="9"/>
    </row>
    <row r="561" spans="1:94" ht="45" x14ac:dyDescent="0.25">
      <c r="A561" s="127" t="s">
        <v>1816</v>
      </c>
      <c r="B561" s="51" t="s">
        <v>1817</v>
      </c>
      <c r="C561" s="62"/>
      <c r="D561" s="84">
        <v>2</v>
      </c>
      <c r="E561" s="62" t="s">
        <v>131</v>
      </c>
      <c r="F561" s="62">
        <v>5</v>
      </c>
      <c r="G561" s="62" t="s">
        <v>530</v>
      </c>
      <c r="H561" s="50">
        <f>VLOOKUP($A561,'[1]ma sp 02'!$A$5:$BD$1101,H$1,0)</f>
        <v>0</v>
      </c>
      <c r="I561" s="50">
        <f>VLOOKUP($A561,'[1]ma sp 02'!$A$5:$BD$1101,I$1,0)</f>
        <v>0.15</v>
      </c>
      <c r="J561" s="50">
        <f>VLOOKUP($A561,'[1]ma sp 02'!$A$5:$BD$1101,J$1,0)</f>
        <v>0</v>
      </c>
      <c r="K561" s="50">
        <f>VLOOKUP($A561,'[1]ma sp 02'!$A$5:$BD$1101,K$1,0)</f>
        <v>0</v>
      </c>
      <c r="L561" s="50">
        <f>VLOOKUP($A561,'[1]ma sp 02'!$A$5:$BD$1101,L$1,0)</f>
        <v>1.8</v>
      </c>
      <c r="M561" s="50">
        <f>VLOOKUP($A561,'[1]ma sp 02'!$A$5:$BD$1101,M$1,0)</f>
        <v>3</v>
      </c>
      <c r="N561" s="50">
        <f>VLOOKUP($A561,'[1]ma sp 02'!$A$5:$BD$1101,N$1,0)</f>
        <v>1.6</v>
      </c>
      <c r="O561" s="50">
        <f>VLOOKUP($A561,'[1]ma sp 02'!$A$5:$BD$1101,O$1,0)</f>
        <v>0.01</v>
      </c>
      <c r="P561" s="50">
        <f>VLOOKUP($A561,'[1]ma sp 02'!$A$5:$BD$1101,P$1,0)</f>
        <v>0</v>
      </c>
      <c r="Q561" s="50">
        <f>VLOOKUP($A561,'[1]ma sp 02'!$A$5:$BD$1101,Q$1,0)</f>
        <v>0</v>
      </c>
      <c r="R561" s="50">
        <f>VLOOKUP($A561,'[1]ma sp 02'!$A$5:$BD$1101,R$1,0)</f>
        <v>0</v>
      </c>
      <c r="S561" s="50">
        <f>VLOOKUP($A561,'[1]ma sp 02'!$A$5:$BD$1101,S$1,0)</f>
        <v>0</v>
      </c>
      <c r="T561" s="50">
        <f>VLOOKUP($A561,'[1]ma sp 02'!$A$5:$BD$1101,T$1,0)</f>
        <v>0</v>
      </c>
      <c r="U561" s="50">
        <f>VLOOKUP($A561,'[1]ma sp 02'!$A$5:$BD$1101,U$1,0)</f>
        <v>0</v>
      </c>
      <c r="V561" s="50">
        <f>VLOOKUP($A561,'[1]ma sp 02'!$A$5:$BD$1101,V$1,0)</f>
        <v>0</v>
      </c>
      <c r="W561" s="50">
        <f>VLOOKUP($A561,'[1]ma sp 02'!$A$5:$BD$1101,W$1,0)</f>
        <v>0</v>
      </c>
      <c r="X561" s="50"/>
      <c r="Y561" s="62"/>
      <c r="Z561" s="62"/>
      <c r="AA561" s="62"/>
      <c r="AB561" s="62"/>
      <c r="AC561" s="62"/>
      <c r="AD561" s="62"/>
      <c r="AE561" s="62" t="s">
        <v>71</v>
      </c>
      <c r="AF561" s="62" t="s">
        <v>324</v>
      </c>
      <c r="AG561" s="71">
        <f>(0.012*1.4+0.012*1.4+0.075*0.925)*0.62</f>
        <v>6.3844500000000012E-2</v>
      </c>
      <c r="AH561" s="155">
        <f>(2.3/0.75/2)*0.61</f>
        <v>0.93533333333333324</v>
      </c>
      <c r="AI561" s="54">
        <f>(3/0.75/2)*0.61</f>
        <v>1.22</v>
      </c>
      <c r="AJ561" s="9">
        <v>9530</v>
      </c>
      <c r="AK561" s="9">
        <v>9530</v>
      </c>
      <c r="AL561" s="69" t="s">
        <v>1818</v>
      </c>
      <c r="AM561" s="69"/>
      <c r="AN561" s="9">
        <v>340</v>
      </c>
      <c r="AO561" s="69" t="s">
        <v>332</v>
      </c>
      <c r="AP561" s="59" t="str">
        <f>IFERROR(VLOOKUP($A561,[2]Mssp!$A$5:$BE$1463,AP$4+1,0),0)</f>
        <v>1904580-1</v>
      </c>
      <c r="AQ561" s="59" t="str">
        <f>IFERROR(VLOOKUP($A561,[2]Mssp!$A$5:$BE$1463,AQ$4+1,0),0)</f>
        <v>1904580-2</v>
      </c>
      <c r="AR561" s="59" t="str">
        <f>IFERROR(VLOOKUP($A561,[2]Mssp!$A$5:$BE$1463,AR$4+1,0),0)</f>
        <v>1904580-3</v>
      </c>
      <c r="AS561" s="59" t="str">
        <f>IFERROR(VLOOKUP($A561,[2]Mssp!$A$5:$BE$1463,AS$4+1,0),0)</f>
        <v>1904580-4</v>
      </c>
      <c r="AT561" s="59" t="str">
        <f>IFERROR(VLOOKUP($A561,[2]Mssp!$A$5:$BE$1463,AT$4+1,0),0)</f>
        <v>1904580-5</v>
      </c>
      <c r="AU561" s="59">
        <f>IFERROR(VLOOKUP($A561,[2]Mssp!$A$5:$BE$1463,AU$4+1,0),0)</f>
        <v>0</v>
      </c>
      <c r="AV561" s="59">
        <f>IFERROR(VLOOKUP($A561,[2]Mssp!$A$5:$BE$1463,AV$4+1,0),0)</f>
        <v>0</v>
      </c>
      <c r="AW561" s="59">
        <f>IFERROR(VLOOKUP($A561,[2]Mssp!$A$5:$BE$1463,AW$4+1,0),0)</f>
        <v>0</v>
      </c>
      <c r="AX561" s="59">
        <f>IFERROR(VLOOKUP($A561,[2]Mssp!$A$5:$BE$1463,AX$4+1,0),0)</f>
        <v>0</v>
      </c>
      <c r="AY561" s="59" t="str">
        <f>IFERROR(VLOOKUP($A561,[2]Mssp!$A$5:$BE$1463,AY$4+2,0),0)</f>
        <v>680x860</v>
      </c>
      <c r="AZ561" s="59" t="str">
        <f>IFERROR(VLOOKUP($A561,[2]Mssp!$A$5:$BE$1463,AZ$4+2,0),0)</f>
        <v>G3</v>
      </c>
      <c r="BA561" s="141"/>
      <c r="BB561" s="61"/>
      <c r="BC561" s="129"/>
      <c r="BD561" s="138"/>
      <c r="BE561" s="131"/>
      <c r="BF561" s="139"/>
      <c r="BG561" s="131"/>
      <c r="BH561" s="139"/>
      <c r="BI561" s="140"/>
      <c r="BJ561" s="139"/>
      <c r="BK561" s="134"/>
      <c r="BL561" s="139"/>
      <c r="BM561" s="131"/>
      <c r="BN561" s="139"/>
      <c r="BO561" s="9"/>
      <c r="BP561" s="139"/>
      <c r="BQ561" s="139"/>
      <c r="BR561" s="139"/>
      <c r="BS561" s="135"/>
      <c r="BT561" s="139"/>
      <c r="BU561" s="131"/>
      <c r="BV561" s="139"/>
      <c r="BW561" s="131"/>
      <c r="BX561" s="139"/>
      <c r="BY561" s="131"/>
      <c r="BZ561" s="139"/>
      <c r="CA561" s="131"/>
      <c r="CB561" s="139"/>
      <c r="CC561" s="131"/>
      <c r="CD561" s="139"/>
      <c r="CE561" s="9"/>
      <c r="CF561" s="9"/>
      <c r="CG561" s="9"/>
      <c r="CH561" s="9"/>
      <c r="CI561" s="9"/>
      <c r="CJ561" s="9"/>
      <c r="CK561" s="9"/>
      <c r="CL561" s="9"/>
      <c r="CM561" s="9"/>
      <c r="CN561" s="9"/>
      <c r="CO561" s="9"/>
      <c r="CP561" s="9"/>
    </row>
    <row r="562" spans="1:94" ht="45" x14ac:dyDescent="0.25">
      <c r="A562" s="127" t="s">
        <v>1819</v>
      </c>
      <c r="B562" s="51" t="s">
        <v>1820</v>
      </c>
      <c r="C562" s="62"/>
      <c r="D562" s="84">
        <v>2</v>
      </c>
      <c r="E562" s="62" t="s">
        <v>131</v>
      </c>
      <c r="F562" s="62">
        <v>5</v>
      </c>
      <c r="G562" s="62" t="s">
        <v>530</v>
      </c>
      <c r="H562" s="50">
        <f>VLOOKUP($A562,'[1]ma sp 02'!$A$5:$BD$1101,H$1,0)</f>
        <v>0</v>
      </c>
      <c r="I562" s="50">
        <f>VLOOKUP($A562,'[1]ma sp 02'!$A$5:$BD$1101,I$1,0)</f>
        <v>1.75</v>
      </c>
      <c r="J562" s="50">
        <f>VLOOKUP($A562,'[1]ma sp 02'!$A$5:$BD$1101,J$1,0)</f>
        <v>0</v>
      </c>
      <c r="K562" s="50">
        <f>VLOOKUP($A562,'[1]ma sp 02'!$A$5:$BD$1101,K$1,0)</f>
        <v>0</v>
      </c>
      <c r="L562" s="50">
        <f>VLOOKUP($A562,'[1]ma sp 02'!$A$5:$BD$1101,L$1,0)</f>
        <v>3.52</v>
      </c>
      <c r="M562" s="50">
        <f>VLOOKUP($A562,'[1]ma sp 02'!$A$5:$BD$1101,M$1,0)</f>
        <v>0</v>
      </c>
      <c r="N562" s="50">
        <f>VLOOKUP($A562,'[1]ma sp 02'!$A$5:$BD$1101,N$1,0)</f>
        <v>4.0999999999999996</v>
      </c>
      <c r="O562" s="50">
        <f>VLOOKUP($A562,'[1]ma sp 02'!$A$5:$BD$1101,O$1,0)</f>
        <v>1.61</v>
      </c>
      <c r="P562" s="50">
        <f>VLOOKUP($A562,'[1]ma sp 02'!$A$5:$BD$1101,P$1,0)</f>
        <v>0</v>
      </c>
      <c r="Q562" s="50">
        <f>VLOOKUP($A562,'[1]ma sp 02'!$A$5:$BD$1101,Q$1,0)</f>
        <v>0</v>
      </c>
      <c r="R562" s="50">
        <f>VLOOKUP($A562,'[1]ma sp 02'!$A$5:$BD$1101,R$1,0)</f>
        <v>0</v>
      </c>
      <c r="S562" s="50">
        <f>VLOOKUP($A562,'[1]ma sp 02'!$A$5:$BD$1101,S$1,0)</f>
        <v>0</v>
      </c>
      <c r="T562" s="50">
        <f>VLOOKUP($A562,'[1]ma sp 02'!$A$5:$BD$1101,T$1,0)</f>
        <v>0</v>
      </c>
      <c r="U562" s="50">
        <f>VLOOKUP($A562,'[1]ma sp 02'!$A$5:$BD$1101,U$1,0)</f>
        <v>0</v>
      </c>
      <c r="V562" s="50">
        <f>VLOOKUP($A562,'[1]ma sp 02'!$A$5:$BD$1101,V$1,0)</f>
        <v>0</v>
      </c>
      <c r="W562" s="50">
        <f>VLOOKUP($A562,'[1]ma sp 02'!$A$5:$BD$1101,W$1,0)</f>
        <v>0</v>
      </c>
      <c r="X562" s="50"/>
      <c r="Y562" s="62"/>
      <c r="Z562" s="62"/>
      <c r="AA562" s="62"/>
      <c r="AB562" s="62"/>
      <c r="AC562" s="62"/>
      <c r="AD562" s="62"/>
      <c r="AE562" s="62" t="s">
        <v>71</v>
      </c>
      <c r="AF562" s="62" t="s">
        <v>324</v>
      </c>
      <c r="AG562" s="71">
        <f>(0.012*1.4+0.012*1.4+0.075*0.925)*0.62</f>
        <v>6.3844500000000012E-2</v>
      </c>
      <c r="AH562" s="155">
        <f>(2.3/0.75/2)*0.61</f>
        <v>0.93533333333333324</v>
      </c>
      <c r="AI562" s="54">
        <f>(3/0.75/2)*0.61</f>
        <v>1.22</v>
      </c>
      <c r="AJ562" s="9">
        <v>9530</v>
      </c>
      <c r="AK562" s="9">
        <v>9530</v>
      </c>
      <c r="AL562" s="69" t="s">
        <v>1818</v>
      </c>
      <c r="AM562" s="69"/>
      <c r="AN562" s="9">
        <v>340</v>
      </c>
      <c r="AO562" s="69" t="s">
        <v>332</v>
      </c>
      <c r="AP562" s="59" t="str">
        <f>IFERROR(VLOOKUP($A562,[2]Mssp!$A$5:$BE$1463,AP$4+1,0),0)</f>
        <v>1904581-1</v>
      </c>
      <c r="AQ562" s="59" t="str">
        <f>IFERROR(VLOOKUP($A562,[2]Mssp!$A$5:$BE$1463,AQ$4+1,0),0)</f>
        <v>1904580-2</v>
      </c>
      <c r="AR562" s="59" t="str">
        <f>IFERROR(VLOOKUP($A562,[2]Mssp!$A$5:$BE$1463,AR$4+1,0),0)</f>
        <v>1904580-3</v>
      </c>
      <c r="AS562" s="59" t="str">
        <f>IFERROR(VLOOKUP($A562,[2]Mssp!$A$5:$BE$1463,AS$4+1,0),0)</f>
        <v>1904581-4</v>
      </c>
      <c r="AT562" s="59" t="str">
        <f>IFERROR(VLOOKUP($A562,[2]Mssp!$A$5:$BE$1463,AT$4+1,0),0)</f>
        <v>1904581-5</v>
      </c>
      <c r="AU562" s="59">
        <f>IFERROR(VLOOKUP($A562,[2]Mssp!$A$5:$BE$1463,AU$4+1,0),0)</f>
        <v>0</v>
      </c>
      <c r="AV562" s="59">
        <f>IFERROR(VLOOKUP($A562,[2]Mssp!$A$5:$BE$1463,AV$4+1,0),0)</f>
        <v>0</v>
      </c>
      <c r="AW562" s="59">
        <f>IFERROR(VLOOKUP($A562,[2]Mssp!$A$5:$BE$1463,AW$4+1,0),0)</f>
        <v>0</v>
      </c>
      <c r="AX562" s="59">
        <f>IFERROR(VLOOKUP($A562,[2]Mssp!$A$5:$BE$1463,AX$4+1,0),0)</f>
        <v>0</v>
      </c>
      <c r="AY562" s="59" t="str">
        <f>IFERROR(VLOOKUP($A562,[2]Mssp!$A$5:$BE$1463,AY$4+2,0),0)</f>
        <v>680x860</v>
      </c>
      <c r="AZ562" s="59" t="str">
        <f>IFERROR(VLOOKUP($A562,[2]Mssp!$A$5:$BE$1463,AZ$4+2,0),0)</f>
        <v>G3</v>
      </c>
      <c r="BA562" s="141"/>
      <c r="BB562" s="61"/>
      <c r="BC562" s="129"/>
      <c r="BD562" s="138"/>
      <c r="BE562" s="131"/>
      <c r="BF562" s="139"/>
      <c r="BG562" s="131"/>
      <c r="BH562" s="139"/>
      <c r="BI562" s="140"/>
      <c r="BJ562" s="139"/>
      <c r="BK562" s="134"/>
      <c r="BL562" s="139"/>
      <c r="BM562" s="131"/>
      <c r="BN562" s="139"/>
      <c r="BO562" s="9"/>
      <c r="BP562" s="139"/>
      <c r="BQ562" s="139"/>
      <c r="BR562" s="139"/>
      <c r="BS562" s="135"/>
      <c r="BT562" s="139"/>
      <c r="BU562" s="131"/>
      <c r="BV562" s="139"/>
      <c r="BW562" s="131"/>
      <c r="BX562" s="139"/>
      <c r="BY562" s="131"/>
      <c r="BZ562" s="139"/>
      <c r="CA562" s="131"/>
      <c r="CB562" s="139"/>
      <c r="CC562" s="131"/>
      <c r="CD562" s="139"/>
      <c r="CE562" s="9"/>
      <c r="CF562" s="9"/>
      <c r="CG562" s="9"/>
      <c r="CH562" s="9"/>
      <c r="CI562" s="9"/>
      <c r="CJ562" s="9"/>
      <c r="CK562" s="9"/>
      <c r="CL562" s="9"/>
      <c r="CM562" s="9"/>
      <c r="CN562" s="9"/>
      <c r="CO562" s="9"/>
      <c r="CP562" s="9"/>
    </row>
    <row r="563" spans="1:94" ht="45" x14ac:dyDescent="0.25">
      <c r="A563" s="127" t="s">
        <v>1821</v>
      </c>
      <c r="B563" s="51" t="s">
        <v>1822</v>
      </c>
      <c r="C563" s="62"/>
      <c r="D563" s="84">
        <v>3</v>
      </c>
      <c r="E563" s="62" t="s">
        <v>636</v>
      </c>
      <c r="F563" s="57">
        <v>7</v>
      </c>
      <c r="G563" s="50" t="s">
        <v>530</v>
      </c>
      <c r="H563" s="50">
        <f>VLOOKUP($A563,'[1]ma sp 02'!$A$5:$BD$1101,H$1,0)</f>
        <v>5.8000000000000003E-2</v>
      </c>
      <c r="I563" s="50">
        <f>VLOOKUP($A563,'[1]ma sp 02'!$A$5:$BD$1101,I$1,0)</f>
        <v>2.4500000000000002</v>
      </c>
      <c r="J563" s="50">
        <f>VLOOKUP($A563,'[1]ma sp 02'!$A$5:$BD$1101,J$1,0)</f>
        <v>0.76</v>
      </c>
      <c r="K563" s="50">
        <f>VLOOKUP($A563,'[1]ma sp 02'!$A$5:$BD$1101,K$1,0)</f>
        <v>0.01</v>
      </c>
      <c r="L563" s="50">
        <f>VLOOKUP($A563,'[1]ma sp 02'!$A$5:$BD$1101,L$1,0)</f>
        <v>1.34</v>
      </c>
      <c r="M563" s="50">
        <f>VLOOKUP($A563,'[1]ma sp 02'!$A$5:$BD$1101,M$1,0)</f>
        <v>0.81</v>
      </c>
      <c r="N563" s="50">
        <f>VLOOKUP($A563,'[1]ma sp 02'!$A$5:$BD$1101,N$1,0)</f>
        <v>2.2000000000000002</v>
      </c>
      <c r="O563" s="50">
        <f>VLOOKUP($A563,'[1]ma sp 02'!$A$5:$BD$1101,O$1,0)</f>
        <v>0.01</v>
      </c>
      <c r="P563" s="50">
        <f>VLOOKUP($A563,'[1]ma sp 02'!$A$5:$BD$1101,P$1,0)</f>
        <v>0</v>
      </c>
      <c r="Q563" s="50">
        <f>VLOOKUP($A563,'[1]ma sp 02'!$A$5:$BD$1101,Q$1,0)</f>
        <v>0</v>
      </c>
      <c r="R563" s="50">
        <f>VLOOKUP($A563,'[1]ma sp 02'!$A$5:$BD$1101,R$1,0)</f>
        <v>0</v>
      </c>
      <c r="S563" s="50">
        <f>VLOOKUP($A563,'[1]ma sp 02'!$A$5:$BD$1101,S$1,0)</f>
        <v>0</v>
      </c>
      <c r="T563" s="50">
        <f>VLOOKUP($A563,'[1]ma sp 02'!$A$5:$BD$1101,T$1,0)</f>
        <v>0</v>
      </c>
      <c r="U563" s="50">
        <f>VLOOKUP($A563,'[1]ma sp 02'!$A$5:$BD$1101,U$1,0)</f>
        <v>0</v>
      </c>
      <c r="V563" s="50">
        <f>VLOOKUP($A563,'[1]ma sp 02'!$A$5:$BD$1101,V$1,0)</f>
        <v>0</v>
      </c>
      <c r="W563" s="50">
        <f>VLOOKUP($A563,'[1]ma sp 02'!$A$5:$BD$1101,W$1,0)</f>
        <v>0</v>
      </c>
      <c r="X563" s="50">
        <f>COUNTIF(H563:W563, "&gt;0")</f>
        <v>8</v>
      </c>
      <c r="Y563" s="62"/>
      <c r="Z563" s="62"/>
      <c r="AA563" s="62"/>
      <c r="AB563" s="62"/>
      <c r="AC563" s="62"/>
      <c r="AD563" s="62"/>
      <c r="AE563" s="62" t="s">
        <v>1593</v>
      </c>
      <c r="AF563" s="62" t="s">
        <v>321</v>
      </c>
      <c r="AG563" s="71">
        <f>(0.012*1.4+0.012*1.4+0.075*0.925)*0.74</f>
        <v>7.6201500000000005E-2</v>
      </c>
      <c r="AH563" s="153">
        <f>(2.3/0.75/2)*0.73</f>
        <v>1.1193333333333333</v>
      </c>
      <c r="AI563" s="63">
        <f>(3/0.75/2)*0.73</f>
        <v>1.46</v>
      </c>
      <c r="AJ563" s="58">
        <v>9530</v>
      </c>
      <c r="AK563" s="58">
        <v>9530</v>
      </c>
      <c r="AL563" s="58" t="s">
        <v>117</v>
      </c>
      <c r="AM563" s="52" t="s">
        <v>60</v>
      </c>
      <c r="AN563" s="62">
        <v>270</v>
      </c>
      <c r="AO563" s="61" t="s">
        <v>332</v>
      </c>
      <c r="AP563" s="59" t="str">
        <f>IFERROR(VLOOKUP($A563,[2]Mssp!$A$5:$BE$1463,AP$4+1,0),0)</f>
        <v>1909998-1</v>
      </c>
      <c r="AQ563" s="59" t="str">
        <f>IFERROR(VLOOKUP($A563,[2]Mssp!$A$5:$BE$1463,AQ$4+1,0),0)</f>
        <v>1909998-2</v>
      </c>
      <c r="AR563" s="59" t="str">
        <f>IFERROR(VLOOKUP($A563,[2]Mssp!$A$5:$BE$1463,AR$4+1,0),0)</f>
        <v>1909998-3</v>
      </c>
      <c r="AS563" s="59" t="str">
        <f>IFERROR(VLOOKUP($A563,[2]Mssp!$A$5:$BE$1463,AS$4+1,0),0)</f>
        <v>1909998-4</v>
      </c>
      <c r="AT563" s="59" t="str">
        <f>IFERROR(VLOOKUP($A563,[2]Mssp!$A$5:$BE$1463,AT$4+1,0),0)</f>
        <v>1909998-5</v>
      </c>
      <c r="AU563" s="59" t="str">
        <f>IFERROR(VLOOKUP($A563,[2]Mssp!$A$5:$BE$1463,AU$4+1,0),0)</f>
        <v>1909998-6</v>
      </c>
      <c r="AV563" s="59" t="str">
        <f>IFERROR(VLOOKUP($A563,[2]Mssp!$A$5:$BE$1463,AV$4+1,0),0)</f>
        <v>1909998-7</v>
      </c>
      <c r="AW563" s="59">
        <f>IFERROR(VLOOKUP($A563,[2]Mssp!$A$5:$BE$1463,AW$4+1,0),0)</f>
        <v>0</v>
      </c>
      <c r="AX563" s="59">
        <f>IFERROR(VLOOKUP($A563,[2]Mssp!$A$5:$BE$1463,AX$4+1,0),0)</f>
        <v>0</v>
      </c>
      <c r="AY563" s="59" t="str">
        <f>IFERROR(VLOOKUP($A563,[2]Mssp!$A$5:$BE$1463,AY$4+2,0),0)</f>
        <v>540x860</v>
      </c>
      <c r="AZ563" s="59" t="str">
        <f>IFERROR(VLOOKUP($A563,[2]Mssp!$A$5:$BE$1463,AZ$4+2,0),0)</f>
        <v>G4</v>
      </c>
      <c r="BA563" s="141"/>
      <c r="BB563" s="61"/>
      <c r="BC563" s="129"/>
      <c r="BD563" s="138"/>
      <c r="BE563" s="131"/>
      <c r="BF563" s="139"/>
      <c r="BG563" s="131"/>
      <c r="BH563" s="139"/>
      <c r="BI563" s="140"/>
      <c r="BJ563" s="139"/>
      <c r="BK563" s="134"/>
      <c r="BL563" s="139"/>
      <c r="BM563" s="131"/>
      <c r="BN563" s="139"/>
      <c r="BO563" s="9"/>
      <c r="BP563" s="139"/>
      <c r="BQ563" s="139"/>
      <c r="BR563" s="139"/>
      <c r="BS563" s="135"/>
      <c r="BT563" s="139"/>
      <c r="BU563" s="131"/>
      <c r="BV563" s="139"/>
      <c r="BW563" s="131"/>
      <c r="BX563" s="139"/>
      <c r="BY563" s="131"/>
      <c r="BZ563" s="139"/>
      <c r="CA563" s="131"/>
      <c r="CB563" s="139"/>
      <c r="CC563" s="131"/>
      <c r="CD563" s="139"/>
      <c r="CE563" s="9"/>
      <c r="CF563" s="9"/>
      <c r="CG563" s="9"/>
      <c r="CH563" s="9"/>
      <c r="CI563" s="9"/>
      <c r="CJ563" s="9"/>
      <c r="CK563" s="9"/>
      <c r="CL563" s="9"/>
      <c r="CM563" s="9"/>
      <c r="CN563" s="9"/>
      <c r="CO563" s="9"/>
      <c r="CP563" s="9"/>
    </row>
    <row r="564" spans="1:94" ht="45" x14ac:dyDescent="0.25">
      <c r="A564" s="127" t="s">
        <v>1823</v>
      </c>
      <c r="B564" s="51" t="s">
        <v>1824</v>
      </c>
      <c r="C564" s="62"/>
      <c r="D564" s="109">
        <v>3</v>
      </c>
      <c r="E564" s="62" t="s">
        <v>636</v>
      </c>
      <c r="F564" s="57">
        <v>7</v>
      </c>
      <c r="G564" s="50" t="s">
        <v>530</v>
      </c>
      <c r="H564" s="50">
        <f>VLOOKUP($A564,'[1]ma sp 02'!$A$5:$BD$1101,H$1,0)</f>
        <v>0</v>
      </c>
      <c r="I564" s="50">
        <f>VLOOKUP($A564,'[1]ma sp 02'!$A$5:$BD$1101,I$1,0)</f>
        <v>0.35</v>
      </c>
      <c r="J564" s="50">
        <f>VLOOKUP($A564,'[1]ma sp 02'!$A$5:$BD$1101,J$1,0)</f>
        <v>0.99</v>
      </c>
      <c r="K564" s="50">
        <f>VLOOKUP($A564,'[1]ma sp 02'!$A$5:$BD$1101,K$1,0)</f>
        <v>0.23</v>
      </c>
      <c r="L564" s="50">
        <f>VLOOKUP($A564,'[1]ma sp 02'!$A$5:$BD$1101,L$1,0)</f>
        <v>2</v>
      </c>
      <c r="M564" s="50">
        <f>VLOOKUP($A564,'[1]ma sp 02'!$A$5:$BD$1101,M$1,0)</f>
        <v>0</v>
      </c>
      <c r="N564" s="50">
        <f>VLOOKUP($A564,'[1]ma sp 02'!$A$5:$BD$1101,N$1,0)</f>
        <v>1.3</v>
      </c>
      <c r="O564" s="50">
        <f>VLOOKUP($A564,'[1]ma sp 02'!$A$5:$BD$1101,O$1,0)</f>
        <v>0.01</v>
      </c>
      <c r="P564" s="50">
        <f>VLOOKUP($A564,'[1]ma sp 02'!$A$5:$BD$1101,P$1,0)</f>
        <v>0</v>
      </c>
      <c r="Q564" s="50">
        <f>VLOOKUP($A564,'[1]ma sp 02'!$A$5:$BD$1101,Q$1,0)</f>
        <v>0</v>
      </c>
      <c r="R564" s="50">
        <f>VLOOKUP($A564,'[1]ma sp 02'!$A$5:$BD$1101,R$1,0)</f>
        <v>0</v>
      </c>
      <c r="S564" s="50">
        <f>VLOOKUP($A564,'[1]ma sp 02'!$A$5:$BD$1101,S$1,0)</f>
        <v>0</v>
      </c>
      <c r="T564" s="50">
        <f>VLOOKUP($A564,'[1]ma sp 02'!$A$5:$BD$1101,T$1,0)</f>
        <v>0</v>
      </c>
      <c r="U564" s="50">
        <f>VLOOKUP($A564,'[1]ma sp 02'!$A$5:$BD$1101,U$1,0)</f>
        <v>0</v>
      </c>
      <c r="V564" s="50">
        <f>VLOOKUP($A564,'[1]ma sp 02'!$A$5:$BD$1101,V$1,0)</f>
        <v>0</v>
      </c>
      <c r="W564" s="50">
        <f>VLOOKUP($A564,'[1]ma sp 02'!$A$5:$BD$1101,W$1,0)</f>
        <v>0</v>
      </c>
      <c r="X564" s="50">
        <f>COUNTIF(H564:W564, "&gt;0")</f>
        <v>6</v>
      </c>
      <c r="Y564" s="62"/>
      <c r="Z564" s="62"/>
      <c r="AA564" s="62"/>
      <c r="AB564" s="62"/>
      <c r="AC564" s="62"/>
      <c r="AD564" s="62"/>
      <c r="AE564" s="62" t="s">
        <v>1593</v>
      </c>
      <c r="AF564" s="62" t="s">
        <v>321</v>
      </c>
      <c r="AG564" s="71">
        <f>(0.012*1.4+0.012*1.4+0.075*0.925)*0.74</f>
        <v>7.6201500000000005E-2</v>
      </c>
      <c r="AH564" s="153">
        <f>(2.3/0.75/2)*0.73</f>
        <v>1.1193333333333333</v>
      </c>
      <c r="AI564" s="63">
        <f>(3/0.75/2)*0.73</f>
        <v>1.46</v>
      </c>
      <c r="AJ564" s="58">
        <v>9530</v>
      </c>
      <c r="AK564" s="58">
        <v>9530</v>
      </c>
      <c r="AL564" s="58" t="s">
        <v>117</v>
      </c>
      <c r="AM564" s="52" t="s">
        <v>60</v>
      </c>
      <c r="AN564" s="62">
        <v>270</v>
      </c>
      <c r="AO564" s="61" t="s">
        <v>332</v>
      </c>
      <c r="AP564" s="59" t="str">
        <f>IFERROR(VLOOKUP($A564,[2]Mssp!$A$5:$BE$1463,AP$4+1,0),0)</f>
        <v>1909998-1</v>
      </c>
      <c r="AQ564" s="59" t="str">
        <f>IFERROR(VLOOKUP($A564,[2]Mssp!$A$5:$BE$1463,AQ$4+1,0),0)</f>
        <v>1909999-2</v>
      </c>
      <c r="AR564" s="59" t="str">
        <f>IFERROR(VLOOKUP($A564,[2]Mssp!$A$5:$BE$1463,AR$4+1,0),0)</f>
        <v>1909998-3</v>
      </c>
      <c r="AS564" s="59" t="str">
        <f>IFERROR(VLOOKUP($A564,[2]Mssp!$A$5:$BE$1463,AS$4+1,0),0)</f>
        <v>1909998-4</v>
      </c>
      <c r="AT564" s="59" t="str">
        <f>IFERROR(VLOOKUP($A564,[2]Mssp!$A$5:$BE$1463,AT$4+1,0),0)</f>
        <v>1909999-5</v>
      </c>
      <c r="AU564" s="59" t="str">
        <f>IFERROR(VLOOKUP($A564,[2]Mssp!$A$5:$BE$1463,AU$4+1,0),0)</f>
        <v>1909999-6</v>
      </c>
      <c r="AV564" s="59" t="str">
        <f>IFERROR(VLOOKUP($A564,[2]Mssp!$A$5:$BE$1463,AV$4+1,0),0)</f>
        <v>1909999-7</v>
      </c>
      <c r="AW564" s="59">
        <f>IFERROR(VLOOKUP($A564,[2]Mssp!$A$5:$BE$1463,AW$4+1,0),0)</f>
        <v>0</v>
      </c>
      <c r="AX564" s="59">
        <f>IFERROR(VLOOKUP($A564,[2]Mssp!$A$5:$BE$1463,AX$4+1,0),0)</f>
        <v>0</v>
      </c>
      <c r="AY564" s="59" t="str">
        <f>IFERROR(VLOOKUP($A564,[2]Mssp!$A$5:$BE$1463,AY$4+2,0),0)</f>
        <v>540x860</v>
      </c>
      <c r="AZ564" s="59" t="str">
        <f>IFERROR(VLOOKUP($A564,[2]Mssp!$A$5:$BE$1463,AZ$4+2,0),0)</f>
        <v>G4</v>
      </c>
      <c r="BA564" s="141"/>
      <c r="BB564" s="61"/>
      <c r="BC564" s="129"/>
      <c r="BD564" s="138"/>
      <c r="BE564" s="131"/>
      <c r="BF564" s="139"/>
      <c r="BG564" s="131"/>
      <c r="BH564" s="139"/>
      <c r="BI564" s="140"/>
      <c r="BJ564" s="139"/>
      <c r="BK564" s="134"/>
      <c r="BL564" s="139"/>
      <c r="BM564" s="131"/>
      <c r="BN564" s="139"/>
      <c r="BO564" s="9"/>
      <c r="BP564" s="139"/>
      <c r="BQ564" s="139"/>
      <c r="BR564" s="139"/>
      <c r="BS564" s="135"/>
      <c r="BT564" s="139"/>
      <c r="BU564" s="131"/>
      <c r="BV564" s="139"/>
      <c r="BW564" s="131"/>
      <c r="BX564" s="139"/>
      <c r="BY564" s="131"/>
      <c r="BZ564" s="139"/>
      <c r="CA564" s="131"/>
      <c r="CB564" s="139"/>
      <c r="CC564" s="131"/>
      <c r="CD564" s="139"/>
      <c r="CE564" s="9"/>
      <c r="CF564" s="9"/>
      <c r="CG564" s="9"/>
      <c r="CH564" s="9"/>
      <c r="CI564" s="9"/>
      <c r="CJ564" s="9"/>
      <c r="CK564" s="9"/>
      <c r="CL564" s="9"/>
      <c r="CM564" s="9"/>
      <c r="CN564" s="9"/>
      <c r="CO564" s="9"/>
      <c r="CP564" s="9"/>
    </row>
    <row r="565" spans="1:94" ht="45" x14ac:dyDescent="0.25">
      <c r="A565" s="127" t="s">
        <v>1825</v>
      </c>
      <c r="B565" s="51" t="s">
        <v>1826</v>
      </c>
      <c r="C565" s="62"/>
      <c r="D565" s="84">
        <v>2</v>
      </c>
      <c r="E565" s="62" t="s">
        <v>1422</v>
      </c>
      <c r="F565" s="62">
        <v>7</v>
      </c>
      <c r="G565" s="62" t="s">
        <v>184</v>
      </c>
      <c r="H565" s="50">
        <f>VLOOKUP($A565,'[1]ma sp 02'!$A$5:$BD$1101,H$1,0)</f>
        <v>0</v>
      </c>
      <c r="I565" s="50">
        <f>VLOOKUP($A565,'[1]ma sp 02'!$A$5:$BD$1101,I$1,0)</f>
        <v>0</v>
      </c>
      <c r="J565" s="50">
        <f>VLOOKUP($A565,'[1]ma sp 02'!$A$5:$BD$1101,J$1,0)</f>
        <v>0</v>
      </c>
      <c r="K565" s="50">
        <f>VLOOKUP($A565,'[1]ma sp 02'!$A$5:$BD$1101,K$1,0)</f>
        <v>0</v>
      </c>
      <c r="L565" s="50">
        <f>VLOOKUP($A565,'[1]ma sp 02'!$A$5:$BD$1101,L$1,0)</f>
        <v>0</v>
      </c>
      <c r="M565" s="50">
        <f>VLOOKUP($A565,'[1]ma sp 02'!$A$5:$BD$1101,M$1,0)</f>
        <v>0</v>
      </c>
      <c r="N565" s="50">
        <f>VLOOKUP($A565,'[1]ma sp 02'!$A$5:$BD$1101,N$1,0)</f>
        <v>0</v>
      </c>
      <c r="O565" s="50">
        <f>VLOOKUP($A565,'[1]ma sp 02'!$A$5:$BD$1101,O$1,0)</f>
        <v>0</v>
      </c>
      <c r="P565" s="50">
        <f>VLOOKUP($A565,'[1]ma sp 02'!$A$5:$BD$1101,P$1,0)</f>
        <v>0</v>
      </c>
      <c r="Q565" s="50">
        <f>VLOOKUP($A565,'[1]ma sp 02'!$A$5:$BD$1101,Q$1,0)</f>
        <v>0</v>
      </c>
      <c r="R565" s="50">
        <f>VLOOKUP($A565,'[1]ma sp 02'!$A$5:$BD$1101,R$1,0)</f>
        <v>0</v>
      </c>
      <c r="S565" s="50">
        <f>VLOOKUP($A565,'[1]ma sp 02'!$A$5:$BD$1101,S$1,0)</f>
        <v>0</v>
      </c>
      <c r="T565" s="50">
        <f>VLOOKUP($A565,'[1]ma sp 02'!$A$5:$BD$1101,T$1,0)</f>
        <v>0</v>
      </c>
      <c r="U565" s="50">
        <f>VLOOKUP($A565,'[1]ma sp 02'!$A$5:$BD$1101,U$1,0)</f>
        <v>0</v>
      </c>
      <c r="V565" s="50">
        <f>VLOOKUP($A565,'[1]ma sp 02'!$A$5:$BD$1101,V$1,0)</f>
        <v>0</v>
      </c>
      <c r="W565" s="50">
        <f>VLOOKUP($A565,'[1]ma sp 02'!$A$5:$BD$1101,W$1,0)</f>
        <v>0</v>
      </c>
      <c r="X565" s="50"/>
      <c r="Y565" s="62"/>
      <c r="Z565" s="62"/>
      <c r="AA565" s="62"/>
      <c r="AB565" s="62"/>
      <c r="AC565" s="62"/>
      <c r="AD565" s="62"/>
      <c r="AE565" s="62" t="s">
        <v>71</v>
      </c>
      <c r="AF565" s="62" t="s">
        <v>1827</v>
      </c>
      <c r="AG565" s="71">
        <f>(0.02*0.91+0.012*1.4+0.075*0.925)*0.62</f>
        <v>6.4712500000000006E-2</v>
      </c>
      <c r="AH565" s="156">
        <f>(2.3/0.75/2)*0.61</f>
        <v>0.93533333333333324</v>
      </c>
      <c r="AI565" s="157">
        <f>(3/0.75/2)*0.61</f>
        <v>1.22</v>
      </c>
      <c r="AJ565" s="9">
        <v>9530</v>
      </c>
      <c r="AK565" s="9">
        <v>9530</v>
      </c>
      <c r="AL565" s="9" t="s">
        <v>1818</v>
      </c>
      <c r="AM565" s="52" t="s">
        <v>60</v>
      </c>
      <c r="AN565" s="9">
        <v>340</v>
      </c>
      <c r="AO565" s="69" t="s">
        <v>332</v>
      </c>
      <c r="AP565" s="59" t="str">
        <f>IFERROR(VLOOKUP($A565,[2]Mssp!$A$5:$BE$1463,AP$4+1,0),0)</f>
        <v>1909995-1</v>
      </c>
      <c r="AQ565" s="59" t="str">
        <f>IFERROR(VLOOKUP($A565,[2]Mssp!$A$5:$BE$1463,AQ$4+1,0),0)</f>
        <v>1909995-2</v>
      </c>
      <c r="AR565" s="59" t="str">
        <f>IFERROR(VLOOKUP($A565,[2]Mssp!$A$5:$BE$1463,AR$4+1,0),0)</f>
        <v>1909995-3</v>
      </c>
      <c r="AS565" s="59" t="str">
        <f>IFERROR(VLOOKUP($A565,[2]Mssp!$A$5:$BE$1463,AS$4+1,0),0)</f>
        <v>1909995-4</v>
      </c>
      <c r="AT565" s="59" t="str">
        <f>IFERROR(VLOOKUP($A565,[2]Mssp!$A$5:$BE$1463,AT$4+1,0),0)</f>
        <v>1909995-5</v>
      </c>
      <c r="AU565" s="59" t="str">
        <f>IFERROR(VLOOKUP($A565,[2]Mssp!$A$5:$BE$1463,AU$4+1,0),0)</f>
        <v>1909995-6</v>
      </c>
      <c r="AV565" s="59" t="str">
        <f>IFERROR(VLOOKUP($A565,[2]Mssp!$A$5:$BE$1463,AV$4+1,0),0)</f>
        <v>1909995-7</v>
      </c>
      <c r="AW565" s="59">
        <f>IFERROR(VLOOKUP($A565,[2]Mssp!$A$5:$BE$1463,AW$4+1,0),0)</f>
        <v>0</v>
      </c>
      <c r="AX565" s="59">
        <f>IFERROR(VLOOKUP($A565,[2]Mssp!$A$5:$BE$1463,AX$4+1,0),0)</f>
        <v>0</v>
      </c>
      <c r="AY565" s="59" t="str">
        <f>IFERROR(VLOOKUP($A565,[2]Mssp!$A$5:$BE$1463,AY$4+2,0),0)</f>
        <v>680x860</v>
      </c>
      <c r="AZ565" s="59" t="str">
        <f>IFERROR(VLOOKUP($A565,[2]Mssp!$A$5:$BE$1463,AZ$4+2,0),0)</f>
        <v>G4</v>
      </c>
      <c r="BA565" s="141"/>
      <c r="BB565" s="61"/>
      <c r="BC565" s="129"/>
      <c r="BD565" s="138"/>
      <c r="BE565" s="131"/>
      <c r="BF565" s="139"/>
      <c r="BG565" s="131"/>
      <c r="BH565" s="139"/>
      <c r="BI565" s="140"/>
      <c r="BJ565" s="139"/>
      <c r="BK565" s="134"/>
      <c r="BL565" s="139"/>
      <c r="BM565" s="131"/>
      <c r="BN565" s="139"/>
      <c r="BO565" s="9"/>
      <c r="BP565" s="139"/>
      <c r="BQ565" s="139"/>
      <c r="BR565" s="139"/>
      <c r="BS565" s="135"/>
      <c r="BT565" s="139"/>
      <c r="BU565" s="131"/>
      <c r="BV565" s="139"/>
      <c r="BW565" s="131"/>
      <c r="BX565" s="139"/>
      <c r="BY565" s="131"/>
      <c r="BZ565" s="139"/>
      <c r="CA565" s="131"/>
      <c r="CB565" s="139"/>
      <c r="CC565" s="131"/>
      <c r="CD565" s="139"/>
      <c r="CE565" s="9"/>
      <c r="CF565" s="9"/>
      <c r="CG565" s="9"/>
      <c r="CH565" s="9"/>
      <c r="CI565" s="9"/>
      <c r="CJ565" s="9"/>
      <c r="CK565" s="9"/>
      <c r="CL565" s="9"/>
      <c r="CM565" s="9"/>
      <c r="CN565" s="9"/>
      <c r="CO565" s="9"/>
      <c r="CP565" s="9"/>
    </row>
    <row r="566" spans="1:94" ht="45" x14ac:dyDescent="0.25">
      <c r="A566" s="158" t="s">
        <v>1828</v>
      </c>
      <c r="B566" s="159" t="s">
        <v>1829</v>
      </c>
      <c r="C566" s="123"/>
      <c r="D566" s="160">
        <v>2</v>
      </c>
      <c r="E566" s="62" t="s">
        <v>131</v>
      </c>
      <c r="F566" s="62">
        <v>6</v>
      </c>
      <c r="G566" s="62" t="s">
        <v>530</v>
      </c>
      <c r="H566" s="50">
        <f>VLOOKUP($A566,'[1]ma sp 02'!$A$5:$BD$1101,H$1,0)</f>
        <v>0.01</v>
      </c>
      <c r="I566" s="50">
        <f>VLOOKUP($A566,'[1]ma sp 02'!$A$5:$BD$1101,I$1,0)</f>
        <v>2.41</v>
      </c>
      <c r="J566" s="50">
        <f>VLOOKUP($A566,'[1]ma sp 02'!$A$5:$BD$1101,J$1,0)</f>
        <v>0.85299999999999998</v>
      </c>
      <c r="K566" s="50">
        <f>VLOOKUP($A566,'[1]ma sp 02'!$A$5:$BD$1101,K$1,0)</f>
        <v>0.01</v>
      </c>
      <c r="L566" s="50">
        <f>VLOOKUP($A566,'[1]ma sp 02'!$A$5:$BD$1101,L$1,0)</f>
        <v>2.7949999999999999</v>
      </c>
      <c r="M566" s="50">
        <f>VLOOKUP($A566,'[1]ma sp 02'!$A$5:$BD$1101,M$1,0)</f>
        <v>0.75800000000000001</v>
      </c>
      <c r="N566" s="50">
        <f>VLOOKUP($A566,'[1]ma sp 02'!$A$5:$BD$1101,N$1,0)</f>
        <v>0</v>
      </c>
      <c r="O566" s="50">
        <f>VLOOKUP($A566,'[1]ma sp 02'!$A$5:$BD$1101,O$1,0)</f>
        <v>0</v>
      </c>
      <c r="P566" s="50">
        <f>VLOOKUP($A566,'[1]ma sp 02'!$A$5:$BD$1101,P$1,0)</f>
        <v>0.189</v>
      </c>
      <c r="Q566" s="50">
        <f>VLOOKUP($A566,'[1]ma sp 02'!$A$5:$BD$1101,Q$1,0)</f>
        <v>0</v>
      </c>
      <c r="R566" s="50">
        <f>VLOOKUP($A566,'[1]ma sp 02'!$A$5:$BD$1101,R$1,0)</f>
        <v>0</v>
      </c>
      <c r="S566" s="50">
        <f>VLOOKUP($A566,'[1]ma sp 02'!$A$5:$BD$1101,S$1,0)</f>
        <v>0</v>
      </c>
      <c r="T566" s="50">
        <f>VLOOKUP($A566,'[1]ma sp 02'!$A$5:$BD$1101,T$1,0)</f>
        <v>0</v>
      </c>
      <c r="U566" s="50">
        <f>VLOOKUP($A566,'[1]ma sp 02'!$A$5:$BD$1101,U$1,0)</f>
        <v>0</v>
      </c>
      <c r="V566" s="50">
        <f>VLOOKUP($A566,'[1]ma sp 02'!$A$5:$BD$1101,V$1,0)</f>
        <v>0</v>
      </c>
      <c r="W566" s="50">
        <f>VLOOKUP($A566,'[1]ma sp 02'!$A$5:$BD$1101,W$1,0)</f>
        <v>0</v>
      </c>
      <c r="X566" s="50"/>
      <c r="Y566" s="62"/>
      <c r="Z566" s="62"/>
      <c r="AA566" s="62"/>
      <c r="AB566" s="62"/>
      <c r="AC566" s="62"/>
      <c r="AD566" s="62"/>
      <c r="AE566" s="62" t="s">
        <v>71</v>
      </c>
      <c r="AF566" s="62" t="s">
        <v>324</v>
      </c>
      <c r="AG566" s="71">
        <f>(0.012*1.4+0.012*1.4+0.075*0.925)*0.62</f>
        <v>6.3844500000000012E-2</v>
      </c>
      <c r="AH566" s="156">
        <f>(2.3/0.75/2)*0.61</f>
        <v>0.93533333333333324</v>
      </c>
      <c r="AI566" s="157">
        <f>(3/0.75/2)*0.61</f>
        <v>1.22</v>
      </c>
      <c r="AJ566" s="9">
        <v>9530</v>
      </c>
      <c r="AK566" s="9">
        <v>9530</v>
      </c>
      <c r="AL566" s="9" t="s">
        <v>1818</v>
      </c>
      <c r="AM566" s="52" t="s">
        <v>60</v>
      </c>
      <c r="AN566" s="9">
        <v>340</v>
      </c>
      <c r="AO566" s="69" t="s">
        <v>332</v>
      </c>
      <c r="AP566" s="59" t="str">
        <f>IFERROR(VLOOKUP($A566,[2]Mssp!$A$5:$BE$1463,AP$4+1,0),0)</f>
        <v>1909996-1</v>
      </c>
      <c r="AQ566" s="59" t="str">
        <f>IFERROR(VLOOKUP($A566,[2]Mssp!$A$5:$BE$1463,AQ$4+1,0),0)</f>
        <v>1909996-2</v>
      </c>
      <c r="AR566" s="59" t="str">
        <f>IFERROR(VLOOKUP($A566,[2]Mssp!$A$5:$BE$1463,AR$4+1,0),0)</f>
        <v>1909996-3</v>
      </c>
      <c r="AS566" s="59" t="str">
        <f>IFERROR(VLOOKUP($A566,[2]Mssp!$A$5:$BE$1463,AS$4+1,0),0)</f>
        <v>1909996-4</v>
      </c>
      <c r="AT566" s="59" t="str">
        <f>IFERROR(VLOOKUP($A566,[2]Mssp!$A$5:$BE$1463,AT$4+1,0),0)</f>
        <v>1909996-5</v>
      </c>
      <c r="AU566" s="59" t="str">
        <f>IFERROR(VLOOKUP($A566,[2]Mssp!$A$5:$BE$1463,AU$4+1,0),0)</f>
        <v>1909996-6</v>
      </c>
      <c r="AV566" s="59">
        <f>IFERROR(VLOOKUP($A566,[2]Mssp!$A$5:$BE$1463,AV$4+1,0),0)</f>
        <v>0</v>
      </c>
      <c r="AW566" s="59">
        <f>IFERROR(VLOOKUP($A566,[2]Mssp!$A$5:$BE$1463,AW$4+1,0),0)</f>
        <v>0</v>
      </c>
      <c r="AX566" s="59">
        <f>IFERROR(VLOOKUP($A566,[2]Mssp!$A$5:$BE$1463,AX$4+1,0),0)</f>
        <v>0</v>
      </c>
      <c r="AY566" s="59" t="str">
        <f>IFERROR(VLOOKUP($A566,[2]Mssp!$A$5:$BE$1463,AY$4+2,0),0)</f>
        <v>680x680</v>
      </c>
      <c r="AZ566" s="59" t="str">
        <f>IFERROR(VLOOKUP($A566,[2]Mssp!$A$5:$BE$1463,AZ$4+2,0),0)</f>
        <v>G4</v>
      </c>
      <c r="BA566" s="141"/>
      <c r="BB566" s="61"/>
      <c r="BC566" s="161"/>
      <c r="BD566" s="138"/>
      <c r="BE566" s="162"/>
      <c r="BF566" s="139"/>
      <c r="BG566" s="162"/>
      <c r="BH566" s="139"/>
      <c r="BI566" s="140"/>
      <c r="BJ566" s="139"/>
      <c r="BK566" s="163"/>
      <c r="BL566" s="139"/>
      <c r="BM566" s="162"/>
      <c r="BN566" s="139"/>
      <c r="BO566" s="9"/>
      <c r="BP566" s="139"/>
      <c r="BQ566" s="139"/>
      <c r="BR566" s="139"/>
      <c r="BS566" s="164"/>
      <c r="BT566" s="139"/>
      <c r="BU566" s="162"/>
      <c r="BV566" s="139"/>
      <c r="BW566" s="162"/>
      <c r="BX566" s="139"/>
      <c r="BY566" s="162"/>
      <c r="BZ566" s="139"/>
      <c r="CA566" s="162"/>
      <c r="CB566" s="139"/>
      <c r="CC566" s="162"/>
      <c r="CD566" s="139"/>
      <c r="CE566" s="9"/>
      <c r="CF566" s="9"/>
      <c r="CG566" s="9"/>
      <c r="CH566" s="9"/>
      <c r="CI566" s="9"/>
      <c r="CJ566" s="9"/>
      <c r="CK566" s="9"/>
      <c r="CL566" s="9"/>
      <c r="CM566" s="9"/>
      <c r="CN566" s="9"/>
      <c r="CO566" s="9"/>
      <c r="CP566" s="9"/>
    </row>
    <row r="567" spans="1:94" ht="45" x14ac:dyDescent="0.25">
      <c r="A567" s="127" t="s">
        <v>1830</v>
      </c>
      <c r="B567" s="51" t="s">
        <v>1831</v>
      </c>
      <c r="C567" s="62"/>
      <c r="D567" s="84">
        <v>2</v>
      </c>
      <c r="E567" s="62" t="s">
        <v>131</v>
      </c>
      <c r="F567" s="62">
        <v>6</v>
      </c>
      <c r="G567" s="62" t="s">
        <v>530</v>
      </c>
      <c r="H567" s="50">
        <f>VLOOKUP($A567,'[1]ma sp 02'!$A$5:$BD$1101,H$1,0)</f>
        <v>0.49</v>
      </c>
      <c r="I567" s="50">
        <f>VLOOKUP($A567,'[1]ma sp 02'!$A$5:$BD$1101,I$1,0)</f>
        <v>3.18</v>
      </c>
      <c r="J567" s="50">
        <f>VLOOKUP($A567,'[1]ma sp 02'!$A$5:$BD$1101,J$1,0)</f>
        <v>1.83</v>
      </c>
      <c r="K567" s="50">
        <f>VLOOKUP($A567,'[1]ma sp 02'!$A$5:$BD$1101,K$1,0)</f>
        <v>0.49</v>
      </c>
      <c r="L567" s="50">
        <f>VLOOKUP($A567,'[1]ma sp 02'!$A$5:$BD$1101,L$1,0)</f>
        <v>3.21</v>
      </c>
      <c r="M567" s="50">
        <f>VLOOKUP($A567,'[1]ma sp 02'!$A$5:$BD$1101,M$1,0)</f>
        <v>0.7</v>
      </c>
      <c r="N567" s="50">
        <f>VLOOKUP($A567,'[1]ma sp 02'!$A$5:$BD$1101,N$1,0)</f>
        <v>0</v>
      </c>
      <c r="O567" s="50">
        <f>VLOOKUP($A567,'[1]ma sp 02'!$A$5:$BD$1101,O$1,0)</f>
        <v>0</v>
      </c>
      <c r="P567" s="50">
        <f>VLOOKUP($A567,'[1]ma sp 02'!$A$5:$BD$1101,P$1,0)</f>
        <v>0.56000000000000005</v>
      </c>
      <c r="Q567" s="50">
        <f>VLOOKUP($A567,'[1]ma sp 02'!$A$5:$BD$1101,Q$1,0)</f>
        <v>0</v>
      </c>
      <c r="R567" s="50">
        <f>VLOOKUP($A567,'[1]ma sp 02'!$A$5:$BD$1101,R$1,0)</f>
        <v>0</v>
      </c>
      <c r="S567" s="50">
        <f>VLOOKUP($A567,'[1]ma sp 02'!$A$5:$BD$1101,S$1,0)</f>
        <v>0</v>
      </c>
      <c r="T567" s="50">
        <f>VLOOKUP($A567,'[1]ma sp 02'!$A$5:$BD$1101,T$1,0)</f>
        <v>0</v>
      </c>
      <c r="U567" s="50">
        <f>VLOOKUP($A567,'[1]ma sp 02'!$A$5:$BD$1101,U$1,0)</f>
        <v>0</v>
      </c>
      <c r="V567" s="50">
        <f>VLOOKUP($A567,'[1]ma sp 02'!$A$5:$BD$1101,V$1,0)</f>
        <v>0</v>
      </c>
      <c r="W567" s="50">
        <f>VLOOKUP($A567,'[1]ma sp 02'!$A$5:$BD$1101,W$1,0)</f>
        <v>0</v>
      </c>
      <c r="X567" s="50"/>
      <c r="Y567" s="62"/>
      <c r="Z567" s="62"/>
      <c r="AA567" s="62"/>
      <c r="AB567" s="62"/>
      <c r="AC567" s="62"/>
      <c r="AD567" s="62"/>
      <c r="AE567" s="62" t="s">
        <v>71</v>
      </c>
      <c r="AF567" s="62" t="s">
        <v>324</v>
      </c>
      <c r="AG567" s="71">
        <f>(0.012*1.4+0.012*1.4+0.075*0.925)*0.62</f>
        <v>6.3844500000000012E-2</v>
      </c>
      <c r="AH567" s="155">
        <f>(2.3/0.75/2)*0.61</f>
        <v>0.93533333333333324</v>
      </c>
      <c r="AI567" s="54">
        <f>(3/0.75/2)*0.61</f>
        <v>1.22</v>
      </c>
      <c r="AJ567" s="62">
        <v>9530</v>
      </c>
      <c r="AK567" s="62">
        <v>9530</v>
      </c>
      <c r="AL567" s="62" t="s">
        <v>1818</v>
      </c>
      <c r="AM567" s="52" t="s">
        <v>60</v>
      </c>
      <c r="AN567" s="62">
        <v>340</v>
      </c>
      <c r="AO567" s="61" t="s">
        <v>332</v>
      </c>
      <c r="AP567" s="59" t="str">
        <f>IFERROR(VLOOKUP($A567,[2]Mssp!$A$5:$BE$1463,AP$4+1,0),0)</f>
        <v>1909997-1</v>
      </c>
      <c r="AQ567" s="59" t="str">
        <f>IFERROR(VLOOKUP($A567,[2]Mssp!$A$5:$BE$1463,AQ$4+1,0),0)</f>
        <v>1909996-2</v>
      </c>
      <c r="AR567" s="59" t="str">
        <f>IFERROR(VLOOKUP($A567,[2]Mssp!$A$5:$BE$1463,AR$4+1,0),0)</f>
        <v>1909997-3</v>
      </c>
      <c r="AS567" s="59" t="str">
        <f>IFERROR(VLOOKUP($A567,[2]Mssp!$A$5:$BE$1463,AS$4+1,0),0)</f>
        <v>1909997-4</v>
      </c>
      <c r="AT567" s="59" t="str">
        <f>IFERROR(VLOOKUP($A567,[2]Mssp!$A$5:$BE$1463,AT$4+1,0),0)</f>
        <v>1909997-5</v>
      </c>
      <c r="AU567" s="59" t="str">
        <f>IFERROR(VLOOKUP($A567,[2]Mssp!$A$5:$BE$1463,AU$4+1,0),0)</f>
        <v>1909996-6</v>
      </c>
      <c r="AV567" s="59">
        <f>IFERROR(VLOOKUP($A567,[2]Mssp!$A$5:$BE$1463,AV$4+1,0),0)</f>
        <v>0</v>
      </c>
      <c r="AW567" s="59">
        <f>IFERROR(VLOOKUP($A567,[2]Mssp!$A$5:$BE$1463,AW$4+1,0),0)</f>
        <v>0</v>
      </c>
      <c r="AX567" s="59">
        <f>IFERROR(VLOOKUP($A567,[2]Mssp!$A$5:$BE$1463,AX$4+1,0),0)</f>
        <v>0</v>
      </c>
      <c r="AY567" s="59" t="str">
        <f>IFERROR(VLOOKUP($A567,[2]Mssp!$A$5:$BE$1463,AY$4+2,0),0)</f>
        <v>680x680</v>
      </c>
      <c r="AZ567" s="59" t="str">
        <f>IFERROR(VLOOKUP($A567,[2]Mssp!$A$5:$BE$1463,AZ$4+2,0),0)</f>
        <v>G4</v>
      </c>
      <c r="BA567" s="141"/>
      <c r="BB567" s="61"/>
      <c r="BC567" s="165"/>
      <c r="BD567" s="166"/>
      <c r="BE567" s="167"/>
      <c r="BF567" s="168"/>
      <c r="BG567" s="167"/>
      <c r="BH567" s="168"/>
      <c r="BI567" s="169"/>
      <c r="BJ567" s="168"/>
      <c r="BK567" s="134"/>
      <c r="BL567" s="168"/>
      <c r="BM567" s="167"/>
      <c r="BN567" s="168"/>
      <c r="BO567" s="62"/>
      <c r="BP567" s="168"/>
      <c r="BQ567" s="168"/>
      <c r="BR567" s="168"/>
      <c r="BS567" s="135"/>
      <c r="BT567" s="168"/>
      <c r="BU567" s="167"/>
      <c r="BV567" s="168"/>
      <c r="BW567" s="167"/>
      <c r="BX567" s="168"/>
      <c r="BY567" s="167"/>
      <c r="BZ567" s="168"/>
      <c r="CA567" s="167"/>
      <c r="CB567" s="168"/>
      <c r="CC567" s="167"/>
      <c r="CD567" s="168"/>
      <c r="CE567" s="62"/>
      <c r="CF567" s="62"/>
      <c r="CG567" s="9"/>
      <c r="CH567" s="9"/>
      <c r="CI567" s="9"/>
      <c r="CJ567" s="9"/>
      <c r="CK567" s="9"/>
      <c r="CL567" s="9"/>
      <c r="CM567" s="9"/>
      <c r="CN567" s="9"/>
      <c r="CO567" s="9"/>
      <c r="CP567" s="9"/>
    </row>
    <row r="568" spans="1:94" ht="45" x14ac:dyDescent="0.25">
      <c r="A568" s="127" t="s">
        <v>1832</v>
      </c>
      <c r="B568" s="170" t="s">
        <v>1833</v>
      </c>
      <c r="C568" s="62"/>
      <c r="D568" s="84">
        <v>5</v>
      </c>
      <c r="E568" s="62" t="s">
        <v>1834</v>
      </c>
      <c r="F568" s="62">
        <v>5</v>
      </c>
      <c r="G568" s="62" t="s">
        <v>184</v>
      </c>
      <c r="H568" s="50">
        <f>VLOOKUP($A568,'[1]ma sp 02'!$A$5:$BD$1101,H$1,0)</f>
        <v>0.01</v>
      </c>
      <c r="I568" s="50">
        <f>VLOOKUP($A568,'[1]ma sp 02'!$A$5:$BD$1101,I$1,0)</f>
        <v>3.96</v>
      </c>
      <c r="J568" s="50">
        <f>VLOOKUP($A568,'[1]ma sp 02'!$A$5:$BD$1101,J$1,0)</f>
        <v>1.58</v>
      </c>
      <c r="K568" s="50">
        <f>VLOOKUP($A568,'[1]ma sp 02'!$A$5:$BD$1101,K$1,0)</f>
        <v>0</v>
      </c>
      <c r="L568" s="50">
        <f>VLOOKUP($A568,'[1]ma sp 02'!$A$5:$BD$1101,L$1,0)</f>
        <v>3.11</v>
      </c>
      <c r="M568" s="50">
        <f>VLOOKUP($A568,'[1]ma sp 02'!$A$5:$BD$1101,M$1,0)</f>
        <v>0</v>
      </c>
      <c r="N568" s="50">
        <f>VLOOKUP($A568,'[1]ma sp 02'!$A$5:$BD$1101,N$1,0)</f>
        <v>0</v>
      </c>
      <c r="O568" s="50">
        <f>VLOOKUP($A568,'[1]ma sp 02'!$A$5:$BD$1101,O$1,0)</f>
        <v>0.35</v>
      </c>
      <c r="P568" s="50">
        <f>VLOOKUP($A568,'[1]ma sp 02'!$A$5:$BD$1101,P$1,0)</f>
        <v>0.31</v>
      </c>
      <c r="Q568" s="50">
        <f>VLOOKUP($A568,'[1]ma sp 02'!$A$5:$BD$1101,Q$1,0)</f>
        <v>0.35</v>
      </c>
      <c r="R568" s="50">
        <f>VLOOKUP($A568,'[1]ma sp 02'!$A$5:$BD$1101,R$1,0)</f>
        <v>0</v>
      </c>
      <c r="S568" s="50">
        <f>VLOOKUP($A568,'[1]ma sp 02'!$A$5:$BD$1101,S$1,0)</f>
        <v>0</v>
      </c>
      <c r="T568" s="50">
        <f>VLOOKUP($A568,'[1]ma sp 02'!$A$5:$BD$1101,T$1,0)</f>
        <v>0</v>
      </c>
      <c r="U568" s="50">
        <f>VLOOKUP($A568,'[1]ma sp 02'!$A$5:$BD$1101,U$1,0)</f>
        <v>0</v>
      </c>
      <c r="V568" s="50">
        <f>VLOOKUP($A568,'[1]ma sp 02'!$A$5:$BD$1101,V$1,0)</f>
        <v>0</v>
      </c>
      <c r="W568" s="50">
        <f>VLOOKUP($A568,'[1]ma sp 02'!$A$5:$BD$1101,W$1,0)</f>
        <v>0</v>
      </c>
      <c r="X568" s="50"/>
      <c r="Y568" s="62"/>
      <c r="Z568" s="62"/>
      <c r="AA568" s="62"/>
      <c r="AB568" s="62"/>
      <c r="AC568" s="62"/>
      <c r="AD568" s="62"/>
      <c r="AE568" s="62" t="s">
        <v>1835</v>
      </c>
      <c r="AF568" s="62"/>
      <c r="AG568" s="71">
        <f>(0.03*0.91+0.025*0.91)*0.795</f>
        <v>3.9789750000000006E-2</v>
      </c>
      <c r="AH568" s="155">
        <f>(2.3/0.75/2)*0.785</f>
        <v>1.2036666666666667</v>
      </c>
      <c r="AI568" s="54"/>
      <c r="AJ568" s="62">
        <v>9530</v>
      </c>
      <c r="AK568" s="62"/>
      <c r="AL568" s="62">
        <v>2.3E-3</v>
      </c>
      <c r="AM568" s="61" t="s">
        <v>1489</v>
      </c>
      <c r="AN568" s="62">
        <v>66</v>
      </c>
      <c r="AO568" s="61" t="s">
        <v>1836</v>
      </c>
      <c r="AP568" s="59">
        <f>IFERROR(VLOOKUP($A568,[2]Mssp!$A$5:$BE$1463,AP$4+1,0),0)</f>
        <v>0</v>
      </c>
      <c r="AQ568" s="59">
        <f>IFERROR(VLOOKUP($A568,[2]Mssp!$A$5:$BE$1463,AQ$4+1,0),0)</f>
        <v>0</v>
      </c>
      <c r="AR568" s="59">
        <f>IFERROR(VLOOKUP($A568,[2]Mssp!$A$5:$BE$1463,AR$4+1,0),0)</f>
        <v>0</v>
      </c>
      <c r="AS568" s="59">
        <f>IFERROR(VLOOKUP($A568,[2]Mssp!$A$5:$BE$1463,AS$4+1,0),0)</f>
        <v>0</v>
      </c>
      <c r="AT568" s="59">
        <f>IFERROR(VLOOKUP($A568,[2]Mssp!$A$5:$BE$1463,AT$4+1,0),0)</f>
        <v>0</v>
      </c>
      <c r="AU568" s="59">
        <f>IFERROR(VLOOKUP($A568,[2]Mssp!$A$5:$BE$1463,AU$4+1,0),0)</f>
        <v>0</v>
      </c>
      <c r="AV568" s="59">
        <f>IFERROR(VLOOKUP($A568,[2]Mssp!$A$5:$BE$1463,AV$4+1,0),0)</f>
        <v>0</v>
      </c>
      <c r="AW568" s="59">
        <f>IFERROR(VLOOKUP($A568,[2]Mssp!$A$5:$BE$1463,AW$4+1,0),0)</f>
        <v>0</v>
      </c>
      <c r="AX568" s="59">
        <f>IFERROR(VLOOKUP($A568,[2]Mssp!$A$5:$BE$1463,AX$4+1,0),0)</f>
        <v>0</v>
      </c>
      <c r="AY568" s="59">
        <f>IFERROR(VLOOKUP($A568,[2]Mssp!$A$5:$BE$1463,AY$4+2,0),0)</f>
        <v>0</v>
      </c>
      <c r="AZ568" s="59">
        <f>IFERROR(VLOOKUP($A568,[2]Mssp!$A$5:$BE$1463,AZ$4+2,0),0)</f>
        <v>0</v>
      </c>
      <c r="BA568" s="141"/>
      <c r="BB568" s="61"/>
      <c r="BC568" s="165"/>
      <c r="BD568" s="166"/>
      <c r="BE568" s="167"/>
      <c r="BF568" s="168"/>
      <c r="BG568" s="167"/>
      <c r="BH568" s="168"/>
      <c r="BI568" s="169"/>
      <c r="BJ568" s="168"/>
      <c r="BK568" s="134"/>
      <c r="BL568" s="168"/>
      <c r="BM568" s="167"/>
      <c r="BN568" s="168"/>
      <c r="BO568" s="62"/>
      <c r="BP568" s="168"/>
      <c r="BQ568" s="168"/>
      <c r="BR568" s="168"/>
      <c r="BS568" s="135"/>
      <c r="BT568" s="168"/>
      <c r="BU568" s="167"/>
      <c r="BV568" s="168"/>
      <c r="BW568" s="167"/>
      <c r="BX568" s="168"/>
      <c r="BY568" s="167"/>
      <c r="BZ568" s="168"/>
      <c r="CA568" s="167"/>
      <c r="CB568" s="168"/>
      <c r="CC568" s="167"/>
      <c r="CD568" s="168"/>
      <c r="CE568" s="62"/>
      <c r="CF568" s="62"/>
      <c r="CG568" s="9"/>
      <c r="CH568" s="9"/>
      <c r="CI568" s="9"/>
      <c r="CJ568" s="9"/>
      <c r="CK568" s="9"/>
      <c r="CL568" s="9"/>
      <c r="CM568" s="9"/>
      <c r="CN568" s="9"/>
      <c r="CO568" s="9"/>
      <c r="CP568" s="9"/>
    </row>
    <row r="569" spans="1:94" ht="60" x14ac:dyDescent="0.25">
      <c r="A569" s="127" t="s">
        <v>1837</v>
      </c>
      <c r="B569" s="51" t="s">
        <v>1838</v>
      </c>
      <c r="C569" s="62"/>
      <c r="D569" s="84"/>
      <c r="E569" s="62" t="s">
        <v>1839</v>
      </c>
      <c r="F569" s="62"/>
      <c r="G569" s="62" t="s">
        <v>530</v>
      </c>
      <c r="H569" s="50">
        <f>VLOOKUP($A569,'[1]ma sp 02'!$A$5:$BD$1101,H$1,0)</f>
        <v>0</v>
      </c>
      <c r="I569" s="50">
        <f>VLOOKUP($A569,'[1]ma sp 02'!$A$5:$BD$1101,I$1,0)</f>
        <v>0</v>
      </c>
      <c r="J569" s="50">
        <f>VLOOKUP($A569,'[1]ma sp 02'!$A$5:$BD$1101,J$1,0)</f>
        <v>0</v>
      </c>
      <c r="K569" s="50">
        <f>VLOOKUP($A569,'[1]ma sp 02'!$A$5:$BD$1101,K$1,0)</f>
        <v>0</v>
      </c>
      <c r="L569" s="50">
        <f>VLOOKUP($A569,'[1]ma sp 02'!$A$5:$BD$1101,L$1,0)</f>
        <v>0</v>
      </c>
      <c r="M569" s="50">
        <f>VLOOKUP($A569,'[1]ma sp 02'!$A$5:$BD$1101,M$1,0)</f>
        <v>0</v>
      </c>
      <c r="N569" s="50">
        <f>VLOOKUP($A569,'[1]ma sp 02'!$A$5:$BD$1101,N$1,0)</f>
        <v>0</v>
      </c>
      <c r="O569" s="50">
        <f>VLOOKUP($A569,'[1]ma sp 02'!$A$5:$BD$1101,O$1,0)</f>
        <v>0</v>
      </c>
      <c r="P569" s="50">
        <f>VLOOKUP($A569,'[1]ma sp 02'!$A$5:$BD$1101,P$1,0)</f>
        <v>0</v>
      </c>
      <c r="Q569" s="50">
        <f>VLOOKUP($A569,'[1]ma sp 02'!$A$5:$BD$1101,Q$1,0)</f>
        <v>0</v>
      </c>
      <c r="R569" s="50">
        <f>VLOOKUP($A569,'[1]ma sp 02'!$A$5:$BD$1101,R$1,0)</f>
        <v>0</v>
      </c>
      <c r="S569" s="50">
        <f>VLOOKUP($A569,'[1]ma sp 02'!$A$5:$BD$1101,S$1,0)</f>
        <v>0</v>
      </c>
      <c r="T569" s="50">
        <f>VLOOKUP($A569,'[1]ma sp 02'!$A$5:$BD$1101,T$1,0)</f>
        <v>0</v>
      </c>
      <c r="U569" s="50">
        <f>VLOOKUP($A569,'[1]ma sp 02'!$A$5:$BD$1101,U$1,0)</f>
        <v>0</v>
      </c>
      <c r="V569" s="50">
        <f>VLOOKUP($A569,'[1]ma sp 02'!$A$5:$BD$1101,V$1,0)</f>
        <v>0</v>
      </c>
      <c r="W569" s="50">
        <f>VLOOKUP($A569,'[1]ma sp 02'!$A$5:$BD$1101,W$1,0)</f>
        <v>0</v>
      </c>
      <c r="X569" s="50"/>
      <c r="Y569" s="62"/>
      <c r="Z569" s="62"/>
      <c r="AA569" s="62"/>
      <c r="AB569" s="62"/>
      <c r="AC569" s="62"/>
      <c r="AD569" s="62"/>
      <c r="AE569" s="62" t="s">
        <v>1840</v>
      </c>
      <c r="AF569" s="61" t="s">
        <v>1841</v>
      </c>
      <c r="AG569" s="71">
        <f>(0.012*1.4+0.006*2.71+0.015*1.15+0.11*0.925)*0.53</f>
        <v>8.0591800000000005E-2</v>
      </c>
      <c r="AH569" s="155">
        <f>(2.5/0.75/2)*0.51</f>
        <v>0.85000000000000009</v>
      </c>
      <c r="AI569" s="54">
        <f>(2.5/0.75/2)*0.51</f>
        <v>0.85000000000000009</v>
      </c>
      <c r="AJ569" s="62">
        <v>9530</v>
      </c>
      <c r="AK569" s="62">
        <v>9530</v>
      </c>
      <c r="AL569" s="62" t="s">
        <v>1842</v>
      </c>
      <c r="AM569" s="61" t="s">
        <v>1489</v>
      </c>
      <c r="AN569" s="62">
        <v>500</v>
      </c>
      <c r="AO569" s="61" t="s">
        <v>1843</v>
      </c>
      <c r="AP569" s="59">
        <f>IFERROR(VLOOKUP($A569,[2]Mssp!$A$5:$BE$1463,AP$4+1,0),0)</f>
        <v>0</v>
      </c>
      <c r="AQ569" s="59">
        <f>IFERROR(VLOOKUP($A569,[2]Mssp!$A$5:$BE$1463,AQ$4+1,0),0)</f>
        <v>0</v>
      </c>
      <c r="AR569" s="59">
        <f>IFERROR(VLOOKUP($A569,[2]Mssp!$A$5:$BE$1463,AR$4+1,0),0)</f>
        <v>0</v>
      </c>
      <c r="AS569" s="59">
        <f>IFERROR(VLOOKUP($A569,[2]Mssp!$A$5:$BE$1463,AS$4+1,0),0)</f>
        <v>0</v>
      </c>
      <c r="AT569" s="59">
        <f>IFERROR(VLOOKUP($A569,[2]Mssp!$A$5:$BE$1463,AT$4+1,0),0)</f>
        <v>0</v>
      </c>
      <c r="AU569" s="59">
        <f>IFERROR(VLOOKUP($A569,[2]Mssp!$A$5:$BE$1463,AU$4+1,0),0)</f>
        <v>0</v>
      </c>
      <c r="AV569" s="59">
        <f>IFERROR(VLOOKUP($A569,[2]Mssp!$A$5:$BE$1463,AV$4+1,0),0)</f>
        <v>0</v>
      </c>
      <c r="AW569" s="59">
        <f>IFERROR(VLOOKUP($A569,[2]Mssp!$A$5:$BE$1463,AW$4+1,0),0)</f>
        <v>0</v>
      </c>
      <c r="AX569" s="59">
        <f>IFERROR(VLOOKUP($A569,[2]Mssp!$A$5:$BE$1463,AX$4+1,0),0)</f>
        <v>0</v>
      </c>
      <c r="AY569" s="59">
        <f>IFERROR(VLOOKUP($A569,[2]Mssp!$A$5:$BE$1463,AY$4+2,0),0)</f>
        <v>0</v>
      </c>
      <c r="AZ569" s="59">
        <f>IFERROR(VLOOKUP($A569,[2]Mssp!$A$5:$BE$1463,AZ$4+2,0),0)</f>
        <v>0</v>
      </c>
      <c r="BA569" s="141"/>
      <c r="BB569" s="61"/>
      <c r="BC569" s="165"/>
      <c r="BD569" s="166"/>
      <c r="BE569" s="167"/>
      <c r="BF569" s="168"/>
      <c r="BG569" s="167"/>
      <c r="BH569" s="168"/>
      <c r="BI569" s="169"/>
      <c r="BJ569" s="168"/>
      <c r="BK569" s="134"/>
      <c r="BL569" s="168"/>
      <c r="BM569" s="167"/>
      <c r="BN569" s="168"/>
      <c r="BO569" s="62"/>
      <c r="BP569" s="168"/>
      <c r="BQ569" s="168"/>
      <c r="BR569" s="168"/>
      <c r="BS569" s="135"/>
      <c r="BT569" s="168"/>
      <c r="BU569" s="167"/>
      <c r="BV569" s="168"/>
      <c r="BW569" s="167"/>
      <c r="BX569" s="168"/>
      <c r="BY569" s="167"/>
      <c r="BZ569" s="168"/>
      <c r="CA569" s="167"/>
      <c r="CB569" s="168"/>
      <c r="CC569" s="167"/>
      <c r="CD569" s="168"/>
      <c r="CE569" s="62"/>
      <c r="CF569" s="62"/>
      <c r="CG569" s="9"/>
      <c r="CH569" s="9"/>
      <c r="CI569" s="9"/>
      <c r="CJ569" s="9"/>
      <c r="CK569" s="9"/>
      <c r="CL569" s="9"/>
      <c r="CM569" s="9"/>
      <c r="CN569" s="9"/>
      <c r="CO569" s="9"/>
      <c r="CP569" s="9"/>
    </row>
    <row r="570" spans="1:94" ht="75" x14ac:dyDescent="0.25">
      <c r="A570" s="127" t="s">
        <v>1844</v>
      </c>
      <c r="B570" s="51" t="s">
        <v>1845</v>
      </c>
      <c r="C570" s="62"/>
      <c r="D570" s="84">
        <v>2</v>
      </c>
      <c r="E570" s="58" t="s">
        <v>748</v>
      </c>
      <c r="F570" s="62">
        <v>8</v>
      </c>
      <c r="G570" s="62" t="s">
        <v>184</v>
      </c>
      <c r="H570" s="50">
        <f>VLOOKUP($A570,'[1]ma sp 02'!$A$5:$BD$1101,H$1,0)</f>
        <v>0.02</v>
      </c>
      <c r="I570" s="50">
        <f>VLOOKUP($A570,'[1]ma sp 02'!$A$5:$BD$1101,I$1,0)</f>
        <v>6.53</v>
      </c>
      <c r="J570" s="50">
        <f>VLOOKUP($A570,'[1]ma sp 02'!$A$5:$BD$1101,J$1,0)</f>
        <v>0.25</v>
      </c>
      <c r="K570" s="50">
        <f>VLOOKUP($A570,'[1]ma sp 02'!$A$5:$BD$1101,K$1,0)</f>
        <v>0.01</v>
      </c>
      <c r="L570" s="50">
        <f>VLOOKUP($A570,'[1]ma sp 02'!$A$5:$BD$1101,L$1,0)</f>
        <v>1.37</v>
      </c>
      <c r="M570" s="50">
        <f>VLOOKUP($A570,'[1]ma sp 02'!$A$5:$BD$1101,M$1,0)</f>
        <v>0.53</v>
      </c>
      <c r="N570" s="50">
        <f>VLOOKUP($A570,'[1]ma sp 02'!$A$5:$BD$1101,N$1,0)</f>
        <v>0</v>
      </c>
      <c r="O570" s="50">
        <f>VLOOKUP($A570,'[1]ma sp 02'!$A$5:$BD$1101,O$1,0)</f>
        <v>0.01</v>
      </c>
      <c r="P570" s="50">
        <f>VLOOKUP($A570,'[1]ma sp 02'!$A$5:$BD$1101,P$1,0)</f>
        <v>0</v>
      </c>
      <c r="Q570" s="50">
        <f>VLOOKUP($A570,'[1]ma sp 02'!$A$5:$BD$1101,Q$1,0)</f>
        <v>0</v>
      </c>
      <c r="R570" s="50">
        <f>VLOOKUP($A570,'[1]ma sp 02'!$A$5:$BD$1101,R$1,0)</f>
        <v>0</v>
      </c>
      <c r="S570" s="50">
        <f>VLOOKUP($A570,'[1]ma sp 02'!$A$5:$BD$1101,S$1,0)</f>
        <v>0</v>
      </c>
      <c r="T570" s="50">
        <f>VLOOKUP($A570,'[1]ma sp 02'!$A$5:$BD$1101,T$1,0)</f>
        <v>0.01</v>
      </c>
      <c r="U570" s="50">
        <f>VLOOKUP($A570,'[1]ma sp 02'!$A$5:$BD$1101,U$1,0)</f>
        <v>0</v>
      </c>
      <c r="V570" s="50">
        <f>VLOOKUP($A570,'[1]ma sp 02'!$A$5:$BD$1101,V$1,0)</f>
        <v>0</v>
      </c>
      <c r="W570" s="50">
        <f>VLOOKUP($A570,'[1]ma sp 02'!$A$5:$BD$1101,W$1,0)</f>
        <v>0</v>
      </c>
      <c r="X570" s="50"/>
      <c r="Y570" s="62"/>
      <c r="Z570" s="62"/>
      <c r="AA570" s="62"/>
      <c r="AB570" s="62"/>
      <c r="AC570" s="62"/>
      <c r="AD570" s="62"/>
      <c r="AE570" s="58" t="s">
        <v>749</v>
      </c>
      <c r="AF570" s="62"/>
      <c r="AG570" s="71">
        <f>(0.02*0.91+0.08*0.925)*0.9</f>
        <v>8.2980000000000012E-2</v>
      </c>
      <c r="AH570" s="153">
        <f>(2.3/0.75/2)*0.89</f>
        <v>1.3646666666666665</v>
      </c>
      <c r="AI570" s="57"/>
      <c r="AJ570" s="58">
        <v>9530</v>
      </c>
      <c r="AK570" s="57"/>
      <c r="AL570" s="58">
        <v>2.3E-3</v>
      </c>
      <c r="AM570" s="52" t="s">
        <v>750</v>
      </c>
      <c r="AN570" s="57">
        <v>310</v>
      </c>
      <c r="AO570" s="52" t="s">
        <v>527</v>
      </c>
      <c r="AP570" s="59" t="str">
        <f>IFERROR(VLOOKUP($A570,[2]Mssp!$A$5:$BE$1463,AP$4+1,0),0)</f>
        <v>19101037-7</v>
      </c>
      <c r="AQ570" s="59" t="str">
        <f>IFERROR(VLOOKUP($A570,[2]Mssp!$A$5:$BE$1463,AQ$4+1,0),0)</f>
        <v>19101037-2</v>
      </c>
      <c r="AR570" s="59" t="str">
        <f>IFERROR(VLOOKUP($A570,[2]Mssp!$A$5:$BE$1463,AR$4+1,0),0)</f>
        <v>19101037-3</v>
      </c>
      <c r="AS570" s="59" t="str">
        <f>IFERROR(VLOOKUP($A570,[2]Mssp!$A$5:$BE$1463,AS$4+1,0),0)</f>
        <v>19101037-4</v>
      </c>
      <c r="AT570" s="59" t="str">
        <f>IFERROR(VLOOKUP($A570,[2]Mssp!$A$5:$BE$1463,AT$4+1,0),0)</f>
        <v>19101037-5</v>
      </c>
      <c r="AU570" s="59" t="str">
        <f>IFERROR(VLOOKUP($A570,[2]Mssp!$A$5:$BE$1463,AU$4+1,0),0)</f>
        <v>19101037-6</v>
      </c>
      <c r="AV570" s="59" t="str">
        <f>IFERROR(VLOOKUP($A570,[2]Mssp!$A$5:$BE$1463,AV$4+1,0),0)</f>
        <v>19110566-7</v>
      </c>
      <c r="AW570" s="59" t="str">
        <f>IFERROR(VLOOKUP($A570,[2]Mssp!$A$5:$BE$1463,AW$4+1,0),0)</f>
        <v>20110138-8</v>
      </c>
      <c r="AX570" s="59">
        <f>IFERROR(VLOOKUP($A570,[2]Mssp!$A$5:$BE$1463,AX$4+1,0),0)</f>
        <v>0</v>
      </c>
      <c r="AY570" s="59" t="str">
        <f>IFERROR(VLOOKUP($A570,[2]Mssp!$A$5:$BE$1463,AY$4+2,0),0)</f>
        <v>620x1100</v>
      </c>
      <c r="AZ570" s="59" t="str">
        <f>IFERROR(VLOOKUP($A570,[2]Mssp!$A$5:$BE$1463,AZ$4+2,0),0)</f>
        <v>L1</v>
      </c>
      <c r="BA570" s="141"/>
      <c r="BB570" s="61"/>
      <c r="BC570" s="165"/>
      <c r="BD570" s="166"/>
      <c r="BE570" s="167"/>
      <c r="BF570" s="168"/>
      <c r="BG570" s="167"/>
      <c r="BH570" s="168"/>
      <c r="BI570" s="169"/>
      <c r="BJ570" s="168"/>
      <c r="BK570" s="134"/>
      <c r="BL570" s="168"/>
      <c r="BM570" s="167"/>
      <c r="BN570" s="168"/>
      <c r="BO570" s="62"/>
      <c r="BP570" s="168"/>
      <c r="BQ570" s="168"/>
      <c r="BR570" s="168"/>
      <c r="BS570" s="135"/>
      <c r="BT570" s="168"/>
      <c r="BU570" s="167"/>
      <c r="BV570" s="168"/>
      <c r="BW570" s="167"/>
      <c r="BX570" s="168"/>
      <c r="BY570" s="167"/>
      <c r="BZ570" s="168"/>
      <c r="CA570" s="167"/>
      <c r="CB570" s="168"/>
      <c r="CC570" s="167"/>
      <c r="CD570" s="168"/>
      <c r="CE570" s="62"/>
      <c r="CF570" s="62"/>
      <c r="CG570" s="9"/>
      <c r="CH570" s="9"/>
      <c r="CI570" s="9"/>
      <c r="CJ570" s="9"/>
      <c r="CK570" s="9"/>
      <c r="CL570" s="9"/>
      <c r="CM570" s="9"/>
      <c r="CN570" s="9"/>
      <c r="CO570" s="9"/>
      <c r="CP570" s="9"/>
    </row>
    <row r="571" spans="1:94" ht="45" x14ac:dyDescent="0.25">
      <c r="A571" s="127" t="s">
        <v>1846</v>
      </c>
      <c r="B571" s="51" t="s">
        <v>1847</v>
      </c>
      <c r="C571" s="62"/>
      <c r="D571" s="84">
        <v>1</v>
      </c>
      <c r="E571" s="62" t="s">
        <v>1107</v>
      </c>
      <c r="F571" s="62">
        <v>6</v>
      </c>
      <c r="G571" s="62" t="s">
        <v>184</v>
      </c>
      <c r="H571" s="50">
        <f>VLOOKUP($A571,'[1]ma sp 02'!$A$5:$BD$1101,H$1,0)</f>
        <v>0.13</v>
      </c>
      <c r="I571" s="50">
        <f>VLOOKUP($A571,'[1]ma sp 02'!$A$5:$BD$1101,I$1,0)</f>
        <v>0</v>
      </c>
      <c r="J571" s="50">
        <f>VLOOKUP($A571,'[1]ma sp 02'!$A$5:$BD$1101,J$1,0)</f>
        <v>0.47</v>
      </c>
      <c r="K571" s="50">
        <f>VLOOKUP($A571,'[1]ma sp 02'!$A$5:$BD$1101,K$1,0)</f>
        <v>0.17</v>
      </c>
      <c r="L571" s="50">
        <f>VLOOKUP($A571,'[1]ma sp 02'!$A$5:$BD$1101,L$1,0)</f>
        <v>2.2999999999999998</v>
      </c>
      <c r="M571" s="50">
        <f>VLOOKUP($A571,'[1]ma sp 02'!$A$5:$BD$1101,M$1,0)</f>
        <v>0.2</v>
      </c>
      <c r="N571" s="50">
        <f>VLOOKUP($A571,'[1]ma sp 02'!$A$5:$BD$1101,N$1,0)</f>
        <v>0</v>
      </c>
      <c r="O571" s="50">
        <f>VLOOKUP($A571,'[1]ma sp 02'!$A$5:$BD$1101,O$1,0)</f>
        <v>0.01</v>
      </c>
      <c r="P571" s="50">
        <f>VLOOKUP($A571,'[1]ma sp 02'!$A$5:$BD$1101,P$1,0)</f>
        <v>0</v>
      </c>
      <c r="Q571" s="50">
        <f>VLOOKUP($A571,'[1]ma sp 02'!$A$5:$BD$1101,Q$1,0)</f>
        <v>0.04</v>
      </c>
      <c r="R571" s="50">
        <f>VLOOKUP($A571,'[1]ma sp 02'!$A$5:$BD$1101,R$1,0)</f>
        <v>0</v>
      </c>
      <c r="S571" s="50">
        <f>VLOOKUP($A571,'[1]ma sp 02'!$A$5:$BD$1101,S$1,0)</f>
        <v>0</v>
      </c>
      <c r="T571" s="50">
        <f>VLOOKUP($A571,'[1]ma sp 02'!$A$5:$BD$1101,T$1,0)</f>
        <v>0.01</v>
      </c>
      <c r="U571" s="50">
        <f>VLOOKUP($A571,'[1]ma sp 02'!$A$5:$BD$1101,U$1,0)</f>
        <v>0</v>
      </c>
      <c r="V571" s="50">
        <f>VLOOKUP($A571,'[1]ma sp 02'!$A$5:$BD$1101,V$1,0)</f>
        <v>0</v>
      </c>
      <c r="W571" s="50">
        <f>VLOOKUP($A571,'[1]ma sp 02'!$A$5:$BD$1101,W$1,0)</f>
        <v>0</v>
      </c>
      <c r="X571" s="50"/>
      <c r="Y571" s="62"/>
      <c r="Z571" s="62"/>
      <c r="AA571" s="62"/>
      <c r="AB571" s="62"/>
      <c r="AC571" s="62"/>
      <c r="AD571" s="62"/>
      <c r="AE571" s="62"/>
      <c r="AF571" s="62"/>
      <c r="AG571" s="71"/>
      <c r="AH571" s="155"/>
      <c r="AI571" s="54"/>
      <c r="AJ571" s="62"/>
      <c r="AK571" s="62"/>
      <c r="AL571" s="62"/>
      <c r="AM571" s="52" t="s">
        <v>756</v>
      </c>
      <c r="AN571" s="62"/>
      <c r="AO571" s="52" t="s">
        <v>527</v>
      </c>
      <c r="AP571" s="59" t="str">
        <f>IFERROR(VLOOKUP($A571,[2]Mssp!$A$5:$BE$1463,AP$4+1,0),0)</f>
        <v>19101038-1</v>
      </c>
      <c r="AQ571" s="59" t="str">
        <f>IFERROR(VLOOKUP($A571,[2]Mssp!$A$5:$BE$1463,AQ$4+1,0),0)</f>
        <v>19101038-2</v>
      </c>
      <c r="AR571" s="59" t="str">
        <f>IFERROR(VLOOKUP($A571,[2]Mssp!$A$5:$BE$1463,AR$4+1,0),0)</f>
        <v>19101038-3</v>
      </c>
      <c r="AS571" s="59" t="str">
        <f>IFERROR(VLOOKUP($A571,[2]Mssp!$A$5:$BE$1463,AS$4+1,0),0)</f>
        <v>19101038-4</v>
      </c>
      <c r="AT571" s="59" t="str">
        <f>IFERROR(VLOOKUP($A571,[2]Mssp!$A$5:$BE$1463,AT$4+1,0),0)</f>
        <v>19101038-5</v>
      </c>
      <c r="AU571" s="59" t="str">
        <f>IFERROR(VLOOKUP($A571,[2]Mssp!$A$5:$BE$1463,AU$4+1,0),0)</f>
        <v>19101038-6</v>
      </c>
      <c r="AV571" s="59">
        <f>IFERROR(VLOOKUP($A571,[2]Mssp!$A$5:$BE$1463,AV$4+1,0),0)</f>
        <v>0</v>
      </c>
      <c r="AW571" s="59">
        <f>IFERROR(VLOOKUP($A571,[2]Mssp!$A$5:$BE$1463,AW$4+1,0),0)</f>
        <v>0</v>
      </c>
      <c r="AX571" s="59">
        <f>IFERROR(VLOOKUP($A571,[2]Mssp!$A$5:$BE$1463,AX$4+1,0),0)</f>
        <v>0</v>
      </c>
      <c r="AY571" s="59" t="str">
        <f>IFERROR(VLOOKUP($A571,[2]Mssp!$A$5:$BE$1463,AY$4+2,0),0)</f>
        <v>1100x850</v>
      </c>
      <c r="AZ571" s="59" t="str">
        <f>IFERROR(VLOOKUP($A571,[2]Mssp!$A$5:$BE$1463,AZ$4+2,0),0)</f>
        <v>L1</v>
      </c>
      <c r="BA571" s="60" t="s">
        <v>106</v>
      </c>
      <c r="BB571" s="61" t="s">
        <v>107</v>
      </c>
      <c r="BC571" s="165"/>
      <c r="BD571" s="166"/>
      <c r="BE571" s="167"/>
      <c r="BF571" s="168"/>
      <c r="BG571" s="167"/>
      <c r="BH571" s="168"/>
      <c r="BI571" s="169"/>
      <c r="BJ571" s="168"/>
      <c r="BK571" s="134"/>
      <c r="BL571" s="168"/>
      <c r="BM571" s="167"/>
      <c r="BN571" s="168"/>
      <c r="BO571" s="62"/>
      <c r="BP571" s="168"/>
      <c r="BQ571" s="168"/>
      <c r="BR571" s="168"/>
      <c r="BS571" s="135"/>
      <c r="BT571" s="168"/>
      <c r="BU571" s="167"/>
      <c r="BV571" s="168"/>
      <c r="BW571" s="167"/>
      <c r="BX571" s="168"/>
      <c r="BY571" s="167"/>
      <c r="BZ571" s="168"/>
      <c r="CA571" s="167"/>
      <c r="CB571" s="168"/>
      <c r="CC571" s="167"/>
      <c r="CD571" s="168"/>
      <c r="CE571" s="62"/>
      <c r="CF571" s="62"/>
      <c r="CG571" s="9"/>
      <c r="CH571" s="9"/>
      <c r="CI571" s="9"/>
      <c r="CJ571" s="9"/>
      <c r="CK571" s="9"/>
      <c r="CL571" s="9"/>
      <c r="CM571" s="9"/>
      <c r="CN571" s="9"/>
      <c r="CO571" s="9"/>
      <c r="CP571" s="9"/>
    </row>
    <row r="572" spans="1:94" ht="45" x14ac:dyDescent="0.25">
      <c r="A572" s="127" t="s">
        <v>1848</v>
      </c>
      <c r="B572" s="51" t="s">
        <v>1849</v>
      </c>
      <c r="C572" s="62"/>
      <c r="D572" s="84">
        <v>2</v>
      </c>
      <c r="E572" s="62" t="s">
        <v>70</v>
      </c>
      <c r="F572" s="62">
        <v>6</v>
      </c>
      <c r="G572" s="62" t="s">
        <v>184</v>
      </c>
      <c r="H572" s="50">
        <f>VLOOKUP($A572,'[1]ma sp 02'!$A$5:$BD$1101,H$1,0)</f>
        <v>0.01</v>
      </c>
      <c r="I572" s="50">
        <f>VLOOKUP($A572,'[1]ma sp 02'!$A$5:$BD$1101,I$1,0)</f>
        <v>3.59</v>
      </c>
      <c r="J572" s="50">
        <f>VLOOKUP($A572,'[1]ma sp 02'!$A$5:$BD$1101,J$1,0)</f>
        <v>0.52</v>
      </c>
      <c r="K572" s="50">
        <f>VLOOKUP($A572,'[1]ma sp 02'!$A$5:$BD$1101,K$1,0)</f>
        <v>7.0000000000000007E-2</v>
      </c>
      <c r="L572" s="50">
        <f>VLOOKUP($A572,'[1]ma sp 02'!$A$5:$BD$1101,L$1,0)</f>
        <v>0.67</v>
      </c>
      <c r="M572" s="50">
        <f>VLOOKUP($A572,'[1]ma sp 02'!$A$5:$BD$1101,M$1,0)</f>
        <v>0.7</v>
      </c>
      <c r="N572" s="50">
        <f>VLOOKUP($A572,'[1]ma sp 02'!$A$5:$BD$1101,N$1,0)</f>
        <v>0</v>
      </c>
      <c r="O572" s="50">
        <f>VLOOKUP($A572,'[1]ma sp 02'!$A$5:$BD$1101,O$1,0)</f>
        <v>0</v>
      </c>
      <c r="P572" s="50">
        <f>VLOOKUP($A572,'[1]ma sp 02'!$A$5:$BD$1101,P$1,0)</f>
        <v>0.01</v>
      </c>
      <c r="Q572" s="50">
        <f>VLOOKUP($A572,'[1]ma sp 02'!$A$5:$BD$1101,Q$1,0)</f>
        <v>0.77</v>
      </c>
      <c r="R572" s="50">
        <f>VLOOKUP($A572,'[1]ma sp 02'!$A$5:$BD$1101,R$1,0)</f>
        <v>0</v>
      </c>
      <c r="S572" s="50">
        <f>VLOOKUP($A572,'[1]ma sp 02'!$A$5:$BD$1101,S$1,0)</f>
        <v>0</v>
      </c>
      <c r="T572" s="50">
        <f>VLOOKUP($A572,'[1]ma sp 02'!$A$5:$BD$1101,T$1,0)</f>
        <v>0</v>
      </c>
      <c r="U572" s="50">
        <f>VLOOKUP($A572,'[1]ma sp 02'!$A$5:$BD$1101,U$1,0)</f>
        <v>0</v>
      </c>
      <c r="V572" s="50">
        <f>VLOOKUP($A572,'[1]ma sp 02'!$A$5:$BD$1101,V$1,0)</f>
        <v>0</v>
      </c>
      <c r="W572" s="50">
        <f>VLOOKUP($A572,'[1]ma sp 02'!$A$5:$BD$1101,W$1,0)</f>
        <v>0</v>
      </c>
      <c r="X572" s="50"/>
      <c r="Y572" s="62"/>
      <c r="Z572" s="62"/>
      <c r="AA572" s="62"/>
      <c r="AB572" s="62"/>
      <c r="AC572" s="62"/>
      <c r="AD572" s="62"/>
      <c r="AE572" s="62" t="s">
        <v>1850</v>
      </c>
      <c r="AF572" s="62"/>
      <c r="AG572" s="71">
        <f>(0.03*0.91+0.04*0.91)*0.62</f>
        <v>3.9494000000000001E-2</v>
      </c>
      <c r="AH572" s="155">
        <f>(2.3/0.75/2)*0.61</f>
        <v>0.93533333333333324</v>
      </c>
      <c r="AI572" s="54"/>
      <c r="AJ572" s="62">
        <v>9530</v>
      </c>
      <c r="AK572" s="62"/>
      <c r="AL572" s="58">
        <v>2.3E-3</v>
      </c>
      <c r="AM572" s="61" t="s">
        <v>74</v>
      </c>
      <c r="AN572" s="62">
        <v>235</v>
      </c>
      <c r="AO572" s="61" t="s">
        <v>1851</v>
      </c>
      <c r="AP572" s="59" t="str">
        <f>IFERROR(VLOOKUP($A572,[2]Mssp!$A$5:$BE$1463,AP$4+1,0),0)</f>
        <v>19101040-1</v>
      </c>
      <c r="AQ572" s="59" t="str">
        <f>IFERROR(VLOOKUP($A572,[2]Mssp!$A$5:$BE$1463,AQ$4+1,0),0)</f>
        <v>19101040-2</v>
      </c>
      <c r="AR572" s="59" t="str">
        <f>IFERROR(VLOOKUP($A572,[2]Mssp!$A$5:$BE$1463,AR$4+1,0),0)</f>
        <v>19101040-3</v>
      </c>
      <c r="AS572" s="59" t="str">
        <f>IFERROR(VLOOKUP($A572,[2]Mssp!$A$5:$BE$1463,AS$4+1,0),0)</f>
        <v>19101040-4</v>
      </c>
      <c r="AT572" s="59" t="str">
        <f>IFERROR(VLOOKUP($A572,[2]Mssp!$A$5:$BE$1463,AT$4+1,0),0)</f>
        <v>19101040-5</v>
      </c>
      <c r="AU572" s="59" t="str">
        <f>IFERROR(VLOOKUP($A572,[2]Mssp!$A$5:$BE$1463,AU$4+1,0),0)</f>
        <v>19101040-6</v>
      </c>
      <c r="AV572" s="59">
        <f>IFERROR(VLOOKUP($A572,[2]Mssp!$A$5:$BE$1463,AV$4+1,0),0)</f>
        <v>0</v>
      </c>
      <c r="AW572" s="59">
        <f>IFERROR(VLOOKUP($A572,[2]Mssp!$A$5:$BE$1463,AW$4+1,0),0)</f>
        <v>0</v>
      </c>
      <c r="AX572" s="59">
        <f>IFERROR(VLOOKUP($A572,[2]Mssp!$A$5:$BE$1463,AX$4+1,0),0)</f>
        <v>0</v>
      </c>
      <c r="AY572" s="59" t="str">
        <f>IFERROR(VLOOKUP($A572,[2]Mssp!$A$5:$BE$1463,AY$4+2,0),0)</f>
        <v>470x870</v>
      </c>
      <c r="AZ572" s="59" t="str">
        <f>IFERROR(VLOOKUP($A572,[2]Mssp!$A$5:$BE$1463,AZ$4+2,0),0)</f>
        <v>Q2</v>
      </c>
      <c r="BA572" s="141"/>
      <c r="BB572" s="61"/>
      <c r="BC572" s="165"/>
      <c r="BD572" s="166"/>
      <c r="BE572" s="167"/>
      <c r="BF572" s="168"/>
      <c r="BG572" s="167"/>
      <c r="BH572" s="168"/>
      <c r="BI572" s="169"/>
      <c r="BJ572" s="168"/>
      <c r="BK572" s="134"/>
      <c r="BL572" s="168"/>
      <c r="BM572" s="167"/>
      <c r="BN572" s="168"/>
      <c r="BO572" s="62"/>
      <c r="BP572" s="168"/>
      <c r="BQ572" s="168"/>
      <c r="BR572" s="168"/>
      <c r="BS572" s="135"/>
      <c r="BT572" s="168"/>
      <c r="BU572" s="167"/>
      <c r="BV572" s="168"/>
      <c r="BW572" s="167"/>
      <c r="BX572" s="168"/>
      <c r="BY572" s="167"/>
      <c r="BZ572" s="168"/>
      <c r="CA572" s="167"/>
      <c r="CB572" s="168"/>
      <c r="CC572" s="167"/>
      <c r="CD572" s="168"/>
      <c r="CE572" s="62"/>
      <c r="CF572" s="62"/>
      <c r="CG572" s="9"/>
      <c r="CH572" s="9"/>
      <c r="CI572" s="9"/>
      <c r="CJ572" s="9"/>
      <c r="CK572" s="9"/>
      <c r="CL572" s="9"/>
      <c r="CM572" s="9"/>
      <c r="CN572" s="9"/>
      <c r="CO572" s="9"/>
      <c r="CP572" s="9"/>
    </row>
    <row r="573" spans="1:94" x14ac:dyDescent="0.25">
      <c r="A573" s="127" t="s">
        <v>1852</v>
      </c>
      <c r="B573" s="51" t="s">
        <v>1853</v>
      </c>
      <c r="C573" s="62"/>
      <c r="D573" s="84">
        <v>2</v>
      </c>
      <c r="E573" s="62" t="s">
        <v>484</v>
      </c>
      <c r="F573" s="62">
        <v>2</v>
      </c>
      <c r="G573" s="62" t="s">
        <v>530</v>
      </c>
      <c r="H573" s="50">
        <f>VLOOKUP($A573,'[1]ma sp 02'!$A$5:$BD$1101,H$1,0)</f>
        <v>0</v>
      </c>
      <c r="I573" s="50">
        <f>VLOOKUP($A573,'[1]ma sp 02'!$A$5:$BD$1101,I$1,0)</f>
        <v>3.82</v>
      </c>
      <c r="J573" s="50">
        <f>VLOOKUP($A573,'[1]ma sp 02'!$A$5:$BD$1101,J$1,0)</f>
        <v>0</v>
      </c>
      <c r="K573" s="50">
        <f>VLOOKUP($A573,'[1]ma sp 02'!$A$5:$BD$1101,K$1,0)</f>
        <v>0</v>
      </c>
      <c r="L573" s="50">
        <f>VLOOKUP($A573,'[1]ma sp 02'!$A$5:$BD$1101,L$1,0)</f>
        <v>0.67</v>
      </c>
      <c r="M573" s="50">
        <f>VLOOKUP($A573,'[1]ma sp 02'!$A$5:$BD$1101,M$1,0)</f>
        <v>0</v>
      </c>
      <c r="N573" s="50">
        <f>VLOOKUP($A573,'[1]ma sp 02'!$A$5:$BD$1101,N$1,0)</f>
        <v>0</v>
      </c>
      <c r="O573" s="50">
        <f>VLOOKUP($A573,'[1]ma sp 02'!$A$5:$BD$1101,O$1,0)</f>
        <v>0</v>
      </c>
      <c r="P573" s="50">
        <f>VLOOKUP($A573,'[1]ma sp 02'!$A$5:$BD$1101,P$1,0)</f>
        <v>6.29</v>
      </c>
      <c r="Q573" s="50">
        <f>VLOOKUP($A573,'[1]ma sp 02'!$A$5:$BD$1101,Q$1,0)</f>
        <v>0</v>
      </c>
      <c r="R573" s="50">
        <f>VLOOKUP($A573,'[1]ma sp 02'!$A$5:$BD$1101,R$1,0)</f>
        <v>0</v>
      </c>
      <c r="S573" s="50">
        <f>VLOOKUP($A573,'[1]ma sp 02'!$A$5:$BD$1101,S$1,0)</f>
        <v>0</v>
      </c>
      <c r="T573" s="50">
        <f>VLOOKUP($A573,'[1]ma sp 02'!$A$5:$BD$1101,T$1,0)</f>
        <v>0</v>
      </c>
      <c r="U573" s="50">
        <f>VLOOKUP($A573,'[1]ma sp 02'!$A$5:$BD$1101,U$1,0)</f>
        <v>0</v>
      </c>
      <c r="V573" s="50">
        <f>VLOOKUP($A573,'[1]ma sp 02'!$A$5:$BD$1101,V$1,0)</f>
        <v>0</v>
      </c>
      <c r="W573" s="50">
        <f>VLOOKUP($A573,'[1]ma sp 02'!$A$5:$BD$1101,W$1,0)</f>
        <v>0</v>
      </c>
      <c r="X573" s="50">
        <f>COUNTIF(H573:W573, "&gt;0")</f>
        <v>3</v>
      </c>
      <c r="Y573" s="62"/>
      <c r="Z573" s="62"/>
      <c r="AA573" s="62"/>
      <c r="AB573" s="62"/>
      <c r="AC573" s="62"/>
      <c r="AD573" s="62"/>
      <c r="AE573" s="62" t="s">
        <v>485</v>
      </c>
      <c r="AF573" s="52" t="s">
        <v>486</v>
      </c>
      <c r="AG573" s="71">
        <f>(0.012*1.4+0.012*1.4+0.08*0.925)*0.74</f>
        <v>7.9624E-2</v>
      </c>
      <c r="AH573" s="155">
        <f>(2.3/0.75/2)*0.76</f>
        <v>1.1653333333333333</v>
      </c>
      <c r="AI573" s="63">
        <f>(3/0.75/2)*0.75</f>
        <v>1.5</v>
      </c>
      <c r="AJ573" s="9">
        <v>9530</v>
      </c>
      <c r="AK573" s="9">
        <v>9530</v>
      </c>
      <c r="AL573" s="9" t="s">
        <v>1704</v>
      </c>
      <c r="AM573" s="69"/>
      <c r="AN573" s="9">
        <v>420</v>
      </c>
      <c r="AO573" s="69" t="s">
        <v>332</v>
      </c>
      <c r="AP573" s="59" t="str">
        <f>IFERROR(VLOOKUP($A573,[2]Mssp!$A$5:$BE$1463,AP$4+1,0),0)</f>
        <v>20030161-1</v>
      </c>
      <c r="AQ573" s="59" t="str">
        <f>IFERROR(VLOOKUP($A573,[2]Mssp!$A$5:$BE$1463,AQ$4+1,0),0)</f>
        <v>20030161-2</v>
      </c>
      <c r="AR573" s="59">
        <f>IFERROR(VLOOKUP($A573,[2]Mssp!$A$5:$BE$1463,AR$4+1,0),0)</f>
        <v>0</v>
      </c>
      <c r="AS573" s="59">
        <f>IFERROR(VLOOKUP($A573,[2]Mssp!$A$5:$BE$1463,AS$4+1,0),0)</f>
        <v>0</v>
      </c>
      <c r="AT573" s="59">
        <f>IFERROR(VLOOKUP($A573,[2]Mssp!$A$5:$BE$1463,AT$4+1,0),0)</f>
        <v>0</v>
      </c>
      <c r="AU573" s="59">
        <f>IFERROR(VLOOKUP($A573,[2]Mssp!$A$5:$BE$1463,AU$4+1,0),0)</f>
        <v>0</v>
      </c>
      <c r="AV573" s="59">
        <f>IFERROR(VLOOKUP($A573,[2]Mssp!$A$5:$BE$1463,AV$4+1,0),0)</f>
        <v>0</v>
      </c>
      <c r="AW573" s="59">
        <f>IFERROR(VLOOKUP($A573,[2]Mssp!$A$5:$BE$1463,AW$4+1,0),0)</f>
        <v>0</v>
      </c>
      <c r="AX573" s="59">
        <f>IFERROR(VLOOKUP($A573,[2]Mssp!$A$5:$BE$1463,AX$4+1,0),0)</f>
        <v>0</v>
      </c>
      <c r="AY573" s="59" t="str">
        <f>IFERROR(VLOOKUP($A573,[2]Mssp!$A$5:$BE$1463,AY$4+2,0),0)</f>
        <v>420x870</v>
      </c>
      <c r="AZ573" s="59" t="str">
        <f>IFERROR(VLOOKUP($A573,[2]Mssp!$A$5:$BE$1463,AZ$4+2,0),0)</f>
        <v>G4</v>
      </c>
      <c r="BA573" s="141"/>
      <c r="BB573" s="61"/>
      <c r="BC573" s="165"/>
      <c r="BD573" s="166"/>
      <c r="BE573" s="167"/>
      <c r="BF573" s="168"/>
      <c r="BG573" s="167"/>
      <c r="BH573" s="168"/>
      <c r="BI573" s="169"/>
      <c r="BJ573" s="168"/>
      <c r="BK573" s="134"/>
      <c r="BL573" s="168"/>
      <c r="BM573" s="167"/>
      <c r="BN573" s="168"/>
      <c r="BO573" s="62"/>
      <c r="BP573" s="168"/>
      <c r="BQ573" s="168"/>
      <c r="BR573" s="168"/>
      <c r="BS573" s="135"/>
      <c r="BT573" s="168"/>
      <c r="BU573" s="167"/>
      <c r="BV573" s="168"/>
      <c r="BW573" s="167"/>
      <c r="BX573" s="168"/>
      <c r="BY573" s="167"/>
      <c r="BZ573" s="168"/>
      <c r="CA573" s="167"/>
      <c r="CB573" s="168"/>
      <c r="CC573" s="167"/>
      <c r="CD573" s="168"/>
      <c r="CE573" s="62"/>
      <c r="CF573" s="62"/>
      <c r="CG573" s="9"/>
      <c r="CH573" s="9"/>
      <c r="CI573" s="9"/>
      <c r="CJ573" s="9"/>
      <c r="CK573" s="9"/>
      <c r="CL573" s="9"/>
      <c r="CM573" s="9"/>
      <c r="CN573" s="9"/>
      <c r="CO573" s="9"/>
      <c r="CP573" s="9"/>
    </row>
    <row r="574" spans="1:94" x14ac:dyDescent="0.25">
      <c r="A574" s="127" t="s">
        <v>1854</v>
      </c>
      <c r="B574" s="51" t="s">
        <v>1855</v>
      </c>
      <c r="C574" s="62"/>
      <c r="D574" s="84">
        <v>2</v>
      </c>
      <c r="E574" s="62" t="s">
        <v>131</v>
      </c>
      <c r="F574" s="62">
        <v>2</v>
      </c>
      <c r="G574" s="62" t="s">
        <v>530</v>
      </c>
      <c r="H574" s="50">
        <f>VLOOKUP($A574,'[1]ma sp 02'!$A$5:$BD$1101,H$1,0)</f>
        <v>0</v>
      </c>
      <c r="I574" s="50">
        <f>VLOOKUP($A574,'[1]ma sp 02'!$A$5:$BD$1101,I$1,0)</f>
        <v>0</v>
      </c>
      <c r="J574" s="50">
        <f>VLOOKUP($A574,'[1]ma sp 02'!$A$5:$BD$1101,J$1,0)</f>
        <v>0</v>
      </c>
      <c r="K574" s="50">
        <f>VLOOKUP($A574,'[1]ma sp 02'!$A$5:$BD$1101,K$1,0)</f>
        <v>0</v>
      </c>
      <c r="L574" s="50">
        <f>VLOOKUP($A574,'[1]ma sp 02'!$A$5:$BD$1101,L$1,0)</f>
        <v>0</v>
      </c>
      <c r="M574" s="50">
        <f>VLOOKUP($A574,'[1]ma sp 02'!$A$5:$BD$1101,M$1,0)</f>
        <v>0</v>
      </c>
      <c r="N574" s="50">
        <f>VLOOKUP($A574,'[1]ma sp 02'!$A$5:$BD$1101,N$1,0)</f>
        <v>0</v>
      </c>
      <c r="O574" s="50">
        <f>VLOOKUP($A574,'[1]ma sp 02'!$A$5:$BD$1101,O$1,0)</f>
        <v>0</v>
      </c>
      <c r="P574" s="50">
        <f>VLOOKUP($A574,'[1]ma sp 02'!$A$5:$BD$1101,P$1,0)</f>
        <v>0</v>
      </c>
      <c r="Q574" s="50">
        <f>VLOOKUP($A574,'[1]ma sp 02'!$A$5:$BD$1101,Q$1,0)</f>
        <v>0</v>
      </c>
      <c r="R574" s="50">
        <f>VLOOKUP($A574,'[1]ma sp 02'!$A$5:$BD$1101,R$1,0)</f>
        <v>0</v>
      </c>
      <c r="S574" s="50">
        <f>VLOOKUP($A574,'[1]ma sp 02'!$A$5:$BD$1101,S$1,0)</f>
        <v>0</v>
      </c>
      <c r="T574" s="50">
        <f>VLOOKUP($A574,'[1]ma sp 02'!$A$5:$BD$1101,T$1,0)</f>
        <v>0</v>
      </c>
      <c r="U574" s="50">
        <f>VLOOKUP($A574,'[1]ma sp 02'!$A$5:$BD$1101,U$1,0)</f>
        <v>0</v>
      </c>
      <c r="V574" s="50">
        <f>VLOOKUP($A574,'[1]ma sp 02'!$A$5:$BD$1101,V$1,0)</f>
        <v>0</v>
      </c>
      <c r="W574" s="50">
        <f>VLOOKUP($A574,'[1]ma sp 02'!$A$5:$BD$1101,W$1,0)</f>
        <v>0</v>
      </c>
      <c r="X574" s="50"/>
      <c r="Y574" s="62"/>
      <c r="Z574" s="62"/>
      <c r="AA574" s="62"/>
      <c r="AB574" s="62"/>
      <c r="AC574" s="62"/>
      <c r="AD574" s="62"/>
      <c r="AE574" s="62" t="s">
        <v>71</v>
      </c>
      <c r="AF574" s="62" t="s">
        <v>324</v>
      </c>
      <c r="AG574" s="71">
        <f>(0.012*1.4+0.012*1.4+0.075*0.925)*0.62</f>
        <v>6.3844500000000012E-2</v>
      </c>
      <c r="AH574" s="155">
        <f>(2.3/0.75/2)*0.61</f>
        <v>0.93533333333333324</v>
      </c>
      <c r="AI574" s="54">
        <f>(3/0.75/2)*0.61</f>
        <v>1.22</v>
      </c>
      <c r="AJ574" s="62">
        <v>9530</v>
      </c>
      <c r="AK574" s="62">
        <v>9530</v>
      </c>
      <c r="AL574" s="62" t="s">
        <v>1818</v>
      </c>
      <c r="AM574" s="61"/>
      <c r="AN574" s="62">
        <v>340</v>
      </c>
      <c r="AO574" s="61" t="s">
        <v>332</v>
      </c>
      <c r="AP574" s="59">
        <f>IFERROR(VLOOKUP($A574,[2]Mssp!$A$5:$BE$1463,AP$4+1,0),0)</f>
        <v>0</v>
      </c>
      <c r="AQ574" s="59" t="str">
        <f>IFERROR(VLOOKUP($A574,[2]Mssp!$A$5:$BE$1463,AQ$4+1,0),0)</f>
        <v>19101198-2</v>
      </c>
      <c r="AR574" s="59">
        <f>IFERROR(VLOOKUP($A574,[2]Mssp!$A$5:$BE$1463,AR$4+1,0),0)</f>
        <v>0</v>
      </c>
      <c r="AS574" s="59">
        <f>IFERROR(VLOOKUP($A574,[2]Mssp!$A$5:$BE$1463,AS$4+1,0),0)</f>
        <v>0</v>
      </c>
      <c r="AT574" s="59">
        <f>IFERROR(VLOOKUP($A574,[2]Mssp!$A$5:$BE$1463,AT$4+1,0),0)</f>
        <v>0</v>
      </c>
      <c r="AU574" s="59" t="str">
        <f>IFERROR(VLOOKUP($A574,[2]Mssp!$A$5:$BE$1463,AU$4+1,0),0)</f>
        <v>19101198-6</v>
      </c>
      <c r="AV574" s="59">
        <f>IFERROR(VLOOKUP($A574,[2]Mssp!$A$5:$BE$1463,AV$4+1,0),0)</f>
        <v>0</v>
      </c>
      <c r="AW574" s="59">
        <f>IFERROR(VLOOKUP($A574,[2]Mssp!$A$5:$BE$1463,AW$4+1,0),0)</f>
        <v>0</v>
      </c>
      <c r="AX574" s="59">
        <f>IFERROR(VLOOKUP($A574,[2]Mssp!$A$5:$BE$1463,AX$4+1,0),0)</f>
        <v>0</v>
      </c>
      <c r="AY574" s="59" t="str">
        <f>IFERROR(VLOOKUP($A574,[2]Mssp!$A$5:$BE$1463,AY$4+2,0),0)</f>
        <v>680x860</v>
      </c>
      <c r="AZ574" s="59" t="str">
        <f>IFERROR(VLOOKUP($A574,[2]Mssp!$A$5:$BE$1463,AZ$4+2,0),0)</f>
        <v>G4</v>
      </c>
      <c r="BA574" s="141"/>
      <c r="BB574" s="61"/>
      <c r="BC574" s="165"/>
      <c r="BD574" s="166"/>
      <c r="BE574" s="167"/>
      <c r="BF574" s="168"/>
      <c r="BG574" s="167"/>
      <c r="BH574" s="168"/>
      <c r="BI574" s="169"/>
      <c r="BJ574" s="168"/>
      <c r="BK574" s="134"/>
      <c r="BL574" s="168"/>
      <c r="BM574" s="167"/>
      <c r="BN574" s="168"/>
      <c r="BO574" s="62"/>
      <c r="BP574" s="168"/>
      <c r="BQ574" s="168"/>
      <c r="BR574" s="168"/>
      <c r="BS574" s="135"/>
      <c r="BT574" s="168"/>
      <c r="BU574" s="167"/>
      <c r="BV574" s="168"/>
      <c r="BW574" s="167"/>
      <c r="BX574" s="168"/>
      <c r="BY574" s="167"/>
      <c r="BZ574" s="168"/>
      <c r="CA574" s="167"/>
      <c r="CB574" s="168"/>
      <c r="CC574" s="167"/>
      <c r="CD574" s="168"/>
      <c r="CE574" s="62"/>
      <c r="CF574" s="62"/>
      <c r="CG574" s="9"/>
      <c r="CH574" s="9"/>
      <c r="CI574" s="9"/>
      <c r="CJ574" s="9"/>
      <c r="CK574" s="9"/>
      <c r="CL574" s="9"/>
      <c r="CM574" s="9"/>
      <c r="CN574" s="9"/>
      <c r="CO574" s="9"/>
      <c r="CP574" s="9"/>
    </row>
    <row r="575" spans="1:94" ht="45" x14ac:dyDescent="0.25">
      <c r="A575" s="127" t="s">
        <v>1856</v>
      </c>
      <c r="B575" s="51" t="s">
        <v>1857</v>
      </c>
      <c r="C575" s="62"/>
      <c r="D575" s="84">
        <v>1</v>
      </c>
      <c r="E575" s="62" t="s">
        <v>655</v>
      </c>
      <c r="F575" s="62">
        <v>6</v>
      </c>
      <c r="G575" s="62" t="s">
        <v>530</v>
      </c>
      <c r="H575" s="50">
        <f>VLOOKUP($A575,'[1]ma sp 02'!$A$5:$BD$1101,H$1,0)</f>
        <v>0.01</v>
      </c>
      <c r="I575" s="50">
        <f>VLOOKUP($A575,'[1]ma sp 02'!$A$5:$BD$1101,I$1,0)</f>
        <v>0</v>
      </c>
      <c r="J575" s="50">
        <f>VLOOKUP($A575,'[1]ma sp 02'!$A$5:$BD$1101,J$1,0)</f>
        <v>0.01</v>
      </c>
      <c r="K575" s="50">
        <f>VLOOKUP($A575,'[1]ma sp 02'!$A$5:$BD$1101,K$1,0)</f>
        <v>0.31</v>
      </c>
      <c r="L575" s="50">
        <f>VLOOKUP($A575,'[1]ma sp 02'!$A$5:$BD$1101,L$1,0)</f>
        <v>2.2999999999999998</v>
      </c>
      <c r="M575" s="50">
        <f>VLOOKUP($A575,'[1]ma sp 02'!$A$5:$BD$1101,M$1,0)</f>
        <v>1.77</v>
      </c>
      <c r="N575" s="50">
        <f>VLOOKUP($A575,'[1]ma sp 02'!$A$5:$BD$1101,N$1,0)</f>
        <v>0</v>
      </c>
      <c r="O575" s="50">
        <f>VLOOKUP($A575,'[1]ma sp 02'!$A$5:$BD$1101,O$1,0)</f>
        <v>2.82</v>
      </c>
      <c r="P575" s="50">
        <f>VLOOKUP($A575,'[1]ma sp 02'!$A$5:$BD$1101,P$1,0)</f>
        <v>0</v>
      </c>
      <c r="Q575" s="50">
        <f>VLOOKUP($A575,'[1]ma sp 02'!$A$5:$BD$1101,Q$1,0)</f>
        <v>0</v>
      </c>
      <c r="R575" s="50">
        <f>VLOOKUP($A575,'[1]ma sp 02'!$A$5:$BD$1101,R$1,0)</f>
        <v>0</v>
      </c>
      <c r="S575" s="50">
        <f>VLOOKUP($A575,'[1]ma sp 02'!$A$5:$BD$1101,S$1,0)</f>
        <v>0</v>
      </c>
      <c r="T575" s="50">
        <f>VLOOKUP($A575,'[1]ma sp 02'!$A$5:$BD$1101,T$1,0)</f>
        <v>0</v>
      </c>
      <c r="U575" s="50">
        <f>VLOOKUP($A575,'[1]ma sp 02'!$A$5:$BD$1101,U$1,0)</f>
        <v>0</v>
      </c>
      <c r="V575" s="50">
        <f>VLOOKUP($A575,'[1]ma sp 02'!$A$5:$BD$1101,V$1,0)</f>
        <v>0</v>
      </c>
      <c r="W575" s="50">
        <f>VLOOKUP($A575,'[1]ma sp 02'!$A$5:$BD$1101,W$1,0)</f>
        <v>0</v>
      </c>
      <c r="X575" s="50"/>
      <c r="Y575" s="62"/>
      <c r="Z575" s="62"/>
      <c r="AA575" s="62"/>
      <c r="AB575" s="62"/>
      <c r="AC575" s="62"/>
      <c r="AD575" s="62"/>
      <c r="AE575" s="62" t="s">
        <v>1858</v>
      </c>
      <c r="AF575" s="62"/>
      <c r="AG575" s="71">
        <f>(0.012*1.15+0.13*0.94)*0.82</f>
        <v>0.11152000000000001</v>
      </c>
      <c r="AH575" s="155">
        <f>(3/0.75/2)*0.81</f>
        <v>1.62</v>
      </c>
      <c r="AI575" s="54"/>
      <c r="AJ575" s="62">
        <v>9530</v>
      </c>
      <c r="AK575" s="62"/>
      <c r="AL575" s="62">
        <v>3.0000000000000001E-3</v>
      </c>
      <c r="AM575" s="52" t="s">
        <v>60</v>
      </c>
      <c r="AN575" s="62">
        <v>535</v>
      </c>
      <c r="AO575" s="61" t="s">
        <v>1859</v>
      </c>
      <c r="AP575" s="59" t="str">
        <f>IFERROR(VLOOKUP($A575,[2]Mssp!$A$5:$BE$1463,AP$4+1,0),0)</f>
        <v>F124654-1</v>
      </c>
      <c r="AQ575" s="59" t="str">
        <f>IFERROR(VLOOKUP($A575,[2]Mssp!$A$5:$BE$1463,AQ$4+1,0),0)</f>
        <v>F124654-2</v>
      </c>
      <c r="AR575" s="59" t="str">
        <f>IFERROR(VLOOKUP($A575,[2]Mssp!$A$5:$BE$1463,AR$4+1,0),0)</f>
        <v>F124654-3</v>
      </c>
      <c r="AS575" s="59" t="str">
        <f>IFERROR(VLOOKUP($A575,[2]Mssp!$A$5:$BE$1463,AS$4+1,0),0)</f>
        <v>F124654-4</v>
      </c>
      <c r="AT575" s="59" t="str">
        <f>IFERROR(VLOOKUP($A575,[2]Mssp!$A$5:$BE$1463,AT$4+1,0),0)</f>
        <v>F124654-5</v>
      </c>
      <c r="AU575" s="59" t="str">
        <f>IFERROR(VLOOKUP($A575,[2]Mssp!$A$5:$BE$1463,AU$4+1,0),0)</f>
        <v>F124654-6</v>
      </c>
      <c r="AV575" s="59">
        <f>IFERROR(VLOOKUP($A575,[2]Mssp!$A$5:$BE$1463,AV$4+1,0),0)</f>
        <v>0</v>
      </c>
      <c r="AW575" s="59">
        <f>IFERROR(VLOOKUP($A575,[2]Mssp!$A$5:$BE$1463,AW$4+1,0),0)</f>
        <v>0</v>
      </c>
      <c r="AX575" s="59">
        <f>IFERROR(VLOOKUP($A575,[2]Mssp!$A$5:$BE$1463,AX$4+1,0),0)</f>
        <v>0</v>
      </c>
      <c r="AY575" s="59" t="str">
        <f>IFERROR(VLOOKUP($A575,[2]Mssp!$A$5:$BE$1463,AY$4+2,0),0)</f>
        <v>535x870</v>
      </c>
      <c r="AZ575" s="59" t="str">
        <f>IFERROR(VLOOKUP($A575,[2]Mssp!$A$5:$BE$1463,AZ$4+2,0),0)</f>
        <v>Q2</v>
      </c>
      <c r="BA575" s="141"/>
      <c r="BB575" s="61"/>
      <c r="BC575" s="165"/>
      <c r="BD575" s="166"/>
      <c r="BE575" s="167"/>
      <c r="BF575" s="168"/>
      <c r="BG575" s="167"/>
      <c r="BH575" s="168"/>
      <c r="BI575" s="169"/>
      <c r="BJ575" s="168"/>
      <c r="BK575" s="134"/>
      <c r="BL575" s="168"/>
      <c r="BM575" s="167"/>
      <c r="BN575" s="168"/>
      <c r="BO575" s="62"/>
      <c r="BP575" s="168"/>
      <c r="BQ575" s="168"/>
      <c r="BR575" s="168"/>
      <c r="BS575" s="135"/>
      <c r="BT575" s="168"/>
      <c r="BU575" s="167"/>
      <c r="BV575" s="168"/>
      <c r="BW575" s="167"/>
      <c r="BX575" s="168"/>
      <c r="BY575" s="167"/>
      <c r="BZ575" s="168"/>
      <c r="CA575" s="167"/>
      <c r="CB575" s="168"/>
      <c r="CC575" s="167"/>
      <c r="CD575" s="168"/>
      <c r="CE575" s="62"/>
      <c r="CF575" s="62"/>
      <c r="CG575" s="9"/>
      <c r="CH575" s="9"/>
      <c r="CI575" s="9"/>
      <c r="CJ575" s="9"/>
      <c r="CK575" s="9"/>
      <c r="CL575" s="9"/>
      <c r="CM575" s="9"/>
      <c r="CN575" s="9"/>
      <c r="CO575" s="9"/>
      <c r="CP575" s="9"/>
    </row>
    <row r="576" spans="1:94" ht="45" x14ac:dyDescent="0.25">
      <c r="A576" s="127" t="s">
        <v>1860</v>
      </c>
      <c r="B576" s="51" t="s">
        <v>1861</v>
      </c>
      <c r="C576" s="62"/>
      <c r="D576" s="109">
        <v>3</v>
      </c>
      <c r="E576" s="62" t="s">
        <v>636</v>
      </c>
      <c r="F576" s="57">
        <v>5</v>
      </c>
      <c r="G576" s="50" t="s">
        <v>530</v>
      </c>
      <c r="H576" s="50">
        <f>VLOOKUP($A576,'[1]ma sp 02'!$A$5:$BD$1101,H$1,0)</f>
        <v>0</v>
      </c>
      <c r="I576" s="50">
        <f>VLOOKUP($A576,'[1]ma sp 02'!$A$5:$BD$1101,I$1,0)</f>
        <v>0.81799999999999995</v>
      </c>
      <c r="J576" s="50">
        <f>VLOOKUP($A576,'[1]ma sp 02'!$A$5:$BD$1101,J$1,0)</f>
        <v>0</v>
      </c>
      <c r="K576" s="50">
        <f>VLOOKUP($A576,'[1]ma sp 02'!$A$5:$BD$1101,K$1,0)</f>
        <v>0</v>
      </c>
      <c r="L576" s="50">
        <f>VLOOKUP($A576,'[1]ma sp 02'!$A$5:$BD$1101,L$1,0)</f>
        <v>1.63</v>
      </c>
      <c r="M576" s="50">
        <f>VLOOKUP($A576,'[1]ma sp 02'!$A$5:$BD$1101,M$1,0)</f>
        <v>1.05</v>
      </c>
      <c r="N576" s="50">
        <f>VLOOKUP($A576,'[1]ma sp 02'!$A$5:$BD$1101,N$1,0)</f>
        <v>1.1599999999999999</v>
      </c>
      <c r="O576" s="50">
        <f>VLOOKUP($A576,'[1]ma sp 02'!$A$5:$BD$1101,O$1,0)</f>
        <v>0.01</v>
      </c>
      <c r="P576" s="50">
        <f>VLOOKUP($A576,'[1]ma sp 02'!$A$5:$BD$1101,P$1,0)</f>
        <v>0</v>
      </c>
      <c r="Q576" s="50">
        <f>VLOOKUP($A576,'[1]ma sp 02'!$A$5:$BD$1101,Q$1,0)</f>
        <v>0</v>
      </c>
      <c r="R576" s="50">
        <f>VLOOKUP($A576,'[1]ma sp 02'!$A$5:$BD$1101,R$1,0)</f>
        <v>0</v>
      </c>
      <c r="S576" s="50">
        <f>VLOOKUP($A576,'[1]ma sp 02'!$A$5:$BD$1101,S$1,0)</f>
        <v>0</v>
      </c>
      <c r="T576" s="50">
        <f>VLOOKUP($A576,'[1]ma sp 02'!$A$5:$BD$1101,T$1,0)</f>
        <v>0</v>
      </c>
      <c r="U576" s="50">
        <f>VLOOKUP($A576,'[1]ma sp 02'!$A$5:$BD$1101,U$1,0)</f>
        <v>0</v>
      </c>
      <c r="V576" s="50">
        <f>VLOOKUP($A576,'[1]ma sp 02'!$A$5:$BD$1101,V$1,0)</f>
        <v>0</v>
      </c>
      <c r="W576" s="50">
        <f>VLOOKUP($A576,'[1]ma sp 02'!$A$5:$BD$1101,W$1,0)</f>
        <v>0</v>
      </c>
      <c r="X576" s="50">
        <f>COUNTIF(H576:W576, "&gt;0")</f>
        <v>5</v>
      </c>
      <c r="Y576" s="62"/>
      <c r="Z576" s="62"/>
      <c r="AA576" s="62"/>
      <c r="AB576" s="62"/>
      <c r="AC576" s="62"/>
      <c r="AD576" s="62"/>
      <c r="AE576" s="62" t="s">
        <v>1593</v>
      </c>
      <c r="AF576" s="62" t="s">
        <v>321</v>
      </c>
      <c r="AG576" s="71">
        <f>(0.012*1.4+0.012*1.4+0.075*0.925)*0.74</f>
        <v>7.6201500000000005E-2</v>
      </c>
      <c r="AH576" s="153">
        <f>(2.3/0.75/2)*0.73</f>
        <v>1.1193333333333333</v>
      </c>
      <c r="AI576" s="63">
        <f>(3/0.75/2)*0.73</f>
        <v>1.46</v>
      </c>
      <c r="AJ576" s="58">
        <v>9530</v>
      </c>
      <c r="AK576" s="58">
        <v>9530</v>
      </c>
      <c r="AL576" s="58" t="s">
        <v>117</v>
      </c>
      <c r="AM576" s="52" t="s">
        <v>60</v>
      </c>
      <c r="AN576" s="62">
        <v>270</v>
      </c>
      <c r="AO576" s="61" t="s">
        <v>332</v>
      </c>
      <c r="AP576" s="59" t="str">
        <f>IFERROR(VLOOKUP($A576,[2]Mssp!$A$5:$BE$1463,AP$4+1,0),0)</f>
        <v>1904578-1</v>
      </c>
      <c r="AQ576" s="59" t="str">
        <f>IFERROR(VLOOKUP($A576,[2]Mssp!$A$5:$BE$1463,AQ$4+1,0),0)</f>
        <v>1904578-2</v>
      </c>
      <c r="AR576" s="59" t="str">
        <f>IFERROR(VLOOKUP($A576,[2]Mssp!$A$5:$BE$1463,AR$4+1,0),0)</f>
        <v>1904578-3</v>
      </c>
      <c r="AS576" s="59" t="str">
        <f>IFERROR(VLOOKUP($A576,[2]Mssp!$A$5:$BE$1463,AS$4+1,0),0)</f>
        <v>1904578-4</v>
      </c>
      <c r="AT576" s="59" t="str">
        <f>IFERROR(VLOOKUP($A576,[2]Mssp!$A$5:$BE$1463,AT$4+1,0),0)</f>
        <v>1904578-5</v>
      </c>
      <c r="AU576" s="59">
        <f>IFERROR(VLOOKUP($A576,[2]Mssp!$A$5:$BE$1463,AU$4+1,0),0)</f>
        <v>0</v>
      </c>
      <c r="AV576" s="59">
        <f>IFERROR(VLOOKUP($A576,[2]Mssp!$A$5:$BE$1463,AV$4+1,0),0)</f>
        <v>0</v>
      </c>
      <c r="AW576" s="59">
        <f>IFERROR(VLOOKUP($A576,[2]Mssp!$A$5:$BE$1463,AW$4+1,0),0)</f>
        <v>0</v>
      </c>
      <c r="AX576" s="59">
        <f>IFERROR(VLOOKUP($A576,[2]Mssp!$A$5:$BE$1463,AX$4+1,0),0)</f>
        <v>0</v>
      </c>
      <c r="AY576" s="59" t="str">
        <f>IFERROR(VLOOKUP($A576,[2]Mssp!$A$5:$BE$1463,AY$4+2,0),0)</f>
        <v>540x860</v>
      </c>
      <c r="AZ576" s="59" t="str">
        <f>IFERROR(VLOOKUP($A576,[2]Mssp!$A$5:$BE$1463,AZ$4+2,0),0)</f>
        <v>G2</v>
      </c>
      <c r="BA576" s="141"/>
      <c r="BB576" s="61"/>
      <c r="BC576" s="165"/>
      <c r="BD576" s="166"/>
      <c r="BE576" s="167"/>
      <c r="BF576" s="168"/>
      <c r="BG576" s="167"/>
      <c r="BH576" s="168"/>
      <c r="BI576" s="169"/>
      <c r="BJ576" s="168"/>
      <c r="BK576" s="134"/>
      <c r="BL576" s="168"/>
      <c r="BM576" s="167"/>
      <c r="BN576" s="168"/>
      <c r="BO576" s="62"/>
      <c r="BP576" s="168"/>
      <c r="BQ576" s="168"/>
      <c r="BR576" s="168"/>
      <c r="BS576" s="135"/>
      <c r="BT576" s="168"/>
      <c r="BU576" s="167"/>
      <c r="BV576" s="168"/>
      <c r="BW576" s="167"/>
      <c r="BX576" s="168"/>
      <c r="BY576" s="167"/>
      <c r="BZ576" s="168"/>
      <c r="CA576" s="167"/>
      <c r="CB576" s="168"/>
      <c r="CC576" s="167"/>
      <c r="CD576" s="168"/>
      <c r="CE576" s="62"/>
      <c r="CF576" s="62"/>
      <c r="CG576" s="9"/>
      <c r="CH576" s="9"/>
      <c r="CI576" s="9"/>
      <c r="CJ576" s="9"/>
      <c r="CK576" s="9"/>
      <c r="CL576" s="9"/>
      <c r="CM576" s="9"/>
      <c r="CN576" s="9"/>
      <c r="CO576" s="9"/>
      <c r="CP576" s="9"/>
    </row>
    <row r="577" spans="1:94" ht="45" x14ac:dyDescent="0.25">
      <c r="A577" s="127" t="s">
        <v>1862</v>
      </c>
      <c r="B577" s="51" t="s">
        <v>1863</v>
      </c>
      <c r="C577" s="62"/>
      <c r="D577" s="109">
        <v>3</v>
      </c>
      <c r="E577" s="62" t="s">
        <v>636</v>
      </c>
      <c r="F577" s="57">
        <v>5</v>
      </c>
      <c r="G577" s="50" t="s">
        <v>530</v>
      </c>
      <c r="H577" s="50">
        <f>VLOOKUP($A577,'[1]ma sp 02'!$A$5:$BD$1101,H$1,0)</f>
        <v>0</v>
      </c>
      <c r="I577" s="50">
        <f>VLOOKUP($A577,'[1]ma sp 02'!$A$5:$BD$1101,I$1,0)</f>
        <v>0.11</v>
      </c>
      <c r="J577" s="50">
        <f>VLOOKUP($A577,'[1]ma sp 02'!$A$5:$BD$1101,J$1,0)</f>
        <v>0</v>
      </c>
      <c r="K577" s="50">
        <f>VLOOKUP($A577,'[1]ma sp 02'!$A$5:$BD$1101,K$1,0)</f>
        <v>1.06</v>
      </c>
      <c r="L577" s="50">
        <f>VLOOKUP($A577,'[1]ma sp 02'!$A$5:$BD$1101,L$1,0)</f>
        <v>0.01</v>
      </c>
      <c r="M577" s="50">
        <f>VLOOKUP($A577,'[1]ma sp 02'!$A$5:$BD$1101,M$1,0)</f>
        <v>0</v>
      </c>
      <c r="N577" s="50">
        <f>VLOOKUP($A577,'[1]ma sp 02'!$A$5:$BD$1101,N$1,0)</f>
        <v>2.25</v>
      </c>
      <c r="O577" s="50">
        <f>VLOOKUP($A577,'[1]ma sp 02'!$A$5:$BD$1101,O$1,0)</f>
        <v>0.01</v>
      </c>
      <c r="P577" s="50">
        <f>VLOOKUP($A577,'[1]ma sp 02'!$A$5:$BD$1101,P$1,0)</f>
        <v>0</v>
      </c>
      <c r="Q577" s="50">
        <f>VLOOKUP($A577,'[1]ma sp 02'!$A$5:$BD$1101,Q$1,0)</f>
        <v>0</v>
      </c>
      <c r="R577" s="50">
        <f>VLOOKUP($A577,'[1]ma sp 02'!$A$5:$BD$1101,R$1,0)</f>
        <v>0</v>
      </c>
      <c r="S577" s="50">
        <f>VLOOKUP($A577,'[1]ma sp 02'!$A$5:$BD$1101,S$1,0)</f>
        <v>0</v>
      </c>
      <c r="T577" s="50">
        <f>VLOOKUP($A577,'[1]ma sp 02'!$A$5:$BD$1101,T$1,0)</f>
        <v>0</v>
      </c>
      <c r="U577" s="50">
        <f>VLOOKUP($A577,'[1]ma sp 02'!$A$5:$BD$1101,U$1,0)</f>
        <v>0</v>
      </c>
      <c r="V577" s="50">
        <f>VLOOKUP($A577,'[1]ma sp 02'!$A$5:$BD$1101,V$1,0)</f>
        <v>0</v>
      </c>
      <c r="W577" s="50">
        <f>VLOOKUP($A577,'[1]ma sp 02'!$A$5:$BD$1101,W$1,0)</f>
        <v>0</v>
      </c>
      <c r="X577" s="50">
        <f>COUNTIF(H577:W577, "&gt;0")</f>
        <v>5</v>
      </c>
      <c r="Y577" s="62"/>
      <c r="Z577" s="62"/>
      <c r="AA577" s="62"/>
      <c r="AB577" s="62"/>
      <c r="AC577" s="62"/>
      <c r="AD577" s="62"/>
      <c r="AE577" s="62" t="s">
        <v>1593</v>
      </c>
      <c r="AF577" s="62" t="s">
        <v>321</v>
      </c>
      <c r="AG577" s="71">
        <f>(0.012*1.4+0.012*1.4+0.075*0.925)*0.74</f>
        <v>7.6201500000000005E-2</v>
      </c>
      <c r="AH577" s="153">
        <f>(2.3/0.75/2)*0.73</f>
        <v>1.1193333333333333</v>
      </c>
      <c r="AI577" s="63">
        <f>(3/0.75/2)*0.73</f>
        <v>1.46</v>
      </c>
      <c r="AJ577" s="58">
        <v>9530</v>
      </c>
      <c r="AK577" s="58">
        <v>9530</v>
      </c>
      <c r="AL577" s="58" t="s">
        <v>117</v>
      </c>
      <c r="AM577" s="52" t="s">
        <v>60</v>
      </c>
      <c r="AN577" s="62">
        <v>270</v>
      </c>
      <c r="AO577" s="61" t="s">
        <v>332</v>
      </c>
      <c r="AP577" s="59" t="str">
        <f>IFERROR(VLOOKUP($A577,[2]Mssp!$A$5:$BE$1463,AP$4+1,0),0)</f>
        <v>1904579-1</v>
      </c>
      <c r="AQ577" s="59" t="str">
        <f>IFERROR(VLOOKUP($A577,[2]Mssp!$A$5:$BE$1463,AQ$4+1,0),0)</f>
        <v>1904578-2</v>
      </c>
      <c r="AR577" s="59" t="str">
        <f>IFERROR(VLOOKUP($A577,[2]Mssp!$A$5:$BE$1463,AR$4+1,0),0)</f>
        <v>1904578-3</v>
      </c>
      <c r="AS577" s="59" t="str">
        <f>IFERROR(VLOOKUP($A577,[2]Mssp!$A$5:$BE$1463,AS$4+1,0),0)</f>
        <v>1904579-4</v>
      </c>
      <c r="AT577" s="59" t="str">
        <f>IFERROR(VLOOKUP($A577,[2]Mssp!$A$5:$BE$1463,AT$4+1,0),0)</f>
        <v>1904579-5</v>
      </c>
      <c r="AU577" s="59">
        <f>IFERROR(VLOOKUP($A577,[2]Mssp!$A$5:$BE$1463,AU$4+1,0),0)</f>
        <v>0</v>
      </c>
      <c r="AV577" s="59">
        <f>IFERROR(VLOOKUP($A577,[2]Mssp!$A$5:$BE$1463,AV$4+1,0),0)</f>
        <v>0</v>
      </c>
      <c r="AW577" s="59">
        <f>IFERROR(VLOOKUP($A577,[2]Mssp!$A$5:$BE$1463,AW$4+1,0),0)</f>
        <v>0</v>
      </c>
      <c r="AX577" s="59">
        <f>IFERROR(VLOOKUP($A577,[2]Mssp!$A$5:$BE$1463,AX$4+1,0),0)</f>
        <v>0</v>
      </c>
      <c r="AY577" s="59" t="str">
        <f>IFERROR(VLOOKUP($A577,[2]Mssp!$A$5:$BE$1463,AY$4+2,0),0)</f>
        <v>540x860</v>
      </c>
      <c r="AZ577" s="59" t="str">
        <f>IFERROR(VLOOKUP($A577,[2]Mssp!$A$5:$BE$1463,AZ$4+2,0),0)</f>
        <v>G3</v>
      </c>
      <c r="BA577" s="141"/>
      <c r="BB577" s="61"/>
      <c r="BC577" s="165"/>
      <c r="BD577" s="166"/>
      <c r="BE577" s="167"/>
      <c r="BF577" s="168"/>
      <c r="BG577" s="167"/>
      <c r="BH577" s="168"/>
      <c r="BI577" s="169"/>
      <c r="BJ577" s="168"/>
      <c r="BK577" s="134"/>
      <c r="BL577" s="168"/>
      <c r="BM577" s="167"/>
      <c r="BN577" s="168"/>
      <c r="BO577" s="62"/>
      <c r="BP577" s="168"/>
      <c r="BQ577" s="168"/>
      <c r="BR577" s="168"/>
      <c r="BS577" s="135"/>
      <c r="BT577" s="168"/>
      <c r="BU577" s="167"/>
      <c r="BV577" s="168"/>
      <c r="BW577" s="167"/>
      <c r="BX577" s="168"/>
      <c r="BY577" s="167"/>
      <c r="BZ577" s="168"/>
      <c r="CA577" s="167"/>
      <c r="CB577" s="168"/>
      <c r="CC577" s="167"/>
      <c r="CD577" s="168"/>
      <c r="CE577" s="62"/>
      <c r="CF577" s="62"/>
      <c r="CG577" s="9"/>
      <c r="CH577" s="9"/>
      <c r="CI577" s="9"/>
      <c r="CJ577" s="9"/>
      <c r="CK577" s="9"/>
      <c r="CL577" s="9"/>
      <c r="CM577" s="9"/>
      <c r="CN577" s="9"/>
      <c r="CO577" s="9"/>
      <c r="CP577" s="9"/>
    </row>
    <row r="578" spans="1:94" ht="45" x14ac:dyDescent="0.25">
      <c r="A578" s="127" t="s">
        <v>1864</v>
      </c>
      <c r="B578" s="81" t="s">
        <v>1865</v>
      </c>
      <c r="C578" s="62"/>
      <c r="D578" s="84">
        <v>1</v>
      </c>
      <c r="E578" s="62" t="s">
        <v>1866</v>
      </c>
      <c r="F578" s="62">
        <v>7</v>
      </c>
      <c r="G578" s="62" t="s">
        <v>184</v>
      </c>
      <c r="H578" s="50">
        <f>VLOOKUP($A578,'[1]ma sp 02'!$A$5:$BD$1101,H$1,0)</f>
        <v>0</v>
      </c>
      <c r="I578" s="50">
        <f>VLOOKUP($A578,'[1]ma sp 02'!$A$5:$BD$1101,I$1,0)</f>
        <v>1.48</v>
      </c>
      <c r="J578" s="50">
        <f>VLOOKUP($A578,'[1]ma sp 02'!$A$5:$BD$1101,J$1,0)</f>
        <v>0.43</v>
      </c>
      <c r="K578" s="50">
        <f>VLOOKUP($A578,'[1]ma sp 02'!$A$5:$BD$1101,K$1,0)</f>
        <v>0.01</v>
      </c>
      <c r="L578" s="50">
        <f>VLOOKUP($A578,'[1]ma sp 02'!$A$5:$BD$1101,L$1,0)</f>
        <v>2.36</v>
      </c>
      <c r="M578" s="50">
        <f>VLOOKUP($A578,'[1]ma sp 02'!$A$5:$BD$1101,M$1,0)</f>
        <v>0.7</v>
      </c>
      <c r="N578" s="50">
        <f>VLOOKUP($A578,'[1]ma sp 02'!$A$5:$BD$1101,N$1,0)</f>
        <v>0</v>
      </c>
      <c r="O578" s="50">
        <f>VLOOKUP($A578,'[1]ma sp 02'!$A$5:$BD$1101,O$1,0)</f>
        <v>0</v>
      </c>
      <c r="P578" s="50">
        <f>VLOOKUP($A578,'[1]ma sp 02'!$A$5:$BD$1101,P$1,0)</f>
        <v>0.01</v>
      </c>
      <c r="Q578" s="50">
        <f>VLOOKUP($A578,'[1]ma sp 02'!$A$5:$BD$1101,Q$1,0)</f>
        <v>0.52</v>
      </c>
      <c r="R578" s="50">
        <f>VLOOKUP($A578,'[1]ma sp 02'!$A$5:$BD$1101,R$1,0)</f>
        <v>1</v>
      </c>
      <c r="S578" s="50">
        <f>VLOOKUP($A578,'[1]ma sp 02'!$A$5:$BD$1101,S$1,0)</f>
        <v>0</v>
      </c>
      <c r="T578" s="50">
        <f>VLOOKUP($A578,'[1]ma sp 02'!$A$5:$BD$1101,T$1,0)</f>
        <v>0</v>
      </c>
      <c r="U578" s="50">
        <f>VLOOKUP($A578,'[1]ma sp 02'!$A$5:$BD$1101,U$1,0)</f>
        <v>0</v>
      </c>
      <c r="V578" s="50">
        <f>VLOOKUP($A578,'[1]ma sp 02'!$A$5:$BD$1101,V$1,0)</f>
        <v>0</v>
      </c>
      <c r="W578" s="50">
        <f>VLOOKUP($A578,'[1]ma sp 02'!$A$5:$BD$1101,W$1,0)</f>
        <v>0</v>
      </c>
      <c r="X578" s="50"/>
      <c r="Y578" s="62"/>
      <c r="Z578" s="62"/>
      <c r="AA578" s="62"/>
      <c r="AB578" s="62"/>
      <c r="AC578" s="62"/>
      <c r="AD578" s="62"/>
      <c r="AE578" s="62" t="s">
        <v>1867</v>
      </c>
      <c r="AF578" s="62"/>
      <c r="AG578" s="71">
        <f>(0.03*0.91+0.04*0.91)*0.61</f>
        <v>3.8857000000000003E-2</v>
      </c>
      <c r="AH578" s="153">
        <f>(2.3/0.75/2)*0.6</f>
        <v>0.91999999999999993</v>
      </c>
      <c r="AI578" s="157"/>
      <c r="AJ578" s="123">
        <v>9530</v>
      </c>
      <c r="AK578" s="123"/>
      <c r="AL578" s="123">
        <v>2.3E-3</v>
      </c>
      <c r="AM578" s="147" t="s">
        <v>60</v>
      </c>
      <c r="AN578" s="123">
        <v>280</v>
      </c>
      <c r="AO578" s="147" t="s">
        <v>169</v>
      </c>
      <c r="AP578" s="59" t="str">
        <f>IFERROR(VLOOKUP($A578,[2]Mssp!$A$5:$BE$1463,AP$4+1,0),0)</f>
        <v>F124789G1-1</v>
      </c>
      <c r="AQ578" s="59" t="str">
        <f>IFERROR(VLOOKUP($A578,[2]Mssp!$A$5:$BE$1463,AQ$4+1,0),0)</f>
        <v>F124789-2</v>
      </c>
      <c r="AR578" s="59" t="str">
        <f>IFERROR(VLOOKUP($A578,[2]Mssp!$A$5:$BE$1463,AR$4+1,0),0)</f>
        <v>F124789-3</v>
      </c>
      <c r="AS578" s="59" t="str">
        <f>IFERROR(VLOOKUP($A578,[2]Mssp!$A$5:$BE$1463,AS$4+1,0),0)</f>
        <v>F124789-4</v>
      </c>
      <c r="AT578" s="59" t="str">
        <f>IFERROR(VLOOKUP($A578,[2]Mssp!$A$5:$BE$1463,AT$4+1,0),0)</f>
        <v>F124789-5</v>
      </c>
      <c r="AU578" s="59" t="str">
        <f>IFERROR(VLOOKUP($A578,[2]Mssp!$A$5:$BE$1463,AU$4+1,0),0)</f>
        <v>F124789-6</v>
      </c>
      <c r="AV578" s="59" t="str">
        <f>IFERROR(VLOOKUP($A578,[2]Mssp!$A$5:$BE$1463,AV$4+1,0),0)</f>
        <v>F124789-7</v>
      </c>
      <c r="AW578" s="59">
        <f>IFERROR(VLOOKUP($A578,[2]Mssp!$A$5:$BE$1463,AW$4+1,0),0)</f>
        <v>0</v>
      </c>
      <c r="AX578" s="59">
        <f>IFERROR(VLOOKUP($A578,[2]Mssp!$A$5:$BE$1463,AX$4+1,0),0)</f>
        <v>0</v>
      </c>
      <c r="AY578" s="59" t="str">
        <f>IFERROR(VLOOKUP($A578,[2]Mssp!$A$5:$BE$1463,AY$4+2,0),0)</f>
        <v>560*870</v>
      </c>
      <c r="AZ578" s="59" t="str">
        <f>IFERROR(VLOOKUP($A578,[2]Mssp!$A$5:$BE$1463,AZ$4+2,0),0)</f>
        <v>Q2</v>
      </c>
      <c r="BA578" s="141"/>
      <c r="BB578" s="61" t="s">
        <v>223</v>
      </c>
      <c r="BC578" s="165"/>
      <c r="BD578" s="166"/>
      <c r="BE578" s="167"/>
      <c r="BF578" s="168"/>
      <c r="BG578" s="167"/>
      <c r="BH578" s="168"/>
      <c r="BI578" s="169"/>
      <c r="BJ578" s="168"/>
      <c r="BK578" s="134"/>
      <c r="BL578" s="168"/>
      <c r="BM578" s="167"/>
      <c r="BN578" s="168"/>
      <c r="BO578" s="62"/>
      <c r="BP578" s="168"/>
      <c r="BQ578" s="168"/>
      <c r="BR578" s="168"/>
      <c r="BS578" s="135"/>
      <c r="BT578" s="168"/>
      <c r="BU578" s="167"/>
      <c r="BV578" s="168"/>
      <c r="BW578" s="167"/>
      <c r="BX578" s="168"/>
      <c r="BY578" s="167"/>
      <c r="BZ578" s="168"/>
      <c r="CA578" s="167"/>
      <c r="CB578" s="168"/>
      <c r="CC578" s="167"/>
      <c r="CD578" s="168"/>
      <c r="CE578" s="62"/>
      <c r="CF578" s="62"/>
      <c r="CG578" s="9"/>
      <c r="CH578" s="9"/>
      <c r="CI578" s="9"/>
      <c r="CJ578" s="9"/>
      <c r="CK578" s="9"/>
      <c r="CL578" s="9"/>
      <c r="CM578" s="9"/>
      <c r="CN578" s="9"/>
      <c r="CO578" s="9"/>
      <c r="CP578" s="9"/>
    </row>
    <row r="579" spans="1:94" ht="30" x14ac:dyDescent="0.25">
      <c r="A579" s="127" t="s">
        <v>1868</v>
      </c>
      <c r="B579" s="51" t="s">
        <v>1869</v>
      </c>
      <c r="C579" s="62"/>
      <c r="D579" s="84">
        <v>4</v>
      </c>
      <c r="E579" s="62" t="s">
        <v>192</v>
      </c>
      <c r="F579" s="62">
        <v>7</v>
      </c>
      <c r="G579" s="62" t="s">
        <v>184</v>
      </c>
      <c r="H579" s="50">
        <f>VLOOKUP($A579,'[1]ma sp 02'!$A$5:$BD$1101,H$1,0)</f>
        <v>7.0000000000000007E-2</v>
      </c>
      <c r="I579" s="50">
        <f>VLOOKUP($A579,'[1]ma sp 02'!$A$5:$BD$1101,I$1,0)</f>
        <v>2.65</v>
      </c>
      <c r="J579" s="50">
        <f>VLOOKUP($A579,'[1]ma sp 02'!$A$5:$BD$1101,J$1,0)</f>
        <v>0</v>
      </c>
      <c r="K579" s="50">
        <f>VLOOKUP($A579,'[1]ma sp 02'!$A$5:$BD$1101,K$1,0)</f>
        <v>0.01</v>
      </c>
      <c r="L579" s="50">
        <f>VLOOKUP($A579,'[1]ma sp 02'!$A$5:$BD$1101,L$1,0)</f>
        <v>1.47</v>
      </c>
      <c r="M579" s="50">
        <f>VLOOKUP($A579,'[1]ma sp 02'!$A$5:$BD$1101,M$1,0)</f>
        <v>1.76</v>
      </c>
      <c r="N579" s="50">
        <f>VLOOKUP($A579,'[1]ma sp 02'!$A$5:$BD$1101,N$1,0)</f>
        <v>0</v>
      </c>
      <c r="O579" s="50">
        <f>VLOOKUP($A579,'[1]ma sp 02'!$A$5:$BD$1101,O$1,0)</f>
        <v>1.54</v>
      </c>
      <c r="P579" s="50">
        <f>VLOOKUP($A579,'[1]ma sp 02'!$A$5:$BD$1101,P$1,0)</f>
        <v>1.1399999999999999</v>
      </c>
      <c r="Q579" s="50">
        <f>VLOOKUP($A579,'[1]ma sp 02'!$A$5:$BD$1101,Q$1,0)</f>
        <v>0</v>
      </c>
      <c r="R579" s="50">
        <f>VLOOKUP($A579,'[1]ma sp 02'!$A$5:$BD$1101,R$1,0)</f>
        <v>0</v>
      </c>
      <c r="S579" s="50">
        <f>VLOOKUP($A579,'[1]ma sp 02'!$A$5:$BD$1101,S$1,0)</f>
        <v>0</v>
      </c>
      <c r="T579" s="50">
        <f>VLOOKUP($A579,'[1]ma sp 02'!$A$5:$BD$1101,T$1,0)</f>
        <v>0</v>
      </c>
      <c r="U579" s="50">
        <f>VLOOKUP($A579,'[1]ma sp 02'!$A$5:$BD$1101,U$1,0)</f>
        <v>0</v>
      </c>
      <c r="V579" s="50">
        <f>VLOOKUP($A579,'[1]ma sp 02'!$A$5:$BD$1101,V$1,0)</f>
        <v>0</v>
      </c>
      <c r="W579" s="50">
        <f>VLOOKUP($A579,'[1]ma sp 02'!$A$5:$BD$1101,W$1,0)</f>
        <v>0</v>
      </c>
      <c r="X579" s="50"/>
      <c r="Y579" s="62"/>
      <c r="Z579" s="62"/>
      <c r="AA579" s="62"/>
      <c r="AB579" s="62"/>
      <c r="AC579" s="62"/>
      <c r="AD579" s="62"/>
      <c r="AE579" s="62" t="s">
        <v>193</v>
      </c>
      <c r="AF579" s="62"/>
      <c r="AG579" s="53">
        <f>(0.02*0.91+0.035*0.91)*0.64</f>
        <v>3.2032000000000005E-2</v>
      </c>
      <c r="AH579" s="155">
        <f>(2.3/0.75/2)*0.63</f>
        <v>0.96599999999999997</v>
      </c>
      <c r="AI579" s="54"/>
      <c r="AJ579" s="62"/>
      <c r="AK579" s="62">
        <v>9530</v>
      </c>
      <c r="AL579" s="62">
        <v>2.3E-3</v>
      </c>
      <c r="AM579" s="61" t="s">
        <v>1489</v>
      </c>
      <c r="AN579" s="62">
        <v>155</v>
      </c>
      <c r="AO579" s="61" t="s">
        <v>195</v>
      </c>
      <c r="AP579" s="59" t="str">
        <f>IFERROR(VLOOKUP($A579,[2]Mssp!$A$5:$BE$1463,AP$4+1,0),0)</f>
        <v>F124739-1</v>
      </c>
      <c r="AQ579" s="59" t="str">
        <f>IFERROR(VLOOKUP($A579,[2]Mssp!$A$5:$BE$1463,AQ$4+1,0),0)</f>
        <v>F124739-2</v>
      </c>
      <c r="AR579" s="59" t="str">
        <f>IFERROR(VLOOKUP($A579,[2]Mssp!$A$5:$BE$1463,AR$4+1,0),0)</f>
        <v>F124739-3</v>
      </c>
      <c r="AS579" s="59" t="str">
        <f>IFERROR(VLOOKUP($A579,[2]Mssp!$A$5:$BE$1463,AS$4+1,0),0)</f>
        <v>F124739-4</v>
      </c>
      <c r="AT579" s="59" t="str">
        <f>IFERROR(VLOOKUP($A579,[2]Mssp!$A$5:$BE$1463,AT$4+1,0),0)</f>
        <v>F124739-5</v>
      </c>
      <c r="AU579" s="59" t="str">
        <f>IFERROR(VLOOKUP($A579,[2]Mssp!$A$5:$BE$1463,AU$4+1,0),0)</f>
        <v>F124739-6</v>
      </c>
      <c r="AV579" s="59" t="str">
        <f>IFERROR(VLOOKUP($A579,[2]Mssp!$A$5:$BE$1463,AV$4+1,0),0)</f>
        <v>F124739-7</v>
      </c>
      <c r="AW579" s="59">
        <f>IFERROR(VLOOKUP($A579,[2]Mssp!$A$5:$BE$1463,AW$4+1,0),0)</f>
        <v>0</v>
      </c>
      <c r="AX579" s="59">
        <f>IFERROR(VLOOKUP($A579,[2]Mssp!$A$5:$BE$1463,AX$4+1,0),0)</f>
        <v>0</v>
      </c>
      <c r="AY579" s="59" t="str">
        <f>IFERROR(VLOOKUP($A579,[2]Mssp!$A$5:$BE$1463,AY$4+2,0),0)</f>
        <v>462x870</v>
      </c>
      <c r="AZ579" s="59" t="str">
        <f>IFERROR(VLOOKUP($A579,[2]Mssp!$A$5:$BE$1463,AZ$4+2,0),0)</f>
        <v>A3</v>
      </c>
      <c r="BA579" s="141"/>
      <c r="BB579" s="61"/>
      <c r="BC579" s="165"/>
      <c r="BD579" s="166"/>
      <c r="BE579" s="167"/>
      <c r="BF579" s="168"/>
      <c r="BG579" s="167"/>
      <c r="BH579" s="168"/>
      <c r="BI579" s="169"/>
      <c r="BJ579" s="168"/>
      <c r="BK579" s="134"/>
      <c r="BL579" s="168"/>
      <c r="BM579" s="167"/>
      <c r="BN579" s="168"/>
      <c r="BO579" s="62"/>
      <c r="BP579" s="168"/>
      <c r="BQ579" s="168"/>
      <c r="BR579" s="168"/>
      <c r="BS579" s="135"/>
      <c r="BT579" s="168"/>
      <c r="BU579" s="167"/>
      <c r="BV579" s="168"/>
      <c r="BW579" s="167"/>
      <c r="BX579" s="168"/>
      <c r="BY579" s="167"/>
      <c r="BZ579" s="168"/>
      <c r="CA579" s="167"/>
      <c r="CB579" s="168"/>
      <c r="CC579" s="167"/>
      <c r="CD579" s="168"/>
      <c r="CE579" s="62"/>
      <c r="CF579" s="62"/>
      <c r="CG579" s="9"/>
      <c r="CH579" s="9"/>
      <c r="CI579" s="9"/>
      <c r="CJ579" s="9"/>
      <c r="CK579" s="9"/>
      <c r="CL579" s="9"/>
      <c r="CM579" s="9"/>
      <c r="CN579" s="9"/>
      <c r="CO579" s="9"/>
      <c r="CP579" s="9"/>
    </row>
    <row r="580" spans="1:94" ht="30" x14ac:dyDescent="0.25">
      <c r="A580" s="127" t="s">
        <v>1870</v>
      </c>
      <c r="B580" s="51" t="s">
        <v>1871</v>
      </c>
      <c r="C580" s="62"/>
      <c r="D580" s="84">
        <v>4</v>
      </c>
      <c r="E580" s="62" t="s">
        <v>192</v>
      </c>
      <c r="F580" s="62">
        <v>7</v>
      </c>
      <c r="G580" s="62" t="s">
        <v>184</v>
      </c>
      <c r="H580" s="50">
        <f>VLOOKUP($A580,'[1]ma sp 02'!$A$5:$BD$1101,H$1,0)</f>
        <v>0.72</v>
      </c>
      <c r="I580" s="50">
        <f>VLOOKUP($A580,'[1]ma sp 02'!$A$5:$BD$1101,I$1,0)</f>
        <v>4.82</v>
      </c>
      <c r="J580" s="50">
        <f>VLOOKUP($A580,'[1]ma sp 02'!$A$5:$BD$1101,J$1,0)</f>
        <v>0.21</v>
      </c>
      <c r="K580" s="50">
        <f>VLOOKUP($A580,'[1]ma sp 02'!$A$5:$BD$1101,K$1,0)</f>
        <v>0.01</v>
      </c>
      <c r="L580" s="50">
        <f>VLOOKUP($A580,'[1]ma sp 02'!$A$5:$BD$1101,L$1,0)</f>
        <v>1.87</v>
      </c>
      <c r="M580" s="50">
        <f>VLOOKUP($A580,'[1]ma sp 02'!$A$5:$BD$1101,M$1,0)</f>
        <v>1.72</v>
      </c>
      <c r="N580" s="50">
        <f>VLOOKUP($A580,'[1]ma sp 02'!$A$5:$BD$1101,N$1,0)</f>
        <v>0</v>
      </c>
      <c r="O580" s="50">
        <f>VLOOKUP($A580,'[1]ma sp 02'!$A$5:$BD$1101,O$1,0)</f>
        <v>7.0000000000000007E-2</v>
      </c>
      <c r="P580" s="50">
        <f>VLOOKUP($A580,'[1]ma sp 02'!$A$5:$BD$1101,P$1,0)</f>
        <v>0.28000000000000003</v>
      </c>
      <c r="Q580" s="50">
        <f>VLOOKUP($A580,'[1]ma sp 02'!$A$5:$BD$1101,Q$1,0)</f>
        <v>0.01</v>
      </c>
      <c r="R580" s="50">
        <f>VLOOKUP($A580,'[1]ma sp 02'!$A$5:$BD$1101,R$1,0)</f>
        <v>0</v>
      </c>
      <c r="S580" s="50">
        <f>VLOOKUP($A580,'[1]ma sp 02'!$A$5:$BD$1101,S$1,0)</f>
        <v>0</v>
      </c>
      <c r="T580" s="50">
        <f>VLOOKUP($A580,'[1]ma sp 02'!$A$5:$BD$1101,T$1,0)</f>
        <v>0</v>
      </c>
      <c r="U580" s="50">
        <f>VLOOKUP($A580,'[1]ma sp 02'!$A$5:$BD$1101,U$1,0)</f>
        <v>0</v>
      </c>
      <c r="V580" s="50">
        <f>VLOOKUP($A580,'[1]ma sp 02'!$A$5:$BD$1101,V$1,0)</f>
        <v>0</v>
      </c>
      <c r="W580" s="50">
        <f>VLOOKUP($A580,'[1]ma sp 02'!$A$5:$BD$1101,W$1,0)</f>
        <v>0</v>
      </c>
      <c r="X580" s="50"/>
      <c r="Y580" s="62"/>
      <c r="Z580" s="62"/>
      <c r="AA580" s="62"/>
      <c r="AB580" s="62"/>
      <c r="AC580" s="62"/>
      <c r="AD580" s="62"/>
      <c r="AE580" s="62" t="s">
        <v>193</v>
      </c>
      <c r="AF580" s="62"/>
      <c r="AG580" s="53">
        <f>(0.02*0.91+0.035*0.91)*0.64</f>
        <v>3.2032000000000005E-2</v>
      </c>
      <c r="AH580" s="155">
        <f>(2.3/0.75/2)*0.63</f>
        <v>0.96599999999999997</v>
      </c>
      <c r="AI580" s="54"/>
      <c r="AJ580" s="62"/>
      <c r="AK580" s="62">
        <v>9530</v>
      </c>
      <c r="AL580" s="62">
        <v>2.3E-3</v>
      </c>
      <c r="AM580" s="61" t="s">
        <v>1489</v>
      </c>
      <c r="AN580" s="62"/>
      <c r="AO580" s="61" t="s">
        <v>195</v>
      </c>
      <c r="AP580" s="59" t="str">
        <f>IFERROR(VLOOKUP($A580,[2]Mssp!$A$5:$BE$1463,AP$4+1,0),0)</f>
        <v>F124740-1</v>
      </c>
      <c r="AQ580" s="59" t="str">
        <f>IFERROR(VLOOKUP($A580,[2]Mssp!$A$5:$BE$1463,AQ$4+1,0),0)</f>
        <v>F124739-2</v>
      </c>
      <c r="AR580" s="59" t="str">
        <f>IFERROR(VLOOKUP($A580,[2]Mssp!$A$5:$BE$1463,AR$4+1,0),0)</f>
        <v>F124740-3</v>
      </c>
      <c r="AS580" s="59" t="str">
        <f>IFERROR(VLOOKUP($A580,[2]Mssp!$A$5:$BE$1463,AS$4+1,0),0)</f>
        <v>F124740-4</v>
      </c>
      <c r="AT580" s="59" t="str">
        <f>IFERROR(VLOOKUP($A580,[2]Mssp!$A$5:$BE$1463,AT$4+1,0),0)</f>
        <v>F124740-5</v>
      </c>
      <c r="AU580" s="59" t="str">
        <f>IFERROR(VLOOKUP($A580,[2]Mssp!$A$5:$BE$1463,AU$4+1,0),0)</f>
        <v>F124740-6</v>
      </c>
      <c r="AV580" s="59" t="str">
        <f>IFERROR(VLOOKUP($A580,[2]Mssp!$A$5:$BE$1463,AV$4+1,0),0)</f>
        <v>F124739-7</v>
      </c>
      <c r="AW580" s="59">
        <f>IFERROR(VLOOKUP($A580,[2]Mssp!$A$5:$BE$1463,AW$4+1,0),0)</f>
        <v>0</v>
      </c>
      <c r="AX580" s="59">
        <f>IFERROR(VLOOKUP($A580,[2]Mssp!$A$5:$BE$1463,AX$4+1,0),0)</f>
        <v>0</v>
      </c>
      <c r="AY580" s="59" t="str">
        <f>IFERROR(VLOOKUP($A580,[2]Mssp!$A$5:$BE$1463,AY$4+2,0),0)</f>
        <v>462x870</v>
      </c>
      <c r="AZ580" s="59" t="str">
        <f>IFERROR(VLOOKUP($A580,[2]Mssp!$A$5:$BE$1463,AZ$4+2,0),0)</f>
        <v>A3</v>
      </c>
      <c r="BA580" s="141"/>
      <c r="BB580" s="61"/>
      <c r="BC580" s="165"/>
      <c r="BD580" s="166"/>
      <c r="BE580" s="167"/>
      <c r="BF580" s="168"/>
      <c r="BG580" s="167"/>
      <c r="BH580" s="168"/>
      <c r="BI580" s="169"/>
      <c r="BJ580" s="168"/>
      <c r="BK580" s="134"/>
      <c r="BL580" s="168"/>
      <c r="BM580" s="167"/>
      <c r="BN580" s="168"/>
      <c r="BO580" s="62"/>
      <c r="BP580" s="168"/>
      <c r="BQ580" s="168"/>
      <c r="BR580" s="168"/>
      <c r="BS580" s="135"/>
      <c r="BT580" s="168"/>
      <c r="BU580" s="167"/>
      <c r="BV580" s="168"/>
      <c r="BW580" s="167"/>
      <c r="BX580" s="168"/>
      <c r="BY580" s="167"/>
      <c r="BZ580" s="168"/>
      <c r="CA580" s="167"/>
      <c r="CB580" s="168"/>
      <c r="CC580" s="167"/>
      <c r="CD580" s="168"/>
      <c r="CE580" s="62"/>
      <c r="CF580" s="62"/>
      <c r="CG580" s="9"/>
      <c r="CH580" s="9"/>
      <c r="CI580" s="9"/>
      <c r="CJ580" s="9"/>
      <c r="CK580" s="9"/>
      <c r="CL580" s="9"/>
      <c r="CM580" s="9"/>
      <c r="CN580" s="9"/>
      <c r="CO580" s="9"/>
      <c r="CP580" s="9"/>
    </row>
    <row r="581" spans="1:94" ht="30" x14ac:dyDescent="0.25">
      <c r="A581" s="127" t="s">
        <v>1872</v>
      </c>
      <c r="B581" s="51" t="s">
        <v>1873</v>
      </c>
      <c r="C581" s="62"/>
      <c r="D581" s="84">
        <v>4</v>
      </c>
      <c r="E581" s="62" t="s">
        <v>192</v>
      </c>
      <c r="F581" s="62">
        <v>7</v>
      </c>
      <c r="G581" s="62" t="s">
        <v>184</v>
      </c>
      <c r="H581" s="50">
        <f>VLOOKUP($A581,'[1]ma sp 02'!$A$5:$BD$1101,H$1,0)</f>
        <v>0.01</v>
      </c>
      <c r="I581" s="50">
        <f>VLOOKUP($A581,'[1]ma sp 02'!$A$5:$BD$1101,I$1,0)</f>
        <v>3.83</v>
      </c>
      <c r="J581" s="50">
        <f>VLOOKUP($A581,'[1]ma sp 02'!$A$5:$BD$1101,J$1,0)</f>
        <v>7.0000000000000007E-2</v>
      </c>
      <c r="K581" s="50">
        <f>VLOOKUP($A581,'[1]ma sp 02'!$A$5:$BD$1101,K$1,0)</f>
        <v>1.84</v>
      </c>
      <c r="L581" s="50">
        <f>VLOOKUP($A581,'[1]ma sp 02'!$A$5:$BD$1101,L$1,0)</f>
        <v>1.25</v>
      </c>
      <c r="M581" s="50">
        <f>VLOOKUP($A581,'[1]ma sp 02'!$A$5:$BD$1101,M$1,0)</f>
        <v>2.06</v>
      </c>
      <c r="N581" s="50">
        <f>VLOOKUP($A581,'[1]ma sp 02'!$A$5:$BD$1101,N$1,0)</f>
        <v>0</v>
      </c>
      <c r="O581" s="50">
        <f>VLOOKUP($A581,'[1]ma sp 02'!$A$5:$BD$1101,O$1,0)</f>
        <v>1.4</v>
      </c>
      <c r="P581" s="50">
        <f>VLOOKUP($A581,'[1]ma sp 02'!$A$5:$BD$1101,P$1,0)</f>
        <v>0.03</v>
      </c>
      <c r="Q581" s="50">
        <f>VLOOKUP($A581,'[1]ma sp 02'!$A$5:$BD$1101,Q$1,0)</f>
        <v>0.44</v>
      </c>
      <c r="R581" s="50">
        <f>VLOOKUP($A581,'[1]ma sp 02'!$A$5:$BD$1101,R$1,0)</f>
        <v>0</v>
      </c>
      <c r="S581" s="50">
        <f>VLOOKUP($A581,'[1]ma sp 02'!$A$5:$BD$1101,S$1,0)</f>
        <v>0</v>
      </c>
      <c r="T581" s="50">
        <f>VLOOKUP($A581,'[1]ma sp 02'!$A$5:$BD$1101,T$1,0)</f>
        <v>0</v>
      </c>
      <c r="U581" s="50">
        <f>VLOOKUP($A581,'[1]ma sp 02'!$A$5:$BD$1101,U$1,0)</f>
        <v>0</v>
      </c>
      <c r="V581" s="50">
        <f>VLOOKUP($A581,'[1]ma sp 02'!$A$5:$BD$1101,V$1,0)</f>
        <v>0</v>
      </c>
      <c r="W581" s="50">
        <f>VLOOKUP($A581,'[1]ma sp 02'!$A$5:$BD$1101,W$1,0)</f>
        <v>0</v>
      </c>
      <c r="X581" s="50"/>
      <c r="Y581" s="62"/>
      <c r="Z581" s="62"/>
      <c r="AA581" s="62"/>
      <c r="AB581" s="62"/>
      <c r="AC581" s="62"/>
      <c r="AD581" s="62"/>
      <c r="AE581" s="62" t="s">
        <v>193</v>
      </c>
      <c r="AF581" s="62"/>
      <c r="AG581" s="53">
        <f>(0.02*0.91+0.035*0.91)*0.64</f>
        <v>3.2032000000000005E-2</v>
      </c>
      <c r="AH581" s="155">
        <f>(2.3/0.75/2)*0.63</f>
        <v>0.96599999999999997</v>
      </c>
      <c r="AI581" s="171"/>
      <c r="AJ581" s="125"/>
      <c r="AK581" s="125">
        <v>9530</v>
      </c>
      <c r="AL581" s="125">
        <v>2.3E-3</v>
      </c>
      <c r="AM581" s="144" t="s">
        <v>1489</v>
      </c>
      <c r="AN581" s="125"/>
      <c r="AO581" s="144" t="s">
        <v>195</v>
      </c>
      <c r="AP581" s="59" t="str">
        <f>IFERROR(VLOOKUP($A581,[2]Mssp!$A$5:$BE$1463,AP$4+1,0),0)</f>
        <v>F124741-1</v>
      </c>
      <c r="AQ581" s="59" t="str">
        <f>IFERROR(VLOOKUP($A581,[2]Mssp!$A$5:$BE$1463,AQ$4+1,0),0)</f>
        <v>F124739-2</v>
      </c>
      <c r="AR581" s="59" t="str">
        <f>IFERROR(VLOOKUP($A581,[2]Mssp!$A$5:$BE$1463,AR$4+1,0),0)</f>
        <v>F124741-3</v>
      </c>
      <c r="AS581" s="59" t="str">
        <f>IFERROR(VLOOKUP($A581,[2]Mssp!$A$5:$BE$1463,AS$4+1,0),0)</f>
        <v>F124741-4</v>
      </c>
      <c r="AT581" s="59" t="str">
        <f>IFERROR(VLOOKUP($A581,[2]Mssp!$A$5:$BE$1463,AT$4+1,0),0)</f>
        <v>F124741-5</v>
      </c>
      <c r="AU581" s="59" t="str">
        <f>IFERROR(VLOOKUP($A581,[2]Mssp!$A$5:$BE$1463,AU$4+1,0),0)</f>
        <v>F124741-6</v>
      </c>
      <c r="AV581" s="59" t="str">
        <f>IFERROR(VLOOKUP($A581,[2]Mssp!$A$5:$BE$1463,AV$4+1,0),0)</f>
        <v>F124739-7</v>
      </c>
      <c r="AW581" s="59">
        <f>IFERROR(VLOOKUP($A581,[2]Mssp!$A$5:$BE$1463,AW$4+1,0),0)</f>
        <v>0</v>
      </c>
      <c r="AX581" s="59">
        <f>IFERROR(VLOOKUP($A581,[2]Mssp!$A$5:$BE$1463,AX$4+1,0),0)</f>
        <v>0</v>
      </c>
      <c r="AY581" s="59" t="str">
        <f>IFERROR(VLOOKUP($A581,[2]Mssp!$A$5:$BE$1463,AY$4+2,0),0)</f>
        <v>462x870</v>
      </c>
      <c r="AZ581" s="59" t="str">
        <f>IFERROR(VLOOKUP($A581,[2]Mssp!$A$5:$BE$1463,AZ$4+2,0),0)</f>
        <v>A3</v>
      </c>
      <c r="BA581" s="141"/>
      <c r="BB581" s="61"/>
      <c r="BC581" s="165"/>
      <c r="BD581" s="166"/>
      <c r="BE581" s="167"/>
      <c r="BF581" s="168"/>
      <c r="BG581" s="167"/>
      <c r="BH581" s="168"/>
      <c r="BI581" s="169"/>
      <c r="BJ581" s="168"/>
      <c r="BK581" s="134"/>
      <c r="BL581" s="168"/>
      <c r="BM581" s="167"/>
      <c r="BN581" s="168"/>
      <c r="BO581" s="62"/>
      <c r="BP581" s="168"/>
      <c r="BQ581" s="168"/>
      <c r="BR581" s="168"/>
      <c r="BS581" s="135"/>
      <c r="BT581" s="168"/>
      <c r="BU581" s="167"/>
      <c r="BV581" s="168"/>
      <c r="BW581" s="167"/>
      <c r="BX581" s="168"/>
      <c r="BY581" s="167"/>
      <c r="BZ581" s="168"/>
      <c r="CA581" s="167"/>
      <c r="CB581" s="168"/>
      <c r="CC581" s="167"/>
      <c r="CD581" s="168"/>
      <c r="CE581" s="62"/>
      <c r="CF581" s="62"/>
      <c r="CG581" s="9"/>
      <c r="CH581" s="9"/>
      <c r="CI581" s="9"/>
      <c r="CJ581" s="9"/>
      <c r="CK581" s="9"/>
      <c r="CL581" s="9"/>
      <c r="CM581" s="9"/>
      <c r="CN581" s="9"/>
      <c r="CO581" s="9"/>
      <c r="CP581" s="9"/>
    </row>
    <row r="582" spans="1:94" ht="30" x14ac:dyDescent="0.25">
      <c r="A582" s="127" t="s">
        <v>1874</v>
      </c>
      <c r="B582" s="51" t="s">
        <v>1875</v>
      </c>
      <c r="C582" s="62"/>
      <c r="D582" s="84">
        <v>4</v>
      </c>
      <c r="E582" s="62" t="s">
        <v>192</v>
      </c>
      <c r="F582" s="62">
        <v>7</v>
      </c>
      <c r="G582" s="62" t="s">
        <v>184</v>
      </c>
      <c r="H582" s="50">
        <f>VLOOKUP($A582,'[1]ma sp 02'!$A$5:$BD$1101,H$1,0)</f>
        <v>0.01</v>
      </c>
      <c r="I582" s="50">
        <f>VLOOKUP($A582,'[1]ma sp 02'!$A$5:$BD$1101,I$1,0)</f>
        <v>3.4</v>
      </c>
      <c r="J582" s="50">
        <f>VLOOKUP($A582,'[1]ma sp 02'!$A$5:$BD$1101,J$1,0)</f>
        <v>0.56999999999999995</v>
      </c>
      <c r="K582" s="50">
        <f>VLOOKUP($A582,'[1]ma sp 02'!$A$5:$BD$1101,K$1,0)</f>
        <v>1.1200000000000001</v>
      </c>
      <c r="L582" s="50">
        <f>VLOOKUP($A582,'[1]ma sp 02'!$A$5:$BD$1101,L$1,0)</f>
        <v>5.9</v>
      </c>
      <c r="M582" s="50">
        <f>VLOOKUP($A582,'[1]ma sp 02'!$A$5:$BD$1101,M$1,0)</f>
        <v>1.44</v>
      </c>
      <c r="N582" s="50">
        <f>VLOOKUP($A582,'[1]ma sp 02'!$A$5:$BD$1101,N$1,0)</f>
        <v>0</v>
      </c>
      <c r="O582" s="50">
        <f>VLOOKUP($A582,'[1]ma sp 02'!$A$5:$BD$1101,O$1,0)</f>
        <v>0.01</v>
      </c>
      <c r="P582" s="50">
        <f>VLOOKUP($A582,'[1]ma sp 02'!$A$5:$BD$1101,P$1,0)</f>
        <v>0</v>
      </c>
      <c r="Q582" s="50">
        <f>VLOOKUP($A582,'[1]ma sp 02'!$A$5:$BD$1101,Q$1,0)</f>
        <v>2.2799999999999998</v>
      </c>
      <c r="R582" s="50">
        <f>VLOOKUP($A582,'[1]ma sp 02'!$A$5:$BD$1101,R$1,0)</f>
        <v>0</v>
      </c>
      <c r="S582" s="50">
        <f>VLOOKUP($A582,'[1]ma sp 02'!$A$5:$BD$1101,S$1,0)</f>
        <v>0</v>
      </c>
      <c r="T582" s="50">
        <f>VLOOKUP($A582,'[1]ma sp 02'!$A$5:$BD$1101,T$1,0)</f>
        <v>0</v>
      </c>
      <c r="U582" s="50">
        <f>VLOOKUP($A582,'[1]ma sp 02'!$A$5:$BD$1101,U$1,0)</f>
        <v>0</v>
      </c>
      <c r="V582" s="50">
        <f>VLOOKUP($A582,'[1]ma sp 02'!$A$5:$BD$1101,V$1,0)</f>
        <v>0</v>
      </c>
      <c r="W582" s="50">
        <f>VLOOKUP($A582,'[1]ma sp 02'!$A$5:$BD$1101,W$1,0)</f>
        <v>0</v>
      </c>
      <c r="X582" s="50"/>
      <c r="Y582" s="62"/>
      <c r="Z582" s="62"/>
      <c r="AA582" s="62"/>
      <c r="AB582" s="62"/>
      <c r="AC582" s="62"/>
      <c r="AD582" s="62"/>
      <c r="AE582" s="62" t="s">
        <v>193</v>
      </c>
      <c r="AF582" s="62"/>
      <c r="AG582" s="53">
        <f>(0.02*0.91+0.035*0.91)*0.64</f>
        <v>3.2032000000000005E-2</v>
      </c>
      <c r="AH582" s="155">
        <f>(2.3/0.75/2)*0.63</f>
        <v>0.96599999999999997</v>
      </c>
      <c r="AI582" s="54"/>
      <c r="AJ582" s="62"/>
      <c r="AK582" s="62">
        <v>9530</v>
      </c>
      <c r="AL582" s="62">
        <v>2.3E-3</v>
      </c>
      <c r="AM582" s="61" t="s">
        <v>1489</v>
      </c>
      <c r="AN582" s="62"/>
      <c r="AO582" s="61" t="s">
        <v>195</v>
      </c>
      <c r="AP582" s="59" t="str">
        <f>IFERROR(VLOOKUP($A582,[2]Mssp!$A$5:$BE$1463,AP$4+1,0),0)</f>
        <v>F124742-1</v>
      </c>
      <c r="AQ582" s="59" t="str">
        <f>IFERROR(VLOOKUP($A582,[2]Mssp!$A$5:$BE$1463,AQ$4+1,0),0)</f>
        <v>F124739-2</v>
      </c>
      <c r="AR582" s="59" t="str">
        <f>IFERROR(VLOOKUP($A582,[2]Mssp!$A$5:$BE$1463,AR$4+1,0),0)</f>
        <v>F124742-3</v>
      </c>
      <c r="AS582" s="59" t="str">
        <f>IFERROR(VLOOKUP($A582,[2]Mssp!$A$5:$BE$1463,AS$4+1,0),0)</f>
        <v>F124742-4</v>
      </c>
      <c r="AT582" s="59" t="str">
        <f>IFERROR(VLOOKUP($A582,[2]Mssp!$A$5:$BE$1463,AT$4+1,0),0)</f>
        <v>F124742-5</v>
      </c>
      <c r="AU582" s="59" t="str">
        <f>IFERROR(VLOOKUP($A582,[2]Mssp!$A$5:$BE$1463,AU$4+1,0),0)</f>
        <v>F124742-6</v>
      </c>
      <c r="AV582" s="59" t="str">
        <f>IFERROR(VLOOKUP($A582,[2]Mssp!$A$5:$BE$1463,AV$4+1,0),0)</f>
        <v>F124739-7</v>
      </c>
      <c r="AW582" s="59">
        <f>IFERROR(VLOOKUP($A582,[2]Mssp!$A$5:$BE$1463,AW$4+1,0),0)</f>
        <v>0</v>
      </c>
      <c r="AX582" s="59">
        <f>IFERROR(VLOOKUP($A582,[2]Mssp!$A$5:$BE$1463,AX$4+1,0),0)</f>
        <v>0</v>
      </c>
      <c r="AY582" s="59" t="str">
        <f>IFERROR(VLOOKUP($A582,[2]Mssp!$A$5:$BE$1463,AY$4+2,0),0)</f>
        <v>462x870</v>
      </c>
      <c r="AZ582" s="59" t="str">
        <f>IFERROR(VLOOKUP($A582,[2]Mssp!$A$5:$BE$1463,AZ$4+2,0),0)</f>
        <v>A3</v>
      </c>
      <c r="BA582" s="141"/>
      <c r="BB582" s="61"/>
      <c r="BC582" s="165"/>
      <c r="BD582" s="166"/>
      <c r="BE582" s="167"/>
      <c r="BF582" s="168"/>
      <c r="BG582" s="167"/>
      <c r="BH582" s="168"/>
      <c r="BI582" s="169"/>
      <c r="BJ582" s="168"/>
      <c r="BK582" s="134"/>
      <c r="BL582" s="168"/>
      <c r="BM582" s="167"/>
      <c r="BN582" s="168"/>
      <c r="BO582" s="62"/>
      <c r="BP582" s="168"/>
      <c r="BQ582" s="168"/>
      <c r="BR582" s="168"/>
      <c r="BS582" s="135"/>
      <c r="BT582" s="168"/>
      <c r="BU582" s="167"/>
      <c r="BV582" s="168"/>
      <c r="BW582" s="167"/>
      <c r="BX582" s="168"/>
      <c r="BY582" s="167"/>
      <c r="BZ582" s="168"/>
      <c r="CA582" s="167"/>
      <c r="CB582" s="168"/>
      <c r="CC582" s="167"/>
      <c r="CD582" s="168"/>
      <c r="CE582" s="62"/>
      <c r="CF582" s="62"/>
      <c r="CG582" s="9"/>
      <c r="CH582" s="9"/>
      <c r="CI582" s="9"/>
      <c r="CJ582" s="9"/>
      <c r="CK582" s="9"/>
      <c r="CL582" s="9"/>
      <c r="CM582" s="9"/>
      <c r="CN582" s="9"/>
      <c r="CO582" s="9"/>
      <c r="CP582" s="9"/>
    </row>
    <row r="583" spans="1:94" ht="30" x14ac:dyDescent="0.25">
      <c r="A583" s="127" t="s">
        <v>1876</v>
      </c>
      <c r="B583" s="51" t="s">
        <v>1877</v>
      </c>
      <c r="C583" s="62"/>
      <c r="D583" s="84">
        <v>4</v>
      </c>
      <c r="E583" s="62" t="s">
        <v>192</v>
      </c>
      <c r="F583" s="62">
        <v>7</v>
      </c>
      <c r="G583" s="62" t="s">
        <v>184</v>
      </c>
      <c r="H583" s="50">
        <f>VLOOKUP($A583,'[1]ma sp 02'!$A$5:$BD$1101,H$1,0)</f>
        <v>0.77</v>
      </c>
      <c r="I583" s="50">
        <f>VLOOKUP($A583,'[1]ma sp 02'!$A$5:$BD$1101,I$1,0)</f>
        <v>3.51</v>
      </c>
      <c r="J583" s="50">
        <f>VLOOKUP($A583,'[1]ma sp 02'!$A$5:$BD$1101,J$1,0)</f>
        <v>0.22</v>
      </c>
      <c r="K583" s="50">
        <f>VLOOKUP($A583,'[1]ma sp 02'!$A$5:$BD$1101,K$1,0)</f>
        <v>0.01</v>
      </c>
      <c r="L583" s="50">
        <f>VLOOKUP($A583,'[1]ma sp 02'!$A$5:$BD$1101,L$1,0)</f>
        <v>2.85</v>
      </c>
      <c r="M583" s="50">
        <f>VLOOKUP($A583,'[1]ma sp 02'!$A$5:$BD$1101,M$1,0)</f>
        <v>1.17</v>
      </c>
      <c r="N583" s="50">
        <f>VLOOKUP($A583,'[1]ma sp 02'!$A$5:$BD$1101,N$1,0)</f>
        <v>0</v>
      </c>
      <c r="O583" s="50">
        <f>VLOOKUP($A583,'[1]ma sp 02'!$A$5:$BD$1101,O$1,0)</f>
        <v>0</v>
      </c>
      <c r="P583" s="50">
        <f>VLOOKUP($A583,'[1]ma sp 02'!$A$5:$BD$1101,P$1,0)</f>
        <v>0</v>
      </c>
      <c r="Q583" s="50">
        <f>VLOOKUP($A583,'[1]ma sp 02'!$A$5:$BD$1101,Q$1,0)</f>
        <v>0.28999999999999998</v>
      </c>
      <c r="R583" s="50">
        <f>VLOOKUP($A583,'[1]ma sp 02'!$A$5:$BD$1101,R$1,0)</f>
        <v>0</v>
      </c>
      <c r="S583" s="50">
        <f>VLOOKUP($A583,'[1]ma sp 02'!$A$5:$BD$1101,S$1,0)</f>
        <v>0</v>
      </c>
      <c r="T583" s="50">
        <f>VLOOKUP($A583,'[1]ma sp 02'!$A$5:$BD$1101,T$1,0)</f>
        <v>0.01</v>
      </c>
      <c r="U583" s="50">
        <f>VLOOKUP($A583,'[1]ma sp 02'!$A$5:$BD$1101,U$1,0)</f>
        <v>0</v>
      </c>
      <c r="V583" s="50">
        <f>VLOOKUP($A583,'[1]ma sp 02'!$A$5:$BD$1101,V$1,0)</f>
        <v>0</v>
      </c>
      <c r="W583" s="50">
        <f>VLOOKUP($A583,'[1]ma sp 02'!$A$5:$BD$1101,W$1,0)</f>
        <v>0</v>
      </c>
      <c r="X583" s="50"/>
      <c r="Y583" s="62"/>
      <c r="Z583" s="62"/>
      <c r="AA583" s="62"/>
      <c r="AB583" s="62"/>
      <c r="AC583" s="62"/>
      <c r="AD583" s="62"/>
      <c r="AE583" s="62" t="s">
        <v>193</v>
      </c>
      <c r="AF583" s="62"/>
      <c r="AG583" s="53">
        <f>(0.02*0.91+0.035*0.91)*0.64</f>
        <v>3.2032000000000005E-2</v>
      </c>
      <c r="AH583" s="155">
        <f>(2.3/0.75/2)*0.63</f>
        <v>0.96599999999999997</v>
      </c>
      <c r="AI583" s="54"/>
      <c r="AJ583" s="62"/>
      <c r="AK583" s="62">
        <v>9530</v>
      </c>
      <c r="AL583" s="62">
        <v>2.3E-3</v>
      </c>
      <c r="AM583" s="61" t="s">
        <v>1489</v>
      </c>
      <c r="AN583" s="62"/>
      <c r="AO583" s="61" t="s">
        <v>195</v>
      </c>
      <c r="AP583" s="59" t="str">
        <f>IFERROR(VLOOKUP($A583,[2]Mssp!$A$5:$BE$1463,AP$4+1,0),0)</f>
        <v>F124744-1</v>
      </c>
      <c r="AQ583" s="59" t="str">
        <f>IFERROR(VLOOKUP($A583,[2]Mssp!$A$5:$BE$1463,AQ$4+1,0),0)</f>
        <v>F124739-2</v>
      </c>
      <c r="AR583" s="59" t="str">
        <f>IFERROR(VLOOKUP($A583,[2]Mssp!$A$5:$BE$1463,AR$4+1,0),0)</f>
        <v>F124744-3</v>
      </c>
      <c r="AS583" s="59" t="str">
        <f>IFERROR(VLOOKUP($A583,[2]Mssp!$A$5:$BE$1463,AS$4+1,0),0)</f>
        <v>F124744-4</v>
      </c>
      <c r="AT583" s="59" t="str">
        <f>IFERROR(VLOOKUP($A583,[2]Mssp!$A$5:$BE$1463,AT$4+1,0),0)</f>
        <v>F124744-5</v>
      </c>
      <c r="AU583" s="59" t="str">
        <f>IFERROR(VLOOKUP($A583,[2]Mssp!$A$5:$BE$1463,AU$4+1,0),0)</f>
        <v>F124744-6</v>
      </c>
      <c r="AV583" s="59" t="str">
        <f>IFERROR(VLOOKUP($A583,[2]Mssp!$A$5:$BE$1463,AV$4+1,0),0)</f>
        <v>F124739-7</v>
      </c>
      <c r="AW583" s="59">
        <f>IFERROR(VLOOKUP($A583,[2]Mssp!$A$5:$BE$1463,AW$4+1,0),0)</f>
        <v>0</v>
      </c>
      <c r="AX583" s="59">
        <f>IFERROR(VLOOKUP($A583,[2]Mssp!$A$5:$BE$1463,AX$4+1,0),0)</f>
        <v>0</v>
      </c>
      <c r="AY583" s="59" t="str">
        <f>IFERROR(VLOOKUP($A583,[2]Mssp!$A$5:$BE$1463,AY$4+2,0),0)</f>
        <v>462x870</v>
      </c>
      <c r="AZ583" s="59" t="str">
        <f>IFERROR(VLOOKUP($A583,[2]Mssp!$A$5:$BE$1463,AZ$4+2,0),0)</f>
        <v>A3</v>
      </c>
      <c r="BA583" s="141"/>
      <c r="BB583" s="61"/>
      <c r="BC583" s="165"/>
      <c r="BD583" s="166"/>
      <c r="BE583" s="167"/>
      <c r="BF583" s="168"/>
      <c r="BG583" s="167"/>
      <c r="BH583" s="168"/>
      <c r="BI583" s="169"/>
      <c r="BJ583" s="168"/>
      <c r="BK583" s="134"/>
      <c r="BL583" s="168"/>
      <c r="BM583" s="167"/>
      <c r="BN583" s="168"/>
      <c r="BO583" s="62"/>
      <c r="BP583" s="168"/>
      <c r="BQ583" s="168"/>
      <c r="BR583" s="168"/>
      <c r="BS583" s="135"/>
      <c r="BT583" s="168"/>
      <c r="BU583" s="167"/>
      <c r="BV583" s="168"/>
      <c r="BW583" s="167"/>
      <c r="BX583" s="168"/>
      <c r="BY583" s="167"/>
      <c r="BZ583" s="168"/>
      <c r="CA583" s="167"/>
      <c r="CB583" s="168"/>
      <c r="CC583" s="167"/>
      <c r="CD583" s="168"/>
      <c r="CE583" s="62"/>
      <c r="CF583" s="62"/>
      <c r="CG583" s="9"/>
      <c r="CH583" s="9"/>
      <c r="CI583" s="9"/>
      <c r="CJ583" s="9"/>
      <c r="CK583" s="9"/>
      <c r="CL583" s="9"/>
      <c r="CM583" s="9"/>
      <c r="CN583" s="9"/>
      <c r="CO583" s="9"/>
      <c r="CP583" s="9"/>
    </row>
    <row r="584" spans="1:94" x14ac:dyDescent="0.25">
      <c r="A584" s="127" t="s">
        <v>1878</v>
      </c>
      <c r="B584" s="51" t="s">
        <v>1879</v>
      </c>
      <c r="C584" s="62"/>
      <c r="D584" s="84">
        <v>5</v>
      </c>
      <c r="E584" s="62" t="s">
        <v>1436</v>
      </c>
      <c r="F584" s="62">
        <v>7</v>
      </c>
      <c r="G584" s="62" t="s">
        <v>530</v>
      </c>
      <c r="H584" s="50">
        <f>VLOOKUP($A584,'[1]ma sp 02'!$A$5:$BD$1101,H$1,0)</f>
        <v>0.04</v>
      </c>
      <c r="I584" s="50">
        <f>VLOOKUP($A584,'[1]ma sp 02'!$A$5:$BD$1101,I$1,0)</f>
        <v>2.4</v>
      </c>
      <c r="J584" s="50">
        <f>VLOOKUP($A584,'[1]ma sp 02'!$A$5:$BD$1101,J$1,0)</f>
        <v>0.01</v>
      </c>
      <c r="K584" s="50">
        <f>VLOOKUP($A584,'[1]ma sp 02'!$A$5:$BD$1101,K$1,0)</f>
        <v>0.08</v>
      </c>
      <c r="L584" s="50">
        <f>VLOOKUP($A584,'[1]ma sp 02'!$A$5:$BD$1101,L$1,0)</f>
        <v>2.36</v>
      </c>
      <c r="M584" s="50">
        <f>VLOOKUP($A584,'[1]ma sp 02'!$A$5:$BD$1101,M$1,0)</f>
        <v>1.1299999999999999</v>
      </c>
      <c r="N584" s="50">
        <f>VLOOKUP($A584,'[1]ma sp 02'!$A$5:$BD$1101,N$1,0)</f>
        <v>0</v>
      </c>
      <c r="O584" s="50">
        <f>VLOOKUP($A584,'[1]ma sp 02'!$A$5:$BD$1101,O$1,0)</f>
        <v>0</v>
      </c>
      <c r="P584" s="50">
        <f>VLOOKUP($A584,'[1]ma sp 02'!$A$5:$BD$1101,P$1,0)</f>
        <v>0.02</v>
      </c>
      <c r="Q584" s="50">
        <f>VLOOKUP($A584,'[1]ma sp 02'!$A$5:$BD$1101,Q$1,0)</f>
        <v>0</v>
      </c>
      <c r="R584" s="50">
        <f>VLOOKUP($A584,'[1]ma sp 02'!$A$5:$BD$1101,R$1,0)</f>
        <v>0.43</v>
      </c>
      <c r="S584" s="50">
        <f>VLOOKUP($A584,'[1]ma sp 02'!$A$5:$BD$1101,S$1,0)</f>
        <v>0</v>
      </c>
      <c r="T584" s="50">
        <f>VLOOKUP($A584,'[1]ma sp 02'!$A$5:$BD$1101,T$1,0)</f>
        <v>0</v>
      </c>
      <c r="U584" s="50">
        <f>VLOOKUP($A584,'[1]ma sp 02'!$A$5:$BD$1101,U$1,0)</f>
        <v>0</v>
      </c>
      <c r="V584" s="50">
        <f>VLOOKUP($A584,'[1]ma sp 02'!$A$5:$BD$1101,V$1,0)</f>
        <v>0</v>
      </c>
      <c r="W584" s="50">
        <f>VLOOKUP($A584,'[1]ma sp 02'!$A$5:$BD$1101,W$1,0)</f>
        <v>0</v>
      </c>
      <c r="X584" s="50"/>
      <c r="Y584" s="62"/>
      <c r="Z584" s="62"/>
      <c r="AA584" s="62"/>
      <c r="AB584" s="62"/>
      <c r="AC584" s="62"/>
      <c r="AD584" s="62"/>
      <c r="AE584" s="62" t="s">
        <v>1880</v>
      </c>
      <c r="AF584" s="62"/>
      <c r="AG584" s="53">
        <f>(0.012*1.4+0.025*0.91)*0.72</f>
        <v>2.8476000000000001E-2</v>
      </c>
      <c r="AH584" s="172">
        <f>(1.2)*0.72</f>
        <v>0.86399999999999999</v>
      </c>
      <c r="AI584" s="54"/>
      <c r="AJ584" s="62" t="s">
        <v>1881</v>
      </c>
      <c r="AK584" s="62"/>
      <c r="AL584" s="62">
        <v>1.1999999999999999E-3</v>
      </c>
      <c r="AM584" s="61" t="s">
        <v>1489</v>
      </c>
      <c r="AN584" s="62"/>
      <c r="AO584" s="61" t="s">
        <v>169</v>
      </c>
      <c r="AP584" s="59" t="str">
        <f>IFERROR(VLOOKUP($A584,[2]Mssp!$A$5:$BE$1463,AP$4+1,0),0)</f>
        <v>F124923G1-1</v>
      </c>
      <c r="AQ584" s="59" t="str">
        <f>IFERROR(VLOOKUP($A584,[2]Mssp!$A$5:$BE$1463,AQ$4+1,0),0)</f>
        <v>F124923-2</v>
      </c>
      <c r="AR584" s="59" t="str">
        <f>IFERROR(VLOOKUP($A584,[2]Mssp!$A$5:$BE$1463,AR$4+1,0),0)</f>
        <v>F124923-3</v>
      </c>
      <c r="AS584" s="59" t="str">
        <f>IFERROR(VLOOKUP($A584,[2]Mssp!$A$5:$BE$1463,AS$4+1,0),0)</f>
        <v>F124923-4</v>
      </c>
      <c r="AT584" s="59" t="str">
        <f>IFERROR(VLOOKUP($A584,[2]Mssp!$A$5:$BE$1463,AT$4+1,0),0)</f>
        <v>F124923-5</v>
      </c>
      <c r="AU584" s="59" t="str">
        <f>IFERROR(VLOOKUP($A584,[2]Mssp!$A$5:$BE$1463,AU$4+1,0),0)</f>
        <v>F124923-6</v>
      </c>
      <c r="AV584" s="59" t="str">
        <f>IFERROR(VLOOKUP($A584,[2]Mssp!$A$5:$BE$1463,AV$4+1,0),0)</f>
        <v>F124923-7</v>
      </c>
      <c r="AW584" s="59">
        <f>IFERROR(VLOOKUP($A584,[2]Mssp!$A$5:$BE$1463,AW$4+1,0),0)</f>
        <v>0</v>
      </c>
      <c r="AX584" s="59">
        <f>IFERROR(VLOOKUP($A584,[2]Mssp!$A$5:$BE$1463,AX$4+1,0),0)</f>
        <v>0</v>
      </c>
      <c r="AY584" s="59" t="str">
        <f>IFERROR(VLOOKUP($A584,[2]Mssp!$A$5:$BE$1463,AY$4+2,0),0)</f>
        <v>525x870</v>
      </c>
      <c r="AZ584" s="59" t="str">
        <f>IFERROR(VLOOKUP($A584,[2]Mssp!$A$5:$BE$1463,AZ$4+2,0),0)</f>
        <v>Q3</v>
      </c>
      <c r="BA584" s="141"/>
      <c r="BB584" s="61"/>
      <c r="BC584" s="165"/>
      <c r="BD584" s="166"/>
      <c r="BE584" s="167"/>
      <c r="BF584" s="168"/>
      <c r="BG584" s="167"/>
      <c r="BH584" s="168"/>
      <c r="BI584" s="169"/>
      <c r="BJ584" s="168"/>
      <c r="BK584" s="134"/>
      <c r="BL584" s="168"/>
      <c r="BM584" s="167"/>
      <c r="BN584" s="168"/>
      <c r="BO584" s="62"/>
      <c r="BP584" s="168"/>
      <c r="BQ584" s="168"/>
      <c r="BR584" s="168"/>
      <c r="BS584" s="135"/>
      <c r="BT584" s="168"/>
      <c r="BU584" s="167"/>
      <c r="BV584" s="168"/>
      <c r="BW584" s="167"/>
      <c r="BX584" s="168"/>
      <c r="BY584" s="167"/>
      <c r="BZ584" s="168"/>
      <c r="CA584" s="167"/>
      <c r="CB584" s="168"/>
      <c r="CC584" s="167"/>
      <c r="CD584" s="168"/>
      <c r="CE584" s="62"/>
      <c r="CF584" s="62"/>
      <c r="CG584" s="9"/>
      <c r="CH584" s="9"/>
      <c r="CI584" s="9"/>
      <c r="CJ584" s="9"/>
      <c r="CK584" s="9"/>
      <c r="CL584" s="9"/>
      <c r="CM584" s="9"/>
      <c r="CN584" s="9"/>
      <c r="CO584" s="9"/>
      <c r="CP584" s="9"/>
    </row>
    <row r="585" spans="1:94" ht="30" x14ac:dyDescent="0.25">
      <c r="A585" s="127" t="s">
        <v>1882</v>
      </c>
      <c r="B585" s="51" t="s">
        <v>1883</v>
      </c>
      <c r="C585" s="62"/>
      <c r="D585" s="84">
        <v>5</v>
      </c>
      <c r="E585" s="62" t="s">
        <v>1884</v>
      </c>
      <c r="F585" s="62">
        <v>3</v>
      </c>
      <c r="G585" s="62" t="s">
        <v>184</v>
      </c>
      <c r="H585" s="50">
        <f>VLOOKUP($A585,'[1]ma sp 02'!$A$5:$BD$1101,H$1,0)</f>
        <v>0.02</v>
      </c>
      <c r="I585" s="50">
        <f>VLOOKUP($A585,'[1]ma sp 02'!$A$5:$BD$1101,I$1,0)</f>
        <v>0</v>
      </c>
      <c r="J585" s="50">
        <f>VLOOKUP($A585,'[1]ma sp 02'!$A$5:$BD$1101,J$1,0)</f>
        <v>0</v>
      </c>
      <c r="K585" s="50">
        <f>VLOOKUP($A585,'[1]ma sp 02'!$A$5:$BD$1101,K$1,0)</f>
        <v>0</v>
      </c>
      <c r="L585" s="50">
        <f>VLOOKUP($A585,'[1]ma sp 02'!$A$5:$BD$1101,L$1,0)</f>
        <v>1.56</v>
      </c>
      <c r="M585" s="50">
        <f>VLOOKUP($A585,'[1]ma sp 02'!$A$5:$BD$1101,M$1,0)</f>
        <v>3.69</v>
      </c>
      <c r="N585" s="50">
        <f>VLOOKUP($A585,'[1]ma sp 02'!$A$5:$BD$1101,N$1,0)</f>
        <v>0</v>
      </c>
      <c r="O585" s="50">
        <f>VLOOKUP($A585,'[1]ma sp 02'!$A$5:$BD$1101,O$1,0)</f>
        <v>0</v>
      </c>
      <c r="P585" s="50">
        <f>VLOOKUP($A585,'[1]ma sp 02'!$A$5:$BD$1101,P$1,0)</f>
        <v>0.57999999999999996</v>
      </c>
      <c r="Q585" s="50">
        <f>VLOOKUP($A585,'[1]ma sp 02'!$A$5:$BD$1101,Q$1,0)</f>
        <v>0.15</v>
      </c>
      <c r="R585" s="50">
        <f>VLOOKUP($A585,'[1]ma sp 02'!$A$5:$BD$1101,R$1,0)</f>
        <v>0</v>
      </c>
      <c r="S585" s="50">
        <f>VLOOKUP($A585,'[1]ma sp 02'!$A$5:$BD$1101,S$1,0)</f>
        <v>0</v>
      </c>
      <c r="T585" s="50">
        <f>VLOOKUP($A585,'[1]ma sp 02'!$A$5:$BD$1101,T$1,0)</f>
        <v>0</v>
      </c>
      <c r="U585" s="50">
        <f>VLOOKUP($A585,'[1]ma sp 02'!$A$5:$BD$1101,U$1,0)</f>
        <v>0</v>
      </c>
      <c r="V585" s="50">
        <f>VLOOKUP($A585,'[1]ma sp 02'!$A$5:$BD$1101,V$1,0)</f>
        <v>0</v>
      </c>
      <c r="W585" s="50">
        <f>VLOOKUP($A585,'[1]ma sp 02'!$A$5:$BD$1101,W$1,0)</f>
        <v>0</v>
      </c>
      <c r="X585" s="50"/>
      <c r="Y585" s="62"/>
      <c r="Z585" s="62"/>
      <c r="AA585" s="62"/>
      <c r="AB585" s="62"/>
      <c r="AC585" s="62"/>
      <c r="AD585" s="62"/>
      <c r="AE585" s="62" t="s">
        <v>1885</v>
      </c>
      <c r="AF585" s="62"/>
      <c r="AG585" s="53">
        <f>(0.02*0.91+0.025*0.925)*0.91</f>
        <v>3.760575E-2</v>
      </c>
      <c r="AH585" s="155">
        <f>(2.3/0.75/2)*0.9</f>
        <v>1.38</v>
      </c>
      <c r="AI585" s="9"/>
      <c r="AJ585" s="9">
        <v>9530</v>
      </c>
      <c r="AK585" s="9"/>
      <c r="AL585" s="9">
        <v>2E-3</v>
      </c>
      <c r="AM585" s="61" t="s">
        <v>1489</v>
      </c>
      <c r="AN585" s="62"/>
      <c r="AO585" s="61" t="s">
        <v>1736</v>
      </c>
      <c r="AP585" s="59" t="str">
        <f>IFERROR(VLOOKUP($A585,[2]Mssp!$A$5:$BE$1463,AP$4+1,0),0)</f>
        <v>F124728G1-1</v>
      </c>
      <c r="AQ585" s="59" t="str">
        <f>IFERROR(VLOOKUP($A585,[2]Mssp!$A$5:$BE$1463,AQ$4+1,0),0)</f>
        <v>F124728-2</v>
      </c>
      <c r="AR585" s="59" t="str">
        <f>IFERROR(VLOOKUP($A585,[2]Mssp!$A$5:$BE$1463,AR$4+1,0),0)</f>
        <v>F124728-3</v>
      </c>
      <c r="AS585" s="59">
        <f>IFERROR(VLOOKUP($A585,[2]Mssp!$A$5:$BE$1463,AS$4+1,0),0)</f>
        <v>0</v>
      </c>
      <c r="AT585" s="59">
        <f>IFERROR(VLOOKUP($A585,[2]Mssp!$A$5:$BE$1463,AT$4+1,0),0)</f>
        <v>0</v>
      </c>
      <c r="AU585" s="59">
        <f>IFERROR(VLOOKUP($A585,[2]Mssp!$A$5:$BE$1463,AU$4+1,0),0)</f>
        <v>0</v>
      </c>
      <c r="AV585" s="59">
        <f>IFERROR(VLOOKUP($A585,[2]Mssp!$A$5:$BE$1463,AV$4+1,0),0)</f>
        <v>0</v>
      </c>
      <c r="AW585" s="59">
        <f>IFERROR(VLOOKUP($A585,[2]Mssp!$A$5:$BE$1463,AW$4+1,0),0)</f>
        <v>0</v>
      </c>
      <c r="AX585" s="59">
        <f>IFERROR(VLOOKUP($A585,[2]Mssp!$A$5:$BE$1463,AX$4+1,0),0)</f>
        <v>0</v>
      </c>
      <c r="AY585" s="59" t="str">
        <f>IFERROR(VLOOKUP($A585,[2]Mssp!$A$5:$BE$1463,AY$4+2,0),0)</f>
        <v>465x1100</v>
      </c>
      <c r="AZ585" s="59" t="str">
        <f>IFERROR(VLOOKUP($A585,[2]Mssp!$A$5:$BE$1463,AZ$4+2,0),0)</f>
        <v>Q3</v>
      </c>
      <c r="BA585" s="141" t="s">
        <v>1886</v>
      </c>
      <c r="BB585" s="61" t="s">
        <v>952</v>
      </c>
      <c r="BC585" s="165"/>
      <c r="BD585" s="166"/>
      <c r="BE585" s="167"/>
      <c r="BF585" s="168"/>
      <c r="BG585" s="167"/>
      <c r="BH585" s="168"/>
      <c r="BI585" s="169"/>
      <c r="BJ585" s="168"/>
      <c r="BK585" s="134"/>
      <c r="BL585" s="168"/>
      <c r="BM585" s="167"/>
      <c r="BN585" s="168"/>
      <c r="BO585" s="62"/>
      <c r="BP585" s="168"/>
      <c r="BQ585" s="168"/>
      <c r="BR585" s="168"/>
      <c r="BS585" s="135"/>
      <c r="BT585" s="168"/>
      <c r="BU585" s="167"/>
      <c r="BV585" s="168"/>
      <c r="BW585" s="167"/>
      <c r="BX585" s="168"/>
      <c r="BY585" s="167"/>
      <c r="BZ585" s="168"/>
      <c r="CA585" s="167"/>
      <c r="CB585" s="168"/>
      <c r="CC585" s="167"/>
      <c r="CD585" s="168"/>
      <c r="CE585" s="62"/>
      <c r="CF585" s="62"/>
      <c r="CG585" s="9"/>
      <c r="CH585" s="9"/>
      <c r="CI585" s="9"/>
      <c r="CJ585" s="9"/>
      <c r="CK585" s="9"/>
      <c r="CL585" s="9"/>
      <c r="CM585" s="9"/>
      <c r="CN585" s="9"/>
      <c r="CO585" s="9"/>
      <c r="CP585" s="9"/>
    </row>
    <row r="586" spans="1:94" ht="30" x14ac:dyDescent="0.25">
      <c r="A586" s="127" t="s">
        <v>1887</v>
      </c>
      <c r="B586" s="51" t="s">
        <v>1888</v>
      </c>
      <c r="C586" s="62"/>
      <c r="D586" s="84">
        <v>2</v>
      </c>
      <c r="E586" s="62" t="s">
        <v>1234</v>
      </c>
      <c r="F586" s="62">
        <v>8</v>
      </c>
      <c r="G586" s="62" t="s">
        <v>184</v>
      </c>
      <c r="H586" s="50">
        <f>VLOOKUP($A586,'[1]ma sp 02'!$A$5:$BD$1101,H$1,0)</f>
        <v>0.2</v>
      </c>
      <c r="I586" s="50">
        <f>VLOOKUP($A586,'[1]ma sp 02'!$A$5:$BD$1101,I$1,0)</f>
        <v>3.27</v>
      </c>
      <c r="J586" s="50">
        <f>VLOOKUP($A586,'[1]ma sp 02'!$A$5:$BD$1101,J$1,0)</f>
        <v>0.24</v>
      </c>
      <c r="K586" s="50">
        <f>VLOOKUP($A586,'[1]ma sp 02'!$A$5:$BD$1101,K$1,0)</f>
        <v>0.7</v>
      </c>
      <c r="L586" s="50">
        <f>VLOOKUP($A586,'[1]ma sp 02'!$A$5:$BD$1101,L$1,0)</f>
        <v>0.01</v>
      </c>
      <c r="M586" s="50">
        <f>VLOOKUP($A586,'[1]ma sp 02'!$A$5:$BD$1101,M$1,0)</f>
        <v>0.3</v>
      </c>
      <c r="N586" s="50">
        <f>VLOOKUP($A586,'[1]ma sp 02'!$A$5:$BD$1101,N$1,0)</f>
        <v>0</v>
      </c>
      <c r="O586" s="50">
        <f>VLOOKUP($A586,'[1]ma sp 02'!$A$5:$BD$1101,O$1,0)</f>
        <v>0</v>
      </c>
      <c r="P586" s="50">
        <f>VLOOKUP($A586,'[1]ma sp 02'!$A$5:$BD$1101,P$1,0)</f>
        <v>1.34</v>
      </c>
      <c r="Q586" s="50">
        <f>VLOOKUP($A586,'[1]ma sp 02'!$A$5:$BD$1101,Q$1,0)</f>
        <v>0</v>
      </c>
      <c r="R586" s="50">
        <f>VLOOKUP($A586,'[1]ma sp 02'!$A$5:$BD$1101,R$1,0)</f>
        <v>0.53</v>
      </c>
      <c r="S586" s="50">
        <f>VLOOKUP($A586,'[1]ma sp 02'!$A$5:$BD$1101,S$1,0)</f>
        <v>0</v>
      </c>
      <c r="T586" s="50">
        <f>VLOOKUP($A586,'[1]ma sp 02'!$A$5:$BD$1101,T$1,0)</f>
        <v>0</v>
      </c>
      <c r="U586" s="50">
        <f>VLOOKUP($A586,'[1]ma sp 02'!$A$5:$BD$1101,U$1,0)</f>
        <v>0</v>
      </c>
      <c r="V586" s="50">
        <f>VLOOKUP($A586,'[1]ma sp 02'!$A$5:$BD$1101,V$1,0)</f>
        <v>0</v>
      </c>
      <c r="W586" s="50">
        <f>VLOOKUP($A586,'[1]ma sp 02'!$A$5:$BD$1101,W$1,0)</f>
        <v>0.4</v>
      </c>
      <c r="X586" s="50"/>
      <c r="Y586" s="62"/>
      <c r="Z586" s="62"/>
      <c r="AA586" s="62"/>
      <c r="AB586" s="62"/>
      <c r="AC586" s="62"/>
      <c r="AD586" s="62"/>
      <c r="AE586" s="62" t="s">
        <v>1889</v>
      </c>
      <c r="AF586" s="62"/>
      <c r="AG586" s="53">
        <f>(0.03*0.91+0.05*0.91)*0.86</f>
        <v>6.2607999999999997E-2</v>
      </c>
      <c r="AH586" s="155">
        <f>(2/0.75/2)*0.85</f>
        <v>1.1333333333333333</v>
      </c>
      <c r="AI586" s="54"/>
      <c r="AJ586" s="9">
        <v>9530</v>
      </c>
      <c r="AK586" s="62"/>
      <c r="AL586" s="62">
        <v>2E-3</v>
      </c>
      <c r="AM586" s="61" t="s">
        <v>74</v>
      </c>
      <c r="AN586" s="62">
        <v>280</v>
      </c>
      <c r="AO586" s="61" t="s">
        <v>1742</v>
      </c>
      <c r="AP586" s="59" t="str">
        <f>IFERROR(VLOOKUP($A586,[2]Mssp!$A$5:$BE$1463,AP$4+1,0),0)</f>
        <v>X106474-1</v>
      </c>
      <c r="AQ586" s="59" t="str">
        <f>IFERROR(VLOOKUP($A586,[2]Mssp!$A$5:$BE$1463,AQ$4+1,0),0)</f>
        <v>X106474-2</v>
      </c>
      <c r="AR586" s="59" t="str">
        <f>IFERROR(VLOOKUP($A586,[2]Mssp!$A$5:$BE$1463,AR$4+1,0),0)</f>
        <v>X106474-3</v>
      </c>
      <c r="AS586" s="59" t="str">
        <f>IFERROR(VLOOKUP($A586,[2]Mssp!$A$5:$BE$1463,AS$4+1,0),0)</f>
        <v>X106474-4</v>
      </c>
      <c r="AT586" s="59" t="str">
        <f>IFERROR(VLOOKUP($A586,[2]Mssp!$A$5:$BE$1463,AT$4+1,0),0)</f>
        <v>X106474-5</v>
      </c>
      <c r="AU586" s="59" t="str">
        <f>IFERROR(VLOOKUP($A586,[2]Mssp!$A$5:$BE$1463,AU$4+1,0),0)</f>
        <v>X106474-6</v>
      </c>
      <c r="AV586" s="59" t="str">
        <f>IFERROR(VLOOKUP($A586,[2]Mssp!$A$5:$BE$1463,AV$4+1,0),0)</f>
        <v>X106474-7</v>
      </c>
      <c r="AW586" s="59" t="str">
        <f>IFERROR(VLOOKUP($A586,[2]Mssp!$A$5:$BE$1463,AW$4+1,0),0)</f>
        <v>X106474-8</v>
      </c>
      <c r="AX586" s="59">
        <f>IFERROR(VLOOKUP($A586,[2]Mssp!$A$5:$BE$1463,AX$4+1,0),0)</f>
        <v>0</v>
      </c>
      <c r="AY586" s="59" t="str">
        <f>IFERROR(VLOOKUP($A586,[2]Mssp!$A$5:$BE$1463,AY$4+2,0),0)</f>
        <v>560x1100</v>
      </c>
      <c r="AZ586" s="59" t="str">
        <f>IFERROR(VLOOKUP($A586,[2]Mssp!$A$5:$BE$1463,AZ$4+2,0),0)</f>
        <v>B2</v>
      </c>
      <c r="BA586" s="141"/>
      <c r="BB586" s="61"/>
      <c r="BC586" s="165"/>
      <c r="BD586" s="166"/>
      <c r="BE586" s="167"/>
      <c r="BF586" s="168"/>
      <c r="BG586" s="167"/>
      <c r="BH586" s="168"/>
      <c r="BI586" s="169"/>
      <c r="BJ586" s="168"/>
      <c r="BK586" s="134"/>
      <c r="BL586" s="168"/>
      <c r="BM586" s="167"/>
      <c r="BN586" s="168"/>
      <c r="BO586" s="62"/>
      <c r="BP586" s="168"/>
      <c r="BQ586" s="168"/>
      <c r="BR586" s="168"/>
      <c r="BS586" s="135"/>
      <c r="BT586" s="168"/>
      <c r="BU586" s="167"/>
      <c r="BV586" s="168"/>
      <c r="BW586" s="167"/>
      <c r="BX586" s="168"/>
      <c r="BY586" s="167"/>
      <c r="BZ586" s="168"/>
      <c r="CA586" s="167"/>
      <c r="CB586" s="168"/>
      <c r="CC586" s="167"/>
      <c r="CD586" s="168"/>
      <c r="CE586" s="62"/>
      <c r="CF586" s="62"/>
      <c r="CG586" s="9"/>
      <c r="CH586" s="9"/>
      <c r="CI586" s="9"/>
      <c r="CJ586" s="9"/>
      <c r="CK586" s="9"/>
      <c r="CL586" s="9"/>
      <c r="CM586" s="9"/>
      <c r="CN586" s="9"/>
      <c r="CO586" s="9"/>
      <c r="CP586" s="9"/>
    </row>
    <row r="587" spans="1:94" ht="30" x14ac:dyDescent="0.25">
      <c r="A587" s="127" t="s">
        <v>1890</v>
      </c>
      <c r="B587" s="51" t="s">
        <v>1891</v>
      </c>
      <c r="C587" s="62"/>
      <c r="D587" s="84">
        <v>2</v>
      </c>
      <c r="E587" s="62" t="s">
        <v>592</v>
      </c>
      <c r="F587" s="62">
        <v>7</v>
      </c>
      <c r="G587" s="62" t="s">
        <v>530</v>
      </c>
      <c r="H587" s="50">
        <f>VLOOKUP($A587,'[1]ma sp 02'!$A$5:$BD$1101,H$1,0)</f>
        <v>0.26</v>
      </c>
      <c r="I587" s="50">
        <f>VLOOKUP($A587,'[1]ma sp 02'!$A$5:$BD$1101,I$1,0)</f>
        <v>0.74</v>
      </c>
      <c r="J587" s="50">
        <f>VLOOKUP($A587,'[1]ma sp 02'!$A$5:$BD$1101,J$1,0)</f>
        <v>0</v>
      </c>
      <c r="K587" s="50">
        <f>VLOOKUP($A587,'[1]ma sp 02'!$A$5:$BD$1101,K$1,0)</f>
        <v>1.95</v>
      </c>
      <c r="L587" s="50">
        <f>VLOOKUP($A587,'[1]ma sp 02'!$A$5:$BD$1101,L$1,0)</f>
        <v>1.07</v>
      </c>
      <c r="M587" s="50">
        <f>VLOOKUP($A587,'[1]ma sp 02'!$A$5:$BD$1101,M$1,0)</f>
        <v>0.53</v>
      </c>
      <c r="N587" s="50">
        <f>VLOOKUP($A587,'[1]ma sp 02'!$A$5:$BD$1101,N$1,0)</f>
        <v>3.5</v>
      </c>
      <c r="O587" s="50">
        <f>VLOOKUP($A587,'[1]ma sp 02'!$A$5:$BD$1101,O$1,0)</f>
        <v>0</v>
      </c>
      <c r="P587" s="50">
        <f>VLOOKUP($A587,'[1]ma sp 02'!$A$5:$BD$1101,P$1,0)</f>
        <v>1.2</v>
      </c>
      <c r="Q587" s="50">
        <f>VLOOKUP($A587,'[1]ma sp 02'!$A$5:$BD$1101,Q$1,0)</f>
        <v>0</v>
      </c>
      <c r="R587" s="50">
        <f>VLOOKUP($A587,'[1]ma sp 02'!$A$5:$BD$1101,R$1,0)</f>
        <v>0</v>
      </c>
      <c r="S587" s="50">
        <f>VLOOKUP($A587,'[1]ma sp 02'!$A$5:$BD$1101,S$1,0)</f>
        <v>0</v>
      </c>
      <c r="T587" s="50">
        <f>VLOOKUP($A587,'[1]ma sp 02'!$A$5:$BD$1101,T$1,0)</f>
        <v>0</v>
      </c>
      <c r="U587" s="50">
        <f>VLOOKUP($A587,'[1]ma sp 02'!$A$5:$BD$1101,U$1,0)</f>
        <v>0</v>
      </c>
      <c r="V587" s="50">
        <f>VLOOKUP($A587,'[1]ma sp 02'!$A$5:$BD$1101,V$1,0)</f>
        <v>0</v>
      </c>
      <c r="W587" s="50">
        <f>VLOOKUP($A587,'[1]ma sp 02'!$A$5:$BD$1101,W$1,0)</f>
        <v>0</v>
      </c>
      <c r="X587" s="50"/>
      <c r="Y587" s="62"/>
      <c r="Z587" s="62"/>
      <c r="AA587" s="62"/>
      <c r="AB587" s="62"/>
      <c r="AC587" s="62"/>
      <c r="AD587" s="62"/>
      <c r="AE587" s="62" t="s">
        <v>1399</v>
      </c>
      <c r="AF587" s="62" t="s">
        <v>594</v>
      </c>
      <c r="AG587" s="53">
        <f>(0.012*1.4+0.012*1.4+0.075*0.925)*0.64</f>
        <v>6.5904000000000004E-2</v>
      </c>
      <c r="AH587" s="155">
        <f>(2.3/0.75/2)*0.63</f>
        <v>0.96599999999999997</v>
      </c>
      <c r="AI587" s="54">
        <f>(3/0.75/2)*0.63</f>
        <v>1.26</v>
      </c>
      <c r="AJ587" s="62">
        <v>9530</v>
      </c>
      <c r="AK587" s="62">
        <v>9530</v>
      </c>
      <c r="AL587" s="62" t="s">
        <v>1892</v>
      </c>
      <c r="AM587" s="61" t="s">
        <v>1893</v>
      </c>
      <c r="AN587" s="62">
        <v>380</v>
      </c>
      <c r="AO587" s="61" t="s">
        <v>332</v>
      </c>
      <c r="AP587" s="59" t="str">
        <f>IFERROR(VLOOKUP($A587,[2]Mssp!$A$5:$BE$1463,AP$4+1,0),0)</f>
        <v>X107447-1</v>
      </c>
      <c r="AQ587" s="59" t="str">
        <f>IFERROR(VLOOKUP($A587,[2]Mssp!$A$5:$BE$1463,AQ$4+1,0),0)</f>
        <v>X107447-2</v>
      </c>
      <c r="AR587" s="59" t="str">
        <f>IFERROR(VLOOKUP($A587,[2]Mssp!$A$5:$BE$1463,AR$4+1,0),0)</f>
        <v>X107447-3</v>
      </c>
      <c r="AS587" s="59" t="str">
        <f>IFERROR(VLOOKUP($A587,[2]Mssp!$A$5:$BE$1463,AS$4+1,0),0)</f>
        <v>X107447-4</v>
      </c>
      <c r="AT587" s="59" t="str">
        <f>IFERROR(VLOOKUP($A587,[2]Mssp!$A$5:$BE$1463,AT$4+1,0),0)</f>
        <v>X107447-5</v>
      </c>
      <c r="AU587" s="59" t="str">
        <f>IFERROR(VLOOKUP($A587,[2]Mssp!$A$5:$BE$1463,AU$4+1,0),0)</f>
        <v>X107447-6</v>
      </c>
      <c r="AV587" s="59" t="str">
        <f>IFERROR(VLOOKUP($A587,[2]Mssp!$A$5:$BE$1463,AV$4+1,0),0)</f>
        <v>X107447-7</v>
      </c>
      <c r="AW587" s="59">
        <f>IFERROR(VLOOKUP($A587,[2]Mssp!$A$5:$BE$1463,AW$4+1,0),0)</f>
        <v>0</v>
      </c>
      <c r="AX587" s="59">
        <f>IFERROR(VLOOKUP($A587,[2]Mssp!$A$5:$BE$1463,AX$4+1,0),0)</f>
        <v>0</v>
      </c>
      <c r="AY587" s="59" t="str">
        <f>IFERROR(VLOOKUP($A587,[2]Mssp!$A$5:$BE$1463,AY$4+2,0),0)</f>
        <v>760x860</v>
      </c>
      <c r="AZ587" s="59" t="str">
        <f>IFERROR(VLOOKUP($A587,[2]Mssp!$A$5:$BE$1463,AZ$4+2,0),0)</f>
        <v>G3</v>
      </c>
      <c r="BA587" s="141"/>
      <c r="BB587" s="61" t="s">
        <v>1894</v>
      </c>
      <c r="BC587" s="165"/>
      <c r="BD587" s="166"/>
      <c r="BE587" s="167"/>
      <c r="BF587" s="168"/>
      <c r="BG587" s="167"/>
      <c r="BH587" s="168"/>
      <c r="BI587" s="169"/>
      <c r="BJ587" s="168"/>
      <c r="BK587" s="134"/>
      <c r="BL587" s="168"/>
      <c r="BM587" s="167"/>
      <c r="BN587" s="168"/>
      <c r="BO587" s="62"/>
      <c r="BP587" s="168"/>
      <c r="BQ587" s="168"/>
      <c r="BR587" s="168"/>
      <c r="BS587" s="135"/>
      <c r="BT587" s="168"/>
      <c r="BU587" s="167"/>
      <c r="BV587" s="168"/>
      <c r="BW587" s="167"/>
      <c r="BX587" s="168"/>
      <c r="BY587" s="167"/>
      <c r="BZ587" s="168"/>
      <c r="CA587" s="167"/>
      <c r="CB587" s="168"/>
      <c r="CC587" s="167"/>
      <c r="CD587" s="168"/>
      <c r="CE587" s="62"/>
      <c r="CF587" s="62"/>
      <c r="CG587" s="9"/>
      <c r="CH587" s="9"/>
      <c r="CI587" s="9"/>
      <c r="CJ587" s="9"/>
      <c r="CK587" s="9"/>
      <c r="CL587" s="9"/>
      <c r="CM587" s="9"/>
      <c r="CN587" s="9"/>
      <c r="CO587" s="9"/>
      <c r="CP587" s="9"/>
    </row>
    <row r="588" spans="1:94" ht="60" x14ac:dyDescent="0.25">
      <c r="A588" s="127" t="s">
        <v>1895</v>
      </c>
      <c r="B588" s="51" t="s">
        <v>1896</v>
      </c>
      <c r="C588" s="62"/>
      <c r="D588" s="84">
        <v>2</v>
      </c>
      <c r="E588" s="62" t="s">
        <v>299</v>
      </c>
      <c r="F588" s="62">
        <v>8</v>
      </c>
      <c r="G588" s="62"/>
      <c r="H588" s="50">
        <f>VLOOKUP($A588,'[1]ma sp 02'!$A$5:$BD$1101,H$1,0)</f>
        <v>0.13</v>
      </c>
      <c r="I588" s="50">
        <f>VLOOKUP($A588,'[1]ma sp 02'!$A$5:$BD$1101,I$1,0)</f>
        <v>1.9</v>
      </c>
      <c r="J588" s="50">
        <f>VLOOKUP($A588,'[1]ma sp 02'!$A$5:$BD$1101,J$1,0)</f>
        <v>0.36</v>
      </c>
      <c r="K588" s="50">
        <f>VLOOKUP($A588,'[1]ma sp 02'!$A$5:$BD$1101,K$1,0)</f>
        <v>0.01</v>
      </c>
      <c r="L588" s="50">
        <f>VLOOKUP($A588,'[1]ma sp 02'!$A$5:$BD$1101,L$1,0)</f>
        <v>1.88</v>
      </c>
      <c r="M588" s="50">
        <f>VLOOKUP($A588,'[1]ma sp 02'!$A$5:$BD$1101,M$1,0)</f>
        <v>0.47</v>
      </c>
      <c r="N588" s="50">
        <f>VLOOKUP($A588,'[1]ma sp 02'!$A$5:$BD$1101,N$1,0)</f>
        <v>0</v>
      </c>
      <c r="O588" s="50">
        <f>VLOOKUP($A588,'[1]ma sp 02'!$A$5:$BD$1101,O$1,0)</f>
        <v>0.01</v>
      </c>
      <c r="P588" s="50">
        <f>VLOOKUP($A588,'[1]ma sp 02'!$A$5:$BD$1101,P$1,0)</f>
        <v>0.01</v>
      </c>
      <c r="Q588" s="50">
        <f>VLOOKUP($A588,'[1]ma sp 02'!$A$5:$BD$1101,Q$1,0)</f>
        <v>0.1</v>
      </c>
      <c r="R588" s="50">
        <f>VLOOKUP($A588,'[1]ma sp 02'!$A$5:$BD$1101,R$1,0)</f>
        <v>0.01</v>
      </c>
      <c r="S588" s="50">
        <f>VLOOKUP($A588,'[1]ma sp 02'!$A$5:$BD$1101,S$1,0)</f>
        <v>0</v>
      </c>
      <c r="T588" s="50">
        <f>VLOOKUP($A588,'[1]ma sp 02'!$A$5:$BD$1101,T$1,0)</f>
        <v>0</v>
      </c>
      <c r="U588" s="50">
        <f>VLOOKUP($A588,'[1]ma sp 02'!$A$5:$BD$1101,U$1,0)</f>
        <v>0</v>
      </c>
      <c r="V588" s="50">
        <f>VLOOKUP($A588,'[1]ma sp 02'!$A$5:$BD$1101,V$1,0)</f>
        <v>0</v>
      </c>
      <c r="W588" s="50">
        <f>VLOOKUP($A588,'[1]ma sp 02'!$A$5:$BD$1101,W$1,0)</f>
        <v>0</v>
      </c>
      <c r="X588" s="50"/>
      <c r="Y588" s="62"/>
      <c r="Z588" s="62"/>
      <c r="AA588" s="62"/>
      <c r="AB588" s="62"/>
      <c r="AC588" s="62"/>
      <c r="AD588" s="62"/>
      <c r="AE588" s="62" t="s">
        <v>317</v>
      </c>
      <c r="AF588" s="62"/>
      <c r="AG588" s="53">
        <f>(0.02*0.91+0.045*0.925)*0.82</f>
        <v>4.9056500000000003E-2</v>
      </c>
      <c r="AH588" s="155">
        <f>(2.3/0.75/2)*0.81</f>
        <v>1.242</v>
      </c>
      <c r="AI588" s="54"/>
      <c r="AJ588" s="62">
        <v>9530</v>
      </c>
      <c r="AK588" s="62"/>
      <c r="AL588" s="62">
        <v>2.3E-3</v>
      </c>
      <c r="AM588" s="61"/>
      <c r="AN588" s="62">
        <v>245</v>
      </c>
      <c r="AO588" s="61" t="s">
        <v>1897</v>
      </c>
      <c r="AP588" s="59" t="str">
        <f>IFERROR(VLOOKUP($A588,[2]Mssp!$A$5:$BE$1463,AP$4+1,0),0)</f>
        <v>1911228-1</v>
      </c>
      <c r="AQ588" s="59" t="str">
        <f>IFERROR(VLOOKUP($A588,[2]Mssp!$A$5:$BE$1463,AQ$4+1,0),0)</f>
        <v>1911228-2</v>
      </c>
      <c r="AR588" s="59" t="str">
        <f>IFERROR(VLOOKUP($A588,[2]Mssp!$A$5:$BE$1463,AR$4+1,0),0)</f>
        <v>1911228-3</v>
      </c>
      <c r="AS588" s="59" t="str">
        <f>IFERROR(VLOOKUP($A588,[2]Mssp!$A$5:$BE$1463,AS$4+1,0),0)</f>
        <v>1911228-4</v>
      </c>
      <c r="AT588" s="59" t="str">
        <f>IFERROR(VLOOKUP($A588,[2]Mssp!$A$5:$BE$1463,AT$4+1,0),0)</f>
        <v>1911228-5</v>
      </c>
      <c r="AU588" s="59" t="str">
        <f>IFERROR(VLOOKUP($A588,[2]Mssp!$A$5:$BE$1463,AU$4+1,0),0)</f>
        <v>1911228-6</v>
      </c>
      <c r="AV588" s="59" t="str">
        <f>IFERROR(VLOOKUP($A588,[2]Mssp!$A$5:$BE$1463,AV$4+1,0),0)</f>
        <v>1911228-7</v>
      </c>
      <c r="AW588" s="59" t="str">
        <f>IFERROR(VLOOKUP($A588,[2]Mssp!$A$5:$BE$1463,AW$4+1,0),0)</f>
        <v>1911228-8</v>
      </c>
      <c r="AX588" s="59">
        <f>IFERROR(VLOOKUP($A588,[2]Mssp!$A$5:$BE$1463,AX$4+1,0),0)</f>
        <v>0</v>
      </c>
      <c r="AY588" s="59" t="str">
        <f>IFERROR(VLOOKUP($A588,[2]Mssp!$A$5:$BE$1463,AY$4+2,0),0)</f>
        <v>490x870</v>
      </c>
      <c r="AZ588" s="59" t="str">
        <f>IFERROR(VLOOKUP($A588,[2]Mssp!$A$5:$BE$1463,AZ$4+2,0),0)</f>
        <v>Q3</v>
      </c>
      <c r="BA588" s="141"/>
      <c r="BB588" s="61"/>
      <c r="BC588" s="165"/>
      <c r="BD588" s="166"/>
      <c r="BE588" s="167"/>
      <c r="BF588" s="168"/>
      <c r="BG588" s="167"/>
      <c r="BH588" s="168"/>
      <c r="BI588" s="169"/>
      <c r="BJ588" s="168"/>
      <c r="BK588" s="134"/>
      <c r="BL588" s="168"/>
      <c r="BM588" s="167"/>
      <c r="BN588" s="168"/>
      <c r="BO588" s="62"/>
      <c r="BP588" s="168"/>
      <c r="BQ588" s="168"/>
      <c r="BR588" s="168"/>
      <c r="BS588" s="135"/>
      <c r="BT588" s="168"/>
      <c r="BU588" s="167"/>
      <c r="BV588" s="168"/>
      <c r="BW588" s="167"/>
      <c r="BX588" s="168"/>
      <c r="BY588" s="167"/>
      <c r="BZ588" s="168"/>
      <c r="CA588" s="167"/>
      <c r="CB588" s="168"/>
      <c r="CC588" s="167"/>
      <c r="CD588" s="168"/>
      <c r="CE588" s="62"/>
      <c r="CF588" s="62"/>
      <c r="CG588" s="9"/>
      <c r="CH588" s="9"/>
      <c r="CI588" s="9"/>
      <c r="CJ588" s="9"/>
      <c r="CK588" s="9"/>
      <c r="CL588" s="9"/>
      <c r="CM588" s="9"/>
      <c r="CN588" s="9"/>
      <c r="CO588" s="9"/>
      <c r="CP588" s="9"/>
    </row>
    <row r="589" spans="1:94" x14ac:dyDescent="0.25">
      <c r="A589" s="127" t="s">
        <v>1898</v>
      </c>
      <c r="B589" s="51" t="s">
        <v>1899</v>
      </c>
      <c r="C589" s="62"/>
      <c r="D589" s="84">
        <v>2</v>
      </c>
      <c r="E589" s="62" t="s">
        <v>470</v>
      </c>
      <c r="F589" s="62">
        <v>6</v>
      </c>
      <c r="G589" s="62"/>
      <c r="H589" s="50">
        <f>VLOOKUP($A589,'[1]ma sp 02'!$A$5:$BD$1101,H$1,0)</f>
        <v>0.88</v>
      </c>
      <c r="I589" s="50">
        <f>VLOOKUP($A589,'[1]ma sp 02'!$A$5:$BD$1101,I$1,0)</f>
        <v>1.33</v>
      </c>
      <c r="J589" s="50">
        <f>VLOOKUP($A589,'[1]ma sp 02'!$A$5:$BD$1101,J$1,0)</f>
        <v>7.0000000000000007E-2</v>
      </c>
      <c r="K589" s="50">
        <f>VLOOKUP($A589,'[1]ma sp 02'!$A$5:$BD$1101,K$1,0)</f>
        <v>0</v>
      </c>
      <c r="L589" s="50">
        <f>VLOOKUP($A589,'[1]ma sp 02'!$A$5:$BD$1101,L$1,0)</f>
        <v>0.33</v>
      </c>
      <c r="M589" s="50">
        <f>VLOOKUP($A589,'[1]ma sp 02'!$A$5:$BD$1101,M$1,0)</f>
        <v>0.28999999999999998</v>
      </c>
      <c r="N589" s="50">
        <f>VLOOKUP($A589,'[1]ma sp 02'!$A$5:$BD$1101,N$1,0)</f>
        <v>0</v>
      </c>
      <c r="O589" s="50">
        <f>VLOOKUP($A589,'[1]ma sp 02'!$A$5:$BD$1101,O$1,0)</f>
        <v>0.01</v>
      </c>
      <c r="P589" s="50">
        <f>VLOOKUP($A589,'[1]ma sp 02'!$A$5:$BD$1101,P$1,0)</f>
        <v>0.01</v>
      </c>
      <c r="Q589" s="50">
        <f>VLOOKUP($A589,'[1]ma sp 02'!$A$5:$BD$1101,Q$1,0)</f>
        <v>0.44</v>
      </c>
      <c r="R589" s="50">
        <f>VLOOKUP($A589,'[1]ma sp 02'!$A$5:$BD$1101,R$1,0)</f>
        <v>0</v>
      </c>
      <c r="S589" s="50">
        <f>VLOOKUP($A589,'[1]ma sp 02'!$A$5:$BD$1101,S$1,0)</f>
        <v>0</v>
      </c>
      <c r="T589" s="50">
        <f>VLOOKUP($A589,'[1]ma sp 02'!$A$5:$BD$1101,T$1,0)</f>
        <v>0</v>
      </c>
      <c r="U589" s="50">
        <f>VLOOKUP($A589,'[1]ma sp 02'!$A$5:$BD$1101,U$1,0)</f>
        <v>0</v>
      </c>
      <c r="V589" s="50">
        <f>VLOOKUP($A589,'[1]ma sp 02'!$A$5:$BD$1101,V$1,0)</f>
        <v>0</v>
      </c>
      <c r="W589" s="50">
        <f>VLOOKUP($A589,'[1]ma sp 02'!$A$5:$BD$1101,W$1,0)</f>
        <v>0</v>
      </c>
      <c r="X589" s="50"/>
      <c r="Y589" s="62"/>
      <c r="Z589" s="62"/>
      <c r="AA589" s="62"/>
      <c r="AB589" s="62"/>
      <c r="AC589" s="62"/>
      <c r="AD589" s="62"/>
      <c r="AE589" s="62" t="s">
        <v>732</v>
      </c>
      <c r="AF589" s="62" t="s">
        <v>1900</v>
      </c>
      <c r="AG589" s="53">
        <f>(0.03*0.91+0.006*2.71+0.08*0.925)*0.59</f>
        <v>6.9360400000000003E-2</v>
      </c>
      <c r="AH589" s="155">
        <f>(2.5/0.75/2)*0.57</f>
        <v>0.95</v>
      </c>
      <c r="AI589" s="54">
        <f>(2.5/0.75/2)*0.57</f>
        <v>0.95</v>
      </c>
      <c r="AJ589" s="62">
        <v>9530</v>
      </c>
      <c r="AK589" s="62">
        <v>9530</v>
      </c>
      <c r="AL589" s="62" t="s">
        <v>1901</v>
      </c>
      <c r="AM589" s="61" t="s">
        <v>1489</v>
      </c>
      <c r="AN589" s="62">
        <v>190</v>
      </c>
      <c r="AO589" s="61" t="s">
        <v>1902</v>
      </c>
      <c r="AP589" s="59" t="str">
        <f>IFERROR(VLOOKUP($A589,[2]Mssp!$A$5:$BE$1463,AP$4+1,0),0)</f>
        <v>F124859-1</v>
      </c>
      <c r="AQ589" s="59" t="str">
        <f>IFERROR(VLOOKUP($A589,[2]Mssp!$A$5:$BE$1463,AQ$4+1,0),0)</f>
        <v>F124859-2</v>
      </c>
      <c r="AR589" s="59" t="str">
        <f>IFERROR(VLOOKUP($A589,[2]Mssp!$A$5:$BE$1463,AR$4+1,0),0)</f>
        <v>F124859-3</v>
      </c>
      <c r="AS589" s="59" t="str">
        <f>IFERROR(VLOOKUP($A589,[2]Mssp!$A$5:$BE$1463,AS$4+1,0),0)</f>
        <v>F124859-4</v>
      </c>
      <c r="AT589" s="59" t="str">
        <f>IFERROR(VLOOKUP($A589,[2]Mssp!$A$5:$BE$1463,AT$4+1,0),0)</f>
        <v>F124859-5</v>
      </c>
      <c r="AU589" s="59" t="str">
        <f>IFERROR(VLOOKUP($A589,[2]Mssp!$A$5:$BE$1463,AU$4+1,0),0)</f>
        <v>F124859-6</v>
      </c>
      <c r="AV589" s="59">
        <f>IFERROR(VLOOKUP($A589,[2]Mssp!$A$5:$BE$1463,AV$4+1,0),0)</f>
        <v>0</v>
      </c>
      <c r="AW589" s="59">
        <f>IFERROR(VLOOKUP($A589,[2]Mssp!$A$5:$BE$1463,AW$4+1,0),0)</f>
        <v>0</v>
      </c>
      <c r="AX589" s="59">
        <f>IFERROR(VLOOKUP($A589,[2]Mssp!$A$5:$BE$1463,AX$4+1,0),0)</f>
        <v>0</v>
      </c>
      <c r="AY589" s="59" t="str">
        <f>IFERROR(VLOOKUP($A589,[2]Mssp!$A$5:$BE$1463,AY$4+2,0),0)</f>
        <v>570x750</v>
      </c>
      <c r="AZ589" s="59" t="str">
        <f>IFERROR(VLOOKUP($A589,[2]Mssp!$A$5:$BE$1463,AZ$4+2,0),0)</f>
        <v>Q3</v>
      </c>
      <c r="BA589" s="141"/>
      <c r="BB589" s="61"/>
      <c r="BC589" s="165"/>
      <c r="BD589" s="166"/>
      <c r="BE589" s="167"/>
      <c r="BF589" s="168"/>
      <c r="BG589" s="167"/>
      <c r="BH589" s="168"/>
      <c r="BI589" s="169"/>
      <c r="BJ589" s="168"/>
      <c r="BK589" s="134"/>
      <c r="BL589" s="168"/>
      <c r="BM589" s="167"/>
      <c r="BN589" s="168"/>
      <c r="BO589" s="62"/>
      <c r="BP589" s="168"/>
      <c r="BQ589" s="168"/>
      <c r="BR589" s="168"/>
      <c r="BS589" s="135"/>
      <c r="BT589" s="168"/>
      <c r="BU589" s="167"/>
      <c r="BV589" s="168"/>
      <c r="BW589" s="167"/>
      <c r="BX589" s="168"/>
      <c r="BY589" s="167"/>
      <c r="BZ589" s="168"/>
      <c r="CA589" s="167"/>
      <c r="CB589" s="168"/>
      <c r="CC589" s="167"/>
      <c r="CD589" s="168"/>
      <c r="CE589" s="62"/>
      <c r="CF589" s="62"/>
      <c r="CG589" s="9"/>
      <c r="CH589" s="9"/>
      <c r="CI589" s="9"/>
      <c r="CJ589" s="9"/>
      <c r="CK589" s="9"/>
      <c r="CL589" s="9"/>
      <c r="CM589" s="9"/>
      <c r="CN589" s="9"/>
      <c r="CO589" s="9"/>
      <c r="CP589" s="9"/>
    </row>
    <row r="590" spans="1:94" ht="30" x14ac:dyDescent="0.25">
      <c r="A590" s="127" t="s">
        <v>1903</v>
      </c>
      <c r="B590" s="51" t="s">
        <v>1904</v>
      </c>
      <c r="C590" s="62"/>
      <c r="D590" s="84">
        <v>1</v>
      </c>
      <c r="E590" s="62" t="s">
        <v>1905</v>
      </c>
      <c r="F590" s="62">
        <v>7</v>
      </c>
      <c r="G590" s="62" t="s">
        <v>184</v>
      </c>
      <c r="H590" s="50">
        <f>VLOOKUP($A590,'[1]ma sp 02'!$A$5:$BD$1101,H$1,0)</f>
        <v>3.6999999999999998E-2</v>
      </c>
      <c r="I590" s="50">
        <f>VLOOKUP($A590,'[1]ma sp 02'!$A$5:$BD$1101,I$1,0)</f>
        <v>7.2999999999999995E-2</v>
      </c>
      <c r="J590" s="50">
        <f>VLOOKUP($A590,'[1]ma sp 02'!$A$5:$BD$1101,J$1,0)</f>
        <v>7.2999999999999995E-2</v>
      </c>
      <c r="K590" s="50">
        <f>VLOOKUP($A590,'[1]ma sp 02'!$A$5:$BD$1101,K$1,0)</f>
        <v>0.01</v>
      </c>
      <c r="L590" s="50">
        <f>VLOOKUP($A590,'[1]ma sp 02'!$A$5:$BD$1101,L$1,0)</f>
        <v>0.01</v>
      </c>
      <c r="M590" s="50">
        <f>VLOOKUP($A590,'[1]ma sp 02'!$A$5:$BD$1101,M$1,0)</f>
        <v>0</v>
      </c>
      <c r="N590" s="50">
        <f>VLOOKUP($A590,'[1]ma sp 02'!$A$5:$BD$1101,N$1,0)</f>
        <v>0</v>
      </c>
      <c r="O590" s="50">
        <f>VLOOKUP($A590,'[1]ma sp 02'!$A$5:$BD$1101,O$1,0)</f>
        <v>0</v>
      </c>
      <c r="P590" s="50">
        <f>VLOOKUP($A590,'[1]ma sp 02'!$A$5:$BD$1101,P$1,0)</f>
        <v>0.01</v>
      </c>
      <c r="Q590" s="50">
        <f>VLOOKUP($A590,'[1]ma sp 02'!$A$5:$BD$1101,Q$1,0)</f>
        <v>0</v>
      </c>
      <c r="R590" s="50">
        <f>VLOOKUP($A590,'[1]ma sp 02'!$A$5:$BD$1101,R$1,0)</f>
        <v>0.11</v>
      </c>
      <c r="S590" s="50">
        <f>VLOOKUP($A590,'[1]ma sp 02'!$A$5:$BD$1101,S$1,0)</f>
        <v>0</v>
      </c>
      <c r="T590" s="50">
        <f>VLOOKUP($A590,'[1]ma sp 02'!$A$5:$BD$1101,T$1,0)</f>
        <v>0</v>
      </c>
      <c r="U590" s="50">
        <f>VLOOKUP($A590,'[1]ma sp 02'!$A$5:$BD$1101,U$1,0)</f>
        <v>0</v>
      </c>
      <c r="V590" s="50">
        <f>VLOOKUP($A590,'[1]ma sp 02'!$A$5:$BD$1101,V$1,0)</f>
        <v>0</v>
      </c>
      <c r="W590" s="50">
        <f>VLOOKUP($A590,'[1]ma sp 02'!$A$5:$BD$1101,W$1,0)</f>
        <v>0</v>
      </c>
      <c r="X590" s="50"/>
      <c r="Y590" s="62"/>
      <c r="Z590" s="62"/>
      <c r="AA590" s="62"/>
      <c r="AB590" s="62"/>
      <c r="AC590" s="62"/>
      <c r="AD590" s="62"/>
      <c r="AE590" s="62" t="s">
        <v>1906</v>
      </c>
      <c r="AF590" s="62"/>
      <c r="AG590" s="53">
        <f>(0.03*0.91+0.03*0.91)*0.48</f>
        <v>2.6207999999999999E-2</v>
      </c>
      <c r="AH590" s="155">
        <f>(2.5/0.75/2)*0.47</f>
        <v>0.78333333333333333</v>
      </c>
      <c r="AI590" s="54"/>
      <c r="AJ590" s="62">
        <v>9530</v>
      </c>
      <c r="AK590" s="62"/>
      <c r="AL590" s="62">
        <v>2.5000000000000001E-3</v>
      </c>
      <c r="AM590" s="61" t="s">
        <v>128</v>
      </c>
      <c r="AN590" s="62">
        <v>240</v>
      </c>
      <c r="AO590" s="61" t="s">
        <v>169</v>
      </c>
      <c r="AP590" s="59" t="str">
        <f>IFERROR(VLOOKUP($A590,[2]Mssp!$A$5:$BE$1463,AP$4+1,0),0)</f>
        <v>F124871G1-1</v>
      </c>
      <c r="AQ590" s="59" t="str">
        <f>IFERROR(VLOOKUP($A590,[2]Mssp!$A$5:$BE$1463,AQ$4+1,0),0)</f>
        <v>F124871-2</v>
      </c>
      <c r="AR590" s="59" t="str">
        <f>IFERROR(VLOOKUP($A590,[2]Mssp!$A$5:$BE$1463,AR$4+1,0),0)</f>
        <v>F124871-3</v>
      </c>
      <c r="AS590" s="59" t="str">
        <f>IFERROR(VLOOKUP($A590,[2]Mssp!$A$5:$BE$1463,AS$4+1,0),0)</f>
        <v>F124871G1-4</v>
      </c>
      <c r="AT590" s="59" t="str">
        <f>IFERROR(VLOOKUP($A590,[2]Mssp!$A$5:$BE$1463,AT$4+1,0),0)</f>
        <v>F124871-5</v>
      </c>
      <c r="AU590" s="59" t="str">
        <f>IFERROR(VLOOKUP($A590,[2]Mssp!$A$5:$BE$1463,AU$4+1,0),0)</f>
        <v>F124871-6</v>
      </c>
      <c r="AV590" s="59" t="str">
        <f>IFERROR(VLOOKUP($A590,[2]Mssp!$A$5:$BE$1463,AV$4+1,0),0)</f>
        <v>F124871-7</v>
      </c>
      <c r="AW590" s="59">
        <f>IFERROR(VLOOKUP($A590,[2]Mssp!$A$5:$BE$1463,AW$4+1,0),0)</f>
        <v>0</v>
      </c>
      <c r="AX590" s="59">
        <f>IFERROR(VLOOKUP($A590,[2]Mssp!$A$5:$BE$1463,AX$4+1,0),0)</f>
        <v>0</v>
      </c>
      <c r="AY590" s="59" t="str">
        <f>IFERROR(VLOOKUP($A590,[2]Mssp!$A$5:$BE$1463,AY$4+2,0),0)</f>
        <v>480x870</v>
      </c>
      <c r="AZ590" s="59" t="str">
        <f>IFERROR(VLOOKUP($A590,[2]Mssp!$A$5:$BE$1463,AZ$4+2,0),0)</f>
        <v>Q3</v>
      </c>
      <c r="BA590" s="141"/>
      <c r="BB590" s="61"/>
      <c r="BC590" s="165"/>
      <c r="BD590" s="166"/>
      <c r="BE590" s="167"/>
      <c r="BF590" s="168"/>
      <c r="BG590" s="167"/>
      <c r="BH590" s="168"/>
      <c r="BI590" s="169"/>
      <c r="BJ590" s="168"/>
      <c r="BK590" s="134"/>
      <c r="BL590" s="168"/>
      <c r="BM590" s="167"/>
      <c r="BN590" s="168"/>
      <c r="BO590" s="62"/>
      <c r="BP590" s="168"/>
      <c r="BQ590" s="168"/>
      <c r="BR590" s="168"/>
      <c r="BS590" s="135"/>
      <c r="BT590" s="168"/>
      <c r="BU590" s="167"/>
      <c r="BV590" s="168"/>
      <c r="BW590" s="167"/>
      <c r="BX590" s="168"/>
      <c r="BY590" s="167"/>
      <c r="BZ590" s="168"/>
      <c r="CA590" s="167"/>
      <c r="CB590" s="168"/>
      <c r="CC590" s="167"/>
      <c r="CD590" s="168"/>
      <c r="CE590" s="62"/>
      <c r="CF590" s="62"/>
      <c r="CG590" s="9"/>
      <c r="CH590" s="9"/>
      <c r="CI590" s="9"/>
      <c r="CJ590" s="9"/>
      <c r="CK590" s="9"/>
      <c r="CL590" s="9"/>
      <c r="CM590" s="9"/>
      <c r="CN590" s="9"/>
      <c r="CO590" s="9"/>
      <c r="CP590" s="9"/>
    </row>
    <row r="591" spans="1:94" ht="45" x14ac:dyDescent="0.25">
      <c r="A591" s="127" t="s">
        <v>1907</v>
      </c>
      <c r="B591" s="51" t="s">
        <v>1908</v>
      </c>
      <c r="C591" s="62"/>
      <c r="D591" s="84">
        <v>2</v>
      </c>
      <c r="E591" s="62" t="s">
        <v>1768</v>
      </c>
      <c r="F591" s="62">
        <v>7</v>
      </c>
      <c r="G591" s="62" t="s">
        <v>184</v>
      </c>
      <c r="H591" s="50">
        <f>VLOOKUP($A591,'[1]ma sp 02'!$A$5:$BD$1101,H$1,0)</f>
        <v>0.63</v>
      </c>
      <c r="I591" s="50">
        <f>VLOOKUP($A591,'[1]ma sp 02'!$A$5:$BD$1101,I$1,0)</f>
        <v>3.58</v>
      </c>
      <c r="J591" s="50">
        <f>VLOOKUP($A591,'[1]ma sp 02'!$A$5:$BD$1101,J$1,0)</f>
        <v>0.08</v>
      </c>
      <c r="K591" s="50">
        <f>VLOOKUP($A591,'[1]ma sp 02'!$A$5:$BD$1101,K$1,0)</f>
        <v>0.09</v>
      </c>
      <c r="L591" s="50">
        <f>VLOOKUP($A591,'[1]ma sp 02'!$A$5:$BD$1101,L$1,0)</f>
        <v>1.81</v>
      </c>
      <c r="M591" s="50">
        <f>VLOOKUP($A591,'[1]ma sp 02'!$A$5:$BD$1101,M$1,0)</f>
        <v>0.97</v>
      </c>
      <c r="N591" s="50">
        <f>VLOOKUP($A591,'[1]ma sp 02'!$A$5:$BD$1101,N$1,0)</f>
        <v>0</v>
      </c>
      <c r="O591" s="50">
        <f>VLOOKUP($A591,'[1]ma sp 02'!$A$5:$BD$1101,O$1,0)</f>
        <v>0</v>
      </c>
      <c r="P591" s="50">
        <f>VLOOKUP($A591,'[1]ma sp 02'!$A$5:$BD$1101,P$1,0)</f>
        <v>0.39</v>
      </c>
      <c r="Q591" s="50">
        <f>VLOOKUP($A591,'[1]ma sp 02'!$A$5:$BD$1101,Q$1,0)</f>
        <v>0.74</v>
      </c>
      <c r="R591" s="50">
        <f>VLOOKUP($A591,'[1]ma sp 02'!$A$5:$BD$1101,R$1,0)</f>
        <v>0</v>
      </c>
      <c r="S591" s="50">
        <f>VLOOKUP($A591,'[1]ma sp 02'!$A$5:$BD$1101,S$1,0)</f>
        <v>0</v>
      </c>
      <c r="T591" s="50">
        <f>VLOOKUP($A591,'[1]ma sp 02'!$A$5:$BD$1101,T$1,0)</f>
        <v>0.01</v>
      </c>
      <c r="U591" s="50">
        <f>VLOOKUP($A591,'[1]ma sp 02'!$A$5:$BD$1101,U$1,0)</f>
        <v>0</v>
      </c>
      <c r="V591" s="50">
        <f>VLOOKUP($A591,'[1]ma sp 02'!$A$5:$BD$1101,V$1,0)</f>
        <v>0</v>
      </c>
      <c r="W591" s="50">
        <f>VLOOKUP($A591,'[1]ma sp 02'!$A$5:$BD$1101,W$1,0)</f>
        <v>0</v>
      </c>
      <c r="X591" s="50"/>
      <c r="Y591" s="62"/>
      <c r="Z591" s="62"/>
      <c r="AA591" s="62"/>
      <c r="AB591" s="62"/>
      <c r="AC591" s="62"/>
      <c r="AD591" s="62"/>
      <c r="AE591" s="62" t="s">
        <v>1769</v>
      </c>
      <c r="AF591" s="62" t="s">
        <v>1770</v>
      </c>
      <c r="AG591" s="53">
        <f>(0.02*0.91+0.012*0.925+0.045*1.4)*0.86</f>
        <v>7.937799999999999E-2</v>
      </c>
      <c r="AH591" s="155">
        <f>(2.5/0.75/2)*0.47</f>
        <v>0.78333333333333333</v>
      </c>
      <c r="AI591" s="54">
        <f>(2.5/0.75/2)*0.85</f>
        <v>1.4166666666666667</v>
      </c>
      <c r="AJ591" s="62">
        <v>9530</v>
      </c>
      <c r="AK591" s="62">
        <v>9530</v>
      </c>
      <c r="AL591" s="61" t="s">
        <v>1909</v>
      </c>
      <c r="AM591" s="61" t="s">
        <v>1489</v>
      </c>
      <c r="AN591" s="62">
        <v>270</v>
      </c>
      <c r="AO591" s="61" t="s">
        <v>1910</v>
      </c>
      <c r="AP591" s="59" t="str">
        <f>IFERROR(VLOOKUP($A591,[2]Mssp!$A$5:$BE$1463,AP$4+1,0),0)</f>
        <v>F124868G1-1</v>
      </c>
      <c r="AQ591" s="59" t="str">
        <f>IFERROR(VLOOKUP($A591,[2]Mssp!$A$5:$BE$1463,AQ$4+1,0),0)</f>
        <v>F124868-2</v>
      </c>
      <c r="AR591" s="59" t="str">
        <f>IFERROR(VLOOKUP($A591,[2]Mssp!$A$5:$BE$1463,AR$4+1,0),0)</f>
        <v>F124868-3</v>
      </c>
      <c r="AS591" s="59" t="str">
        <f>IFERROR(VLOOKUP($A591,[2]Mssp!$A$5:$BE$1463,AS$4+1,0),0)</f>
        <v>F124868-4</v>
      </c>
      <c r="AT591" s="59" t="str">
        <f>IFERROR(VLOOKUP($A591,[2]Mssp!$A$5:$BE$1463,AT$4+1,0),0)</f>
        <v>F124868-5</v>
      </c>
      <c r="AU591" s="59" t="str">
        <f>IFERROR(VLOOKUP($A591,[2]Mssp!$A$5:$BE$1463,AU$4+1,0),0)</f>
        <v>F124868-6</v>
      </c>
      <c r="AV591" s="59" t="str">
        <f>IFERROR(VLOOKUP($A591,[2]Mssp!$A$5:$BE$1463,AV$4+1,0),0)</f>
        <v>F124868-7</v>
      </c>
      <c r="AW591" s="59">
        <f>IFERROR(VLOOKUP($A591,[2]Mssp!$A$5:$BE$1463,AW$4+1,0),0)</f>
        <v>0</v>
      </c>
      <c r="AX591" s="59">
        <f>IFERROR(VLOOKUP($A591,[2]Mssp!$A$5:$BE$1463,AX$4+1,0),0)</f>
        <v>0</v>
      </c>
      <c r="AY591" s="59" t="str">
        <f>IFERROR(VLOOKUP($A591,[2]Mssp!$A$5:$BE$1463,AY$4+2,0),0)</f>
        <v>540x860</v>
      </c>
      <c r="AZ591" s="59" t="str">
        <f>IFERROR(VLOOKUP($A591,[2]Mssp!$A$5:$BE$1463,AZ$4+2,0),0)</f>
        <v>Q3</v>
      </c>
      <c r="BA591" s="141"/>
      <c r="BB591" s="61" t="s">
        <v>1784</v>
      </c>
      <c r="BC591" s="165"/>
      <c r="BD591" s="166"/>
      <c r="BE591" s="167"/>
      <c r="BF591" s="168"/>
      <c r="BG591" s="167"/>
      <c r="BH591" s="168"/>
      <c r="BI591" s="169"/>
      <c r="BJ591" s="168"/>
      <c r="BK591" s="134"/>
      <c r="BL591" s="168"/>
      <c r="BM591" s="167"/>
      <c r="BN591" s="168"/>
      <c r="BO591" s="62"/>
      <c r="BP591" s="168"/>
      <c r="BQ591" s="168"/>
      <c r="BR591" s="168"/>
      <c r="BS591" s="135"/>
      <c r="BT591" s="168"/>
      <c r="BU591" s="167"/>
      <c r="BV591" s="168"/>
      <c r="BW591" s="167"/>
      <c r="BX591" s="168"/>
      <c r="BY591" s="167"/>
      <c r="BZ591" s="168"/>
      <c r="CA591" s="167"/>
      <c r="CB591" s="168"/>
      <c r="CC591" s="167"/>
      <c r="CD591" s="168"/>
      <c r="CE591" s="62"/>
      <c r="CF591" s="62"/>
      <c r="CG591" s="9"/>
      <c r="CH591" s="9"/>
      <c r="CI591" s="9"/>
      <c r="CJ591" s="9"/>
      <c r="CK591" s="9"/>
      <c r="CL591" s="9"/>
      <c r="CM591" s="9"/>
      <c r="CN591" s="9"/>
      <c r="CO591" s="9"/>
      <c r="CP591" s="9"/>
    </row>
    <row r="592" spans="1:94" ht="45" x14ac:dyDescent="0.25">
      <c r="A592" s="127" t="s">
        <v>1911</v>
      </c>
      <c r="B592" s="51" t="s">
        <v>1912</v>
      </c>
      <c r="C592" s="62"/>
      <c r="D592" s="84">
        <v>3</v>
      </c>
      <c r="E592" s="62" t="s">
        <v>1913</v>
      </c>
      <c r="F592" s="62">
        <v>6</v>
      </c>
      <c r="G592" s="62" t="s">
        <v>184</v>
      </c>
      <c r="H592" s="50">
        <f>VLOOKUP($A592,'[1]ma sp 02'!$A$5:$BD$1101,H$1,0)</f>
        <v>0.01</v>
      </c>
      <c r="I592" s="50">
        <f>VLOOKUP($A592,'[1]ma sp 02'!$A$5:$BD$1101,I$1,0)</f>
        <v>4.1399999999999997</v>
      </c>
      <c r="J592" s="50">
        <f>VLOOKUP($A592,'[1]ma sp 02'!$A$5:$BD$1101,J$1,0)</f>
        <v>7.0000000000000007E-2</v>
      </c>
      <c r="K592" s="50">
        <f>VLOOKUP($A592,'[1]ma sp 02'!$A$5:$BD$1101,K$1,0)</f>
        <v>0.61</v>
      </c>
      <c r="L592" s="50">
        <f>VLOOKUP($A592,'[1]ma sp 02'!$A$5:$BD$1101,L$1,0)</f>
        <v>0.53</v>
      </c>
      <c r="M592" s="50">
        <f>VLOOKUP($A592,'[1]ma sp 02'!$A$5:$BD$1101,M$1,0)</f>
        <v>2.4500000000000002</v>
      </c>
      <c r="N592" s="50">
        <f>VLOOKUP($A592,'[1]ma sp 02'!$A$5:$BD$1101,N$1,0)</f>
        <v>0</v>
      </c>
      <c r="O592" s="50">
        <f>VLOOKUP($A592,'[1]ma sp 02'!$A$5:$BD$1101,O$1,0)</f>
        <v>0</v>
      </c>
      <c r="P592" s="50">
        <f>VLOOKUP($A592,'[1]ma sp 02'!$A$5:$BD$1101,P$1,0)</f>
        <v>1.22</v>
      </c>
      <c r="Q592" s="50">
        <f>VLOOKUP($A592,'[1]ma sp 02'!$A$5:$BD$1101,Q$1,0)</f>
        <v>0.61</v>
      </c>
      <c r="R592" s="50">
        <f>VLOOKUP($A592,'[1]ma sp 02'!$A$5:$BD$1101,R$1,0)</f>
        <v>0</v>
      </c>
      <c r="S592" s="50">
        <f>VLOOKUP($A592,'[1]ma sp 02'!$A$5:$BD$1101,S$1,0)</f>
        <v>0</v>
      </c>
      <c r="T592" s="50">
        <f>VLOOKUP($A592,'[1]ma sp 02'!$A$5:$BD$1101,T$1,0)</f>
        <v>0</v>
      </c>
      <c r="U592" s="50">
        <f>VLOOKUP($A592,'[1]ma sp 02'!$A$5:$BD$1101,U$1,0)</f>
        <v>0</v>
      </c>
      <c r="V592" s="50">
        <f>VLOOKUP($A592,'[1]ma sp 02'!$A$5:$BD$1101,V$1,0)</f>
        <v>0</v>
      </c>
      <c r="W592" s="50">
        <f>VLOOKUP($A592,'[1]ma sp 02'!$A$5:$BD$1101,W$1,0)</f>
        <v>0</v>
      </c>
      <c r="X592" s="50"/>
      <c r="Y592" s="62"/>
      <c r="Z592" s="62"/>
      <c r="AA592" s="62"/>
      <c r="AB592" s="62"/>
      <c r="AC592" s="62"/>
      <c r="AD592" s="62"/>
      <c r="AE592" s="62" t="s">
        <v>1914</v>
      </c>
      <c r="AF592" s="62"/>
      <c r="AG592" s="53">
        <f>(0.02*0.91+0.05*0.91)*0.83</f>
        <v>5.2871000000000001E-2</v>
      </c>
      <c r="AH592" s="155">
        <f>(2.3/0.75/2)*0.82</f>
        <v>1.2573333333333332</v>
      </c>
      <c r="AI592" s="54"/>
      <c r="AJ592" s="62">
        <v>9530</v>
      </c>
      <c r="AK592" s="62"/>
      <c r="AL592" s="62">
        <v>2.3E-3</v>
      </c>
      <c r="AM592" s="61" t="s">
        <v>1489</v>
      </c>
      <c r="AN592" s="62">
        <v>205</v>
      </c>
      <c r="AO592" s="61" t="s">
        <v>1851</v>
      </c>
      <c r="AP592" s="59" t="str">
        <f>IFERROR(VLOOKUP($A592,[2]Mssp!$A$5:$BE$1463,AP$4+1,0),0)</f>
        <v>F124861-1</v>
      </c>
      <c r="AQ592" s="59" t="str">
        <f>IFERROR(VLOOKUP($A592,[2]Mssp!$A$5:$BE$1463,AQ$4+1,0),0)</f>
        <v>F124861-2</v>
      </c>
      <c r="AR592" s="59" t="str">
        <f>IFERROR(VLOOKUP($A592,[2]Mssp!$A$5:$BE$1463,AR$4+1,0),0)</f>
        <v>F124861-3</v>
      </c>
      <c r="AS592" s="59" t="str">
        <f>IFERROR(VLOOKUP($A592,[2]Mssp!$A$5:$BE$1463,AS$4+1,0),0)</f>
        <v>F124861-4</v>
      </c>
      <c r="AT592" s="59" t="str">
        <f>IFERROR(VLOOKUP($A592,[2]Mssp!$A$5:$BE$1463,AT$4+1,0),0)</f>
        <v>F124861-5</v>
      </c>
      <c r="AU592" s="59" t="str">
        <f>IFERROR(VLOOKUP($A592,[2]Mssp!$A$5:$BE$1463,AU$4+1,0),0)</f>
        <v>F124861-6</v>
      </c>
      <c r="AV592" s="59">
        <f>IFERROR(VLOOKUP($A592,[2]Mssp!$A$5:$BE$1463,AV$4+1,0),0)</f>
        <v>0</v>
      </c>
      <c r="AW592" s="59">
        <f>IFERROR(VLOOKUP($A592,[2]Mssp!$A$5:$BE$1463,AW$4+1,0),0)</f>
        <v>0</v>
      </c>
      <c r="AX592" s="59">
        <f>IFERROR(VLOOKUP($A592,[2]Mssp!$A$5:$BE$1463,AX$4+1,0),0)</f>
        <v>0</v>
      </c>
      <c r="AY592" s="59" t="str">
        <f>IFERROR(VLOOKUP($A592,[2]Mssp!$A$5:$BE$1463,AY$4+2,0),0)</f>
        <v>615x1100</v>
      </c>
      <c r="AZ592" s="59" t="str">
        <f>IFERROR(VLOOKUP($A592,[2]Mssp!$A$5:$BE$1463,AZ$4+2,0),0)</f>
        <v>Q3</v>
      </c>
      <c r="BA592" s="141"/>
      <c r="BB592" s="61" t="s">
        <v>1784</v>
      </c>
      <c r="BC592" s="165"/>
      <c r="BD592" s="166"/>
      <c r="BE592" s="167"/>
      <c r="BF592" s="168"/>
      <c r="BG592" s="167"/>
      <c r="BH592" s="168"/>
      <c r="BI592" s="169"/>
      <c r="BJ592" s="168"/>
      <c r="BK592" s="134"/>
      <c r="BL592" s="168"/>
      <c r="BM592" s="167"/>
      <c r="BN592" s="168"/>
      <c r="BO592" s="62"/>
      <c r="BP592" s="168"/>
      <c r="BQ592" s="168"/>
      <c r="BR592" s="168"/>
      <c r="BS592" s="135"/>
      <c r="BT592" s="168"/>
      <c r="BU592" s="167"/>
      <c r="BV592" s="168"/>
      <c r="BW592" s="167"/>
      <c r="BX592" s="168"/>
      <c r="BY592" s="167"/>
      <c r="BZ592" s="168"/>
      <c r="CA592" s="167"/>
      <c r="CB592" s="168"/>
      <c r="CC592" s="167"/>
      <c r="CD592" s="168"/>
      <c r="CE592" s="62"/>
      <c r="CF592" s="62"/>
      <c r="CG592" s="9"/>
      <c r="CH592" s="9"/>
      <c r="CI592" s="9"/>
      <c r="CJ592" s="9"/>
      <c r="CK592" s="9"/>
      <c r="CL592" s="9"/>
      <c r="CM592" s="9"/>
      <c r="CN592" s="9"/>
      <c r="CO592" s="9"/>
      <c r="CP592" s="9"/>
    </row>
    <row r="593" spans="1:94" ht="45" x14ac:dyDescent="0.25">
      <c r="A593" s="127" t="s">
        <v>1915</v>
      </c>
      <c r="B593" s="51" t="s">
        <v>1916</v>
      </c>
      <c r="C593" s="62"/>
      <c r="D593" s="84">
        <v>2</v>
      </c>
      <c r="E593" s="62" t="s">
        <v>1917</v>
      </c>
      <c r="F593" s="62">
        <v>6</v>
      </c>
      <c r="G593" s="62" t="s">
        <v>184</v>
      </c>
      <c r="H593" s="50">
        <f>VLOOKUP($A593,'[1]ma sp 02'!$A$5:$BD$1101,H$1,0)</f>
        <v>0.48</v>
      </c>
      <c r="I593" s="50">
        <f>VLOOKUP($A593,'[1]ma sp 02'!$A$5:$BD$1101,I$1,0)</f>
        <v>5.53</v>
      </c>
      <c r="J593" s="50">
        <f>VLOOKUP($A593,'[1]ma sp 02'!$A$5:$BD$1101,J$1,0)</f>
        <v>0.34</v>
      </c>
      <c r="K593" s="50">
        <f>VLOOKUP($A593,'[1]ma sp 02'!$A$5:$BD$1101,K$1,0)</f>
        <v>1.17</v>
      </c>
      <c r="L593" s="50">
        <f>VLOOKUP($A593,'[1]ma sp 02'!$A$5:$BD$1101,L$1,0)</f>
        <v>2</v>
      </c>
      <c r="M593" s="50">
        <f>VLOOKUP($A593,'[1]ma sp 02'!$A$5:$BD$1101,M$1,0)</f>
        <v>0.96</v>
      </c>
      <c r="N593" s="50">
        <f>VLOOKUP($A593,'[1]ma sp 02'!$A$5:$BD$1101,N$1,0)</f>
        <v>0</v>
      </c>
      <c r="O593" s="50">
        <f>VLOOKUP($A593,'[1]ma sp 02'!$A$5:$BD$1101,O$1,0)</f>
        <v>0</v>
      </c>
      <c r="P593" s="50">
        <f>VLOOKUP($A593,'[1]ma sp 02'!$A$5:$BD$1101,P$1,0)</f>
        <v>2.21</v>
      </c>
      <c r="Q593" s="50">
        <f>VLOOKUP($A593,'[1]ma sp 02'!$A$5:$BD$1101,Q$1,0)</f>
        <v>0.96</v>
      </c>
      <c r="R593" s="50">
        <f>VLOOKUP($A593,'[1]ma sp 02'!$A$5:$BD$1101,R$1,0)</f>
        <v>0</v>
      </c>
      <c r="S593" s="50">
        <f>VLOOKUP($A593,'[1]ma sp 02'!$A$5:$BD$1101,S$1,0)</f>
        <v>0</v>
      </c>
      <c r="T593" s="50">
        <f>VLOOKUP($A593,'[1]ma sp 02'!$A$5:$BD$1101,T$1,0)</f>
        <v>0</v>
      </c>
      <c r="U593" s="50">
        <f>VLOOKUP($A593,'[1]ma sp 02'!$A$5:$BD$1101,U$1,0)</f>
        <v>0</v>
      </c>
      <c r="V593" s="50">
        <f>VLOOKUP($A593,'[1]ma sp 02'!$A$5:$BD$1101,V$1,0)</f>
        <v>0</v>
      </c>
      <c r="W593" s="50">
        <f>VLOOKUP($A593,'[1]ma sp 02'!$A$5:$BD$1101,W$1,0)</f>
        <v>0</v>
      </c>
      <c r="X593" s="50"/>
      <c r="Y593" s="62"/>
      <c r="Z593" s="62"/>
      <c r="AA593" s="62"/>
      <c r="AB593" s="62"/>
      <c r="AC593" s="62"/>
      <c r="AD593" s="62"/>
      <c r="AE593" s="62" t="s">
        <v>1918</v>
      </c>
      <c r="AF593" s="62"/>
      <c r="AG593" s="53">
        <f>(0.02*0.91+0.05*0.91)*0.92</f>
        <v>5.860400000000001E-2</v>
      </c>
      <c r="AH593" s="155">
        <f>(2.3/0.75/2)*0.91</f>
        <v>1.3953333333333333</v>
      </c>
      <c r="AI593" s="54"/>
      <c r="AJ593" s="62">
        <v>9530</v>
      </c>
      <c r="AK593" s="62"/>
      <c r="AL593" s="62">
        <v>2.3E-3</v>
      </c>
      <c r="AM593" s="61"/>
      <c r="AN593" s="62"/>
      <c r="AO593" s="61" t="s">
        <v>1851</v>
      </c>
      <c r="AP593" s="59" t="str">
        <f>IFERROR(VLOOKUP($A593,[2]Mssp!$A$5:$BE$1463,AP$4+1,0),0)</f>
        <v>F124869-1</v>
      </c>
      <c r="AQ593" s="59" t="str">
        <f>IFERROR(VLOOKUP($A593,[2]Mssp!$A$5:$BE$1463,AQ$4+1,0),0)</f>
        <v>F124869-2</v>
      </c>
      <c r="AR593" s="59" t="str">
        <f>IFERROR(VLOOKUP($A593,[2]Mssp!$A$5:$BE$1463,AR$4+1,0),0)</f>
        <v>F124869-3</v>
      </c>
      <c r="AS593" s="59" t="str">
        <f>IFERROR(VLOOKUP($A593,[2]Mssp!$A$5:$BE$1463,AS$4+1,0),0)</f>
        <v>F124869-4</v>
      </c>
      <c r="AT593" s="59" t="str">
        <f>IFERROR(VLOOKUP($A593,[2]Mssp!$A$5:$BE$1463,AT$4+1,0),0)</f>
        <v>F124869-5</v>
      </c>
      <c r="AU593" s="59" t="str">
        <f>IFERROR(VLOOKUP($A593,[2]Mssp!$A$5:$BE$1463,AU$4+1,0),0)</f>
        <v>F124869-6</v>
      </c>
      <c r="AV593" s="59">
        <f>IFERROR(VLOOKUP($A593,[2]Mssp!$A$5:$BE$1463,AV$4+1,0),0)</f>
        <v>0</v>
      </c>
      <c r="AW593" s="59">
        <f>IFERROR(VLOOKUP($A593,[2]Mssp!$A$5:$BE$1463,AW$4+1,0),0)</f>
        <v>0</v>
      </c>
      <c r="AX593" s="59">
        <f>IFERROR(VLOOKUP($A593,[2]Mssp!$A$5:$BE$1463,AX$4+1,0),0)</f>
        <v>0</v>
      </c>
      <c r="AY593" s="59" t="str">
        <f>IFERROR(VLOOKUP($A593,[2]Mssp!$A$5:$BE$1463,AY$4+2,0),0)</f>
        <v>1100x580</v>
      </c>
      <c r="AZ593" s="59" t="str">
        <f>IFERROR(VLOOKUP($A593,[2]Mssp!$A$5:$BE$1463,AZ$4+2,0),0)</f>
        <v>Q3</v>
      </c>
      <c r="BA593" s="141"/>
      <c r="BB593" s="61"/>
      <c r="BC593" s="165"/>
      <c r="BD593" s="166"/>
      <c r="BE593" s="167"/>
      <c r="BF593" s="168"/>
      <c r="BG593" s="167"/>
      <c r="BH593" s="168"/>
      <c r="BI593" s="169"/>
      <c r="BJ593" s="168"/>
      <c r="BK593" s="134"/>
      <c r="BL593" s="168"/>
      <c r="BM593" s="167"/>
      <c r="BN593" s="168"/>
      <c r="BO593" s="62"/>
      <c r="BP593" s="168"/>
      <c r="BQ593" s="168"/>
      <c r="BR593" s="168"/>
      <c r="BS593" s="135"/>
      <c r="BT593" s="168"/>
      <c r="BU593" s="167"/>
      <c r="BV593" s="168"/>
      <c r="BW593" s="167"/>
      <c r="BX593" s="168"/>
      <c r="BY593" s="167"/>
      <c r="BZ593" s="168"/>
      <c r="CA593" s="167"/>
      <c r="CB593" s="168"/>
      <c r="CC593" s="167"/>
      <c r="CD593" s="168"/>
      <c r="CE593" s="62"/>
      <c r="CF593" s="62"/>
      <c r="CG593" s="9"/>
      <c r="CH593" s="9"/>
      <c r="CI593" s="9"/>
      <c r="CJ593" s="9"/>
      <c r="CK593" s="9"/>
      <c r="CL593" s="9"/>
      <c r="CM593" s="9"/>
      <c r="CN593" s="9"/>
      <c r="CO593" s="9"/>
      <c r="CP593" s="9"/>
    </row>
    <row r="594" spans="1:94" ht="45" x14ac:dyDescent="0.25">
      <c r="A594" s="127" t="s">
        <v>1919</v>
      </c>
      <c r="B594" s="51" t="s">
        <v>1920</v>
      </c>
      <c r="C594" s="62"/>
      <c r="D594" s="109">
        <v>3</v>
      </c>
      <c r="E594" s="62" t="s">
        <v>636</v>
      </c>
      <c r="F594" s="57">
        <v>4</v>
      </c>
      <c r="G594" s="50" t="s">
        <v>530</v>
      </c>
      <c r="H594" s="50">
        <f>VLOOKUP($A594,'[1]ma sp 02'!$A$5:$BD$1101,H$1,0)</f>
        <v>0</v>
      </c>
      <c r="I594" s="50">
        <f>VLOOKUP($A594,'[1]ma sp 02'!$A$5:$BD$1101,I$1,0)</f>
        <v>1.0900000000000001</v>
      </c>
      <c r="J594" s="50">
        <f>VLOOKUP($A594,'[1]ma sp 02'!$A$5:$BD$1101,J$1,0)</f>
        <v>0.03</v>
      </c>
      <c r="K594" s="50">
        <f>VLOOKUP($A594,'[1]ma sp 02'!$A$5:$BD$1101,K$1,0)</f>
        <v>0</v>
      </c>
      <c r="L594" s="50">
        <f>VLOOKUP($A594,'[1]ma sp 02'!$A$5:$BD$1101,L$1,0)</f>
        <v>0</v>
      </c>
      <c r="M594" s="50">
        <f>VLOOKUP($A594,'[1]ma sp 02'!$A$5:$BD$1101,M$1,0)</f>
        <v>0</v>
      </c>
      <c r="N594" s="50">
        <f>VLOOKUP($A594,'[1]ma sp 02'!$A$5:$BD$1101,N$1,0)</f>
        <v>3.6</v>
      </c>
      <c r="O594" s="50">
        <f>VLOOKUP($A594,'[1]ma sp 02'!$A$5:$BD$1101,O$1,0)</f>
        <v>0.46</v>
      </c>
      <c r="P594" s="50">
        <f>VLOOKUP($A594,'[1]ma sp 02'!$A$5:$BD$1101,P$1,0)</f>
        <v>0.01</v>
      </c>
      <c r="Q594" s="50">
        <f>VLOOKUP($A594,'[1]ma sp 02'!$A$5:$BD$1101,Q$1,0)</f>
        <v>0</v>
      </c>
      <c r="R594" s="50">
        <f>VLOOKUP($A594,'[1]ma sp 02'!$A$5:$BD$1101,R$1,0)</f>
        <v>0</v>
      </c>
      <c r="S594" s="50">
        <f>VLOOKUP($A594,'[1]ma sp 02'!$A$5:$BD$1101,S$1,0)</f>
        <v>0</v>
      </c>
      <c r="T594" s="50">
        <f>VLOOKUP($A594,'[1]ma sp 02'!$A$5:$BD$1101,T$1,0)</f>
        <v>0</v>
      </c>
      <c r="U594" s="50">
        <f>VLOOKUP($A594,'[1]ma sp 02'!$A$5:$BD$1101,U$1,0)</f>
        <v>0</v>
      </c>
      <c r="V594" s="50">
        <f>VLOOKUP($A594,'[1]ma sp 02'!$A$5:$BD$1101,V$1,0)</f>
        <v>0</v>
      </c>
      <c r="W594" s="50">
        <f>VLOOKUP($A594,'[1]ma sp 02'!$A$5:$BD$1101,W$1,0)</f>
        <v>0</v>
      </c>
      <c r="X594" s="50">
        <f>COUNTIF(H594:W594, "&gt;0")</f>
        <v>5</v>
      </c>
      <c r="Y594" s="62"/>
      <c r="Z594" s="62"/>
      <c r="AA594" s="62"/>
      <c r="AB594" s="62"/>
      <c r="AC594" s="62"/>
      <c r="AD594" s="62"/>
      <c r="AE594" s="62" t="s">
        <v>1593</v>
      </c>
      <c r="AF594" s="62" t="s">
        <v>321</v>
      </c>
      <c r="AG594" s="71">
        <f>(0.012*1.4+0.012*1.4+0.075*0.925)*0.74</f>
        <v>7.6201500000000005E-2</v>
      </c>
      <c r="AH594" s="153">
        <f>(2.3/0.75/2)*0.73</f>
        <v>1.1193333333333333</v>
      </c>
      <c r="AI594" s="63">
        <f>(3/0.75/2)*0.73</f>
        <v>1.46</v>
      </c>
      <c r="AJ594" s="58">
        <v>9530</v>
      </c>
      <c r="AK594" s="58">
        <v>9530</v>
      </c>
      <c r="AL594" s="58" t="s">
        <v>117</v>
      </c>
      <c r="AM594" s="52" t="s">
        <v>60</v>
      </c>
      <c r="AN594" s="62">
        <v>270</v>
      </c>
      <c r="AO594" s="61" t="s">
        <v>332</v>
      </c>
      <c r="AP594" s="59" t="str">
        <f>IFERROR(VLOOKUP($A594,[2]Mssp!$A$5:$BE$1463,AP$4+1,0),0)</f>
        <v>1911696-1</v>
      </c>
      <c r="AQ594" s="59" t="str">
        <f>IFERROR(VLOOKUP($A594,[2]Mssp!$A$5:$BE$1463,AQ$4+1,0),0)</f>
        <v>1911696-2</v>
      </c>
      <c r="AR594" s="59" t="str">
        <f>IFERROR(VLOOKUP($A594,[2]Mssp!$A$5:$BE$1463,AR$4+1,0),0)</f>
        <v>1911696-3</v>
      </c>
      <c r="AS594" s="59" t="str">
        <f>IFERROR(VLOOKUP($A594,[2]Mssp!$A$5:$BE$1463,AS$4+1,0),0)</f>
        <v>1911696-4</v>
      </c>
      <c r="AT594" s="59">
        <f>IFERROR(VLOOKUP($A594,[2]Mssp!$A$5:$BE$1463,AT$4+1,0),0)</f>
        <v>0</v>
      </c>
      <c r="AU594" s="59">
        <f>IFERROR(VLOOKUP($A594,[2]Mssp!$A$5:$BE$1463,AU$4+1,0),0)</f>
        <v>0</v>
      </c>
      <c r="AV594" s="59">
        <f>IFERROR(VLOOKUP($A594,[2]Mssp!$A$5:$BE$1463,AV$4+1,0),0)</f>
        <v>0</v>
      </c>
      <c r="AW594" s="59">
        <f>IFERROR(VLOOKUP($A594,[2]Mssp!$A$5:$BE$1463,AW$4+1,0),0)</f>
        <v>0</v>
      </c>
      <c r="AX594" s="59">
        <f>IFERROR(VLOOKUP($A594,[2]Mssp!$A$5:$BE$1463,AX$4+1,0),0)</f>
        <v>0</v>
      </c>
      <c r="AY594" s="59" t="str">
        <f>IFERROR(VLOOKUP($A594,[2]Mssp!$A$5:$BE$1463,AY$4+2,0),0)</f>
        <v>680x860</v>
      </c>
      <c r="AZ594" s="59" t="str">
        <f>IFERROR(VLOOKUP($A594,[2]Mssp!$A$5:$BE$1463,AZ$4+2,0),0)</f>
        <v>G3</v>
      </c>
      <c r="BA594" s="141">
        <v>3500</v>
      </c>
      <c r="BB594" s="61" t="s">
        <v>1894</v>
      </c>
      <c r="BC594" s="165"/>
      <c r="BD594" s="166"/>
      <c r="BE594" s="167"/>
      <c r="BF594" s="168"/>
      <c r="BG594" s="167"/>
      <c r="BH594" s="168"/>
      <c r="BI594" s="169"/>
      <c r="BJ594" s="168"/>
      <c r="BK594" s="134"/>
      <c r="BL594" s="168"/>
      <c r="BM594" s="167"/>
      <c r="BN594" s="168"/>
      <c r="BO594" s="62"/>
      <c r="BP594" s="168"/>
      <c r="BQ594" s="168"/>
      <c r="BR594" s="168"/>
      <c r="BS594" s="135"/>
      <c r="BT594" s="168"/>
      <c r="BU594" s="167"/>
      <c r="BV594" s="168"/>
      <c r="BW594" s="167"/>
      <c r="BX594" s="168"/>
      <c r="BY594" s="167"/>
      <c r="BZ594" s="168"/>
      <c r="CA594" s="167"/>
      <c r="CB594" s="168"/>
      <c r="CC594" s="167"/>
      <c r="CD594" s="168"/>
      <c r="CE594" s="62"/>
      <c r="CF594" s="62"/>
      <c r="CG594" s="9"/>
      <c r="CH594" s="9"/>
      <c r="CI594" s="9"/>
      <c r="CJ594" s="9"/>
      <c r="CK594" s="9"/>
      <c r="CL594" s="9"/>
      <c r="CM594" s="9"/>
      <c r="CN594" s="9"/>
      <c r="CO594" s="9"/>
      <c r="CP594" s="9"/>
    </row>
    <row r="595" spans="1:94" ht="30" x14ac:dyDescent="0.25">
      <c r="A595" s="127" t="s">
        <v>1921</v>
      </c>
      <c r="B595" s="51" t="s">
        <v>1922</v>
      </c>
      <c r="C595" s="62"/>
      <c r="D595" s="84">
        <v>2</v>
      </c>
      <c r="E595" s="62" t="s">
        <v>131</v>
      </c>
      <c r="F595" s="62">
        <v>7</v>
      </c>
      <c r="G595" s="62" t="s">
        <v>530</v>
      </c>
      <c r="H595" s="50">
        <f>VLOOKUP($A595,'[1]ma sp 02'!$A$5:$BD$1101,H$1,0)</f>
        <v>0.215</v>
      </c>
      <c r="I595" s="50">
        <f>VLOOKUP($A595,'[1]ma sp 02'!$A$5:$BD$1101,I$1,0)</f>
        <v>0.35</v>
      </c>
      <c r="J595" s="50">
        <f>VLOOKUP($A595,'[1]ma sp 02'!$A$5:$BD$1101,J$1,0)</f>
        <v>0.86</v>
      </c>
      <c r="K595" s="50">
        <f>VLOOKUP($A595,'[1]ma sp 02'!$A$5:$BD$1101,K$1,0)</f>
        <v>1.1399999999999999</v>
      </c>
      <c r="L595" s="50">
        <f>VLOOKUP($A595,'[1]ma sp 02'!$A$5:$BD$1101,L$1,0)</f>
        <v>1.36</v>
      </c>
      <c r="M595" s="50">
        <f>VLOOKUP($A595,'[1]ma sp 02'!$A$5:$BD$1101,M$1,0)</f>
        <v>3.01</v>
      </c>
      <c r="N595" s="50">
        <f>VLOOKUP($A595,'[1]ma sp 02'!$A$5:$BD$1101,N$1,0)</f>
        <v>0.01</v>
      </c>
      <c r="O595" s="50">
        <f>VLOOKUP($A595,'[1]ma sp 02'!$A$5:$BD$1101,O$1,0)</f>
        <v>0.01</v>
      </c>
      <c r="P595" s="50">
        <f>VLOOKUP($A595,'[1]ma sp 02'!$A$5:$BD$1101,P$1,0)</f>
        <v>0</v>
      </c>
      <c r="Q595" s="50">
        <f>VLOOKUP($A595,'[1]ma sp 02'!$A$5:$BD$1101,Q$1,0)</f>
        <v>0</v>
      </c>
      <c r="R595" s="50">
        <f>VLOOKUP($A595,'[1]ma sp 02'!$A$5:$BD$1101,R$1,0)</f>
        <v>0</v>
      </c>
      <c r="S595" s="50">
        <f>VLOOKUP($A595,'[1]ma sp 02'!$A$5:$BD$1101,S$1,0)</f>
        <v>0</v>
      </c>
      <c r="T595" s="50">
        <f>VLOOKUP($A595,'[1]ma sp 02'!$A$5:$BD$1101,T$1,0)</f>
        <v>0</v>
      </c>
      <c r="U595" s="50">
        <f>VLOOKUP($A595,'[1]ma sp 02'!$A$5:$BD$1101,U$1,0)</f>
        <v>0</v>
      </c>
      <c r="V595" s="50">
        <f>VLOOKUP($A595,'[1]ma sp 02'!$A$5:$BD$1101,V$1,0)</f>
        <v>0</v>
      </c>
      <c r="W595" s="50">
        <f>VLOOKUP($A595,'[1]ma sp 02'!$A$5:$BD$1101,W$1,0)</f>
        <v>0</v>
      </c>
      <c r="X595" s="50"/>
      <c r="Y595" s="62"/>
      <c r="Z595" s="62"/>
      <c r="AA595" s="62"/>
      <c r="AB595" s="62"/>
      <c r="AC595" s="62"/>
      <c r="AD595" s="62"/>
      <c r="AE595" s="62" t="s">
        <v>71</v>
      </c>
      <c r="AF595" s="62" t="s">
        <v>324</v>
      </c>
      <c r="AG595" s="71">
        <f>(0.012*1.4+0.012*1.4+0.075*0.925)*0.62</f>
        <v>6.3844500000000012E-2</v>
      </c>
      <c r="AH595" s="155">
        <f>(2.3/0.75/2)*0.61</f>
        <v>0.93533333333333324</v>
      </c>
      <c r="AI595" s="54">
        <f>(3/0.75/2)*0.61</f>
        <v>1.22</v>
      </c>
      <c r="AJ595" s="62">
        <v>9530</v>
      </c>
      <c r="AK595" s="62">
        <v>9530</v>
      </c>
      <c r="AL595" s="62" t="s">
        <v>1818</v>
      </c>
      <c r="AM595" s="61" t="s">
        <v>1893</v>
      </c>
      <c r="AN595" s="62">
        <v>340</v>
      </c>
      <c r="AO595" s="61" t="s">
        <v>332</v>
      </c>
      <c r="AP595" s="59" t="str">
        <f>IFERROR(VLOOKUP($A595,[2]Mssp!$A$5:$BE$1463,AP$4+1,0),0)</f>
        <v>1911697-1</v>
      </c>
      <c r="AQ595" s="59" t="str">
        <f>IFERROR(VLOOKUP($A595,[2]Mssp!$A$5:$BE$1463,AQ$4+1,0),0)</f>
        <v>1911697-2</v>
      </c>
      <c r="AR595" s="59" t="str">
        <f>IFERROR(VLOOKUP($A595,[2]Mssp!$A$5:$BE$1463,AR$4+1,0),0)</f>
        <v>1911697-3</v>
      </c>
      <c r="AS595" s="59" t="str">
        <f>IFERROR(VLOOKUP($A595,[2]Mssp!$A$5:$BE$1463,AS$4+1,0),0)</f>
        <v>1911697-4</v>
      </c>
      <c r="AT595" s="59" t="str">
        <f>IFERROR(VLOOKUP($A595,[2]Mssp!$A$5:$BE$1463,AT$4+1,0),0)</f>
        <v>1911697-5</v>
      </c>
      <c r="AU595" s="59" t="str">
        <f>IFERROR(VLOOKUP($A595,[2]Mssp!$A$5:$BE$1463,AU$4+1,0),0)</f>
        <v>1911697-6</v>
      </c>
      <c r="AV595" s="59" t="str">
        <f>IFERROR(VLOOKUP($A595,[2]Mssp!$A$5:$BE$1463,AV$4+1,0),0)</f>
        <v>1911697-7</v>
      </c>
      <c r="AW595" s="59">
        <f>IFERROR(VLOOKUP($A595,[2]Mssp!$A$5:$BE$1463,AW$4+1,0),0)</f>
        <v>0</v>
      </c>
      <c r="AX595" s="59">
        <f>IFERROR(VLOOKUP($A595,[2]Mssp!$A$5:$BE$1463,AX$4+1,0),0)</f>
        <v>0</v>
      </c>
      <c r="AY595" s="59" t="str">
        <f>IFERROR(VLOOKUP($A595,[2]Mssp!$A$5:$BE$1463,AY$4+2,0),0)</f>
        <v>500x870</v>
      </c>
      <c r="AZ595" s="59" t="str">
        <f>IFERROR(VLOOKUP($A595,[2]Mssp!$A$5:$BE$1463,AZ$4+2,0),0)</f>
        <v>G3</v>
      </c>
      <c r="BA595" s="141"/>
      <c r="BB595" s="61"/>
      <c r="BC595" s="165"/>
      <c r="BD595" s="166"/>
      <c r="BE595" s="167"/>
      <c r="BF595" s="168"/>
      <c r="BG595" s="167"/>
      <c r="BH595" s="168"/>
      <c r="BI595" s="169"/>
      <c r="BJ595" s="168"/>
      <c r="BK595" s="134"/>
      <c r="BL595" s="168"/>
      <c r="BM595" s="167"/>
      <c r="BN595" s="168"/>
      <c r="BO595" s="62"/>
      <c r="BP595" s="168"/>
      <c r="BQ595" s="168"/>
      <c r="BR595" s="168"/>
      <c r="BS595" s="135"/>
      <c r="BT595" s="168"/>
      <c r="BU595" s="167"/>
      <c r="BV595" s="168"/>
      <c r="BW595" s="167"/>
      <c r="BX595" s="168"/>
      <c r="BY595" s="167"/>
      <c r="BZ595" s="168"/>
      <c r="CA595" s="167"/>
      <c r="CB595" s="168"/>
      <c r="CC595" s="167"/>
      <c r="CD595" s="168"/>
      <c r="CE595" s="62"/>
      <c r="CF595" s="62"/>
      <c r="CG595" s="9"/>
      <c r="CH595" s="9"/>
      <c r="CI595" s="9"/>
      <c r="CJ595" s="9"/>
      <c r="CK595" s="9"/>
      <c r="CL595" s="9"/>
      <c r="CM595" s="9"/>
      <c r="CN595" s="9"/>
      <c r="CO595" s="9"/>
      <c r="CP595" s="9"/>
    </row>
    <row r="596" spans="1:94" ht="30" x14ac:dyDescent="0.25">
      <c r="A596" s="127" t="s">
        <v>1923</v>
      </c>
      <c r="B596" s="51" t="s">
        <v>1924</v>
      </c>
      <c r="C596" s="62"/>
      <c r="D596" s="84">
        <v>2</v>
      </c>
      <c r="E596" s="62" t="s">
        <v>90</v>
      </c>
      <c r="F596" s="62">
        <v>4</v>
      </c>
      <c r="G596" s="62" t="s">
        <v>184</v>
      </c>
      <c r="H596" s="50">
        <f>VLOOKUP($A596,'[1]ma sp 02'!$A$5:$BD$1101,H$1,0)</f>
        <v>0</v>
      </c>
      <c r="I596" s="50">
        <f>VLOOKUP($A596,'[1]ma sp 02'!$A$5:$BD$1101,I$1,0)</f>
        <v>7.01</v>
      </c>
      <c r="J596" s="50">
        <f>VLOOKUP($A596,'[1]ma sp 02'!$A$5:$BD$1101,J$1,0)</f>
        <v>0.8</v>
      </c>
      <c r="K596" s="50">
        <f>VLOOKUP($A596,'[1]ma sp 02'!$A$5:$BD$1101,K$1,0)</f>
        <v>0</v>
      </c>
      <c r="L596" s="50">
        <f>VLOOKUP($A596,'[1]ma sp 02'!$A$5:$BD$1101,L$1,0)</f>
        <v>0</v>
      </c>
      <c r="M596" s="50">
        <f>VLOOKUP($A596,'[1]ma sp 02'!$A$5:$BD$1101,M$1,0)</f>
        <v>1.47</v>
      </c>
      <c r="N596" s="50">
        <f>VLOOKUP($A596,'[1]ma sp 02'!$A$5:$BD$1101,N$1,0)</f>
        <v>1.47</v>
      </c>
      <c r="O596" s="50">
        <f>VLOOKUP($A596,'[1]ma sp 02'!$A$5:$BD$1101,O$1,0)</f>
        <v>0</v>
      </c>
      <c r="P596" s="50">
        <f>VLOOKUP($A596,'[1]ma sp 02'!$A$5:$BD$1101,P$1,0)</f>
        <v>0</v>
      </c>
      <c r="Q596" s="50">
        <f>VLOOKUP($A596,'[1]ma sp 02'!$A$5:$BD$1101,Q$1,0)</f>
        <v>0</v>
      </c>
      <c r="R596" s="50">
        <f>VLOOKUP($A596,'[1]ma sp 02'!$A$5:$BD$1101,R$1,0)</f>
        <v>0.3</v>
      </c>
      <c r="S596" s="50">
        <f>VLOOKUP($A596,'[1]ma sp 02'!$A$5:$BD$1101,S$1,0)</f>
        <v>0</v>
      </c>
      <c r="T596" s="50">
        <f>VLOOKUP($A596,'[1]ma sp 02'!$A$5:$BD$1101,T$1,0)</f>
        <v>0.01</v>
      </c>
      <c r="U596" s="50">
        <f>VLOOKUP($A596,'[1]ma sp 02'!$A$5:$BD$1101,U$1,0)</f>
        <v>0</v>
      </c>
      <c r="V596" s="50">
        <f>VLOOKUP($A596,'[1]ma sp 02'!$A$5:$BD$1101,V$1,0)</f>
        <v>0</v>
      </c>
      <c r="W596" s="50">
        <f>VLOOKUP($A596,'[1]ma sp 02'!$A$5:$BD$1101,W$1,0)</f>
        <v>0</v>
      </c>
      <c r="X596" s="50"/>
      <c r="Y596" s="62"/>
      <c r="Z596" s="62"/>
      <c r="AA596" s="62"/>
      <c r="AB596" s="62"/>
      <c r="AC596" s="62"/>
      <c r="AD596" s="62"/>
      <c r="AE596" s="62" t="s">
        <v>1925</v>
      </c>
      <c r="AF596" s="62"/>
      <c r="AG596" s="71">
        <f>(0.02*0.91+0.045*0.925)*0.7</f>
        <v>4.1877499999999998E-2</v>
      </c>
      <c r="AH596" s="155">
        <f>(2.5/0.75/2)*0.61</f>
        <v>1.0166666666666666</v>
      </c>
      <c r="AI596" s="54"/>
      <c r="AJ596" s="62">
        <v>9530</v>
      </c>
      <c r="AK596" s="62"/>
      <c r="AL596" s="62">
        <v>2.5000000000000001E-3</v>
      </c>
      <c r="AM596" s="61" t="s">
        <v>1926</v>
      </c>
      <c r="AN596" s="62">
        <v>250</v>
      </c>
      <c r="AO596" s="61" t="s">
        <v>1927</v>
      </c>
      <c r="AP596" s="59" t="str">
        <f>IFERROR(VLOOKUP($A596,[2]Mssp!$A$5:$BE$1463,AP$4+1,0),0)</f>
        <v>F124870-1</v>
      </c>
      <c r="AQ596" s="59" t="str">
        <f>IFERROR(VLOOKUP($A596,[2]Mssp!$A$5:$BE$1463,AQ$4+1,0),0)</f>
        <v>F124870-2</v>
      </c>
      <c r="AR596" s="59" t="str">
        <f>IFERROR(VLOOKUP($A596,[2]Mssp!$A$5:$BE$1463,AR$4+1,0),0)</f>
        <v>F124870-3</v>
      </c>
      <c r="AS596" s="59" t="str">
        <f>IFERROR(VLOOKUP($A596,[2]Mssp!$A$5:$BE$1463,AS$4+1,0),0)</f>
        <v>F124870-4</v>
      </c>
      <c r="AT596" s="59">
        <f>IFERROR(VLOOKUP($A596,[2]Mssp!$A$5:$BE$1463,AT$4+1,0),0)</f>
        <v>0</v>
      </c>
      <c r="AU596" s="59">
        <f>IFERROR(VLOOKUP($A596,[2]Mssp!$A$5:$BE$1463,AU$4+1,0),0)</f>
        <v>0</v>
      </c>
      <c r="AV596" s="59">
        <f>IFERROR(VLOOKUP($A596,[2]Mssp!$A$5:$BE$1463,AV$4+1,0),0)</f>
        <v>0</v>
      </c>
      <c r="AW596" s="59">
        <f>IFERROR(VLOOKUP($A596,[2]Mssp!$A$5:$BE$1463,AW$4+1,0),0)</f>
        <v>0</v>
      </c>
      <c r="AX596" s="59">
        <f>IFERROR(VLOOKUP($A596,[2]Mssp!$A$5:$BE$1463,AX$4+1,0),0)</f>
        <v>0</v>
      </c>
      <c r="AY596" s="59" t="str">
        <f>IFERROR(VLOOKUP($A596,[2]Mssp!$A$5:$BE$1463,AY$4+2,0),0)</f>
        <v>500x870</v>
      </c>
      <c r="AZ596" s="59" t="str">
        <f>IFERROR(VLOOKUP($A596,[2]Mssp!$A$5:$BE$1463,AZ$4+2,0),0)</f>
        <v>Q3</v>
      </c>
      <c r="BA596" s="141"/>
      <c r="BB596" s="61"/>
      <c r="BC596" s="165"/>
      <c r="BD596" s="166"/>
      <c r="BE596" s="167"/>
      <c r="BF596" s="168"/>
      <c r="BG596" s="167"/>
      <c r="BH596" s="168"/>
      <c r="BI596" s="169"/>
      <c r="BJ596" s="168"/>
      <c r="BK596" s="134"/>
      <c r="BL596" s="168"/>
      <c r="BM596" s="167"/>
      <c r="BN596" s="168"/>
      <c r="BO596" s="62"/>
      <c r="BP596" s="168"/>
      <c r="BQ596" s="168"/>
      <c r="BR596" s="168"/>
      <c r="BS596" s="135"/>
      <c r="BT596" s="168"/>
      <c r="BU596" s="167"/>
      <c r="BV596" s="168"/>
      <c r="BW596" s="167"/>
      <c r="BX596" s="168"/>
      <c r="BY596" s="167"/>
      <c r="BZ596" s="168"/>
      <c r="CA596" s="167"/>
      <c r="CB596" s="168"/>
      <c r="CC596" s="167"/>
      <c r="CD596" s="168"/>
      <c r="CE596" s="62"/>
      <c r="CF596" s="62"/>
      <c r="CG596" s="9"/>
      <c r="CH596" s="9"/>
      <c r="CI596" s="9"/>
      <c r="CJ596" s="9"/>
      <c r="CK596" s="9"/>
      <c r="CL596" s="9"/>
      <c r="CM596" s="9"/>
      <c r="CN596" s="9"/>
      <c r="CO596" s="9"/>
      <c r="CP596" s="9"/>
    </row>
    <row r="597" spans="1:94" ht="30" x14ac:dyDescent="0.25">
      <c r="A597" s="127" t="s">
        <v>1928</v>
      </c>
      <c r="B597" s="51" t="s">
        <v>1929</v>
      </c>
      <c r="C597" s="62"/>
      <c r="D597" s="84">
        <v>2</v>
      </c>
      <c r="E597" s="62" t="s">
        <v>90</v>
      </c>
      <c r="F597" s="62">
        <v>4</v>
      </c>
      <c r="G597" s="62" t="s">
        <v>184</v>
      </c>
      <c r="H597" s="50">
        <f>VLOOKUP($A597,'[1]ma sp 02'!$A$5:$BD$1101,H$1,0)</f>
        <v>0.123</v>
      </c>
      <c r="I597" s="50">
        <f>VLOOKUP($A597,'[1]ma sp 02'!$A$5:$BD$1101,I$1,0)</f>
        <v>5.907</v>
      </c>
      <c r="J597" s="50">
        <f>VLOOKUP($A597,'[1]ma sp 02'!$A$5:$BD$1101,J$1,0)</f>
        <v>0.98</v>
      </c>
      <c r="K597" s="50">
        <f>VLOOKUP($A597,'[1]ma sp 02'!$A$5:$BD$1101,K$1,0)</f>
        <v>0</v>
      </c>
      <c r="L597" s="50">
        <f>VLOOKUP($A597,'[1]ma sp 02'!$A$5:$BD$1101,L$1,0)</f>
        <v>0.123</v>
      </c>
      <c r="M597" s="50">
        <f>VLOOKUP($A597,'[1]ma sp 02'!$A$5:$BD$1101,M$1,0)</f>
        <v>0.36899999999999999</v>
      </c>
      <c r="N597" s="50">
        <f>VLOOKUP($A597,'[1]ma sp 02'!$A$5:$BD$1101,N$1,0)</f>
        <v>0.36</v>
      </c>
      <c r="O597" s="50">
        <f>VLOOKUP($A597,'[1]ma sp 02'!$A$5:$BD$1101,O$1,0)</f>
        <v>0</v>
      </c>
      <c r="P597" s="50">
        <f>VLOOKUP($A597,'[1]ma sp 02'!$A$5:$BD$1101,P$1,0)</f>
        <v>0</v>
      </c>
      <c r="Q597" s="50">
        <f>VLOOKUP($A597,'[1]ma sp 02'!$A$5:$BD$1101,Q$1,0)</f>
        <v>0</v>
      </c>
      <c r="R597" s="50">
        <f>VLOOKUP($A597,'[1]ma sp 02'!$A$5:$BD$1101,R$1,0)</f>
        <v>0.123</v>
      </c>
      <c r="S597" s="50">
        <f>VLOOKUP($A597,'[1]ma sp 02'!$A$5:$BD$1101,S$1,0)</f>
        <v>0.185</v>
      </c>
      <c r="T597" s="50">
        <f>VLOOKUP($A597,'[1]ma sp 02'!$A$5:$BD$1101,T$1,0)</f>
        <v>0.01</v>
      </c>
      <c r="U597" s="50">
        <f>VLOOKUP($A597,'[1]ma sp 02'!$A$5:$BD$1101,U$1,0)</f>
        <v>0</v>
      </c>
      <c r="V597" s="50">
        <f>VLOOKUP($A597,'[1]ma sp 02'!$A$5:$BD$1101,V$1,0)</f>
        <v>0</v>
      </c>
      <c r="W597" s="50">
        <f>VLOOKUP($A597,'[1]ma sp 02'!$A$5:$BD$1101,W$1,0)</f>
        <v>0</v>
      </c>
      <c r="X597" s="50"/>
      <c r="Y597" s="62"/>
      <c r="Z597" s="62"/>
      <c r="AA597" s="62"/>
      <c r="AB597" s="62"/>
      <c r="AC597" s="62"/>
      <c r="AD597" s="62"/>
      <c r="AE597" s="62" t="s">
        <v>1925</v>
      </c>
      <c r="AF597" s="62"/>
      <c r="AG597" s="71">
        <f>(0.02*0.91+0.045*0.925)*0.7</f>
        <v>4.1877499999999998E-2</v>
      </c>
      <c r="AH597" s="155">
        <f>(2.5/0.75/2)*0.61</f>
        <v>1.0166666666666666</v>
      </c>
      <c r="AI597" s="54"/>
      <c r="AJ597" s="62">
        <v>9530</v>
      </c>
      <c r="AK597" s="62"/>
      <c r="AL597" s="62">
        <v>2.5000000000000001E-3</v>
      </c>
      <c r="AM597" s="61" t="s">
        <v>1926</v>
      </c>
      <c r="AN597" s="62">
        <v>250</v>
      </c>
      <c r="AO597" s="61" t="s">
        <v>1927</v>
      </c>
      <c r="AP597" s="59" t="str">
        <f>IFERROR(VLOOKUP($A597,[2]Mssp!$A$5:$BE$1463,AP$4+1,0),0)</f>
        <v>F124870G2-1</v>
      </c>
      <c r="AQ597" s="59" t="str">
        <f>IFERROR(VLOOKUP($A597,[2]Mssp!$A$5:$BE$1463,AQ$4+1,0),0)</f>
        <v>F124870-2</v>
      </c>
      <c r="AR597" s="59" t="str">
        <f>IFERROR(VLOOKUP($A597,[2]Mssp!$A$5:$BE$1463,AR$4+1,0),0)</f>
        <v>F124870-3</v>
      </c>
      <c r="AS597" s="59" t="str">
        <f>IFERROR(VLOOKUP($A597,[2]Mssp!$A$5:$BE$1463,AS$4+1,0),0)</f>
        <v>F124870-4</v>
      </c>
      <c r="AT597" s="59">
        <f>IFERROR(VLOOKUP($A597,[2]Mssp!$A$5:$BE$1463,AT$4+1,0),0)</f>
        <v>0</v>
      </c>
      <c r="AU597" s="59">
        <f>IFERROR(VLOOKUP($A597,[2]Mssp!$A$5:$BE$1463,AU$4+1,0),0)</f>
        <v>0</v>
      </c>
      <c r="AV597" s="59">
        <f>IFERROR(VLOOKUP($A597,[2]Mssp!$A$5:$BE$1463,AV$4+1,0),0)</f>
        <v>0</v>
      </c>
      <c r="AW597" s="59">
        <f>IFERROR(VLOOKUP($A597,[2]Mssp!$A$5:$BE$1463,AW$4+1,0),0)</f>
        <v>0</v>
      </c>
      <c r="AX597" s="59">
        <f>IFERROR(VLOOKUP($A597,[2]Mssp!$A$5:$BE$1463,AX$4+1,0),0)</f>
        <v>0</v>
      </c>
      <c r="AY597" s="59" t="str">
        <f>IFERROR(VLOOKUP($A597,[2]Mssp!$A$5:$BE$1463,AY$4+2,0),0)</f>
        <v>500x870</v>
      </c>
      <c r="AZ597" s="59" t="str">
        <f>IFERROR(VLOOKUP($A597,[2]Mssp!$A$5:$BE$1463,AZ$4+2,0),0)</f>
        <v>Q3</v>
      </c>
      <c r="BA597" s="141"/>
      <c r="BB597" s="61"/>
      <c r="BC597" s="165"/>
      <c r="BD597" s="166"/>
      <c r="BE597" s="167"/>
      <c r="BF597" s="168"/>
      <c r="BG597" s="167"/>
      <c r="BH597" s="168"/>
      <c r="BI597" s="169"/>
      <c r="BJ597" s="168"/>
      <c r="BK597" s="134"/>
      <c r="BL597" s="168"/>
      <c r="BM597" s="167"/>
      <c r="BN597" s="168"/>
      <c r="BO597" s="62"/>
      <c r="BP597" s="168"/>
      <c r="BQ597" s="168"/>
      <c r="BR597" s="168"/>
      <c r="BS597" s="135"/>
      <c r="BT597" s="168"/>
      <c r="BU597" s="167"/>
      <c r="BV597" s="168"/>
      <c r="BW597" s="167"/>
      <c r="BX597" s="168"/>
      <c r="BY597" s="167"/>
      <c r="BZ597" s="168"/>
      <c r="CA597" s="167"/>
      <c r="CB597" s="168"/>
      <c r="CC597" s="167"/>
      <c r="CD597" s="168"/>
      <c r="CE597" s="62"/>
      <c r="CF597" s="62"/>
      <c r="CG597" s="9"/>
      <c r="CH597" s="9"/>
      <c r="CI597" s="9"/>
      <c r="CJ597" s="9"/>
      <c r="CK597" s="9"/>
      <c r="CL597" s="9"/>
      <c r="CM597" s="9"/>
      <c r="CN597" s="9"/>
      <c r="CO597" s="9"/>
      <c r="CP597" s="9"/>
    </row>
    <row r="598" spans="1:94" ht="45" x14ac:dyDescent="0.25">
      <c r="A598" s="127" t="s">
        <v>1930</v>
      </c>
      <c r="B598" s="51" t="s">
        <v>1931</v>
      </c>
      <c r="C598" s="62"/>
      <c r="D598" s="84">
        <v>3</v>
      </c>
      <c r="E598" s="62" t="s">
        <v>819</v>
      </c>
      <c r="F598" s="62">
        <v>7</v>
      </c>
      <c r="G598" s="62" t="s">
        <v>184</v>
      </c>
      <c r="H598" s="50">
        <f>VLOOKUP($A598,'[1]ma sp 02'!$A$5:$BD$1101,H$1,0)</f>
        <v>0.86</v>
      </c>
      <c r="I598" s="50">
        <f>VLOOKUP($A598,'[1]ma sp 02'!$A$5:$BD$1101,I$1,0)</f>
        <v>7.03</v>
      </c>
      <c r="J598" s="50">
        <f>VLOOKUP($A598,'[1]ma sp 02'!$A$5:$BD$1101,J$1,0)</f>
        <v>1.47</v>
      </c>
      <c r="K598" s="50">
        <f>VLOOKUP($A598,'[1]ma sp 02'!$A$5:$BD$1101,K$1,0)</f>
        <v>0.95</v>
      </c>
      <c r="L598" s="50">
        <f>VLOOKUP($A598,'[1]ma sp 02'!$A$5:$BD$1101,L$1,0)</f>
        <v>4.34</v>
      </c>
      <c r="M598" s="50">
        <f>VLOOKUP($A598,'[1]ma sp 02'!$A$5:$BD$1101,M$1,0)</f>
        <v>1.38</v>
      </c>
      <c r="N598" s="50">
        <f>VLOOKUP($A598,'[1]ma sp 02'!$A$5:$BD$1101,N$1,0)</f>
        <v>0</v>
      </c>
      <c r="O598" s="50">
        <f>VLOOKUP($A598,'[1]ma sp 02'!$A$5:$BD$1101,O$1,0)</f>
        <v>0.47</v>
      </c>
      <c r="P598" s="50">
        <f>VLOOKUP($A598,'[1]ma sp 02'!$A$5:$BD$1101,P$1,0)</f>
        <v>0</v>
      </c>
      <c r="Q598" s="50">
        <f>VLOOKUP($A598,'[1]ma sp 02'!$A$5:$BD$1101,Q$1,0)</f>
        <v>0.43</v>
      </c>
      <c r="R598" s="50">
        <f>VLOOKUP($A598,'[1]ma sp 02'!$A$5:$BD$1101,R$1,0)</f>
        <v>0</v>
      </c>
      <c r="S598" s="50">
        <f>VLOOKUP($A598,'[1]ma sp 02'!$A$5:$BD$1101,S$1,0)</f>
        <v>0</v>
      </c>
      <c r="T598" s="50">
        <f>VLOOKUP($A598,'[1]ma sp 02'!$A$5:$BD$1101,T$1,0)</f>
        <v>0</v>
      </c>
      <c r="U598" s="50">
        <f>VLOOKUP($A598,'[1]ma sp 02'!$A$5:$BD$1101,U$1,0)</f>
        <v>0</v>
      </c>
      <c r="V598" s="50">
        <f>VLOOKUP($A598,'[1]ma sp 02'!$A$5:$BD$1101,V$1,0)</f>
        <v>0</v>
      </c>
      <c r="W598" s="50">
        <f>VLOOKUP($A598,'[1]ma sp 02'!$A$5:$BD$1101,W$1,0)</f>
        <v>0</v>
      </c>
      <c r="X598" s="50"/>
      <c r="Y598" s="62"/>
      <c r="Z598" s="62"/>
      <c r="AA598" s="62"/>
      <c r="AB598" s="62"/>
      <c r="AC598" s="62"/>
      <c r="AD598" s="62"/>
      <c r="AE598" s="62" t="s">
        <v>842</v>
      </c>
      <c r="AF598" s="62"/>
      <c r="AG598" s="71">
        <f>(0.02*0.91+0.025*0.91)*0.74</f>
        <v>3.0303E-2</v>
      </c>
      <c r="AH598" s="155">
        <f>(2.5/0.75/2)*0.73</f>
        <v>1.2166666666666668</v>
      </c>
      <c r="AI598" s="54"/>
      <c r="AJ598" s="62">
        <v>9530</v>
      </c>
      <c r="AK598" s="62"/>
      <c r="AL598" s="62">
        <v>2.5000000000000001E-3</v>
      </c>
      <c r="AM598" s="61" t="s">
        <v>1723</v>
      </c>
      <c r="AN598" s="62">
        <v>200</v>
      </c>
      <c r="AO598" s="61" t="s">
        <v>1724</v>
      </c>
      <c r="AP598" s="59" t="str">
        <f>IFERROR(VLOOKUP($A598,[2]Mssp!$A$5:$BE$1463,AP$4+1,0),0)</f>
        <v>1911889-1</v>
      </c>
      <c r="AQ598" s="59" t="str">
        <f>IFERROR(VLOOKUP($A598,[2]Mssp!$A$5:$BE$1463,AQ$4+1,0),0)</f>
        <v>1911889-2</v>
      </c>
      <c r="AR598" s="59" t="str">
        <f>IFERROR(VLOOKUP($A598,[2]Mssp!$A$5:$BE$1463,AR$4+1,0),0)</f>
        <v>1911889-3</v>
      </c>
      <c r="AS598" s="59" t="str">
        <f>IFERROR(VLOOKUP($A598,[2]Mssp!$A$5:$BE$1463,AS$4+1,0),0)</f>
        <v>1911889-4</v>
      </c>
      <c r="AT598" s="59" t="str">
        <f>IFERROR(VLOOKUP($A598,[2]Mssp!$A$5:$BE$1463,AT$4+1,0),0)</f>
        <v>1911889-5</v>
      </c>
      <c r="AU598" s="59" t="str">
        <f>IFERROR(VLOOKUP($A598,[2]Mssp!$A$5:$BE$1463,AU$4+1,0),0)</f>
        <v>1911889-6</v>
      </c>
      <c r="AV598" s="59" t="str">
        <f>IFERROR(VLOOKUP($A598,[2]Mssp!$A$5:$BE$1463,AV$4+1,0),0)</f>
        <v>1911889-7</v>
      </c>
      <c r="AW598" s="59">
        <f>IFERROR(VLOOKUP($A598,[2]Mssp!$A$5:$BE$1463,AW$4+1,0),0)</f>
        <v>0</v>
      </c>
      <c r="AX598" s="59">
        <f>IFERROR(VLOOKUP($A598,[2]Mssp!$A$5:$BE$1463,AX$4+1,0),0)</f>
        <v>0</v>
      </c>
      <c r="AY598" s="59" t="str">
        <f>IFERROR(VLOOKUP($A598,[2]Mssp!$A$5:$BE$1463,AY$4+2,0),0)</f>
        <v>600x870</v>
      </c>
      <c r="AZ598" s="59" t="str">
        <f>IFERROR(VLOOKUP($A598,[2]Mssp!$A$5:$BE$1463,AZ$4+2,0),0)</f>
        <v>R1</v>
      </c>
      <c r="BA598" s="141"/>
      <c r="BB598" s="61"/>
      <c r="BC598" s="165"/>
      <c r="BD598" s="166"/>
      <c r="BE598" s="167"/>
      <c r="BF598" s="168"/>
      <c r="BG598" s="167"/>
      <c r="BH598" s="168"/>
      <c r="BI598" s="169"/>
      <c r="BJ598" s="168"/>
      <c r="BK598" s="134"/>
      <c r="BL598" s="168"/>
      <c r="BM598" s="167"/>
      <c r="BN598" s="168"/>
      <c r="BO598" s="62"/>
      <c r="BP598" s="168"/>
      <c r="BQ598" s="168"/>
      <c r="BR598" s="168"/>
      <c r="BS598" s="135"/>
      <c r="BT598" s="168"/>
      <c r="BU598" s="167"/>
      <c r="BV598" s="168"/>
      <c r="BW598" s="167"/>
      <c r="BX598" s="168"/>
      <c r="BY598" s="167"/>
      <c r="BZ598" s="168"/>
      <c r="CA598" s="167"/>
      <c r="CB598" s="168"/>
      <c r="CC598" s="167"/>
      <c r="CD598" s="168"/>
      <c r="CE598" s="62"/>
      <c r="CF598" s="62"/>
      <c r="CG598" s="9"/>
      <c r="CH598" s="9"/>
      <c r="CI598" s="9"/>
      <c r="CJ598" s="9"/>
      <c r="CK598" s="9"/>
      <c r="CL598" s="9"/>
      <c r="CM598" s="9"/>
      <c r="CN598" s="9"/>
      <c r="CO598" s="9"/>
      <c r="CP598" s="9"/>
    </row>
    <row r="599" spans="1:94" ht="30" x14ac:dyDescent="0.25">
      <c r="A599" s="127" t="s">
        <v>1932</v>
      </c>
      <c r="B599" s="51" t="s">
        <v>1933</v>
      </c>
      <c r="C599" s="62"/>
      <c r="D599" s="84">
        <v>2</v>
      </c>
      <c r="E599" s="62" t="s">
        <v>299</v>
      </c>
      <c r="F599" s="62">
        <v>8</v>
      </c>
      <c r="G599" s="62" t="s">
        <v>184</v>
      </c>
      <c r="H599" s="50">
        <f>VLOOKUP($A599,'[1]ma sp 02'!$A$5:$BD$1101,H$1,0)</f>
        <v>0</v>
      </c>
      <c r="I599" s="50">
        <f>VLOOKUP($A599,'[1]ma sp 02'!$A$5:$BD$1101,I$1,0)</f>
        <v>0.63</v>
      </c>
      <c r="J599" s="50">
        <f>VLOOKUP($A599,'[1]ma sp 02'!$A$5:$BD$1101,J$1,0)</f>
        <v>0.09</v>
      </c>
      <c r="K599" s="50">
        <f>VLOOKUP($A599,'[1]ma sp 02'!$A$5:$BD$1101,K$1,0)</f>
        <v>0.01</v>
      </c>
      <c r="L599" s="50">
        <f>VLOOKUP($A599,'[1]ma sp 02'!$A$5:$BD$1101,L$1,0)</f>
        <v>0.51900000000000002</v>
      </c>
      <c r="M599" s="50">
        <f>VLOOKUP($A599,'[1]ma sp 02'!$A$5:$BD$1101,M$1,0)</f>
        <v>0.22</v>
      </c>
      <c r="N599" s="50">
        <f>VLOOKUP($A599,'[1]ma sp 02'!$A$5:$BD$1101,N$1,0)</f>
        <v>0</v>
      </c>
      <c r="O599" s="50">
        <f>VLOOKUP($A599,'[1]ma sp 02'!$A$5:$BD$1101,O$1,0)</f>
        <v>0.16500000000000001</v>
      </c>
      <c r="P599" s="50">
        <f>VLOOKUP($A599,'[1]ma sp 02'!$A$5:$BD$1101,P$1,0)</f>
        <v>4.7E-2</v>
      </c>
      <c r="Q599" s="50">
        <f>VLOOKUP($A599,'[1]ma sp 02'!$A$5:$BD$1101,Q$1,0)</f>
        <v>0.13400000000000001</v>
      </c>
      <c r="R599" s="50">
        <f>VLOOKUP($A599,'[1]ma sp 02'!$A$5:$BD$1101,R$1,0)</f>
        <v>0.01</v>
      </c>
      <c r="S599" s="50">
        <f>VLOOKUP($A599,'[1]ma sp 02'!$A$5:$BD$1101,S$1,0)</f>
        <v>0</v>
      </c>
      <c r="T599" s="50">
        <f>VLOOKUP($A599,'[1]ma sp 02'!$A$5:$BD$1101,T$1,0)</f>
        <v>0</v>
      </c>
      <c r="U599" s="50">
        <f>VLOOKUP($A599,'[1]ma sp 02'!$A$5:$BD$1101,U$1,0)</f>
        <v>0</v>
      </c>
      <c r="V599" s="50">
        <f>VLOOKUP($A599,'[1]ma sp 02'!$A$5:$BD$1101,V$1,0)</f>
        <v>0</v>
      </c>
      <c r="W599" s="50">
        <f>VLOOKUP($A599,'[1]ma sp 02'!$A$5:$BD$1101,W$1,0)</f>
        <v>0</v>
      </c>
      <c r="X599" s="50"/>
      <c r="Y599" s="62"/>
      <c r="Z599" s="62"/>
      <c r="AA599" s="62"/>
      <c r="AB599" s="62"/>
      <c r="AC599" s="62"/>
      <c r="AD599" s="62"/>
      <c r="AE599" s="62" t="s">
        <v>1934</v>
      </c>
      <c r="AF599" s="62"/>
      <c r="AG599" s="71">
        <f>(0.02*0.91+0.055*0.925)*0.82</f>
        <v>5.6641499999999997E-2</v>
      </c>
      <c r="AH599" s="155">
        <f>(3/0.75/2)*0.81</f>
        <v>1.62</v>
      </c>
      <c r="AI599" s="54"/>
      <c r="AJ599" s="62">
        <v>9530</v>
      </c>
      <c r="AK599" s="62"/>
      <c r="AL599" s="62">
        <v>3.0000000000000001E-3</v>
      </c>
      <c r="AM599" s="61" t="s">
        <v>1489</v>
      </c>
      <c r="AN599" s="62">
        <v>200</v>
      </c>
      <c r="AO599" s="61" t="s">
        <v>1935</v>
      </c>
      <c r="AP599" s="59" t="str">
        <f>IFERROR(VLOOKUP($A599,[2]Mssp!$A$5:$BE$1463,AP$4+1,0),0)</f>
        <v>21010535-1</v>
      </c>
      <c r="AQ599" s="59" t="str">
        <f>IFERROR(VLOOKUP($A599,[2]Mssp!$A$5:$BE$1463,AQ$4+1,0),0)</f>
        <v>19110723-2</v>
      </c>
      <c r="AR599" s="59" t="str">
        <f>IFERROR(VLOOKUP($A599,[2]Mssp!$A$5:$BE$1463,AR$4+1,0),0)</f>
        <v>21090264-3</v>
      </c>
      <c r="AS599" s="59" t="str">
        <f>IFERROR(VLOOKUP($A599,[2]Mssp!$A$5:$BE$1463,AS$4+1,0),0)</f>
        <v>21090264-4</v>
      </c>
      <c r="AT599" s="59" t="str">
        <f>IFERROR(VLOOKUP($A599,[2]Mssp!$A$5:$BE$1463,AT$4+1,0),0)</f>
        <v>19110723-5</v>
      </c>
      <c r="AU599" s="59" t="str">
        <f>IFERROR(VLOOKUP($A599,[2]Mssp!$A$5:$BE$1463,AU$4+1,0),0)</f>
        <v>21101092-6</v>
      </c>
      <c r="AV599" s="59" t="str">
        <f>IFERROR(VLOOKUP($A599,[2]Mssp!$A$5:$BE$1463,AV$4+1,0),0)</f>
        <v>19110723-7</v>
      </c>
      <c r="AW599" s="59" t="str">
        <f>IFERROR(VLOOKUP($A599,[2]Mssp!$A$5:$BE$1463,AW$4+1,0),0)</f>
        <v>21010535-8</v>
      </c>
      <c r="AX599" s="59">
        <f>IFERROR(VLOOKUP($A599,[2]Mssp!$A$5:$BE$1463,AX$4+1,0),0)</f>
        <v>0</v>
      </c>
      <c r="AY599" s="59" t="str">
        <f>IFERROR(VLOOKUP($A599,[2]Mssp!$A$5:$BE$1463,AY$4+2,0),0)</f>
        <v>500x870</v>
      </c>
      <c r="AZ599" s="59" t="str">
        <f>IFERROR(VLOOKUP($A599,[2]Mssp!$A$5:$BE$1463,AZ$4+2,0),0)</f>
        <v>R1</v>
      </c>
      <c r="BA599" s="141" t="s">
        <v>1936</v>
      </c>
      <c r="BB599" s="61" t="s">
        <v>952</v>
      </c>
      <c r="BC599" s="165"/>
      <c r="BD599" s="166"/>
      <c r="BE599" s="167"/>
      <c r="BF599" s="168"/>
      <c r="BG599" s="167"/>
      <c r="BH599" s="168"/>
      <c r="BI599" s="169"/>
      <c r="BJ599" s="168"/>
      <c r="BK599" s="134"/>
      <c r="BL599" s="168"/>
      <c r="BM599" s="167"/>
      <c r="BN599" s="168"/>
      <c r="BO599" s="62"/>
      <c r="BP599" s="168"/>
      <c r="BQ599" s="168"/>
      <c r="BR599" s="168"/>
      <c r="BS599" s="135"/>
      <c r="BT599" s="168"/>
      <c r="BU599" s="167"/>
      <c r="BV599" s="168"/>
      <c r="BW599" s="167"/>
      <c r="BX599" s="168"/>
      <c r="BY599" s="167"/>
      <c r="BZ599" s="168"/>
      <c r="CA599" s="167"/>
      <c r="CB599" s="168"/>
      <c r="CC599" s="167"/>
      <c r="CD599" s="168"/>
      <c r="CE599" s="62"/>
      <c r="CF599" s="62"/>
      <c r="CG599" s="9"/>
      <c r="CH599" s="9"/>
      <c r="CI599" s="9"/>
      <c r="CJ599" s="9"/>
      <c r="CK599" s="9"/>
      <c r="CL599" s="9"/>
      <c r="CM599" s="9"/>
      <c r="CN599" s="9"/>
      <c r="CO599" s="9"/>
      <c r="CP599" s="9"/>
    </row>
    <row r="600" spans="1:94" ht="30" x14ac:dyDescent="0.25">
      <c r="A600" s="127" t="s">
        <v>1937</v>
      </c>
      <c r="B600" s="51" t="s">
        <v>1938</v>
      </c>
      <c r="C600" s="62"/>
      <c r="D600" s="84">
        <v>2</v>
      </c>
      <c r="E600" s="62" t="s">
        <v>315</v>
      </c>
      <c r="F600" s="62">
        <v>8</v>
      </c>
      <c r="G600" s="62" t="s">
        <v>184</v>
      </c>
      <c r="H600" s="50">
        <f>VLOOKUP($A600,'[1]ma sp 02'!$A$5:$BD$1101,H$1,0)</f>
        <v>1.2999999999999999E-2</v>
      </c>
      <c r="I600" s="50">
        <f>VLOOKUP($A600,'[1]ma sp 02'!$A$5:$BD$1101,I$1,0)</f>
        <v>1.83</v>
      </c>
      <c r="J600" s="50">
        <f>VLOOKUP($A600,'[1]ma sp 02'!$A$5:$BD$1101,J$1,0)</f>
        <v>0.21</v>
      </c>
      <c r="K600" s="50">
        <f>VLOOKUP($A600,'[1]ma sp 02'!$A$5:$BD$1101,K$1,0)</f>
        <v>7.9000000000000001E-2</v>
      </c>
      <c r="L600" s="50">
        <f>VLOOKUP($A600,'[1]ma sp 02'!$A$5:$BD$1101,L$1,0)</f>
        <v>0.85</v>
      </c>
      <c r="M600" s="50">
        <f>VLOOKUP($A600,'[1]ma sp 02'!$A$5:$BD$1101,M$1,0)</f>
        <v>0.63</v>
      </c>
      <c r="N600" s="50">
        <f>VLOOKUP($A600,'[1]ma sp 02'!$A$5:$BD$1101,N$1,0)</f>
        <v>0</v>
      </c>
      <c r="O600" s="50">
        <f>VLOOKUP($A600,'[1]ma sp 02'!$A$5:$BD$1101,O$1,0)</f>
        <v>7.9000000000000001E-2</v>
      </c>
      <c r="P600" s="50">
        <f>VLOOKUP($A600,'[1]ma sp 02'!$A$5:$BD$1101,P$1,0)</f>
        <v>3.9E-2</v>
      </c>
      <c r="Q600" s="50">
        <f>VLOOKUP($A600,'[1]ma sp 02'!$A$5:$BD$1101,Q$1,0)</f>
        <v>0</v>
      </c>
      <c r="R600" s="50">
        <f>VLOOKUP($A600,'[1]ma sp 02'!$A$5:$BD$1101,R$1,0)</f>
        <v>0.01</v>
      </c>
      <c r="S600" s="50">
        <f>VLOOKUP($A600,'[1]ma sp 02'!$A$5:$BD$1101,S$1,0)</f>
        <v>0</v>
      </c>
      <c r="T600" s="50">
        <f>VLOOKUP($A600,'[1]ma sp 02'!$A$5:$BD$1101,T$1,0)</f>
        <v>0</v>
      </c>
      <c r="U600" s="50">
        <f>VLOOKUP($A600,'[1]ma sp 02'!$A$5:$BD$1101,U$1,0)</f>
        <v>0</v>
      </c>
      <c r="V600" s="50">
        <f>VLOOKUP($A600,'[1]ma sp 02'!$A$5:$BD$1101,V$1,0)</f>
        <v>0</v>
      </c>
      <c r="W600" s="50">
        <f>VLOOKUP($A600,'[1]ma sp 02'!$A$5:$BD$1101,W$1,0)</f>
        <v>0</v>
      </c>
      <c r="X600" s="50"/>
      <c r="Y600" s="62"/>
      <c r="Z600" s="62"/>
      <c r="AA600" s="62"/>
      <c r="AB600" s="62"/>
      <c r="AC600" s="62"/>
      <c r="AD600" s="62"/>
      <c r="AE600" s="62" t="s">
        <v>1939</v>
      </c>
      <c r="AF600" s="62"/>
      <c r="AG600" s="71">
        <f>(0.02*0.91+0.055*0.925)*0.82</f>
        <v>5.6641499999999997E-2</v>
      </c>
      <c r="AH600" s="155">
        <f>(3/0.75/2)*0.81</f>
        <v>1.62</v>
      </c>
      <c r="AI600" s="54"/>
      <c r="AJ600" s="62">
        <v>9530</v>
      </c>
      <c r="AK600" s="62"/>
      <c r="AL600" s="62">
        <v>3.0000000000000001E-3</v>
      </c>
      <c r="AM600" s="61" t="s">
        <v>1489</v>
      </c>
      <c r="AN600" s="62">
        <v>260</v>
      </c>
      <c r="AO600" s="61" t="s">
        <v>1935</v>
      </c>
      <c r="AP600" s="59" t="str">
        <f>IFERROR(VLOOKUP($A600,[2]Mssp!$A$5:$BE$1463,AP$4+1,0),0)</f>
        <v>X109484G3-1</v>
      </c>
      <c r="AQ600" s="59" t="str">
        <f>IFERROR(VLOOKUP($A600,[2]Mssp!$A$5:$BE$1463,AQ$4+1,0),0)</f>
        <v>X109484-2</v>
      </c>
      <c r="AR600" s="59" t="str">
        <f>IFERROR(VLOOKUP($A600,[2]Mssp!$A$5:$BE$1463,AR$4+1,0),0)</f>
        <v>X109484-3</v>
      </c>
      <c r="AS600" s="59" t="str">
        <f>IFERROR(VLOOKUP($A600,[2]Mssp!$A$5:$BE$1463,AS$4+1,0),0)</f>
        <v>X109484-4</v>
      </c>
      <c r="AT600" s="59" t="str">
        <f>IFERROR(VLOOKUP($A600,[2]Mssp!$A$5:$BE$1463,AT$4+1,0),0)</f>
        <v>X109484-5</v>
      </c>
      <c r="AU600" s="59" t="str">
        <f>IFERROR(VLOOKUP($A600,[2]Mssp!$A$5:$BE$1463,AU$4+1,0),0)</f>
        <v>X109484G3-6</v>
      </c>
      <c r="AV600" s="59" t="str">
        <f>IFERROR(VLOOKUP($A600,[2]Mssp!$A$5:$BE$1463,AV$4+1,0),0)</f>
        <v>X109484G3-7</v>
      </c>
      <c r="AW600" s="59" t="str">
        <f>IFERROR(VLOOKUP($A600,[2]Mssp!$A$5:$BE$1463,AW$4+1,0),0)</f>
        <v>X109484F1-8</v>
      </c>
      <c r="AX600" s="59">
        <f>IFERROR(VLOOKUP($A600,[2]Mssp!$A$5:$BE$1463,AX$4+1,0),0)</f>
        <v>0</v>
      </c>
      <c r="AY600" s="59" t="str">
        <f>IFERROR(VLOOKUP($A600,[2]Mssp!$A$5:$BE$1463,AY$4+2,0),0)</f>
        <v>520x870</v>
      </c>
      <c r="AZ600" s="59" t="str">
        <f>IFERROR(VLOOKUP($A600,[2]Mssp!$A$5:$BE$1463,AZ$4+2,0),0)</f>
        <v>R1</v>
      </c>
      <c r="BA600" s="141" t="s">
        <v>1936</v>
      </c>
      <c r="BB600" s="61" t="s">
        <v>952</v>
      </c>
      <c r="BC600" s="165"/>
      <c r="BD600" s="166"/>
      <c r="BE600" s="167"/>
      <c r="BF600" s="168"/>
      <c r="BG600" s="167"/>
      <c r="BH600" s="168"/>
      <c r="BI600" s="169"/>
      <c r="BJ600" s="168"/>
      <c r="BK600" s="134"/>
      <c r="BL600" s="168"/>
      <c r="BM600" s="167"/>
      <c r="BN600" s="168"/>
      <c r="BO600" s="62"/>
      <c r="BP600" s="168"/>
      <c r="BQ600" s="168"/>
      <c r="BR600" s="168"/>
      <c r="BS600" s="135"/>
      <c r="BT600" s="168"/>
      <c r="BU600" s="167"/>
      <c r="BV600" s="168"/>
      <c r="BW600" s="167"/>
      <c r="BX600" s="168"/>
      <c r="BY600" s="167"/>
      <c r="BZ600" s="168"/>
      <c r="CA600" s="167"/>
      <c r="CB600" s="168"/>
      <c r="CC600" s="167"/>
      <c r="CD600" s="168"/>
      <c r="CE600" s="62"/>
      <c r="CF600" s="62"/>
      <c r="CG600" s="9"/>
      <c r="CH600" s="9"/>
      <c r="CI600" s="9"/>
      <c r="CJ600" s="9"/>
      <c r="CK600" s="9"/>
      <c r="CL600" s="9"/>
      <c r="CM600" s="9"/>
      <c r="CN600" s="9"/>
      <c r="CO600" s="9"/>
      <c r="CP600" s="9"/>
    </row>
    <row r="601" spans="1:94" ht="30" x14ac:dyDescent="0.25">
      <c r="A601" s="127" t="s">
        <v>1940</v>
      </c>
      <c r="B601" s="51" t="s">
        <v>1941</v>
      </c>
      <c r="C601" s="62"/>
      <c r="D601" s="84">
        <v>2</v>
      </c>
      <c r="E601" s="62" t="s">
        <v>315</v>
      </c>
      <c r="F601" s="62">
        <v>8</v>
      </c>
      <c r="G601" s="62" t="s">
        <v>184</v>
      </c>
      <c r="H601" s="50">
        <f>VLOOKUP($A601,'[1]ma sp 02'!$A$5:$BD$1101,H$1,0)</f>
        <v>3.4000000000000002E-2</v>
      </c>
      <c r="I601" s="50">
        <f>VLOOKUP($A601,'[1]ma sp 02'!$A$5:$BD$1101,I$1,0)</f>
        <v>1.32</v>
      </c>
      <c r="J601" s="50">
        <f>VLOOKUP($A601,'[1]ma sp 02'!$A$5:$BD$1101,J$1,0)</f>
        <v>0.24</v>
      </c>
      <c r="K601" s="50">
        <f>VLOOKUP($A601,'[1]ma sp 02'!$A$5:$BD$1101,K$1,0)</f>
        <v>0.25700000000000001</v>
      </c>
      <c r="L601" s="50">
        <f>VLOOKUP($A601,'[1]ma sp 02'!$A$5:$BD$1101,L$1,0)</f>
        <v>0.995</v>
      </c>
      <c r="M601" s="50">
        <f>VLOOKUP($A601,'[1]ma sp 02'!$A$5:$BD$1101,M$1,0)</f>
        <v>0.92600000000000005</v>
      </c>
      <c r="N601" s="50">
        <f>VLOOKUP($A601,'[1]ma sp 02'!$A$5:$BD$1101,N$1,0)</f>
        <v>0</v>
      </c>
      <c r="O601" s="50">
        <f>VLOOKUP($A601,'[1]ma sp 02'!$A$5:$BD$1101,O$1,0)</f>
        <v>0.309</v>
      </c>
      <c r="P601" s="50">
        <f>VLOOKUP($A601,'[1]ma sp 02'!$A$5:$BD$1101,P$1,0)</f>
        <v>0</v>
      </c>
      <c r="Q601" s="50">
        <f>VLOOKUP($A601,'[1]ma sp 02'!$A$5:$BD$1101,Q$1,0)</f>
        <v>0</v>
      </c>
      <c r="R601" s="50">
        <f>VLOOKUP($A601,'[1]ma sp 02'!$A$5:$BD$1101,R$1,0)</f>
        <v>5.0999999999999997E-2</v>
      </c>
      <c r="S601" s="50">
        <f>VLOOKUP($A601,'[1]ma sp 02'!$A$5:$BD$1101,S$1,0)</f>
        <v>0</v>
      </c>
      <c r="T601" s="50">
        <f>VLOOKUP($A601,'[1]ma sp 02'!$A$5:$BD$1101,T$1,0)</f>
        <v>0</v>
      </c>
      <c r="U601" s="50">
        <f>VLOOKUP($A601,'[1]ma sp 02'!$A$5:$BD$1101,U$1,0)</f>
        <v>0</v>
      </c>
      <c r="V601" s="50">
        <f>VLOOKUP($A601,'[1]ma sp 02'!$A$5:$BD$1101,V$1,0)</f>
        <v>0</v>
      </c>
      <c r="W601" s="50">
        <f>VLOOKUP($A601,'[1]ma sp 02'!$A$5:$BD$1101,W$1,0)</f>
        <v>0</v>
      </c>
      <c r="X601" s="50"/>
      <c r="Y601" s="62"/>
      <c r="Z601" s="62"/>
      <c r="AA601" s="62"/>
      <c r="AB601" s="62"/>
      <c r="AC601" s="62"/>
      <c r="AD601" s="62"/>
      <c r="AE601" s="62" t="s">
        <v>1939</v>
      </c>
      <c r="AF601" s="62"/>
      <c r="AG601" s="71">
        <f>(0.02*0.91+0.055*0.925)*0.82</f>
        <v>5.6641499999999997E-2</v>
      </c>
      <c r="AH601" s="155">
        <f>(3/0.75/2)*0.81</f>
        <v>1.62</v>
      </c>
      <c r="AI601" s="54"/>
      <c r="AJ601" s="62">
        <v>9530</v>
      </c>
      <c r="AK601" s="62"/>
      <c r="AL601" s="62">
        <v>3.0000000000000001E-3</v>
      </c>
      <c r="AM601" s="61" t="s">
        <v>1489</v>
      </c>
      <c r="AN601" s="62">
        <v>260</v>
      </c>
      <c r="AO601" s="61" t="s">
        <v>1935</v>
      </c>
      <c r="AP601" s="59">
        <f>IFERROR(VLOOKUP($A601,[2]Mssp!$A$5:$BE$1463,AP$4+1,0),0)</f>
        <v>0</v>
      </c>
      <c r="AQ601" s="59">
        <f>IFERROR(VLOOKUP($A601,[2]Mssp!$A$5:$BE$1463,AQ$4+1,0),0)</f>
        <v>0</v>
      </c>
      <c r="AR601" s="59">
        <f>IFERROR(VLOOKUP($A601,[2]Mssp!$A$5:$BE$1463,AR$4+1,0),0)</f>
        <v>0</v>
      </c>
      <c r="AS601" s="59">
        <f>IFERROR(VLOOKUP($A601,[2]Mssp!$A$5:$BE$1463,AS$4+1,0),0)</f>
        <v>0</v>
      </c>
      <c r="AT601" s="59">
        <f>IFERROR(VLOOKUP($A601,[2]Mssp!$A$5:$BE$1463,AT$4+1,0),0)</f>
        <v>0</v>
      </c>
      <c r="AU601" s="59">
        <f>IFERROR(VLOOKUP($A601,[2]Mssp!$A$5:$BE$1463,AU$4+1,0),0)</f>
        <v>0</v>
      </c>
      <c r="AV601" s="59">
        <f>IFERROR(VLOOKUP($A601,[2]Mssp!$A$5:$BE$1463,AV$4+1,0),0)</f>
        <v>0</v>
      </c>
      <c r="AW601" s="59">
        <f>IFERROR(VLOOKUP($A601,[2]Mssp!$A$5:$BE$1463,AW$4+1,0),0)</f>
        <v>0</v>
      </c>
      <c r="AX601" s="59">
        <f>IFERROR(VLOOKUP($A601,[2]Mssp!$A$5:$BE$1463,AX$4+1,0),0)</f>
        <v>0</v>
      </c>
      <c r="AY601" s="59">
        <f>IFERROR(VLOOKUP($A601,[2]Mssp!$A$5:$BE$1463,AY$4+2,0),0)</f>
        <v>0</v>
      </c>
      <c r="AZ601" s="59">
        <f>IFERROR(VLOOKUP($A601,[2]Mssp!$A$5:$BE$1463,AZ$4+2,0),0)</f>
        <v>0</v>
      </c>
      <c r="BA601" s="141" t="s">
        <v>1936</v>
      </c>
      <c r="BB601" s="61" t="s">
        <v>952</v>
      </c>
      <c r="BC601" s="165"/>
      <c r="BD601" s="166"/>
      <c r="BE601" s="167"/>
      <c r="BF601" s="168"/>
      <c r="BG601" s="167"/>
      <c r="BH601" s="168"/>
      <c r="BI601" s="169"/>
      <c r="BJ601" s="168"/>
      <c r="BK601" s="134"/>
      <c r="BL601" s="168"/>
      <c r="BM601" s="167"/>
      <c r="BN601" s="168"/>
      <c r="BO601" s="62"/>
      <c r="BP601" s="168"/>
      <c r="BQ601" s="168"/>
      <c r="BR601" s="168"/>
      <c r="BS601" s="135"/>
      <c r="BT601" s="168"/>
      <c r="BU601" s="167"/>
      <c r="BV601" s="168"/>
      <c r="BW601" s="167"/>
      <c r="BX601" s="168"/>
      <c r="BY601" s="167"/>
      <c r="BZ601" s="168"/>
      <c r="CA601" s="167"/>
      <c r="CB601" s="168"/>
      <c r="CC601" s="167"/>
      <c r="CD601" s="168"/>
      <c r="CE601" s="62"/>
      <c r="CF601" s="62"/>
      <c r="CG601" s="9"/>
      <c r="CH601" s="9"/>
      <c r="CI601" s="9"/>
      <c r="CJ601" s="9"/>
      <c r="CK601" s="9"/>
      <c r="CL601" s="9"/>
      <c r="CM601" s="9"/>
      <c r="CN601" s="9"/>
      <c r="CO601" s="9"/>
      <c r="CP601" s="9"/>
    </row>
    <row r="602" spans="1:94" ht="45" x14ac:dyDescent="0.25">
      <c r="A602" s="127" t="s">
        <v>1942</v>
      </c>
      <c r="B602" s="51" t="s">
        <v>1943</v>
      </c>
      <c r="C602" s="62"/>
      <c r="D602" s="84">
        <v>2</v>
      </c>
      <c r="E602" s="62" t="s">
        <v>910</v>
      </c>
      <c r="F602" s="62">
        <v>7</v>
      </c>
      <c r="G602" s="62" t="s">
        <v>184</v>
      </c>
      <c r="H602" s="50">
        <f>VLOOKUP($A602,'[1]ma sp 02'!$A$5:$BD$1101,H$1,0)</f>
        <v>0.2</v>
      </c>
      <c r="I602" s="50">
        <f>VLOOKUP($A602,'[1]ma sp 02'!$A$5:$BD$1101,I$1,0)</f>
        <v>0.4</v>
      </c>
      <c r="J602" s="50">
        <f>VLOOKUP($A602,'[1]ma sp 02'!$A$5:$BD$1101,J$1,0)</f>
        <v>0.01</v>
      </c>
      <c r="K602" s="50">
        <f>VLOOKUP($A602,'[1]ma sp 02'!$A$5:$BD$1101,K$1,0)</f>
        <v>0.5</v>
      </c>
      <c r="L602" s="50">
        <f>VLOOKUP($A602,'[1]ma sp 02'!$A$5:$BD$1101,L$1,0)</f>
        <v>0.7</v>
      </c>
      <c r="M602" s="50">
        <f>VLOOKUP($A602,'[1]ma sp 02'!$A$5:$BD$1101,M$1,0)</f>
        <v>0.75</v>
      </c>
      <c r="N602" s="50">
        <f>VLOOKUP($A602,'[1]ma sp 02'!$A$5:$BD$1101,N$1,0)</f>
        <v>0</v>
      </c>
      <c r="O602" s="50">
        <f>VLOOKUP($A602,'[1]ma sp 02'!$A$5:$BD$1101,O$1,0)</f>
        <v>0</v>
      </c>
      <c r="P602" s="50">
        <f>VLOOKUP($A602,'[1]ma sp 02'!$A$5:$BD$1101,P$1,0)</f>
        <v>0.1</v>
      </c>
      <c r="Q602" s="50">
        <f>VLOOKUP($A602,'[1]ma sp 02'!$A$5:$BD$1101,Q$1,0)</f>
        <v>0.1</v>
      </c>
      <c r="R602" s="50">
        <f>VLOOKUP($A602,'[1]ma sp 02'!$A$5:$BD$1101,R$1,0)</f>
        <v>0</v>
      </c>
      <c r="S602" s="50">
        <f>VLOOKUP($A602,'[1]ma sp 02'!$A$5:$BD$1101,S$1,0)</f>
        <v>0</v>
      </c>
      <c r="T602" s="50">
        <f>VLOOKUP($A602,'[1]ma sp 02'!$A$5:$BD$1101,T$1,0)</f>
        <v>0.01</v>
      </c>
      <c r="U602" s="50">
        <f>VLOOKUP($A602,'[1]ma sp 02'!$A$5:$BD$1101,U$1,0)</f>
        <v>0</v>
      </c>
      <c r="V602" s="50">
        <f>VLOOKUP($A602,'[1]ma sp 02'!$A$5:$BD$1101,V$1,0)</f>
        <v>0</v>
      </c>
      <c r="W602" s="50">
        <f>VLOOKUP($A602,'[1]ma sp 02'!$A$5:$BD$1101,W$1,0)</f>
        <v>0</v>
      </c>
      <c r="X602" s="50"/>
      <c r="Y602" s="62"/>
      <c r="Z602" s="62"/>
      <c r="AA602" s="62"/>
      <c r="AB602" s="62"/>
      <c r="AC602" s="62"/>
      <c r="AD602" s="62"/>
      <c r="AE602" s="62" t="s">
        <v>1944</v>
      </c>
      <c r="AF602" s="62"/>
      <c r="AG602" s="71">
        <f>(0.02*0.91+0.025*0.91)*0.9</f>
        <v>3.6854999999999999E-2</v>
      </c>
      <c r="AH602" s="155">
        <f>(2/0.75/2)*0.89</f>
        <v>1.1866666666666665</v>
      </c>
      <c r="AI602" s="54"/>
      <c r="AJ602" s="62">
        <v>9530</v>
      </c>
      <c r="AK602" s="62"/>
      <c r="AL602" s="62">
        <v>2E-3</v>
      </c>
      <c r="AM602" s="61" t="s">
        <v>1945</v>
      </c>
      <c r="AN602" s="62">
        <v>350</v>
      </c>
      <c r="AO602" s="61" t="s">
        <v>1946</v>
      </c>
      <c r="AP602" s="59" t="str">
        <f>IFERROR(VLOOKUP($A602,[2]Mssp!$A$5:$BE$1463,AP$4+1,0),0)</f>
        <v>F124949G1-1</v>
      </c>
      <c r="AQ602" s="59" t="str">
        <f>IFERROR(VLOOKUP($A602,[2]Mssp!$A$5:$BE$1463,AQ$4+1,0),0)</f>
        <v>F124949G2-2</v>
      </c>
      <c r="AR602" s="59" t="str">
        <f>IFERROR(VLOOKUP($A602,[2]Mssp!$A$5:$BE$1463,AR$4+1,0),0)</f>
        <v>F124949-3</v>
      </c>
      <c r="AS602" s="59" t="str">
        <f>IFERROR(VLOOKUP($A602,[2]Mssp!$A$5:$BE$1463,AS$4+1,0),0)</f>
        <v>F124949-4</v>
      </c>
      <c r="AT602" s="59" t="str">
        <f>IFERROR(VLOOKUP($A602,[2]Mssp!$A$5:$BE$1463,AT$4+1,0),0)</f>
        <v>F124949-5</v>
      </c>
      <c r="AU602" s="59" t="str">
        <f>IFERROR(VLOOKUP($A602,[2]Mssp!$A$5:$BE$1463,AU$4+1,0),0)</f>
        <v>F124949-6</v>
      </c>
      <c r="AV602" s="59" t="str">
        <f>IFERROR(VLOOKUP($A602,[2]Mssp!$A$5:$BE$1463,AV$4+1,0),0)</f>
        <v>F124949-7</v>
      </c>
      <c r="AW602" s="59">
        <f>IFERROR(VLOOKUP($A602,[2]Mssp!$A$5:$BE$1463,AW$4+1,0),0)</f>
        <v>0</v>
      </c>
      <c r="AX602" s="59">
        <f>IFERROR(VLOOKUP($A602,[2]Mssp!$A$5:$BE$1463,AX$4+1,0),0)</f>
        <v>0</v>
      </c>
      <c r="AY602" s="59" t="str">
        <f>IFERROR(VLOOKUP($A602,[2]Mssp!$A$5:$BE$1463,AY$4+2,0),0)</f>
        <v>1100x680</v>
      </c>
      <c r="AZ602" s="59" t="str">
        <f>IFERROR(VLOOKUP($A602,[2]Mssp!$A$5:$BE$1463,AZ$4+2,0),0)</f>
        <v>R1</v>
      </c>
      <c r="BA602" s="141"/>
      <c r="BB602" s="61"/>
      <c r="BC602" s="165"/>
      <c r="BD602" s="166"/>
      <c r="BE602" s="167"/>
      <c r="BF602" s="168"/>
      <c r="BG602" s="167"/>
      <c r="BH602" s="168"/>
      <c r="BI602" s="169"/>
      <c r="BJ602" s="168"/>
      <c r="BK602" s="134"/>
      <c r="BL602" s="168"/>
      <c r="BM602" s="167"/>
      <c r="BN602" s="168"/>
      <c r="BO602" s="62"/>
      <c r="BP602" s="168"/>
      <c r="BQ602" s="168"/>
      <c r="BR602" s="168"/>
      <c r="BS602" s="135"/>
      <c r="BT602" s="168"/>
      <c r="BU602" s="167"/>
      <c r="BV602" s="168"/>
      <c r="BW602" s="167"/>
      <c r="BX602" s="168"/>
      <c r="BY602" s="167"/>
      <c r="BZ602" s="168"/>
      <c r="CA602" s="167"/>
      <c r="CB602" s="168"/>
      <c r="CC602" s="167"/>
      <c r="CD602" s="168"/>
      <c r="CE602" s="62"/>
      <c r="CF602" s="62"/>
      <c r="CG602" s="9"/>
      <c r="CH602" s="9"/>
      <c r="CI602" s="9"/>
      <c r="CJ602" s="9"/>
      <c r="CK602" s="9"/>
      <c r="CL602" s="9"/>
      <c r="CM602" s="9"/>
      <c r="CN602" s="9"/>
      <c r="CO602" s="9"/>
      <c r="CP602" s="9"/>
    </row>
    <row r="603" spans="1:94" ht="30" x14ac:dyDescent="0.25">
      <c r="A603" s="127" t="s">
        <v>1947</v>
      </c>
      <c r="B603" s="51" t="s">
        <v>1948</v>
      </c>
      <c r="C603" s="62"/>
      <c r="D603" s="84">
        <v>2</v>
      </c>
      <c r="E603" s="62" t="s">
        <v>428</v>
      </c>
      <c r="F603" s="62">
        <v>6</v>
      </c>
      <c r="G603" s="62" t="s">
        <v>530</v>
      </c>
      <c r="H603" s="50">
        <f>VLOOKUP($A603,'[1]ma sp 02'!$A$5:$BD$1101,H$1,0)</f>
        <v>1.19</v>
      </c>
      <c r="I603" s="50">
        <f>VLOOKUP($A603,'[1]ma sp 02'!$A$5:$BD$1101,I$1,0)</f>
        <v>6.74</v>
      </c>
      <c r="J603" s="50">
        <f>VLOOKUP($A603,'[1]ma sp 02'!$A$5:$BD$1101,J$1,0)</f>
        <v>0.01</v>
      </c>
      <c r="K603" s="50">
        <f>VLOOKUP($A603,'[1]ma sp 02'!$A$5:$BD$1101,K$1,0)</f>
        <v>0</v>
      </c>
      <c r="L603" s="50">
        <f>VLOOKUP($A603,'[1]ma sp 02'!$A$5:$BD$1101,L$1,0)</f>
        <v>3.53</v>
      </c>
      <c r="M603" s="50">
        <f>VLOOKUP($A603,'[1]ma sp 02'!$A$5:$BD$1101,M$1,0)</f>
        <v>2.2799999999999998</v>
      </c>
      <c r="N603" s="50">
        <f>VLOOKUP($A603,'[1]ma sp 02'!$A$5:$BD$1101,N$1,0)</f>
        <v>0</v>
      </c>
      <c r="O603" s="50">
        <f>VLOOKUP($A603,'[1]ma sp 02'!$A$5:$BD$1101,O$1,0)</f>
        <v>0</v>
      </c>
      <c r="P603" s="50">
        <f>VLOOKUP($A603,'[1]ma sp 02'!$A$5:$BD$1101,P$1,0)</f>
        <v>1.57</v>
      </c>
      <c r="Q603" s="50">
        <f>VLOOKUP($A603,'[1]ma sp 02'!$A$5:$BD$1101,Q$1,0)</f>
        <v>0</v>
      </c>
      <c r="R603" s="50">
        <f>VLOOKUP($A603,'[1]ma sp 02'!$A$5:$BD$1101,R$1,0)</f>
        <v>0</v>
      </c>
      <c r="S603" s="50">
        <f>VLOOKUP($A603,'[1]ma sp 02'!$A$5:$BD$1101,S$1,0)</f>
        <v>0</v>
      </c>
      <c r="T603" s="50">
        <f>VLOOKUP($A603,'[1]ma sp 02'!$A$5:$BD$1101,T$1,0)</f>
        <v>0</v>
      </c>
      <c r="U603" s="50">
        <f>VLOOKUP($A603,'[1]ma sp 02'!$A$5:$BD$1101,U$1,0)</f>
        <v>0</v>
      </c>
      <c r="V603" s="50">
        <f>VLOOKUP($A603,'[1]ma sp 02'!$A$5:$BD$1101,V$1,0)</f>
        <v>0</v>
      </c>
      <c r="W603" s="50">
        <f>VLOOKUP($A603,'[1]ma sp 02'!$A$5:$BD$1101,W$1,0)</f>
        <v>0</v>
      </c>
      <c r="X603" s="50"/>
      <c r="Y603" s="62"/>
      <c r="Z603" s="62"/>
      <c r="AA603" s="62"/>
      <c r="AB603" s="62"/>
      <c r="AC603" s="62"/>
      <c r="AD603" s="62"/>
      <c r="AE603" s="62" t="s">
        <v>946</v>
      </c>
      <c r="AF603" s="62" t="s">
        <v>947</v>
      </c>
      <c r="AG603" s="71">
        <f>(0.012*1.4+0.006*2.71+0.075*0.925)*0.78</f>
        <v>7.9899300000000006E-2</v>
      </c>
      <c r="AH603" s="155">
        <f>(2.3/0.75/2)*0.78</f>
        <v>1.196</v>
      </c>
      <c r="AI603" s="155">
        <f>(2.3/0.75/2)*0.78</f>
        <v>1.196</v>
      </c>
      <c r="AJ603" s="62">
        <v>9530</v>
      </c>
      <c r="AK603" s="62">
        <v>9530</v>
      </c>
      <c r="AL603" s="62" t="s">
        <v>1949</v>
      </c>
      <c r="AM603" s="61" t="s">
        <v>74</v>
      </c>
      <c r="AN603" s="62">
        <v>140</v>
      </c>
      <c r="AO603" s="61" t="s">
        <v>1950</v>
      </c>
      <c r="AP603" s="59" t="str">
        <f>IFERROR(VLOOKUP($A603,[2]Mssp!$A$5:$BE$1463,AP$4+1,0),0)</f>
        <v>1912271-1</v>
      </c>
      <c r="AQ603" s="59" t="str">
        <f>IFERROR(VLOOKUP($A603,[2]Mssp!$A$5:$BE$1463,AQ$4+1,0),0)</f>
        <v>1912271-2</v>
      </c>
      <c r="AR603" s="59" t="str">
        <f>IFERROR(VLOOKUP($A603,[2]Mssp!$A$5:$BE$1463,AR$4+1,0),0)</f>
        <v>1912271-3</v>
      </c>
      <c r="AS603" s="59" t="str">
        <f>IFERROR(VLOOKUP($A603,[2]Mssp!$A$5:$BE$1463,AS$4+1,0),0)</f>
        <v>1912271-4</v>
      </c>
      <c r="AT603" s="59" t="str">
        <f>IFERROR(VLOOKUP($A603,[2]Mssp!$A$5:$BE$1463,AT$4+1,0),0)</f>
        <v>1912271-5</v>
      </c>
      <c r="AU603" s="59" t="str">
        <f>IFERROR(VLOOKUP($A603,[2]Mssp!$A$5:$BE$1463,AU$4+1,0),0)</f>
        <v>1912271-6</v>
      </c>
      <c r="AV603" s="59">
        <f>IFERROR(VLOOKUP($A603,[2]Mssp!$A$5:$BE$1463,AV$4+1,0),0)</f>
        <v>0</v>
      </c>
      <c r="AW603" s="59">
        <f>IFERROR(VLOOKUP($A603,[2]Mssp!$A$5:$BE$1463,AW$4+1,0),0)</f>
        <v>0</v>
      </c>
      <c r="AX603" s="59">
        <f>IFERROR(VLOOKUP($A603,[2]Mssp!$A$5:$BE$1463,AX$4+1,0),0)</f>
        <v>0</v>
      </c>
      <c r="AY603" s="59" t="str">
        <f>IFERROR(VLOOKUP($A603,[2]Mssp!$A$5:$BE$1463,AY$4+2,0),0)</f>
        <v>420x870</v>
      </c>
      <c r="AZ603" s="59" t="str">
        <f>IFERROR(VLOOKUP($A603,[2]Mssp!$A$5:$BE$1463,AZ$4+2,0),0)</f>
        <v>R1</v>
      </c>
      <c r="BA603" s="141"/>
      <c r="BB603" s="61"/>
      <c r="BC603" s="165"/>
      <c r="BD603" s="166"/>
      <c r="BE603" s="167"/>
      <c r="BF603" s="168"/>
      <c r="BG603" s="167"/>
      <c r="BH603" s="168"/>
      <c r="BI603" s="169"/>
      <c r="BJ603" s="168"/>
      <c r="BK603" s="134"/>
      <c r="BL603" s="168"/>
      <c r="BM603" s="167"/>
      <c r="BN603" s="168"/>
      <c r="BO603" s="62"/>
      <c r="BP603" s="168"/>
      <c r="BQ603" s="168"/>
      <c r="BR603" s="168"/>
      <c r="BS603" s="135"/>
      <c r="BT603" s="168"/>
      <c r="BU603" s="167"/>
      <c r="BV603" s="168"/>
      <c r="BW603" s="167"/>
      <c r="BX603" s="168"/>
      <c r="BY603" s="167"/>
      <c r="BZ603" s="168"/>
      <c r="CA603" s="167"/>
      <c r="CB603" s="168"/>
      <c r="CC603" s="167"/>
      <c r="CD603" s="168"/>
      <c r="CE603" s="62"/>
      <c r="CF603" s="62"/>
      <c r="CG603" s="9"/>
      <c r="CH603" s="9"/>
      <c r="CI603" s="9"/>
      <c r="CJ603" s="9"/>
      <c r="CK603" s="9"/>
      <c r="CL603" s="9"/>
      <c r="CM603" s="9"/>
      <c r="CN603" s="9"/>
      <c r="CO603" s="9"/>
      <c r="CP603" s="9"/>
    </row>
    <row r="604" spans="1:94" ht="45" x14ac:dyDescent="0.25">
      <c r="A604" s="127" t="s">
        <v>1951</v>
      </c>
      <c r="B604" s="51" t="s">
        <v>1952</v>
      </c>
      <c r="C604" s="62"/>
      <c r="D604" s="84">
        <v>2</v>
      </c>
      <c r="E604" s="62" t="s">
        <v>819</v>
      </c>
      <c r="F604" s="62">
        <v>1</v>
      </c>
      <c r="G604" s="62" t="s">
        <v>184</v>
      </c>
      <c r="H604" s="50">
        <f>VLOOKUP($A604,'[1]ma sp 02'!$A$5:$BD$1101,H$1,0)</f>
        <v>0</v>
      </c>
      <c r="I604" s="50">
        <f>VLOOKUP($A604,'[1]ma sp 02'!$A$5:$BD$1101,I$1,0)</f>
        <v>5.88</v>
      </c>
      <c r="J604" s="50">
        <f>VLOOKUP($A604,'[1]ma sp 02'!$A$5:$BD$1101,J$1,0)</f>
        <v>0</v>
      </c>
      <c r="K604" s="50">
        <f>VLOOKUP($A604,'[1]ma sp 02'!$A$5:$BD$1101,K$1,0)</f>
        <v>0</v>
      </c>
      <c r="L604" s="50">
        <f>VLOOKUP($A604,'[1]ma sp 02'!$A$5:$BD$1101,L$1,0)</f>
        <v>0</v>
      </c>
      <c r="M604" s="50">
        <f>VLOOKUP($A604,'[1]ma sp 02'!$A$5:$BD$1101,M$1,0)</f>
        <v>0</v>
      </c>
      <c r="N604" s="50">
        <f>VLOOKUP($A604,'[1]ma sp 02'!$A$5:$BD$1101,N$1,0)</f>
        <v>0</v>
      </c>
      <c r="O604" s="50">
        <f>VLOOKUP($A604,'[1]ma sp 02'!$A$5:$BD$1101,O$1,0)</f>
        <v>0</v>
      </c>
      <c r="P604" s="50">
        <f>VLOOKUP($A604,'[1]ma sp 02'!$A$5:$BD$1101,P$1,0)</f>
        <v>0</v>
      </c>
      <c r="Q604" s="50">
        <f>VLOOKUP($A604,'[1]ma sp 02'!$A$5:$BD$1101,Q$1,0)</f>
        <v>0</v>
      </c>
      <c r="R604" s="50">
        <f>VLOOKUP($A604,'[1]ma sp 02'!$A$5:$BD$1101,R$1,0)</f>
        <v>0</v>
      </c>
      <c r="S604" s="50">
        <f>VLOOKUP($A604,'[1]ma sp 02'!$A$5:$BD$1101,S$1,0)</f>
        <v>0</v>
      </c>
      <c r="T604" s="50">
        <f>VLOOKUP($A604,'[1]ma sp 02'!$A$5:$BD$1101,T$1,0)</f>
        <v>0</v>
      </c>
      <c r="U604" s="50">
        <f>VLOOKUP($A604,'[1]ma sp 02'!$A$5:$BD$1101,U$1,0)</f>
        <v>0</v>
      </c>
      <c r="V604" s="50">
        <f>VLOOKUP($A604,'[1]ma sp 02'!$A$5:$BD$1101,V$1,0)</f>
        <v>0</v>
      </c>
      <c r="W604" s="50">
        <f>VLOOKUP($A604,'[1]ma sp 02'!$A$5:$BD$1101,W$1,0)</f>
        <v>0</v>
      </c>
      <c r="X604" s="50"/>
      <c r="Y604" s="62"/>
      <c r="Z604" s="62"/>
      <c r="AA604" s="62"/>
      <c r="AB604" s="62"/>
      <c r="AC604" s="62"/>
      <c r="AD604" s="62"/>
      <c r="AE604" s="62" t="s">
        <v>1953</v>
      </c>
      <c r="AF604" s="62"/>
      <c r="AG604" s="71">
        <f>(0.02*0.91+0.08*0.925)*0.74</f>
        <v>6.8227999999999997E-2</v>
      </c>
      <c r="AH604" s="155">
        <f>(2.5/0.75/2)*0.73</f>
        <v>1.2166666666666668</v>
      </c>
      <c r="AI604" s="54"/>
      <c r="AJ604" s="62">
        <v>9530</v>
      </c>
      <c r="AK604" s="62"/>
      <c r="AL604" s="62">
        <v>2.5000000000000001E-3</v>
      </c>
      <c r="AM604" s="61" t="s">
        <v>74</v>
      </c>
      <c r="AN604" s="62">
        <v>240</v>
      </c>
      <c r="AO604" s="61" t="s">
        <v>1815</v>
      </c>
      <c r="AP604" s="59" t="str">
        <f>IFERROR(VLOOKUP($A604,[2]Mssp!$A$5:$BE$1463,AP$4+1,0),0)</f>
        <v>F125042-1</v>
      </c>
      <c r="AQ604" s="59">
        <f>IFERROR(VLOOKUP($A604,[2]Mssp!$A$5:$BE$1463,AQ$4+1,0),0)</f>
        <v>0</v>
      </c>
      <c r="AR604" s="59">
        <f>IFERROR(VLOOKUP($A604,[2]Mssp!$A$5:$BE$1463,AR$4+1,0),0)</f>
        <v>0</v>
      </c>
      <c r="AS604" s="59">
        <f>IFERROR(VLOOKUP($A604,[2]Mssp!$A$5:$BE$1463,AS$4+1,0),0)</f>
        <v>0</v>
      </c>
      <c r="AT604" s="59">
        <f>IFERROR(VLOOKUP($A604,[2]Mssp!$A$5:$BE$1463,AT$4+1,0),0)</f>
        <v>0</v>
      </c>
      <c r="AU604" s="59">
        <f>IFERROR(VLOOKUP($A604,[2]Mssp!$A$5:$BE$1463,AU$4+1,0),0)</f>
        <v>0</v>
      </c>
      <c r="AV604" s="59">
        <f>IFERROR(VLOOKUP($A604,[2]Mssp!$A$5:$BE$1463,AV$4+1,0),0)</f>
        <v>0</v>
      </c>
      <c r="AW604" s="59">
        <f>IFERROR(VLOOKUP($A604,[2]Mssp!$A$5:$BE$1463,AW$4+1,0),0)</f>
        <v>0</v>
      </c>
      <c r="AX604" s="59">
        <f>IFERROR(VLOOKUP($A604,[2]Mssp!$A$5:$BE$1463,AX$4+1,0),0)</f>
        <v>0</v>
      </c>
      <c r="AY604" s="59" t="str">
        <f>IFERROR(VLOOKUP($A604,[2]Mssp!$A$5:$BE$1463,AY$4+2,0),0)</f>
        <v>480x870</v>
      </c>
      <c r="AZ604" s="59" t="str">
        <f>IFERROR(VLOOKUP($A604,[2]Mssp!$A$5:$BE$1463,AZ$4+2,0),0)</f>
        <v>R1</v>
      </c>
      <c r="BA604" s="141"/>
      <c r="BB604" s="61"/>
      <c r="BC604" s="165"/>
      <c r="BD604" s="166"/>
      <c r="BE604" s="167"/>
      <c r="BF604" s="168"/>
      <c r="BG604" s="167"/>
      <c r="BH604" s="168"/>
      <c r="BI604" s="169"/>
      <c r="BJ604" s="168"/>
      <c r="BK604" s="134"/>
      <c r="BL604" s="168"/>
      <c r="BM604" s="167"/>
      <c r="BN604" s="168"/>
      <c r="BO604" s="62"/>
      <c r="BP604" s="168"/>
      <c r="BQ604" s="168"/>
      <c r="BR604" s="168"/>
      <c r="BS604" s="135"/>
      <c r="BT604" s="168"/>
      <c r="BU604" s="167"/>
      <c r="BV604" s="168"/>
      <c r="BW604" s="167"/>
      <c r="BX604" s="168"/>
      <c r="BY604" s="167"/>
      <c r="BZ604" s="168"/>
      <c r="CA604" s="167"/>
      <c r="CB604" s="168"/>
      <c r="CC604" s="167"/>
      <c r="CD604" s="168"/>
      <c r="CE604" s="62"/>
      <c r="CF604" s="62"/>
      <c r="CG604" s="9"/>
      <c r="CH604" s="9"/>
      <c r="CI604" s="9"/>
      <c r="CJ604" s="9"/>
      <c r="CK604" s="9"/>
      <c r="CL604" s="9"/>
      <c r="CM604" s="9"/>
      <c r="CN604" s="9"/>
      <c r="CO604" s="9"/>
      <c r="CP604" s="9"/>
    </row>
    <row r="605" spans="1:94" ht="45" x14ac:dyDescent="0.25">
      <c r="A605" s="127" t="s">
        <v>1954</v>
      </c>
      <c r="B605" s="51" t="s">
        <v>1955</v>
      </c>
      <c r="C605" s="62"/>
      <c r="D605" s="84">
        <f>696/232</f>
        <v>3</v>
      </c>
      <c r="E605" s="62" t="s">
        <v>1956</v>
      </c>
      <c r="F605" s="62">
        <v>2</v>
      </c>
      <c r="G605" s="62" t="s">
        <v>184</v>
      </c>
      <c r="H605" s="50">
        <f>VLOOKUP($A605,'[1]ma sp 02'!$A$5:$BD$1101,H$1,0)</f>
        <v>0</v>
      </c>
      <c r="I605" s="50">
        <f>VLOOKUP($A605,'[1]ma sp 02'!$A$5:$BD$1101,I$1,0)</f>
        <v>0</v>
      </c>
      <c r="J605" s="50">
        <f>VLOOKUP($A605,'[1]ma sp 02'!$A$5:$BD$1101,J$1,0)</f>
        <v>0.12</v>
      </c>
      <c r="K605" s="50">
        <f>VLOOKUP($A605,'[1]ma sp 02'!$A$5:$BD$1101,K$1,0)</f>
        <v>0.12</v>
      </c>
      <c r="L605" s="50">
        <f>VLOOKUP($A605,'[1]ma sp 02'!$A$5:$BD$1101,L$1,0)</f>
        <v>0.48</v>
      </c>
      <c r="M605" s="50">
        <f>VLOOKUP($A605,'[1]ma sp 02'!$A$5:$BD$1101,M$1,0)</f>
        <v>0</v>
      </c>
      <c r="N605" s="50">
        <f>VLOOKUP($A605,'[1]ma sp 02'!$A$5:$BD$1101,N$1,0)</f>
        <v>0</v>
      </c>
      <c r="O605" s="50">
        <f>VLOOKUP($A605,'[1]ma sp 02'!$A$5:$BD$1101,O$1,0)</f>
        <v>0.05</v>
      </c>
      <c r="P605" s="50">
        <f>VLOOKUP($A605,'[1]ma sp 02'!$A$5:$BD$1101,P$1,0)</f>
        <v>0.05</v>
      </c>
      <c r="Q605" s="50">
        <f>VLOOKUP($A605,'[1]ma sp 02'!$A$5:$BD$1101,Q$1,0)</f>
        <v>0</v>
      </c>
      <c r="R605" s="50">
        <f>VLOOKUP($A605,'[1]ma sp 02'!$A$5:$BD$1101,R$1,0)</f>
        <v>0</v>
      </c>
      <c r="S605" s="50">
        <f>VLOOKUP($A605,'[1]ma sp 02'!$A$5:$BD$1101,S$1,0)</f>
        <v>0</v>
      </c>
      <c r="T605" s="50">
        <f>VLOOKUP($A605,'[1]ma sp 02'!$A$5:$BD$1101,T$1,0)</f>
        <v>0.18</v>
      </c>
      <c r="U605" s="50">
        <f>VLOOKUP($A605,'[1]ma sp 02'!$A$5:$BD$1101,U$1,0)</f>
        <v>0</v>
      </c>
      <c r="V605" s="50">
        <f>VLOOKUP($A605,'[1]ma sp 02'!$A$5:$BD$1101,V$1,0)</f>
        <v>0</v>
      </c>
      <c r="W605" s="50">
        <f>VLOOKUP($A605,'[1]ma sp 02'!$A$5:$BD$1101,W$1,0)</f>
        <v>0</v>
      </c>
      <c r="X605" s="50"/>
      <c r="Y605" s="62"/>
      <c r="Z605" s="62"/>
      <c r="AA605" s="62"/>
      <c r="AB605" s="62"/>
      <c r="AC605" s="62"/>
      <c r="AD605" s="62"/>
      <c r="AE605" s="62" t="s">
        <v>1957</v>
      </c>
      <c r="AF605" s="62" t="s">
        <v>1958</v>
      </c>
      <c r="AG605" s="71">
        <f>(0.02*0.91+0.006*2.71+0.055*0.925)*0.716</f>
        <v>6.1099860000000006E-2</v>
      </c>
      <c r="AH605" s="155">
        <f>(2.5/0.75/2)*0.706</f>
        <v>1.1766666666666667</v>
      </c>
      <c r="AI605" s="155">
        <f>(2.5/0.75/2)*0.706</f>
        <v>1.1766666666666667</v>
      </c>
      <c r="AJ605" s="62">
        <v>9530</v>
      </c>
      <c r="AK605" s="62">
        <v>9530</v>
      </c>
      <c r="AL605" s="62" t="s">
        <v>1901</v>
      </c>
      <c r="AM605" s="61" t="s">
        <v>60</v>
      </c>
      <c r="AN605" s="62">
        <v>180</v>
      </c>
      <c r="AO605" s="61" t="s">
        <v>1959</v>
      </c>
      <c r="AP605" s="59" t="str">
        <f>IFERROR(VLOOKUP($A605,[2]Mssp!$A$5:$BE$1463,AP$4+1,0),0)</f>
        <v>1912540-1</v>
      </c>
      <c r="AQ605" s="59" t="str">
        <f>IFERROR(VLOOKUP($A605,[2]Mssp!$A$5:$BE$1463,AQ$4+1,0),0)</f>
        <v>1912540-2</v>
      </c>
      <c r="AR605" s="59">
        <f>IFERROR(VLOOKUP($A605,[2]Mssp!$A$5:$BE$1463,AR$4+1,0),0)</f>
        <v>0</v>
      </c>
      <c r="AS605" s="59">
        <f>IFERROR(VLOOKUP($A605,[2]Mssp!$A$5:$BE$1463,AS$4+1,0),0)</f>
        <v>0</v>
      </c>
      <c r="AT605" s="59">
        <f>IFERROR(VLOOKUP($A605,[2]Mssp!$A$5:$BE$1463,AT$4+1,0),0)</f>
        <v>0</v>
      </c>
      <c r="AU605" s="59">
        <f>IFERROR(VLOOKUP($A605,[2]Mssp!$A$5:$BE$1463,AU$4+1,0),0)</f>
        <v>0</v>
      </c>
      <c r="AV605" s="59">
        <f>IFERROR(VLOOKUP($A605,[2]Mssp!$A$5:$BE$1463,AV$4+1,0),0)</f>
        <v>0</v>
      </c>
      <c r="AW605" s="59">
        <f>IFERROR(VLOOKUP($A605,[2]Mssp!$A$5:$BE$1463,AW$4+1,0),0)</f>
        <v>0</v>
      </c>
      <c r="AX605" s="59">
        <f>IFERROR(VLOOKUP($A605,[2]Mssp!$A$5:$BE$1463,AX$4+1,0),0)</f>
        <v>0</v>
      </c>
      <c r="AY605" s="59" t="str">
        <f>IFERROR(VLOOKUP($A605,[2]Mssp!$A$5:$BE$1463,AY$4+2,0),0)</f>
        <v>540x870</v>
      </c>
      <c r="AZ605" s="59" t="str">
        <f>IFERROR(VLOOKUP($A605,[2]Mssp!$A$5:$BE$1463,AZ$4+2,0),0)</f>
        <v>R1</v>
      </c>
      <c r="BA605" s="141">
        <v>4800</v>
      </c>
      <c r="BB605" s="61" t="s">
        <v>1894</v>
      </c>
      <c r="BC605" s="165"/>
      <c r="BD605" s="166"/>
      <c r="BE605" s="167"/>
      <c r="BF605" s="168"/>
      <c r="BG605" s="167"/>
      <c r="BH605" s="168"/>
      <c r="BI605" s="169"/>
      <c r="BJ605" s="168"/>
      <c r="BK605" s="134"/>
      <c r="BL605" s="168"/>
      <c r="BM605" s="167"/>
      <c r="BN605" s="168"/>
      <c r="BO605" s="62"/>
      <c r="BP605" s="168"/>
      <c r="BQ605" s="168"/>
      <c r="BR605" s="168"/>
      <c r="BS605" s="135"/>
      <c r="BT605" s="168"/>
      <c r="BU605" s="167"/>
      <c r="BV605" s="168"/>
      <c r="BW605" s="167"/>
      <c r="BX605" s="168"/>
      <c r="BY605" s="167"/>
      <c r="BZ605" s="168"/>
      <c r="CA605" s="167"/>
      <c r="CB605" s="168"/>
      <c r="CC605" s="167"/>
      <c r="CD605" s="168"/>
      <c r="CE605" s="62"/>
      <c r="CF605" s="62"/>
      <c r="CG605" s="9"/>
      <c r="CH605" s="9"/>
      <c r="CI605" s="9"/>
      <c r="CJ605" s="9"/>
      <c r="CK605" s="9"/>
      <c r="CL605" s="9"/>
      <c r="CM605" s="9"/>
      <c r="CN605" s="9"/>
      <c r="CO605" s="9"/>
      <c r="CP605" s="9"/>
    </row>
    <row r="606" spans="1:94" ht="45" x14ac:dyDescent="0.25">
      <c r="A606" s="127" t="s">
        <v>1960</v>
      </c>
      <c r="B606" s="51" t="s">
        <v>1961</v>
      </c>
      <c r="C606" s="62"/>
      <c r="D606" s="84">
        <f>816/272</f>
        <v>3</v>
      </c>
      <c r="E606" s="62" t="s">
        <v>1962</v>
      </c>
      <c r="F606" s="62">
        <v>2</v>
      </c>
      <c r="G606" s="62" t="s">
        <v>184</v>
      </c>
      <c r="H606" s="50">
        <f>VLOOKUP($A606,'[1]ma sp 02'!$A$5:$BD$1101,H$1,0)</f>
        <v>0.03</v>
      </c>
      <c r="I606" s="50">
        <f>VLOOKUP($A606,'[1]ma sp 02'!$A$5:$BD$1101,I$1,0)</f>
        <v>0</v>
      </c>
      <c r="J606" s="50">
        <f>VLOOKUP($A606,'[1]ma sp 02'!$A$5:$BD$1101,J$1,0)</f>
        <v>0.11</v>
      </c>
      <c r="K606" s="50">
        <f>VLOOKUP($A606,'[1]ma sp 02'!$A$5:$BD$1101,K$1,0)</f>
        <v>1.7000000000000001E-2</v>
      </c>
      <c r="L606" s="50">
        <f>VLOOKUP($A606,'[1]ma sp 02'!$A$5:$BD$1101,L$1,0)</f>
        <v>0.22</v>
      </c>
      <c r="M606" s="50">
        <f>VLOOKUP($A606,'[1]ma sp 02'!$A$5:$BD$1101,M$1,0)</f>
        <v>0</v>
      </c>
      <c r="N606" s="50">
        <f>VLOOKUP($A606,'[1]ma sp 02'!$A$5:$BD$1101,N$1,0)</f>
        <v>0</v>
      </c>
      <c r="O606" s="50">
        <f>VLOOKUP($A606,'[1]ma sp 02'!$A$5:$BD$1101,O$1,0)</f>
        <v>0.01</v>
      </c>
      <c r="P606" s="50">
        <f>VLOOKUP($A606,'[1]ma sp 02'!$A$5:$BD$1101,P$1,0)</f>
        <v>0.11</v>
      </c>
      <c r="Q606" s="50">
        <f>VLOOKUP($A606,'[1]ma sp 02'!$A$5:$BD$1101,Q$1,0)</f>
        <v>0.03</v>
      </c>
      <c r="R606" s="50">
        <f>VLOOKUP($A606,'[1]ma sp 02'!$A$5:$BD$1101,R$1,0)</f>
        <v>0</v>
      </c>
      <c r="S606" s="50">
        <f>VLOOKUP($A606,'[1]ma sp 02'!$A$5:$BD$1101,S$1,0)</f>
        <v>0</v>
      </c>
      <c r="T606" s="50">
        <f>VLOOKUP($A606,'[1]ma sp 02'!$A$5:$BD$1101,T$1,0)</f>
        <v>0.01</v>
      </c>
      <c r="U606" s="50">
        <f>VLOOKUP($A606,'[1]ma sp 02'!$A$5:$BD$1101,U$1,0)</f>
        <v>0</v>
      </c>
      <c r="V606" s="50">
        <f>VLOOKUP($A606,'[1]ma sp 02'!$A$5:$BD$1101,V$1,0)</f>
        <v>0</v>
      </c>
      <c r="W606" s="50">
        <f>VLOOKUP($A606,'[1]ma sp 02'!$A$5:$BD$1101,W$1,0)</f>
        <v>0</v>
      </c>
      <c r="X606" s="50"/>
      <c r="Y606" s="62"/>
      <c r="Z606" s="62"/>
      <c r="AA606" s="62"/>
      <c r="AB606" s="62"/>
      <c r="AC606" s="62"/>
      <c r="AD606" s="62"/>
      <c r="AE606" s="62" t="s">
        <v>1963</v>
      </c>
      <c r="AF606" s="62" t="s">
        <v>1964</v>
      </c>
      <c r="AG606" s="71">
        <f>(0.02*0.91+0.006*2.71+0.055*0.925)*0.836</f>
        <v>7.1340060000000011E-2</v>
      </c>
      <c r="AH606" s="155">
        <f>(2.5/0.75/2)*0.826</f>
        <v>1.3766666666666667</v>
      </c>
      <c r="AI606" s="155">
        <f>(2.5/0.75/2)*0.826</f>
        <v>1.3766666666666667</v>
      </c>
      <c r="AJ606" s="62">
        <v>9530</v>
      </c>
      <c r="AK606" s="62">
        <v>9530</v>
      </c>
      <c r="AL606" s="62" t="s">
        <v>1901</v>
      </c>
      <c r="AM606" s="61" t="s">
        <v>60</v>
      </c>
      <c r="AN606" s="62">
        <v>210</v>
      </c>
      <c r="AO606" s="61" t="s">
        <v>1959</v>
      </c>
      <c r="AP606" s="59" t="str">
        <f>IFERROR(VLOOKUP($A606,[2]Mssp!$A$5:$BE$1463,AP$4+1,0),0)</f>
        <v>21070492-1</v>
      </c>
      <c r="AQ606" s="59" t="str">
        <f>IFERROR(VLOOKUP($A606,[2]Mssp!$A$5:$BE$1463,AQ$4+1,0),0)</f>
        <v>21070492-2</v>
      </c>
      <c r="AR606" s="59">
        <f>IFERROR(VLOOKUP($A606,[2]Mssp!$A$5:$BE$1463,AR$4+1,0),0)</f>
        <v>0</v>
      </c>
      <c r="AS606" s="59">
        <f>IFERROR(VLOOKUP($A606,[2]Mssp!$A$5:$BE$1463,AS$4+1,0),0)</f>
        <v>0</v>
      </c>
      <c r="AT606" s="59">
        <f>IFERROR(VLOOKUP($A606,[2]Mssp!$A$5:$BE$1463,AT$4+1,0),0)</f>
        <v>0</v>
      </c>
      <c r="AU606" s="59">
        <f>IFERROR(VLOOKUP($A606,[2]Mssp!$A$5:$BE$1463,AU$4+1,0),0)</f>
        <v>0</v>
      </c>
      <c r="AV606" s="59">
        <f>IFERROR(VLOOKUP($A606,[2]Mssp!$A$5:$BE$1463,AV$4+1,0),0)</f>
        <v>0</v>
      </c>
      <c r="AW606" s="59">
        <f>IFERROR(VLOOKUP($A606,[2]Mssp!$A$5:$BE$1463,AW$4+1,0),0)</f>
        <v>0</v>
      </c>
      <c r="AX606" s="59">
        <f>IFERROR(VLOOKUP($A606,[2]Mssp!$A$5:$BE$1463,AX$4+1,0),0)</f>
        <v>0</v>
      </c>
      <c r="AY606" s="59" t="str">
        <f>IFERROR(VLOOKUP($A606,[2]Mssp!$A$5:$BE$1463,AY$4+2,0),0)</f>
        <v>420x1100</v>
      </c>
      <c r="AZ606" s="59" t="str">
        <f>IFERROR(VLOOKUP($A606,[2]Mssp!$A$5:$BE$1463,AZ$4+2,0),0)</f>
        <v>R1</v>
      </c>
      <c r="BA606" s="141">
        <v>4000</v>
      </c>
      <c r="BB606" s="61" t="s">
        <v>1894</v>
      </c>
      <c r="BC606" s="165"/>
      <c r="BD606" s="166"/>
      <c r="BE606" s="167"/>
      <c r="BF606" s="168"/>
      <c r="BG606" s="167"/>
      <c r="BH606" s="168"/>
      <c r="BI606" s="169"/>
      <c r="BJ606" s="168"/>
      <c r="BK606" s="134"/>
      <c r="BL606" s="168"/>
      <c r="BM606" s="167"/>
      <c r="BN606" s="168"/>
      <c r="BO606" s="62"/>
      <c r="BP606" s="168"/>
      <c r="BQ606" s="168"/>
      <c r="BR606" s="168"/>
      <c r="BS606" s="135"/>
      <c r="BT606" s="168"/>
      <c r="BU606" s="167"/>
      <c r="BV606" s="168"/>
      <c r="BW606" s="167"/>
      <c r="BX606" s="168"/>
      <c r="BY606" s="167"/>
      <c r="BZ606" s="168"/>
      <c r="CA606" s="167"/>
      <c r="CB606" s="168"/>
      <c r="CC606" s="167"/>
      <c r="CD606" s="168"/>
      <c r="CE606" s="62"/>
      <c r="CF606" s="62"/>
      <c r="CG606" s="9"/>
      <c r="CH606" s="9"/>
      <c r="CI606" s="9"/>
      <c r="CJ606" s="9"/>
      <c r="CK606" s="9"/>
      <c r="CL606" s="9"/>
      <c r="CM606" s="9"/>
      <c r="CN606" s="9"/>
      <c r="CO606" s="9"/>
      <c r="CP606" s="9"/>
    </row>
    <row r="607" spans="1:94" ht="45" x14ac:dyDescent="0.25">
      <c r="A607" s="127" t="s">
        <v>1965</v>
      </c>
      <c r="B607" s="51" t="s">
        <v>1966</v>
      </c>
      <c r="C607" s="62"/>
      <c r="D607" s="84">
        <f>762/254</f>
        <v>3</v>
      </c>
      <c r="E607" s="62" t="s">
        <v>1967</v>
      </c>
      <c r="F607" s="62">
        <v>2</v>
      </c>
      <c r="G607" s="62" t="s">
        <v>184</v>
      </c>
      <c r="H607" s="50">
        <f>VLOOKUP($A607,'[1]ma sp 02'!$A$5:$BD$1101,H$1,0)</f>
        <v>0</v>
      </c>
      <c r="I607" s="50">
        <f>VLOOKUP($A607,'[1]ma sp 02'!$A$5:$BD$1101,I$1,0)</f>
        <v>0</v>
      </c>
      <c r="J607" s="50">
        <f>VLOOKUP($A607,'[1]ma sp 02'!$A$5:$BD$1101,J$1,0)</f>
        <v>0</v>
      </c>
      <c r="K607" s="50">
        <f>VLOOKUP($A607,'[1]ma sp 02'!$A$5:$BD$1101,K$1,0)</f>
        <v>0</v>
      </c>
      <c r="L607" s="50">
        <f>VLOOKUP($A607,'[1]ma sp 02'!$A$5:$BD$1101,L$1,0)</f>
        <v>0</v>
      </c>
      <c r="M607" s="50">
        <f>VLOOKUP($A607,'[1]ma sp 02'!$A$5:$BD$1101,M$1,0)</f>
        <v>0</v>
      </c>
      <c r="N607" s="50">
        <f>VLOOKUP($A607,'[1]ma sp 02'!$A$5:$BD$1101,N$1,0)</f>
        <v>0</v>
      </c>
      <c r="O607" s="50">
        <f>VLOOKUP($A607,'[1]ma sp 02'!$A$5:$BD$1101,O$1,0)</f>
        <v>7.2999999999999995E-2</v>
      </c>
      <c r="P607" s="50">
        <f>VLOOKUP($A607,'[1]ma sp 02'!$A$5:$BD$1101,P$1,0)</f>
        <v>0.01</v>
      </c>
      <c r="Q607" s="50">
        <f>VLOOKUP($A607,'[1]ma sp 02'!$A$5:$BD$1101,Q$1,0)</f>
        <v>0.14499999999999999</v>
      </c>
      <c r="R607" s="50">
        <f>VLOOKUP($A607,'[1]ma sp 02'!$A$5:$BD$1101,R$1,0)</f>
        <v>0</v>
      </c>
      <c r="S607" s="50">
        <f>VLOOKUP($A607,'[1]ma sp 02'!$A$5:$BD$1101,S$1,0)</f>
        <v>0</v>
      </c>
      <c r="T607" s="50">
        <f>VLOOKUP($A607,'[1]ma sp 02'!$A$5:$BD$1101,T$1,0)</f>
        <v>0</v>
      </c>
      <c r="U607" s="50">
        <f>VLOOKUP($A607,'[1]ma sp 02'!$A$5:$BD$1101,U$1,0)</f>
        <v>0</v>
      </c>
      <c r="V607" s="50">
        <f>VLOOKUP($A607,'[1]ma sp 02'!$A$5:$BD$1101,V$1,0)</f>
        <v>0</v>
      </c>
      <c r="W607" s="50">
        <f>VLOOKUP($A607,'[1]ma sp 02'!$A$5:$BD$1101,W$1,0)</f>
        <v>0</v>
      </c>
      <c r="X607" s="50"/>
      <c r="Y607" s="62"/>
      <c r="Z607" s="62"/>
      <c r="AA607" s="62"/>
      <c r="AB607" s="62"/>
      <c r="AC607" s="62"/>
      <c r="AD607" s="62"/>
      <c r="AE607" s="62" t="s">
        <v>1968</v>
      </c>
      <c r="AF607" s="62" t="s">
        <v>1969</v>
      </c>
      <c r="AG607" s="71">
        <f>(0.02*0.91+0.006*2.71+0.055*0.925)*0.772</f>
        <v>6.5878620000000013E-2</v>
      </c>
      <c r="AH607" s="155">
        <f>(2.5/0.75/2)*0.772</f>
        <v>1.2866666666666668</v>
      </c>
      <c r="AI607" s="155">
        <f>(2.5/0.75/2)*0.772</f>
        <v>1.2866666666666668</v>
      </c>
      <c r="AJ607" s="62">
        <v>9530</v>
      </c>
      <c r="AK607" s="62">
        <v>9530</v>
      </c>
      <c r="AL607" s="62" t="s">
        <v>1901</v>
      </c>
      <c r="AM607" s="61" t="s">
        <v>60</v>
      </c>
      <c r="AN607" s="62">
        <v>207</v>
      </c>
      <c r="AO607" s="61" t="s">
        <v>1959</v>
      </c>
      <c r="AP607" s="59" t="str">
        <f>IFERROR(VLOOKUP($A607,[2]Mssp!$A$5:$BE$1463,AP$4+1,0),0)</f>
        <v>1912542-1</v>
      </c>
      <c r="AQ607" s="59" t="str">
        <f>IFERROR(VLOOKUP($A607,[2]Mssp!$A$5:$BE$1463,AQ$4+1,0),0)</f>
        <v>1912542-2</v>
      </c>
      <c r="AR607" s="59">
        <f>IFERROR(VLOOKUP($A607,[2]Mssp!$A$5:$BE$1463,AR$4+1,0),0)</f>
        <v>0</v>
      </c>
      <c r="AS607" s="59">
        <f>IFERROR(VLOOKUP($A607,[2]Mssp!$A$5:$BE$1463,AS$4+1,0),0)</f>
        <v>0</v>
      </c>
      <c r="AT607" s="59">
        <f>IFERROR(VLOOKUP($A607,[2]Mssp!$A$5:$BE$1463,AT$4+1,0),0)</f>
        <v>0</v>
      </c>
      <c r="AU607" s="59">
        <f>IFERROR(VLOOKUP($A607,[2]Mssp!$A$5:$BE$1463,AU$4+1,0),0)</f>
        <v>0</v>
      </c>
      <c r="AV607" s="59">
        <f>IFERROR(VLOOKUP($A607,[2]Mssp!$A$5:$BE$1463,AV$4+1,0),0)</f>
        <v>0</v>
      </c>
      <c r="AW607" s="59">
        <f>IFERROR(VLOOKUP($A607,[2]Mssp!$A$5:$BE$1463,AW$4+1,0),0)</f>
        <v>0</v>
      </c>
      <c r="AX607" s="59">
        <f>IFERROR(VLOOKUP($A607,[2]Mssp!$A$5:$BE$1463,AX$4+1,0),0)</f>
        <v>0</v>
      </c>
      <c r="AY607" s="59" t="str">
        <f>IFERROR(VLOOKUP($A607,[2]Mssp!$A$5:$BE$1463,AY$4+2,0),0)</f>
        <v>414x870</v>
      </c>
      <c r="AZ607" s="59" t="str">
        <f>IFERROR(VLOOKUP($A607,[2]Mssp!$A$5:$BE$1463,AZ$4+2,0),0)</f>
        <v>R1</v>
      </c>
      <c r="BA607" s="141">
        <v>4000</v>
      </c>
      <c r="BB607" s="61" t="s">
        <v>1894</v>
      </c>
      <c r="BC607" s="165"/>
      <c r="BD607" s="166"/>
      <c r="BE607" s="167"/>
      <c r="BF607" s="168"/>
      <c r="BG607" s="167"/>
      <c r="BH607" s="168"/>
      <c r="BI607" s="169"/>
      <c r="BJ607" s="168"/>
      <c r="BK607" s="134"/>
      <c r="BL607" s="168"/>
      <c r="BM607" s="167"/>
      <c r="BN607" s="168"/>
      <c r="BO607" s="62"/>
      <c r="BP607" s="168"/>
      <c r="BQ607" s="168"/>
      <c r="BR607" s="168"/>
      <c r="BS607" s="135"/>
      <c r="BT607" s="168"/>
      <c r="BU607" s="167"/>
      <c r="BV607" s="168"/>
      <c r="BW607" s="167"/>
      <c r="BX607" s="168"/>
      <c r="BY607" s="167"/>
      <c r="BZ607" s="168"/>
      <c r="CA607" s="167"/>
      <c r="CB607" s="168"/>
      <c r="CC607" s="167"/>
      <c r="CD607" s="168"/>
      <c r="CE607" s="62"/>
      <c r="CF607" s="62"/>
      <c r="CG607" s="9"/>
      <c r="CH607" s="9"/>
      <c r="CI607" s="9"/>
      <c r="CJ607" s="9"/>
      <c r="CK607" s="9"/>
      <c r="CL607" s="9"/>
      <c r="CM607" s="9"/>
      <c r="CN607" s="9"/>
      <c r="CO607" s="9"/>
      <c r="CP607" s="9"/>
    </row>
    <row r="608" spans="1:94" ht="45" x14ac:dyDescent="0.25">
      <c r="A608" s="158" t="s">
        <v>1970</v>
      </c>
      <c r="B608" s="159" t="s">
        <v>1971</v>
      </c>
      <c r="C608" s="62"/>
      <c r="D608" s="84">
        <v>1</v>
      </c>
      <c r="E608" s="62" t="s">
        <v>722</v>
      </c>
      <c r="F608" s="62">
        <v>7</v>
      </c>
      <c r="G608" s="62" t="s">
        <v>530</v>
      </c>
      <c r="H608" s="50">
        <f>VLOOKUP($A608,'[1]ma sp 02'!$A$5:$BD$1101,H$1,0)</f>
        <v>0</v>
      </c>
      <c r="I608" s="50">
        <f>VLOOKUP($A608,'[1]ma sp 02'!$A$5:$BD$1101,I$1,0)</f>
        <v>0</v>
      </c>
      <c r="J608" s="50">
        <f>VLOOKUP($A608,'[1]ma sp 02'!$A$5:$BD$1101,J$1,0)</f>
        <v>0.01</v>
      </c>
      <c r="K608" s="50">
        <f>VLOOKUP($A608,'[1]ma sp 02'!$A$5:$BD$1101,K$1,0)</f>
        <v>0.78</v>
      </c>
      <c r="L608" s="50">
        <f>VLOOKUP($A608,'[1]ma sp 02'!$A$5:$BD$1101,L$1,0)</f>
        <v>9.84</v>
      </c>
      <c r="M608" s="50">
        <f>VLOOKUP($A608,'[1]ma sp 02'!$A$5:$BD$1101,M$1,0)</f>
        <v>4.68</v>
      </c>
      <c r="N608" s="50">
        <f>VLOOKUP($A608,'[1]ma sp 02'!$A$5:$BD$1101,N$1,0)</f>
        <v>0</v>
      </c>
      <c r="O608" s="50">
        <f>VLOOKUP($A608,'[1]ma sp 02'!$A$5:$BD$1101,O$1,0)</f>
        <v>1.87</v>
      </c>
      <c r="P608" s="50">
        <f>VLOOKUP($A608,'[1]ma sp 02'!$A$5:$BD$1101,P$1,0)</f>
        <v>2</v>
      </c>
      <c r="Q608" s="50">
        <f>VLOOKUP($A608,'[1]ma sp 02'!$A$5:$BD$1101,Q$1,0)</f>
        <v>0</v>
      </c>
      <c r="R608" s="50">
        <f>VLOOKUP($A608,'[1]ma sp 02'!$A$5:$BD$1101,R$1,0)</f>
        <v>0.46</v>
      </c>
      <c r="S608" s="50">
        <f>VLOOKUP($A608,'[1]ma sp 02'!$A$5:$BD$1101,S$1,0)</f>
        <v>0</v>
      </c>
      <c r="T608" s="50">
        <f>VLOOKUP($A608,'[1]ma sp 02'!$A$5:$BD$1101,T$1,0)</f>
        <v>0</v>
      </c>
      <c r="U608" s="50">
        <f>VLOOKUP($A608,'[1]ma sp 02'!$A$5:$BD$1101,U$1,0)</f>
        <v>0</v>
      </c>
      <c r="V608" s="50">
        <f>VLOOKUP($A608,'[1]ma sp 02'!$A$5:$BD$1101,V$1,0)</f>
        <v>0</v>
      </c>
      <c r="W608" s="50">
        <f>VLOOKUP($A608,'[1]ma sp 02'!$A$5:$BD$1101,W$1,0)</f>
        <v>0</v>
      </c>
      <c r="X608" s="50"/>
      <c r="Y608" s="62"/>
      <c r="Z608" s="62"/>
      <c r="AA608" s="62"/>
      <c r="AB608" s="62"/>
      <c r="AC608" s="62"/>
      <c r="AD608" s="62"/>
      <c r="AE608" s="62" t="s">
        <v>1972</v>
      </c>
      <c r="AF608" s="62"/>
      <c r="AG608" s="71">
        <f>(0.012*1.4+0.09*0.94)*0.56</f>
        <v>5.6784000000000001E-2</v>
      </c>
      <c r="AH608" s="155">
        <f>(3/0.75/2)*0.56</f>
        <v>1.1200000000000001</v>
      </c>
      <c r="AI608" s="54"/>
      <c r="AJ608" s="62">
        <v>9530</v>
      </c>
      <c r="AK608" s="62"/>
      <c r="AL608" s="62">
        <v>3.0000000000000001E-3</v>
      </c>
      <c r="AM608" s="61" t="s">
        <v>60</v>
      </c>
      <c r="AN608" s="62"/>
      <c r="AO608" s="61" t="s">
        <v>1973</v>
      </c>
      <c r="AP608" s="59" t="str">
        <f>IFERROR(VLOOKUP($A608,[2]Mssp!$A$5:$BE$1463,AP$4+1,0),0)</f>
        <v>F125084-1</v>
      </c>
      <c r="AQ608" s="59" t="str">
        <f>IFERROR(VLOOKUP($A608,[2]Mssp!$A$5:$BE$1463,AQ$4+1,0),0)</f>
        <v>F125084-2</v>
      </c>
      <c r="AR608" s="59" t="str">
        <f>IFERROR(VLOOKUP($A608,[2]Mssp!$A$5:$BE$1463,AR$4+1,0),0)</f>
        <v>F125084-3</v>
      </c>
      <c r="AS608" s="59" t="str">
        <f>IFERROR(VLOOKUP($A608,[2]Mssp!$A$5:$BE$1463,AS$4+1,0),0)</f>
        <v>F125084-4</v>
      </c>
      <c r="AT608" s="59" t="str">
        <f>IFERROR(VLOOKUP($A608,[2]Mssp!$A$5:$BE$1463,AT$4+1,0),0)</f>
        <v>F125084-5</v>
      </c>
      <c r="AU608" s="59" t="str">
        <f>IFERROR(VLOOKUP($A608,[2]Mssp!$A$5:$BE$1463,AU$4+1,0),0)</f>
        <v>F125084-6</v>
      </c>
      <c r="AV608" s="59" t="str">
        <f>IFERROR(VLOOKUP($A608,[2]Mssp!$A$5:$BE$1463,AV$4+1,0),0)</f>
        <v>F125084-7</v>
      </c>
      <c r="AW608" s="59">
        <f>IFERROR(VLOOKUP($A608,[2]Mssp!$A$5:$BE$1463,AW$4+1,0),0)</f>
        <v>0</v>
      </c>
      <c r="AX608" s="59">
        <f>IFERROR(VLOOKUP($A608,[2]Mssp!$A$5:$BE$1463,AX$4+1,0),0)</f>
        <v>0</v>
      </c>
      <c r="AY608" s="59" t="str">
        <f>IFERROR(VLOOKUP($A608,[2]Mssp!$A$5:$BE$1463,AY$4+2,0),0)</f>
        <v>760x870</v>
      </c>
      <c r="AZ608" s="59" t="str">
        <f>IFERROR(VLOOKUP($A608,[2]Mssp!$A$5:$BE$1463,AZ$4+2,0),0)</f>
        <v>R1</v>
      </c>
      <c r="BA608" s="141"/>
      <c r="BB608" s="61"/>
      <c r="BC608" s="165"/>
      <c r="BD608" s="166"/>
      <c r="BE608" s="167"/>
      <c r="BF608" s="168"/>
      <c r="BG608" s="167"/>
      <c r="BH608" s="168"/>
      <c r="BI608" s="169"/>
      <c r="BJ608" s="168"/>
      <c r="BK608" s="134"/>
      <c r="BL608" s="168"/>
      <c r="BM608" s="167"/>
      <c r="BN608" s="168"/>
      <c r="BO608" s="62"/>
      <c r="BP608" s="168"/>
      <c r="BQ608" s="168"/>
      <c r="BR608" s="168"/>
      <c r="BS608" s="135"/>
      <c r="BT608" s="168"/>
      <c r="BU608" s="167"/>
      <c r="BV608" s="168"/>
      <c r="BW608" s="167"/>
      <c r="BX608" s="168"/>
      <c r="BY608" s="167"/>
      <c r="BZ608" s="168"/>
      <c r="CA608" s="167"/>
      <c r="CB608" s="168"/>
      <c r="CC608" s="167"/>
      <c r="CD608" s="168"/>
      <c r="CE608" s="62"/>
      <c r="CF608" s="62"/>
      <c r="CG608" s="9"/>
      <c r="CH608" s="9"/>
      <c r="CI608" s="9"/>
      <c r="CJ608" s="9"/>
      <c r="CK608" s="9"/>
      <c r="CL608" s="9"/>
      <c r="CM608" s="9"/>
      <c r="CN608" s="9"/>
      <c r="CO608" s="9"/>
      <c r="CP608" s="9"/>
    </row>
    <row r="609" spans="1:94" x14ac:dyDescent="0.25">
      <c r="A609" s="127" t="s">
        <v>1974</v>
      </c>
      <c r="B609" s="51" t="s">
        <v>1975</v>
      </c>
      <c r="C609" s="124"/>
      <c r="D609" s="84">
        <v>1</v>
      </c>
      <c r="E609" s="62" t="s">
        <v>1976</v>
      </c>
      <c r="F609" s="62">
        <v>1</v>
      </c>
      <c r="G609" s="62" t="s">
        <v>184</v>
      </c>
      <c r="H609" s="50">
        <f>VLOOKUP($A609,'[1]ma sp 02'!$A$5:$BD$1101,H$1,0)</f>
        <v>0</v>
      </c>
      <c r="I609" s="50">
        <f>VLOOKUP($A609,'[1]ma sp 02'!$A$5:$BD$1101,I$1,0)</f>
        <v>0</v>
      </c>
      <c r="J609" s="50">
        <f>VLOOKUP($A609,'[1]ma sp 02'!$A$5:$BD$1101,J$1,0)</f>
        <v>0</v>
      </c>
      <c r="K609" s="50">
        <f>VLOOKUP($A609,'[1]ma sp 02'!$A$5:$BD$1101,K$1,0)</f>
        <v>0</v>
      </c>
      <c r="L609" s="50">
        <f>VLOOKUP($A609,'[1]ma sp 02'!$A$5:$BD$1101,L$1,0)</f>
        <v>0</v>
      </c>
      <c r="M609" s="50">
        <f>VLOOKUP($A609,'[1]ma sp 02'!$A$5:$BD$1101,M$1,0)</f>
        <v>0</v>
      </c>
      <c r="N609" s="50">
        <f>VLOOKUP($A609,'[1]ma sp 02'!$A$5:$BD$1101,N$1,0)</f>
        <v>0</v>
      </c>
      <c r="O609" s="50">
        <f>VLOOKUP($A609,'[1]ma sp 02'!$A$5:$BD$1101,O$1,0)</f>
        <v>0</v>
      </c>
      <c r="P609" s="50">
        <f>VLOOKUP($A609,'[1]ma sp 02'!$A$5:$BD$1101,P$1,0)</f>
        <v>0</v>
      </c>
      <c r="Q609" s="50">
        <f>VLOOKUP($A609,'[1]ma sp 02'!$A$5:$BD$1101,Q$1,0)</f>
        <v>0</v>
      </c>
      <c r="R609" s="50">
        <f>VLOOKUP($A609,'[1]ma sp 02'!$A$5:$BD$1101,R$1,0)</f>
        <v>0.2</v>
      </c>
      <c r="S609" s="50">
        <f>VLOOKUP($A609,'[1]ma sp 02'!$A$5:$BD$1101,S$1,0)</f>
        <v>0</v>
      </c>
      <c r="T609" s="50">
        <f>VLOOKUP($A609,'[1]ma sp 02'!$A$5:$BD$1101,T$1,0)</f>
        <v>0</v>
      </c>
      <c r="U609" s="50">
        <f>VLOOKUP($A609,'[1]ma sp 02'!$A$5:$BD$1101,U$1,0)</f>
        <v>0</v>
      </c>
      <c r="V609" s="50">
        <f>VLOOKUP($A609,'[1]ma sp 02'!$A$5:$BD$1101,V$1,0)</f>
        <v>0</v>
      </c>
      <c r="W609" s="50">
        <f>VLOOKUP($A609,'[1]ma sp 02'!$A$5:$BD$1101,W$1,0)</f>
        <v>0</v>
      </c>
      <c r="X609" s="50"/>
      <c r="Y609" s="62"/>
      <c r="Z609" s="62"/>
      <c r="AA609" s="62"/>
      <c r="AB609" s="62"/>
      <c r="AC609" s="62"/>
      <c r="AD609" s="62"/>
      <c r="AE609" s="62"/>
      <c r="AF609" s="62"/>
      <c r="AG609" s="71"/>
      <c r="AH609" s="155"/>
      <c r="AI609" s="54"/>
      <c r="AJ609" s="62"/>
      <c r="AK609" s="62"/>
      <c r="AL609" s="62"/>
      <c r="AM609" s="61" t="s">
        <v>1489</v>
      </c>
      <c r="AN609" s="62"/>
      <c r="AO609" s="61" t="s">
        <v>1977</v>
      </c>
      <c r="AP609" s="59" t="str">
        <f>IFERROR(VLOOKUP($A609,[2]Mssp!$A$5:$BE$1463,AP$4+1,0),0)</f>
        <v>X403403-1</v>
      </c>
      <c r="AQ609" s="59">
        <f>IFERROR(VLOOKUP($A609,[2]Mssp!$A$5:$BE$1463,AQ$4+1,0),0)</f>
        <v>0</v>
      </c>
      <c r="AR609" s="59">
        <f>IFERROR(VLOOKUP($A609,[2]Mssp!$A$5:$BE$1463,AR$4+1,0),0)</f>
        <v>0</v>
      </c>
      <c r="AS609" s="59">
        <f>IFERROR(VLOOKUP($A609,[2]Mssp!$A$5:$BE$1463,AS$4+1,0),0)</f>
        <v>0</v>
      </c>
      <c r="AT609" s="59">
        <f>IFERROR(VLOOKUP($A609,[2]Mssp!$A$5:$BE$1463,AT$4+1,0),0)</f>
        <v>0</v>
      </c>
      <c r="AU609" s="59">
        <f>IFERROR(VLOOKUP($A609,[2]Mssp!$A$5:$BE$1463,AU$4+1,0),0)</f>
        <v>0</v>
      </c>
      <c r="AV609" s="59">
        <f>IFERROR(VLOOKUP($A609,[2]Mssp!$A$5:$BE$1463,AV$4+1,0),0)</f>
        <v>0</v>
      </c>
      <c r="AW609" s="59">
        <f>IFERROR(VLOOKUP($A609,[2]Mssp!$A$5:$BE$1463,AW$4+1,0),0)</f>
        <v>0</v>
      </c>
      <c r="AX609" s="59">
        <f>IFERROR(VLOOKUP($A609,[2]Mssp!$A$5:$BE$1463,AX$4+1,0),0)</f>
        <v>0</v>
      </c>
      <c r="AY609" s="59" t="str">
        <f>IFERROR(VLOOKUP($A609,[2]Mssp!$A$5:$BE$1463,AY$4+2,0),0)</f>
        <v>1300x831</v>
      </c>
      <c r="AZ609" s="59">
        <f>IFERROR(VLOOKUP($A609,[2]Mssp!$A$5:$BE$1463,AZ$4+2,0),0)</f>
        <v>0</v>
      </c>
      <c r="BA609" s="141"/>
      <c r="BB609" s="61"/>
      <c r="BC609" s="165"/>
      <c r="BD609" s="166"/>
      <c r="BE609" s="167"/>
      <c r="BF609" s="168"/>
      <c r="BG609" s="167"/>
      <c r="BH609" s="168"/>
      <c r="BI609" s="169"/>
      <c r="BJ609" s="168"/>
      <c r="BK609" s="134"/>
      <c r="BL609" s="168"/>
      <c r="BM609" s="167"/>
      <c r="BN609" s="168"/>
      <c r="BO609" s="62"/>
      <c r="BP609" s="168"/>
      <c r="BQ609" s="168"/>
      <c r="BR609" s="168"/>
      <c r="BS609" s="135"/>
      <c r="BT609" s="168"/>
      <c r="BU609" s="167"/>
      <c r="BV609" s="168"/>
      <c r="BW609" s="167"/>
      <c r="BX609" s="168"/>
      <c r="BY609" s="167"/>
      <c r="BZ609" s="168"/>
      <c r="CA609" s="167"/>
      <c r="CB609" s="168"/>
      <c r="CC609" s="167"/>
      <c r="CD609" s="168"/>
      <c r="CE609" s="62"/>
      <c r="CF609" s="62"/>
      <c r="CG609" s="9"/>
      <c r="CH609" s="9"/>
      <c r="CI609" s="9"/>
      <c r="CJ609" s="9"/>
      <c r="CK609" s="9"/>
      <c r="CL609" s="9"/>
      <c r="CM609" s="9"/>
      <c r="CN609" s="9"/>
      <c r="CO609" s="9"/>
      <c r="CP609" s="9"/>
    </row>
    <row r="610" spans="1:94" ht="30" x14ac:dyDescent="0.25">
      <c r="A610" s="173" t="s">
        <v>1978</v>
      </c>
      <c r="B610" s="174" t="s">
        <v>1979</v>
      </c>
      <c r="C610" s="62"/>
      <c r="D610" s="62">
        <v>2</v>
      </c>
      <c r="E610" s="62" t="s">
        <v>1734</v>
      </c>
      <c r="F610" s="62">
        <v>8</v>
      </c>
      <c r="G610" s="62" t="s">
        <v>184</v>
      </c>
      <c r="H610" s="50">
        <f>VLOOKUP($A610,'[1]ma sp 02'!$A$5:$BD$1101,H$1,0)</f>
        <v>0.13</v>
      </c>
      <c r="I610" s="50">
        <f>VLOOKUP($A610,'[1]ma sp 02'!$A$5:$BD$1101,I$1,0)</f>
        <v>4.13</v>
      </c>
      <c r="J610" s="50">
        <f>VLOOKUP($A610,'[1]ma sp 02'!$A$5:$BD$1101,J$1,0)</f>
        <v>0.26</v>
      </c>
      <c r="K610" s="50">
        <f>VLOOKUP($A610,'[1]ma sp 02'!$A$5:$BD$1101,K$1,0)</f>
        <v>0.18</v>
      </c>
      <c r="L610" s="50">
        <f>VLOOKUP($A610,'[1]ma sp 02'!$A$5:$BD$1101,L$1,0)</f>
        <v>1.77</v>
      </c>
      <c r="M610" s="50">
        <f>VLOOKUP($A610,'[1]ma sp 02'!$A$5:$BD$1101,M$1,0)</f>
        <v>0.64</v>
      </c>
      <c r="N610" s="50">
        <f>VLOOKUP($A610,'[1]ma sp 02'!$A$5:$BD$1101,N$1,0)</f>
        <v>0</v>
      </c>
      <c r="O610" s="50">
        <f>VLOOKUP($A610,'[1]ma sp 02'!$A$5:$BD$1101,O$1,0)</f>
        <v>0</v>
      </c>
      <c r="P610" s="50">
        <f>VLOOKUP($A610,'[1]ma sp 02'!$A$5:$BD$1101,P$1,0)</f>
        <v>0.1</v>
      </c>
      <c r="Q610" s="50">
        <f>VLOOKUP($A610,'[1]ma sp 02'!$A$5:$BD$1101,Q$1,0)</f>
        <v>0.15</v>
      </c>
      <c r="R610" s="50">
        <f>VLOOKUP($A610,'[1]ma sp 02'!$A$5:$BD$1101,R$1,0)</f>
        <v>0</v>
      </c>
      <c r="S610" s="50">
        <f>VLOOKUP($A610,'[1]ma sp 02'!$A$5:$BD$1101,S$1,0)</f>
        <v>0.05</v>
      </c>
      <c r="T610" s="50">
        <f>VLOOKUP($A610,'[1]ma sp 02'!$A$5:$BD$1101,T$1,0)</f>
        <v>0.01</v>
      </c>
      <c r="U610" s="50">
        <f>VLOOKUP($A610,'[1]ma sp 02'!$A$5:$BD$1101,U$1,0)</f>
        <v>0</v>
      </c>
      <c r="V610" s="50">
        <f>VLOOKUP($A610,'[1]ma sp 02'!$A$5:$BD$1101,V$1,0)</f>
        <v>0</v>
      </c>
      <c r="W610" s="50">
        <f>VLOOKUP($A610,'[1]ma sp 02'!$A$5:$BD$1101,W$1,0)</f>
        <v>0</v>
      </c>
      <c r="X610" s="50">
        <f>COUNTIF(H610:W610, "&gt;0")</f>
        <v>10</v>
      </c>
      <c r="Y610" s="9"/>
      <c r="Z610" s="9"/>
      <c r="AA610" s="9"/>
      <c r="AB610" s="9"/>
      <c r="AC610" s="9"/>
      <c r="AD610" s="9"/>
      <c r="AE610" s="9" t="s">
        <v>1980</v>
      </c>
      <c r="AF610" s="9"/>
      <c r="AG610" s="71">
        <f>(0.02*0.91+0.035*0.91)*0.79</f>
        <v>3.9539500000000005E-2</v>
      </c>
      <c r="AH610" s="54">
        <f>(3/0.75/2)*0.78</f>
        <v>1.56</v>
      </c>
      <c r="AI610" s="107"/>
      <c r="AJ610" s="9">
        <v>9530</v>
      </c>
      <c r="AK610" s="9"/>
      <c r="AL610" s="9">
        <v>2.3E-3</v>
      </c>
      <c r="AM610" s="69" t="s">
        <v>74</v>
      </c>
      <c r="AN610" s="9">
        <v>270</v>
      </c>
      <c r="AO610" s="69" t="s">
        <v>1736</v>
      </c>
      <c r="AP610" s="59" t="str">
        <f>IFERROR(VLOOKUP($A610,[2]Mssp!$A$5:$BE$1463,AP$4+1,0),0)</f>
        <v>F125145-1</v>
      </c>
      <c r="AQ610" s="59" t="str">
        <f>IFERROR(VLOOKUP($A610,[2]Mssp!$A$5:$BE$1463,AQ$4+1,0),0)</f>
        <v>F125145-2</v>
      </c>
      <c r="AR610" s="59" t="str">
        <f>IFERROR(VLOOKUP($A610,[2]Mssp!$A$5:$BE$1463,AR$4+1,0),0)</f>
        <v>F125145NG1-3</v>
      </c>
      <c r="AS610" s="59" t="str">
        <f>IFERROR(VLOOKUP($A610,[2]Mssp!$A$5:$BE$1463,AS$4+1,0),0)</f>
        <v>F125145-4</v>
      </c>
      <c r="AT610" s="59" t="str">
        <f>IFERROR(VLOOKUP($A610,[2]Mssp!$A$5:$BE$1463,AT$4+1,0),0)</f>
        <v>F125145-5</v>
      </c>
      <c r="AU610" s="59" t="str">
        <f>IFERROR(VLOOKUP($A610,[2]Mssp!$A$5:$BE$1463,AU$4+1,0),0)</f>
        <v>F125145NG1-6</v>
      </c>
      <c r="AV610" s="59" t="str">
        <f>IFERROR(VLOOKUP($A610,[2]Mssp!$A$5:$BE$1463,AV$4+1,0),0)</f>
        <v>F125145-7</v>
      </c>
      <c r="AW610" s="59" t="str">
        <f>IFERROR(VLOOKUP($A610,[2]Mssp!$A$5:$BE$1463,AW$4+1,0),0)</f>
        <v>F125145-8</v>
      </c>
      <c r="AX610" s="59">
        <f>IFERROR(VLOOKUP($A610,[2]Mssp!$A$5:$BE$1463,AX$4+1,0),0)</f>
        <v>0</v>
      </c>
      <c r="AY610" s="59" t="str">
        <f>IFERROR(VLOOKUP($A610,[2]Mssp!$A$5:$BE$1463,AY$4+2,0),0)</f>
        <v>860x540</v>
      </c>
      <c r="AZ610" s="59" t="str">
        <f>IFERROR(VLOOKUP($A610,[2]Mssp!$A$5:$BE$1463,AZ$4+2,0),0)</f>
        <v>R2</v>
      </c>
      <c r="BA610" s="141">
        <v>5000</v>
      </c>
      <c r="BB610" s="61" t="s">
        <v>1894</v>
      </c>
      <c r="BC610" s="165"/>
      <c r="BD610" s="166"/>
      <c r="BE610" s="167"/>
      <c r="BF610" s="168"/>
      <c r="BG610" s="167"/>
      <c r="BH610" s="168"/>
      <c r="BI610" s="169"/>
      <c r="BJ610" s="168"/>
      <c r="BK610" s="134"/>
      <c r="BL610" s="168"/>
      <c r="BM610" s="167"/>
      <c r="BN610" s="168"/>
      <c r="BO610" s="62"/>
      <c r="BP610" s="168"/>
      <c r="BQ610" s="168"/>
      <c r="BR610" s="168"/>
      <c r="BS610" s="135"/>
      <c r="BT610" s="168"/>
      <c r="BU610" s="167"/>
      <c r="BV610" s="168"/>
      <c r="BW610" s="167"/>
      <c r="BX610" s="168"/>
      <c r="BY610" s="167"/>
      <c r="BZ610" s="168"/>
      <c r="CA610" s="167"/>
      <c r="CB610" s="168"/>
      <c r="CC610" s="167"/>
      <c r="CD610" s="168"/>
      <c r="CE610" s="62"/>
      <c r="CF610" s="62"/>
      <c r="CG610" s="9"/>
      <c r="CH610" s="9"/>
      <c r="CI610" s="9"/>
      <c r="CJ610" s="9"/>
      <c r="CK610" s="9"/>
      <c r="CL610" s="9"/>
      <c r="CM610" s="9"/>
      <c r="CN610" s="9"/>
      <c r="CO610" s="9"/>
      <c r="CP610" s="9"/>
    </row>
    <row r="611" spans="1:94" ht="30" x14ac:dyDescent="0.25">
      <c r="A611" s="127" t="s">
        <v>1981</v>
      </c>
      <c r="B611" s="51" t="s">
        <v>1982</v>
      </c>
      <c r="C611" s="62"/>
      <c r="D611" s="84">
        <v>4</v>
      </c>
      <c r="E611" s="62" t="s">
        <v>592</v>
      </c>
      <c r="F611" s="62">
        <v>6</v>
      </c>
      <c r="G611" s="62"/>
      <c r="H611" s="50">
        <f>VLOOKUP($A611,'[1]ma sp 02'!$A$5:$BD$1101,H$1,0)</f>
        <v>0.44</v>
      </c>
      <c r="I611" s="50">
        <f>VLOOKUP($A611,'[1]ma sp 02'!$A$5:$BD$1101,I$1,0)</f>
        <v>2.59</v>
      </c>
      <c r="J611" s="50">
        <f>VLOOKUP($A611,'[1]ma sp 02'!$A$5:$BD$1101,J$1,0)</f>
        <v>0.13</v>
      </c>
      <c r="K611" s="50">
        <f>VLOOKUP($A611,'[1]ma sp 02'!$A$5:$BD$1101,K$1,0)</f>
        <v>1.04</v>
      </c>
      <c r="L611" s="50">
        <f>VLOOKUP($A611,'[1]ma sp 02'!$A$5:$BD$1101,L$1,0)</f>
        <v>2.36</v>
      </c>
      <c r="M611" s="50">
        <f>VLOOKUP($A611,'[1]ma sp 02'!$A$5:$BD$1101,M$1,0)</f>
        <v>0.72</v>
      </c>
      <c r="N611" s="50">
        <f>VLOOKUP($A611,'[1]ma sp 02'!$A$5:$BD$1101,N$1,0)</f>
        <v>0</v>
      </c>
      <c r="O611" s="50">
        <f>VLOOKUP($A611,'[1]ma sp 02'!$A$5:$BD$1101,O$1,0)</f>
        <v>0</v>
      </c>
      <c r="P611" s="50">
        <f>VLOOKUP($A611,'[1]ma sp 02'!$A$5:$BD$1101,P$1,0)</f>
        <v>1.41</v>
      </c>
      <c r="Q611" s="50">
        <f>VLOOKUP($A611,'[1]ma sp 02'!$A$5:$BD$1101,Q$1,0)</f>
        <v>0</v>
      </c>
      <c r="R611" s="50">
        <f>VLOOKUP($A611,'[1]ma sp 02'!$A$5:$BD$1101,R$1,0)</f>
        <v>0</v>
      </c>
      <c r="S611" s="50">
        <f>VLOOKUP($A611,'[1]ma sp 02'!$A$5:$BD$1101,S$1,0)</f>
        <v>0</v>
      </c>
      <c r="T611" s="50">
        <f>VLOOKUP($A611,'[1]ma sp 02'!$A$5:$BD$1101,T$1,0)</f>
        <v>0.2</v>
      </c>
      <c r="U611" s="50">
        <f>VLOOKUP($A611,'[1]ma sp 02'!$A$5:$BD$1101,U$1,0)</f>
        <v>0</v>
      </c>
      <c r="V611" s="50">
        <f>VLOOKUP($A611,'[1]ma sp 02'!$A$5:$BD$1101,V$1,0)</f>
        <v>0</v>
      </c>
      <c r="W611" s="50">
        <f>VLOOKUP($A611,'[1]ma sp 02'!$A$5:$BD$1101,W$1,0)</f>
        <v>0</v>
      </c>
      <c r="X611" s="50"/>
      <c r="Y611" s="62"/>
      <c r="Z611" s="62"/>
      <c r="AA611" s="62"/>
      <c r="AB611" s="62"/>
      <c r="AC611" s="62"/>
      <c r="AD611" s="62"/>
      <c r="AE611" s="62" t="s">
        <v>193</v>
      </c>
      <c r="AF611" s="62"/>
      <c r="AG611" s="71">
        <f>(0.012*1.4+0.035*0.91)*0.64</f>
        <v>3.1136E-2</v>
      </c>
      <c r="AH611" s="155">
        <f>(1.2/0.75/2)*0.63</f>
        <v>0.504</v>
      </c>
      <c r="AI611" s="54"/>
      <c r="AJ611" s="62" t="s">
        <v>1881</v>
      </c>
      <c r="AK611" s="62"/>
      <c r="AL611" s="62">
        <v>1.1999999999999999E-3</v>
      </c>
      <c r="AM611" s="61" t="s">
        <v>1489</v>
      </c>
      <c r="AN611" s="62"/>
      <c r="AO611" s="61" t="s">
        <v>195</v>
      </c>
      <c r="AP611" s="59" t="str">
        <f>IFERROR(VLOOKUP($A611,[2]Mssp!$A$5:$BE$1463,AP$4+1,0),0)</f>
        <v>1803378-1</v>
      </c>
      <c r="AQ611" s="59" t="str">
        <f>IFERROR(VLOOKUP($A611,[2]Mssp!$A$5:$BE$1463,AQ$4+1,0),0)</f>
        <v>1908187-2</v>
      </c>
      <c r="AR611" s="59" t="str">
        <f>IFERROR(VLOOKUP($A611,[2]Mssp!$A$5:$BE$1463,AR$4+1,0),0)</f>
        <v>1908187-3</v>
      </c>
      <c r="AS611" s="59" t="str">
        <f>IFERROR(VLOOKUP($A611,[2]Mssp!$A$5:$BE$1463,AS$4+1,0),0)</f>
        <v>1803378-4</v>
      </c>
      <c r="AT611" s="59" t="str">
        <f>IFERROR(VLOOKUP($A611,[2]Mssp!$A$5:$BE$1463,AT$4+1,0),0)</f>
        <v>1803378-5</v>
      </c>
      <c r="AU611" s="59" t="str">
        <f>IFERROR(VLOOKUP($A611,[2]Mssp!$A$5:$BE$1463,AU$4+1,0),0)</f>
        <v>1908217-6</v>
      </c>
      <c r="AV611" s="59">
        <f>IFERROR(VLOOKUP($A611,[2]Mssp!$A$5:$BE$1463,AV$4+1,0),0)</f>
        <v>0</v>
      </c>
      <c r="AW611" s="59">
        <f>IFERROR(VLOOKUP($A611,[2]Mssp!$A$5:$BE$1463,AW$4+1,0),0)</f>
        <v>0</v>
      </c>
      <c r="AX611" s="59">
        <f>IFERROR(VLOOKUP($A611,[2]Mssp!$A$5:$BE$1463,AX$4+1,0),0)</f>
        <v>0</v>
      </c>
      <c r="AY611" s="59" t="str">
        <f>IFERROR(VLOOKUP($A611,[2]Mssp!$A$5:$BE$1463,AY$4+2,0),0)</f>
        <v>462x750</v>
      </c>
      <c r="AZ611" s="59" t="str">
        <f>IFERROR(VLOOKUP($A611,[2]Mssp!$A$5:$BE$1463,AZ$4+2,0),0)</f>
        <v>A1</v>
      </c>
      <c r="BA611" s="141">
        <v>0</v>
      </c>
      <c r="BB611" s="61" t="s">
        <v>107</v>
      </c>
      <c r="BC611" s="165"/>
      <c r="BD611" s="166"/>
      <c r="BE611" s="167"/>
      <c r="BF611" s="168"/>
      <c r="BG611" s="167"/>
      <c r="BH611" s="168"/>
      <c r="BI611" s="169"/>
      <c r="BJ611" s="168"/>
      <c r="BK611" s="134"/>
      <c r="BL611" s="168"/>
      <c r="BM611" s="167"/>
      <c r="BN611" s="168"/>
      <c r="BO611" s="62"/>
      <c r="BP611" s="168"/>
      <c r="BQ611" s="168"/>
      <c r="BR611" s="168"/>
      <c r="BS611" s="135"/>
      <c r="BT611" s="168"/>
      <c r="BU611" s="167"/>
      <c r="BV611" s="168"/>
      <c r="BW611" s="167"/>
      <c r="BX611" s="168"/>
      <c r="BY611" s="167"/>
      <c r="BZ611" s="168"/>
      <c r="CA611" s="167"/>
      <c r="CB611" s="168"/>
      <c r="CC611" s="167"/>
      <c r="CD611" s="168"/>
      <c r="CE611" s="62"/>
      <c r="CF611" s="62"/>
      <c r="CG611" s="9"/>
      <c r="CH611" s="9"/>
      <c r="CI611" s="9"/>
      <c r="CJ611" s="9"/>
      <c r="CK611" s="9"/>
      <c r="CL611" s="9"/>
      <c r="CM611" s="9"/>
      <c r="CN611" s="9"/>
      <c r="CO611" s="9"/>
      <c r="CP611" s="9"/>
    </row>
    <row r="612" spans="1:94" x14ac:dyDescent="0.25">
      <c r="A612" s="127" t="s">
        <v>1983</v>
      </c>
      <c r="B612" s="51" t="s">
        <v>1984</v>
      </c>
      <c r="C612" s="62"/>
      <c r="D612" s="84">
        <v>3</v>
      </c>
      <c r="E612" s="62" t="s">
        <v>1985</v>
      </c>
      <c r="F612" s="62">
        <v>1</v>
      </c>
      <c r="G612" s="62" t="s">
        <v>184</v>
      </c>
      <c r="H612" s="50">
        <f>VLOOKUP($A612,'[1]ma sp 02'!$A$5:$BD$1101,H$1,0)</f>
        <v>0</v>
      </c>
      <c r="I612" s="50">
        <f>VLOOKUP($A612,'[1]ma sp 02'!$A$5:$BD$1101,I$1,0)</f>
        <v>0</v>
      </c>
      <c r="J612" s="50">
        <f>VLOOKUP($A612,'[1]ma sp 02'!$A$5:$BD$1101,J$1,0)</f>
        <v>0</v>
      </c>
      <c r="K612" s="50">
        <f>VLOOKUP($A612,'[1]ma sp 02'!$A$5:$BD$1101,K$1,0)</f>
        <v>0</v>
      </c>
      <c r="L612" s="50">
        <f>VLOOKUP($A612,'[1]ma sp 02'!$A$5:$BD$1101,L$1,0)</f>
        <v>0</v>
      </c>
      <c r="M612" s="50">
        <f>VLOOKUP($A612,'[1]ma sp 02'!$A$5:$BD$1101,M$1,0)</f>
        <v>0</v>
      </c>
      <c r="N612" s="50">
        <f>VLOOKUP($A612,'[1]ma sp 02'!$A$5:$BD$1101,N$1,0)</f>
        <v>0</v>
      </c>
      <c r="O612" s="50">
        <f>VLOOKUP($A612,'[1]ma sp 02'!$A$5:$BD$1101,O$1,0)</f>
        <v>0.33</v>
      </c>
      <c r="P612" s="50">
        <f>VLOOKUP($A612,'[1]ma sp 02'!$A$5:$BD$1101,P$1,0)</f>
        <v>0</v>
      </c>
      <c r="Q612" s="50">
        <f>VLOOKUP($A612,'[1]ma sp 02'!$A$5:$BD$1101,Q$1,0)</f>
        <v>0</v>
      </c>
      <c r="R612" s="50">
        <f>VLOOKUP($A612,'[1]ma sp 02'!$A$5:$BD$1101,R$1,0)</f>
        <v>0</v>
      </c>
      <c r="S612" s="50">
        <f>VLOOKUP($A612,'[1]ma sp 02'!$A$5:$BD$1101,S$1,0)</f>
        <v>0</v>
      </c>
      <c r="T612" s="50">
        <f>VLOOKUP($A612,'[1]ma sp 02'!$A$5:$BD$1101,T$1,0)</f>
        <v>0</v>
      </c>
      <c r="U612" s="50">
        <f>VLOOKUP($A612,'[1]ma sp 02'!$A$5:$BD$1101,U$1,0)</f>
        <v>0</v>
      </c>
      <c r="V612" s="50">
        <f>VLOOKUP($A612,'[1]ma sp 02'!$A$5:$BD$1101,V$1,0)</f>
        <v>0</v>
      </c>
      <c r="W612" s="50">
        <f>VLOOKUP($A612,'[1]ma sp 02'!$A$5:$BD$1101,W$1,0)</f>
        <v>0</v>
      </c>
      <c r="X612" s="50"/>
      <c r="Y612" s="62"/>
      <c r="Z612" s="62"/>
      <c r="AA612" s="62"/>
      <c r="AB612" s="62"/>
      <c r="AC612" s="62"/>
      <c r="AD612" s="62"/>
      <c r="AE612" s="62" t="s">
        <v>456</v>
      </c>
      <c r="AF612" s="62" t="s">
        <v>1986</v>
      </c>
      <c r="AG612" s="53">
        <f t="shared" ref="AG612:AG620" si="22">(0.02*0.91+0.012*1.4+0.045*0.925)*0.77</f>
        <v>5.9001249999999998E-2</v>
      </c>
      <c r="AH612" s="54">
        <f t="shared" ref="AH612:AI620" si="23">(2.3/0.75/2)*0.76</f>
        <v>1.1653333333333333</v>
      </c>
      <c r="AI612" s="54">
        <f t="shared" si="23"/>
        <v>1.1653333333333333</v>
      </c>
      <c r="AJ612" s="62">
        <v>9530</v>
      </c>
      <c r="AK612" s="62">
        <v>9530</v>
      </c>
      <c r="AL612" s="62" t="s">
        <v>1987</v>
      </c>
      <c r="AM612" s="61" t="s">
        <v>1489</v>
      </c>
      <c r="AN612" s="62">
        <v>165</v>
      </c>
      <c r="AO612" s="61" t="s">
        <v>1902</v>
      </c>
      <c r="AP612" s="59" t="str">
        <f>IFERROR(VLOOKUP($A612,[2]Mssp!$A$5:$BE$1463,AP$4+1,0),0)</f>
        <v>2001174-1</v>
      </c>
      <c r="AQ612" s="59">
        <f>IFERROR(VLOOKUP($A612,[2]Mssp!$A$5:$BE$1463,AQ$4+1,0),0)</f>
        <v>0</v>
      </c>
      <c r="AR612" s="59">
        <f>IFERROR(VLOOKUP($A612,[2]Mssp!$A$5:$BE$1463,AR$4+1,0),0)</f>
        <v>0</v>
      </c>
      <c r="AS612" s="59">
        <f>IFERROR(VLOOKUP($A612,[2]Mssp!$A$5:$BE$1463,AS$4+1,0),0)</f>
        <v>0</v>
      </c>
      <c r="AT612" s="59">
        <f>IFERROR(VLOOKUP($A612,[2]Mssp!$A$5:$BE$1463,AT$4+1,0),0)</f>
        <v>0</v>
      </c>
      <c r="AU612" s="59">
        <f>IFERROR(VLOOKUP($A612,[2]Mssp!$A$5:$BE$1463,AU$4+1,0),0)</f>
        <v>0</v>
      </c>
      <c r="AV612" s="59">
        <f>IFERROR(VLOOKUP($A612,[2]Mssp!$A$5:$BE$1463,AV$4+1,0),0)</f>
        <v>0</v>
      </c>
      <c r="AW612" s="59">
        <f>IFERROR(VLOOKUP($A612,[2]Mssp!$A$5:$BE$1463,AW$4+1,0),0)</f>
        <v>0</v>
      </c>
      <c r="AX612" s="59">
        <f>IFERROR(VLOOKUP($A612,[2]Mssp!$A$5:$BE$1463,AX$4+1,0),0)</f>
        <v>0</v>
      </c>
      <c r="AY612" s="59" t="str">
        <f>IFERROR(VLOOKUP($A612,[2]Mssp!$A$5:$BE$1463,AY$4+2,0),0)</f>
        <v>495x870</v>
      </c>
      <c r="AZ612" s="59" t="str">
        <f>IFERROR(VLOOKUP($A612,[2]Mssp!$A$5:$BE$1463,AZ$4+2,0),0)</f>
        <v>R1</v>
      </c>
      <c r="BA612" s="141"/>
      <c r="BB612" s="61"/>
      <c r="BC612" s="165"/>
      <c r="BD612" s="166"/>
      <c r="BE612" s="167"/>
      <c r="BF612" s="168"/>
      <c r="BG612" s="167"/>
      <c r="BH612" s="168"/>
      <c r="BI612" s="169"/>
      <c r="BJ612" s="168"/>
      <c r="BK612" s="134"/>
      <c r="BL612" s="168"/>
      <c r="BM612" s="167"/>
      <c r="BN612" s="168"/>
      <c r="BO612" s="62"/>
      <c r="BP612" s="168"/>
      <c r="BQ612" s="168"/>
      <c r="BR612" s="168"/>
      <c r="BS612" s="135"/>
      <c r="BT612" s="168"/>
      <c r="BU612" s="167"/>
      <c r="BV612" s="168"/>
      <c r="BW612" s="167"/>
      <c r="BX612" s="168"/>
      <c r="BY612" s="167"/>
      <c r="BZ612" s="168"/>
      <c r="CA612" s="167"/>
      <c r="CB612" s="168"/>
      <c r="CC612" s="167"/>
      <c r="CD612" s="168"/>
      <c r="CE612" s="62"/>
      <c r="CF612" s="62"/>
      <c r="CG612" s="9"/>
      <c r="CH612" s="9"/>
      <c r="CI612" s="9"/>
      <c r="CJ612" s="9"/>
      <c r="CK612" s="9"/>
      <c r="CL612" s="9"/>
      <c r="CM612" s="9"/>
      <c r="CN612" s="9"/>
      <c r="CO612" s="9"/>
      <c r="CP612" s="9"/>
    </row>
    <row r="613" spans="1:94" x14ac:dyDescent="0.25">
      <c r="A613" s="127" t="s">
        <v>1988</v>
      </c>
      <c r="B613" s="51" t="s">
        <v>1989</v>
      </c>
      <c r="C613" s="62"/>
      <c r="D613" s="84">
        <v>3</v>
      </c>
      <c r="E613" s="62" t="s">
        <v>1985</v>
      </c>
      <c r="F613" s="62">
        <v>1</v>
      </c>
      <c r="G613" s="62" t="s">
        <v>184</v>
      </c>
      <c r="H613" s="50">
        <f>VLOOKUP($A613,'[1]ma sp 02'!$A$5:$BD$1101,H$1,0)</f>
        <v>0</v>
      </c>
      <c r="I613" s="50">
        <f>VLOOKUP($A613,'[1]ma sp 02'!$A$5:$BD$1101,I$1,0)</f>
        <v>0</v>
      </c>
      <c r="J613" s="50">
        <f>VLOOKUP($A613,'[1]ma sp 02'!$A$5:$BD$1101,J$1,0)</f>
        <v>1.33</v>
      </c>
      <c r="K613" s="50">
        <f>VLOOKUP($A613,'[1]ma sp 02'!$A$5:$BD$1101,K$1,0)</f>
        <v>0</v>
      </c>
      <c r="L613" s="50">
        <f>VLOOKUP($A613,'[1]ma sp 02'!$A$5:$BD$1101,L$1,0)</f>
        <v>1.77</v>
      </c>
      <c r="M613" s="50">
        <f>VLOOKUP($A613,'[1]ma sp 02'!$A$5:$BD$1101,M$1,0)</f>
        <v>0</v>
      </c>
      <c r="N613" s="50">
        <f>VLOOKUP($A613,'[1]ma sp 02'!$A$5:$BD$1101,N$1,0)</f>
        <v>0</v>
      </c>
      <c r="O613" s="50">
        <f>VLOOKUP($A613,'[1]ma sp 02'!$A$5:$BD$1101,O$1,0)</f>
        <v>0.01</v>
      </c>
      <c r="P613" s="50">
        <f>VLOOKUP($A613,'[1]ma sp 02'!$A$5:$BD$1101,P$1,0)</f>
        <v>0</v>
      </c>
      <c r="Q613" s="50">
        <f>VLOOKUP($A613,'[1]ma sp 02'!$A$5:$BD$1101,Q$1,0)</f>
        <v>0</v>
      </c>
      <c r="R613" s="50">
        <f>VLOOKUP($A613,'[1]ma sp 02'!$A$5:$BD$1101,R$1,0)</f>
        <v>0</v>
      </c>
      <c r="S613" s="50">
        <f>VLOOKUP($A613,'[1]ma sp 02'!$A$5:$BD$1101,S$1,0)</f>
        <v>0</v>
      </c>
      <c r="T613" s="50">
        <f>VLOOKUP($A613,'[1]ma sp 02'!$A$5:$BD$1101,T$1,0)</f>
        <v>0</v>
      </c>
      <c r="U613" s="50">
        <f>VLOOKUP($A613,'[1]ma sp 02'!$A$5:$BD$1101,U$1,0)</f>
        <v>0</v>
      </c>
      <c r="V613" s="50">
        <f>VLOOKUP($A613,'[1]ma sp 02'!$A$5:$BD$1101,V$1,0)</f>
        <v>0</v>
      </c>
      <c r="W613" s="50">
        <f>VLOOKUP($A613,'[1]ma sp 02'!$A$5:$BD$1101,W$1,0)</f>
        <v>0</v>
      </c>
      <c r="X613" s="50"/>
      <c r="Y613" s="62"/>
      <c r="Z613" s="62"/>
      <c r="AA613" s="62"/>
      <c r="AB613" s="62"/>
      <c r="AC613" s="62"/>
      <c r="AD613" s="62"/>
      <c r="AE613" s="62" t="s">
        <v>456</v>
      </c>
      <c r="AF613" s="62" t="s">
        <v>1986</v>
      </c>
      <c r="AG613" s="53">
        <f t="shared" si="22"/>
        <v>5.9001249999999998E-2</v>
      </c>
      <c r="AH613" s="54">
        <f t="shared" si="23"/>
        <v>1.1653333333333333</v>
      </c>
      <c r="AI613" s="54">
        <f t="shared" si="23"/>
        <v>1.1653333333333333</v>
      </c>
      <c r="AJ613" s="62">
        <v>9530</v>
      </c>
      <c r="AK613" s="62">
        <v>9530</v>
      </c>
      <c r="AL613" s="62" t="s">
        <v>1987</v>
      </c>
      <c r="AM613" s="61" t="s">
        <v>1489</v>
      </c>
      <c r="AN613" s="62">
        <v>165</v>
      </c>
      <c r="AO613" s="61" t="s">
        <v>1902</v>
      </c>
      <c r="AP613" s="59" t="str">
        <f>IFERROR(VLOOKUP($A613,[2]Mssp!$A$5:$BE$1463,AP$4+1,0),0)</f>
        <v>2001175-1</v>
      </c>
      <c r="AQ613" s="59">
        <f>IFERROR(VLOOKUP($A613,[2]Mssp!$A$5:$BE$1463,AQ$4+1,0),0)</f>
        <v>0</v>
      </c>
      <c r="AR613" s="59">
        <f>IFERROR(VLOOKUP($A613,[2]Mssp!$A$5:$BE$1463,AR$4+1,0),0)</f>
        <v>0</v>
      </c>
      <c r="AS613" s="59">
        <f>IFERROR(VLOOKUP($A613,[2]Mssp!$A$5:$BE$1463,AS$4+1,0),0)</f>
        <v>0</v>
      </c>
      <c r="AT613" s="59">
        <f>IFERROR(VLOOKUP($A613,[2]Mssp!$A$5:$BE$1463,AT$4+1,0),0)</f>
        <v>0</v>
      </c>
      <c r="AU613" s="59">
        <f>IFERROR(VLOOKUP($A613,[2]Mssp!$A$5:$BE$1463,AU$4+1,0),0)</f>
        <v>0</v>
      </c>
      <c r="AV613" s="59">
        <f>IFERROR(VLOOKUP($A613,[2]Mssp!$A$5:$BE$1463,AV$4+1,0),0)</f>
        <v>0</v>
      </c>
      <c r="AW613" s="59">
        <f>IFERROR(VLOOKUP($A613,[2]Mssp!$A$5:$BE$1463,AW$4+1,0),0)</f>
        <v>0</v>
      </c>
      <c r="AX613" s="59">
        <f>IFERROR(VLOOKUP($A613,[2]Mssp!$A$5:$BE$1463,AX$4+1,0),0)</f>
        <v>0</v>
      </c>
      <c r="AY613" s="59" t="str">
        <f>IFERROR(VLOOKUP($A613,[2]Mssp!$A$5:$BE$1463,AY$4+2,0),0)</f>
        <v>495x870</v>
      </c>
      <c r="AZ613" s="59" t="str">
        <f>IFERROR(VLOOKUP($A613,[2]Mssp!$A$5:$BE$1463,AZ$4+2,0),0)</f>
        <v>R1</v>
      </c>
      <c r="BA613" s="141"/>
      <c r="BB613" s="61"/>
      <c r="BC613" s="165"/>
      <c r="BD613" s="166"/>
      <c r="BE613" s="167"/>
      <c r="BF613" s="168"/>
      <c r="BG613" s="167"/>
      <c r="BH613" s="168"/>
      <c r="BI613" s="169"/>
      <c r="BJ613" s="168"/>
      <c r="BK613" s="134"/>
      <c r="BL613" s="168"/>
      <c r="BM613" s="167"/>
      <c r="BN613" s="168"/>
      <c r="BO613" s="62"/>
      <c r="BP613" s="168"/>
      <c r="BQ613" s="168"/>
      <c r="BR613" s="168"/>
      <c r="BS613" s="135"/>
      <c r="BT613" s="168"/>
      <c r="BU613" s="167"/>
      <c r="BV613" s="168"/>
      <c r="BW613" s="167"/>
      <c r="BX613" s="168"/>
      <c r="BY613" s="167"/>
      <c r="BZ613" s="168"/>
      <c r="CA613" s="167"/>
      <c r="CB613" s="168"/>
      <c r="CC613" s="167"/>
      <c r="CD613" s="168"/>
      <c r="CE613" s="62"/>
      <c r="CF613" s="62"/>
      <c r="CG613" s="9"/>
      <c r="CH613" s="9"/>
      <c r="CI613" s="9"/>
      <c r="CJ613" s="9"/>
      <c r="CK613" s="9"/>
      <c r="CL613" s="9"/>
      <c r="CM613" s="9"/>
      <c r="CN613" s="9"/>
      <c r="CO613" s="9"/>
      <c r="CP613" s="9"/>
    </row>
    <row r="614" spans="1:94" x14ac:dyDescent="0.25">
      <c r="A614" s="127" t="s">
        <v>1990</v>
      </c>
      <c r="B614" s="51" t="s">
        <v>1991</v>
      </c>
      <c r="C614" s="62"/>
      <c r="D614" s="84">
        <v>3</v>
      </c>
      <c r="E614" s="62" t="s">
        <v>1985</v>
      </c>
      <c r="F614" s="62">
        <v>1</v>
      </c>
      <c r="G614" s="62" t="s">
        <v>184</v>
      </c>
      <c r="H614" s="50">
        <f>VLOOKUP($A614,'[1]ma sp 02'!$A$5:$BD$1101,H$1,0)</f>
        <v>0</v>
      </c>
      <c r="I614" s="50">
        <f>VLOOKUP($A614,'[1]ma sp 02'!$A$5:$BD$1101,I$1,0)</f>
        <v>0</v>
      </c>
      <c r="J614" s="50">
        <f>VLOOKUP($A614,'[1]ma sp 02'!$A$5:$BD$1101,J$1,0)</f>
        <v>0</v>
      </c>
      <c r="K614" s="50">
        <f>VLOOKUP($A614,'[1]ma sp 02'!$A$5:$BD$1101,K$1,0)</f>
        <v>0</v>
      </c>
      <c r="L614" s="50">
        <f>VLOOKUP($A614,'[1]ma sp 02'!$A$5:$BD$1101,L$1,0)</f>
        <v>0</v>
      </c>
      <c r="M614" s="50">
        <f>VLOOKUP($A614,'[1]ma sp 02'!$A$5:$BD$1101,M$1,0)</f>
        <v>0</v>
      </c>
      <c r="N614" s="50">
        <f>VLOOKUP($A614,'[1]ma sp 02'!$A$5:$BD$1101,N$1,0)</f>
        <v>0</v>
      </c>
      <c r="O614" s="50">
        <f>VLOOKUP($A614,'[1]ma sp 02'!$A$5:$BD$1101,O$1,0)</f>
        <v>1.0900000000000001</v>
      </c>
      <c r="P614" s="50">
        <f>VLOOKUP($A614,'[1]ma sp 02'!$A$5:$BD$1101,P$1,0)</f>
        <v>0</v>
      </c>
      <c r="Q614" s="50">
        <f>VLOOKUP($A614,'[1]ma sp 02'!$A$5:$BD$1101,Q$1,0)</f>
        <v>0</v>
      </c>
      <c r="R614" s="50">
        <f>VLOOKUP($A614,'[1]ma sp 02'!$A$5:$BD$1101,R$1,0)</f>
        <v>0</v>
      </c>
      <c r="S614" s="50">
        <f>VLOOKUP($A614,'[1]ma sp 02'!$A$5:$BD$1101,S$1,0)</f>
        <v>0</v>
      </c>
      <c r="T614" s="50">
        <f>VLOOKUP($A614,'[1]ma sp 02'!$A$5:$BD$1101,T$1,0)</f>
        <v>0</v>
      </c>
      <c r="U614" s="50">
        <f>VLOOKUP($A614,'[1]ma sp 02'!$A$5:$BD$1101,U$1,0)</f>
        <v>0</v>
      </c>
      <c r="V614" s="50">
        <f>VLOOKUP($A614,'[1]ma sp 02'!$A$5:$BD$1101,V$1,0)</f>
        <v>0</v>
      </c>
      <c r="W614" s="50">
        <f>VLOOKUP($A614,'[1]ma sp 02'!$A$5:$BD$1101,W$1,0)</f>
        <v>0</v>
      </c>
      <c r="X614" s="50"/>
      <c r="Y614" s="62"/>
      <c r="Z614" s="62"/>
      <c r="AA614" s="62"/>
      <c r="AB614" s="62"/>
      <c r="AC614" s="62"/>
      <c r="AD614" s="62"/>
      <c r="AE614" s="62" t="s">
        <v>456</v>
      </c>
      <c r="AF614" s="62" t="s">
        <v>1986</v>
      </c>
      <c r="AG614" s="53">
        <f t="shared" si="22"/>
        <v>5.9001249999999998E-2</v>
      </c>
      <c r="AH614" s="54">
        <f t="shared" si="23"/>
        <v>1.1653333333333333</v>
      </c>
      <c r="AI614" s="54">
        <f t="shared" si="23"/>
        <v>1.1653333333333333</v>
      </c>
      <c r="AJ614" s="62">
        <v>9530</v>
      </c>
      <c r="AK614" s="62">
        <v>9530</v>
      </c>
      <c r="AL614" s="62" t="s">
        <v>1987</v>
      </c>
      <c r="AM614" s="61" t="s">
        <v>1489</v>
      </c>
      <c r="AN614" s="62">
        <v>165</v>
      </c>
      <c r="AO614" s="61" t="s">
        <v>1902</v>
      </c>
      <c r="AP614" s="59" t="str">
        <f>IFERROR(VLOOKUP($A614,[2]Mssp!$A$5:$BE$1463,AP$4+1,0),0)</f>
        <v>2001176-1</v>
      </c>
      <c r="AQ614" s="59">
        <f>IFERROR(VLOOKUP($A614,[2]Mssp!$A$5:$BE$1463,AQ$4+1,0),0)</f>
        <v>0</v>
      </c>
      <c r="AR614" s="59">
        <f>IFERROR(VLOOKUP($A614,[2]Mssp!$A$5:$BE$1463,AR$4+1,0),0)</f>
        <v>0</v>
      </c>
      <c r="AS614" s="59">
        <f>IFERROR(VLOOKUP($A614,[2]Mssp!$A$5:$BE$1463,AS$4+1,0),0)</f>
        <v>0</v>
      </c>
      <c r="AT614" s="59">
        <f>IFERROR(VLOOKUP($A614,[2]Mssp!$A$5:$BE$1463,AT$4+1,0),0)</f>
        <v>0</v>
      </c>
      <c r="AU614" s="59">
        <f>IFERROR(VLOOKUP($A614,[2]Mssp!$A$5:$BE$1463,AU$4+1,0),0)</f>
        <v>0</v>
      </c>
      <c r="AV614" s="59">
        <f>IFERROR(VLOOKUP($A614,[2]Mssp!$A$5:$BE$1463,AV$4+1,0),0)</f>
        <v>0</v>
      </c>
      <c r="AW614" s="59">
        <f>IFERROR(VLOOKUP($A614,[2]Mssp!$A$5:$BE$1463,AW$4+1,0),0)</f>
        <v>0</v>
      </c>
      <c r="AX614" s="59">
        <f>IFERROR(VLOOKUP($A614,[2]Mssp!$A$5:$BE$1463,AX$4+1,0),0)</f>
        <v>0</v>
      </c>
      <c r="AY614" s="59" t="str">
        <f>IFERROR(VLOOKUP($A614,[2]Mssp!$A$5:$BE$1463,AY$4+2,0),0)</f>
        <v>495x870</v>
      </c>
      <c r="AZ614" s="59" t="str">
        <f>IFERROR(VLOOKUP($A614,[2]Mssp!$A$5:$BE$1463,AZ$4+2,0),0)</f>
        <v>R1</v>
      </c>
      <c r="BA614" s="141"/>
      <c r="BB614" s="61"/>
      <c r="BC614" s="165"/>
      <c r="BD614" s="166"/>
      <c r="BE614" s="167"/>
      <c r="BF614" s="168"/>
      <c r="BG614" s="167"/>
      <c r="BH614" s="168"/>
      <c r="BI614" s="169"/>
      <c r="BJ614" s="168"/>
      <c r="BK614" s="134"/>
      <c r="BL614" s="168"/>
      <c r="BM614" s="167"/>
      <c r="BN614" s="168"/>
      <c r="BO614" s="62"/>
      <c r="BP614" s="168"/>
      <c r="BQ614" s="168"/>
      <c r="BR614" s="168"/>
      <c r="BS614" s="135"/>
      <c r="BT614" s="168"/>
      <c r="BU614" s="167"/>
      <c r="BV614" s="168"/>
      <c r="BW614" s="167"/>
      <c r="BX614" s="168"/>
      <c r="BY614" s="167"/>
      <c r="BZ614" s="168"/>
      <c r="CA614" s="167"/>
      <c r="CB614" s="168"/>
      <c r="CC614" s="167"/>
      <c r="CD614" s="168"/>
      <c r="CE614" s="62"/>
      <c r="CF614" s="62"/>
      <c r="CG614" s="9"/>
      <c r="CH614" s="9"/>
      <c r="CI614" s="9"/>
      <c r="CJ614" s="9"/>
      <c r="CK614" s="9"/>
      <c r="CL614" s="9"/>
      <c r="CM614" s="9"/>
      <c r="CN614" s="9"/>
      <c r="CO614" s="9"/>
      <c r="CP614" s="9"/>
    </row>
    <row r="615" spans="1:94" x14ac:dyDescent="0.25">
      <c r="A615" s="127" t="s">
        <v>1992</v>
      </c>
      <c r="B615" s="51" t="s">
        <v>1993</v>
      </c>
      <c r="C615" s="62"/>
      <c r="D615" s="84">
        <v>3</v>
      </c>
      <c r="E615" s="62" t="s">
        <v>1985</v>
      </c>
      <c r="F615" s="62">
        <v>1</v>
      </c>
      <c r="G615" s="62" t="s">
        <v>184</v>
      </c>
      <c r="H615" s="50">
        <f>VLOOKUP($A615,'[1]ma sp 02'!$A$5:$BD$1101,H$1,0)</f>
        <v>0</v>
      </c>
      <c r="I615" s="50">
        <f>VLOOKUP($A615,'[1]ma sp 02'!$A$5:$BD$1101,I$1,0)</f>
        <v>0</v>
      </c>
      <c r="J615" s="50">
        <f>VLOOKUP($A615,'[1]ma sp 02'!$A$5:$BD$1101,J$1,0)</f>
        <v>0.46</v>
      </c>
      <c r="K615" s="50">
        <f>VLOOKUP($A615,'[1]ma sp 02'!$A$5:$BD$1101,K$1,0)</f>
        <v>0</v>
      </c>
      <c r="L615" s="50">
        <f>VLOOKUP($A615,'[1]ma sp 02'!$A$5:$BD$1101,L$1,0)</f>
        <v>0.92</v>
      </c>
      <c r="M615" s="50">
        <f>VLOOKUP($A615,'[1]ma sp 02'!$A$5:$BD$1101,M$1,0)</f>
        <v>0</v>
      </c>
      <c r="N615" s="50">
        <f>VLOOKUP($A615,'[1]ma sp 02'!$A$5:$BD$1101,N$1,0)</f>
        <v>0</v>
      </c>
      <c r="O615" s="50">
        <f>VLOOKUP($A615,'[1]ma sp 02'!$A$5:$BD$1101,O$1,0)</f>
        <v>0.01</v>
      </c>
      <c r="P615" s="50">
        <f>VLOOKUP($A615,'[1]ma sp 02'!$A$5:$BD$1101,P$1,0)</f>
        <v>0</v>
      </c>
      <c r="Q615" s="50">
        <f>VLOOKUP($A615,'[1]ma sp 02'!$A$5:$BD$1101,Q$1,0)</f>
        <v>0</v>
      </c>
      <c r="R615" s="50">
        <f>VLOOKUP($A615,'[1]ma sp 02'!$A$5:$BD$1101,R$1,0)</f>
        <v>0</v>
      </c>
      <c r="S615" s="50">
        <f>VLOOKUP($A615,'[1]ma sp 02'!$A$5:$BD$1101,S$1,0)</f>
        <v>0</v>
      </c>
      <c r="T615" s="50">
        <f>VLOOKUP($A615,'[1]ma sp 02'!$A$5:$BD$1101,T$1,0)</f>
        <v>0</v>
      </c>
      <c r="U615" s="50">
        <f>VLOOKUP($A615,'[1]ma sp 02'!$A$5:$BD$1101,U$1,0)</f>
        <v>0</v>
      </c>
      <c r="V615" s="50">
        <f>VLOOKUP($A615,'[1]ma sp 02'!$A$5:$BD$1101,V$1,0)</f>
        <v>0</v>
      </c>
      <c r="W615" s="50">
        <f>VLOOKUP($A615,'[1]ma sp 02'!$A$5:$BD$1101,W$1,0)</f>
        <v>0</v>
      </c>
      <c r="X615" s="50"/>
      <c r="Y615" s="62"/>
      <c r="Z615" s="62"/>
      <c r="AA615" s="62"/>
      <c r="AB615" s="62"/>
      <c r="AC615" s="62"/>
      <c r="AD615" s="62"/>
      <c r="AE615" s="62" t="s">
        <v>456</v>
      </c>
      <c r="AF615" s="62" t="s">
        <v>1986</v>
      </c>
      <c r="AG615" s="53">
        <f t="shared" si="22"/>
        <v>5.9001249999999998E-2</v>
      </c>
      <c r="AH615" s="54">
        <f t="shared" si="23"/>
        <v>1.1653333333333333</v>
      </c>
      <c r="AI615" s="54">
        <f t="shared" si="23"/>
        <v>1.1653333333333333</v>
      </c>
      <c r="AJ615" s="62">
        <v>9530</v>
      </c>
      <c r="AK615" s="62">
        <v>9530</v>
      </c>
      <c r="AL615" s="62" t="s">
        <v>1987</v>
      </c>
      <c r="AM615" s="61" t="s">
        <v>1489</v>
      </c>
      <c r="AN615" s="62">
        <v>165</v>
      </c>
      <c r="AO615" s="61" t="s">
        <v>1902</v>
      </c>
      <c r="AP615" s="59" t="str">
        <f>IFERROR(VLOOKUP($A615,[2]Mssp!$A$5:$BE$1463,AP$4+1,0),0)</f>
        <v>2001177-1</v>
      </c>
      <c r="AQ615" s="59">
        <f>IFERROR(VLOOKUP($A615,[2]Mssp!$A$5:$BE$1463,AQ$4+1,0),0)</f>
        <v>0</v>
      </c>
      <c r="AR615" s="59">
        <f>IFERROR(VLOOKUP($A615,[2]Mssp!$A$5:$BE$1463,AR$4+1,0),0)</f>
        <v>0</v>
      </c>
      <c r="AS615" s="59">
        <f>IFERROR(VLOOKUP($A615,[2]Mssp!$A$5:$BE$1463,AS$4+1,0),0)</f>
        <v>0</v>
      </c>
      <c r="AT615" s="59">
        <f>IFERROR(VLOOKUP($A615,[2]Mssp!$A$5:$BE$1463,AT$4+1,0),0)</f>
        <v>0</v>
      </c>
      <c r="AU615" s="59">
        <f>IFERROR(VLOOKUP($A615,[2]Mssp!$A$5:$BE$1463,AU$4+1,0),0)</f>
        <v>0</v>
      </c>
      <c r="AV615" s="59">
        <f>IFERROR(VLOOKUP($A615,[2]Mssp!$A$5:$BE$1463,AV$4+1,0),0)</f>
        <v>0</v>
      </c>
      <c r="AW615" s="59">
        <f>IFERROR(VLOOKUP($A615,[2]Mssp!$A$5:$BE$1463,AW$4+1,0),0)</f>
        <v>0</v>
      </c>
      <c r="AX615" s="59">
        <f>IFERROR(VLOOKUP($A615,[2]Mssp!$A$5:$BE$1463,AX$4+1,0),0)</f>
        <v>0</v>
      </c>
      <c r="AY615" s="59" t="str">
        <f>IFERROR(VLOOKUP($A615,[2]Mssp!$A$5:$BE$1463,AY$4+2,0),0)</f>
        <v>495x870</v>
      </c>
      <c r="AZ615" s="59" t="str">
        <f>IFERROR(VLOOKUP($A615,[2]Mssp!$A$5:$BE$1463,AZ$4+2,0),0)</f>
        <v>R1</v>
      </c>
      <c r="BA615" s="141"/>
      <c r="BB615" s="61"/>
      <c r="BC615" s="165"/>
      <c r="BD615" s="166"/>
      <c r="BE615" s="167"/>
      <c r="BF615" s="168"/>
      <c r="BG615" s="167"/>
      <c r="BH615" s="168"/>
      <c r="BI615" s="169"/>
      <c r="BJ615" s="168"/>
      <c r="BK615" s="134"/>
      <c r="BL615" s="168"/>
      <c r="BM615" s="167"/>
      <c r="BN615" s="168"/>
      <c r="BO615" s="62"/>
      <c r="BP615" s="168"/>
      <c r="BQ615" s="168"/>
      <c r="BR615" s="168"/>
      <c r="BS615" s="135"/>
      <c r="BT615" s="168"/>
      <c r="BU615" s="167"/>
      <c r="BV615" s="168"/>
      <c r="BW615" s="167"/>
      <c r="BX615" s="168"/>
      <c r="BY615" s="167"/>
      <c r="BZ615" s="168"/>
      <c r="CA615" s="167"/>
      <c r="CB615" s="168"/>
      <c r="CC615" s="167"/>
      <c r="CD615" s="168"/>
      <c r="CE615" s="62"/>
      <c r="CF615" s="62"/>
      <c r="CG615" s="9"/>
      <c r="CH615" s="9"/>
      <c r="CI615" s="9"/>
      <c r="CJ615" s="9"/>
      <c r="CK615" s="9"/>
      <c r="CL615" s="9"/>
      <c r="CM615" s="9"/>
      <c r="CN615" s="9"/>
      <c r="CO615" s="9"/>
      <c r="CP615" s="9"/>
    </row>
    <row r="616" spans="1:94" x14ac:dyDescent="0.25">
      <c r="A616" s="127" t="s">
        <v>1994</v>
      </c>
      <c r="B616" s="51" t="s">
        <v>1995</v>
      </c>
      <c r="C616" s="62"/>
      <c r="D616" s="84">
        <v>3</v>
      </c>
      <c r="E616" s="62" t="s">
        <v>1985</v>
      </c>
      <c r="F616" s="62">
        <v>1</v>
      </c>
      <c r="G616" s="62" t="s">
        <v>184</v>
      </c>
      <c r="H616" s="50">
        <f>VLOOKUP($A616,'[1]ma sp 02'!$A$5:$BD$1101,H$1,0)</f>
        <v>0</v>
      </c>
      <c r="I616" s="50">
        <f>VLOOKUP($A616,'[1]ma sp 02'!$A$5:$BD$1101,I$1,0)</f>
        <v>0</v>
      </c>
      <c r="J616" s="50">
        <f>VLOOKUP($A616,'[1]ma sp 02'!$A$5:$BD$1101,J$1,0)</f>
        <v>1.7</v>
      </c>
      <c r="K616" s="50">
        <f>VLOOKUP($A616,'[1]ma sp 02'!$A$5:$BD$1101,K$1,0)</f>
        <v>0</v>
      </c>
      <c r="L616" s="50">
        <f>VLOOKUP($A616,'[1]ma sp 02'!$A$5:$BD$1101,L$1,0)</f>
        <v>2.13</v>
      </c>
      <c r="M616" s="50">
        <f>VLOOKUP($A616,'[1]ma sp 02'!$A$5:$BD$1101,M$1,0)</f>
        <v>0</v>
      </c>
      <c r="N616" s="50">
        <f>VLOOKUP($A616,'[1]ma sp 02'!$A$5:$BD$1101,N$1,0)</f>
        <v>0</v>
      </c>
      <c r="O616" s="50">
        <f>VLOOKUP($A616,'[1]ma sp 02'!$A$5:$BD$1101,O$1,0)</f>
        <v>0.1</v>
      </c>
      <c r="P616" s="50">
        <f>VLOOKUP($A616,'[1]ma sp 02'!$A$5:$BD$1101,P$1,0)</f>
        <v>0</v>
      </c>
      <c r="Q616" s="50">
        <f>VLOOKUP($A616,'[1]ma sp 02'!$A$5:$BD$1101,Q$1,0)</f>
        <v>0</v>
      </c>
      <c r="R616" s="50">
        <f>VLOOKUP($A616,'[1]ma sp 02'!$A$5:$BD$1101,R$1,0)</f>
        <v>0</v>
      </c>
      <c r="S616" s="50">
        <f>VLOOKUP($A616,'[1]ma sp 02'!$A$5:$BD$1101,S$1,0)</f>
        <v>0</v>
      </c>
      <c r="T616" s="50">
        <f>VLOOKUP($A616,'[1]ma sp 02'!$A$5:$BD$1101,T$1,0)</f>
        <v>0</v>
      </c>
      <c r="U616" s="50">
        <f>VLOOKUP($A616,'[1]ma sp 02'!$A$5:$BD$1101,U$1,0)</f>
        <v>0</v>
      </c>
      <c r="V616" s="50">
        <f>VLOOKUP($A616,'[1]ma sp 02'!$A$5:$BD$1101,V$1,0)</f>
        <v>0</v>
      </c>
      <c r="W616" s="50">
        <f>VLOOKUP($A616,'[1]ma sp 02'!$A$5:$BD$1101,W$1,0)</f>
        <v>0</v>
      </c>
      <c r="X616" s="50"/>
      <c r="Y616" s="62"/>
      <c r="Z616" s="62"/>
      <c r="AA616" s="62"/>
      <c r="AB616" s="62"/>
      <c r="AC616" s="62"/>
      <c r="AD616" s="62"/>
      <c r="AE616" s="62" t="s">
        <v>456</v>
      </c>
      <c r="AF616" s="62" t="s">
        <v>1986</v>
      </c>
      <c r="AG616" s="53">
        <f t="shared" si="22"/>
        <v>5.9001249999999998E-2</v>
      </c>
      <c r="AH616" s="54">
        <f t="shared" si="23"/>
        <v>1.1653333333333333</v>
      </c>
      <c r="AI616" s="54">
        <f t="shared" si="23"/>
        <v>1.1653333333333333</v>
      </c>
      <c r="AJ616" s="62">
        <v>9530</v>
      </c>
      <c r="AK616" s="62">
        <v>9530</v>
      </c>
      <c r="AL616" s="62" t="s">
        <v>1987</v>
      </c>
      <c r="AM616" s="61" t="s">
        <v>1489</v>
      </c>
      <c r="AN616" s="62">
        <v>165</v>
      </c>
      <c r="AO616" s="61" t="s">
        <v>1902</v>
      </c>
      <c r="AP616" s="59" t="str">
        <f>IFERROR(VLOOKUP($A616,[2]Mssp!$A$5:$BE$1463,AP$4+1,0),0)</f>
        <v>2001178-1</v>
      </c>
      <c r="AQ616" s="59">
        <f>IFERROR(VLOOKUP($A616,[2]Mssp!$A$5:$BE$1463,AQ$4+1,0),0)</f>
        <v>0</v>
      </c>
      <c r="AR616" s="59">
        <f>IFERROR(VLOOKUP($A616,[2]Mssp!$A$5:$BE$1463,AR$4+1,0),0)</f>
        <v>0</v>
      </c>
      <c r="AS616" s="59">
        <f>IFERROR(VLOOKUP($A616,[2]Mssp!$A$5:$BE$1463,AS$4+1,0),0)</f>
        <v>0</v>
      </c>
      <c r="AT616" s="59">
        <f>IFERROR(VLOOKUP($A616,[2]Mssp!$A$5:$BE$1463,AT$4+1,0),0)</f>
        <v>0</v>
      </c>
      <c r="AU616" s="59">
        <f>IFERROR(VLOOKUP($A616,[2]Mssp!$A$5:$BE$1463,AU$4+1,0),0)</f>
        <v>0</v>
      </c>
      <c r="AV616" s="59">
        <f>IFERROR(VLOOKUP($A616,[2]Mssp!$A$5:$BE$1463,AV$4+1,0),0)</f>
        <v>0</v>
      </c>
      <c r="AW616" s="59">
        <f>IFERROR(VLOOKUP($A616,[2]Mssp!$A$5:$BE$1463,AW$4+1,0),0)</f>
        <v>0</v>
      </c>
      <c r="AX616" s="59">
        <f>IFERROR(VLOOKUP($A616,[2]Mssp!$A$5:$BE$1463,AX$4+1,0),0)</f>
        <v>0</v>
      </c>
      <c r="AY616" s="59" t="str">
        <f>IFERROR(VLOOKUP($A616,[2]Mssp!$A$5:$BE$1463,AY$4+2,0),0)</f>
        <v>495x870</v>
      </c>
      <c r="AZ616" s="59" t="str">
        <f>IFERROR(VLOOKUP($A616,[2]Mssp!$A$5:$BE$1463,AZ$4+2,0),0)</f>
        <v>R1</v>
      </c>
      <c r="BA616" s="141"/>
      <c r="BB616" s="61"/>
      <c r="BC616" s="165"/>
      <c r="BD616" s="166"/>
      <c r="BE616" s="167"/>
      <c r="BF616" s="168"/>
      <c r="BG616" s="167"/>
      <c r="BH616" s="168"/>
      <c r="BI616" s="169"/>
      <c r="BJ616" s="168"/>
      <c r="BK616" s="134"/>
      <c r="BL616" s="168"/>
      <c r="BM616" s="167"/>
      <c r="BN616" s="168"/>
      <c r="BO616" s="62"/>
      <c r="BP616" s="168"/>
      <c r="BQ616" s="168"/>
      <c r="BR616" s="168"/>
      <c r="BS616" s="135"/>
      <c r="BT616" s="168"/>
      <c r="BU616" s="167"/>
      <c r="BV616" s="168"/>
      <c r="BW616" s="167"/>
      <c r="BX616" s="168"/>
      <c r="BY616" s="167"/>
      <c r="BZ616" s="168"/>
      <c r="CA616" s="167"/>
      <c r="CB616" s="168"/>
      <c r="CC616" s="167"/>
      <c r="CD616" s="168"/>
      <c r="CE616" s="62"/>
      <c r="CF616" s="62"/>
      <c r="CG616" s="9"/>
      <c r="CH616" s="9"/>
      <c r="CI616" s="9"/>
      <c r="CJ616" s="9"/>
      <c r="CK616" s="9"/>
      <c r="CL616" s="9"/>
      <c r="CM616" s="9"/>
      <c r="CN616" s="9"/>
      <c r="CO616" s="9"/>
      <c r="CP616" s="9"/>
    </row>
    <row r="617" spans="1:94" x14ac:dyDescent="0.25">
      <c r="A617" s="127" t="s">
        <v>1996</v>
      </c>
      <c r="B617" s="51" t="s">
        <v>1997</v>
      </c>
      <c r="C617" s="62"/>
      <c r="D617" s="84">
        <v>3</v>
      </c>
      <c r="E617" s="62" t="s">
        <v>1985</v>
      </c>
      <c r="F617" s="62">
        <v>1</v>
      </c>
      <c r="G617" s="62" t="s">
        <v>184</v>
      </c>
      <c r="H617" s="50">
        <f>VLOOKUP($A617,'[1]ma sp 02'!$A$5:$BD$1101,H$1,0)</f>
        <v>0</v>
      </c>
      <c r="I617" s="50">
        <f>VLOOKUP($A617,'[1]ma sp 02'!$A$5:$BD$1101,I$1,0)</f>
        <v>0</v>
      </c>
      <c r="J617" s="50">
        <f>VLOOKUP($A617,'[1]ma sp 02'!$A$5:$BD$1101,J$1,0)</f>
        <v>1.85</v>
      </c>
      <c r="K617" s="50">
        <f>VLOOKUP($A617,'[1]ma sp 02'!$A$5:$BD$1101,K$1,0)</f>
        <v>0</v>
      </c>
      <c r="L617" s="50">
        <f>VLOOKUP($A617,'[1]ma sp 02'!$A$5:$BD$1101,L$1,0)</f>
        <v>4.17</v>
      </c>
      <c r="M617" s="50">
        <f>VLOOKUP($A617,'[1]ma sp 02'!$A$5:$BD$1101,M$1,0)</f>
        <v>0</v>
      </c>
      <c r="N617" s="50">
        <f>VLOOKUP($A617,'[1]ma sp 02'!$A$5:$BD$1101,N$1,0)</f>
        <v>0</v>
      </c>
      <c r="O617" s="50">
        <f>VLOOKUP($A617,'[1]ma sp 02'!$A$5:$BD$1101,O$1,0)</f>
        <v>1.1499999999999999</v>
      </c>
      <c r="P617" s="50">
        <f>VLOOKUP($A617,'[1]ma sp 02'!$A$5:$BD$1101,P$1,0)</f>
        <v>0</v>
      </c>
      <c r="Q617" s="50">
        <f>VLOOKUP($A617,'[1]ma sp 02'!$A$5:$BD$1101,Q$1,0)</f>
        <v>0</v>
      </c>
      <c r="R617" s="50">
        <f>VLOOKUP($A617,'[1]ma sp 02'!$A$5:$BD$1101,R$1,0)</f>
        <v>0</v>
      </c>
      <c r="S617" s="50">
        <f>VLOOKUP($A617,'[1]ma sp 02'!$A$5:$BD$1101,S$1,0)</f>
        <v>0</v>
      </c>
      <c r="T617" s="50">
        <f>VLOOKUP($A617,'[1]ma sp 02'!$A$5:$BD$1101,T$1,0)</f>
        <v>0</v>
      </c>
      <c r="U617" s="50">
        <f>VLOOKUP($A617,'[1]ma sp 02'!$A$5:$BD$1101,U$1,0)</f>
        <v>0</v>
      </c>
      <c r="V617" s="50">
        <f>VLOOKUP($A617,'[1]ma sp 02'!$A$5:$BD$1101,V$1,0)</f>
        <v>0</v>
      </c>
      <c r="W617" s="50">
        <f>VLOOKUP($A617,'[1]ma sp 02'!$A$5:$BD$1101,W$1,0)</f>
        <v>0</v>
      </c>
      <c r="X617" s="50"/>
      <c r="Y617" s="62"/>
      <c r="Z617" s="62"/>
      <c r="AA617" s="62"/>
      <c r="AB617" s="62"/>
      <c r="AC617" s="62"/>
      <c r="AD617" s="62"/>
      <c r="AE617" s="62" t="s">
        <v>456</v>
      </c>
      <c r="AF617" s="62" t="s">
        <v>1986</v>
      </c>
      <c r="AG617" s="53">
        <f t="shared" si="22"/>
        <v>5.9001249999999998E-2</v>
      </c>
      <c r="AH617" s="54">
        <f t="shared" si="23"/>
        <v>1.1653333333333333</v>
      </c>
      <c r="AI617" s="54">
        <f t="shared" si="23"/>
        <v>1.1653333333333333</v>
      </c>
      <c r="AJ617" s="62">
        <v>9530</v>
      </c>
      <c r="AK617" s="62">
        <v>9530</v>
      </c>
      <c r="AL617" s="62" t="s">
        <v>1987</v>
      </c>
      <c r="AM617" s="61" t="s">
        <v>1489</v>
      </c>
      <c r="AN617" s="62">
        <v>165</v>
      </c>
      <c r="AO617" s="61" t="s">
        <v>1902</v>
      </c>
      <c r="AP617" s="59" t="str">
        <f>IFERROR(VLOOKUP($A617,[2]Mssp!$A$5:$BE$1463,AP$4+1,0),0)</f>
        <v>2001179-1</v>
      </c>
      <c r="AQ617" s="59">
        <f>IFERROR(VLOOKUP($A617,[2]Mssp!$A$5:$BE$1463,AQ$4+1,0),0)</f>
        <v>0</v>
      </c>
      <c r="AR617" s="59">
        <f>IFERROR(VLOOKUP($A617,[2]Mssp!$A$5:$BE$1463,AR$4+1,0),0)</f>
        <v>0</v>
      </c>
      <c r="AS617" s="59">
        <f>IFERROR(VLOOKUP($A617,[2]Mssp!$A$5:$BE$1463,AS$4+1,0),0)</f>
        <v>0</v>
      </c>
      <c r="AT617" s="59">
        <f>IFERROR(VLOOKUP($A617,[2]Mssp!$A$5:$BE$1463,AT$4+1,0),0)</f>
        <v>0</v>
      </c>
      <c r="AU617" s="59">
        <f>IFERROR(VLOOKUP($A617,[2]Mssp!$A$5:$BE$1463,AU$4+1,0),0)</f>
        <v>0</v>
      </c>
      <c r="AV617" s="59">
        <f>IFERROR(VLOOKUP($A617,[2]Mssp!$A$5:$BE$1463,AV$4+1,0),0)</f>
        <v>0</v>
      </c>
      <c r="AW617" s="59">
        <f>IFERROR(VLOOKUP($A617,[2]Mssp!$A$5:$BE$1463,AW$4+1,0),0)</f>
        <v>0</v>
      </c>
      <c r="AX617" s="59">
        <f>IFERROR(VLOOKUP($A617,[2]Mssp!$A$5:$BE$1463,AX$4+1,0),0)</f>
        <v>0</v>
      </c>
      <c r="AY617" s="59" t="str">
        <f>IFERROR(VLOOKUP($A617,[2]Mssp!$A$5:$BE$1463,AY$4+2,0),0)</f>
        <v>495x870</v>
      </c>
      <c r="AZ617" s="59" t="str">
        <f>IFERROR(VLOOKUP($A617,[2]Mssp!$A$5:$BE$1463,AZ$4+2,0),0)</f>
        <v>R1</v>
      </c>
      <c r="BA617" s="141"/>
      <c r="BB617" s="61"/>
      <c r="BC617" s="165"/>
      <c r="BD617" s="166"/>
      <c r="BE617" s="167"/>
      <c r="BF617" s="168"/>
      <c r="BG617" s="167"/>
      <c r="BH617" s="168"/>
      <c r="BI617" s="169"/>
      <c r="BJ617" s="168"/>
      <c r="BK617" s="134"/>
      <c r="BL617" s="168"/>
      <c r="BM617" s="167"/>
      <c r="BN617" s="168"/>
      <c r="BO617" s="62"/>
      <c r="BP617" s="168"/>
      <c r="BQ617" s="168"/>
      <c r="BR617" s="168"/>
      <c r="BS617" s="135"/>
      <c r="BT617" s="168"/>
      <c r="BU617" s="167"/>
      <c r="BV617" s="168"/>
      <c r="BW617" s="167"/>
      <c r="BX617" s="168"/>
      <c r="BY617" s="167"/>
      <c r="BZ617" s="168"/>
      <c r="CA617" s="167"/>
      <c r="CB617" s="168"/>
      <c r="CC617" s="167"/>
      <c r="CD617" s="168"/>
      <c r="CE617" s="62"/>
      <c r="CF617" s="62"/>
      <c r="CG617" s="9"/>
      <c r="CH617" s="9"/>
      <c r="CI617" s="9"/>
      <c r="CJ617" s="9"/>
      <c r="CK617" s="9"/>
      <c r="CL617" s="9"/>
      <c r="CM617" s="9"/>
      <c r="CN617" s="9"/>
      <c r="CO617" s="9"/>
      <c r="CP617" s="9"/>
    </row>
    <row r="618" spans="1:94" ht="30" x14ac:dyDescent="0.25">
      <c r="A618" s="127" t="s">
        <v>1998</v>
      </c>
      <c r="B618" s="51" t="s">
        <v>1999</v>
      </c>
      <c r="C618" s="62"/>
      <c r="D618" s="84">
        <v>3</v>
      </c>
      <c r="E618" s="62" t="s">
        <v>1985</v>
      </c>
      <c r="F618" s="62">
        <v>1</v>
      </c>
      <c r="G618" s="62" t="s">
        <v>184</v>
      </c>
      <c r="H618" s="50">
        <f>VLOOKUP($A618,'[1]ma sp 02'!$A$5:$BD$1101,H$1,0)</f>
        <v>0</v>
      </c>
      <c r="I618" s="50">
        <f>VLOOKUP($A618,'[1]ma sp 02'!$A$5:$BD$1101,I$1,0)</f>
        <v>0</v>
      </c>
      <c r="J618" s="50">
        <f>VLOOKUP($A618,'[1]ma sp 02'!$A$5:$BD$1101,J$1,0)</f>
        <v>0</v>
      </c>
      <c r="K618" s="50">
        <f>VLOOKUP($A618,'[1]ma sp 02'!$A$5:$BD$1101,K$1,0)</f>
        <v>0</v>
      </c>
      <c r="L618" s="50">
        <f>VLOOKUP($A618,'[1]ma sp 02'!$A$5:$BD$1101,L$1,0)</f>
        <v>0</v>
      </c>
      <c r="M618" s="50">
        <f>VLOOKUP($A618,'[1]ma sp 02'!$A$5:$BD$1101,M$1,0)</f>
        <v>0</v>
      </c>
      <c r="N618" s="50">
        <f>VLOOKUP($A618,'[1]ma sp 02'!$A$5:$BD$1101,N$1,0)</f>
        <v>0</v>
      </c>
      <c r="O618" s="50">
        <f>VLOOKUP($A618,'[1]ma sp 02'!$A$5:$BD$1101,O$1,0)</f>
        <v>0.01</v>
      </c>
      <c r="P618" s="50">
        <f>VLOOKUP($A618,'[1]ma sp 02'!$A$5:$BD$1101,P$1,0)</f>
        <v>0</v>
      </c>
      <c r="Q618" s="50">
        <f>VLOOKUP($A618,'[1]ma sp 02'!$A$5:$BD$1101,Q$1,0)</f>
        <v>0</v>
      </c>
      <c r="R618" s="50">
        <f>VLOOKUP($A618,'[1]ma sp 02'!$A$5:$BD$1101,R$1,0)</f>
        <v>0</v>
      </c>
      <c r="S618" s="50">
        <f>VLOOKUP($A618,'[1]ma sp 02'!$A$5:$BD$1101,S$1,0)</f>
        <v>0</v>
      </c>
      <c r="T618" s="50">
        <f>VLOOKUP($A618,'[1]ma sp 02'!$A$5:$BD$1101,T$1,0)</f>
        <v>0</v>
      </c>
      <c r="U618" s="50">
        <f>VLOOKUP($A618,'[1]ma sp 02'!$A$5:$BD$1101,U$1,0)</f>
        <v>0</v>
      </c>
      <c r="V618" s="50">
        <f>VLOOKUP($A618,'[1]ma sp 02'!$A$5:$BD$1101,V$1,0)</f>
        <v>0</v>
      </c>
      <c r="W618" s="50">
        <f>VLOOKUP($A618,'[1]ma sp 02'!$A$5:$BD$1101,W$1,0)</f>
        <v>0</v>
      </c>
      <c r="X618" s="50"/>
      <c r="Y618" s="62"/>
      <c r="Z618" s="62"/>
      <c r="AA618" s="62"/>
      <c r="AB618" s="62"/>
      <c r="AC618" s="62"/>
      <c r="AD618" s="62"/>
      <c r="AE618" s="62" t="s">
        <v>456</v>
      </c>
      <c r="AF618" s="62" t="s">
        <v>1986</v>
      </c>
      <c r="AG618" s="53">
        <f t="shared" si="22"/>
        <v>5.9001249999999998E-2</v>
      </c>
      <c r="AH618" s="54">
        <f t="shared" si="23"/>
        <v>1.1653333333333333</v>
      </c>
      <c r="AI618" s="54">
        <f t="shared" si="23"/>
        <v>1.1653333333333333</v>
      </c>
      <c r="AJ618" s="62">
        <v>9530</v>
      </c>
      <c r="AK618" s="62">
        <v>9530</v>
      </c>
      <c r="AL618" s="62" t="s">
        <v>1987</v>
      </c>
      <c r="AM618" s="61" t="s">
        <v>1489</v>
      </c>
      <c r="AN618" s="62">
        <v>165</v>
      </c>
      <c r="AO618" s="61" t="s">
        <v>1902</v>
      </c>
      <c r="AP618" s="59" t="str">
        <f>IFERROR(VLOOKUP($A618,[2]Mssp!$A$5:$BE$1463,AP$4+1,0),0)</f>
        <v>2001180-1</v>
      </c>
      <c r="AQ618" s="59">
        <f>IFERROR(VLOOKUP($A618,[2]Mssp!$A$5:$BE$1463,AQ$4+1,0),0)</f>
        <v>0</v>
      </c>
      <c r="AR618" s="59">
        <f>IFERROR(VLOOKUP($A618,[2]Mssp!$A$5:$BE$1463,AR$4+1,0),0)</f>
        <v>0</v>
      </c>
      <c r="AS618" s="59">
        <f>IFERROR(VLOOKUP($A618,[2]Mssp!$A$5:$BE$1463,AS$4+1,0),0)</f>
        <v>0</v>
      </c>
      <c r="AT618" s="59">
        <f>IFERROR(VLOOKUP($A618,[2]Mssp!$A$5:$BE$1463,AT$4+1,0),0)</f>
        <v>0</v>
      </c>
      <c r="AU618" s="59">
        <f>IFERROR(VLOOKUP($A618,[2]Mssp!$A$5:$BE$1463,AU$4+1,0),0)</f>
        <v>0</v>
      </c>
      <c r="AV618" s="59">
        <f>IFERROR(VLOOKUP($A618,[2]Mssp!$A$5:$BE$1463,AV$4+1,0),0)</f>
        <v>0</v>
      </c>
      <c r="AW618" s="59">
        <f>IFERROR(VLOOKUP($A618,[2]Mssp!$A$5:$BE$1463,AW$4+1,0),0)</f>
        <v>0</v>
      </c>
      <c r="AX618" s="59">
        <f>IFERROR(VLOOKUP($A618,[2]Mssp!$A$5:$BE$1463,AX$4+1,0),0)</f>
        <v>0</v>
      </c>
      <c r="AY618" s="59" t="str">
        <f>IFERROR(VLOOKUP($A618,[2]Mssp!$A$5:$BE$1463,AY$4+2,0),0)</f>
        <v>495x870</v>
      </c>
      <c r="AZ618" s="59" t="str">
        <f>IFERROR(VLOOKUP($A618,[2]Mssp!$A$5:$BE$1463,AZ$4+2,0),0)</f>
        <v>R1</v>
      </c>
      <c r="BA618" s="141" t="s">
        <v>2000</v>
      </c>
      <c r="BB618" s="61" t="s">
        <v>1784</v>
      </c>
      <c r="BC618" s="165"/>
      <c r="BD618" s="166"/>
      <c r="BE618" s="167"/>
      <c r="BF618" s="168"/>
      <c r="BG618" s="167"/>
      <c r="BH618" s="168"/>
      <c r="BI618" s="169"/>
      <c r="BJ618" s="168"/>
      <c r="BK618" s="134"/>
      <c r="BL618" s="168"/>
      <c r="BM618" s="167"/>
      <c r="BN618" s="168"/>
      <c r="BO618" s="62"/>
      <c r="BP618" s="168"/>
      <c r="BQ618" s="168"/>
      <c r="BR618" s="168"/>
      <c r="BS618" s="135"/>
      <c r="BT618" s="168"/>
      <c r="BU618" s="167"/>
      <c r="BV618" s="168"/>
      <c r="BW618" s="167"/>
      <c r="BX618" s="168"/>
      <c r="BY618" s="167"/>
      <c r="BZ618" s="168"/>
      <c r="CA618" s="167"/>
      <c r="CB618" s="168"/>
      <c r="CC618" s="167"/>
      <c r="CD618" s="168"/>
      <c r="CE618" s="62"/>
      <c r="CF618" s="62"/>
      <c r="CG618" s="9"/>
      <c r="CH618" s="9"/>
      <c r="CI618" s="9"/>
      <c r="CJ618" s="9"/>
      <c r="CK618" s="9"/>
      <c r="CL618" s="9"/>
      <c r="CM618" s="9"/>
      <c r="CN618" s="9"/>
      <c r="CO618" s="9"/>
      <c r="CP618" s="9"/>
    </row>
    <row r="619" spans="1:94" ht="30" x14ac:dyDescent="0.25">
      <c r="A619" s="127" t="s">
        <v>2001</v>
      </c>
      <c r="B619" s="51" t="s">
        <v>2002</v>
      </c>
      <c r="C619" s="62"/>
      <c r="D619" s="84">
        <v>3</v>
      </c>
      <c r="E619" s="62" t="s">
        <v>1985</v>
      </c>
      <c r="F619" s="62">
        <v>1</v>
      </c>
      <c r="G619" s="62" t="s">
        <v>184</v>
      </c>
      <c r="H619" s="50">
        <f>VLOOKUP($A619,'[1]ma sp 02'!$A$5:$BD$1101,H$1,0)</f>
        <v>0</v>
      </c>
      <c r="I619" s="50">
        <f>VLOOKUP($A619,'[1]ma sp 02'!$A$5:$BD$1101,I$1,0)</f>
        <v>0</v>
      </c>
      <c r="J619" s="50">
        <f>VLOOKUP($A619,'[1]ma sp 02'!$A$5:$BD$1101,J$1,0)</f>
        <v>4.5599999999999996</v>
      </c>
      <c r="K619" s="50">
        <f>VLOOKUP($A619,'[1]ma sp 02'!$A$5:$BD$1101,K$1,0)</f>
        <v>0</v>
      </c>
      <c r="L619" s="50">
        <f>VLOOKUP($A619,'[1]ma sp 02'!$A$5:$BD$1101,L$1,0)</f>
        <v>5.57</v>
      </c>
      <c r="M619" s="50">
        <f>VLOOKUP($A619,'[1]ma sp 02'!$A$5:$BD$1101,M$1,0)</f>
        <v>0</v>
      </c>
      <c r="N619" s="50">
        <f>VLOOKUP($A619,'[1]ma sp 02'!$A$5:$BD$1101,N$1,0)</f>
        <v>0</v>
      </c>
      <c r="O619" s="50">
        <f>VLOOKUP($A619,'[1]ma sp 02'!$A$5:$BD$1101,O$1,0)</f>
        <v>0.01</v>
      </c>
      <c r="P619" s="50">
        <f>VLOOKUP($A619,'[1]ma sp 02'!$A$5:$BD$1101,P$1,0)</f>
        <v>0</v>
      </c>
      <c r="Q619" s="50">
        <f>VLOOKUP($A619,'[1]ma sp 02'!$A$5:$BD$1101,Q$1,0)</f>
        <v>0.12</v>
      </c>
      <c r="R619" s="50">
        <f>VLOOKUP($A619,'[1]ma sp 02'!$A$5:$BD$1101,R$1,0)</f>
        <v>0</v>
      </c>
      <c r="S619" s="50">
        <f>VLOOKUP($A619,'[1]ma sp 02'!$A$5:$BD$1101,S$1,0)</f>
        <v>0</v>
      </c>
      <c r="T619" s="50">
        <f>VLOOKUP($A619,'[1]ma sp 02'!$A$5:$BD$1101,T$1,0)</f>
        <v>0</v>
      </c>
      <c r="U619" s="50">
        <f>VLOOKUP($A619,'[1]ma sp 02'!$A$5:$BD$1101,U$1,0)</f>
        <v>0</v>
      </c>
      <c r="V619" s="50">
        <f>VLOOKUP($A619,'[1]ma sp 02'!$A$5:$BD$1101,V$1,0)</f>
        <v>0</v>
      </c>
      <c r="W619" s="50">
        <f>VLOOKUP($A619,'[1]ma sp 02'!$A$5:$BD$1101,W$1,0)</f>
        <v>0</v>
      </c>
      <c r="X619" s="50"/>
      <c r="Y619" s="62"/>
      <c r="Z619" s="62"/>
      <c r="AA619" s="62"/>
      <c r="AB619" s="62"/>
      <c r="AC619" s="62"/>
      <c r="AD619" s="62"/>
      <c r="AE619" s="62" t="s">
        <v>456</v>
      </c>
      <c r="AF619" s="62" t="s">
        <v>1986</v>
      </c>
      <c r="AG619" s="53">
        <f t="shared" si="22"/>
        <v>5.9001249999999998E-2</v>
      </c>
      <c r="AH619" s="54">
        <f t="shared" si="23"/>
        <v>1.1653333333333333</v>
      </c>
      <c r="AI619" s="54">
        <f t="shared" si="23"/>
        <v>1.1653333333333333</v>
      </c>
      <c r="AJ619" s="62">
        <v>9530</v>
      </c>
      <c r="AK619" s="62">
        <v>9530</v>
      </c>
      <c r="AL619" s="62" t="s">
        <v>1987</v>
      </c>
      <c r="AM619" s="61" t="s">
        <v>1489</v>
      </c>
      <c r="AN619" s="62">
        <v>165</v>
      </c>
      <c r="AO619" s="61" t="s">
        <v>1902</v>
      </c>
      <c r="AP619" s="59" t="str">
        <f>IFERROR(VLOOKUP($A619,[2]Mssp!$A$5:$BE$1463,AP$4+1,0),0)</f>
        <v>2001181-1</v>
      </c>
      <c r="AQ619" s="59">
        <f>IFERROR(VLOOKUP($A619,[2]Mssp!$A$5:$BE$1463,AQ$4+1,0),0)</f>
        <v>0</v>
      </c>
      <c r="AR619" s="59">
        <f>IFERROR(VLOOKUP($A619,[2]Mssp!$A$5:$BE$1463,AR$4+1,0),0)</f>
        <v>0</v>
      </c>
      <c r="AS619" s="59">
        <f>IFERROR(VLOOKUP($A619,[2]Mssp!$A$5:$BE$1463,AS$4+1,0),0)</f>
        <v>0</v>
      </c>
      <c r="AT619" s="59">
        <f>IFERROR(VLOOKUP($A619,[2]Mssp!$A$5:$BE$1463,AT$4+1,0),0)</f>
        <v>0</v>
      </c>
      <c r="AU619" s="59">
        <f>IFERROR(VLOOKUP($A619,[2]Mssp!$A$5:$BE$1463,AU$4+1,0),0)</f>
        <v>0</v>
      </c>
      <c r="AV619" s="59">
        <f>IFERROR(VLOOKUP($A619,[2]Mssp!$A$5:$BE$1463,AV$4+1,0),0)</f>
        <v>0</v>
      </c>
      <c r="AW619" s="59">
        <f>IFERROR(VLOOKUP($A619,[2]Mssp!$A$5:$BE$1463,AW$4+1,0),0)</f>
        <v>0</v>
      </c>
      <c r="AX619" s="59">
        <f>IFERROR(VLOOKUP($A619,[2]Mssp!$A$5:$BE$1463,AX$4+1,0),0)</f>
        <v>0</v>
      </c>
      <c r="AY619" s="59" t="str">
        <f>IFERROR(VLOOKUP($A619,[2]Mssp!$A$5:$BE$1463,AY$4+2,0),0)</f>
        <v>495x870</v>
      </c>
      <c r="AZ619" s="59" t="str">
        <f>IFERROR(VLOOKUP($A619,[2]Mssp!$A$5:$BE$1463,AZ$4+2,0),0)</f>
        <v>R1</v>
      </c>
      <c r="BA619" s="141" t="s">
        <v>2000</v>
      </c>
      <c r="BB619" s="61" t="s">
        <v>1784</v>
      </c>
      <c r="BC619" s="165"/>
      <c r="BD619" s="166"/>
      <c r="BE619" s="167"/>
      <c r="BF619" s="168"/>
      <c r="BG619" s="167"/>
      <c r="BH619" s="168"/>
      <c r="BI619" s="169"/>
      <c r="BJ619" s="168"/>
      <c r="BK619" s="134"/>
      <c r="BL619" s="168"/>
      <c r="BM619" s="167"/>
      <c r="BN619" s="168"/>
      <c r="BO619" s="62"/>
      <c r="BP619" s="168"/>
      <c r="BQ619" s="168"/>
      <c r="BR619" s="168"/>
      <c r="BS619" s="135"/>
      <c r="BT619" s="168"/>
      <c r="BU619" s="167"/>
      <c r="BV619" s="168"/>
      <c r="BW619" s="167"/>
      <c r="BX619" s="168"/>
      <c r="BY619" s="167"/>
      <c r="BZ619" s="168"/>
      <c r="CA619" s="167"/>
      <c r="CB619" s="168"/>
      <c r="CC619" s="167"/>
      <c r="CD619" s="168"/>
      <c r="CE619" s="62"/>
      <c r="CF619" s="62"/>
      <c r="CG619" s="9"/>
      <c r="CH619" s="9"/>
      <c r="CI619" s="9"/>
      <c r="CJ619" s="9"/>
      <c r="CK619" s="9"/>
      <c r="CL619" s="9"/>
      <c r="CM619" s="9"/>
      <c r="CN619" s="9"/>
      <c r="CO619" s="9"/>
      <c r="CP619" s="9"/>
    </row>
    <row r="620" spans="1:94" ht="30" x14ac:dyDescent="0.25">
      <c r="A620" s="127" t="s">
        <v>2003</v>
      </c>
      <c r="B620" s="51" t="s">
        <v>2004</v>
      </c>
      <c r="C620" s="62"/>
      <c r="D620" s="84">
        <v>3</v>
      </c>
      <c r="E620" s="62" t="s">
        <v>1985</v>
      </c>
      <c r="F620" s="62">
        <v>1</v>
      </c>
      <c r="G620" s="62" t="s">
        <v>184</v>
      </c>
      <c r="H620" s="50">
        <f>VLOOKUP($A620,'[1]ma sp 02'!$A$5:$BD$1101,H$1,0)</f>
        <v>0</v>
      </c>
      <c r="I620" s="50">
        <f>VLOOKUP($A620,'[1]ma sp 02'!$A$5:$BD$1101,I$1,0)</f>
        <v>0</v>
      </c>
      <c r="J620" s="50">
        <f>VLOOKUP($A620,'[1]ma sp 02'!$A$5:$BD$1101,J$1,0)</f>
        <v>0</v>
      </c>
      <c r="K620" s="50">
        <f>VLOOKUP($A620,'[1]ma sp 02'!$A$5:$BD$1101,K$1,0)</f>
        <v>0</v>
      </c>
      <c r="L620" s="50">
        <f>VLOOKUP($A620,'[1]ma sp 02'!$A$5:$BD$1101,L$1,0)</f>
        <v>0</v>
      </c>
      <c r="M620" s="50">
        <f>VLOOKUP($A620,'[1]ma sp 02'!$A$5:$BD$1101,M$1,0)</f>
        <v>0</v>
      </c>
      <c r="N620" s="50">
        <f>VLOOKUP($A620,'[1]ma sp 02'!$A$5:$BD$1101,N$1,0)</f>
        <v>0</v>
      </c>
      <c r="O620" s="50">
        <f>VLOOKUP($A620,'[1]ma sp 02'!$A$5:$BD$1101,O$1,0)</f>
        <v>0.1</v>
      </c>
      <c r="P620" s="50">
        <f>VLOOKUP($A620,'[1]ma sp 02'!$A$5:$BD$1101,P$1,0)</f>
        <v>0</v>
      </c>
      <c r="Q620" s="50">
        <f>VLOOKUP($A620,'[1]ma sp 02'!$A$5:$BD$1101,Q$1,0)</f>
        <v>0</v>
      </c>
      <c r="R620" s="50">
        <f>VLOOKUP($A620,'[1]ma sp 02'!$A$5:$BD$1101,R$1,0)</f>
        <v>0</v>
      </c>
      <c r="S620" s="50">
        <f>VLOOKUP($A620,'[1]ma sp 02'!$A$5:$BD$1101,S$1,0)</f>
        <v>0</v>
      </c>
      <c r="T620" s="50">
        <f>VLOOKUP($A620,'[1]ma sp 02'!$A$5:$BD$1101,T$1,0)</f>
        <v>0</v>
      </c>
      <c r="U620" s="50">
        <f>VLOOKUP($A620,'[1]ma sp 02'!$A$5:$BD$1101,U$1,0)</f>
        <v>0</v>
      </c>
      <c r="V620" s="50">
        <f>VLOOKUP($A620,'[1]ma sp 02'!$A$5:$BD$1101,V$1,0)</f>
        <v>0</v>
      </c>
      <c r="W620" s="50">
        <f>VLOOKUP($A620,'[1]ma sp 02'!$A$5:$BD$1101,W$1,0)</f>
        <v>0</v>
      </c>
      <c r="X620" s="50"/>
      <c r="Y620" s="62"/>
      <c r="Z620" s="62"/>
      <c r="AA620" s="62"/>
      <c r="AB620" s="62"/>
      <c r="AC620" s="62"/>
      <c r="AD620" s="62"/>
      <c r="AE620" s="62" t="s">
        <v>456</v>
      </c>
      <c r="AF620" s="62" t="s">
        <v>1986</v>
      </c>
      <c r="AG620" s="53">
        <f t="shared" si="22"/>
        <v>5.9001249999999998E-2</v>
      </c>
      <c r="AH620" s="54">
        <f t="shared" si="23"/>
        <v>1.1653333333333333</v>
      </c>
      <c r="AI620" s="54">
        <f t="shared" si="23"/>
        <v>1.1653333333333333</v>
      </c>
      <c r="AJ620" s="62">
        <v>9530</v>
      </c>
      <c r="AK620" s="62">
        <v>9530</v>
      </c>
      <c r="AL620" s="62" t="s">
        <v>1987</v>
      </c>
      <c r="AM620" s="61" t="s">
        <v>1489</v>
      </c>
      <c r="AN620" s="62">
        <v>165</v>
      </c>
      <c r="AO620" s="61" t="s">
        <v>1902</v>
      </c>
      <c r="AP620" s="59" t="str">
        <f>IFERROR(VLOOKUP($A620,[2]Mssp!$A$5:$BE$1463,AP$4+1,0),0)</f>
        <v>2001182-1</v>
      </c>
      <c r="AQ620" s="59">
        <f>IFERROR(VLOOKUP($A620,[2]Mssp!$A$5:$BE$1463,AQ$4+1,0),0)</f>
        <v>0</v>
      </c>
      <c r="AR620" s="59">
        <f>IFERROR(VLOOKUP($A620,[2]Mssp!$A$5:$BE$1463,AR$4+1,0),0)</f>
        <v>0</v>
      </c>
      <c r="AS620" s="59">
        <f>IFERROR(VLOOKUP($A620,[2]Mssp!$A$5:$BE$1463,AS$4+1,0),0)</f>
        <v>0</v>
      </c>
      <c r="AT620" s="59">
        <f>IFERROR(VLOOKUP($A620,[2]Mssp!$A$5:$BE$1463,AT$4+1,0),0)</f>
        <v>0</v>
      </c>
      <c r="AU620" s="59">
        <f>IFERROR(VLOOKUP($A620,[2]Mssp!$A$5:$BE$1463,AU$4+1,0),0)</f>
        <v>0</v>
      </c>
      <c r="AV620" s="59">
        <f>IFERROR(VLOOKUP($A620,[2]Mssp!$A$5:$BE$1463,AV$4+1,0),0)</f>
        <v>0</v>
      </c>
      <c r="AW620" s="59">
        <f>IFERROR(VLOOKUP($A620,[2]Mssp!$A$5:$BE$1463,AW$4+1,0),0)</f>
        <v>0</v>
      </c>
      <c r="AX620" s="59">
        <f>IFERROR(VLOOKUP($A620,[2]Mssp!$A$5:$BE$1463,AX$4+1,0),0)</f>
        <v>0</v>
      </c>
      <c r="AY620" s="59" t="str">
        <f>IFERROR(VLOOKUP($A620,[2]Mssp!$A$5:$BE$1463,AY$4+2,0),0)</f>
        <v>495x870</v>
      </c>
      <c r="AZ620" s="59" t="str">
        <f>IFERROR(VLOOKUP($A620,[2]Mssp!$A$5:$BE$1463,AZ$4+2,0),0)</f>
        <v>R1</v>
      </c>
      <c r="BA620" s="141"/>
      <c r="BB620" s="61" t="s">
        <v>1784</v>
      </c>
      <c r="BC620" s="165"/>
      <c r="BD620" s="166"/>
      <c r="BE620" s="167"/>
      <c r="BF620" s="168"/>
      <c r="BG620" s="167"/>
      <c r="BH620" s="168"/>
      <c r="BI620" s="169"/>
      <c r="BJ620" s="168"/>
      <c r="BK620" s="134"/>
      <c r="BL620" s="168"/>
      <c r="BM620" s="167"/>
      <c r="BN620" s="168"/>
      <c r="BO620" s="62"/>
      <c r="BP620" s="168"/>
      <c r="BQ620" s="168"/>
      <c r="BR620" s="168"/>
      <c r="BS620" s="135"/>
      <c r="BT620" s="168"/>
      <c r="BU620" s="167"/>
      <c r="BV620" s="168"/>
      <c r="BW620" s="167"/>
      <c r="BX620" s="168"/>
      <c r="BY620" s="167"/>
      <c r="BZ620" s="168"/>
      <c r="CA620" s="167"/>
      <c r="CB620" s="168"/>
      <c r="CC620" s="167"/>
      <c r="CD620" s="168"/>
      <c r="CE620" s="62"/>
      <c r="CF620" s="62"/>
      <c r="CG620" s="9"/>
      <c r="CH620" s="9"/>
      <c r="CI620" s="9"/>
      <c r="CJ620" s="9"/>
      <c r="CK620" s="9"/>
      <c r="CL620" s="9"/>
      <c r="CM620" s="9"/>
      <c r="CN620" s="9"/>
      <c r="CO620" s="9"/>
      <c r="CP620" s="9"/>
    </row>
    <row r="621" spans="1:94" ht="30" x14ac:dyDescent="0.25">
      <c r="A621" s="127" t="s">
        <v>2005</v>
      </c>
      <c r="B621" s="51" t="s">
        <v>2006</v>
      </c>
      <c r="C621" s="62"/>
      <c r="D621" s="84">
        <v>4</v>
      </c>
      <c r="E621" s="62" t="s">
        <v>2007</v>
      </c>
      <c r="F621" s="62">
        <v>4</v>
      </c>
      <c r="G621" s="62" t="s">
        <v>184</v>
      </c>
      <c r="H621" s="50">
        <f>VLOOKUP($A621,'[1]ma sp 02'!$A$5:$BD$1101,H$1,0)</f>
        <v>0.5</v>
      </c>
      <c r="I621" s="50">
        <f>VLOOKUP($A621,'[1]ma sp 02'!$A$5:$BD$1101,I$1,0)</f>
        <v>5.6</v>
      </c>
      <c r="J621" s="50">
        <f>VLOOKUP($A621,'[1]ma sp 02'!$A$5:$BD$1101,J$1,0)</f>
        <v>0</v>
      </c>
      <c r="K621" s="50">
        <f>VLOOKUP($A621,'[1]ma sp 02'!$A$5:$BD$1101,K$1,0)</f>
        <v>0</v>
      </c>
      <c r="L621" s="50">
        <f>VLOOKUP($A621,'[1]ma sp 02'!$A$5:$BD$1101,L$1,0)</f>
        <v>0</v>
      </c>
      <c r="M621" s="50">
        <f>VLOOKUP($A621,'[1]ma sp 02'!$A$5:$BD$1101,M$1,0)</f>
        <v>0</v>
      </c>
      <c r="N621" s="50">
        <f>VLOOKUP($A621,'[1]ma sp 02'!$A$5:$BD$1101,N$1,0)</f>
        <v>0</v>
      </c>
      <c r="O621" s="50">
        <f>VLOOKUP($A621,'[1]ma sp 02'!$A$5:$BD$1101,O$1,0)</f>
        <v>0</v>
      </c>
      <c r="P621" s="50">
        <f>VLOOKUP($A621,'[1]ma sp 02'!$A$5:$BD$1101,P$1,0)</f>
        <v>0.01</v>
      </c>
      <c r="Q621" s="50">
        <f>VLOOKUP($A621,'[1]ma sp 02'!$A$5:$BD$1101,Q$1,0)</f>
        <v>0.87</v>
      </c>
      <c r="R621" s="50">
        <f>VLOOKUP($A621,'[1]ma sp 02'!$A$5:$BD$1101,R$1,0)</f>
        <v>0.01</v>
      </c>
      <c r="S621" s="50">
        <f>VLOOKUP($A621,'[1]ma sp 02'!$A$5:$BD$1101,S$1,0)</f>
        <v>0</v>
      </c>
      <c r="T621" s="50">
        <f>VLOOKUP($A621,'[1]ma sp 02'!$A$5:$BD$1101,T$1,0)</f>
        <v>0</v>
      </c>
      <c r="U621" s="50">
        <f>VLOOKUP($A621,'[1]ma sp 02'!$A$5:$BD$1101,U$1,0)</f>
        <v>0</v>
      </c>
      <c r="V621" s="50">
        <f>VLOOKUP($A621,'[1]ma sp 02'!$A$5:$BD$1101,V$1,0)</f>
        <v>0</v>
      </c>
      <c r="W621" s="50">
        <f>VLOOKUP($A621,'[1]ma sp 02'!$A$5:$BD$1101,W$1,0)</f>
        <v>0</v>
      </c>
      <c r="X621" s="50"/>
      <c r="Y621" s="62"/>
      <c r="Z621" s="62"/>
      <c r="AA621" s="62"/>
      <c r="AB621" s="62"/>
      <c r="AC621" s="62"/>
      <c r="AD621" s="62"/>
      <c r="AE621" s="62" t="s">
        <v>499</v>
      </c>
      <c r="AF621" s="62" t="s">
        <v>1322</v>
      </c>
      <c r="AG621" s="53">
        <f>(0.02*0.91+0.006*2.71+0.075*0.925)*0.81</f>
        <v>8.410635000000001E-2</v>
      </c>
      <c r="AH621" s="54">
        <f>(2.3/0.75/2)*0.8</f>
        <v>1.2266666666666666</v>
      </c>
      <c r="AI621" s="54">
        <f>(2.3/0.75/2)*0.8</f>
        <v>1.2266666666666666</v>
      </c>
      <c r="AJ621" s="62">
        <v>9530</v>
      </c>
      <c r="AK621" s="62">
        <v>9530</v>
      </c>
      <c r="AL621" s="62" t="s">
        <v>1590</v>
      </c>
      <c r="AM621" s="61" t="s">
        <v>386</v>
      </c>
      <c r="AN621" s="62">
        <v>146</v>
      </c>
      <c r="AO621" s="61" t="s">
        <v>2008</v>
      </c>
      <c r="AP621" s="59" t="str">
        <f>IFERROR(VLOOKUP($A621,[2]Mssp!$A$5:$BE$1463,AP$4+1,0),0)</f>
        <v>2001258-1</v>
      </c>
      <c r="AQ621" s="59" t="str">
        <f>IFERROR(VLOOKUP($A621,[2]Mssp!$A$5:$BE$1463,AQ$4+1,0),0)</f>
        <v>2001258-2</v>
      </c>
      <c r="AR621" s="59" t="str">
        <f>IFERROR(VLOOKUP($A621,[2]Mssp!$A$5:$BE$1463,AR$4+1,0),0)</f>
        <v>2001258-3</v>
      </c>
      <c r="AS621" s="59" t="str">
        <f>IFERROR(VLOOKUP($A621,[2]Mssp!$A$5:$BE$1463,AS$4+1,0),0)</f>
        <v>2001258-4</v>
      </c>
      <c r="AT621" s="59" t="str">
        <f>IFERROR(VLOOKUP($A621,[2]Mssp!$A$5:$BE$1463,AT$4+1,0),0)</f>
        <v>2003728-2</v>
      </c>
      <c r="AU621" s="59" t="str">
        <f>IFERROR(VLOOKUP($A621,[2]Mssp!$A$5:$BE$1463,AU$4+1,0),0)</f>
        <v>20071067-0</v>
      </c>
      <c r="AV621" s="59">
        <f>IFERROR(VLOOKUP($A621,[2]Mssp!$A$5:$BE$1463,AV$4+1,0),0)</f>
        <v>0</v>
      </c>
      <c r="AW621" s="59">
        <f>IFERROR(VLOOKUP($A621,[2]Mssp!$A$5:$BE$1463,AW$4+1,0),0)</f>
        <v>0</v>
      </c>
      <c r="AX621" s="59">
        <f>IFERROR(VLOOKUP($A621,[2]Mssp!$A$5:$BE$1463,AX$4+1,0),0)</f>
        <v>0</v>
      </c>
      <c r="AY621" s="59" t="str">
        <f>IFERROR(VLOOKUP($A621,[2]Mssp!$A$5:$BE$1463,AY$4+2,0),0)</f>
        <v>438x870</v>
      </c>
      <c r="AZ621" s="59" t="str">
        <f>IFERROR(VLOOKUP($A621,[2]Mssp!$A$5:$BE$1463,AZ$4+2,0),0)</f>
        <v>R1</v>
      </c>
      <c r="BA621" s="141"/>
      <c r="BB621" s="61" t="s">
        <v>223</v>
      </c>
      <c r="BC621" s="165"/>
      <c r="BD621" s="166"/>
      <c r="BE621" s="167"/>
      <c r="BF621" s="168"/>
      <c r="BG621" s="167"/>
      <c r="BH621" s="168"/>
      <c r="BI621" s="169"/>
      <c r="BJ621" s="168"/>
      <c r="BK621" s="134"/>
      <c r="BL621" s="168"/>
      <c r="BM621" s="167"/>
      <c r="BN621" s="168"/>
      <c r="BO621" s="62"/>
      <c r="BP621" s="168"/>
      <c r="BQ621" s="168"/>
      <c r="BR621" s="168"/>
      <c r="BS621" s="135"/>
      <c r="BT621" s="168"/>
      <c r="BU621" s="167"/>
      <c r="BV621" s="168"/>
      <c r="BW621" s="167"/>
      <c r="BX621" s="168"/>
      <c r="BY621" s="167"/>
      <c r="BZ621" s="168"/>
      <c r="CA621" s="167"/>
      <c r="CB621" s="168"/>
      <c r="CC621" s="167"/>
      <c r="CD621" s="168"/>
      <c r="CE621" s="62"/>
      <c r="CF621" s="62"/>
      <c r="CG621" s="9"/>
      <c r="CH621" s="9"/>
      <c r="CI621" s="9"/>
      <c r="CJ621" s="9"/>
      <c r="CK621" s="9"/>
      <c r="CL621" s="9"/>
      <c r="CM621" s="9"/>
      <c r="CN621" s="9"/>
      <c r="CO621" s="9"/>
      <c r="CP621" s="9"/>
    </row>
    <row r="622" spans="1:94" ht="30" x14ac:dyDescent="0.25">
      <c r="A622" s="127" t="s">
        <v>2009</v>
      </c>
      <c r="B622" s="51" t="s">
        <v>2010</v>
      </c>
      <c r="C622" s="62"/>
      <c r="D622" s="84">
        <v>4</v>
      </c>
      <c r="E622" s="62" t="s">
        <v>2007</v>
      </c>
      <c r="F622" s="62">
        <v>4</v>
      </c>
      <c r="G622" s="62" t="s">
        <v>184</v>
      </c>
      <c r="H622" s="50">
        <f>VLOOKUP($A622,'[1]ma sp 02'!$A$5:$BD$1101,H$1,0)</f>
        <v>0.6</v>
      </c>
      <c r="I622" s="50">
        <f>VLOOKUP($A622,'[1]ma sp 02'!$A$5:$BD$1101,I$1,0)</f>
        <v>8.35</v>
      </c>
      <c r="J622" s="50">
        <f>VLOOKUP($A622,'[1]ma sp 02'!$A$5:$BD$1101,J$1,0)</f>
        <v>0</v>
      </c>
      <c r="K622" s="50">
        <f>VLOOKUP($A622,'[1]ma sp 02'!$A$5:$BD$1101,K$1,0)</f>
        <v>0</v>
      </c>
      <c r="L622" s="50">
        <f>VLOOKUP($A622,'[1]ma sp 02'!$A$5:$BD$1101,L$1,0)</f>
        <v>0</v>
      </c>
      <c r="M622" s="50">
        <f>VLOOKUP($A622,'[1]ma sp 02'!$A$5:$BD$1101,M$1,0)</f>
        <v>0</v>
      </c>
      <c r="N622" s="50">
        <f>VLOOKUP($A622,'[1]ma sp 02'!$A$5:$BD$1101,N$1,0)</f>
        <v>0</v>
      </c>
      <c r="O622" s="50">
        <f>VLOOKUP($A622,'[1]ma sp 02'!$A$5:$BD$1101,O$1,0)</f>
        <v>0</v>
      </c>
      <c r="P622" s="50">
        <f>VLOOKUP($A622,'[1]ma sp 02'!$A$5:$BD$1101,P$1,0)</f>
        <v>0.3</v>
      </c>
      <c r="Q622" s="50">
        <f>VLOOKUP($A622,'[1]ma sp 02'!$A$5:$BD$1101,Q$1,0)</f>
        <v>0</v>
      </c>
      <c r="R622" s="50">
        <f>VLOOKUP($A622,'[1]ma sp 02'!$A$5:$BD$1101,R$1,0)</f>
        <v>0.1</v>
      </c>
      <c r="S622" s="50">
        <f>VLOOKUP($A622,'[1]ma sp 02'!$A$5:$BD$1101,S$1,0)</f>
        <v>0</v>
      </c>
      <c r="T622" s="50">
        <f>VLOOKUP($A622,'[1]ma sp 02'!$A$5:$BD$1101,T$1,0)</f>
        <v>0</v>
      </c>
      <c r="U622" s="50">
        <f>VLOOKUP($A622,'[1]ma sp 02'!$A$5:$BD$1101,U$1,0)</f>
        <v>0</v>
      </c>
      <c r="V622" s="50">
        <f>VLOOKUP($A622,'[1]ma sp 02'!$A$5:$BD$1101,V$1,0)</f>
        <v>0</v>
      </c>
      <c r="W622" s="50">
        <f>VLOOKUP($A622,'[1]ma sp 02'!$A$5:$BD$1101,W$1,0)</f>
        <v>0</v>
      </c>
      <c r="X622" s="50"/>
      <c r="Y622" s="62"/>
      <c r="Z622" s="62"/>
      <c r="AA622" s="62"/>
      <c r="AB622" s="62"/>
      <c r="AC622" s="62"/>
      <c r="AD622" s="62"/>
      <c r="AE622" s="62" t="s">
        <v>499</v>
      </c>
      <c r="AF622" s="62" t="s">
        <v>1322</v>
      </c>
      <c r="AG622" s="53">
        <f>(0.02*0.91+0.006*2.71+0.075*0.925)*0.81</f>
        <v>8.410635000000001E-2</v>
      </c>
      <c r="AH622" s="54">
        <f>(2.3/0.75/2)*0.8</f>
        <v>1.2266666666666666</v>
      </c>
      <c r="AI622" s="54">
        <f>(2.3/0.75/2)*0.8</f>
        <v>1.2266666666666666</v>
      </c>
      <c r="AJ622" s="62">
        <v>9530</v>
      </c>
      <c r="AK622" s="62">
        <v>9530</v>
      </c>
      <c r="AL622" s="62" t="s">
        <v>1590</v>
      </c>
      <c r="AM622" s="61" t="s">
        <v>386</v>
      </c>
      <c r="AN622" s="62">
        <v>146</v>
      </c>
      <c r="AO622" s="61" t="s">
        <v>2008</v>
      </c>
      <c r="AP622" s="59" t="str">
        <f>IFERROR(VLOOKUP($A622,[2]Mssp!$A$5:$BE$1463,AP$4+1,0),0)</f>
        <v>2001259-1</v>
      </c>
      <c r="AQ622" s="59" t="str">
        <f>IFERROR(VLOOKUP($A622,[2]Mssp!$A$5:$BE$1463,AQ$4+1,0),0)</f>
        <v>2001259-2</v>
      </c>
      <c r="AR622" s="59" t="str">
        <f>IFERROR(VLOOKUP($A622,[2]Mssp!$A$5:$BE$1463,AR$4+1,0),0)</f>
        <v>2001259-3</v>
      </c>
      <c r="AS622" s="59" t="str">
        <f>IFERROR(VLOOKUP($A622,[2]Mssp!$A$5:$BE$1463,AS$4+1,0),0)</f>
        <v>2001259-4</v>
      </c>
      <c r="AT622" s="59">
        <f>IFERROR(VLOOKUP($A622,[2]Mssp!$A$5:$BE$1463,AT$4+1,0),0)</f>
        <v>0</v>
      </c>
      <c r="AU622" s="59">
        <f>IFERROR(VLOOKUP($A622,[2]Mssp!$A$5:$BE$1463,AU$4+1,0),0)</f>
        <v>0</v>
      </c>
      <c r="AV622" s="59">
        <f>IFERROR(VLOOKUP($A622,[2]Mssp!$A$5:$BE$1463,AV$4+1,0),0)</f>
        <v>0</v>
      </c>
      <c r="AW622" s="59">
        <f>IFERROR(VLOOKUP($A622,[2]Mssp!$A$5:$BE$1463,AW$4+1,0),0)</f>
        <v>0</v>
      </c>
      <c r="AX622" s="59">
        <f>IFERROR(VLOOKUP($A622,[2]Mssp!$A$5:$BE$1463,AX$4+1,0),0)</f>
        <v>0</v>
      </c>
      <c r="AY622" s="59" t="str">
        <f>IFERROR(VLOOKUP($A622,[2]Mssp!$A$5:$BE$1463,AY$4+2,0),0)</f>
        <v>438x870</v>
      </c>
      <c r="AZ622" s="59" t="str">
        <f>IFERROR(VLOOKUP($A622,[2]Mssp!$A$5:$BE$1463,AZ$4+2,0),0)</f>
        <v>R2</v>
      </c>
      <c r="BA622" s="141"/>
      <c r="BB622" s="61"/>
      <c r="BC622" s="165"/>
      <c r="BD622" s="166"/>
      <c r="BE622" s="167"/>
      <c r="BF622" s="168"/>
      <c r="BG622" s="167"/>
      <c r="BH622" s="168"/>
      <c r="BI622" s="169"/>
      <c r="BJ622" s="168"/>
      <c r="BK622" s="134"/>
      <c r="BL622" s="168"/>
      <c r="BM622" s="167"/>
      <c r="BN622" s="168"/>
      <c r="BO622" s="62"/>
      <c r="BP622" s="168"/>
      <c r="BQ622" s="168"/>
      <c r="BR622" s="168"/>
      <c r="BS622" s="135"/>
      <c r="BT622" s="168"/>
      <c r="BU622" s="167"/>
      <c r="BV622" s="168"/>
      <c r="BW622" s="167"/>
      <c r="BX622" s="168"/>
      <c r="BY622" s="167"/>
      <c r="BZ622" s="168"/>
      <c r="CA622" s="167"/>
      <c r="CB622" s="168"/>
      <c r="CC622" s="167"/>
      <c r="CD622" s="168"/>
      <c r="CE622" s="62"/>
      <c r="CF622" s="62"/>
      <c r="CG622" s="9"/>
      <c r="CH622" s="9"/>
      <c r="CI622" s="9"/>
      <c r="CJ622" s="9"/>
      <c r="CK622" s="9"/>
      <c r="CL622" s="9"/>
      <c r="CM622" s="9"/>
      <c r="CN622" s="9"/>
      <c r="CO622" s="9"/>
      <c r="CP622" s="9"/>
    </row>
    <row r="623" spans="1:94" x14ac:dyDescent="0.25">
      <c r="A623" s="158" t="s">
        <v>2011</v>
      </c>
      <c r="B623" s="159"/>
      <c r="C623" s="62"/>
      <c r="D623" s="84"/>
      <c r="E623" s="62"/>
      <c r="F623" s="62"/>
      <c r="G623" s="62"/>
      <c r="H623" s="50">
        <f>VLOOKUP($A623,'[1]ma sp 02'!$A$5:$BD$1101,H$1,0)</f>
        <v>0</v>
      </c>
      <c r="I623" s="50">
        <f>VLOOKUP($A623,'[1]ma sp 02'!$A$5:$BD$1101,I$1,0)</f>
        <v>0</v>
      </c>
      <c r="J623" s="50">
        <f>VLOOKUP($A623,'[1]ma sp 02'!$A$5:$BD$1101,J$1,0)</f>
        <v>0</v>
      </c>
      <c r="K623" s="50">
        <f>VLOOKUP($A623,'[1]ma sp 02'!$A$5:$BD$1101,K$1,0)</f>
        <v>0</v>
      </c>
      <c r="L623" s="50">
        <f>VLOOKUP($A623,'[1]ma sp 02'!$A$5:$BD$1101,L$1,0)</f>
        <v>0</v>
      </c>
      <c r="M623" s="50">
        <f>VLOOKUP($A623,'[1]ma sp 02'!$A$5:$BD$1101,M$1,0)</f>
        <v>0</v>
      </c>
      <c r="N623" s="50">
        <f>VLOOKUP($A623,'[1]ma sp 02'!$A$5:$BD$1101,N$1,0)</f>
        <v>0</v>
      </c>
      <c r="O623" s="50">
        <f>VLOOKUP($A623,'[1]ma sp 02'!$A$5:$BD$1101,O$1,0)</f>
        <v>0</v>
      </c>
      <c r="P623" s="50">
        <f>VLOOKUP($A623,'[1]ma sp 02'!$A$5:$BD$1101,P$1,0)</f>
        <v>0</v>
      </c>
      <c r="Q623" s="50">
        <f>VLOOKUP($A623,'[1]ma sp 02'!$A$5:$BD$1101,Q$1,0)</f>
        <v>0</v>
      </c>
      <c r="R623" s="50">
        <f>VLOOKUP($A623,'[1]ma sp 02'!$A$5:$BD$1101,R$1,0)</f>
        <v>0</v>
      </c>
      <c r="S623" s="50">
        <f>VLOOKUP($A623,'[1]ma sp 02'!$A$5:$BD$1101,S$1,0)</f>
        <v>0</v>
      </c>
      <c r="T623" s="50">
        <f>VLOOKUP($A623,'[1]ma sp 02'!$A$5:$BD$1101,T$1,0)</f>
        <v>0</v>
      </c>
      <c r="U623" s="50">
        <f>VLOOKUP($A623,'[1]ma sp 02'!$A$5:$BD$1101,U$1,0)</f>
        <v>0</v>
      </c>
      <c r="V623" s="50">
        <f>VLOOKUP($A623,'[1]ma sp 02'!$A$5:$BD$1101,V$1,0)</f>
        <v>0</v>
      </c>
      <c r="W623" s="50">
        <f>VLOOKUP($A623,'[1]ma sp 02'!$A$5:$BD$1101,W$1,0)</f>
        <v>0</v>
      </c>
      <c r="X623" s="50"/>
      <c r="Y623" s="62"/>
      <c r="Z623" s="62"/>
      <c r="AA623" s="62"/>
      <c r="AB623" s="62"/>
      <c r="AC623" s="62"/>
      <c r="AD623" s="62"/>
      <c r="AE623" s="62"/>
      <c r="AF623" s="62"/>
      <c r="AG623" s="71"/>
      <c r="AH623" s="155"/>
      <c r="AI623" s="54"/>
      <c r="AJ623" s="62"/>
      <c r="AK623" s="62"/>
      <c r="AL623" s="62"/>
      <c r="AM623" s="61"/>
      <c r="AN623" s="62"/>
      <c r="AO623" s="61"/>
      <c r="AP623" s="59" t="str">
        <f>IFERROR(VLOOKUP($A623,[2]Mssp!$A$5:$BE$1463,AP$4+1,0),0)</f>
        <v>X108222-1</v>
      </c>
      <c r="AQ623" s="59">
        <f>IFERROR(VLOOKUP($A623,[2]Mssp!$A$5:$BE$1463,AQ$4+1,0),0)</f>
        <v>0</v>
      </c>
      <c r="AR623" s="59">
        <f>IFERROR(VLOOKUP($A623,[2]Mssp!$A$5:$BE$1463,AR$4+1,0),0)</f>
        <v>0</v>
      </c>
      <c r="AS623" s="59">
        <f>IFERROR(VLOOKUP($A623,[2]Mssp!$A$5:$BE$1463,AS$4+1,0),0)</f>
        <v>0</v>
      </c>
      <c r="AT623" s="59">
        <f>IFERROR(VLOOKUP($A623,[2]Mssp!$A$5:$BE$1463,AT$4+1,0),0)</f>
        <v>0</v>
      </c>
      <c r="AU623" s="59">
        <f>IFERROR(VLOOKUP($A623,[2]Mssp!$A$5:$BE$1463,AU$4+1,0),0)</f>
        <v>0</v>
      </c>
      <c r="AV623" s="59">
        <f>IFERROR(VLOOKUP($A623,[2]Mssp!$A$5:$BE$1463,AV$4+1,0),0)</f>
        <v>0</v>
      </c>
      <c r="AW623" s="59">
        <f>IFERROR(VLOOKUP($A623,[2]Mssp!$A$5:$BE$1463,AW$4+1,0),0)</f>
        <v>0</v>
      </c>
      <c r="AX623" s="59">
        <f>IFERROR(VLOOKUP($A623,[2]Mssp!$A$5:$BE$1463,AX$4+1,0),0)</f>
        <v>0</v>
      </c>
      <c r="AY623" s="59" t="str">
        <f>IFERROR(VLOOKUP($A623,[2]Mssp!$A$5:$BE$1463,AY$4+2,0),0)</f>
        <v>1100x498</v>
      </c>
      <c r="AZ623" s="59" t="str">
        <f>IFERROR(VLOOKUP($A623,[2]Mssp!$A$5:$BE$1463,AZ$4+2,0),0)</f>
        <v>B2</v>
      </c>
      <c r="BA623" s="141"/>
      <c r="BB623" s="61"/>
      <c r="BC623" s="165"/>
      <c r="BD623" s="166"/>
      <c r="BE623" s="167"/>
      <c r="BF623" s="168"/>
      <c r="BG623" s="167"/>
      <c r="BH623" s="168"/>
      <c r="BI623" s="169"/>
      <c r="BJ623" s="168"/>
      <c r="BK623" s="134"/>
      <c r="BL623" s="168"/>
      <c r="BM623" s="167"/>
      <c r="BN623" s="168"/>
      <c r="BO623" s="62"/>
      <c r="BP623" s="168"/>
      <c r="BQ623" s="168"/>
      <c r="BR623" s="168"/>
      <c r="BS623" s="135"/>
      <c r="BT623" s="168"/>
      <c r="BU623" s="167"/>
      <c r="BV623" s="168"/>
      <c r="BW623" s="167"/>
      <c r="BX623" s="168"/>
      <c r="BY623" s="167"/>
      <c r="BZ623" s="168"/>
      <c r="CA623" s="167"/>
      <c r="CB623" s="168"/>
      <c r="CC623" s="167"/>
      <c r="CD623" s="168"/>
      <c r="CE623" s="62"/>
      <c r="CF623" s="62"/>
      <c r="CG623" s="9"/>
      <c r="CH623" s="9"/>
      <c r="CI623" s="9"/>
      <c r="CJ623" s="9"/>
      <c r="CK623" s="9"/>
      <c r="CL623" s="9"/>
      <c r="CM623" s="9"/>
      <c r="CN623" s="9"/>
      <c r="CO623" s="9"/>
      <c r="CP623" s="9"/>
    </row>
    <row r="624" spans="1:94" x14ac:dyDescent="0.25">
      <c r="A624" s="127" t="s">
        <v>2012</v>
      </c>
      <c r="B624" s="51" t="s">
        <v>2013</v>
      </c>
      <c r="C624" s="124"/>
      <c r="D624" s="84">
        <v>1</v>
      </c>
      <c r="E624" s="62" t="s">
        <v>2014</v>
      </c>
      <c r="F624" s="62">
        <v>3</v>
      </c>
      <c r="G624" s="62" t="s">
        <v>184</v>
      </c>
      <c r="H624" s="50">
        <f>VLOOKUP($A624,'[1]ma sp 02'!$A$5:$BD$1101,H$1,0)</f>
        <v>0.307</v>
      </c>
      <c r="I624" s="50">
        <f>VLOOKUP($A624,'[1]ma sp 02'!$A$5:$BD$1101,I$1,0)</f>
        <v>0</v>
      </c>
      <c r="J624" s="50">
        <f>VLOOKUP($A624,'[1]ma sp 02'!$A$5:$BD$1101,J$1,0)</f>
        <v>0.32800000000000001</v>
      </c>
      <c r="K624" s="50">
        <f>VLOOKUP($A624,'[1]ma sp 02'!$A$5:$BD$1101,K$1,0)</f>
        <v>0.01</v>
      </c>
      <c r="L624" s="50">
        <f>VLOOKUP($A624,'[1]ma sp 02'!$A$5:$BD$1101,L$1,0)</f>
        <v>0</v>
      </c>
      <c r="M624" s="50">
        <f>VLOOKUP($A624,'[1]ma sp 02'!$A$5:$BD$1101,M$1,0)</f>
        <v>0.41</v>
      </c>
      <c r="N624" s="50">
        <f>VLOOKUP($A624,'[1]ma sp 02'!$A$5:$BD$1101,N$1,0)</f>
        <v>0</v>
      </c>
      <c r="O624" s="50">
        <f>VLOOKUP($A624,'[1]ma sp 02'!$A$5:$BD$1101,O$1,0)</f>
        <v>0</v>
      </c>
      <c r="P624" s="50">
        <f>VLOOKUP($A624,'[1]ma sp 02'!$A$5:$BD$1101,P$1,0)</f>
        <v>0.93</v>
      </c>
      <c r="Q624" s="50">
        <f>VLOOKUP($A624,'[1]ma sp 02'!$A$5:$BD$1101,Q$1,0)</f>
        <v>0.16400000000000001</v>
      </c>
      <c r="R624" s="50">
        <f>VLOOKUP($A624,'[1]ma sp 02'!$A$5:$BD$1101,R$1,0)</f>
        <v>0.01</v>
      </c>
      <c r="S624" s="50">
        <f>VLOOKUP($A624,'[1]ma sp 02'!$A$5:$BD$1101,S$1,0)</f>
        <v>0</v>
      </c>
      <c r="T624" s="50">
        <f>VLOOKUP($A624,'[1]ma sp 02'!$A$5:$BD$1101,T$1,0)</f>
        <v>0</v>
      </c>
      <c r="U624" s="50">
        <f>VLOOKUP($A624,'[1]ma sp 02'!$A$5:$BD$1101,U$1,0)</f>
        <v>0</v>
      </c>
      <c r="V624" s="50">
        <f>VLOOKUP($A624,'[1]ma sp 02'!$A$5:$BD$1101,V$1,0)</f>
        <v>0</v>
      </c>
      <c r="W624" s="50">
        <f>VLOOKUP($A624,'[1]ma sp 02'!$A$5:$BD$1101,W$1,0)</f>
        <v>0</v>
      </c>
      <c r="X624" s="50"/>
      <c r="Y624" s="62"/>
      <c r="Z624" s="62"/>
      <c r="AA624" s="62"/>
      <c r="AB624" s="62"/>
      <c r="AC624" s="62"/>
      <c r="AD624" s="62"/>
      <c r="AE624" s="62" t="s">
        <v>2015</v>
      </c>
      <c r="AF624" s="62"/>
      <c r="AG624" s="53">
        <f>(0.06*0.94+0.025*0.925)*1.25</f>
        <v>9.9406250000000002E-2</v>
      </c>
      <c r="AH624" s="54">
        <f>(2/0.75/2)*1.24</f>
        <v>1.6533333333333333</v>
      </c>
      <c r="AI624" s="54"/>
      <c r="AJ624" s="62">
        <v>9530</v>
      </c>
      <c r="AK624" s="62"/>
      <c r="AL624" s="62">
        <v>2E-3</v>
      </c>
      <c r="AM624" s="61" t="s">
        <v>1489</v>
      </c>
      <c r="AN624" s="62">
        <v>1500</v>
      </c>
      <c r="AO624" s="61" t="s">
        <v>1977</v>
      </c>
      <c r="AP624" s="59" t="str">
        <f>IFERROR(VLOOKUP($A624,[2]Mssp!$A$5:$BE$1463,AP$4+1,0),0)</f>
        <v>1902798-1</v>
      </c>
      <c r="AQ624" s="59" t="str">
        <f>IFERROR(VLOOKUP($A624,[2]Mssp!$A$5:$BE$1463,AQ$4+1,0),0)</f>
        <v>1902798-2</v>
      </c>
      <c r="AR624" s="59" t="str">
        <f>IFERROR(VLOOKUP($A624,[2]Mssp!$A$5:$BE$1463,AR$4+1,0),0)</f>
        <v>1902798-3</v>
      </c>
      <c r="AS624" s="59">
        <f>IFERROR(VLOOKUP($A624,[2]Mssp!$A$5:$BE$1463,AS$4+1,0),0)</f>
        <v>0</v>
      </c>
      <c r="AT624" s="59">
        <f>IFERROR(VLOOKUP($A624,[2]Mssp!$A$5:$BE$1463,AT$4+1,0),0)</f>
        <v>0</v>
      </c>
      <c r="AU624" s="59">
        <f>IFERROR(VLOOKUP($A624,[2]Mssp!$A$5:$BE$1463,AU$4+1,0),0)</f>
        <v>0</v>
      </c>
      <c r="AV624" s="59">
        <f>IFERROR(VLOOKUP($A624,[2]Mssp!$A$5:$BE$1463,AV$4+1,0),0)</f>
        <v>0</v>
      </c>
      <c r="AW624" s="59">
        <f>IFERROR(VLOOKUP($A624,[2]Mssp!$A$5:$BE$1463,AW$4+1,0),0)</f>
        <v>0</v>
      </c>
      <c r="AX624" s="59">
        <f>IFERROR(VLOOKUP($A624,[2]Mssp!$A$5:$BE$1463,AX$4+1,0),0)</f>
        <v>0</v>
      </c>
      <c r="AY624" s="59" t="str">
        <f>IFERROR(VLOOKUP($A624,[2]Mssp!$A$5:$BE$1463,AY$4+2,0),0)</f>
        <v>906x1300</v>
      </c>
      <c r="AZ624" s="59">
        <f>IFERROR(VLOOKUP($A624,[2]Mssp!$A$5:$BE$1463,AZ$4+2,0),0)</f>
        <v>0</v>
      </c>
      <c r="BA624" s="141"/>
      <c r="BB624" s="61"/>
      <c r="BC624" s="165"/>
      <c r="BD624" s="166"/>
      <c r="BE624" s="167"/>
      <c r="BF624" s="168"/>
      <c r="BG624" s="167"/>
      <c r="BH624" s="168"/>
      <c r="BI624" s="169"/>
      <c r="BJ624" s="168"/>
      <c r="BK624" s="134"/>
      <c r="BL624" s="168"/>
      <c r="BM624" s="167"/>
      <c r="BN624" s="168"/>
      <c r="BO624" s="62"/>
      <c r="BP624" s="168"/>
      <c r="BQ624" s="168"/>
      <c r="BR624" s="168"/>
      <c r="BS624" s="135"/>
      <c r="BT624" s="168"/>
      <c r="BU624" s="167"/>
      <c r="BV624" s="168"/>
      <c r="BW624" s="167"/>
      <c r="BX624" s="168"/>
      <c r="BY624" s="167"/>
      <c r="BZ624" s="168"/>
      <c r="CA624" s="167"/>
      <c r="CB624" s="168"/>
      <c r="CC624" s="167"/>
      <c r="CD624" s="168"/>
      <c r="CE624" s="62"/>
      <c r="CF624" s="62"/>
      <c r="CG624" s="9"/>
      <c r="CH624" s="9"/>
      <c r="CI624" s="9"/>
      <c r="CJ624" s="9"/>
      <c r="CK624" s="9"/>
      <c r="CL624" s="9"/>
      <c r="CM624" s="9"/>
      <c r="CN624" s="9"/>
      <c r="CO624" s="9"/>
      <c r="CP624" s="9"/>
    </row>
    <row r="625" spans="1:94" ht="30" x14ac:dyDescent="0.25">
      <c r="A625" s="173" t="s">
        <v>2016</v>
      </c>
      <c r="B625" s="174" t="s">
        <v>2017</v>
      </c>
      <c r="C625" s="62"/>
      <c r="D625" s="84">
        <v>2</v>
      </c>
      <c r="E625" s="62" t="s">
        <v>2018</v>
      </c>
      <c r="F625" s="62">
        <v>6</v>
      </c>
      <c r="G625" s="62" t="s">
        <v>184</v>
      </c>
      <c r="H625" s="50">
        <f>VLOOKUP($A625,'[1]ma sp 02'!$A$5:$BD$1101,H$1,0)</f>
        <v>0.1</v>
      </c>
      <c r="I625" s="50">
        <f>VLOOKUP($A625,'[1]ma sp 02'!$A$5:$BD$1101,I$1,0)</f>
        <v>5</v>
      </c>
      <c r="J625" s="50">
        <f>VLOOKUP($A625,'[1]ma sp 02'!$A$5:$BD$1101,J$1,0)</f>
        <v>0</v>
      </c>
      <c r="K625" s="50">
        <f>VLOOKUP($A625,'[1]ma sp 02'!$A$5:$BD$1101,K$1,0)</f>
        <v>1.2</v>
      </c>
      <c r="L625" s="50">
        <f>VLOOKUP($A625,'[1]ma sp 02'!$A$5:$BD$1101,L$1,0)</f>
        <v>0.2</v>
      </c>
      <c r="M625" s="50">
        <f>VLOOKUP($A625,'[1]ma sp 02'!$A$5:$BD$1101,M$1,0)</f>
        <v>2.63</v>
      </c>
      <c r="N625" s="50">
        <f>VLOOKUP($A625,'[1]ma sp 02'!$A$5:$BD$1101,N$1,0)</f>
        <v>0</v>
      </c>
      <c r="O625" s="50">
        <f>VLOOKUP($A625,'[1]ma sp 02'!$A$5:$BD$1101,O$1,0)</f>
        <v>0</v>
      </c>
      <c r="P625" s="50">
        <f>VLOOKUP($A625,'[1]ma sp 02'!$A$5:$BD$1101,P$1,0)</f>
        <v>1</v>
      </c>
      <c r="Q625" s="50">
        <f>VLOOKUP($A625,'[1]ma sp 02'!$A$5:$BD$1101,Q$1,0)</f>
        <v>2</v>
      </c>
      <c r="R625" s="50">
        <f>VLOOKUP($A625,'[1]ma sp 02'!$A$5:$BD$1101,R$1,0)</f>
        <v>0</v>
      </c>
      <c r="S625" s="50">
        <f>VLOOKUP($A625,'[1]ma sp 02'!$A$5:$BD$1101,S$1,0)</f>
        <v>0</v>
      </c>
      <c r="T625" s="50">
        <f>VLOOKUP($A625,'[1]ma sp 02'!$A$5:$BD$1101,T$1,0)</f>
        <v>0.01</v>
      </c>
      <c r="U625" s="50">
        <f>VLOOKUP($A625,'[1]ma sp 02'!$A$5:$BD$1101,U$1,0)</f>
        <v>0</v>
      </c>
      <c r="V625" s="50">
        <f>VLOOKUP($A625,'[1]ma sp 02'!$A$5:$BD$1101,V$1,0)</f>
        <v>0</v>
      </c>
      <c r="W625" s="50">
        <f>VLOOKUP($A625,'[1]ma sp 02'!$A$5:$BD$1101,W$1,0)</f>
        <v>0</v>
      </c>
      <c r="X625" s="50"/>
      <c r="Y625" s="62"/>
      <c r="Z625" s="62"/>
      <c r="AA625" s="62"/>
      <c r="AB625" s="62"/>
      <c r="AC625" s="62"/>
      <c r="AD625" s="62"/>
      <c r="AE625" s="62" t="s">
        <v>2019</v>
      </c>
      <c r="AF625" s="62"/>
      <c r="AG625" s="53">
        <f>(0.03*0.91+0.025*0.91)*0.94</f>
        <v>4.7046999999999999E-2</v>
      </c>
      <c r="AH625" s="54">
        <f>(2/0.75/2)*0.93</f>
        <v>1.24</v>
      </c>
      <c r="AI625" s="54"/>
      <c r="AJ625" s="62">
        <v>9530</v>
      </c>
      <c r="AK625" s="62"/>
      <c r="AL625" s="62">
        <v>2E-3</v>
      </c>
      <c r="AM625" s="61" t="s">
        <v>386</v>
      </c>
      <c r="AN625" s="62">
        <v>320</v>
      </c>
      <c r="AO625" s="61" t="s">
        <v>1742</v>
      </c>
      <c r="AP625" s="59" t="str">
        <f>IFERROR(VLOOKUP($A625,[2]Mssp!$A$5:$BE$1463,AP$4+1,0),0)</f>
        <v>X108061F1-1</v>
      </c>
      <c r="AQ625" s="59" t="str">
        <f>IFERROR(VLOOKUP($A625,[2]Mssp!$A$5:$BE$1463,AQ$4+1,0),0)</f>
        <v>X108061F1-2</v>
      </c>
      <c r="AR625" s="59" t="str">
        <f>IFERROR(VLOOKUP($A625,[2]Mssp!$A$5:$BE$1463,AR$4+1,0),0)</f>
        <v>X108061F1-3</v>
      </c>
      <c r="AS625" s="59" t="str">
        <f>IFERROR(VLOOKUP($A625,[2]Mssp!$A$5:$BE$1463,AS$4+1,0),0)</f>
        <v>X108061F1-4</v>
      </c>
      <c r="AT625" s="59" t="str">
        <f>IFERROR(VLOOKUP($A625,[2]Mssp!$A$5:$BE$1463,AT$4+1,0),0)</f>
        <v>X108061F1-5</v>
      </c>
      <c r="AU625" s="59" t="str">
        <f>IFERROR(VLOOKUP($A625,[2]Mssp!$A$5:$BE$1463,AU$4+1,0),0)</f>
        <v>X108061F1-6</v>
      </c>
      <c r="AV625" s="59">
        <f>IFERROR(VLOOKUP($A625,[2]Mssp!$A$5:$BE$1463,AV$4+1,0),0)</f>
        <v>0</v>
      </c>
      <c r="AW625" s="59">
        <f>IFERROR(VLOOKUP($A625,[2]Mssp!$A$5:$BE$1463,AW$4+1,0),0)</f>
        <v>0</v>
      </c>
      <c r="AX625" s="59">
        <f>IFERROR(VLOOKUP($A625,[2]Mssp!$A$5:$BE$1463,AX$4+1,0),0)</f>
        <v>0</v>
      </c>
      <c r="AY625" s="59" t="str">
        <f>IFERROR(VLOOKUP($A625,[2]Mssp!$A$5:$BE$1463,AY$4+2,0),0)</f>
        <v>1100x640</v>
      </c>
      <c r="AZ625" s="59" t="str">
        <f>IFERROR(VLOOKUP($A625,[2]Mssp!$A$5:$BE$1463,AZ$4+2,0),0)</f>
        <v>B2</v>
      </c>
      <c r="BA625" s="141"/>
      <c r="BB625" s="61"/>
      <c r="BC625" s="165"/>
      <c r="BD625" s="166"/>
      <c r="BE625" s="167"/>
      <c r="BF625" s="168"/>
      <c r="BG625" s="167"/>
      <c r="BH625" s="168"/>
      <c r="BI625" s="169"/>
      <c r="BJ625" s="168"/>
      <c r="BK625" s="134"/>
      <c r="BL625" s="168"/>
      <c r="BM625" s="167"/>
      <c r="BN625" s="168"/>
      <c r="BO625" s="62"/>
      <c r="BP625" s="168"/>
      <c r="BQ625" s="168"/>
      <c r="BR625" s="168"/>
      <c r="BS625" s="135"/>
      <c r="BT625" s="168"/>
      <c r="BU625" s="167"/>
      <c r="BV625" s="168"/>
      <c r="BW625" s="167"/>
      <c r="BX625" s="168"/>
      <c r="BY625" s="167"/>
      <c r="BZ625" s="168"/>
      <c r="CA625" s="167"/>
      <c r="CB625" s="168"/>
      <c r="CC625" s="167"/>
      <c r="CD625" s="168"/>
      <c r="CE625" s="62"/>
      <c r="CF625" s="62"/>
      <c r="CG625" s="9"/>
      <c r="CH625" s="9"/>
      <c r="CI625" s="9"/>
      <c r="CJ625" s="9"/>
      <c r="CK625" s="9"/>
      <c r="CL625" s="9"/>
      <c r="CM625" s="9"/>
      <c r="CN625" s="9"/>
      <c r="CO625" s="9"/>
      <c r="CP625" s="9"/>
    </row>
    <row r="626" spans="1:94" ht="45" x14ac:dyDescent="0.25">
      <c r="A626" s="127" t="s">
        <v>2020</v>
      </c>
      <c r="B626" s="51" t="s">
        <v>2021</v>
      </c>
      <c r="C626" s="62"/>
      <c r="D626" s="84">
        <v>1</v>
      </c>
      <c r="E626" s="62" t="s">
        <v>1023</v>
      </c>
      <c r="F626" s="62">
        <v>2</v>
      </c>
      <c r="G626" s="62" t="s">
        <v>184</v>
      </c>
      <c r="H626" s="50">
        <f>VLOOKUP($A626,'[1]ma sp 02'!$A$5:$BD$1101,H$1,0)</f>
        <v>0</v>
      </c>
      <c r="I626" s="50">
        <f>VLOOKUP($A626,'[1]ma sp 02'!$A$5:$BD$1101,I$1,0)</f>
        <v>1.65</v>
      </c>
      <c r="J626" s="50">
        <f>VLOOKUP($A626,'[1]ma sp 02'!$A$5:$BD$1101,J$1,0)</f>
        <v>0</v>
      </c>
      <c r="K626" s="50">
        <f>VLOOKUP($A626,'[1]ma sp 02'!$A$5:$BD$1101,K$1,0)</f>
        <v>0</v>
      </c>
      <c r="L626" s="50">
        <f>VLOOKUP($A626,'[1]ma sp 02'!$A$5:$BD$1101,L$1,0)</f>
        <v>0.51</v>
      </c>
      <c r="M626" s="50">
        <f>VLOOKUP($A626,'[1]ma sp 02'!$A$5:$BD$1101,M$1,0)</f>
        <v>0</v>
      </c>
      <c r="N626" s="50">
        <f>VLOOKUP($A626,'[1]ma sp 02'!$A$5:$BD$1101,N$1,0)</f>
        <v>0</v>
      </c>
      <c r="O626" s="50">
        <f>VLOOKUP($A626,'[1]ma sp 02'!$A$5:$BD$1101,O$1,0)</f>
        <v>0.01</v>
      </c>
      <c r="P626" s="50">
        <f>VLOOKUP($A626,'[1]ma sp 02'!$A$5:$BD$1101,P$1,0)</f>
        <v>0</v>
      </c>
      <c r="Q626" s="50">
        <f>VLOOKUP($A626,'[1]ma sp 02'!$A$5:$BD$1101,Q$1,0)</f>
        <v>0</v>
      </c>
      <c r="R626" s="50">
        <f>VLOOKUP($A626,'[1]ma sp 02'!$A$5:$BD$1101,R$1,0)</f>
        <v>0</v>
      </c>
      <c r="S626" s="50">
        <f>VLOOKUP($A626,'[1]ma sp 02'!$A$5:$BD$1101,S$1,0)</f>
        <v>0</v>
      </c>
      <c r="T626" s="50">
        <f>VLOOKUP($A626,'[1]ma sp 02'!$A$5:$BD$1101,T$1,0)</f>
        <v>0</v>
      </c>
      <c r="U626" s="50">
        <f>VLOOKUP($A626,'[1]ma sp 02'!$A$5:$BD$1101,U$1,0)</f>
        <v>0</v>
      </c>
      <c r="V626" s="50">
        <f>VLOOKUP($A626,'[1]ma sp 02'!$A$5:$BD$1101,V$1,0)</f>
        <v>0</v>
      </c>
      <c r="W626" s="50">
        <f>VLOOKUP($A626,'[1]ma sp 02'!$A$5:$BD$1101,W$1,0)</f>
        <v>0</v>
      </c>
      <c r="X626" s="50"/>
      <c r="Y626" s="62"/>
      <c r="Z626" s="62"/>
      <c r="AA626" s="62"/>
      <c r="AB626" s="62"/>
      <c r="AC626" s="62"/>
      <c r="AD626" s="62"/>
      <c r="AE626" s="62" t="s">
        <v>1797</v>
      </c>
      <c r="AF626" s="62" t="s">
        <v>2022</v>
      </c>
      <c r="AG626" s="53">
        <f>(0.03*0.91+0.006*2.7+0.12*0.925)*0.8</f>
        <v>0.1236</v>
      </c>
      <c r="AH626" s="54">
        <f>(3/0.75/2)*0.79</f>
        <v>1.58</v>
      </c>
      <c r="AI626" s="54">
        <f>(3/0.75/2)*0.79</f>
        <v>1.58</v>
      </c>
      <c r="AJ626" s="62">
        <v>9530</v>
      </c>
      <c r="AK626" s="62">
        <v>9530</v>
      </c>
      <c r="AL626" s="62" t="s">
        <v>2023</v>
      </c>
      <c r="AM626" s="61" t="s">
        <v>1033</v>
      </c>
      <c r="AN626" s="62">
        <v>240</v>
      </c>
      <c r="AO626" s="61" t="s">
        <v>1902</v>
      </c>
      <c r="AP626" s="59" t="str">
        <f>IFERROR(VLOOKUP($A626,[2]Mssp!$A$5:$BE$1463,AP$4+1,0),0)</f>
        <v>F125351-1</v>
      </c>
      <c r="AQ626" s="59" t="str">
        <f>IFERROR(VLOOKUP($A626,[2]Mssp!$A$5:$BE$1463,AQ$4+1,0),0)</f>
        <v>F125351-2</v>
      </c>
      <c r="AR626" s="59">
        <f>IFERROR(VLOOKUP($A626,[2]Mssp!$A$5:$BE$1463,AR$4+1,0),0)</f>
        <v>0</v>
      </c>
      <c r="AS626" s="59">
        <f>IFERROR(VLOOKUP($A626,[2]Mssp!$A$5:$BE$1463,AS$4+1,0),0)</f>
        <v>0</v>
      </c>
      <c r="AT626" s="59">
        <f>IFERROR(VLOOKUP($A626,[2]Mssp!$A$5:$BE$1463,AT$4+1,0),0)</f>
        <v>0</v>
      </c>
      <c r="AU626" s="59">
        <f>IFERROR(VLOOKUP($A626,[2]Mssp!$A$5:$BE$1463,AU$4+1,0),0)</f>
        <v>0</v>
      </c>
      <c r="AV626" s="59">
        <f>IFERROR(VLOOKUP($A626,[2]Mssp!$A$5:$BE$1463,AV$4+1,0),0)</f>
        <v>0</v>
      </c>
      <c r="AW626" s="59">
        <f>IFERROR(VLOOKUP($A626,[2]Mssp!$A$5:$BE$1463,AW$4+1,0),0)</f>
        <v>0</v>
      </c>
      <c r="AX626" s="59">
        <f>IFERROR(VLOOKUP($A626,[2]Mssp!$A$5:$BE$1463,AX$4+1,0),0)</f>
        <v>0</v>
      </c>
      <c r="AY626" s="59" t="str">
        <f>IFERROR(VLOOKUP($A626,[2]Mssp!$A$5:$BE$1463,AY$4+2,0),0)</f>
        <v>870x480</v>
      </c>
      <c r="AZ626" s="59" t="str">
        <f>IFERROR(VLOOKUP($A626,[2]Mssp!$A$5:$BE$1463,AZ$4+2,0),0)</f>
        <v>R2</v>
      </c>
      <c r="BA626" s="141"/>
      <c r="BB626" s="61"/>
      <c r="BC626" s="165"/>
      <c r="BD626" s="166"/>
      <c r="BE626" s="167"/>
      <c r="BF626" s="168"/>
      <c r="BG626" s="167"/>
      <c r="BH626" s="168"/>
      <c r="BI626" s="169"/>
      <c r="BJ626" s="168"/>
      <c r="BK626" s="134"/>
      <c r="BL626" s="168"/>
      <c r="BM626" s="167"/>
      <c r="BN626" s="168"/>
      <c r="BO626" s="62"/>
      <c r="BP626" s="168"/>
      <c r="BQ626" s="168"/>
      <c r="BR626" s="168"/>
      <c r="BS626" s="135"/>
      <c r="BT626" s="168"/>
      <c r="BU626" s="167"/>
      <c r="BV626" s="168"/>
      <c r="BW626" s="167"/>
      <c r="BX626" s="168"/>
      <c r="BY626" s="167"/>
      <c r="BZ626" s="168"/>
      <c r="CA626" s="167"/>
      <c r="CB626" s="168"/>
      <c r="CC626" s="167"/>
      <c r="CD626" s="168"/>
      <c r="CE626" s="62"/>
      <c r="CF626" s="62"/>
      <c r="CG626" s="9"/>
      <c r="CH626" s="9"/>
      <c r="CI626" s="9"/>
      <c r="CJ626" s="9"/>
      <c r="CK626" s="9"/>
      <c r="CL626" s="9"/>
      <c r="CM626" s="9"/>
      <c r="CN626" s="9"/>
      <c r="CO626" s="9"/>
      <c r="CP626" s="9"/>
    </row>
    <row r="627" spans="1:94" x14ac:dyDescent="0.25">
      <c r="A627" s="127" t="s">
        <v>2024</v>
      </c>
      <c r="B627" s="51" t="s">
        <v>2025</v>
      </c>
      <c r="C627" s="62"/>
      <c r="D627" s="84">
        <v>3</v>
      </c>
      <c r="E627" s="62" t="s">
        <v>1985</v>
      </c>
      <c r="F627" s="62">
        <v>1</v>
      </c>
      <c r="G627" s="62" t="s">
        <v>184</v>
      </c>
      <c r="H627" s="50">
        <f>VLOOKUP($A627,'[1]ma sp 02'!$A$5:$BD$1101,H$1,0)</f>
        <v>0</v>
      </c>
      <c r="I627" s="50">
        <f>VLOOKUP($A627,'[1]ma sp 02'!$A$5:$BD$1101,I$1,0)</f>
        <v>0</v>
      </c>
      <c r="J627" s="50">
        <f>VLOOKUP($A627,'[1]ma sp 02'!$A$5:$BD$1101,J$1,0)</f>
        <v>0</v>
      </c>
      <c r="K627" s="50">
        <f>VLOOKUP($A627,'[1]ma sp 02'!$A$5:$BD$1101,K$1,0)</f>
        <v>0</v>
      </c>
      <c r="L627" s="50">
        <f>VLOOKUP($A627,'[1]ma sp 02'!$A$5:$BD$1101,L$1,0)</f>
        <v>0</v>
      </c>
      <c r="M627" s="50">
        <f>VLOOKUP($A627,'[1]ma sp 02'!$A$5:$BD$1101,M$1,0)</f>
        <v>0</v>
      </c>
      <c r="N627" s="50">
        <f>VLOOKUP($A627,'[1]ma sp 02'!$A$5:$BD$1101,N$1,0)</f>
        <v>0</v>
      </c>
      <c r="O627" s="50">
        <f>VLOOKUP($A627,'[1]ma sp 02'!$A$5:$BD$1101,O$1,0)</f>
        <v>0.157</v>
      </c>
      <c r="P627" s="50">
        <f>VLOOKUP($A627,'[1]ma sp 02'!$A$5:$BD$1101,P$1,0)</f>
        <v>0</v>
      </c>
      <c r="Q627" s="50">
        <f>VLOOKUP($A627,'[1]ma sp 02'!$A$5:$BD$1101,Q$1,0)</f>
        <v>0</v>
      </c>
      <c r="R627" s="50">
        <f>VLOOKUP($A627,'[1]ma sp 02'!$A$5:$BD$1101,R$1,0)</f>
        <v>0</v>
      </c>
      <c r="S627" s="50">
        <f>VLOOKUP($A627,'[1]ma sp 02'!$A$5:$BD$1101,S$1,0)</f>
        <v>0</v>
      </c>
      <c r="T627" s="50">
        <f>VLOOKUP($A627,'[1]ma sp 02'!$A$5:$BD$1101,T$1,0)</f>
        <v>0</v>
      </c>
      <c r="U627" s="50">
        <f>VLOOKUP($A627,'[1]ma sp 02'!$A$5:$BD$1101,U$1,0)</f>
        <v>0</v>
      </c>
      <c r="V627" s="50">
        <f>VLOOKUP($A627,'[1]ma sp 02'!$A$5:$BD$1101,V$1,0)</f>
        <v>0</v>
      </c>
      <c r="W627" s="50">
        <f>VLOOKUP($A627,'[1]ma sp 02'!$A$5:$BD$1101,W$1,0)</f>
        <v>0</v>
      </c>
      <c r="X627" s="50"/>
      <c r="Y627" s="62"/>
      <c r="Z627" s="62"/>
      <c r="AA627" s="62"/>
      <c r="AB627" s="62"/>
      <c r="AC627" s="62"/>
      <c r="AD627" s="62"/>
      <c r="AE627" s="62" t="s">
        <v>456</v>
      </c>
      <c r="AF627" s="62" t="s">
        <v>1986</v>
      </c>
      <c r="AG627" s="53">
        <f>(0.02*0.91+0.012*1.4+0.045*0.925)*0.77</f>
        <v>5.9001249999999998E-2</v>
      </c>
      <c r="AH627" s="54">
        <f t="shared" ref="AH627:AI636" si="24">(2.3/0.75/2)*0.76</f>
        <v>1.1653333333333333</v>
      </c>
      <c r="AI627" s="54">
        <f t="shared" si="24"/>
        <v>1.1653333333333333</v>
      </c>
      <c r="AJ627" s="62">
        <v>9530</v>
      </c>
      <c r="AK627" s="62">
        <v>9530</v>
      </c>
      <c r="AL627" s="62" t="s">
        <v>1987</v>
      </c>
      <c r="AM627" s="61" t="s">
        <v>1489</v>
      </c>
      <c r="AN627" s="62">
        <v>165</v>
      </c>
      <c r="AO627" s="61" t="s">
        <v>1902</v>
      </c>
      <c r="AP627" s="59" t="str">
        <f>IFERROR(VLOOKUP($A627,[2]Mssp!$A$5:$BE$1463,AP$4+1,0),0)</f>
        <v>2002252-1</v>
      </c>
      <c r="AQ627" s="59">
        <f>IFERROR(VLOOKUP($A627,[2]Mssp!$A$5:$BE$1463,AQ$4+1,0),0)</f>
        <v>0</v>
      </c>
      <c r="AR627" s="59">
        <f>IFERROR(VLOOKUP($A627,[2]Mssp!$A$5:$BE$1463,AR$4+1,0),0)</f>
        <v>0</v>
      </c>
      <c r="AS627" s="59">
        <f>IFERROR(VLOOKUP($A627,[2]Mssp!$A$5:$BE$1463,AS$4+1,0),0)</f>
        <v>0</v>
      </c>
      <c r="AT627" s="59">
        <f>IFERROR(VLOOKUP($A627,[2]Mssp!$A$5:$BE$1463,AT$4+1,0),0)</f>
        <v>0</v>
      </c>
      <c r="AU627" s="59">
        <f>IFERROR(VLOOKUP($A627,[2]Mssp!$A$5:$BE$1463,AU$4+1,0),0)</f>
        <v>0</v>
      </c>
      <c r="AV627" s="59">
        <f>IFERROR(VLOOKUP($A627,[2]Mssp!$A$5:$BE$1463,AV$4+1,0),0)</f>
        <v>0</v>
      </c>
      <c r="AW627" s="59">
        <f>IFERROR(VLOOKUP($A627,[2]Mssp!$A$5:$BE$1463,AW$4+1,0),0)</f>
        <v>0</v>
      </c>
      <c r="AX627" s="59">
        <f>IFERROR(VLOOKUP($A627,[2]Mssp!$A$5:$BE$1463,AX$4+1,0),0)</f>
        <v>0</v>
      </c>
      <c r="AY627" s="59" t="str">
        <f>IFERROR(VLOOKUP($A627,[2]Mssp!$A$5:$BE$1463,AY$4+2,0),0)</f>
        <v>495x870</v>
      </c>
      <c r="AZ627" s="59" t="str">
        <f>IFERROR(VLOOKUP($A627,[2]Mssp!$A$5:$BE$1463,AZ$4+2,0),0)</f>
        <v>R2</v>
      </c>
      <c r="BA627" s="141"/>
      <c r="BB627" s="61"/>
      <c r="BC627" s="165"/>
      <c r="BD627" s="166"/>
      <c r="BE627" s="167"/>
      <c r="BF627" s="168"/>
      <c r="BG627" s="167"/>
      <c r="BH627" s="168"/>
      <c r="BI627" s="169"/>
      <c r="BJ627" s="168"/>
      <c r="BK627" s="134"/>
      <c r="BL627" s="168"/>
      <c r="BM627" s="167"/>
      <c r="BN627" s="168"/>
      <c r="BO627" s="62"/>
      <c r="BP627" s="168"/>
      <c r="BQ627" s="168"/>
      <c r="BR627" s="168"/>
      <c r="BS627" s="135"/>
      <c r="BT627" s="168"/>
      <c r="BU627" s="167"/>
      <c r="BV627" s="168"/>
      <c r="BW627" s="167"/>
      <c r="BX627" s="168"/>
      <c r="BY627" s="167"/>
      <c r="BZ627" s="168"/>
      <c r="CA627" s="167"/>
      <c r="CB627" s="168"/>
      <c r="CC627" s="167"/>
      <c r="CD627" s="168"/>
      <c r="CE627" s="62"/>
      <c r="CF627" s="62"/>
      <c r="CG627" s="9"/>
      <c r="CH627" s="9"/>
      <c r="CI627" s="9"/>
      <c r="CJ627" s="9"/>
      <c r="CK627" s="9"/>
      <c r="CL627" s="9"/>
      <c r="CM627" s="9"/>
      <c r="CN627" s="9"/>
      <c r="CO627" s="9"/>
      <c r="CP627" s="9"/>
    </row>
    <row r="628" spans="1:94" x14ac:dyDescent="0.25">
      <c r="A628" s="127" t="s">
        <v>2026</v>
      </c>
      <c r="B628" s="51" t="s">
        <v>2027</v>
      </c>
      <c r="C628" s="62"/>
      <c r="D628" s="84">
        <v>3</v>
      </c>
      <c r="E628" s="62" t="s">
        <v>1985</v>
      </c>
      <c r="F628" s="62">
        <v>1</v>
      </c>
      <c r="G628" s="62" t="s">
        <v>184</v>
      </c>
      <c r="H628" s="50">
        <f>VLOOKUP($A628,'[1]ma sp 02'!$A$5:$BD$1101,H$1,0)</f>
        <v>0</v>
      </c>
      <c r="I628" s="50">
        <f>VLOOKUP($A628,'[1]ma sp 02'!$A$5:$BD$1101,I$1,0)</f>
        <v>0</v>
      </c>
      <c r="J628" s="50">
        <f>VLOOKUP($A628,'[1]ma sp 02'!$A$5:$BD$1101,J$1,0)</f>
        <v>0</v>
      </c>
      <c r="K628" s="50">
        <f>VLOOKUP($A628,'[1]ma sp 02'!$A$5:$BD$1101,K$1,0)</f>
        <v>0</v>
      </c>
      <c r="L628" s="50">
        <f>VLOOKUP($A628,'[1]ma sp 02'!$A$5:$BD$1101,L$1,0)</f>
        <v>0</v>
      </c>
      <c r="M628" s="50">
        <f>VLOOKUP($A628,'[1]ma sp 02'!$A$5:$BD$1101,M$1,0)</f>
        <v>0</v>
      </c>
      <c r="N628" s="50">
        <f>VLOOKUP($A628,'[1]ma sp 02'!$A$5:$BD$1101,N$1,0)</f>
        <v>0</v>
      </c>
      <c r="O628" s="50">
        <f>VLOOKUP($A628,'[1]ma sp 02'!$A$5:$BD$1101,O$1,0)</f>
        <v>0.44</v>
      </c>
      <c r="P628" s="50">
        <f>VLOOKUP($A628,'[1]ma sp 02'!$A$5:$BD$1101,P$1,0)</f>
        <v>0</v>
      </c>
      <c r="Q628" s="50">
        <f>VLOOKUP($A628,'[1]ma sp 02'!$A$5:$BD$1101,Q$1,0)</f>
        <v>0</v>
      </c>
      <c r="R628" s="50">
        <f>VLOOKUP($A628,'[1]ma sp 02'!$A$5:$BD$1101,R$1,0)</f>
        <v>0</v>
      </c>
      <c r="S628" s="50">
        <f>VLOOKUP($A628,'[1]ma sp 02'!$A$5:$BD$1101,S$1,0)</f>
        <v>0</v>
      </c>
      <c r="T628" s="50">
        <f>VLOOKUP($A628,'[1]ma sp 02'!$A$5:$BD$1101,T$1,0)</f>
        <v>0</v>
      </c>
      <c r="U628" s="50">
        <f>VLOOKUP($A628,'[1]ma sp 02'!$A$5:$BD$1101,U$1,0)</f>
        <v>0</v>
      </c>
      <c r="V628" s="50">
        <f>VLOOKUP($A628,'[1]ma sp 02'!$A$5:$BD$1101,V$1,0)</f>
        <v>0</v>
      </c>
      <c r="W628" s="50">
        <f>VLOOKUP($A628,'[1]ma sp 02'!$A$5:$BD$1101,W$1,0)</f>
        <v>0</v>
      </c>
      <c r="X628" s="50"/>
      <c r="Y628" s="62"/>
      <c r="Z628" s="62"/>
      <c r="AA628" s="62"/>
      <c r="AB628" s="62"/>
      <c r="AC628" s="62"/>
      <c r="AD628" s="62"/>
      <c r="AE628" s="62" t="s">
        <v>456</v>
      </c>
      <c r="AF628" s="62" t="s">
        <v>1986</v>
      </c>
      <c r="AG628" s="53">
        <f>(0.02*0.91+0.012*1.4+0.045*0.925)*0.77</f>
        <v>5.9001249999999998E-2</v>
      </c>
      <c r="AH628" s="54">
        <f t="shared" si="24"/>
        <v>1.1653333333333333</v>
      </c>
      <c r="AI628" s="54">
        <f t="shared" si="24"/>
        <v>1.1653333333333333</v>
      </c>
      <c r="AJ628" s="62">
        <v>9530</v>
      </c>
      <c r="AK628" s="62">
        <v>9530</v>
      </c>
      <c r="AL628" s="62" t="s">
        <v>1987</v>
      </c>
      <c r="AM628" s="61" t="s">
        <v>1489</v>
      </c>
      <c r="AN628" s="62">
        <v>165</v>
      </c>
      <c r="AO628" s="61" t="s">
        <v>1902</v>
      </c>
      <c r="AP628" s="59" t="str">
        <f>IFERROR(VLOOKUP($A628,[2]Mssp!$A$5:$BE$1463,AP$4+1,0),0)</f>
        <v>2002253-1</v>
      </c>
      <c r="AQ628" s="59">
        <f>IFERROR(VLOOKUP($A628,[2]Mssp!$A$5:$BE$1463,AQ$4+1,0),0)</f>
        <v>0</v>
      </c>
      <c r="AR628" s="59">
        <f>IFERROR(VLOOKUP($A628,[2]Mssp!$A$5:$BE$1463,AR$4+1,0),0)</f>
        <v>0</v>
      </c>
      <c r="AS628" s="59">
        <f>IFERROR(VLOOKUP($A628,[2]Mssp!$A$5:$BE$1463,AS$4+1,0),0)</f>
        <v>0</v>
      </c>
      <c r="AT628" s="59">
        <f>IFERROR(VLOOKUP($A628,[2]Mssp!$A$5:$BE$1463,AT$4+1,0),0)</f>
        <v>0</v>
      </c>
      <c r="AU628" s="59">
        <f>IFERROR(VLOOKUP($A628,[2]Mssp!$A$5:$BE$1463,AU$4+1,0),0)</f>
        <v>0</v>
      </c>
      <c r="AV628" s="59">
        <f>IFERROR(VLOOKUP($A628,[2]Mssp!$A$5:$BE$1463,AV$4+1,0),0)</f>
        <v>0</v>
      </c>
      <c r="AW628" s="59">
        <f>IFERROR(VLOOKUP($A628,[2]Mssp!$A$5:$BE$1463,AW$4+1,0),0)</f>
        <v>0</v>
      </c>
      <c r="AX628" s="59">
        <f>IFERROR(VLOOKUP($A628,[2]Mssp!$A$5:$BE$1463,AX$4+1,0),0)</f>
        <v>0</v>
      </c>
      <c r="AY628" s="59" t="str">
        <f>IFERROR(VLOOKUP($A628,[2]Mssp!$A$5:$BE$1463,AY$4+2,0),0)</f>
        <v>495x870</v>
      </c>
      <c r="AZ628" s="59" t="str">
        <f>IFERROR(VLOOKUP($A628,[2]Mssp!$A$5:$BE$1463,AZ$4+2,0),0)</f>
        <v>R2</v>
      </c>
      <c r="BA628" s="141"/>
      <c r="BB628" s="61"/>
      <c r="BC628" s="165"/>
      <c r="BD628" s="166"/>
      <c r="BE628" s="167"/>
      <c r="BF628" s="168"/>
      <c r="BG628" s="167"/>
      <c r="BH628" s="168"/>
      <c r="BI628" s="169"/>
      <c r="BJ628" s="168"/>
      <c r="BK628" s="134"/>
      <c r="BL628" s="168"/>
      <c r="BM628" s="167"/>
      <c r="BN628" s="168"/>
      <c r="BO628" s="62"/>
      <c r="BP628" s="168"/>
      <c r="BQ628" s="168"/>
      <c r="BR628" s="168"/>
      <c r="BS628" s="135"/>
      <c r="BT628" s="168"/>
      <c r="BU628" s="167"/>
      <c r="BV628" s="168"/>
      <c r="BW628" s="167"/>
      <c r="BX628" s="168"/>
      <c r="BY628" s="167"/>
      <c r="BZ628" s="168"/>
      <c r="CA628" s="167"/>
      <c r="CB628" s="168"/>
      <c r="CC628" s="167"/>
      <c r="CD628" s="168"/>
      <c r="CE628" s="62"/>
      <c r="CF628" s="62"/>
      <c r="CG628" s="9"/>
      <c r="CH628" s="9"/>
      <c r="CI628" s="9"/>
      <c r="CJ628" s="9"/>
      <c r="CK628" s="9"/>
      <c r="CL628" s="9"/>
      <c r="CM628" s="9"/>
      <c r="CN628" s="9"/>
      <c r="CO628" s="9"/>
      <c r="CP628" s="9"/>
    </row>
    <row r="629" spans="1:94" x14ac:dyDescent="0.25">
      <c r="A629" s="127" t="s">
        <v>2028</v>
      </c>
      <c r="B629" s="51" t="s">
        <v>2029</v>
      </c>
      <c r="C629" s="62"/>
      <c r="D629" s="84">
        <v>3</v>
      </c>
      <c r="E629" s="62" t="s">
        <v>1985</v>
      </c>
      <c r="F629" s="62">
        <v>1</v>
      </c>
      <c r="G629" s="62" t="s">
        <v>184</v>
      </c>
      <c r="H629" s="50">
        <f>VLOOKUP($A629,'[1]ma sp 02'!$A$5:$BD$1101,H$1,0)</f>
        <v>0</v>
      </c>
      <c r="I629" s="50">
        <f>VLOOKUP($A629,'[1]ma sp 02'!$A$5:$BD$1101,I$1,0)</f>
        <v>0</v>
      </c>
      <c r="J629" s="50">
        <f>VLOOKUP($A629,'[1]ma sp 02'!$A$5:$BD$1101,J$1,0)</f>
        <v>1.44</v>
      </c>
      <c r="K629" s="50">
        <f>VLOOKUP($A629,'[1]ma sp 02'!$A$5:$BD$1101,K$1,0)</f>
        <v>0</v>
      </c>
      <c r="L629" s="50">
        <f>VLOOKUP($A629,'[1]ma sp 02'!$A$5:$BD$1101,L$1,0)</f>
        <v>3.6</v>
      </c>
      <c r="M629" s="50">
        <f>VLOOKUP($A629,'[1]ma sp 02'!$A$5:$BD$1101,M$1,0)</f>
        <v>0</v>
      </c>
      <c r="N629" s="50">
        <f>VLOOKUP($A629,'[1]ma sp 02'!$A$5:$BD$1101,N$1,0)</f>
        <v>0</v>
      </c>
      <c r="O629" s="50">
        <f>VLOOKUP($A629,'[1]ma sp 02'!$A$5:$BD$1101,O$1,0)</f>
        <v>0.1</v>
      </c>
      <c r="P629" s="50">
        <f>VLOOKUP($A629,'[1]ma sp 02'!$A$5:$BD$1101,P$1,0)</f>
        <v>0</v>
      </c>
      <c r="Q629" s="50">
        <f>VLOOKUP($A629,'[1]ma sp 02'!$A$5:$BD$1101,Q$1,0)</f>
        <v>0</v>
      </c>
      <c r="R629" s="50">
        <f>VLOOKUP($A629,'[1]ma sp 02'!$A$5:$BD$1101,R$1,0)</f>
        <v>0</v>
      </c>
      <c r="S629" s="50">
        <f>VLOOKUP($A629,'[1]ma sp 02'!$A$5:$BD$1101,S$1,0)</f>
        <v>0</v>
      </c>
      <c r="T629" s="50">
        <f>VLOOKUP($A629,'[1]ma sp 02'!$A$5:$BD$1101,T$1,0)</f>
        <v>0</v>
      </c>
      <c r="U629" s="50">
        <f>VLOOKUP($A629,'[1]ma sp 02'!$A$5:$BD$1101,U$1,0)</f>
        <v>0</v>
      </c>
      <c r="V629" s="50">
        <f>VLOOKUP($A629,'[1]ma sp 02'!$A$5:$BD$1101,V$1,0)</f>
        <v>0</v>
      </c>
      <c r="W629" s="50">
        <f>VLOOKUP($A629,'[1]ma sp 02'!$A$5:$BD$1101,W$1,0)</f>
        <v>0</v>
      </c>
      <c r="X629" s="50"/>
      <c r="Y629" s="62"/>
      <c r="Z629" s="62"/>
      <c r="AA629" s="62"/>
      <c r="AB629" s="62"/>
      <c r="AC629" s="62"/>
      <c r="AD629" s="62"/>
      <c r="AE629" s="62" t="s">
        <v>456</v>
      </c>
      <c r="AF629" s="62" t="s">
        <v>1986</v>
      </c>
      <c r="AG629" s="53">
        <f>(0.02*0.91+0.012*1.4+0.045*0.925)*0.77</f>
        <v>5.9001249999999998E-2</v>
      </c>
      <c r="AH629" s="54">
        <f t="shared" si="24"/>
        <v>1.1653333333333333</v>
      </c>
      <c r="AI629" s="54">
        <f t="shared" si="24"/>
        <v>1.1653333333333333</v>
      </c>
      <c r="AJ629" s="62">
        <v>9530</v>
      </c>
      <c r="AK629" s="62">
        <v>9530</v>
      </c>
      <c r="AL629" s="62" t="s">
        <v>1987</v>
      </c>
      <c r="AM629" s="61" t="s">
        <v>1489</v>
      </c>
      <c r="AN629" s="62">
        <v>165</v>
      </c>
      <c r="AO629" s="61" t="s">
        <v>1902</v>
      </c>
      <c r="AP629" s="59" t="str">
        <f>IFERROR(VLOOKUP($A629,[2]Mssp!$A$5:$BE$1463,AP$4+1,0),0)</f>
        <v>2002254-1</v>
      </c>
      <c r="AQ629" s="59">
        <f>IFERROR(VLOOKUP($A629,[2]Mssp!$A$5:$BE$1463,AQ$4+1,0),0)</f>
        <v>0</v>
      </c>
      <c r="AR629" s="59">
        <f>IFERROR(VLOOKUP($A629,[2]Mssp!$A$5:$BE$1463,AR$4+1,0),0)</f>
        <v>0</v>
      </c>
      <c r="AS629" s="59">
        <f>IFERROR(VLOOKUP($A629,[2]Mssp!$A$5:$BE$1463,AS$4+1,0),0)</f>
        <v>0</v>
      </c>
      <c r="AT629" s="59">
        <f>IFERROR(VLOOKUP($A629,[2]Mssp!$A$5:$BE$1463,AT$4+1,0),0)</f>
        <v>0</v>
      </c>
      <c r="AU629" s="59">
        <f>IFERROR(VLOOKUP($A629,[2]Mssp!$A$5:$BE$1463,AU$4+1,0),0)</f>
        <v>0</v>
      </c>
      <c r="AV629" s="59">
        <f>IFERROR(VLOOKUP($A629,[2]Mssp!$A$5:$BE$1463,AV$4+1,0),0)</f>
        <v>0</v>
      </c>
      <c r="AW629" s="59">
        <f>IFERROR(VLOOKUP($A629,[2]Mssp!$A$5:$BE$1463,AW$4+1,0),0)</f>
        <v>0</v>
      </c>
      <c r="AX629" s="59">
        <f>IFERROR(VLOOKUP($A629,[2]Mssp!$A$5:$BE$1463,AX$4+1,0),0)</f>
        <v>0</v>
      </c>
      <c r="AY629" s="59" t="str">
        <f>IFERROR(VLOOKUP($A629,[2]Mssp!$A$5:$BE$1463,AY$4+2,0),0)</f>
        <v>495x870</v>
      </c>
      <c r="AZ629" s="59" t="str">
        <f>IFERROR(VLOOKUP($A629,[2]Mssp!$A$5:$BE$1463,AZ$4+2,0),0)</f>
        <v>R2</v>
      </c>
      <c r="BA629" s="141"/>
      <c r="BB629" s="61"/>
      <c r="BC629" s="165"/>
      <c r="BD629" s="166"/>
      <c r="BE629" s="167"/>
      <c r="BF629" s="168"/>
      <c r="BG629" s="167"/>
      <c r="BH629" s="168"/>
      <c r="BI629" s="169"/>
      <c r="BJ629" s="168"/>
      <c r="BK629" s="134"/>
      <c r="BL629" s="168"/>
      <c r="BM629" s="167"/>
      <c r="BN629" s="168"/>
      <c r="BO629" s="62"/>
      <c r="BP629" s="168"/>
      <c r="BQ629" s="168"/>
      <c r="BR629" s="168"/>
      <c r="BS629" s="135"/>
      <c r="BT629" s="168"/>
      <c r="BU629" s="167"/>
      <c r="BV629" s="168"/>
      <c r="BW629" s="167"/>
      <c r="BX629" s="168"/>
      <c r="BY629" s="167"/>
      <c r="BZ629" s="168"/>
      <c r="CA629" s="167"/>
      <c r="CB629" s="168"/>
      <c r="CC629" s="167"/>
      <c r="CD629" s="168"/>
      <c r="CE629" s="62"/>
      <c r="CF629" s="62"/>
      <c r="CG629" s="9"/>
      <c r="CH629" s="9"/>
      <c r="CI629" s="9"/>
      <c r="CJ629" s="9"/>
      <c r="CK629" s="9"/>
      <c r="CL629" s="9"/>
      <c r="CM629" s="9"/>
      <c r="CN629" s="9"/>
      <c r="CO629" s="9"/>
      <c r="CP629" s="9"/>
    </row>
    <row r="630" spans="1:94" x14ac:dyDescent="0.25">
      <c r="A630" s="127" t="s">
        <v>2030</v>
      </c>
      <c r="B630" s="51" t="s">
        <v>2031</v>
      </c>
      <c r="C630" s="62"/>
      <c r="D630" s="84">
        <v>3</v>
      </c>
      <c r="E630" s="62" t="s">
        <v>1985</v>
      </c>
      <c r="F630" s="62">
        <v>1</v>
      </c>
      <c r="G630" s="62" t="s">
        <v>184</v>
      </c>
      <c r="H630" s="50">
        <f>VLOOKUP($A630,'[1]ma sp 02'!$A$5:$BD$1101,H$1,0)</f>
        <v>0</v>
      </c>
      <c r="I630" s="50">
        <f>VLOOKUP($A630,'[1]ma sp 02'!$A$5:$BD$1101,I$1,0)</f>
        <v>0</v>
      </c>
      <c r="J630" s="50">
        <f>VLOOKUP($A630,'[1]ma sp 02'!$A$5:$BD$1101,J$1,0)</f>
        <v>1.57</v>
      </c>
      <c r="K630" s="50">
        <f>VLOOKUP($A630,'[1]ma sp 02'!$A$5:$BD$1101,K$1,0)</f>
        <v>0</v>
      </c>
      <c r="L630" s="50">
        <f>VLOOKUP($A630,'[1]ma sp 02'!$A$5:$BD$1101,L$1,0)</f>
        <v>1.57</v>
      </c>
      <c r="M630" s="50">
        <f>VLOOKUP($A630,'[1]ma sp 02'!$A$5:$BD$1101,M$1,0)</f>
        <v>0</v>
      </c>
      <c r="N630" s="50">
        <f>VLOOKUP($A630,'[1]ma sp 02'!$A$5:$BD$1101,N$1,0)</f>
        <v>0</v>
      </c>
      <c r="O630" s="50">
        <f>VLOOKUP($A630,'[1]ma sp 02'!$A$5:$BD$1101,O$1,0)</f>
        <v>0.39</v>
      </c>
      <c r="P630" s="50">
        <f>VLOOKUP($A630,'[1]ma sp 02'!$A$5:$BD$1101,P$1,0)</f>
        <v>0</v>
      </c>
      <c r="Q630" s="50">
        <f>VLOOKUP($A630,'[1]ma sp 02'!$A$5:$BD$1101,Q$1,0)</f>
        <v>0</v>
      </c>
      <c r="R630" s="50">
        <f>VLOOKUP($A630,'[1]ma sp 02'!$A$5:$BD$1101,R$1,0)</f>
        <v>0</v>
      </c>
      <c r="S630" s="50">
        <f>VLOOKUP($A630,'[1]ma sp 02'!$A$5:$BD$1101,S$1,0)</f>
        <v>0</v>
      </c>
      <c r="T630" s="50">
        <f>VLOOKUP($A630,'[1]ma sp 02'!$A$5:$BD$1101,T$1,0)</f>
        <v>0</v>
      </c>
      <c r="U630" s="50">
        <f>VLOOKUP($A630,'[1]ma sp 02'!$A$5:$BD$1101,U$1,0)</f>
        <v>0</v>
      </c>
      <c r="V630" s="50">
        <f>VLOOKUP($A630,'[1]ma sp 02'!$A$5:$BD$1101,V$1,0)</f>
        <v>0</v>
      </c>
      <c r="W630" s="50">
        <f>VLOOKUP($A630,'[1]ma sp 02'!$A$5:$BD$1101,W$1,0)</f>
        <v>0</v>
      </c>
      <c r="X630" s="50"/>
      <c r="Y630" s="62"/>
      <c r="Z630" s="62"/>
      <c r="AA630" s="62"/>
      <c r="AB630" s="62"/>
      <c r="AC630" s="62"/>
      <c r="AD630" s="62"/>
      <c r="AE630" s="62" t="s">
        <v>456</v>
      </c>
      <c r="AF630" s="62" t="s">
        <v>1986</v>
      </c>
      <c r="AG630" s="53">
        <f t="shared" ref="AG630:AG636" si="25">(0.02*0.91+0.012*1.4+0.045*0.925)*0.77</f>
        <v>5.9001249999999998E-2</v>
      </c>
      <c r="AH630" s="54">
        <f t="shared" si="24"/>
        <v>1.1653333333333333</v>
      </c>
      <c r="AI630" s="54">
        <f t="shared" si="24"/>
        <v>1.1653333333333333</v>
      </c>
      <c r="AJ630" s="62">
        <v>9530</v>
      </c>
      <c r="AK630" s="62">
        <v>9530</v>
      </c>
      <c r="AL630" s="62" t="s">
        <v>1987</v>
      </c>
      <c r="AM630" s="61" t="s">
        <v>1489</v>
      </c>
      <c r="AN630" s="62">
        <v>175</v>
      </c>
      <c r="AO630" s="61" t="s">
        <v>1902</v>
      </c>
      <c r="AP630" s="59" t="str">
        <f>IFERROR(VLOOKUP($A630,[2]Mssp!$A$5:$BE$1463,AP$4+1,0),0)</f>
        <v>2002255-1</v>
      </c>
      <c r="AQ630" s="59">
        <f>IFERROR(VLOOKUP($A630,[2]Mssp!$A$5:$BE$1463,AQ$4+1,0),0)</f>
        <v>0</v>
      </c>
      <c r="AR630" s="59">
        <f>IFERROR(VLOOKUP($A630,[2]Mssp!$A$5:$BE$1463,AR$4+1,0),0)</f>
        <v>0</v>
      </c>
      <c r="AS630" s="59">
        <f>IFERROR(VLOOKUP($A630,[2]Mssp!$A$5:$BE$1463,AS$4+1,0),0)</f>
        <v>0</v>
      </c>
      <c r="AT630" s="59">
        <f>IFERROR(VLOOKUP($A630,[2]Mssp!$A$5:$BE$1463,AT$4+1,0),0)</f>
        <v>0</v>
      </c>
      <c r="AU630" s="59">
        <f>IFERROR(VLOOKUP($A630,[2]Mssp!$A$5:$BE$1463,AU$4+1,0),0)</f>
        <v>0</v>
      </c>
      <c r="AV630" s="59">
        <f>IFERROR(VLOOKUP($A630,[2]Mssp!$A$5:$BE$1463,AV$4+1,0),0)</f>
        <v>0</v>
      </c>
      <c r="AW630" s="59">
        <f>IFERROR(VLOOKUP($A630,[2]Mssp!$A$5:$BE$1463,AW$4+1,0),0)</f>
        <v>0</v>
      </c>
      <c r="AX630" s="59">
        <f>IFERROR(VLOOKUP($A630,[2]Mssp!$A$5:$BE$1463,AX$4+1,0),0)</f>
        <v>0</v>
      </c>
      <c r="AY630" s="59" t="str">
        <f>IFERROR(VLOOKUP($A630,[2]Mssp!$A$5:$BE$1463,AY$4+2,0),0)</f>
        <v>525x870</v>
      </c>
      <c r="AZ630" s="59" t="str">
        <f>IFERROR(VLOOKUP($A630,[2]Mssp!$A$5:$BE$1463,AZ$4+2,0),0)</f>
        <v>R2</v>
      </c>
      <c r="BA630" s="141"/>
      <c r="BB630" s="61"/>
      <c r="BC630" s="165"/>
      <c r="BD630" s="166"/>
      <c r="BE630" s="167"/>
      <c r="BF630" s="168"/>
      <c r="BG630" s="167"/>
      <c r="BH630" s="168"/>
      <c r="BI630" s="169"/>
      <c r="BJ630" s="168"/>
      <c r="BK630" s="134"/>
      <c r="BL630" s="168"/>
      <c r="BM630" s="167"/>
      <c r="BN630" s="168"/>
      <c r="BO630" s="62"/>
      <c r="BP630" s="168"/>
      <c r="BQ630" s="168"/>
      <c r="BR630" s="168"/>
      <c r="BS630" s="135"/>
      <c r="BT630" s="168"/>
      <c r="BU630" s="167"/>
      <c r="BV630" s="168"/>
      <c r="BW630" s="167"/>
      <c r="BX630" s="168"/>
      <c r="BY630" s="167"/>
      <c r="BZ630" s="168"/>
      <c r="CA630" s="167"/>
      <c r="CB630" s="168"/>
      <c r="CC630" s="167"/>
      <c r="CD630" s="168"/>
      <c r="CE630" s="62"/>
      <c r="CF630" s="62"/>
      <c r="CG630" s="9"/>
      <c r="CH630" s="9"/>
      <c r="CI630" s="9"/>
      <c r="CJ630" s="9"/>
      <c r="CK630" s="9"/>
      <c r="CL630" s="9"/>
      <c r="CM630" s="9"/>
      <c r="CN630" s="9"/>
      <c r="CO630" s="9"/>
      <c r="CP630" s="9"/>
    </row>
    <row r="631" spans="1:94" x14ac:dyDescent="0.25">
      <c r="A631" s="127" t="s">
        <v>2032</v>
      </c>
      <c r="B631" s="51" t="s">
        <v>2033</v>
      </c>
      <c r="C631" s="62"/>
      <c r="D631" s="84">
        <v>3</v>
      </c>
      <c r="E631" s="62" t="s">
        <v>1985</v>
      </c>
      <c r="F631" s="62">
        <v>1</v>
      </c>
      <c r="G631" s="62" t="s">
        <v>184</v>
      </c>
      <c r="H631" s="50">
        <f>VLOOKUP($A631,'[1]ma sp 02'!$A$5:$BD$1101,H$1,0)</f>
        <v>0</v>
      </c>
      <c r="I631" s="50">
        <f>VLOOKUP($A631,'[1]ma sp 02'!$A$5:$BD$1101,I$1,0)</f>
        <v>0</v>
      </c>
      <c r="J631" s="50">
        <f>VLOOKUP($A631,'[1]ma sp 02'!$A$5:$BD$1101,J$1,0)</f>
        <v>0</v>
      </c>
      <c r="K631" s="50">
        <f>VLOOKUP($A631,'[1]ma sp 02'!$A$5:$BD$1101,K$1,0)</f>
        <v>0</v>
      </c>
      <c r="L631" s="50">
        <f>VLOOKUP($A631,'[1]ma sp 02'!$A$5:$BD$1101,L$1,0)</f>
        <v>0</v>
      </c>
      <c r="M631" s="50">
        <f>VLOOKUP($A631,'[1]ma sp 02'!$A$5:$BD$1101,M$1,0)</f>
        <v>0</v>
      </c>
      <c r="N631" s="50">
        <f>VLOOKUP($A631,'[1]ma sp 02'!$A$5:$BD$1101,N$1,0)</f>
        <v>0</v>
      </c>
      <c r="O631" s="50">
        <f>VLOOKUP($A631,'[1]ma sp 02'!$A$5:$BD$1101,O$1,0)</f>
        <v>1.1299999999999999</v>
      </c>
      <c r="P631" s="50">
        <f>VLOOKUP($A631,'[1]ma sp 02'!$A$5:$BD$1101,P$1,0)</f>
        <v>0</v>
      </c>
      <c r="Q631" s="50">
        <f>VLOOKUP($A631,'[1]ma sp 02'!$A$5:$BD$1101,Q$1,0)</f>
        <v>0</v>
      </c>
      <c r="R631" s="50">
        <f>VLOOKUP($A631,'[1]ma sp 02'!$A$5:$BD$1101,R$1,0)</f>
        <v>0</v>
      </c>
      <c r="S631" s="50">
        <f>VLOOKUP($A631,'[1]ma sp 02'!$A$5:$BD$1101,S$1,0)</f>
        <v>0</v>
      </c>
      <c r="T631" s="50">
        <f>VLOOKUP($A631,'[1]ma sp 02'!$A$5:$BD$1101,T$1,0)</f>
        <v>0</v>
      </c>
      <c r="U631" s="50">
        <f>VLOOKUP($A631,'[1]ma sp 02'!$A$5:$BD$1101,U$1,0)</f>
        <v>0</v>
      </c>
      <c r="V631" s="50">
        <f>VLOOKUP($A631,'[1]ma sp 02'!$A$5:$BD$1101,V$1,0)</f>
        <v>0</v>
      </c>
      <c r="W631" s="50">
        <f>VLOOKUP($A631,'[1]ma sp 02'!$A$5:$BD$1101,W$1,0)</f>
        <v>0</v>
      </c>
      <c r="X631" s="50"/>
      <c r="Y631" s="62"/>
      <c r="Z631" s="62"/>
      <c r="AA631" s="62"/>
      <c r="AB631" s="62"/>
      <c r="AC631" s="62"/>
      <c r="AD631" s="62"/>
      <c r="AE631" s="62" t="s">
        <v>456</v>
      </c>
      <c r="AF631" s="62" t="s">
        <v>1986</v>
      </c>
      <c r="AG631" s="53">
        <f t="shared" si="25"/>
        <v>5.9001249999999998E-2</v>
      </c>
      <c r="AH631" s="54">
        <f t="shared" si="24"/>
        <v>1.1653333333333333</v>
      </c>
      <c r="AI631" s="54">
        <f t="shared" si="24"/>
        <v>1.1653333333333333</v>
      </c>
      <c r="AJ631" s="62">
        <v>9530</v>
      </c>
      <c r="AK631" s="62">
        <v>9530</v>
      </c>
      <c r="AL631" s="62" t="s">
        <v>1987</v>
      </c>
      <c r="AM631" s="61" t="s">
        <v>1489</v>
      </c>
      <c r="AN631" s="62">
        <v>175</v>
      </c>
      <c r="AO631" s="61" t="s">
        <v>1902</v>
      </c>
      <c r="AP631" s="59" t="str">
        <f>IFERROR(VLOOKUP($A631,[2]Mssp!$A$5:$BE$1463,AP$4+1,0),0)</f>
        <v>2002256-1</v>
      </c>
      <c r="AQ631" s="59">
        <f>IFERROR(VLOOKUP($A631,[2]Mssp!$A$5:$BE$1463,AQ$4+1,0),0)</f>
        <v>0</v>
      </c>
      <c r="AR631" s="59">
        <f>IFERROR(VLOOKUP($A631,[2]Mssp!$A$5:$BE$1463,AR$4+1,0),0)</f>
        <v>0</v>
      </c>
      <c r="AS631" s="59">
        <f>IFERROR(VLOOKUP($A631,[2]Mssp!$A$5:$BE$1463,AS$4+1,0),0)</f>
        <v>0</v>
      </c>
      <c r="AT631" s="59">
        <f>IFERROR(VLOOKUP($A631,[2]Mssp!$A$5:$BE$1463,AT$4+1,0),0)</f>
        <v>0</v>
      </c>
      <c r="AU631" s="59">
        <f>IFERROR(VLOOKUP($A631,[2]Mssp!$A$5:$BE$1463,AU$4+1,0),0)</f>
        <v>0</v>
      </c>
      <c r="AV631" s="59">
        <f>IFERROR(VLOOKUP($A631,[2]Mssp!$A$5:$BE$1463,AV$4+1,0),0)</f>
        <v>0</v>
      </c>
      <c r="AW631" s="59">
        <f>IFERROR(VLOOKUP($A631,[2]Mssp!$A$5:$BE$1463,AW$4+1,0),0)</f>
        <v>0</v>
      </c>
      <c r="AX631" s="59">
        <f>IFERROR(VLOOKUP($A631,[2]Mssp!$A$5:$BE$1463,AX$4+1,0),0)</f>
        <v>0</v>
      </c>
      <c r="AY631" s="59" t="str">
        <f>IFERROR(VLOOKUP($A631,[2]Mssp!$A$5:$BE$1463,AY$4+2,0),0)</f>
        <v>525x870</v>
      </c>
      <c r="AZ631" s="59" t="str">
        <f>IFERROR(VLOOKUP($A631,[2]Mssp!$A$5:$BE$1463,AZ$4+2,0),0)</f>
        <v>R2</v>
      </c>
      <c r="BA631" s="141"/>
      <c r="BB631" s="61"/>
      <c r="BC631" s="165"/>
      <c r="BD631" s="166"/>
      <c r="BE631" s="167"/>
      <c r="BF631" s="168"/>
      <c r="BG631" s="167"/>
      <c r="BH631" s="168"/>
      <c r="BI631" s="169"/>
      <c r="BJ631" s="168"/>
      <c r="BK631" s="134"/>
      <c r="BL631" s="168"/>
      <c r="BM631" s="167"/>
      <c r="BN631" s="168"/>
      <c r="BO631" s="62"/>
      <c r="BP631" s="168"/>
      <c r="BQ631" s="168"/>
      <c r="BR631" s="168"/>
      <c r="BS631" s="135"/>
      <c r="BT631" s="168"/>
      <c r="BU631" s="167"/>
      <c r="BV631" s="168"/>
      <c r="BW631" s="167"/>
      <c r="BX631" s="168"/>
      <c r="BY631" s="167"/>
      <c r="BZ631" s="168"/>
      <c r="CA631" s="167"/>
      <c r="CB631" s="168"/>
      <c r="CC631" s="167"/>
      <c r="CD631" s="168"/>
      <c r="CE631" s="62"/>
      <c r="CF631" s="62"/>
      <c r="CG631" s="9"/>
      <c r="CH631" s="9"/>
      <c r="CI631" s="9"/>
      <c r="CJ631" s="9"/>
      <c r="CK631" s="9"/>
      <c r="CL631" s="9"/>
      <c r="CM631" s="9"/>
      <c r="CN631" s="9"/>
      <c r="CO631" s="9"/>
      <c r="CP631" s="9"/>
    </row>
    <row r="632" spans="1:94" x14ac:dyDescent="0.25">
      <c r="A632" s="127" t="s">
        <v>2034</v>
      </c>
      <c r="B632" s="51" t="s">
        <v>2035</v>
      </c>
      <c r="C632" s="62"/>
      <c r="D632" s="84">
        <v>3</v>
      </c>
      <c r="E632" s="62" t="s">
        <v>1985</v>
      </c>
      <c r="F632" s="62">
        <v>1</v>
      </c>
      <c r="G632" s="62" t="s">
        <v>184</v>
      </c>
      <c r="H632" s="50">
        <f>VLOOKUP($A632,'[1]ma sp 02'!$A$5:$BD$1101,H$1,0)</f>
        <v>0</v>
      </c>
      <c r="I632" s="50">
        <f>VLOOKUP($A632,'[1]ma sp 02'!$A$5:$BD$1101,I$1,0)</f>
        <v>0</v>
      </c>
      <c r="J632" s="50">
        <f>VLOOKUP($A632,'[1]ma sp 02'!$A$5:$BD$1101,J$1,0)</f>
        <v>0</v>
      </c>
      <c r="K632" s="50">
        <f>VLOOKUP($A632,'[1]ma sp 02'!$A$5:$BD$1101,K$1,0)</f>
        <v>0</v>
      </c>
      <c r="L632" s="50">
        <f>VLOOKUP($A632,'[1]ma sp 02'!$A$5:$BD$1101,L$1,0)</f>
        <v>0</v>
      </c>
      <c r="M632" s="50">
        <f>VLOOKUP($A632,'[1]ma sp 02'!$A$5:$BD$1101,M$1,0)</f>
        <v>0</v>
      </c>
      <c r="N632" s="50">
        <f>VLOOKUP($A632,'[1]ma sp 02'!$A$5:$BD$1101,N$1,0)</f>
        <v>0</v>
      </c>
      <c r="O632" s="50">
        <f>VLOOKUP($A632,'[1]ma sp 02'!$A$5:$BD$1101,O$1,0)</f>
        <v>0.38</v>
      </c>
      <c r="P632" s="50">
        <f>VLOOKUP($A632,'[1]ma sp 02'!$A$5:$BD$1101,P$1,0)</f>
        <v>0</v>
      </c>
      <c r="Q632" s="50">
        <f>VLOOKUP($A632,'[1]ma sp 02'!$A$5:$BD$1101,Q$1,0)</f>
        <v>0</v>
      </c>
      <c r="R632" s="50">
        <f>VLOOKUP($A632,'[1]ma sp 02'!$A$5:$BD$1101,R$1,0)</f>
        <v>0</v>
      </c>
      <c r="S632" s="50">
        <f>VLOOKUP($A632,'[1]ma sp 02'!$A$5:$BD$1101,S$1,0)</f>
        <v>0</v>
      </c>
      <c r="T632" s="50">
        <f>VLOOKUP($A632,'[1]ma sp 02'!$A$5:$BD$1101,T$1,0)</f>
        <v>0</v>
      </c>
      <c r="U632" s="50">
        <f>VLOOKUP($A632,'[1]ma sp 02'!$A$5:$BD$1101,U$1,0)</f>
        <v>0</v>
      </c>
      <c r="V632" s="50">
        <f>VLOOKUP($A632,'[1]ma sp 02'!$A$5:$BD$1101,V$1,0)</f>
        <v>0</v>
      </c>
      <c r="W632" s="50">
        <f>VLOOKUP($A632,'[1]ma sp 02'!$A$5:$BD$1101,W$1,0)</f>
        <v>0</v>
      </c>
      <c r="X632" s="50"/>
      <c r="Y632" s="62"/>
      <c r="Z632" s="62"/>
      <c r="AA632" s="62"/>
      <c r="AB632" s="62"/>
      <c r="AC632" s="62"/>
      <c r="AD632" s="62"/>
      <c r="AE632" s="62" t="s">
        <v>456</v>
      </c>
      <c r="AF632" s="62" t="s">
        <v>1986</v>
      </c>
      <c r="AG632" s="53">
        <f t="shared" si="25"/>
        <v>5.9001249999999998E-2</v>
      </c>
      <c r="AH632" s="54">
        <f t="shared" si="24"/>
        <v>1.1653333333333333</v>
      </c>
      <c r="AI632" s="54">
        <f t="shared" si="24"/>
        <v>1.1653333333333333</v>
      </c>
      <c r="AJ632" s="62">
        <v>9530</v>
      </c>
      <c r="AK632" s="62">
        <v>9530</v>
      </c>
      <c r="AL632" s="62" t="s">
        <v>1987</v>
      </c>
      <c r="AM632" s="61" t="s">
        <v>1489</v>
      </c>
      <c r="AN632" s="62">
        <v>175</v>
      </c>
      <c r="AO632" s="61" t="s">
        <v>1902</v>
      </c>
      <c r="AP632" s="59" t="str">
        <f>IFERROR(VLOOKUP($A632,[2]Mssp!$A$5:$BE$1463,AP$4+1,0),0)</f>
        <v>2002257-1</v>
      </c>
      <c r="AQ632" s="59">
        <f>IFERROR(VLOOKUP($A632,[2]Mssp!$A$5:$BE$1463,AQ$4+1,0),0)</f>
        <v>0</v>
      </c>
      <c r="AR632" s="59">
        <f>IFERROR(VLOOKUP($A632,[2]Mssp!$A$5:$BE$1463,AR$4+1,0),0)</f>
        <v>0</v>
      </c>
      <c r="AS632" s="59">
        <f>IFERROR(VLOOKUP($A632,[2]Mssp!$A$5:$BE$1463,AS$4+1,0),0)</f>
        <v>0</v>
      </c>
      <c r="AT632" s="59">
        <f>IFERROR(VLOOKUP($A632,[2]Mssp!$A$5:$BE$1463,AT$4+1,0),0)</f>
        <v>0</v>
      </c>
      <c r="AU632" s="59">
        <f>IFERROR(VLOOKUP($A632,[2]Mssp!$A$5:$BE$1463,AU$4+1,0),0)</f>
        <v>0</v>
      </c>
      <c r="AV632" s="59">
        <f>IFERROR(VLOOKUP($A632,[2]Mssp!$A$5:$BE$1463,AV$4+1,0),0)</f>
        <v>0</v>
      </c>
      <c r="AW632" s="59">
        <f>IFERROR(VLOOKUP($A632,[2]Mssp!$A$5:$BE$1463,AW$4+1,0),0)</f>
        <v>0</v>
      </c>
      <c r="AX632" s="59">
        <f>IFERROR(VLOOKUP($A632,[2]Mssp!$A$5:$BE$1463,AX$4+1,0),0)</f>
        <v>0</v>
      </c>
      <c r="AY632" s="59" t="str">
        <f>IFERROR(VLOOKUP($A632,[2]Mssp!$A$5:$BE$1463,AY$4+2,0),0)</f>
        <v>525x870</v>
      </c>
      <c r="AZ632" s="59" t="str">
        <f>IFERROR(VLOOKUP($A632,[2]Mssp!$A$5:$BE$1463,AZ$4+2,0),0)</f>
        <v>R2</v>
      </c>
      <c r="BA632" s="141"/>
      <c r="BB632" s="61"/>
      <c r="BC632" s="165"/>
      <c r="BD632" s="166"/>
      <c r="BE632" s="167"/>
      <c r="BF632" s="168"/>
      <c r="BG632" s="167"/>
      <c r="BH632" s="168"/>
      <c r="BI632" s="169"/>
      <c r="BJ632" s="168"/>
      <c r="BK632" s="134"/>
      <c r="BL632" s="168"/>
      <c r="BM632" s="167"/>
      <c r="BN632" s="168"/>
      <c r="BO632" s="62"/>
      <c r="BP632" s="168"/>
      <c r="BQ632" s="168"/>
      <c r="BR632" s="168"/>
      <c r="BS632" s="135"/>
      <c r="BT632" s="168"/>
      <c r="BU632" s="167"/>
      <c r="BV632" s="168"/>
      <c r="BW632" s="167"/>
      <c r="BX632" s="168"/>
      <c r="BY632" s="167"/>
      <c r="BZ632" s="168"/>
      <c r="CA632" s="167"/>
      <c r="CB632" s="168"/>
      <c r="CC632" s="167"/>
      <c r="CD632" s="168"/>
      <c r="CE632" s="62"/>
      <c r="CF632" s="62"/>
      <c r="CG632" s="9"/>
      <c r="CH632" s="9"/>
      <c r="CI632" s="9"/>
      <c r="CJ632" s="9"/>
      <c r="CK632" s="9"/>
      <c r="CL632" s="9"/>
      <c r="CM632" s="9"/>
      <c r="CN632" s="9"/>
      <c r="CO632" s="9"/>
      <c r="CP632" s="9"/>
    </row>
    <row r="633" spans="1:94" x14ac:dyDescent="0.25">
      <c r="A633" s="127" t="s">
        <v>2036</v>
      </c>
      <c r="B633" s="51" t="s">
        <v>2037</v>
      </c>
      <c r="C633" s="62"/>
      <c r="D633" s="84">
        <v>3</v>
      </c>
      <c r="E633" s="62" t="s">
        <v>1985</v>
      </c>
      <c r="F633" s="62">
        <v>1</v>
      </c>
      <c r="G633" s="62" t="s">
        <v>184</v>
      </c>
      <c r="H633" s="50">
        <f>VLOOKUP($A633,'[1]ma sp 02'!$A$5:$BD$1101,H$1,0)</f>
        <v>0</v>
      </c>
      <c r="I633" s="50">
        <f>VLOOKUP($A633,'[1]ma sp 02'!$A$5:$BD$1101,I$1,0)</f>
        <v>0</v>
      </c>
      <c r="J633" s="50">
        <f>VLOOKUP($A633,'[1]ma sp 02'!$A$5:$BD$1101,J$1,0)</f>
        <v>0</v>
      </c>
      <c r="K633" s="50">
        <f>VLOOKUP($A633,'[1]ma sp 02'!$A$5:$BD$1101,K$1,0)</f>
        <v>0</v>
      </c>
      <c r="L633" s="50">
        <f>VLOOKUP($A633,'[1]ma sp 02'!$A$5:$BD$1101,L$1,0)</f>
        <v>0</v>
      </c>
      <c r="M633" s="50">
        <f>VLOOKUP($A633,'[1]ma sp 02'!$A$5:$BD$1101,M$1,0)</f>
        <v>0</v>
      </c>
      <c r="N633" s="50">
        <f>VLOOKUP($A633,'[1]ma sp 02'!$A$5:$BD$1101,N$1,0)</f>
        <v>0</v>
      </c>
      <c r="O633" s="50">
        <f>VLOOKUP($A633,'[1]ma sp 02'!$A$5:$BD$1101,O$1,0)</f>
        <v>0.1</v>
      </c>
      <c r="P633" s="50">
        <f>VLOOKUP($A633,'[1]ma sp 02'!$A$5:$BD$1101,P$1,0)</f>
        <v>0</v>
      </c>
      <c r="Q633" s="50">
        <f>VLOOKUP($A633,'[1]ma sp 02'!$A$5:$BD$1101,Q$1,0)</f>
        <v>0</v>
      </c>
      <c r="R633" s="50">
        <f>VLOOKUP($A633,'[1]ma sp 02'!$A$5:$BD$1101,R$1,0)</f>
        <v>0</v>
      </c>
      <c r="S633" s="50">
        <f>VLOOKUP($A633,'[1]ma sp 02'!$A$5:$BD$1101,S$1,0)</f>
        <v>0</v>
      </c>
      <c r="T633" s="50">
        <f>VLOOKUP($A633,'[1]ma sp 02'!$A$5:$BD$1101,T$1,0)</f>
        <v>0</v>
      </c>
      <c r="U633" s="50">
        <f>VLOOKUP($A633,'[1]ma sp 02'!$A$5:$BD$1101,U$1,0)</f>
        <v>0</v>
      </c>
      <c r="V633" s="50">
        <f>VLOOKUP($A633,'[1]ma sp 02'!$A$5:$BD$1101,V$1,0)</f>
        <v>0</v>
      </c>
      <c r="W633" s="50">
        <f>VLOOKUP($A633,'[1]ma sp 02'!$A$5:$BD$1101,W$1,0)</f>
        <v>0</v>
      </c>
      <c r="X633" s="50"/>
      <c r="Y633" s="62"/>
      <c r="Z633" s="62"/>
      <c r="AA633" s="62"/>
      <c r="AB633" s="62"/>
      <c r="AC633" s="62"/>
      <c r="AD633" s="62"/>
      <c r="AE633" s="62" t="s">
        <v>456</v>
      </c>
      <c r="AF633" s="62" t="s">
        <v>1986</v>
      </c>
      <c r="AG633" s="53">
        <f t="shared" si="25"/>
        <v>5.9001249999999998E-2</v>
      </c>
      <c r="AH633" s="54">
        <f t="shared" si="24"/>
        <v>1.1653333333333333</v>
      </c>
      <c r="AI633" s="54">
        <f t="shared" si="24"/>
        <v>1.1653333333333333</v>
      </c>
      <c r="AJ633" s="62">
        <v>9530</v>
      </c>
      <c r="AK633" s="62">
        <v>9530</v>
      </c>
      <c r="AL633" s="62" t="s">
        <v>1987</v>
      </c>
      <c r="AM633" s="61" t="s">
        <v>1489</v>
      </c>
      <c r="AN633" s="62">
        <v>175</v>
      </c>
      <c r="AO633" s="61" t="s">
        <v>1902</v>
      </c>
      <c r="AP633" s="59" t="str">
        <f>IFERROR(VLOOKUP($A633,[2]Mssp!$A$5:$BE$1463,AP$4+1,0),0)</f>
        <v>2002258-1</v>
      </c>
      <c r="AQ633" s="59">
        <f>IFERROR(VLOOKUP($A633,[2]Mssp!$A$5:$BE$1463,AQ$4+1,0),0)</f>
        <v>0</v>
      </c>
      <c r="AR633" s="59">
        <f>IFERROR(VLOOKUP($A633,[2]Mssp!$A$5:$BE$1463,AR$4+1,0),0)</f>
        <v>0</v>
      </c>
      <c r="AS633" s="59">
        <f>IFERROR(VLOOKUP($A633,[2]Mssp!$A$5:$BE$1463,AS$4+1,0),0)</f>
        <v>0</v>
      </c>
      <c r="AT633" s="59">
        <f>IFERROR(VLOOKUP($A633,[2]Mssp!$A$5:$BE$1463,AT$4+1,0),0)</f>
        <v>0</v>
      </c>
      <c r="AU633" s="59">
        <f>IFERROR(VLOOKUP($A633,[2]Mssp!$A$5:$BE$1463,AU$4+1,0),0)</f>
        <v>0</v>
      </c>
      <c r="AV633" s="59">
        <f>IFERROR(VLOOKUP($A633,[2]Mssp!$A$5:$BE$1463,AV$4+1,0),0)</f>
        <v>0</v>
      </c>
      <c r="AW633" s="59">
        <f>IFERROR(VLOOKUP($A633,[2]Mssp!$A$5:$BE$1463,AW$4+1,0),0)</f>
        <v>0</v>
      </c>
      <c r="AX633" s="59">
        <f>IFERROR(VLOOKUP($A633,[2]Mssp!$A$5:$BE$1463,AX$4+1,0),0)</f>
        <v>0</v>
      </c>
      <c r="AY633" s="59" t="str">
        <f>IFERROR(VLOOKUP($A633,[2]Mssp!$A$5:$BE$1463,AY$4+2,0),0)</f>
        <v>525x870</v>
      </c>
      <c r="AZ633" s="59" t="str">
        <f>IFERROR(VLOOKUP($A633,[2]Mssp!$A$5:$BE$1463,AZ$4+2,0),0)</f>
        <v>R2</v>
      </c>
      <c r="BA633" s="141"/>
      <c r="BB633" s="61"/>
      <c r="BC633" s="165"/>
      <c r="BD633" s="166"/>
      <c r="BE633" s="167"/>
      <c r="BF633" s="168"/>
      <c r="BG633" s="167"/>
      <c r="BH633" s="168"/>
      <c r="BI633" s="169"/>
      <c r="BJ633" s="168"/>
      <c r="BK633" s="134"/>
      <c r="BL633" s="168"/>
      <c r="BM633" s="167"/>
      <c r="BN633" s="168"/>
      <c r="BO633" s="62"/>
      <c r="BP633" s="168"/>
      <c r="BQ633" s="168"/>
      <c r="BR633" s="168"/>
      <c r="BS633" s="135"/>
      <c r="BT633" s="168"/>
      <c r="BU633" s="167"/>
      <c r="BV633" s="168"/>
      <c r="BW633" s="167"/>
      <c r="BX633" s="168"/>
      <c r="BY633" s="167"/>
      <c r="BZ633" s="168"/>
      <c r="CA633" s="167"/>
      <c r="CB633" s="168"/>
      <c r="CC633" s="167"/>
      <c r="CD633" s="168"/>
      <c r="CE633" s="62"/>
      <c r="CF633" s="62"/>
      <c r="CG633" s="9"/>
      <c r="CH633" s="9"/>
      <c r="CI633" s="9"/>
      <c r="CJ633" s="9"/>
      <c r="CK633" s="9"/>
      <c r="CL633" s="9"/>
      <c r="CM633" s="9"/>
      <c r="CN633" s="9"/>
      <c r="CO633" s="9"/>
      <c r="CP633" s="9"/>
    </row>
    <row r="634" spans="1:94" x14ac:dyDescent="0.25">
      <c r="A634" s="127" t="s">
        <v>2038</v>
      </c>
      <c r="B634" s="51" t="s">
        <v>2039</v>
      </c>
      <c r="C634" s="62"/>
      <c r="D634" s="84">
        <v>3</v>
      </c>
      <c r="E634" s="62" t="s">
        <v>1985</v>
      </c>
      <c r="F634" s="62">
        <v>1</v>
      </c>
      <c r="G634" s="62" t="s">
        <v>184</v>
      </c>
      <c r="H634" s="50">
        <f>VLOOKUP($A634,'[1]ma sp 02'!$A$5:$BD$1101,H$1,0)</f>
        <v>0</v>
      </c>
      <c r="I634" s="50">
        <f>VLOOKUP($A634,'[1]ma sp 02'!$A$5:$BD$1101,I$1,0)</f>
        <v>0</v>
      </c>
      <c r="J634" s="50">
        <f>VLOOKUP($A634,'[1]ma sp 02'!$A$5:$BD$1101,J$1,0)</f>
        <v>0</v>
      </c>
      <c r="K634" s="50">
        <f>VLOOKUP($A634,'[1]ma sp 02'!$A$5:$BD$1101,K$1,0)</f>
        <v>0</v>
      </c>
      <c r="L634" s="50">
        <f>VLOOKUP($A634,'[1]ma sp 02'!$A$5:$BD$1101,L$1,0)</f>
        <v>0</v>
      </c>
      <c r="M634" s="50">
        <f>VLOOKUP($A634,'[1]ma sp 02'!$A$5:$BD$1101,M$1,0)</f>
        <v>0</v>
      </c>
      <c r="N634" s="50">
        <f>VLOOKUP($A634,'[1]ma sp 02'!$A$5:$BD$1101,N$1,0)</f>
        <v>0</v>
      </c>
      <c r="O634" s="50">
        <f>VLOOKUP($A634,'[1]ma sp 02'!$A$5:$BD$1101,O$1,0)</f>
        <v>0.1</v>
      </c>
      <c r="P634" s="50">
        <f>VLOOKUP($A634,'[1]ma sp 02'!$A$5:$BD$1101,P$1,0)</f>
        <v>0</v>
      </c>
      <c r="Q634" s="50">
        <f>VLOOKUP($A634,'[1]ma sp 02'!$A$5:$BD$1101,Q$1,0)</f>
        <v>0</v>
      </c>
      <c r="R634" s="50">
        <f>VLOOKUP($A634,'[1]ma sp 02'!$A$5:$BD$1101,R$1,0)</f>
        <v>0</v>
      </c>
      <c r="S634" s="50">
        <f>VLOOKUP($A634,'[1]ma sp 02'!$A$5:$BD$1101,S$1,0)</f>
        <v>0</v>
      </c>
      <c r="T634" s="50">
        <f>VLOOKUP($A634,'[1]ma sp 02'!$A$5:$BD$1101,T$1,0)</f>
        <v>0</v>
      </c>
      <c r="U634" s="50">
        <f>VLOOKUP($A634,'[1]ma sp 02'!$A$5:$BD$1101,U$1,0)</f>
        <v>0</v>
      </c>
      <c r="V634" s="50">
        <f>VLOOKUP($A634,'[1]ma sp 02'!$A$5:$BD$1101,V$1,0)</f>
        <v>0</v>
      </c>
      <c r="W634" s="50">
        <f>VLOOKUP($A634,'[1]ma sp 02'!$A$5:$BD$1101,W$1,0)</f>
        <v>0</v>
      </c>
      <c r="X634" s="50"/>
      <c r="Y634" s="62"/>
      <c r="Z634" s="62"/>
      <c r="AA634" s="62"/>
      <c r="AB634" s="62"/>
      <c r="AC634" s="62"/>
      <c r="AD634" s="62"/>
      <c r="AE634" s="62" t="s">
        <v>456</v>
      </c>
      <c r="AF634" s="62" t="s">
        <v>1986</v>
      </c>
      <c r="AG634" s="53">
        <f t="shared" si="25"/>
        <v>5.9001249999999998E-2</v>
      </c>
      <c r="AH634" s="54">
        <f t="shared" si="24"/>
        <v>1.1653333333333333</v>
      </c>
      <c r="AI634" s="54">
        <f t="shared" si="24"/>
        <v>1.1653333333333333</v>
      </c>
      <c r="AJ634" s="62">
        <v>9530</v>
      </c>
      <c r="AK634" s="62">
        <v>9530</v>
      </c>
      <c r="AL634" s="62" t="s">
        <v>1987</v>
      </c>
      <c r="AM634" s="61" t="s">
        <v>1489</v>
      </c>
      <c r="AN634" s="62">
        <v>175</v>
      </c>
      <c r="AO634" s="61" t="s">
        <v>1902</v>
      </c>
      <c r="AP634" s="59" t="str">
        <f>IFERROR(VLOOKUP($A634,[2]Mssp!$A$5:$BE$1463,AP$4+1,0),0)</f>
        <v>2002259-1</v>
      </c>
      <c r="AQ634" s="59">
        <f>IFERROR(VLOOKUP($A634,[2]Mssp!$A$5:$BE$1463,AQ$4+1,0),0)</f>
        <v>0</v>
      </c>
      <c r="AR634" s="59">
        <f>IFERROR(VLOOKUP($A634,[2]Mssp!$A$5:$BE$1463,AR$4+1,0),0)</f>
        <v>0</v>
      </c>
      <c r="AS634" s="59">
        <f>IFERROR(VLOOKUP($A634,[2]Mssp!$A$5:$BE$1463,AS$4+1,0),0)</f>
        <v>0</v>
      </c>
      <c r="AT634" s="59">
        <f>IFERROR(VLOOKUP($A634,[2]Mssp!$A$5:$BE$1463,AT$4+1,0),0)</f>
        <v>0</v>
      </c>
      <c r="AU634" s="59">
        <f>IFERROR(VLOOKUP($A634,[2]Mssp!$A$5:$BE$1463,AU$4+1,0),0)</f>
        <v>0</v>
      </c>
      <c r="AV634" s="59">
        <f>IFERROR(VLOOKUP($A634,[2]Mssp!$A$5:$BE$1463,AV$4+1,0),0)</f>
        <v>0</v>
      </c>
      <c r="AW634" s="59">
        <f>IFERROR(VLOOKUP($A634,[2]Mssp!$A$5:$BE$1463,AW$4+1,0),0)</f>
        <v>0</v>
      </c>
      <c r="AX634" s="59">
        <f>IFERROR(VLOOKUP($A634,[2]Mssp!$A$5:$BE$1463,AX$4+1,0),0)</f>
        <v>0</v>
      </c>
      <c r="AY634" s="59" t="str">
        <f>IFERROR(VLOOKUP($A634,[2]Mssp!$A$5:$BE$1463,AY$4+2,0),0)</f>
        <v>525x870</v>
      </c>
      <c r="AZ634" s="59" t="str">
        <f>IFERROR(VLOOKUP($A634,[2]Mssp!$A$5:$BE$1463,AZ$4+2,0),0)</f>
        <v>R2</v>
      </c>
      <c r="BA634" s="141"/>
      <c r="BB634" s="61"/>
      <c r="BC634" s="165"/>
      <c r="BD634" s="166"/>
      <c r="BE634" s="167"/>
      <c r="BF634" s="168"/>
      <c r="BG634" s="167"/>
      <c r="BH634" s="168"/>
      <c r="BI634" s="169"/>
      <c r="BJ634" s="168"/>
      <c r="BK634" s="134"/>
      <c r="BL634" s="168"/>
      <c r="BM634" s="167"/>
      <c r="BN634" s="168"/>
      <c r="BO634" s="62"/>
      <c r="BP634" s="168"/>
      <c r="BQ634" s="168"/>
      <c r="BR634" s="168"/>
      <c r="BS634" s="135"/>
      <c r="BT634" s="168"/>
      <c r="BU634" s="167"/>
      <c r="BV634" s="168"/>
      <c r="BW634" s="167"/>
      <c r="BX634" s="168"/>
      <c r="BY634" s="167"/>
      <c r="BZ634" s="168"/>
      <c r="CA634" s="167"/>
      <c r="CB634" s="168"/>
      <c r="CC634" s="167"/>
      <c r="CD634" s="168"/>
      <c r="CE634" s="62"/>
      <c r="CF634" s="62"/>
      <c r="CG634" s="9"/>
      <c r="CH634" s="9"/>
      <c r="CI634" s="9"/>
      <c r="CJ634" s="9"/>
      <c r="CK634" s="9"/>
      <c r="CL634" s="9"/>
      <c r="CM634" s="9"/>
      <c r="CN634" s="9"/>
      <c r="CO634" s="9"/>
      <c r="CP634" s="9"/>
    </row>
    <row r="635" spans="1:94" x14ac:dyDescent="0.25">
      <c r="A635" s="127" t="s">
        <v>2040</v>
      </c>
      <c r="B635" s="51" t="s">
        <v>2041</v>
      </c>
      <c r="C635" s="62"/>
      <c r="D635" s="84">
        <v>3</v>
      </c>
      <c r="E635" s="62" t="s">
        <v>1985</v>
      </c>
      <c r="F635" s="62">
        <v>1</v>
      </c>
      <c r="G635" s="62" t="s">
        <v>184</v>
      </c>
      <c r="H635" s="50">
        <f>VLOOKUP($A635,'[1]ma sp 02'!$A$5:$BD$1101,H$1,0)</f>
        <v>0</v>
      </c>
      <c r="I635" s="50">
        <f>VLOOKUP($A635,'[1]ma sp 02'!$A$5:$BD$1101,I$1,0)</f>
        <v>0</v>
      </c>
      <c r="J635" s="50">
        <f>VLOOKUP($A635,'[1]ma sp 02'!$A$5:$BD$1101,J$1,0)</f>
        <v>0</v>
      </c>
      <c r="K635" s="50">
        <f>VLOOKUP($A635,'[1]ma sp 02'!$A$5:$BD$1101,K$1,0)</f>
        <v>0</v>
      </c>
      <c r="L635" s="50">
        <f>VLOOKUP($A635,'[1]ma sp 02'!$A$5:$BD$1101,L$1,0)</f>
        <v>0</v>
      </c>
      <c r="M635" s="50">
        <f>VLOOKUP($A635,'[1]ma sp 02'!$A$5:$BD$1101,M$1,0)</f>
        <v>0</v>
      </c>
      <c r="N635" s="50">
        <f>VLOOKUP($A635,'[1]ma sp 02'!$A$5:$BD$1101,N$1,0)</f>
        <v>0</v>
      </c>
      <c r="O635" s="50">
        <f>VLOOKUP($A635,'[1]ma sp 02'!$A$5:$BD$1101,O$1,0)</f>
        <v>0.99</v>
      </c>
      <c r="P635" s="50">
        <f>VLOOKUP($A635,'[1]ma sp 02'!$A$5:$BD$1101,P$1,0)</f>
        <v>0</v>
      </c>
      <c r="Q635" s="50">
        <f>VLOOKUP($A635,'[1]ma sp 02'!$A$5:$BD$1101,Q$1,0)</f>
        <v>0</v>
      </c>
      <c r="R635" s="50">
        <f>VLOOKUP($A635,'[1]ma sp 02'!$A$5:$BD$1101,R$1,0)</f>
        <v>0</v>
      </c>
      <c r="S635" s="50">
        <f>VLOOKUP($A635,'[1]ma sp 02'!$A$5:$BD$1101,S$1,0)</f>
        <v>0</v>
      </c>
      <c r="T635" s="50">
        <f>VLOOKUP($A635,'[1]ma sp 02'!$A$5:$BD$1101,T$1,0)</f>
        <v>0</v>
      </c>
      <c r="U635" s="50">
        <f>VLOOKUP($A635,'[1]ma sp 02'!$A$5:$BD$1101,U$1,0)</f>
        <v>0</v>
      </c>
      <c r="V635" s="50">
        <f>VLOOKUP($A635,'[1]ma sp 02'!$A$5:$BD$1101,V$1,0)</f>
        <v>0</v>
      </c>
      <c r="W635" s="50">
        <f>VLOOKUP($A635,'[1]ma sp 02'!$A$5:$BD$1101,W$1,0)</f>
        <v>0</v>
      </c>
      <c r="X635" s="50"/>
      <c r="Y635" s="62"/>
      <c r="Z635" s="62"/>
      <c r="AA635" s="62"/>
      <c r="AB635" s="62"/>
      <c r="AC635" s="62"/>
      <c r="AD635" s="62"/>
      <c r="AE635" s="62" t="s">
        <v>456</v>
      </c>
      <c r="AF635" s="62" t="s">
        <v>1986</v>
      </c>
      <c r="AG635" s="53">
        <f t="shared" si="25"/>
        <v>5.9001249999999998E-2</v>
      </c>
      <c r="AH635" s="54">
        <f t="shared" si="24"/>
        <v>1.1653333333333333</v>
      </c>
      <c r="AI635" s="54">
        <f t="shared" si="24"/>
        <v>1.1653333333333333</v>
      </c>
      <c r="AJ635" s="62">
        <v>9530</v>
      </c>
      <c r="AK635" s="62">
        <v>9530</v>
      </c>
      <c r="AL635" s="62" t="s">
        <v>1987</v>
      </c>
      <c r="AM635" s="61" t="s">
        <v>1489</v>
      </c>
      <c r="AN635" s="62">
        <v>165</v>
      </c>
      <c r="AO635" s="61" t="s">
        <v>1902</v>
      </c>
      <c r="AP635" s="59" t="str">
        <f>IFERROR(VLOOKUP($A635,[2]Mssp!$A$5:$BE$1463,AP$4+1,0),0)</f>
        <v>2002260-1</v>
      </c>
      <c r="AQ635" s="59">
        <f>IFERROR(VLOOKUP($A635,[2]Mssp!$A$5:$BE$1463,AQ$4+1,0),0)</f>
        <v>0</v>
      </c>
      <c r="AR635" s="59">
        <f>IFERROR(VLOOKUP($A635,[2]Mssp!$A$5:$BE$1463,AR$4+1,0),0)</f>
        <v>0</v>
      </c>
      <c r="AS635" s="59">
        <f>IFERROR(VLOOKUP($A635,[2]Mssp!$A$5:$BE$1463,AS$4+1,0),0)</f>
        <v>0</v>
      </c>
      <c r="AT635" s="59">
        <f>IFERROR(VLOOKUP($A635,[2]Mssp!$A$5:$BE$1463,AT$4+1,0),0)</f>
        <v>0</v>
      </c>
      <c r="AU635" s="59">
        <f>IFERROR(VLOOKUP($A635,[2]Mssp!$A$5:$BE$1463,AU$4+1,0),0)</f>
        <v>0</v>
      </c>
      <c r="AV635" s="59">
        <f>IFERROR(VLOOKUP($A635,[2]Mssp!$A$5:$BE$1463,AV$4+1,0),0)</f>
        <v>0</v>
      </c>
      <c r="AW635" s="59">
        <f>IFERROR(VLOOKUP($A635,[2]Mssp!$A$5:$BE$1463,AW$4+1,0),0)</f>
        <v>0</v>
      </c>
      <c r="AX635" s="59">
        <f>IFERROR(VLOOKUP($A635,[2]Mssp!$A$5:$BE$1463,AX$4+1,0),0)</f>
        <v>0</v>
      </c>
      <c r="AY635" s="59" t="str">
        <f>IFERROR(VLOOKUP($A635,[2]Mssp!$A$5:$BE$1463,AY$4+2,0),0)</f>
        <v>495x870</v>
      </c>
      <c r="AZ635" s="59" t="str">
        <f>IFERROR(VLOOKUP($A635,[2]Mssp!$A$5:$BE$1463,AZ$4+2,0),0)</f>
        <v>R2</v>
      </c>
      <c r="BA635" s="141"/>
      <c r="BB635" s="61"/>
      <c r="BC635" s="165"/>
      <c r="BD635" s="166"/>
      <c r="BE635" s="167"/>
      <c r="BF635" s="168"/>
      <c r="BG635" s="167"/>
      <c r="BH635" s="168"/>
      <c r="BI635" s="169"/>
      <c r="BJ635" s="168"/>
      <c r="BK635" s="134"/>
      <c r="BL635" s="168"/>
      <c r="BM635" s="167"/>
      <c r="BN635" s="168"/>
      <c r="BO635" s="62"/>
      <c r="BP635" s="168"/>
      <c r="BQ635" s="168"/>
      <c r="BR635" s="168"/>
      <c r="BS635" s="135"/>
      <c r="BT635" s="168"/>
      <c r="BU635" s="167"/>
      <c r="BV635" s="168"/>
      <c r="BW635" s="167"/>
      <c r="BX635" s="168"/>
      <c r="BY635" s="167"/>
      <c r="BZ635" s="168"/>
      <c r="CA635" s="167"/>
      <c r="CB635" s="168"/>
      <c r="CC635" s="167"/>
      <c r="CD635" s="168"/>
      <c r="CE635" s="62"/>
      <c r="CF635" s="62"/>
      <c r="CG635" s="9"/>
      <c r="CH635" s="9"/>
      <c r="CI635" s="9"/>
      <c r="CJ635" s="9"/>
      <c r="CK635" s="9"/>
      <c r="CL635" s="9"/>
      <c r="CM635" s="9"/>
      <c r="CN635" s="9"/>
      <c r="CO635" s="9"/>
      <c r="CP635" s="9"/>
    </row>
    <row r="636" spans="1:94" x14ac:dyDescent="0.25">
      <c r="A636" s="158" t="s">
        <v>2042</v>
      </c>
      <c r="B636" s="159" t="s">
        <v>2043</v>
      </c>
      <c r="C636" s="62"/>
      <c r="D636" s="84">
        <v>3</v>
      </c>
      <c r="E636" s="62" t="s">
        <v>1985</v>
      </c>
      <c r="F636" s="62">
        <v>1</v>
      </c>
      <c r="G636" s="62" t="s">
        <v>184</v>
      </c>
      <c r="H636" s="50">
        <f>VLOOKUP($A636,'[1]ma sp 02'!$A$5:$BD$1101,H$1,0)</f>
        <v>0</v>
      </c>
      <c r="I636" s="50">
        <f>VLOOKUP($A636,'[1]ma sp 02'!$A$5:$BD$1101,I$1,0)</f>
        <v>0</v>
      </c>
      <c r="J636" s="50">
        <f>VLOOKUP($A636,'[1]ma sp 02'!$A$5:$BD$1101,J$1,0)</f>
        <v>0</v>
      </c>
      <c r="K636" s="50">
        <f>VLOOKUP($A636,'[1]ma sp 02'!$A$5:$BD$1101,K$1,0)</f>
        <v>0</v>
      </c>
      <c r="L636" s="50">
        <f>VLOOKUP($A636,'[1]ma sp 02'!$A$5:$BD$1101,L$1,0)</f>
        <v>0</v>
      </c>
      <c r="M636" s="50">
        <f>VLOOKUP($A636,'[1]ma sp 02'!$A$5:$BD$1101,M$1,0)</f>
        <v>0</v>
      </c>
      <c r="N636" s="50">
        <f>VLOOKUP($A636,'[1]ma sp 02'!$A$5:$BD$1101,N$1,0)</f>
        <v>0</v>
      </c>
      <c r="O636" s="50">
        <f>VLOOKUP($A636,'[1]ma sp 02'!$A$5:$BD$1101,O$1,0)</f>
        <v>0.93799999999999994</v>
      </c>
      <c r="P636" s="50">
        <f>VLOOKUP($A636,'[1]ma sp 02'!$A$5:$BD$1101,P$1,0)</f>
        <v>0</v>
      </c>
      <c r="Q636" s="50">
        <f>VLOOKUP($A636,'[1]ma sp 02'!$A$5:$BD$1101,Q$1,0)</f>
        <v>0</v>
      </c>
      <c r="R636" s="50">
        <f>VLOOKUP($A636,'[1]ma sp 02'!$A$5:$BD$1101,R$1,0)</f>
        <v>0</v>
      </c>
      <c r="S636" s="50">
        <f>VLOOKUP($A636,'[1]ma sp 02'!$A$5:$BD$1101,S$1,0)</f>
        <v>0</v>
      </c>
      <c r="T636" s="50">
        <f>VLOOKUP($A636,'[1]ma sp 02'!$A$5:$BD$1101,T$1,0)</f>
        <v>0</v>
      </c>
      <c r="U636" s="50">
        <f>VLOOKUP($A636,'[1]ma sp 02'!$A$5:$BD$1101,U$1,0)</f>
        <v>0</v>
      </c>
      <c r="V636" s="50">
        <f>VLOOKUP($A636,'[1]ma sp 02'!$A$5:$BD$1101,V$1,0)</f>
        <v>0</v>
      </c>
      <c r="W636" s="50">
        <f>VLOOKUP($A636,'[1]ma sp 02'!$A$5:$BD$1101,W$1,0)</f>
        <v>0</v>
      </c>
      <c r="X636" s="50"/>
      <c r="Y636" s="62"/>
      <c r="Z636" s="62"/>
      <c r="AA636" s="62"/>
      <c r="AB636" s="62"/>
      <c r="AC636" s="62"/>
      <c r="AD636" s="62"/>
      <c r="AE636" s="62" t="s">
        <v>456</v>
      </c>
      <c r="AF636" s="62" t="s">
        <v>1986</v>
      </c>
      <c r="AG636" s="53">
        <f t="shared" si="25"/>
        <v>5.9001249999999998E-2</v>
      </c>
      <c r="AH636" s="54">
        <f t="shared" si="24"/>
        <v>1.1653333333333333</v>
      </c>
      <c r="AI636" s="54">
        <f t="shared" si="24"/>
        <v>1.1653333333333333</v>
      </c>
      <c r="AJ636" s="62">
        <v>9530</v>
      </c>
      <c r="AK636" s="62">
        <v>9530</v>
      </c>
      <c r="AL636" s="62" t="s">
        <v>1987</v>
      </c>
      <c r="AM636" s="61" t="s">
        <v>1489</v>
      </c>
      <c r="AN636" s="62">
        <v>165</v>
      </c>
      <c r="AO636" s="61" t="s">
        <v>1902</v>
      </c>
      <c r="AP636" s="59" t="str">
        <f>IFERROR(VLOOKUP($A636,[2]Mssp!$A$5:$BE$1463,AP$4+1,0),0)</f>
        <v>2002322-1</v>
      </c>
      <c r="AQ636" s="59">
        <f>IFERROR(VLOOKUP($A636,[2]Mssp!$A$5:$BE$1463,AQ$4+1,0),0)</f>
        <v>0</v>
      </c>
      <c r="AR636" s="59">
        <f>IFERROR(VLOOKUP($A636,[2]Mssp!$A$5:$BE$1463,AR$4+1,0),0)</f>
        <v>0</v>
      </c>
      <c r="AS636" s="59">
        <f>IFERROR(VLOOKUP($A636,[2]Mssp!$A$5:$BE$1463,AS$4+1,0),0)</f>
        <v>0</v>
      </c>
      <c r="AT636" s="59">
        <f>IFERROR(VLOOKUP($A636,[2]Mssp!$A$5:$BE$1463,AT$4+1,0),0)</f>
        <v>0</v>
      </c>
      <c r="AU636" s="59">
        <f>IFERROR(VLOOKUP($A636,[2]Mssp!$A$5:$BE$1463,AU$4+1,0),0)</f>
        <v>0</v>
      </c>
      <c r="AV636" s="59">
        <f>IFERROR(VLOOKUP($A636,[2]Mssp!$A$5:$BE$1463,AV$4+1,0),0)</f>
        <v>0</v>
      </c>
      <c r="AW636" s="59">
        <f>IFERROR(VLOOKUP($A636,[2]Mssp!$A$5:$BE$1463,AW$4+1,0),0)</f>
        <v>0</v>
      </c>
      <c r="AX636" s="59">
        <f>IFERROR(VLOOKUP($A636,[2]Mssp!$A$5:$BE$1463,AX$4+1,0),0)</f>
        <v>0</v>
      </c>
      <c r="AY636" s="59" t="str">
        <f>IFERROR(VLOOKUP($A636,[2]Mssp!$A$5:$BE$1463,AY$4+2,0),0)</f>
        <v>495x870</v>
      </c>
      <c r="AZ636" s="59" t="str">
        <f>IFERROR(VLOOKUP($A636,[2]Mssp!$A$5:$BE$1463,AZ$4+2,0),0)</f>
        <v>R2</v>
      </c>
      <c r="BA636" s="141"/>
      <c r="BB636" s="61"/>
      <c r="BC636" s="165"/>
      <c r="BD636" s="166"/>
      <c r="BE636" s="167"/>
      <c r="BF636" s="168"/>
      <c r="BG636" s="167"/>
      <c r="BH636" s="168"/>
      <c r="BI636" s="169"/>
      <c r="BJ636" s="168"/>
      <c r="BK636" s="134"/>
      <c r="BL636" s="168"/>
      <c r="BM636" s="167"/>
      <c r="BN636" s="168"/>
      <c r="BO636" s="62"/>
      <c r="BP636" s="168"/>
      <c r="BQ636" s="168"/>
      <c r="BR636" s="168"/>
      <c r="BS636" s="135"/>
      <c r="BT636" s="168"/>
      <c r="BU636" s="167"/>
      <c r="BV636" s="168"/>
      <c r="BW636" s="167"/>
      <c r="BX636" s="168"/>
      <c r="BY636" s="167"/>
      <c r="BZ636" s="168"/>
      <c r="CA636" s="167"/>
      <c r="CB636" s="168"/>
      <c r="CC636" s="167"/>
      <c r="CD636" s="168"/>
      <c r="CE636" s="62"/>
      <c r="CF636" s="62"/>
      <c r="CG636" s="9"/>
      <c r="CH636" s="9"/>
      <c r="CI636" s="9"/>
      <c r="CJ636" s="9"/>
      <c r="CK636" s="9"/>
      <c r="CL636" s="9"/>
      <c r="CM636" s="9"/>
      <c r="CN636" s="9"/>
      <c r="CO636" s="9"/>
      <c r="CP636" s="9"/>
    </row>
    <row r="637" spans="1:94" x14ac:dyDescent="0.25">
      <c r="A637" s="127" t="s">
        <v>2044</v>
      </c>
      <c r="B637" s="51" t="s">
        <v>2045</v>
      </c>
      <c r="C637" s="124"/>
      <c r="D637" s="84"/>
      <c r="E637" s="62" t="s">
        <v>2046</v>
      </c>
      <c r="F637" s="62">
        <v>3</v>
      </c>
      <c r="G637" s="62" t="s">
        <v>184</v>
      </c>
      <c r="H637" s="50">
        <f>VLOOKUP($A637,'[1]ma sp 02'!$A$5:$BD$1101,H$1,0)</f>
        <v>0.34</v>
      </c>
      <c r="I637" s="50">
        <f>VLOOKUP($A637,'[1]ma sp 02'!$A$5:$BD$1101,I$1,0)</f>
        <v>0</v>
      </c>
      <c r="J637" s="50">
        <f>VLOOKUP($A637,'[1]ma sp 02'!$A$5:$BD$1101,J$1,0)</f>
        <v>0</v>
      </c>
      <c r="K637" s="50">
        <f>VLOOKUP($A637,'[1]ma sp 02'!$A$5:$BD$1101,K$1,0)</f>
        <v>0</v>
      </c>
      <c r="L637" s="50">
        <f>VLOOKUP($A637,'[1]ma sp 02'!$A$5:$BD$1101,L$1,0)</f>
        <v>0.86</v>
      </c>
      <c r="M637" s="50">
        <f>VLOOKUP($A637,'[1]ma sp 02'!$A$5:$BD$1101,M$1,0)</f>
        <v>0.55000000000000004</v>
      </c>
      <c r="N637" s="50">
        <f>VLOOKUP($A637,'[1]ma sp 02'!$A$5:$BD$1101,N$1,0)</f>
        <v>0</v>
      </c>
      <c r="O637" s="50">
        <f>VLOOKUP($A637,'[1]ma sp 02'!$A$5:$BD$1101,O$1,0)</f>
        <v>0</v>
      </c>
      <c r="P637" s="50">
        <f>VLOOKUP($A637,'[1]ma sp 02'!$A$5:$BD$1101,P$1,0)</f>
        <v>0.01</v>
      </c>
      <c r="Q637" s="50">
        <f>VLOOKUP($A637,'[1]ma sp 02'!$A$5:$BD$1101,Q$1,0)</f>
        <v>0</v>
      </c>
      <c r="R637" s="50">
        <f>VLOOKUP($A637,'[1]ma sp 02'!$A$5:$BD$1101,R$1,0)</f>
        <v>0</v>
      </c>
      <c r="S637" s="50">
        <f>VLOOKUP($A637,'[1]ma sp 02'!$A$5:$BD$1101,S$1,0)</f>
        <v>0</v>
      </c>
      <c r="T637" s="50">
        <f>VLOOKUP($A637,'[1]ma sp 02'!$A$5:$BD$1101,T$1,0)</f>
        <v>0</v>
      </c>
      <c r="U637" s="50">
        <f>VLOOKUP($A637,'[1]ma sp 02'!$A$5:$BD$1101,U$1,0)</f>
        <v>0</v>
      </c>
      <c r="V637" s="50">
        <f>VLOOKUP($A637,'[1]ma sp 02'!$A$5:$BD$1101,V$1,0)</f>
        <v>0</v>
      </c>
      <c r="W637" s="50">
        <f>VLOOKUP($A637,'[1]ma sp 02'!$A$5:$BD$1101,W$1,0)</f>
        <v>0</v>
      </c>
      <c r="X637" s="50"/>
      <c r="Y637" s="62"/>
      <c r="Z637" s="62"/>
      <c r="AA637" s="62"/>
      <c r="AB637" s="62"/>
      <c r="AC637" s="62"/>
      <c r="AD637" s="62"/>
      <c r="AE637" s="62" t="s">
        <v>2047</v>
      </c>
      <c r="AF637" s="62"/>
      <c r="AG637" s="53">
        <f>(0.06*0.98+0.025*0.925)*1.24</f>
        <v>0.101587</v>
      </c>
      <c r="AH637" s="54">
        <f>(2/0.75/2)*1.23</f>
        <v>1.64</v>
      </c>
      <c r="AI637" s="54"/>
      <c r="AJ637" s="62">
        <v>9530</v>
      </c>
      <c r="AK637" s="62"/>
      <c r="AL637" s="62">
        <v>2E-3</v>
      </c>
      <c r="AM637" s="61" t="s">
        <v>1489</v>
      </c>
      <c r="AN637" s="62">
        <v>455</v>
      </c>
      <c r="AO637" s="61" t="s">
        <v>1977</v>
      </c>
      <c r="AP637" s="59" t="str">
        <f>IFERROR(VLOOKUP($A637,[2]Mssp!$A$5:$BE$1463,AP$4+1,0),0)</f>
        <v>1806095-1</v>
      </c>
      <c r="AQ637" s="59" t="str">
        <f>IFERROR(VLOOKUP($A637,[2]Mssp!$A$5:$BE$1463,AQ$4+1,0),0)</f>
        <v>1806095-2</v>
      </c>
      <c r="AR637" s="59" t="str">
        <f>IFERROR(VLOOKUP($A637,[2]Mssp!$A$5:$BE$1463,AR$4+1,0),0)</f>
        <v>1806095-3</v>
      </c>
      <c r="AS637" s="59">
        <f>IFERROR(VLOOKUP($A637,[2]Mssp!$A$5:$BE$1463,AS$4+1,0),0)</f>
        <v>0</v>
      </c>
      <c r="AT637" s="59">
        <f>IFERROR(VLOOKUP($A637,[2]Mssp!$A$5:$BE$1463,AT$4+1,0),0)</f>
        <v>0</v>
      </c>
      <c r="AU637" s="59">
        <f>IFERROR(VLOOKUP($A637,[2]Mssp!$A$5:$BE$1463,AU$4+1,0),0)</f>
        <v>0</v>
      </c>
      <c r="AV637" s="59">
        <f>IFERROR(VLOOKUP($A637,[2]Mssp!$A$5:$BE$1463,AV$4+1,0),0)</f>
        <v>0</v>
      </c>
      <c r="AW637" s="59">
        <f>IFERROR(VLOOKUP($A637,[2]Mssp!$A$5:$BE$1463,AW$4+1,0),0)</f>
        <v>0</v>
      </c>
      <c r="AX637" s="59">
        <f>IFERROR(VLOOKUP($A637,[2]Mssp!$A$5:$BE$1463,AX$4+1,0),0)</f>
        <v>0</v>
      </c>
      <c r="AY637" s="59" t="str">
        <f>IFERROR(VLOOKUP($A637,[2]Mssp!$A$5:$BE$1463,AY$4+2,0),0)</f>
        <v>455x1300</v>
      </c>
      <c r="AZ637" s="59">
        <f>IFERROR(VLOOKUP($A637,[2]Mssp!$A$5:$BE$1463,AZ$4+2,0),0)</f>
        <v>0</v>
      </c>
      <c r="BA637" s="141"/>
      <c r="BB637" s="61"/>
      <c r="BC637" s="165"/>
      <c r="BD637" s="166"/>
      <c r="BE637" s="167"/>
      <c r="BF637" s="168"/>
      <c r="BG637" s="167"/>
      <c r="BH637" s="168"/>
      <c r="BI637" s="169"/>
      <c r="BJ637" s="168"/>
      <c r="BK637" s="134"/>
      <c r="BL637" s="168"/>
      <c r="BM637" s="167"/>
      <c r="BN637" s="168"/>
      <c r="BO637" s="62"/>
      <c r="BP637" s="168"/>
      <c r="BQ637" s="168"/>
      <c r="BR637" s="168"/>
      <c r="BS637" s="135"/>
      <c r="BT637" s="168"/>
      <c r="BU637" s="167"/>
      <c r="BV637" s="168"/>
      <c r="BW637" s="167"/>
      <c r="BX637" s="168"/>
      <c r="BY637" s="167"/>
      <c r="BZ637" s="168"/>
      <c r="CA637" s="167"/>
      <c r="CB637" s="168"/>
      <c r="CC637" s="167"/>
      <c r="CD637" s="168"/>
      <c r="CE637" s="62"/>
      <c r="CF637" s="62"/>
      <c r="CG637" s="9"/>
      <c r="CH637" s="9"/>
      <c r="CI637" s="9"/>
      <c r="CJ637" s="9"/>
      <c r="CK637" s="9"/>
      <c r="CL637" s="9"/>
      <c r="CM637" s="9"/>
      <c r="CN637" s="9"/>
      <c r="CO637" s="9"/>
      <c r="CP637" s="9"/>
    </row>
    <row r="638" spans="1:94" x14ac:dyDescent="0.25">
      <c r="A638" s="173" t="s">
        <v>2048</v>
      </c>
      <c r="B638" s="174" t="s">
        <v>2049</v>
      </c>
      <c r="C638" s="62"/>
      <c r="D638" s="84">
        <v>3</v>
      </c>
      <c r="E638" s="62" t="s">
        <v>1985</v>
      </c>
      <c r="F638" s="62">
        <v>1</v>
      </c>
      <c r="G638" s="62" t="s">
        <v>184</v>
      </c>
      <c r="H638" s="50">
        <f>VLOOKUP($A638,'[1]ma sp 02'!$A$5:$BD$1101,H$1,0)</f>
        <v>0</v>
      </c>
      <c r="I638" s="50">
        <f>VLOOKUP($A638,'[1]ma sp 02'!$A$5:$BD$1101,I$1,0)</f>
        <v>0</v>
      </c>
      <c r="J638" s="50">
        <f>VLOOKUP($A638,'[1]ma sp 02'!$A$5:$BD$1101,J$1,0)</f>
        <v>0</v>
      </c>
      <c r="K638" s="50">
        <f>VLOOKUP($A638,'[1]ma sp 02'!$A$5:$BD$1101,K$1,0)</f>
        <v>0</v>
      </c>
      <c r="L638" s="50">
        <f>VLOOKUP($A638,'[1]ma sp 02'!$A$5:$BD$1101,L$1,0)</f>
        <v>0</v>
      </c>
      <c r="M638" s="50">
        <f>VLOOKUP($A638,'[1]ma sp 02'!$A$5:$BD$1101,M$1,0)</f>
        <v>0</v>
      </c>
      <c r="N638" s="50">
        <f>VLOOKUP($A638,'[1]ma sp 02'!$A$5:$BD$1101,N$1,0)</f>
        <v>0</v>
      </c>
      <c r="O638" s="50">
        <f>VLOOKUP($A638,'[1]ma sp 02'!$A$5:$BD$1101,O$1,0)</f>
        <v>0.1</v>
      </c>
      <c r="P638" s="50">
        <f>VLOOKUP($A638,'[1]ma sp 02'!$A$5:$BD$1101,P$1,0)</f>
        <v>0</v>
      </c>
      <c r="Q638" s="50">
        <f>VLOOKUP($A638,'[1]ma sp 02'!$A$5:$BD$1101,Q$1,0)</f>
        <v>0</v>
      </c>
      <c r="R638" s="50">
        <f>VLOOKUP($A638,'[1]ma sp 02'!$A$5:$BD$1101,R$1,0)</f>
        <v>0</v>
      </c>
      <c r="S638" s="50">
        <f>VLOOKUP($A638,'[1]ma sp 02'!$A$5:$BD$1101,S$1,0)</f>
        <v>0</v>
      </c>
      <c r="T638" s="50">
        <f>VLOOKUP($A638,'[1]ma sp 02'!$A$5:$BD$1101,T$1,0)</f>
        <v>0</v>
      </c>
      <c r="U638" s="50">
        <f>VLOOKUP($A638,'[1]ma sp 02'!$A$5:$BD$1101,U$1,0)</f>
        <v>0</v>
      </c>
      <c r="V638" s="50">
        <f>VLOOKUP($A638,'[1]ma sp 02'!$A$5:$BD$1101,V$1,0)</f>
        <v>0</v>
      </c>
      <c r="W638" s="50">
        <f>VLOOKUP($A638,'[1]ma sp 02'!$A$5:$BD$1101,W$1,0)</f>
        <v>0</v>
      </c>
      <c r="X638" s="50"/>
      <c r="Y638" s="62"/>
      <c r="Z638" s="62"/>
      <c r="AA638" s="62"/>
      <c r="AB638" s="62"/>
      <c r="AC638" s="62"/>
      <c r="AD638" s="62"/>
      <c r="AE638" s="62" t="s">
        <v>456</v>
      </c>
      <c r="AF638" s="62" t="s">
        <v>1986</v>
      </c>
      <c r="AG638" s="53">
        <f>(0.02*0.91+0.012*1.4+0.045*0.925)*0.77</f>
        <v>5.9001249999999998E-2</v>
      </c>
      <c r="AH638" s="54">
        <f>(2.3/0.75/2)*0.76</f>
        <v>1.1653333333333333</v>
      </c>
      <c r="AI638" s="54">
        <f>(2.3/0.75/2)*0.76</f>
        <v>1.1653333333333333</v>
      </c>
      <c r="AJ638" s="62">
        <v>9530</v>
      </c>
      <c r="AK638" s="62">
        <v>9530</v>
      </c>
      <c r="AL638" s="62" t="s">
        <v>1987</v>
      </c>
      <c r="AM638" s="61" t="s">
        <v>1489</v>
      </c>
      <c r="AN638" s="62">
        <v>165</v>
      </c>
      <c r="AO638" s="61" t="s">
        <v>1902</v>
      </c>
      <c r="AP638" s="59" t="str">
        <f>IFERROR(VLOOKUP($A638,[2]Mssp!$A$5:$BE$1463,AP$4+1,0),0)</f>
        <v>2002433-1</v>
      </c>
      <c r="AQ638" s="59">
        <f>IFERROR(VLOOKUP($A638,[2]Mssp!$A$5:$BE$1463,AQ$4+1,0),0)</f>
        <v>0</v>
      </c>
      <c r="AR638" s="59">
        <f>IFERROR(VLOOKUP($A638,[2]Mssp!$A$5:$BE$1463,AR$4+1,0),0)</f>
        <v>0</v>
      </c>
      <c r="AS638" s="59">
        <f>IFERROR(VLOOKUP($A638,[2]Mssp!$A$5:$BE$1463,AS$4+1,0),0)</f>
        <v>0</v>
      </c>
      <c r="AT638" s="59">
        <f>IFERROR(VLOOKUP($A638,[2]Mssp!$A$5:$BE$1463,AT$4+1,0),0)</f>
        <v>0</v>
      </c>
      <c r="AU638" s="59">
        <f>IFERROR(VLOOKUP($A638,[2]Mssp!$A$5:$BE$1463,AU$4+1,0),0)</f>
        <v>0</v>
      </c>
      <c r="AV638" s="59">
        <f>IFERROR(VLOOKUP($A638,[2]Mssp!$A$5:$BE$1463,AV$4+1,0),0)</f>
        <v>0</v>
      </c>
      <c r="AW638" s="59">
        <f>IFERROR(VLOOKUP($A638,[2]Mssp!$A$5:$BE$1463,AW$4+1,0),0)</f>
        <v>0</v>
      </c>
      <c r="AX638" s="59">
        <f>IFERROR(VLOOKUP($A638,[2]Mssp!$A$5:$BE$1463,AX$4+1,0),0)</f>
        <v>0</v>
      </c>
      <c r="AY638" s="59" t="str">
        <f>IFERROR(VLOOKUP($A638,[2]Mssp!$A$5:$BE$1463,AY$4+2,0),0)</f>
        <v>495x870</v>
      </c>
      <c r="AZ638" s="59" t="str">
        <f>IFERROR(VLOOKUP($A638,[2]Mssp!$A$5:$BE$1463,AZ$4+2,0),0)</f>
        <v>R2</v>
      </c>
      <c r="BA638" s="141"/>
      <c r="BB638" s="61"/>
      <c r="BC638" s="165"/>
      <c r="BD638" s="166"/>
      <c r="BE638" s="167"/>
      <c r="BF638" s="168"/>
      <c r="BG638" s="167"/>
      <c r="BH638" s="168"/>
      <c r="BI638" s="169"/>
      <c r="BJ638" s="168"/>
      <c r="BK638" s="134"/>
      <c r="BL638" s="168"/>
      <c r="BM638" s="167"/>
      <c r="BN638" s="168"/>
      <c r="BO638" s="62"/>
      <c r="BP638" s="168"/>
      <c r="BQ638" s="168"/>
      <c r="BR638" s="168"/>
      <c r="BS638" s="135"/>
      <c r="BT638" s="168"/>
      <c r="BU638" s="167"/>
      <c r="BV638" s="168"/>
      <c r="BW638" s="167"/>
      <c r="BX638" s="168"/>
      <c r="BY638" s="167"/>
      <c r="BZ638" s="168"/>
      <c r="CA638" s="167"/>
      <c r="CB638" s="168"/>
      <c r="CC638" s="167"/>
      <c r="CD638" s="168"/>
      <c r="CE638" s="62"/>
      <c r="CF638" s="62"/>
      <c r="CG638" s="9"/>
      <c r="CH638" s="9"/>
      <c r="CI638" s="9"/>
      <c r="CJ638" s="9"/>
      <c r="CK638" s="9"/>
      <c r="CL638" s="9"/>
      <c r="CM638" s="9"/>
      <c r="CN638" s="9"/>
      <c r="CO638" s="9"/>
      <c r="CP638" s="9"/>
    </row>
    <row r="639" spans="1:94" x14ac:dyDescent="0.25">
      <c r="A639" s="127" t="s">
        <v>2050</v>
      </c>
      <c r="B639" s="51" t="s">
        <v>2051</v>
      </c>
      <c r="C639" s="62"/>
      <c r="D639" s="84">
        <v>3</v>
      </c>
      <c r="E639" s="62" t="s">
        <v>1985</v>
      </c>
      <c r="F639" s="62">
        <v>1</v>
      </c>
      <c r="G639" s="62" t="s">
        <v>184</v>
      </c>
      <c r="H639" s="50">
        <f>VLOOKUP($A639,'[1]ma sp 02'!$A$5:$BD$1101,H$1,0)</f>
        <v>0</v>
      </c>
      <c r="I639" s="50">
        <f>VLOOKUP($A639,'[1]ma sp 02'!$A$5:$BD$1101,I$1,0)</f>
        <v>0</v>
      </c>
      <c r="J639" s="50">
        <f>VLOOKUP($A639,'[1]ma sp 02'!$A$5:$BD$1101,J$1,0)</f>
        <v>1.4</v>
      </c>
      <c r="K639" s="50">
        <f>VLOOKUP($A639,'[1]ma sp 02'!$A$5:$BD$1101,K$1,0)</f>
        <v>0</v>
      </c>
      <c r="L639" s="50">
        <f>VLOOKUP($A639,'[1]ma sp 02'!$A$5:$BD$1101,L$1,0)</f>
        <v>2.33</v>
      </c>
      <c r="M639" s="50">
        <f>VLOOKUP($A639,'[1]ma sp 02'!$A$5:$BD$1101,M$1,0)</f>
        <v>0</v>
      </c>
      <c r="N639" s="50">
        <f>VLOOKUP($A639,'[1]ma sp 02'!$A$5:$BD$1101,N$1,0)</f>
        <v>0</v>
      </c>
      <c r="O639" s="50">
        <f>VLOOKUP($A639,'[1]ma sp 02'!$A$5:$BD$1101,O$1,0)</f>
        <v>0.1</v>
      </c>
      <c r="P639" s="50">
        <f>VLOOKUP($A639,'[1]ma sp 02'!$A$5:$BD$1101,P$1,0)</f>
        <v>0</v>
      </c>
      <c r="Q639" s="50">
        <f>VLOOKUP($A639,'[1]ma sp 02'!$A$5:$BD$1101,Q$1,0)</f>
        <v>0</v>
      </c>
      <c r="R639" s="50">
        <f>VLOOKUP($A639,'[1]ma sp 02'!$A$5:$BD$1101,R$1,0)</f>
        <v>0</v>
      </c>
      <c r="S639" s="50">
        <f>VLOOKUP($A639,'[1]ma sp 02'!$A$5:$BD$1101,S$1,0)</f>
        <v>0</v>
      </c>
      <c r="T639" s="50">
        <f>VLOOKUP($A639,'[1]ma sp 02'!$A$5:$BD$1101,T$1,0)</f>
        <v>0</v>
      </c>
      <c r="U639" s="50">
        <f>VLOOKUP($A639,'[1]ma sp 02'!$A$5:$BD$1101,U$1,0)</f>
        <v>0</v>
      </c>
      <c r="V639" s="50">
        <f>VLOOKUP($A639,'[1]ma sp 02'!$A$5:$BD$1101,V$1,0)</f>
        <v>0</v>
      </c>
      <c r="W639" s="50">
        <f>VLOOKUP($A639,'[1]ma sp 02'!$A$5:$BD$1101,W$1,0)</f>
        <v>0</v>
      </c>
      <c r="X639" s="50"/>
      <c r="Y639" s="62"/>
      <c r="Z639" s="62"/>
      <c r="AA639" s="62"/>
      <c r="AB639" s="62"/>
      <c r="AC639" s="62"/>
      <c r="AD639" s="62"/>
      <c r="AE639" s="62" t="s">
        <v>456</v>
      </c>
      <c r="AF639" s="62" t="s">
        <v>1986</v>
      </c>
      <c r="AG639" s="53">
        <f>(0.02*0.91+0.012*1.4+0.045*0.925)*0.77</f>
        <v>5.9001249999999998E-2</v>
      </c>
      <c r="AH639" s="54">
        <f>(2.3/0.75/2)*0.76</f>
        <v>1.1653333333333333</v>
      </c>
      <c r="AI639" s="54">
        <f>(2.3/0.75/2)*0.76</f>
        <v>1.1653333333333333</v>
      </c>
      <c r="AJ639" s="62">
        <v>9530</v>
      </c>
      <c r="AK639" s="62">
        <v>9530</v>
      </c>
      <c r="AL639" s="62" t="s">
        <v>1987</v>
      </c>
      <c r="AM639" s="61" t="s">
        <v>1489</v>
      </c>
      <c r="AN639" s="62">
        <v>165</v>
      </c>
      <c r="AO639" s="61" t="s">
        <v>1902</v>
      </c>
      <c r="AP639" s="59" t="str">
        <f>IFERROR(VLOOKUP($A639,[2]Mssp!$A$5:$BE$1463,AP$4+1,0),0)</f>
        <v>2002434-1</v>
      </c>
      <c r="AQ639" s="59">
        <f>IFERROR(VLOOKUP($A639,[2]Mssp!$A$5:$BE$1463,AQ$4+1,0),0)</f>
        <v>0</v>
      </c>
      <c r="AR639" s="59">
        <f>IFERROR(VLOOKUP($A639,[2]Mssp!$A$5:$BE$1463,AR$4+1,0),0)</f>
        <v>0</v>
      </c>
      <c r="AS639" s="59">
        <f>IFERROR(VLOOKUP($A639,[2]Mssp!$A$5:$BE$1463,AS$4+1,0),0)</f>
        <v>0</v>
      </c>
      <c r="AT639" s="59">
        <f>IFERROR(VLOOKUP($A639,[2]Mssp!$A$5:$BE$1463,AT$4+1,0),0)</f>
        <v>0</v>
      </c>
      <c r="AU639" s="59">
        <f>IFERROR(VLOOKUP($A639,[2]Mssp!$A$5:$BE$1463,AU$4+1,0),0)</f>
        <v>0</v>
      </c>
      <c r="AV639" s="59">
        <f>IFERROR(VLOOKUP($A639,[2]Mssp!$A$5:$BE$1463,AV$4+1,0),0)</f>
        <v>0</v>
      </c>
      <c r="AW639" s="59">
        <f>IFERROR(VLOOKUP($A639,[2]Mssp!$A$5:$BE$1463,AW$4+1,0),0)</f>
        <v>0</v>
      </c>
      <c r="AX639" s="59">
        <f>IFERROR(VLOOKUP($A639,[2]Mssp!$A$5:$BE$1463,AX$4+1,0),0)</f>
        <v>0</v>
      </c>
      <c r="AY639" s="59" t="str">
        <f>IFERROR(VLOOKUP($A639,[2]Mssp!$A$5:$BE$1463,AY$4+2,0),0)</f>
        <v>495x870</v>
      </c>
      <c r="AZ639" s="59" t="str">
        <f>IFERROR(VLOOKUP($A639,[2]Mssp!$A$5:$BE$1463,AZ$4+2,0),0)</f>
        <v>R2</v>
      </c>
      <c r="BA639" s="141"/>
      <c r="BB639" s="61"/>
      <c r="BC639" s="165"/>
      <c r="BD639" s="166"/>
      <c r="BE639" s="167"/>
      <c r="BF639" s="168"/>
      <c r="BG639" s="167"/>
      <c r="BH639" s="168"/>
      <c r="BI639" s="169"/>
      <c r="BJ639" s="168"/>
      <c r="BK639" s="134"/>
      <c r="BL639" s="168"/>
      <c r="BM639" s="167"/>
      <c r="BN639" s="168"/>
      <c r="BO639" s="62"/>
      <c r="BP639" s="168"/>
      <c r="BQ639" s="168"/>
      <c r="BR639" s="168"/>
      <c r="BS639" s="135"/>
      <c r="BT639" s="168"/>
      <c r="BU639" s="167"/>
      <c r="BV639" s="168"/>
      <c r="BW639" s="167"/>
      <c r="BX639" s="168"/>
      <c r="BY639" s="167"/>
      <c r="BZ639" s="168"/>
      <c r="CA639" s="167"/>
      <c r="CB639" s="168"/>
      <c r="CC639" s="167"/>
      <c r="CD639" s="168"/>
      <c r="CE639" s="62"/>
      <c r="CF639" s="62"/>
      <c r="CG639" s="9"/>
      <c r="CH639" s="9"/>
      <c r="CI639" s="9"/>
      <c r="CJ639" s="9"/>
      <c r="CK639" s="9"/>
      <c r="CL639" s="9"/>
      <c r="CM639" s="9"/>
      <c r="CN639" s="9"/>
      <c r="CO639" s="9"/>
      <c r="CP639" s="9"/>
    </row>
    <row r="640" spans="1:94" ht="60" x14ac:dyDescent="0.25">
      <c r="A640" s="127" t="s">
        <v>2052</v>
      </c>
      <c r="B640" s="51" t="s">
        <v>2053</v>
      </c>
      <c r="C640" s="62"/>
      <c r="D640" s="84">
        <v>8</v>
      </c>
      <c r="E640" s="62" t="s">
        <v>2054</v>
      </c>
      <c r="F640" s="62">
        <v>7</v>
      </c>
      <c r="G640" s="62" t="s">
        <v>184</v>
      </c>
      <c r="H640" s="50">
        <f>VLOOKUP($A640,'[1]ma sp 02'!$A$5:$BD$1101,H$1,0)</f>
        <v>0.183</v>
      </c>
      <c r="I640" s="50">
        <f>VLOOKUP($A640,'[1]ma sp 02'!$A$5:$BD$1101,I$1,0)</f>
        <v>0.69</v>
      </c>
      <c r="J640" s="50">
        <f>VLOOKUP($A640,'[1]ma sp 02'!$A$5:$BD$1101,J$1,0)</f>
        <v>0.05</v>
      </c>
      <c r="K640" s="50">
        <f>VLOOKUP($A640,'[1]ma sp 02'!$A$5:$BD$1101,K$1,0)</f>
        <v>3.6999999999999998E-2</v>
      </c>
      <c r="L640" s="50">
        <f>VLOOKUP($A640,'[1]ma sp 02'!$A$5:$BD$1101,L$1,0)</f>
        <v>0.155</v>
      </c>
      <c r="M640" s="50">
        <f>VLOOKUP($A640,'[1]ma sp 02'!$A$5:$BD$1101,M$1,0)</f>
        <v>0.4</v>
      </c>
      <c r="N640" s="50">
        <f>VLOOKUP($A640,'[1]ma sp 02'!$A$5:$BD$1101,N$1,0)</f>
        <v>0</v>
      </c>
      <c r="O640" s="50">
        <f>VLOOKUP($A640,'[1]ma sp 02'!$A$5:$BD$1101,O$1,0)</f>
        <v>7.0000000000000007E-2</v>
      </c>
      <c r="P640" s="50">
        <f>VLOOKUP($A640,'[1]ma sp 02'!$A$5:$BD$1101,P$1,0)</f>
        <v>0.14000000000000001</v>
      </c>
      <c r="Q640" s="50">
        <f>VLOOKUP($A640,'[1]ma sp 02'!$A$5:$BD$1101,Q$1,0)</f>
        <v>0.01</v>
      </c>
      <c r="R640" s="50">
        <f>VLOOKUP($A640,'[1]ma sp 02'!$A$5:$BD$1101,R$1,0)</f>
        <v>0</v>
      </c>
      <c r="S640" s="50">
        <f>VLOOKUP($A640,'[1]ma sp 02'!$A$5:$BD$1101,S$1,0)</f>
        <v>0.06</v>
      </c>
      <c r="T640" s="50">
        <f>VLOOKUP($A640,'[1]ma sp 02'!$A$5:$BD$1101,T$1,0)</f>
        <v>0</v>
      </c>
      <c r="U640" s="50">
        <f>VLOOKUP($A640,'[1]ma sp 02'!$A$5:$BD$1101,U$1,0)</f>
        <v>0</v>
      </c>
      <c r="V640" s="50">
        <f>VLOOKUP($A640,'[1]ma sp 02'!$A$5:$BD$1101,V$1,0)</f>
        <v>0</v>
      </c>
      <c r="W640" s="50">
        <f>VLOOKUP($A640,'[1]ma sp 02'!$A$5:$BD$1101,W$1,0)</f>
        <v>0</v>
      </c>
      <c r="X640" s="50"/>
      <c r="Y640" s="62"/>
      <c r="Z640" s="62"/>
      <c r="AA640" s="62"/>
      <c r="AB640" s="62"/>
      <c r="AC640" s="62"/>
      <c r="AD640" s="62"/>
      <c r="AE640" s="62" t="s">
        <v>2055</v>
      </c>
      <c r="AF640" s="62"/>
      <c r="AG640" s="53">
        <f>(0.02*0.91+0.02*0.91)*1.02</f>
        <v>3.7128000000000001E-2</v>
      </c>
      <c r="AH640" s="175">
        <f>0.0012/3</f>
        <v>3.9999999999999996E-4</v>
      </c>
      <c r="AI640" s="54"/>
      <c r="AJ640" s="62" t="s">
        <v>1881</v>
      </c>
      <c r="AK640" s="62"/>
      <c r="AL640" s="62">
        <v>1.1999999999999999E-3</v>
      </c>
      <c r="AM640" s="61" t="s">
        <v>1489</v>
      </c>
      <c r="AN640" s="62">
        <v>117</v>
      </c>
      <c r="AO640" s="61" t="s">
        <v>2056</v>
      </c>
      <c r="AP640" s="59" t="str">
        <f>IFERROR(VLOOKUP($A640,[2]Mssp!$A$5:$BE$1463,AP$4+1,0),0)</f>
        <v>2002955-1</v>
      </c>
      <c r="AQ640" s="59" t="str">
        <f>IFERROR(VLOOKUP($A640,[2]Mssp!$A$5:$BE$1463,AQ$4+1,0),0)</f>
        <v>2002955-2</v>
      </c>
      <c r="AR640" s="59" t="str">
        <f>IFERROR(VLOOKUP($A640,[2]Mssp!$A$5:$BE$1463,AR$4+1,0),0)</f>
        <v>2002955-3</v>
      </c>
      <c r="AS640" s="59" t="str">
        <f>IFERROR(VLOOKUP($A640,[2]Mssp!$A$5:$BE$1463,AS$4+1,0),0)</f>
        <v>2002955-4</v>
      </c>
      <c r="AT640" s="59" t="str">
        <f>IFERROR(VLOOKUP($A640,[2]Mssp!$A$5:$BE$1463,AT$4+1,0),0)</f>
        <v>2002955-5</v>
      </c>
      <c r="AU640" s="59" t="str">
        <f>IFERROR(VLOOKUP($A640,[2]Mssp!$A$5:$BE$1463,AU$4+1,0),0)</f>
        <v>2002955-6</v>
      </c>
      <c r="AV640" s="59" t="str">
        <f>IFERROR(VLOOKUP($A640,[2]Mssp!$A$5:$BE$1463,AV$4+1,0),0)</f>
        <v>2002955-7</v>
      </c>
      <c r="AW640" s="59">
        <f>IFERROR(VLOOKUP($A640,[2]Mssp!$A$5:$BE$1463,AW$4+1,0),0)</f>
        <v>0</v>
      </c>
      <c r="AX640" s="59">
        <f>IFERROR(VLOOKUP($A640,[2]Mssp!$A$5:$BE$1463,AX$4+1,0),0)</f>
        <v>0</v>
      </c>
      <c r="AY640" s="59" t="str">
        <f>IFERROR(VLOOKUP($A640,[2]Mssp!$A$5:$BE$1463,AY$4+2,0),0)</f>
        <v>468x1150</v>
      </c>
      <c r="AZ640" s="59" t="str">
        <f>IFERROR(VLOOKUP($A640,[2]Mssp!$A$5:$BE$1463,AZ$4+2,0),0)</f>
        <v>R2</v>
      </c>
      <c r="BA640" s="114" t="s">
        <v>1307</v>
      </c>
      <c r="BB640" s="61" t="s">
        <v>62</v>
      </c>
      <c r="BC640" s="165"/>
      <c r="BD640" s="166"/>
      <c r="BE640" s="167"/>
      <c r="BF640" s="168"/>
      <c r="BG640" s="167"/>
      <c r="BH640" s="168"/>
      <c r="BI640" s="169"/>
      <c r="BJ640" s="168"/>
      <c r="BK640" s="134"/>
      <c r="BL640" s="168"/>
      <c r="BM640" s="167"/>
      <c r="BN640" s="168"/>
      <c r="BO640" s="62"/>
      <c r="BP640" s="168"/>
      <c r="BQ640" s="168"/>
      <c r="BR640" s="168"/>
      <c r="BS640" s="135"/>
      <c r="BT640" s="168"/>
      <c r="BU640" s="167"/>
      <c r="BV640" s="168"/>
      <c r="BW640" s="167"/>
      <c r="BX640" s="168"/>
      <c r="BY640" s="167"/>
      <c r="BZ640" s="168"/>
      <c r="CA640" s="167"/>
      <c r="CB640" s="168"/>
      <c r="CC640" s="167"/>
      <c r="CD640" s="168"/>
      <c r="CE640" s="62"/>
      <c r="CF640" s="62"/>
      <c r="CG640" s="9"/>
      <c r="CH640" s="9"/>
      <c r="CI640" s="9"/>
      <c r="CJ640" s="9"/>
      <c r="CK640" s="9"/>
      <c r="CL640" s="9"/>
      <c r="CM640" s="9"/>
      <c r="CN640" s="9"/>
      <c r="CO640" s="9"/>
      <c r="CP640" s="9"/>
    </row>
    <row r="641" spans="1:94" ht="30" x14ac:dyDescent="0.25">
      <c r="A641" s="127" t="s">
        <v>2057</v>
      </c>
      <c r="B641" s="51" t="s">
        <v>2058</v>
      </c>
      <c r="C641" s="62"/>
      <c r="D641" s="84">
        <v>2</v>
      </c>
      <c r="E641" s="62" t="s">
        <v>2059</v>
      </c>
      <c r="F641" s="62">
        <v>7</v>
      </c>
      <c r="G641" s="62" t="s">
        <v>184</v>
      </c>
      <c r="H641" s="50">
        <f>VLOOKUP($A641,'[1]ma sp 02'!$A$5:$BD$1101,H$1,0)</f>
        <v>0.01</v>
      </c>
      <c r="I641" s="50">
        <f>VLOOKUP($A641,'[1]ma sp 02'!$A$5:$BD$1101,I$1,0)</f>
        <v>2.39</v>
      </c>
      <c r="J641" s="50">
        <f>VLOOKUP($A641,'[1]ma sp 02'!$A$5:$BD$1101,J$1,0)</f>
        <v>0.27</v>
      </c>
      <c r="K641" s="50">
        <f>VLOOKUP($A641,'[1]ma sp 02'!$A$5:$BD$1101,K$1,0)</f>
        <v>0.01</v>
      </c>
      <c r="L641" s="50">
        <f>VLOOKUP($A641,'[1]ma sp 02'!$A$5:$BD$1101,L$1,0)</f>
        <v>0.51</v>
      </c>
      <c r="M641" s="50">
        <f>VLOOKUP($A641,'[1]ma sp 02'!$A$5:$BD$1101,M$1,0)</f>
        <v>0.24</v>
      </c>
      <c r="N641" s="50">
        <f>VLOOKUP($A641,'[1]ma sp 02'!$A$5:$BD$1101,N$1,0)</f>
        <v>0</v>
      </c>
      <c r="O641" s="50">
        <f>VLOOKUP($A641,'[1]ma sp 02'!$A$5:$BD$1101,O$1,0)</f>
        <v>0</v>
      </c>
      <c r="P641" s="50">
        <f>VLOOKUP($A641,'[1]ma sp 02'!$A$5:$BD$1101,P$1,0)</f>
        <v>0.92</v>
      </c>
      <c r="Q641" s="50">
        <f>VLOOKUP($A641,'[1]ma sp 02'!$A$5:$BD$1101,Q$1,0)</f>
        <v>0.63</v>
      </c>
      <c r="R641" s="50">
        <f>VLOOKUP($A641,'[1]ma sp 02'!$A$5:$BD$1101,R$1,0)</f>
        <v>0</v>
      </c>
      <c r="S641" s="50">
        <f>VLOOKUP($A641,'[1]ma sp 02'!$A$5:$BD$1101,S$1,0)</f>
        <v>0.01</v>
      </c>
      <c r="T641" s="50">
        <f>VLOOKUP($A641,'[1]ma sp 02'!$A$5:$BD$1101,T$1,0)</f>
        <v>0</v>
      </c>
      <c r="U641" s="50">
        <f>VLOOKUP($A641,'[1]ma sp 02'!$A$5:$BD$1101,U$1,0)</f>
        <v>0</v>
      </c>
      <c r="V641" s="50">
        <f>VLOOKUP($A641,'[1]ma sp 02'!$A$5:$BD$1101,V$1,0)</f>
        <v>0</v>
      </c>
      <c r="W641" s="50">
        <f>VLOOKUP($A641,'[1]ma sp 02'!$A$5:$BD$1101,W$1,0)</f>
        <v>0</v>
      </c>
      <c r="X641" s="50"/>
      <c r="Y641" s="62"/>
      <c r="Z641" s="62"/>
      <c r="AA641" s="62"/>
      <c r="AB641" s="62"/>
      <c r="AC641" s="62"/>
      <c r="AD641" s="62"/>
      <c r="AE641" s="62" t="s">
        <v>2060</v>
      </c>
      <c r="AF641" s="62"/>
      <c r="AG641" s="53">
        <f>(0.03*0.91+0.035*0.91)*0.84</f>
        <v>4.9686000000000008E-2</v>
      </c>
      <c r="AH641" s="175">
        <f>0.0012/3</f>
        <v>3.9999999999999996E-4</v>
      </c>
      <c r="AI641" s="54"/>
      <c r="AJ641" s="62" t="s">
        <v>1881</v>
      </c>
      <c r="AK641" s="62"/>
      <c r="AL641" s="62">
        <v>1.1999999999999999E-3</v>
      </c>
      <c r="AM641" s="61" t="s">
        <v>1489</v>
      </c>
      <c r="AN641" s="62">
        <v>340</v>
      </c>
      <c r="AO641" s="61" t="s">
        <v>2056</v>
      </c>
      <c r="AP641" s="59" t="str">
        <f>IFERROR(VLOOKUP($A641,[2]Mssp!$A$5:$BE$1463,AP$4+1,0),0)</f>
        <v>2002956-1</v>
      </c>
      <c r="AQ641" s="59" t="str">
        <f>IFERROR(VLOOKUP($A641,[2]Mssp!$A$5:$BE$1463,AQ$4+1,0),0)</f>
        <v>2002956-2</v>
      </c>
      <c r="AR641" s="59" t="str">
        <f>IFERROR(VLOOKUP($A641,[2]Mssp!$A$5:$BE$1463,AR$4+1,0),0)</f>
        <v>2002956-3</v>
      </c>
      <c r="AS641" s="59" t="str">
        <f>IFERROR(VLOOKUP($A641,[2]Mssp!$A$5:$BE$1463,AS$4+1,0),0)</f>
        <v>2002956-4</v>
      </c>
      <c r="AT641" s="59" t="str">
        <f>IFERROR(VLOOKUP($A641,[2]Mssp!$A$5:$BE$1463,AT$4+1,0),0)</f>
        <v>2002956-5</v>
      </c>
      <c r="AU641" s="59" t="str">
        <f>IFERROR(VLOOKUP($A641,[2]Mssp!$A$5:$BE$1463,AU$4+1,0),0)</f>
        <v>2002956-6</v>
      </c>
      <c r="AV641" s="59" t="str">
        <f>IFERROR(VLOOKUP($A641,[2]Mssp!$A$5:$BE$1463,AV$4+1,0),0)</f>
        <v>2002956-7</v>
      </c>
      <c r="AW641" s="59">
        <f>IFERROR(VLOOKUP($A641,[2]Mssp!$A$5:$BE$1463,AW$4+1,0),0)</f>
        <v>0</v>
      </c>
      <c r="AX641" s="59">
        <f>IFERROR(VLOOKUP($A641,[2]Mssp!$A$5:$BE$1463,AX$4+1,0),0)</f>
        <v>0</v>
      </c>
      <c r="AY641" s="59" t="str">
        <f>IFERROR(VLOOKUP($A641,[2]Mssp!$A$5:$BE$1463,AY$4+2,0),0)</f>
        <v>680x1100</v>
      </c>
      <c r="AZ641" s="59" t="str">
        <f>IFERROR(VLOOKUP($A641,[2]Mssp!$A$5:$BE$1463,AZ$4+2,0),0)</f>
        <v>R2</v>
      </c>
      <c r="BA641" s="141"/>
      <c r="BB641" s="61" t="s">
        <v>1894</v>
      </c>
      <c r="BC641" s="165"/>
      <c r="BD641" s="166"/>
      <c r="BE641" s="167"/>
      <c r="BF641" s="168"/>
      <c r="BG641" s="167"/>
      <c r="BH641" s="168"/>
      <c r="BI641" s="169"/>
      <c r="BJ641" s="168"/>
      <c r="BK641" s="134"/>
      <c r="BL641" s="168"/>
      <c r="BM641" s="167"/>
      <c r="BN641" s="168"/>
      <c r="BO641" s="62"/>
      <c r="BP641" s="168"/>
      <c r="BQ641" s="168"/>
      <c r="BR641" s="168"/>
      <c r="BS641" s="135"/>
      <c r="BT641" s="168"/>
      <c r="BU641" s="167"/>
      <c r="BV641" s="168"/>
      <c r="BW641" s="167"/>
      <c r="BX641" s="168"/>
      <c r="BY641" s="167"/>
      <c r="BZ641" s="168"/>
      <c r="CA641" s="167"/>
      <c r="CB641" s="168"/>
      <c r="CC641" s="167"/>
      <c r="CD641" s="168"/>
      <c r="CE641" s="62"/>
      <c r="CF641" s="62"/>
      <c r="CG641" s="9"/>
      <c r="CH641" s="9"/>
      <c r="CI641" s="9"/>
      <c r="CJ641" s="9"/>
      <c r="CK641" s="9"/>
      <c r="CL641" s="9"/>
      <c r="CM641" s="9"/>
      <c r="CN641" s="9"/>
      <c r="CO641" s="9"/>
      <c r="CP641" s="9"/>
    </row>
    <row r="642" spans="1:94" ht="30" x14ac:dyDescent="0.25">
      <c r="A642" s="127" t="s">
        <v>2061</v>
      </c>
      <c r="B642" s="51" t="s">
        <v>2062</v>
      </c>
      <c r="C642" s="62"/>
      <c r="D642" s="84">
        <v>1</v>
      </c>
      <c r="E642" s="62" t="s">
        <v>315</v>
      </c>
      <c r="F642" s="62">
        <v>4</v>
      </c>
      <c r="G642" s="62" t="s">
        <v>184</v>
      </c>
      <c r="H642" s="50">
        <f>VLOOKUP($A642,'[1]ma sp 02'!$A$5:$BD$1101,H$1,0)</f>
        <v>0</v>
      </c>
      <c r="I642" s="50">
        <f>VLOOKUP($A642,'[1]ma sp 02'!$A$5:$BD$1101,I$1,0)</f>
        <v>7.2</v>
      </c>
      <c r="J642" s="50">
        <f>VLOOKUP($A642,'[1]ma sp 02'!$A$5:$BD$1101,J$1,0)</f>
        <v>0.01</v>
      </c>
      <c r="K642" s="50">
        <f>VLOOKUP($A642,'[1]ma sp 02'!$A$5:$BD$1101,K$1,0)</f>
        <v>2.2400000000000002</v>
      </c>
      <c r="L642" s="50">
        <f>VLOOKUP($A642,'[1]ma sp 02'!$A$5:$BD$1101,L$1,0)</f>
        <v>0.81</v>
      </c>
      <c r="M642" s="50">
        <f>VLOOKUP($A642,'[1]ma sp 02'!$A$5:$BD$1101,M$1,0)</f>
        <v>1.42</v>
      </c>
      <c r="N642" s="50">
        <f>VLOOKUP($A642,'[1]ma sp 02'!$A$5:$BD$1101,N$1,0)</f>
        <v>0</v>
      </c>
      <c r="O642" s="50">
        <f>VLOOKUP($A642,'[1]ma sp 02'!$A$5:$BD$1101,O$1,0)</f>
        <v>0.01</v>
      </c>
      <c r="P642" s="50">
        <f>VLOOKUP($A642,'[1]ma sp 02'!$A$5:$BD$1101,P$1,0)</f>
        <v>0.5</v>
      </c>
      <c r="Q642" s="50">
        <f>VLOOKUP($A642,'[1]ma sp 02'!$A$5:$BD$1101,Q$1,0)</f>
        <v>0</v>
      </c>
      <c r="R642" s="50">
        <f>VLOOKUP($A642,'[1]ma sp 02'!$A$5:$BD$1101,R$1,0)</f>
        <v>0</v>
      </c>
      <c r="S642" s="50">
        <f>VLOOKUP($A642,'[1]ma sp 02'!$A$5:$BD$1101,S$1,0)</f>
        <v>0</v>
      </c>
      <c r="T642" s="50">
        <f>VLOOKUP($A642,'[1]ma sp 02'!$A$5:$BD$1101,T$1,0)</f>
        <v>0</v>
      </c>
      <c r="U642" s="50">
        <f>VLOOKUP($A642,'[1]ma sp 02'!$A$5:$BD$1101,U$1,0)</f>
        <v>0</v>
      </c>
      <c r="V642" s="50">
        <f>VLOOKUP($A642,'[1]ma sp 02'!$A$5:$BD$1101,V$1,0)</f>
        <v>0</v>
      </c>
      <c r="W642" s="50">
        <f>VLOOKUP($A642,'[1]ma sp 02'!$A$5:$BD$1101,W$1,0)</f>
        <v>0</v>
      </c>
      <c r="X642" s="50"/>
      <c r="Y642" s="62"/>
      <c r="Z642" s="62"/>
      <c r="AA642" s="62"/>
      <c r="AB642" s="62"/>
      <c r="AC642" s="62"/>
      <c r="AD642" s="62"/>
      <c r="AE642" s="62" t="s">
        <v>525</v>
      </c>
      <c r="AF642" s="62" t="s">
        <v>2063</v>
      </c>
      <c r="AG642" s="53">
        <f>(0.02*0.91+0.012*1.4+0.14*0.925)*0.82</f>
        <v>0.13489000000000001</v>
      </c>
      <c r="AH642" s="54">
        <f>(2.3/0.75/2)*0.81</f>
        <v>1.242</v>
      </c>
      <c r="AI642" s="54">
        <f>(2.5/0.75/2)*0.81</f>
        <v>1.35</v>
      </c>
      <c r="AJ642" s="62">
        <v>9530</v>
      </c>
      <c r="AK642" s="62">
        <v>9530</v>
      </c>
      <c r="AL642" s="104" t="s">
        <v>2064</v>
      </c>
      <c r="AM642" s="61" t="s">
        <v>2065</v>
      </c>
      <c r="AN642" s="62">
        <v>345</v>
      </c>
      <c r="AO642" s="61" t="s">
        <v>2066</v>
      </c>
      <c r="AP642" s="59" t="str">
        <f>IFERROR(VLOOKUP($A642,[2]Mssp!$A$5:$BE$1463,AP$4+1,0),0)</f>
        <v>F125531-1</v>
      </c>
      <c r="AQ642" s="59" t="str">
        <f>IFERROR(VLOOKUP($A642,[2]Mssp!$A$5:$BE$1463,AQ$4+1,0),0)</f>
        <v>F125531-2</v>
      </c>
      <c r="AR642" s="59" t="str">
        <f>IFERROR(VLOOKUP($A642,[2]Mssp!$A$5:$BE$1463,AR$4+1,0),0)</f>
        <v>F125531-3</v>
      </c>
      <c r="AS642" s="59" t="str">
        <f>IFERROR(VLOOKUP($A642,[2]Mssp!$A$5:$BE$1463,AS$4+1,0),0)</f>
        <v>F125531-4</v>
      </c>
      <c r="AT642" s="59">
        <f>IFERROR(VLOOKUP($A642,[2]Mssp!$A$5:$BE$1463,AT$4+1,0),0)</f>
        <v>0</v>
      </c>
      <c r="AU642" s="59">
        <f>IFERROR(VLOOKUP($A642,[2]Mssp!$A$5:$BE$1463,AU$4+1,0),0)</f>
        <v>0</v>
      </c>
      <c r="AV642" s="59">
        <f>IFERROR(VLOOKUP($A642,[2]Mssp!$A$5:$BE$1463,AV$4+1,0),0)</f>
        <v>0</v>
      </c>
      <c r="AW642" s="59">
        <f>IFERROR(VLOOKUP($A642,[2]Mssp!$A$5:$BE$1463,AW$4+1,0),0)</f>
        <v>0</v>
      </c>
      <c r="AX642" s="59">
        <f>IFERROR(VLOOKUP($A642,[2]Mssp!$A$5:$BE$1463,AX$4+1,0),0)</f>
        <v>0</v>
      </c>
      <c r="AY642" s="59" t="str">
        <f>IFERROR(VLOOKUP($A642,[2]Mssp!$A$5:$BE$1463,AY$4+2,0),0)</f>
        <v>870x516</v>
      </c>
      <c r="AZ642" s="59" t="str">
        <f>IFERROR(VLOOKUP($A642,[2]Mssp!$A$5:$BE$1463,AZ$4+2,0),0)</f>
        <v>R2</v>
      </c>
      <c r="BA642" s="141"/>
      <c r="BB642" s="61"/>
      <c r="BC642" s="165"/>
      <c r="BD642" s="166"/>
      <c r="BE642" s="167"/>
      <c r="BF642" s="168"/>
      <c r="BG642" s="167"/>
      <c r="BH642" s="168"/>
      <c r="BI642" s="169"/>
      <c r="BJ642" s="168"/>
      <c r="BK642" s="134"/>
      <c r="BL642" s="168"/>
      <c r="BM642" s="167"/>
      <c r="BN642" s="168"/>
      <c r="BO642" s="62"/>
      <c r="BP642" s="168"/>
      <c r="BQ642" s="168"/>
      <c r="BR642" s="168"/>
      <c r="BS642" s="135"/>
      <c r="BT642" s="168"/>
      <c r="BU642" s="167"/>
      <c r="BV642" s="168"/>
      <c r="BW642" s="167"/>
      <c r="BX642" s="168"/>
      <c r="BY642" s="167"/>
      <c r="BZ642" s="168"/>
      <c r="CA642" s="167"/>
      <c r="CB642" s="168"/>
      <c r="CC642" s="167"/>
      <c r="CD642" s="168"/>
      <c r="CE642" s="62"/>
      <c r="CF642" s="62"/>
      <c r="CG642" s="9"/>
      <c r="CH642" s="9"/>
      <c r="CI642" s="9"/>
      <c r="CJ642" s="9"/>
      <c r="CK642" s="9"/>
      <c r="CL642" s="9"/>
      <c r="CM642" s="9"/>
      <c r="CN642" s="9"/>
      <c r="CO642" s="9"/>
      <c r="CP642" s="9"/>
    </row>
    <row r="643" spans="1:94" x14ac:dyDescent="0.25">
      <c r="A643" s="127" t="s">
        <v>2067</v>
      </c>
      <c r="B643" s="51" t="s">
        <v>2068</v>
      </c>
      <c r="C643" s="62"/>
      <c r="D643" s="84">
        <v>2</v>
      </c>
      <c r="E643" s="62" t="s">
        <v>393</v>
      </c>
      <c r="F643" s="62">
        <v>8</v>
      </c>
      <c r="G643" s="62" t="s">
        <v>530</v>
      </c>
      <c r="H643" s="50">
        <f>VLOOKUP($A643,'[1]ma sp 02'!$A$5:$BD$1101,H$1,0)</f>
        <v>0.01</v>
      </c>
      <c r="I643" s="50">
        <f>VLOOKUP($A643,'[1]ma sp 02'!$A$5:$BD$1101,I$1,0)</f>
        <v>3.528</v>
      </c>
      <c r="J643" s="50">
        <f>VLOOKUP($A643,'[1]ma sp 02'!$A$5:$BD$1101,J$1,0)</f>
        <v>0.48099999999999998</v>
      </c>
      <c r="K643" s="50">
        <f>VLOOKUP($A643,'[1]ma sp 02'!$A$5:$BD$1101,K$1,0)</f>
        <v>0.57699999999999996</v>
      </c>
      <c r="L643" s="50">
        <f>VLOOKUP($A643,'[1]ma sp 02'!$A$5:$BD$1101,L$1,0)</f>
        <v>0.93</v>
      </c>
      <c r="M643" s="50">
        <f>VLOOKUP($A643,'[1]ma sp 02'!$A$5:$BD$1101,M$1,0)</f>
        <v>0</v>
      </c>
      <c r="N643" s="50">
        <f>VLOOKUP($A643,'[1]ma sp 02'!$A$5:$BD$1101,N$1,0)</f>
        <v>0</v>
      </c>
      <c r="O643" s="50">
        <f>VLOOKUP($A643,'[1]ma sp 02'!$A$5:$BD$1101,O$1,0)</f>
        <v>0</v>
      </c>
      <c r="P643" s="50">
        <f>VLOOKUP($A643,'[1]ma sp 02'!$A$5:$BD$1101,P$1,0)</f>
        <v>1.7</v>
      </c>
      <c r="Q643" s="50">
        <f>VLOOKUP($A643,'[1]ma sp 02'!$A$5:$BD$1101,Q$1,0)</f>
        <v>0</v>
      </c>
      <c r="R643" s="50">
        <f>VLOOKUP($A643,'[1]ma sp 02'!$A$5:$BD$1101,R$1,0)</f>
        <v>0.01</v>
      </c>
      <c r="S643" s="50">
        <f>VLOOKUP($A643,'[1]ma sp 02'!$A$5:$BD$1101,S$1,0)</f>
        <v>0</v>
      </c>
      <c r="T643" s="50">
        <f>VLOOKUP($A643,'[1]ma sp 02'!$A$5:$BD$1101,T$1,0)</f>
        <v>0</v>
      </c>
      <c r="U643" s="50">
        <f>VLOOKUP($A643,'[1]ma sp 02'!$A$5:$BD$1101,U$1,0)</f>
        <v>0</v>
      </c>
      <c r="V643" s="50">
        <f>VLOOKUP($A643,'[1]ma sp 02'!$A$5:$BD$1101,V$1,0)</f>
        <v>0</v>
      </c>
      <c r="W643" s="50">
        <f>VLOOKUP($A643,'[1]ma sp 02'!$A$5:$BD$1101,W$1,0)</f>
        <v>0</v>
      </c>
      <c r="X643" s="50"/>
      <c r="Y643" s="62"/>
      <c r="Z643" s="62"/>
      <c r="AA643" s="62"/>
      <c r="AB643" s="62"/>
      <c r="AC643" s="62"/>
      <c r="AD643" s="62"/>
      <c r="AE643" s="62" t="s">
        <v>394</v>
      </c>
      <c r="AF643" s="62" t="s">
        <v>2069</v>
      </c>
      <c r="AG643" s="53">
        <f>(0.02*0.91+0.012*1.4+0.035*0.925)*0.66</f>
        <v>4.4467500000000014E-2</v>
      </c>
      <c r="AH643" s="54">
        <f>(2.3/0.75/2)*0.65</f>
        <v>0.99666666666666659</v>
      </c>
      <c r="AI643" s="54">
        <f>(2.5/0.75/2)*0.65</f>
        <v>1.0833333333333335</v>
      </c>
      <c r="AJ643" s="62">
        <v>9530</v>
      </c>
      <c r="AK643" s="62">
        <v>9530</v>
      </c>
      <c r="AL643" s="62" t="s">
        <v>2070</v>
      </c>
      <c r="AM643" s="61" t="s">
        <v>1489</v>
      </c>
      <c r="AN643" s="62">
        <v>216</v>
      </c>
      <c r="AO643" s="61" t="s">
        <v>169</v>
      </c>
      <c r="AP643" s="59" t="str">
        <f>IFERROR(VLOOKUP($A643,[2]Mssp!$A$5:$BE$1463,AP$4+1,0),0)</f>
        <v>F125535-1</v>
      </c>
      <c r="AQ643" s="59" t="str">
        <f>IFERROR(VLOOKUP($A643,[2]Mssp!$A$5:$BE$1463,AQ$4+1,0),0)</f>
        <v>F125535-2</v>
      </c>
      <c r="AR643" s="59" t="str">
        <f>IFERROR(VLOOKUP($A643,[2]Mssp!$A$5:$BE$1463,AR$4+1,0),0)</f>
        <v>F125535-3</v>
      </c>
      <c r="AS643" s="59" t="str">
        <f>IFERROR(VLOOKUP($A643,[2]Mssp!$A$5:$BE$1463,AS$4+1,0),0)</f>
        <v>F125535-4</v>
      </c>
      <c r="AT643" s="59" t="str">
        <f>IFERROR(VLOOKUP($A643,[2]Mssp!$A$5:$BE$1463,AT$4+1,0),0)</f>
        <v>F125535-5</v>
      </c>
      <c r="AU643" s="59" t="str">
        <f>IFERROR(VLOOKUP($A643,[2]Mssp!$A$5:$BE$1463,AU$4+1,0),0)</f>
        <v>F125535-6</v>
      </c>
      <c r="AV643" s="59" t="str">
        <f>IFERROR(VLOOKUP($A643,[2]Mssp!$A$5:$BE$1463,AV$4+1,0),0)</f>
        <v>F125535-7</v>
      </c>
      <c r="AW643" s="59" t="str">
        <f>IFERROR(VLOOKUP($A643,[2]Mssp!$A$5:$BE$1463,AW$4+1,0),0)</f>
        <v>F125535-8</v>
      </c>
      <c r="AX643" s="59">
        <f>IFERROR(VLOOKUP($A643,[2]Mssp!$A$5:$BE$1463,AX$4+1,0),0)</f>
        <v>0</v>
      </c>
      <c r="AY643" s="59" t="str">
        <f>IFERROR(VLOOKUP($A643,[2]Mssp!$A$5:$BE$1463,AY$4+2,0),0)</f>
        <v>870x432</v>
      </c>
      <c r="AZ643" s="59" t="str">
        <f>IFERROR(VLOOKUP($A643,[2]Mssp!$A$5:$BE$1463,AZ$4+2,0),0)</f>
        <v>R2</v>
      </c>
      <c r="BA643" s="141"/>
      <c r="BB643" s="61"/>
      <c r="BC643" s="165"/>
      <c r="BD643" s="166"/>
      <c r="BE643" s="167"/>
      <c r="BF643" s="168"/>
      <c r="BG643" s="167"/>
      <c r="BH643" s="168"/>
      <c r="BI643" s="169"/>
      <c r="BJ643" s="168"/>
      <c r="BK643" s="134"/>
      <c r="BL643" s="168"/>
      <c r="BM643" s="167"/>
      <c r="BN643" s="168"/>
      <c r="BO643" s="62"/>
      <c r="BP643" s="168"/>
      <c r="BQ643" s="168"/>
      <c r="BR643" s="168"/>
      <c r="BS643" s="135"/>
      <c r="BT643" s="168"/>
      <c r="BU643" s="167"/>
      <c r="BV643" s="168"/>
      <c r="BW643" s="167"/>
      <c r="BX643" s="168"/>
      <c r="BY643" s="167"/>
      <c r="BZ643" s="168"/>
      <c r="CA643" s="167"/>
      <c r="CB643" s="168"/>
      <c r="CC643" s="167"/>
      <c r="CD643" s="168"/>
      <c r="CE643" s="62"/>
      <c r="CF643" s="62"/>
      <c r="CG643" s="9"/>
      <c r="CH643" s="9"/>
      <c r="CI643" s="9"/>
      <c r="CJ643" s="9"/>
      <c r="CK643" s="9"/>
      <c r="CL643" s="9"/>
      <c r="CM643" s="9"/>
      <c r="CN643" s="9"/>
      <c r="CO643" s="9"/>
      <c r="CP643" s="9"/>
    </row>
    <row r="644" spans="1:94" x14ac:dyDescent="0.25">
      <c r="A644" s="127" t="s">
        <v>2071</v>
      </c>
      <c r="B644" s="51" t="s">
        <v>2072</v>
      </c>
      <c r="C644" s="62"/>
      <c r="D644" s="84">
        <v>3</v>
      </c>
      <c r="E644" s="62" t="s">
        <v>1985</v>
      </c>
      <c r="F644" s="62">
        <v>1</v>
      </c>
      <c r="G644" s="62" t="s">
        <v>184</v>
      </c>
      <c r="H644" s="50">
        <f>VLOOKUP($A644,'[1]ma sp 02'!$A$5:$BD$1101,H$1,0)</f>
        <v>0</v>
      </c>
      <c r="I644" s="50">
        <f>VLOOKUP($A644,'[1]ma sp 02'!$A$5:$BD$1101,I$1,0)</f>
        <v>0</v>
      </c>
      <c r="J644" s="50">
        <f>VLOOKUP($A644,'[1]ma sp 02'!$A$5:$BD$1101,J$1,0)</f>
        <v>0</v>
      </c>
      <c r="K644" s="50">
        <f>VLOOKUP($A644,'[1]ma sp 02'!$A$5:$BD$1101,K$1,0)</f>
        <v>0</v>
      </c>
      <c r="L644" s="50">
        <f>VLOOKUP($A644,'[1]ma sp 02'!$A$5:$BD$1101,L$1,0)</f>
        <v>1.1200000000000001</v>
      </c>
      <c r="M644" s="50">
        <f>VLOOKUP($A644,'[1]ma sp 02'!$A$5:$BD$1101,M$1,0)</f>
        <v>0</v>
      </c>
      <c r="N644" s="50">
        <f>VLOOKUP($A644,'[1]ma sp 02'!$A$5:$BD$1101,N$1,0)</f>
        <v>0</v>
      </c>
      <c r="O644" s="50">
        <f>VLOOKUP($A644,'[1]ma sp 02'!$A$5:$BD$1101,O$1,0)</f>
        <v>0.01</v>
      </c>
      <c r="P644" s="50">
        <f>VLOOKUP($A644,'[1]ma sp 02'!$A$5:$BD$1101,P$1,0)</f>
        <v>0</v>
      </c>
      <c r="Q644" s="50">
        <f>VLOOKUP($A644,'[1]ma sp 02'!$A$5:$BD$1101,Q$1,0)</f>
        <v>0</v>
      </c>
      <c r="R644" s="50">
        <f>VLOOKUP($A644,'[1]ma sp 02'!$A$5:$BD$1101,R$1,0)</f>
        <v>0</v>
      </c>
      <c r="S644" s="50">
        <f>VLOOKUP($A644,'[1]ma sp 02'!$A$5:$BD$1101,S$1,0)</f>
        <v>0</v>
      </c>
      <c r="T644" s="50">
        <f>VLOOKUP($A644,'[1]ma sp 02'!$A$5:$BD$1101,T$1,0)</f>
        <v>0</v>
      </c>
      <c r="U644" s="50">
        <f>VLOOKUP($A644,'[1]ma sp 02'!$A$5:$BD$1101,U$1,0)</f>
        <v>0</v>
      </c>
      <c r="V644" s="50">
        <f>VLOOKUP($A644,'[1]ma sp 02'!$A$5:$BD$1101,V$1,0)</f>
        <v>0</v>
      </c>
      <c r="W644" s="50">
        <f>VLOOKUP($A644,'[1]ma sp 02'!$A$5:$BD$1101,W$1,0)</f>
        <v>0</v>
      </c>
      <c r="X644" s="50"/>
      <c r="Y644" s="62"/>
      <c r="Z644" s="62"/>
      <c r="AA644" s="62"/>
      <c r="AB644" s="62"/>
      <c r="AC644" s="62"/>
      <c r="AD644" s="62"/>
      <c r="AE644" s="62" t="s">
        <v>456</v>
      </c>
      <c r="AF644" s="62" t="s">
        <v>1986</v>
      </c>
      <c r="AG644" s="53">
        <f>(0.02*0.91+0.012*1.4+0.045*0.925)*0.77</f>
        <v>5.9001249999999998E-2</v>
      </c>
      <c r="AH644" s="54">
        <f t="shared" ref="AH644:AI646" si="26">(2.3/0.75/2)*0.76</f>
        <v>1.1653333333333333</v>
      </c>
      <c r="AI644" s="54">
        <f t="shared" si="26"/>
        <v>1.1653333333333333</v>
      </c>
      <c r="AJ644" s="62">
        <v>9530</v>
      </c>
      <c r="AK644" s="62">
        <v>9530</v>
      </c>
      <c r="AL644" s="62" t="s">
        <v>1987</v>
      </c>
      <c r="AM644" s="61" t="s">
        <v>1489</v>
      </c>
      <c r="AN644" s="62">
        <v>165</v>
      </c>
      <c r="AO644" s="61" t="s">
        <v>1902</v>
      </c>
      <c r="AP644" s="59" t="str">
        <f>IFERROR(VLOOKUP($A644,[2]Mssp!$A$5:$BE$1463,AP$4+1,0),0)</f>
        <v>20021185-1</v>
      </c>
      <c r="AQ644" s="59">
        <f>IFERROR(VLOOKUP($A644,[2]Mssp!$A$5:$BE$1463,AQ$4+1,0),0)</f>
        <v>0</v>
      </c>
      <c r="AR644" s="59">
        <f>IFERROR(VLOOKUP($A644,[2]Mssp!$A$5:$BE$1463,AR$4+1,0),0)</f>
        <v>0</v>
      </c>
      <c r="AS644" s="59">
        <f>IFERROR(VLOOKUP($A644,[2]Mssp!$A$5:$BE$1463,AS$4+1,0),0)</f>
        <v>0</v>
      </c>
      <c r="AT644" s="59">
        <f>IFERROR(VLOOKUP($A644,[2]Mssp!$A$5:$BE$1463,AT$4+1,0),0)</f>
        <v>0</v>
      </c>
      <c r="AU644" s="59">
        <f>IFERROR(VLOOKUP($A644,[2]Mssp!$A$5:$BE$1463,AU$4+1,0),0)</f>
        <v>0</v>
      </c>
      <c r="AV644" s="59">
        <f>IFERROR(VLOOKUP($A644,[2]Mssp!$A$5:$BE$1463,AV$4+1,0),0)</f>
        <v>0</v>
      </c>
      <c r="AW644" s="59">
        <f>IFERROR(VLOOKUP($A644,[2]Mssp!$A$5:$BE$1463,AW$4+1,0),0)</f>
        <v>0</v>
      </c>
      <c r="AX644" s="59">
        <f>IFERROR(VLOOKUP($A644,[2]Mssp!$A$5:$BE$1463,AX$4+1,0),0)</f>
        <v>0</v>
      </c>
      <c r="AY644" s="59" t="str">
        <f>IFERROR(VLOOKUP($A644,[2]Mssp!$A$5:$BE$1463,AY$4+2,0),0)</f>
        <v>495x870</v>
      </c>
      <c r="AZ644" s="59" t="str">
        <f>IFERROR(VLOOKUP($A644,[2]Mssp!$A$5:$BE$1463,AZ$4+2,0),0)</f>
        <v>R2</v>
      </c>
      <c r="BA644" s="141"/>
      <c r="BB644" s="61"/>
      <c r="BC644" s="165"/>
      <c r="BD644" s="166"/>
      <c r="BE644" s="167"/>
      <c r="BF644" s="168"/>
      <c r="BG644" s="167"/>
      <c r="BH644" s="168"/>
      <c r="BI644" s="169"/>
      <c r="BJ644" s="168"/>
      <c r="BK644" s="134"/>
      <c r="BL644" s="168"/>
      <c r="BM644" s="167"/>
      <c r="BN644" s="168"/>
      <c r="BO644" s="62"/>
      <c r="BP644" s="168"/>
      <c r="BQ644" s="168"/>
      <c r="BR644" s="168"/>
      <c r="BS644" s="135"/>
      <c r="BT644" s="168"/>
      <c r="BU644" s="167"/>
      <c r="BV644" s="168"/>
      <c r="BW644" s="167"/>
      <c r="BX644" s="168"/>
      <c r="BY644" s="167"/>
      <c r="BZ644" s="168"/>
      <c r="CA644" s="167"/>
      <c r="CB644" s="168"/>
      <c r="CC644" s="167"/>
      <c r="CD644" s="168"/>
      <c r="CE644" s="62"/>
      <c r="CF644" s="62"/>
      <c r="CG644" s="9"/>
      <c r="CH644" s="9"/>
      <c r="CI644" s="9"/>
      <c r="CJ644" s="9"/>
      <c r="CK644" s="9"/>
      <c r="CL644" s="9"/>
      <c r="CM644" s="9"/>
      <c r="CN644" s="9"/>
      <c r="CO644" s="9"/>
      <c r="CP644" s="9"/>
    </row>
    <row r="645" spans="1:94" x14ac:dyDescent="0.25">
      <c r="A645" s="127" t="s">
        <v>2073</v>
      </c>
      <c r="B645" s="51" t="s">
        <v>2074</v>
      </c>
      <c r="C645" s="62"/>
      <c r="D645" s="84">
        <v>3</v>
      </c>
      <c r="E645" s="62" t="s">
        <v>1985</v>
      </c>
      <c r="F645" s="62">
        <v>1</v>
      </c>
      <c r="G645" s="62" t="s">
        <v>184</v>
      </c>
      <c r="H645" s="50">
        <f>VLOOKUP($A645,'[1]ma sp 02'!$A$5:$BD$1101,H$1,0)</f>
        <v>0</v>
      </c>
      <c r="I645" s="50">
        <f>VLOOKUP($A645,'[1]ma sp 02'!$A$5:$BD$1101,I$1,0)</f>
        <v>0</v>
      </c>
      <c r="J645" s="50">
        <f>VLOOKUP($A645,'[1]ma sp 02'!$A$5:$BD$1101,J$1,0)</f>
        <v>0</v>
      </c>
      <c r="K645" s="50">
        <f>VLOOKUP($A645,'[1]ma sp 02'!$A$5:$BD$1101,K$1,0)</f>
        <v>0</v>
      </c>
      <c r="L645" s="50">
        <f>VLOOKUP($A645,'[1]ma sp 02'!$A$5:$BD$1101,L$1,0)</f>
        <v>1.1100000000000001</v>
      </c>
      <c r="M645" s="50">
        <f>VLOOKUP($A645,'[1]ma sp 02'!$A$5:$BD$1101,M$1,0)</f>
        <v>0</v>
      </c>
      <c r="N645" s="50">
        <f>VLOOKUP($A645,'[1]ma sp 02'!$A$5:$BD$1101,N$1,0)</f>
        <v>0</v>
      </c>
      <c r="O645" s="50">
        <f>VLOOKUP($A645,'[1]ma sp 02'!$A$5:$BD$1101,O$1,0)</f>
        <v>0.01</v>
      </c>
      <c r="P645" s="50">
        <f>VLOOKUP($A645,'[1]ma sp 02'!$A$5:$BD$1101,P$1,0)</f>
        <v>0</v>
      </c>
      <c r="Q645" s="50">
        <f>VLOOKUP($A645,'[1]ma sp 02'!$A$5:$BD$1101,Q$1,0)</f>
        <v>0</v>
      </c>
      <c r="R645" s="50">
        <f>VLOOKUP($A645,'[1]ma sp 02'!$A$5:$BD$1101,R$1,0)</f>
        <v>0</v>
      </c>
      <c r="S645" s="50">
        <f>VLOOKUP($A645,'[1]ma sp 02'!$A$5:$BD$1101,S$1,0)</f>
        <v>0</v>
      </c>
      <c r="T645" s="50">
        <f>VLOOKUP($A645,'[1]ma sp 02'!$A$5:$BD$1101,T$1,0)</f>
        <v>0</v>
      </c>
      <c r="U645" s="50">
        <f>VLOOKUP($A645,'[1]ma sp 02'!$A$5:$BD$1101,U$1,0)</f>
        <v>0</v>
      </c>
      <c r="V645" s="50">
        <f>VLOOKUP($A645,'[1]ma sp 02'!$A$5:$BD$1101,V$1,0)</f>
        <v>0</v>
      </c>
      <c r="W645" s="50">
        <f>VLOOKUP($A645,'[1]ma sp 02'!$A$5:$BD$1101,W$1,0)</f>
        <v>0</v>
      </c>
      <c r="X645" s="50"/>
      <c r="Y645" s="62"/>
      <c r="Z645" s="62"/>
      <c r="AA645" s="62"/>
      <c r="AB645" s="62"/>
      <c r="AC645" s="62"/>
      <c r="AD645" s="62"/>
      <c r="AE645" s="62" t="s">
        <v>456</v>
      </c>
      <c r="AF645" s="62" t="s">
        <v>1986</v>
      </c>
      <c r="AG645" s="53">
        <f>(0.02*0.91+0.012*1.4+0.045*0.925)*0.77</f>
        <v>5.9001249999999998E-2</v>
      </c>
      <c r="AH645" s="54">
        <f t="shared" si="26"/>
        <v>1.1653333333333333</v>
      </c>
      <c r="AI645" s="54">
        <f t="shared" si="26"/>
        <v>1.1653333333333333</v>
      </c>
      <c r="AJ645" s="62">
        <v>9530</v>
      </c>
      <c r="AK645" s="62">
        <v>9530</v>
      </c>
      <c r="AL645" s="62" t="s">
        <v>1987</v>
      </c>
      <c r="AM645" s="61" t="s">
        <v>1489</v>
      </c>
      <c r="AN645" s="62">
        <v>175</v>
      </c>
      <c r="AO645" s="61" t="s">
        <v>1902</v>
      </c>
      <c r="AP645" s="59" t="str">
        <f>IFERROR(VLOOKUP($A645,[2]Mssp!$A$5:$BE$1463,AP$4+1,0),0)</f>
        <v>20021186-1</v>
      </c>
      <c r="AQ645" s="59">
        <f>IFERROR(VLOOKUP($A645,[2]Mssp!$A$5:$BE$1463,AQ$4+1,0),0)</f>
        <v>0</v>
      </c>
      <c r="AR645" s="59">
        <f>IFERROR(VLOOKUP($A645,[2]Mssp!$A$5:$BE$1463,AR$4+1,0),0)</f>
        <v>0</v>
      </c>
      <c r="AS645" s="59">
        <f>IFERROR(VLOOKUP($A645,[2]Mssp!$A$5:$BE$1463,AS$4+1,0),0)</f>
        <v>0</v>
      </c>
      <c r="AT645" s="59">
        <f>IFERROR(VLOOKUP($A645,[2]Mssp!$A$5:$BE$1463,AT$4+1,0),0)</f>
        <v>0</v>
      </c>
      <c r="AU645" s="59">
        <f>IFERROR(VLOOKUP($A645,[2]Mssp!$A$5:$BE$1463,AU$4+1,0),0)</f>
        <v>0</v>
      </c>
      <c r="AV645" s="59">
        <f>IFERROR(VLOOKUP($A645,[2]Mssp!$A$5:$BE$1463,AV$4+1,0),0)</f>
        <v>0</v>
      </c>
      <c r="AW645" s="59">
        <f>IFERROR(VLOOKUP($A645,[2]Mssp!$A$5:$BE$1463,AW$4+1,0),0)</f>
        <v>0</v>
      </c>
      <c r="AX645" s="59">
        <f>IFERROR(VLOOKUP($A645,[2]Mssp!$A$5:$BE$1463,AX$4+1,0),0)</f>
        <v>0</v>
      </c>
      <c r="AY645" s="59" t="str">
        <f>IFERROR(VLOOKUP($A645,[2]Mssp!$A$5:$BE$1463,AY$4+2,0),0)</f>
        <v>525x870</v>
      </c>
      <c r="AZ645" s="59" t="str">
        <f>IFERROR(VLOOKUP($A645,[2]Mssp!$A$5:$BE$1463,AZ$4+2,0),0)</f>
        <v>R2</v>
      </c>
      <c r="BA645" s="141"/>
      <c r="BB645" s="61"/>
      <c r="BC645" s="165"/>
      <c r="BD645" s="166"/>
      <c r="BE645" s="167"/>
      <c r="BF645" s="168"/>
      <c r="BG645" s="167"/>
      <c r="BH645" s="168"/>
      <c r="BI645" s="169"/>
      <c r="BJ645" s="168"/>
      <c r="BK645" s="134"/>
      <c r="BL645" s="168"/>
      <c r="BM645" s="167"/>
      <c r="BN645" s="168"/>
      <c r="BO645" s="62"/>
      <c r="BP645" s="168"/>
      <c r="BQ645" s="168"/>
      <c r="BR645" s="168"/>
      <c r="BS645" s="135"/>
      <c r="BT645" s="168"/>
      <c r="BU645" s="167"/>
      <c r="BV645" s="168"/>
      <c r="BW645" s="167"/>
      <c r="BX645" s="168"/>
      <c r="BY645" s="167"/>
      <c r="BZ645" s="168"/>
      <c r="CA645" s="167"/>
      <c r="CB645" s="168"/>
      <c r="CC645" s="167"/>
      <c r="CD645" s="168"/>
      <c r="CE645" s="62"/>
      <c r="CF645" s="62"/>
      <c r="CG645" s="9"/>
      <c r="CH645" s="9"/>
      <c r="CI645" s="9"/>
      <c r="CJ645" s="9"/>
      <c r="CK645" s="9"/>
      <c r="CL645" s="9"/>
      <c r="CM645" s="9"/>
      <c r="CN645" s="9"/>
      <c r="CO645" s="9"/>
      <c r="CP645" s="9"/>
    </row>
    <row r="646" spans="1:94" ht="45" x14ac:dyDescent="0.25">
      <c r="A646" s="127" t="s">
        <v>2075</v>
      </c>
      <c r="B646" s="51" t="s">
        <v>2076</v>
      </c>
      <c r="C646" s="62"/>
      <c r="D646" s="84">
        <v>4</v>
      </c>
      <c r="E646" s="62" t="s">
        <v>484</v>
      </c>
      <c r="F646" s="62">
        <v>2</v>
      </c>
      <c r="G646" s="62" t="s">
        <v>530</v>
      </c>
      <c r="H646" s="50">
        <f>VLOOKUP($A646,'[1]ma sp 02'!$A$5:$BD$1101,H$1,0)</f>
        <v>0.47</v>
      </c>
      <c r="I646" s="50">
        <f>VLOOKUP($A646,'[1]ma sp 02'!$A$5:$BD$1101,I$1,0)</f>
        <v>0</v>
      </c>
      <c r="J646" s="50">
        <f>VLOOKUP($A646,'[1]ma sp 02'!$A$5:$BD$1101,J$1,0)</f>
        <v>0.47</v>
      </c>
      <c r="K646" s="50">
        <f>VLOOKUP($A646,'[1]ma sp 02'!$A$5:$BD$1101,K$1,0)</f>
        <v>0</v>
      </c>
      <c r="L646" s="50">
        <f>VLOOKUP($A646,'[1]ma sp 02'!$A$5:$BD$1101,L$1,0)</f>
        <v>1.4</v>
      </c>
      <c r="M646" s="50">
        <f>VLOOKUP($A646,'[1]ma sp 02'!$A$5:$BD$1101,M$1,0)</f>
        <v>1.64</v>
      </c>
      <c r="N646" s="50">
        <f>VLOOKUP($A646,'[1]ma sp 02'!$A$5:$BD$1101,N$1,0)</f>
        <v>0</v>
      </c>
      <c r="O646" s="50">
        <f>VLOOKUP($A646,'[1]ma sp 02'!$A$5:$BD$1101,O$1,0)</f>
        <v>0.01</v>
      </c>
      <c r="P646" s="50">
        <f>VLOOKUP($A646,'[1]ma sp 02'!$A$5:$BD$1101,P$1,0)</f>
        <v>1.87</v>
      </c>
      <c r="Q646" s="50">
        <f>VLOOKUP($A646,'[1]ma sp 02'!$A$5:$BD$1101,Q$1,0)</f>
        <v>0</v>
      </c>
      <c r="R646" s="50">
        <f>VLOOKUP($A646,'[1]ma sp 02'!$A$5:$BD$1101,R$1,0)</f>
        <v>0</v>
      </c>
      <c r="S646" s="50">
        <f>VLOOKUP($A646,'[1]ma sp 02'!$A$5:$BD$1101,S$1,0)</f>
        <v>0</v>
      </c>
      <c r="T646" s="50">
        <f>VLOOKUP($A646,'[1]ma sp 02'!$A$5:$BD$1101,T$1,0)</f>
        <v>0</v>
      </c>
      <c r="U646" s="50">
        <f>VLOOKUP($A646,'[1]ma sp 02'!$A$5:$BD$1101,U$1,0)</f>
        <v>0</v>
      </c>
      <c r="V646" s="50">
        <f>VLOOKUP($A646,'[1]ma sp 02'!$A$5:$BD$1101,V$1,0)</f>
        <v>0</v>
      </c>
      <c r="W646" s="50">
        <f>VLOOKUP($A646,'[1]ma sp 02'!$A$5:$BD$1101,W$1,0)</f>
        <v>0</v>
      </c>
      <c r="X646" s="50"/>
      <c r="Y646" s="62"/>
      <c r="Z646" s="62"/>
      <c r="AA646" s="62"/>
      <c r="AB646" s="62"/>
      <c r="AC646" s="62"/>
      <c r="AD646" s="62"/>
      <c r="AE646" s="62" t="s">
        <v>615</v>
      </c>
      <c r="AF646" s="62" t="s">
        <v>2077</v>
      </c>
      <c r="AG646" s="53">
        <f>(0.012*1.4+0.012*1.4+0.055*0.925)*0.76</f>
        <v>6.4200999999999994E-2</v>
      </c>
      <c r="AH646" s="54">
        <f t="shared" si="26"/>
        <v>1.1653333333333333</v>
      </c>
      <c r="AI646" s="54">
        <f t="shared" si="26"/>
        <v>1.1653333333333333</v>
      </c>
      <c r="AJ646" s="62">
        <v>9530</v>
      </c>
      <c r="AK646" s="62">
        <v>9530</v>
      </c>
      <c r="AL646" s="62" t="s">
        <v>1987</v>
      </c>
      <c r="AM646" s="61" t="s">
        <v>1893</v>
      </c>
      <c r="AN646" s="62">
        <v>150</v>
      </c>
      <c r="AO646" s="61" t="s">
        <v>2078</v>
      </c>
      <c r="AP646" s="59" t="str">
        <f>IFERROR(VLOOKUP($A646,[2]Mssp!$A$5:$BE$1463,AP$4+1,0),0)</f>
        <v>20021215-1</v>
      </c>
      <c r="AQ646" s="59" t="str">
        <f>IFERROR(VLOOKUP($A646,[2]Mssp!$A$5:$BE$1463,AQ$4+1,0),0)</f>
        <v>20021215-2</v>
      </c>
      <c r="AR646" s="59">
        <f>IFERROR(VLOOKUP($A646,[2]Mssp!$A$5:$BE$1463,AR$4+1,0),0)</f>
        <v>0</v>
      </c>
      <c r="AS646" s="59">
        <f>IFERROR(VLOOKUP($A646,[2]Mssp!$A$5:$BE$1463,AS$4+1,0),0)</f>
        <v>0</v>
      </c>
      <c r="AT646" s="59">
        <f>IFERROR(VLOOKUP($A646,[2]Mssp!$A$5:$BE$1463,AT$4+1,0),0)</f>
        <v>0</v>
      </c>
      <c r="AU646" s="59">
        <f>IFERROR(VLOOKUP($A646,[2]Mssp!$A$5:$BE$1463,AU$4+1,0),0)</f>
        <v>0</v>
      </c>
      <c r="AV646" s="59">
        <f>IFERROR(VLOOKUP($A646,[2]Mssp!$A$5:$BE$1463,AV$4+1,0),0)</f>
        <v>0</v>
      </c>
      <c r="AW646" s="59">
        <f>IFERROR(VLOOKUP($A646,[2]Mssp!$A$5:$BE$1463,AW$4+1,0),0)</f>
        <v>0</v>
      </c>
      <c r="AX646" s="59">
        <f>IFERROR(VLOOKUP($A646,[2]Mssp!$A$5:$BE$1463,AX$4+1,0),0)</f>
        <v>0</v>
      </c>
      <c r="AY646" s="59" t="str">
        <f>IFERROR(VLOOKUP($A646,[2]Mssp!$A$5:$BE$1463,AY$4+2,0),0)</f>
        <v>420x870</v>
      </c>
      <c r="AZ646" s="59" t="str">
        <f>IFERROR(VLOOKUP($A646,[2]Mssp!$A$5:$BE$1463,AZ$4+2,0),0)</f>
        <v>R2</v>
      </c>
      <c r="BA646" s="141"/>
      <c r="BB646" s="61"/>
      <c r="BC646" s="165"/>
      <c r="BD646" s="166"/>
      <c r="BE646" s="167"/>
      <c r="BF646" s="168"/>
      <c r="BG646" s="167"/>
      <c r="BH646" s="168"/>
      <c r="BI646" s="169"/>
      <c r="BJ646" s="168"/>
      <c r="BK646" s="134"/>
      <c r="BL646" s="168"/>
      <c r="BM646" s="167"/>
      <c r="BN646" s="168"/>
      <c r="BO646" s="62"/>
      <c r="BP646" s="168"/>
      <c r="BQ646" s="168"/>
      <c r="BR646" s="168"/>
      <c r="BS646" s="135"/>
      <c r="BT646" s="168"/>
      <c r="BU646" s="167"/>
      <c r="BV646" s="168"/>
      <c r="BW646" s="167"/>
      <c r="BX646" s="168"/>
      <c r="BY646" s="167"/>
      <c r="BZ646" s="168"/>
      <c r="CA646" s="167"/>
      <c r="CB646" s="168"/>
      <c r="CC646" s="167"/>
      <c r="CD646" s="168"/>
      <c r="CE646" s="62"/>
      <c r="CF646" s="62"/>
      <c r="CG646" s="9"/>
      <c r="CH646" s="9"/>
      <c r="CI646" s="9"/>
      <c r="CJ646" s="9"/>
      <c r="CK646" s="9"/>
      <c r="CL646" s="9"/>
      <c r="CM646" s="9"/>
      <c r="CN646" s="9"/>
      <c r="CO646" s="9"/>
      <c r="CP646" s="9"/>
    </row>
    <row r="647" spans="1:94" ht="30" x14ac:dyDescent="0.25">
      <c r="A647" s="127" t="s">
        <v>2079</v>
      </c>
      <c r="B647" s="51" t="s">
        <v>2080</v>
      </c>
      <c r="C647" s="62"/>
      <c r="D647" s="84">
        <v>4</v>
      </c>
      <c r="E647" s="62" t="s">
        <v>65</v>
      </c>
      <c r="F647" s="62">
        <v>1</v>
      </c>
      <c r="G647" s="62" t="s">
        <v>184</v>
      </c>
      <c r="H647" s="50">
        <f>VLOOKUP($A647,'[1]ma sp 02'!$A$5:$BD$1101,H$1,0)</f>
        <v>3.81</v>
      </c>
      <c r="I647" s="50">
        <f>VLOOKUP($A647,'[1]ma sp 02'!$A$5:$BD$1101,I$1,0)</f>
        <v>0</v>
      </c>
      <c r="J647" s="50">
        <f>VLOOKUP($A647,'[1]ma sp 02'!$A$5:$BD$1101,J$1,0)</f>
        <v>0</v>
      </c>
      <c r="K647" s="50">
        <f>VLOOKUP($A647,'[1]ma sp 02'!$A$5:$BD$1101,K$1,0)</f>
        <v>0</v>
      </c>
      <c r="L647" s="50">
        <f>VLOOKUP($A647,'[1]ma sp 02'!$A$5:$BD$1101,L$1,0)</f>
        <v>0</v>
      </c>
      <c r="M647" s="50">
        <f>VLOOKUP($A647,'[1]ma sp 02'!$A$5:$BD$1101,M$1,0)</f>
        <v>0</v>
      </c>
      <c r="N647" s="50">
        <f>VLOOKUP($A647,'[1]ma sp 02'!$A$5:$BD$1101,N$1,0)</f>
        <v>0</v>
      </c>
      <c r="O647" s="50">
        <f>VLOOKUP($A647,'[1]ma sp 02'!$A$5:$BD$1101,O$1,0)</f>
        <v>0</v>
      </c>
      <c r="P647" s="50">
        <f>VLOOKUP($A647,'[1]ma sp 02'!$A$5:$BD$1101,P$1,0)</f>
        <v>0</v>
      </c>
      <c r="Q647" s="50">
        <f>VLOOKUP($A647,'[1]ma sp 02'!$A$5:$BD$1101,Q$1,0)</f>
        <v>0</v>
      </c>
      <c r="R647" s="50">
        <f>VLOOKUP($A647,'[1]ma sp 02'!$A$5:$BD$1101,R$1,0)</f>
        <v>0</v>
      </c>
      <c r="S647" s="50">
        <f>VLOOKUP($A647,'[1]ma sp 02'!$A$5:$BD$1101,S$1,0)</f>
        <v>0</v>
      </c>
      <c r="T647" s="50">
        <f>VLOOKUP($A647,'[1]ma sp 02'!$A$5:$BD$1101,T$1,0)</f>
        <v>0</v>
      </c>
      <c r="U647" s="50">
        <f>VLOOKUP($A647,'[1]ma sp 02'!$A$5:$BD$1101,U$1,0)</f>
        <v>0</v>
      </c>
      <c r="V647" s="50">
        <f>VLOOKUP($A647,'[1]ma sp 02'!$A$5:$BD$1101,V$1,0)</f>
        <v>0</v>
      </c>
      <c r="W647" s="50">
        <f>VLOOKUP($A647,'[1]ma sp 02'!$A$5:$BD$1101,W$1,0)</f>
        <v>0</v>
      </c>
      <c r="X647" s="50"/>
      <c r="Y647" s="62"/>
      <c r="Z647" s="62"/>
      <c r="AA647" s="62"/>
      <c r="AB647" s="62"/>
      <c r="AC647" s="62"/>
      <c r="AD647" s="62"/>
      <c r="AE647" s="62" t="s">
        <v>136</v>
      </c>
      <c r="AF647" s="62"/>
      <c r="AG647" s="53">
        <f>(0.02*0.91+0.025*0.91)*0.68</f>
        <v>2.7846000000000003E-2</v>
      </c>
      <c r="AH647" s="54">
        <f>(2/0.75/2)*0.73</f>
        <v>0.97333333333333327</v>
      </c>
      <c r="AI647" s="54"/>
      <c r="AJ647" s="62" t="s">
        <v>1881</v>
      </c>
      <c r="AK647" s="62"/>
      <c r="AL647" s="62">
        <v>1.1999999999999999E-3</v>
      </c>
      <c r="AM647" s="61" t="s">
        <v>1489</v>
      </c>
      <c r="AN647" s="62">
        <v>218</v>
      </c>
      <c r="AO647" s="61" t="s">
        <v>2081</v>
      </c>
      <c r="AP647" s="59">
        <f>IFERROR(VLOOKUP($A647,[2]Mssp!$A$5:$BE$1463,AP$4+1,0),0)</f>
        <v>0</v>
      </c>
      <c r="AQ647" s="59">
        <f>IFERROR(VLOOKUP($A647,[2]Mssp!$A$5:$BE$1463,AQ$4+1,0),0)</f>
        <v>0</v>
      </c>
      <c r="AR647" s="59">
        <f>IFERROR(VLOOKUP($A647,[2]Mssp!$A$5:$BE$1463,AR$4+1,0),0)</f>
        <v>0</v>
      </c>
      <c r="AS647" s="59">
        <f>IFERROR(VLOOKUP($A647,[2]Mssp!$A$5:$BE$1463,AS$4+1,0),0)</f>
        <v>0</v>
      </c>
      <c r="AT647" s="59">
        <f>IFERROR(VLOOKUP($A647,[2]Mssp!$A$5:$BE$1463,AT$4+1,0),0)</f>
        <v>0</v>
      </c>
      <c r="AU647" s="59">
        <f>IFERROR(VLOOKUP($A647,[2]Mssp!$A$5:$BE$1463,AU$4+1,0),0)</f>
        <v>0</v>
      </c>
      <c r="AV647" s="59">
        <f>IFERROR(VLOOKUP($A647,[2]Mssp!$A$5:$BE$1463,AV$4+1,0),0)</f>
        <v>0</v>
      </c>
      <c r="AW647" s="59">
        <f>IFERROR(VLOOKUP($A647,[2]Mssp!$A$5:$BE$1463,AW$4+1,0),0)</f>
        <v>0</v>
      </c>
      <c r="AX647" s="59">
        <f>IFERROR(VLOOKUP($A647,[2]Mssp!$A$5:$BE$1463,AX$4+1,0),0)</f>
        <v>0</v>
      </c>
      <c r="AY647" s="59">
        <f>IFERROR(VLOOKUP($A647,[2]Mssp!$A$5:$BE$1463,AY$4+2,0),0)</f>
        <v>0</v>
      </c>
      <c r="AZ647" s="59">
        <f>IFERROR(VLOOKUP($A647,[2]Mssp!$A$5:$BE$1463,AZ$4+2,0),0)</f>
        <v>0</v>
      </c>
      <c r="BA647" s="141"/>
      <c r="BB647" s="61"/>
      <c r="BC647" s="165"/>
      <c r="BD647" s="166"/>
      <c r="BE647" s="167"/>
      <c r="BF647" s="168"/>
      <c r="BG647" s="167"/>
      <c r="BH647" s="168"/>
      <c r="BI647" s="169"/>
      <c r="BJ647" s="168"/>
      <c r="BK647" s="134"/>
      <c r="BL647" s="168"/>
      <c r="BM647" s="167"/>
      <c r="BN647" s="168"/>
      <c r="BO647" s="62"/>
      <c r="BP647" s="168"/>
      <c r="BQ647" s="168"/>
      <c r="BR647" s="168"/>
      <c r="BS647" s="135"/>
      <c r="BT647" s="168"/>
      <c r="BU647" s="167"/>
      <c r="BV647" s="168"/>
      <c r="BW647" s="167"/>
      <c r="BX647" s="168"/>
      <c r="BY647" s="167"/>
      <c r="BZ647" s="168"/>
      <c r="CA647" s="167"/>
      <c r="CB647" s="168"/>
      <c r="CC647" s="167"/>
      <c r="CD647" s="168"/>
      <c r="CE647" s="62"/>
      <c r="CF647" s="62"/>
      <c r="CG647" s="9"/>
      <c r="CH647" s="9"/>
      <c r="CI647" s="9"/>
      <c r="CJ647" s="9"/>
      <c r="CK647" s="9"/>
      <c r="CL647" s="9"/>
      <c r="CM647" s="9"/>
      <c r="CN647" s="9"/>
      <c r="CO647" s="9"/>
      <c r="CP647" s="9"/>
    </row>
    <row r="648" spans="1:94" ht="30" x14ac:dyDescent="0.25">
      <c r="A648" s="127" t="s">
        <v>2082</v>
      </c>
      <c r="B648" s="51" t="s">
        <v>2083</v>
      </c>
      <c r="C648" s="62"/>
      <c r="D648" s="84">
        <v>4</v>
      </c>
      <c r="E648" s="62" t="s">
        <v>135</v>
      </c>
      <c r="F648" s="62">
        <v>1</v>
      </c>
      <c r="G648" s="62" t="s">
        <v>184</v>
      </c>
      <c r="H648" s="50">
        <f>VLOOKUP($A648,'[1]ma sp 02'!$A$5:$BD$1101,H$1,0)</f>
        <v>2.84</v>
      </c>
      <c r="I648" s="50">
        <f>VLOOKUP($A648,'[1]ma sp 02'!$A$5:$BD$1101,I$1,0)</f>
        <v>0</v>
      </c>
      <c r="J648" s="50">
        <f>VLOOKUP($A648,'[1]ma sp 02'!$A$5:$BD$1101,J$1,0)</f>
        <v>0</v>
      </c>
      <c r="K648" s="50">
        <f>VLOOKUP($A648,'[1]ma sp 02'!$A$5:$BD$1101,K$1,0)</f>
        <v>0</v>
      </c>
      <c r="L648" s="50">
        <f>VLOOKUP($A648,'[1]ma sp 02'!$A$5:$BD$1101,L$1,0)</f>
        <v>0</v>
      </c>
      <c r="M648" s="50">
        <f>VLOOKUP($A648,'[1]ma sp 02'!$A$5:$BD$1101,M$1,0)</f>
        <v>0</v>
      </c>
      <c r="N648" s="50">
        <f>VLOOKUP($A648,'[1]ma sp 02'!$A$5:$BD$1101,N$1,0)</f>
        <v>0</v>
      </c>
      <c r="O648" s="50">
        <f>VLOOKUP($A648,'[1]ma sp 02'!$A$5:$BD$1101,O$1,0)</f>
        <v>0</v>
      </c>
      <c r="P648" s="50">
        <f>VLOOKUP($A648,'[1]ma sp 02'!$A$5:$BD$1101,P$1,0)</f>
        <v>0</v>
      </c>
      <c r="Q648" s="50">
        <f>VLOOKUP($A648,'[1]ma sp 02'!$A$5:$BD$1101,Q$1,0)</f>
        <v>0</v>
      </c>
      <c r="R648" s="50">
        <f>VLOOKUP($A648,'[1]ma sp 02'!$A$5:$BD$1101,R$1,0)</f>
        <v>0</v>
      </c>
      <c r="S648" s="50">
        <f>VLOOKUP($A648,'[1]ma sp 02'!$A$5:$BD$1101,S$1,0)</f>
        <v>0</v>
      </c>
      <c r="T648" s="50">
        <f>VLOOKUP($A648,'[1]ma sp 02'!$A$5:$BD$1101,T$1,0)</f>
        <v>0</v>
      </c>
      <c r="U648" s="50">
        <f>VLOOKUP($A648,'[1]ma sp 02'!$A$5:$BD$1101,U$1,0)</f>
        <v>0</v>
      </c>
      <c r="V648" s="50">
        <f>VLOOKUP($A648,'[1]ma sp 02'!$A$5:$BD$1101,V$1,0)</f>
        <v>0</v>
      </c>
      <c r="W648" s="50">
        <f>VLOOKUP($A648,'[1]ma sp 02'!$A$5:$BD$1101,W$1,0)</f>
        <v>0</v>
      </c>
      <c r="X648" s="50"/>
      <c r="Y648" s="62"/>
      <c r="Z648" s="62"/>
      <c r="AA648" s="62"/>
      <c r="AB648" s="62"/>
      <c r="AC648" s="62"/>
      <c r="AD648" s="62"/>
      <c r="AE648" s="62" t="s">
        <v>136</v>
      </c>
      <c r="AF648" s="62"/>
      <c r="AG648" s="53">
        <f>(0.02*0.91+0.025*0.91)*0.68</f>
        <v>2.7846000000000003E-2</v>
      </c>
      <c r="AH648" s="54">
        <f>(2/0.75/2)*0.73</f>
        <v>0.97333333333333327</v>
      </c>
      <c r="AI648" s="54"/>
      <c r="AJ648" s="62" t="s">
        <v>1881</v>
      </c>
      <c r="AK648" s="62"/>
      <c r="AL648" s="62">
        <v>1.1999999999999999E-3</v>
      </c>
      <c r="AM648" s="61" t="s">
        <v>1489</v>
      </c>
      <c r="AN648" s="62">
        <v>218</v>
      </c>
      <c r="AO648" s="61" t="s">
        <v>2081</v>
      </c>
      <c r="AP648" s="59">
        <f>IFERROR(VLOOKUP($A648,[2]Mssp!$A$5:$BE$1463,AP$4+1,0),0)</f>
        <v>0</v>
      </c>
      <c r="AQ648" s="59">
        <f>IFERROR(VLOOKUP($A648,[2]Mssp!$A$5:$BE$1463,AQ$4+1,0),0)</f>
        <v>0</v>
      </c>
      <c r="AR648" s="59">
        <f>IFERROR(VLOOKUP($A648,[2]Mssp!$A$5:$BE$1463,AR$4+1,0),0)</f>
        <v>0</v>
      </c>
      <c r="AS648" s="59">
        <f>IFERROR(VLOOKUP($A648,[2]Mssp!$A$5:$BE$1463,AS$4+1,0),0)</f>
        <v>0</v>
      </c>
      <c r="AT648" s="59">
        <f>IFERROR(VLOOKUP($A648,[2]Mssp!$A$5:$BE$1463,AT$4+1,0),0)</f>
        <v>0</v>
      </c>
      <c r="AU648" s="59">
        <f>IFERROR(VLOOKUP($A648,[2]Mssp!$A$5:$BE$1463,AU$4+1,0),0)</f>
        <v>0</v>
      </c>
      <c r="AV648" s="59">
        <f>IFERROR(VLOOKUP($A648,[2]Mssp!$A$5:$BE$1463,AV$4+1,0),0)</f>
        <v>0</v>
      </c>
      <c r="AW648" s="59">
        <f>IFERROR(VLOOKUP($A648,[2]Mssp!$A$5:$BE$1463,AW$4+1,0),0)</f>
        <v>0</v>
      </c>
      <c r="AX648" s="59">
        <f>IFERROR(VLOOKUP($A648,[2]Mssp!$A$5:$BE$1463,AX$4+1,0),0)</f>
        <v>0</v>
      </c>
      <c r="AY648" s="59">
        <f>IFERROR(VLOOKUP($A648,[2]Mssp!$A$5:$BE$1463,AY$4+2,0),0)</f>
        <v>0</v>
      </c>
      <c r="AZ648" s="59">
        <f>IFERROR(VLOOKUP($A648,[2]Mssp!$A$5:$BE$1463,AZ$4+2,0),0)</f>
        <v>0</v>
      </c>
      <c r="BA648" s="141"/>
      <c r="BB648" s="61"/>
      <c r="BC648" s="165"/>
      <c r="BD648" s="166"/>
      <c r="BE648" s="167"/>
      <c r="BF648" s="168"/>
      <c r="BG648" s="167"/>
      <c r="BH648" s="168"/>
      <c r="BI648" s="169"/>
      <c r="BJ648" s="168"/>
      <c r="BK648" s="134"/>
      <c r="BL648" s="168"/>
      <c r="BM648" s="167"/>
      <c r="BN648" s="168"/>
      <c r="BO648" s="62"/>
      <c r="BP648" s="168"/>
      <c r="BQ648" s="168"/>
      <c r="BR648" s="168"/>
      <c r="BS648" s="135"/>
      <c r="BT648" s="168"/>
      <c r="BU648" s="167"/>
      <c r="BV648" s="168"/>
      <c r="BW648" s="167"/>
      <c r="BX648" s="168"/>
      <c r="BY648" s="167"/>
      <c r="BZ648" s="168"/>
      <c r="CA648" s="167"/>
      <c r="CB648" s="168"/>
      <c r="CC648" s="167"/>
      <c r="CD648" s="168"/>
      <c r="CE648" s="62"/>
      <c r="CF648" s="62"/>
      <c r="CG648" s="9"/>
      <c r="CH648" s="9"/>
      <c r="CI648" s="9"/>
      <c r="CJ648" s="9"/>
      <c r="CK648" s="9"/>
      <c r="CL648" s="9"/>
      <c r="CM648" s="9"/>
      <c r="CN648" s="9"/>
      <c r="CO648" s="9"/>
      <c r="CP648" s="9"/>
    </row>
    <row r="649" spans="1:94" ht="30" x14ac:dyDescent="0.25">
      <c r="A649" s="127" t="s">
        <v>2084</v>
      </c>
      <c r="B649" s="51" t="s">
        <v>2085</v>
      </c>
      <c r="C649" s="62"/>
      <c r="D649" s="84">
        <v>4</v>
      </c>
      <c r="E649" s="62" t="s">
        <v>65</v>
      </c>
      <c r="F649" s="62">
        <v>1</v>
      </c>
      <c r="G649" s="62" t="s">
        <v>184</v>
      </c>
      <c r="H649" s="50">
        <f>VLOOKUP($A649,'[1]ma sp 02'!$A$5:$BD$1101,H$1,0)</f>
        <v>0</v>
      </c>
      <c r="I649" s="50">
        <f>VLOOKUP($A649,'[1]ma sp 02'!$A$5:$BD$1101,I$1,0)</f>
        <v>0</v>
      </c>
      <c r="J649" s="50">
        <f>VLOOKUP($A649,'[1]ma sp 02'!$A$5:$BD$1101,J$1,0)</f>
        <v>0</v>
      </c>
      <c r="K649" s="50">
        <f>VLOOKUP($A649,'[1]ma sp 02'!$A$5:$BD$1101,K$1,0)</f>
        <v>0</v>
      </c>
      <c r="L649" s="50">
        <f>VLOOKUP($A649,'[1]ma sp 02'!$A$5:$BD$1101,L$1,0)</f>
        <v>0</v>
      </c>
      <c r="M649" s="50">
        <f>VLOOKUP($A649,'[1]ma sp 02'!$A$5:$BD$1101,M$1,0)</f>
        <v>0</v>
      </c>
      <c r="N649" s="50">
        <f>VLOOKUP($A649,'[1]ma sp 02'!$A$5:$BD$1101,N$1,0)</f>
        <v>0</v>
      </c>
      <c r="O649" s="50">
        <f>VLOOKUP($A649,'[1]ma sp 02'!$A$5:$BD$1101,O$1,0)</f>
        <v>0</v>
      </c>
      <c r="P649" s="50">
        <f>VLOOKUP($A649,'[1]ma sp 02'!$A$5:$BD$1101,P$1,0)</f>
        <v>3.22</v>
      </c>
      <c r="Q649" s="50">
        <f>VLOOKUP($A649,'[1]ma sp 02'!$A$5:$BD$1101,Q$1,0)</f>
        <v>0.4</v>
      </c>
      <c r="R649" s="50">
        <f>VLOOKUP($A649,'[1]ma sp 02'!$A$5:$BD$1101,R$1,0)</f>
        <v>0</v>
      </c>
      <c r="S649" s="50">
        <f>VLOOKUP($A649,'[1]ma sp 02'!$A$5:$BD$1101,S$1,0)</f>
        <v>0</v>
      </c>
      <c r="T649" s="50">
        <f>VLOOKUP($A649,'[1]ma sp 02'!$A$5:$BD$1101,T$1,0)</f>
        <v>0</v>
      </c>
      <c r="U649" s="50">
        <f>VLOOKUP($A649,'[1]ma sp 02'!$A$5:$BD$1101,U$1,0)</f>
        <v>0</v>
      </c>
      <c r="V649" s="50">
        <f>VLOOKUP($A649,'[1]ma sp 02'!$A$5:$BD$1101,V$1,0)</f>
        <v>0</v>
      </c>
      <c r="W649" s="50">
        <f>VLOOKUP($A649,'[1]ma sp 02'!$A$5:$BD$1101,W$1,0)</f>
        <v>0</v>
      </c>
      <c r="X649" s="50"/>
      <c r="Y649" s="62"/>
      <c r="Z649" s="62"/>
      <c r="AA649" s="62"/>
      <c r="AB649" s="62"/>
      <c r="AC649" s="62"/>
      <c r="AD649" s="62"/>
      <c r="AE649" s="62" t="s">
        <v>136</v>
      </c>
      <c r="AF649" s="62"/>
      <c r="AG649" s="53">
        <f>(0.02*0.91+0.025*0.91)*0.68</f>
        <v>2.7846000000000003E-2</v>
      </c>
      <c r="AH649" s="54">
        <f>(2/0.75/2)*0.73</f>
        <v>0.97333333333333327</v>
      </c>
      <c r="AI649" s="54"/>
      <c r="AJ649" s="62" t="s">
        <v>1881</v>
      </c>
      <c r="AK649" s="62"/>
      <c r="AL649" s="62">
        <v>1.1999999999999999E-3</v>
      </c>
      <c r="AM649" s="61" t="s">
        <v>1489</v>
      </c>
      <c r="AN649" s="62">
        <v>218</v>
      </c>
      <c r="AO649" s="61" t="s">
        <v>2081</v>
      </c>
      <c r="AP649" s="59">
        <f>IFERROR(VLOOKUP($A649,[2]Mssp!$A$5:$BE$1463,AP$4+1,0),0)</f>
        <v>0</v>
      </c>
      <c r="AQ649" s="59">
        <f>IFERROR(VLOOKUP($A649,[2]Mssp!$A$5:$BE$1463,AQ$4+1,0),0)</f>
        <v>0</v>
      </c>
      <c r="AR649" s="59">
        <f>IFERROR(VLOOKUP($A649,[2]Mssp!$A$5:$BE$1463,AR$4+1,0),0)</f>
        <v>0</v>
      </c>
      <c r="AS649" s="59">
        <f>IFERROR(VLOOKUP($A649,[2]Mssp!$A$5:$BE$1463,AS$4+1,0),0)</f>
        <v>0</v>
      </c>
      <c r="AT649" s="59">
        <f>IFERROR(VLOOKUP($A649,[2]Mssp!$A$5:$BE$1463,AT$4+1,0),0)</f>
        <v>0</v>
      </c>
      <c r="AU649" s="59">
        <f>IFERROR(VLOOKUP($A649,[2]Mssp!$A$5:$BE$1463,AU$4+1,0),0)</f>
        <v>0</v>
      </c>
      <c r="AV649" s="59">
        <f>IFERROR(VLOOKUP($A649,[2]Mssp!$A$5:$BE$1463,AV$4+1,0),0)</f>
        <v>0</v>
      </c>
      <c r="AW649" s="59">
        <f>IFERROR(VLOOKUP($A649,[2]Mssp!$A$5:$BE$1463,AW$4+1,0),0)</f>
        <v>0</v>
      </c>
      <c r="AX649" s="59">
        <f>IFERROR(VLOOKUP($A649,[2]Mssp!$A$5:$BE$1463,AX$4+1,0),0)</f>
        <v>0</v>
      </c>
      <c r="AY649" s="59">
        <f>IFERROR(VLOOKUP($A649,[2]Mssp!$A$5:$BE$1463,AY$4+2,0),0)</f>
        <v>0</v>
      </c>
      <c r="AZ649" s="59">
        <f>IFERROR(VLOOKUP($A649,[2]Mssp!$A$5:$BE$1463,AZ$4+2,0),0)</f>
        <v>0</v>
      </c>
      <c r="BA649" s="141"/>
      <c r="BB649" s="61"/>
      <c r="BC649" s="165"/>
      <c r="BD649" s="166"/>
      <c r="BE649" s="167"/>
      <c r="BF649" s="168"/>
      <c r="BG649" s="167"/>
      <c r="BH649" s="168"/>
      <c r="BI649" s="169"/>
      <c r="BJ649" s="168"/>
      <c r="BK649" s="134"/>
      <c r="BL649" s="168"/>
      <c r="BM649" s="167"/>
      <c r="BN649" s="168"/>
      <c r="BO649" s="62"/>
      <c r="BP649" s="168"/>
      <c r="BQ649" s="168"/>
      <c r="BR649" s="168"/>
      <c r="BS649" s="135"/>
      <c r="BT649" s="168"/>
      <c r="BU649" s="167"/>
      <c r="BV649" s="168"/>
      <c r="BW649" s="167"/>
      <c r="BX649" s="168"/>
      <c r="BY649" s="167"/>
      <c r="BZ649" s="168"/>
      <c r="CA649" s="167"/>
      <c r="CB649" s="168"/>
      <c r="CC649" s="167"/>
      <c r="CD649" s="168"/>
      <c r="CE649" s="62"/>
      <c r="CF649" s="62"/>
      <c r="CG649" s="9"/>
      <c r="CH649" s="9"/>
      <c r="CI649" s="9"/>
      <c r="CJ649" s="9"/>
      <c r="CK649" s="9"/>
      <c r="CL649" s="9"/>
      <c r="CM649" s="9"/>
      <c r="CN649" s="9"/>
      <c r="CO649" s="9"/>
      <c r="CP649" s="9"/>
    </row>
    <row r="650" spans="1:94" ht="30" x14ac:dyDescent="0.25">
      <c r="A650" s="127" t="s">
        <v>2086</v>
      </c>
      <c r="B650" s="51" t="s">
        <v>2087</v>
      </c>
      <c r="C650" s="62"/>
      <c r="D650" s="84">
        <v>4</v>
      </c>
      <c r="E650" s="62" t="s">
        <v>65</v>
      </c>
      <c r="F650" s="62">
        <v>1</v>
      </c>
      <c r="G650" s="62" t="s">
        <v>184</v>
      </c>
      <c r="H650" s="50">
        <f>VLOOKUP($A650,'[1]ma sp 02'!$A$5:$BD$1101,H$1,0)</f>
        <v>0.73799999999999999</v>
      </c>
      <c r="I650" s="50">
        <f>VLOOKUP($A650,'[1]ma sp 02'!$A$5:$BD$1101,I$1,0)</f>
        <v>0</v>
      </c>
      <c r="J650" s="50">
        <f>VLOOKUP($A650,'[1]ma sp 02'!$A$5:$BD$1101,J$1,0)</f>
        <v>0</v>
      </c>
      <c r="K650" s="50">
        <f>VLOOKUP($A650,'[1]ma sp 02'!$A$5:$BD$1101,K$1,0)</f>
        <v>3.5</v>
      </c>
      <c r="L650" s="50">
        <f>VLOOKUP($A650,'[1]ma sp 02'!$A$5:$BD$1101,L$1,0)</f>
        <v>2.21</v>
      </c>
      <c r="M650" s="50">
        <f>VLOOKUP($A650,'[1]ma sp 02'!$A$5:$BD$1101,M$1,0)</f>
        <v>0</v>
      </c>
      <c r="N650" s="50">
        <f>VLOOKUP($A650,'[1]ma sp 02'!$A$5:$BD$1101,N$1,0)</f>
        <v>0</v>
      </c>
      <c r="O650" s="50">
        <f>VLOOKUP($A650,'[1]ma sp 02'!$A$5:$BD$1101,O$1,0)</f>
        <v>0</v>
      </c>
      <c r="P650" s="50">
        <f>VLOOKUP($A650,'[1]ma sp 02'!$A$5:$BD$1101,P$1,0)</f>
        <v>3.78</v>
      </c>
      <c r="Q650" s="50">
        <f>VLOOKUP($A650,'[1]ma sp 02'!$A$5:$BD$1101,Q$1,0)</f>
        <v>0</v>
      </c>
      <c r="R650" s="50">
        <f>VLOOKUP($A650,'[1]ma sp 02'!$A$5:$BD$1101,R$1,0)</f>
        <v>0</v>
      </c>
      <c r="S650" s="50">
        <f>VLOOKUP($A650,'[1]ma sp 02'!$A$5:$BD$1101,S$1,0)</f>
        <v>0</v>
      </c>
      <c r="T650" s="50">
        <f>VLOOKUP($A650,'[1]ma sp 02'!$A$5:$BD$1101,T$1,0)</f>
        <v>0.01</v>
      </c>
      <c r="U650" s="50">
        <f>VLOOKUP($A650,'[1]ma sp 02'!$A$5:$BD$1101,U$1,0)</f>
        <v>0</v>
      </c>
      <c r="V650" s="50">
        <f>VLOOKUP($A650,'[1]ma sp 02'!$A$5:$BD$1101,V$1,0)</f>
        <v>0</v>
      </c>
      <c r="W650" s="50">
        <f>VLOOKUP($A650,'[1]ma sp 02'!$A$5:$BD$1101,W$1,0)</f>
        <v>0</v>
      </c>
      <c r="X650" s="50"/>
      <c r="Y650" s="62"/>
      <c r="Z650" s="62"/>
      <c r="AA650" s="62"/>
      <c r="AB650" s="62"/>
      <c r="AC650" s="62"/>
      <c r="AD650" s="62"/>
      <c r="AE650" s="62" t="s">
        <v>136</v>
      </c>
      <c r="AF650" s="62"/>
      <c r="AG650" s="53">
        <f>(0.02*0.91+0.025*0.91)*0.68</f>
        <v>2.7846000000000003E-2</v>
      </c>
      <c r="AH650" s="54">
        <f>(2/0.75/2)*0.73</f>
        <v>0.97333333333333327</v>
      </c>
      <c r="AI650" s="54"/>
      <c r="AJ650" s="62" t="s">
        <v>1881</v>
      </c>
      <c r="AK650" s="62"/>
      <c r="AL650" s="62">
        <v>1.1999999999999999E-3</v>
      </c>
      <c r="AM650" s="61" t="s">
        <v>1489</v>
      </c>
      <c r="AN650" s="62">
        <v>218</v>
      </c>
      <c r="AO650" s="61" t="s">
        <v>2081</v>
      </c>
      <c r="AP650" s="59">
        <f>IFERROR(VLOOKUP($A650,[2]Mssp!$A$5:$BE$1463,AP$4+1,0),0)</f>
        <v>0</v>
      </c>
      <c r="AQ650" s="59">
        <f>IFERROR(VLOOKUP($A650,[2]Mssp!$A$5:$BE$1463,AQ$4+1,0),0)</f>
        <v>0</v>
      </c>
      <c r="AR650" s="59">
        <f>IFERROR(VLOOKUP($A650,[2]Mssp!$A$5:$BE$1463,AR$4+1,0),0)</f>
        <v>0</v>
      </c>
      <c r="AS650" s="59">
        <f>IFERROR(VLOOKUP($A650,[2]Mssp!$A$5:$BE$1463,AS$4+1,0),0)</f>
        <v>0</v>
      </c>
      <c r="AT650" s="59">
        <f>IFERROR(VLOOKUP($A650,[2]Mssp!$A$5:$BE$1463,AT$4+1,0),0)</f>
        <v>0</v>
      </c>
      <c r="AU650" s="59">
        <f>IFERROR(VLOOKUP($A650,[2]Mssp!$A$5:$BE$1463,AU$4+1,0),0)</f>
        <v>0</v>
      </c>
      <c r="AV650" s="59">
        <f>IFERROR(VLOOKUP($A650,[2]Mssp!$A$5:$BE$1463,AV$4+1,0),0)</f>
        <v>0</v>
      </c>
      <c r="AW650" s="59">
        <f>IFERROR(VLOOKUP($A650,[2]Mssp!$A$5:$BE$1463,AW$4+1,0),0)</f>
        <v>0</v>
      </c>
      <c r="AX650" s="59">
        <f>IFERROR(VLOOKUP($A650,[2]Mssp!$A$5:$BE$1463,AX$4+1,0),0)</f>
        <v>0</v>
      </c>
      <c r="AY650" s="59">
        <f>IFERROR(VLOOKUP($A650,[2]Mssp!$A$5:$BE$1463,AY$4+2,0),0)</f>
        <v>0</v>
      </c>
      <c r="AZ650" s="59">
        <f>IFERROR(VLOOKUP($A650,[2]Mssp!$A$5:$BE$1463,AZ$4+2,0),0)</f>
        <v>0</v>
      </c>
      <c r="BA650" s="141"/>
      <c r="BB650" s="61"/>
      <c r="BC650" s="165"/>
      <c r="BD650" s="166"/>
      <c r="BE650" s="167"/>
      <c r="BF650" s="168"/>
      <c r="BG650" s="167"/>
      <c r="BH650" s="168"/>
      <c r="BI650" s="169"/>
      <c r="BJ650" s="168"/>
      <c r="BK650" s="134"/>
      <c r="BL650" s="168"/>
      <c r="BM650" s="167"/>
      <c r="BN650" s="168"/>
      <c r="BO650" s="62"/>
      <c r="BP650" s="168"/>
      <c r="BQ650" s="168"/>
      <c r="BR650" s="168"/>
      <c r="BS650" s="135"/>
      <c r="BT650" s="168"/>
      <c r="BU650" s="167"/>
      <c r="BV650" s="168"/>
      <c r="BW650" s="167"/>
      <c r="BX650" s="168"/>
      <c r="BY650" s="167"/>
      <c r="BZ650" s="168"/>
      <c r="CA650" s="167"/>
      <c r="CB650" s="168"/>
      <c r="CC650" s="167"/>
      <c r="CD650" s="168"/>
      <c r="CE650" s="62"/>
      <c r="CF650" s="62"/>
      <c r="CG650" s="9"/>
      <c r="CH650" s="9"/>
      <c r="CI650" s="9"/>
      <c r="CJ650" s="9"/>
      <c r="CK650" s="9"/>
      <c r="CL650" s="9"/>
      <c r="CM650" s="9"/>
      <c r="CN650" s="9"/>
      <c r="CO650" s="9"/>
      <c r="CP650" s="9"/>
    </row>
    <row r="651" spans="1:94" ht="30" x14ac:dyDescent="0.25">
      <c r="A651" s="127" t="s">
        <v>2088</v>
      </c>
      <c r="B651" s="51" t="s">
        <v>2089</v>
      </c>
      <c r="C651" s="62"/>
      <c r="D651" s="84">
        <v>4</v>
      </c>
      <c r="E651" s="62" t="s">
        <v>65</v>
      </c>
      <c r="F651" s="62">
        <v>1</v>
      </c>
      <c r="G651" s="62" t="s">
        <v>184</v>
      </c>
      <c r="H651" s="50" t="e">
        <f>VLOOKUP($A651,'[1]ma sp 02'!$A$5:$BD$1101,H$1,0)</f>
        <v>#N/A</v>
      </c>
      <c r="I651" s="50" t="e">
        <f>VLOOKUP($A651,'[1]ma sp 02'!$A$5:$BD$1101,I$1,0)</f>
        <v>#N/A</v>
      </c>
      <c r="J651" s="50" t="e">
        <f>VLOOKUP($A651,'[1]ma sp 02'!$A$5:$BD$1101,J$1,0)</f>
        <v>#N/A</v>
      </c>
      <c r="K651" s="50" t="e">
        <f>VLOOKUP($A651,'[1]ma sp 02'!$A$5:$BD$1101,K$1,0)</f>
        <v>#N/A</v>
      </c>
      <c r="L651" s="50" t="e">
        <f>VLOOKUP($A651,'[1]ma sp 02'!$A$5:$BD$1101,L$1,0)</f>
        <v>#N/A</v>
      </c>
      <c r="M651" s="50" t="e">
        <f>VLOOKUP($A651,'[1]ma sp 02'!$A$5:$BD$1101,M$1,0)</f>
        <v>#N/A</v>
      </c>
      <c r="N651" s="50" t="e">
        <f>VLOOKUP($A651,'[1]ma sp 02'!$A$5:$BD$1101,N$1,0)</f>
        <v>#N/A</v>
      </c>
      <c r="O651" s="50" t="e">
        <f>VLOOKUP($A651,'[1]ma sp 02'!$A$5:$BD$1101,O$1,0)</f>
        <v>#N/A</v>
      </c>
      <c r="P651" s="50" t="e">
        <f>VLOOKUP($A651,'[1]ma sp 02'!$A$5:$BD$1101,P$1,0)</f>
        <v>#N/A</v>
      </c>
      <c r="Q651" s="50" t="e">
        <f>VLOOKUP($A651,'[1]ma sp 02'!$A$5:$BD$1101,Q$1,0)</f>
        <v>#N/A</v>
      </c>
      <c r="R651" s="50" t="e">
        <f>VLOOKUP($A651,'[1]ma sp 02'!$A$5:$BD$1101,R$1,0)</f>
        <v>#N/A</v>
      </c>
      <c r="S651" s="50" t="e">
        <f>VLOOKUP($A651,'[1]ma sp 02'!$A$5:$BD$1101,S$1,0)</f>
        <v>#N/A</v>
      </c>
      <c r="T651" s="50" t="e">
        <f>VLOOKUP($A651,'[1]ma sp 02'!$A$5:$BD$1101,T$1,0)</f>
        <v>#N/A</v>
      </c>
      <c r="U651" s="50" t="e">
        <f>VLOOKUP($A651,'[1]ma sp 02'!$A$5:$BD$1101,U$1,0)</f>
        <v>#N/A</v>
      </c>
      <c r="V651" s="50" t="e">
        <f>VLOOKUP($A651,'[1]ma sp 02'!$A$5:$BD$1101,V$1,0)</f>
        <v>#N/A</v>
      </c>
      <c r="W651" s="50" t="e">
        <f>VLOOKUP($A651,'[1]ma sp 02'!$A$5:$BD$1101,W$1,0)</f>
        <v>#N/A</v>
      </c>
      <c r="X651" s="50"/>
      <c r="Y651" s="62"/>
      <c r="Z651" s="62"/>
      <c r="AA651" s="62"/>
      <c r="AB651" s="62"/>
      <c r="AC651" s="62"/>
      <c r="AD651" s="62"/>
      <c r="AE651" s="62" t="s">
        <v>136</v>
      </c>
      <c r="AF651" s="62"/>
      <c r="AG651" s="53">
        <f>(0.02*0.91+0.025*0.91)*0.68</f>
        <v>2.7846000000000003E-2</v>
      </c>
      <c r="AH651" s="54">
        <f>(2/0.75/2)*0.73</f>
        <v>0.97333333333333327</v>
      </c>
      <c r="AI651" s="54"/>
      <c r="AJ651" s="62" t="s">
        <v>1881</v>
      </c>
      <c r="AK651" s="62"/>
      <c r="AL651" s="62">
        <v>1.1999999999999999E-3</v>
      </c>
      <c r="AM651" s="61" t="s">
        <v>1489</v>
      </c>
      <c r="AN651" s="62">
        <v>218</v>
      </c>
      <c r="AO651" s="61" t="s">
        <v>2081</v>
      </c>
      <c r="AP651" s="59">
        <f>IFERROR(VLOOKUP($A651,[2]Mssp!$A$5:$BE$1463,AP$4+1,0),0)</f>
        <v>0</v>
      </c>
      <c r="AQ651" s="59">
        <f>IFERROR(VLOOKUP($A651,[2]Mssp!$A$5:$BE$1463,AQ$4+1,0),0)</f>
        <v>0</v>
      </c>
      <c r="AR651" s="59">
        <f>IFERROR(VLOOKUP($A651,[2]Mssp!$A$5:$BE$1463,AR$4+1,0),0)</f>
        <v>0</v>
      </c>
      <c r="AS651" s="59">
        <f>IFERROR(VLOOKUP($A651,[2]Mssp!$A$5:$BE$1463,AS$4+1,0),0)</f>
        <v>0</v>
      </c>
      <c r="AT651" s="59">
        <f>IFERROR(VLOOKUP($A651,[2]Mssp!$A$5:$BE$1463,AT$4+1,0),0)</f>
        <v>0</v>
      </c>
      <c r="AU651" s="59">
        <f>IFERROR(VLOOKUP($A651,[2]Mssp!$A$5:$BE$1463,AU$4+1,0),0)</f>
        <v>0</v>
      </c>
      <c r="AV651" s="59">
        <f>IFERROR(VLOOKUP($A651,[2]Mssp!$A$5:$BE$1463,AV$4+1,0),0)</f>
        <v>0</v>
      </c>
      <c r="AW651" s="59">
        <f>IFERROR(VLOOKUP($A651,[2]Mssp!$A$5:$BE$1463,AW$4+1,0),0)</f>
        <v>0</v>
      </c>
      <c r="AX651" s="59">
        <f>IFERROR(VLOOKUP($A651,[2]Mssp!$A$5:$BE$1463,AX$4+1,0),0)</f>
        <v>0</v>
      </c>
      <c r="AY651" s="59">
        <f>IFERROR(VLOOKUP($A651,[2]Mssp!$A$5:$BE$1463,AY$4+2,0),0)</f>
        <v>0</v>
      </c>
      <c r="AZ651" s="59">
        <f>IFERROR(VLOOKUP($A651,[2]Mssp!$A$5:$BE$1463,AZ$4+2,0),0)</f>
        <v>0</v>
      </c>
      <c r="BA651" s="141"/>
      <c r="BB651" s="61"/>
      <c r="BC651" s="165"/>
      <c r="BD651" s="166"/>
      <c r="BE651" s="167"/>
      <c r="BF651" s="168"/>
      <c r="BG651" s="167"/>
      <c r="BH651" s="168"/>
      <c r="BI651" s="169"/>
      <c r="BJ651" s="168"/>
      <c r="BK651" s="134"/>
      <c r="BL651" s="168"/>
      <c r="BM651" s="167"/>
      <c r="BN651" s="168"/>
      <c r="BO651" s="62"/>
      <c r="BP651" s="168"/>
      <c r="BQ651" s="168"/>
      <c r="BR651" s="168"/>
      <c r="BS651" s="135"/>
      <c r="BT651" s="168"/>
      <c r="BU651" s="167"/>
      <c r="BV651" s="168"/>
      <c r="BW651" s="167"/>
      <c r="BX651" s="168"/>
      <c r="BY651" s="167"/>
      <c r="BZ651" s="168"/>
      <c r="CA651" s="167"/>
      <c r="CB651" s="168"/>
      <c r="CC651" s="167"/>
      <c r="CD651" s="168"/>
      <c r="CE651" s="62"/>
      <c r="CF651" s="62"/>
      <c r="CG651" s="9"/>
      <c r="CH651" s="9"/>
      <c r="CI651" s="9"/>
      <c r="CJ651" s="9"/>
      <c r="CK651" s="9"/>
      <c r="CL651" s="9"/>
      <c r="CM651" s="9"/>
      <c r="CN651" s="9"/>
      <c r="CO651" s="9"/>
      <c r="CP651" s="9"/>
    </row>
    <row r="652" spans="1:94" ht="30" x14ac:dyDescent="0.25">
      <c r="A652" s="127" t="s">
        <v>2090</v>
      </c>
      <c r="B652" s="51" t="s">
        <v>2091</v>
      </c>
      <c r="C652" s="62"/>
      <c r="D652" s="84">
        <v>4</v>
      </c>
      <c r="E652" s="62" t="s">
        <v>65</v>
      </c>
      <c r="F652" s="62">
        <v>1</v>
      </c>
      <c r="G652" s="62" t="s">
        <v>184</v>
      </c>
      <c r="H652" s="50">
        <f>VLOOKUP($A652,'[1]ma sp 02'!$A$5:$BD$1101,H$1,0)</f>
        <v>0.998</v>
      </c>
      <c r="I652" s="50">
        <f>VLOOKUP($A652,'[1]ma sp 02'!$A$5:$BD$1101,I$1,0)</f>
        <v>0</v>
      </c>
      <c r="J652" s="50">
        <f>VLOOKUP($A652,'[1]ma sp 02'!$A$5:$BD$1101,J$1,0)</f>
        <v>0</v>
      </c>
      <c r="K652" s="50">
        <f>VLOOKUP($A652,'[1]ma sp 02'!$A$5:$BD$1101,K$1,0)</f>
        <v>0.39</v>
      </c>
      <c r="L652" s="50">
        <f>VLOOKUP($A652,'[1]ma sp 02'!$A$5:$BD$1101,L$1,0)</f>
        <v>0</v>
      </c>
      <c r="M652" s="50">
        <f>VLOOKUP($A652,'[1]ma sp 02'!$A$5:$BD$1101,M$1,0)</f>
        <v>0</v>
      </c>
      <c r="N652" s="50">
        <f>VLOOKUP($A652,'[1]ma sp 02'!$A$5:$BD$1101,N$1,0)</f>
        <v>0</v>
      </c>
      <c r="O652" s="50">
        <f>VLOOKUP($A652,'[1]ma sp 02'!$A$5:$BD$1101,O$1,0)</f>
        <v>0</v>
      </c>
      <c r="P652" s="50">
        <f>VLOOKUP($A652,'[1]ma sp 02'!$A$5:$BD$1101,P$1,0)</f>
        <v>1.59</v>
      </c>
      <c r="Q652" s="50">
        <f>VLOOKUP($A652,'[1]ma sp 02'!$A$5:$BD$1101,Q$1,0)</f>
        <v>0</v>
      </c>
      <c r="R652" s="50">
        <f>VLOOKUP($A652,'[1]ma sp 02'!$A$5:$BD$1101,R$1,0)</f>
        <v>0</v>
      </c>
      <c r="S652" s="50">
        <f>VLOOKUP($A652,'[1]ma sp 02'!$A$5:$BD$1101,S$1,0)</f>
        <v>0</v>
      </c>
      <c r="T652" s="50">
        <f>VLOOKUP($A652,'[1]ma sp 02'!$A$5:$BD$1101,T$1,0)</f>
        <v>2.59</v>
      </c>
      <c r="U652" s="50">
        <f>VLOOKUP($A652,'[1]ma sp 02'!$A$5:$BD$1101,U$1,0)</f>
        <v>0</v>
      </c>
      <c r="V652" s="50">
        <f>VLOOKUP($A652,'[1]ma sp 02'!$A$5:$BD$1101,V$1,0)</f>
        <v>0</v>
      </c>
      <c r="W652" s="50">
        <f>VLOOKUP($A652,'[1]ma sp 02'!$A$5:$BD$1101,W$1,0)</f>
        <v>0</v>
      </c>
      <c r="X652" s="50"/>
      <c r="Y652" s="62"/>
      <c r="Z652" s="62"/>
      <c r="AA652" s="62"/>
      <c r="AB652" s="62"/>
      <c r="AC652" s="62"/>
      <c r="AD652" s="62"/>
      <c r="AE652" s="62" t="s">
        <v>136</v>
      </c>
      <c r="AF652" s="62"/>
      <c r="AG652" s="53">
        <f t="shared" ref="AG652:AG657" si="27">(0.02*0.91+0.025*0.91)*0.68</f>
        <v>2.7846000000000003E-2</v>
      </c>
      <c r="AH652" s="54">
        <f t="shared" ref="AH652:AH657" si="28">(2/0.75/2)*0.73</f>
        <v>0.97333333333333327</v>
      </c>
      <c r="AI652" s="54"/>
      <c r="AJ652" s="62" t="s">
        <v>1881</v>
      </c>
      <c r="AK652" s="62"/>
      <c r="AL652" s="62">
        <v>1.1999999999999999E-3</v>
      </c>
      <c r="AM652" s="61" t="s">
        <v>1489</v>
      </c>
      <c r="AN652" s="62">
        <v>218</v>
      </c>
      <c r="AO652" s="61" t="s">
        <v>2081</v>
      </c>
      <c r="AP652" s="59">
        <f>IFERROR(VLOOKUP($A652,[2]Mssp!$A$5:$BE$1463,AP$4+1,0),0)</f>
        <v>0</v>
      </c>
      <c r="AQ652" s="59">
        <f>IFERROR(VLOOKUP($A652,[2]Mssp!$A$5:$BE$1463,AQ$4+1,0),0)</f>
        <v>0</v>
      </c>
      <c r="AR652" s="59">
        <f>IFERROR(VLOOKUP($A652,[2]Mssp!$A$5:$BE$1463,AR$4+1,0),0)</f>
        <v>0</v>
      </c>
      <c r="AS652" s="59">
        <f>IFERROR(VLOOKUP($A652,[2]Mssp!$A$5:$BE$1463,AS$4+1,0),0)</f>
        <v>0</v>
      </c>
      <c r="AT652" s="59">
        <f>IFERROR(VLOOKUP($A652,[2]Mssp!$A$5:$BE$1463,AT$4+1,0),0)</f>
        <v>0</v>
      </c>
      <c r="AU652" s="59">
        <f>IFERROR(VLOOKUP($A652,[2]Mssp!$A$5:$BE$1463,AU$4+1,0),0)</f>
        <v>0</v>
      </c>
      <c r="AV652" s="59">
        <f>IFERROR(VLOOKUP($A652,[2]Mssp!$A$5:$BE$1463,AV$4+1,0),0)</f>
        <v>0</v>
      </c>
      <c r="AW652" s="59">
        <f>IFERROR(VLOOKUP($A652,[2]Mssp!$A$5:$BE$1463,AW$4+1,0),0)</f>
        <v>0</v>
      </c>
      <c r="AX652" s="59">
        <f>IFERROR(VLOOKUP($A652,[2]Mssp!$A$5:$BE$1463,AX$4+1,0),0)</f>
        <v>0</v>
      </c>
      <c r="AY652" s="59">
        <f>IFERROR(VLOOKUP($A652,[2]Mssp!$A$5:$BE$1463,AY$4+2,0),0)</f>
        <v>0</v>
      </c>
      <c r="AZ652" s="59">
        <f>IFERROR(VLOOKUP($A652,[2]Mssp!$A$5:$BE$1463,AZ$4+2,0),0)</f>
        <v>0</v>
      </c>
      <c r="BA652" s="141"/>
      <c r="BB652" s="61"/>
      <c r="BC652" s="165"/>
      <c r="BD652" s="166"/>
      <c r="BE652" s="167"/>
      <c r="BF652" s="168"/>
      <c r="BG652" s="167"/>
      <c r="BH652" s="168"/>
      <c r="BI652" s="169"/>
      <c r="BJ652" s="168"/>
      <c r="BK652" s="134"/>
      <c r="BL652" s="168"/>
      <c r="BM652" s="167"/>
      <c r="BN652" s="168"/>
      <c r="BO652" s="62"/>
      <c r="BP652" s="168"/>
      <c r="BQ652" s="168"/>
      <c r="BR652" s="168"/>
      <c r="BS652" s="135"/>
      <c r="BT652" s="168"/>
      <c r="BU652" s="167"/>
      <c r="BV652" s="168"/>
      <c r="BW652" s="167"/>
      <c r="BX652" s="168"/>
      <c r="BY652" s="167"/>
      <c r="BZ652" s="168"/>
      <c r="CA652" s="167"/>
      <c r="CB652" s="168"/>
      <c r="CC652" s="167"/>
      <c r="CD652" s="168"/>
      <c r="CE652" s="62"/>
      <c r="CF652" s="62"/>
      <c r="CG652" s="9"/>
      <c r="CH652" s="9"/>
      <c r="CI652" s="9"/>
      <c r="CJ652" s="9"/>
      <c r="CK652" s="9"/>
      <c r="CL652" s="9"/>
      <c r="CM652" s="9"/>
      <c r="CN652" s="9"/>
      <c r="CO652" s="9"/>
      <c r="CP652" s="9"/>
    </row>
    <row r="653" spans="1:94" ht="30" x14ac:dyDescent="0.25">
      <c r="A653" s="127" t="s">
        <v>2092</v>
      </c>
      <c r="B653" s="51" t="s">
        <v>2093</v>
      </c>
      <c r="C653" s="62"/>
      <c r="D653" s="84">
        <v>4</v>
      </c>
      <c r="E653" s="62" t="s">
        <v>65</v>
      </c>
      <c r="F653" s="62">
        <v>1</v>
      </c>
      <c r="G653" s="62" t="s">
        <v>184</v>
      </c>
      <c r="H653" s="50">
        <f>VLOOKUP($A653,'[1]ma sp 02'!$A$5:$BD$1101,H$1,0)</f>
        <v>0</v>
      </c>
      <c r="I653" s="50">
        <f>VLOOKUP($A653,'[1]ma sp 02'!$A$5:$BD$1101,I$1,0)</f>
        <v>0</v>
      </c>
      <c r="J653" s="50">
        <f>VLOOKUP($A653,'[1]ma sp 02'!$A$5:$BD$1101,J$1,0)</f>
        <v>1.8</v>
      </c>
      <c r="K653" s="50">
        <f>VLOOKUP($A653,'[1]ma sp 02'!$A$5:$BD$1101,K$1,0)</f>
        <v>0</v>
      </c>
      <c r="L653" s="50">
        <f>VLOOKUP($A653,'[1]ma sp 02'!$A$5:$BD$1101,L$1,0)</f>
        <v>0</v>
      </c>
      <c r="M653" s="50">
        <f>VLOOKUP($A653,'[1]ma sp 02'!$A$5:$BD$1101,M$1,0)</f>
        <v>0</v>
      </c>
      <c r="N653" s="50">
        <f>VLOOKUP($A653,'[1]ma sp 02'!$A$5:$BD$1101,N$1,0)</f>
        <v>0</v>
      </c>
      <c r="O653" s="50">
        <f>VLOOKUP($A653,'[1]ma sp 02'!$A$5:$BD$1101,O$1,0)</f>
        <v>0</v>
      </c>
      <c r="P653" s="50">
        <f>VLOOKUP($A653,'[1]ma sp 02'!$A$5:$BD$1101,P$1,0)</f>
        <v>0</v>
      </c>
      <c r="Q653" s="50">
        <f>VLOOKUP($A653,'[1]ma sp 02'!$A$5:$BD$1101,Q$1,0)</f>
        <v>0</v>
      </c>
      <c r="R653" s="50">
        <f>VLOOKUP($A653,'[1]ma sp 02'!$A$5:$BD$1101,R$1,0)</f>
        <v>5.2</v>
      </c>
      <c r="S653" s="50">
        <f>VLOOKUP($A653,'[1]ma sp 02'!$A$5:$BD$1101,S$1,0)</f>
        <v>0</v>
      </c>
      <c r="T653" s="50">
        <f>VLOOKUP($A653,'[1]ma sp 02'!$A$5:$BD$1101,T$1,0)</f>
        <v>0</v>
      </c>
      <c r="U653" s="50">
        <f>VLOOKUP($A653,'[1]ma sp 02'!$A$5:$BD$1101,U$1,0)</f>
        <v>0</v>
      </c>
      <c r="V653" s="50">
        <f>VLOOKUP($A653,'[1]ma sp 02'!$A$5:$BD$1101,V$1,0)</f>
        <v>0</v>
      </c>
      <c r="W653" s="50">
        <f>VLOOKUP($A653,'[1]ma sp 02'!$A$5:$BD$1101,W$1,0)</f>
        <v>0</v>
      </c>
      <c r="X653" s="50"/>
      <c r="Y653" s="62"/>
      <c r="Z653" s="62"/>
      <c r="AA653" s="62"/>
      <c r="AB653" s="62"/>
      <c r="AC653" s="62"/>
      <c r="AD653" s="62"/>
      <c r="AE653" s="62" t="s">
        <v>136</v>
      </c>
      <c r="AF653" s="62"/>
      <c r="AG653" s="53">
        <f t="shared" si="27"/>
        <v>2.7846000000000003E-2</v>
      </c>
      <c r="AH653" s="54">
        <f t="shared" si="28"/>
        <v>0.97333333333333327</v>
      </c>
      <c r="AI653" s="54"/>
      <c r="AJ653" s="62" t="s">
        <v>1881</v>
      </c>
      <c r="AK653" s="62"/>
      <c r="AL653" s="62">
        <v>1.1999999999999999E-3</v>
      </c>
      <c r="AM653" s="61" t="s">
        <v>1489</v>
      </c>
      <c r="AN653" s="62">
        <v>218</v>
      </c>
      <c r="AO653" s="61" t="s">
        <v>2081</v>
      </c>
      <c r="AP653" s="59">
        <f>IFERROR(VLOOKUP($A653,[2]Mssp!$A$5:$BE$1463,AP$4+1,0),0)</f>
        <v>0</v>
      </c>
      <c r="AQ653" s="59">
        <f>IFERROR(VLOOKUP($A653,[2]Mssp!$A$5:$BE$1463,AQ$4+1,0),0)</f>
        <v>0</v>
      </c>
      <c r="AR653" s="59">
        <f>IFERROR(VLOOKUP($A653,[2]Mssp!$A$5:$BE$1463,AR$4+1,0),0)</f>
        <v>0</v>
      </c>
      <c r="AS653" s="59">
        <f>IFERROR(VLOOKUP($A653,[2]Mssp!$A$5:$BE$1463,AS$4+1,0),0)</f>
        <v>0</v>
      </c>
      <c r="AT653" s="59">
        <f>IFERROR(VLOOKUP($A653,[2]Mssp!$A$5:$BE$1463,AT$4+1,0),0)</f>
        <v>0</v>
      </c>
      <c r="AU653" s="59">
        <f>IFERROR(VLOOKUP($A653,[2]Mssp!$A$5:$BE$1463,AU$4+1,0),0)</f>
        <v>0</v>
      </c>
      <c r="AV653" s="59">
        <f>IFERROR(VLOOKUP($A653,[2]Mssp!$A$5:$BE$1463,AV$4+1,0),0)</f>
        <v>0</v>
      </c>
      <c r="AW653" s="59">
        <f>IFERROR(VLOOKUP($A653,[2]Mssp!$A$5:$BE$1463,AW$4+1,0),0)</f>
        <v>0</v>
      </c>
      <c r="AX653" s="59">
        <f>IFERROR(VLOOKUP($A653,[2]Mssp!$A$5:$BE$1463,AX$4+1,0),0)</f>
        <v>0</v>
      </c>
      <c r="AY653" s="59">
        <f>IFERROR(VLOOKUP($A653,[2]Mssp!$A$5:$BE$1463,AY$4+2,0),0)</f>
        <v>0</v>
      </c>
      <c r="AZ653" s="59">
        <f>IFERROR(VLOOKUP($A653,[2]Mssp!$A$5:$BE$1463,AZ$4+2,0),0)</f>
        <v>0</v>
      </c>
      <c r="BA653" s="141" t="s">
        <v>2094</v>
      </c>
      <c r="BB653" s="61" t="s">
        <v>952</v>
      </c>
      <c r="BC653" s="165"/>
      <c r="BD653" s="166"/>
      <c r="BE653" s="167"/>
      <c r="BF653" s="168"/>
      <c r="BG653" s="167"/>
      <c r="BH653" s="168"/>
      <c r="BI653" s="169"/>
      <c r="BJ653" s="168"/>
      <c r="BK653" s="134"/>
      <c r="BL653" s="168"/>
      <c r="BM653" s="167"/>
      <c r="BN653" s="168"/>
      <c r="BO653" s="62"/>
      <c r="BP653" s="168"/>
      <c r="BQ653" s="168"/>
      <c r="BR653" s="168"/>
      <c r="BS653" s="135"/>
      <c r="BT653" s="168"/>
      <c r="BU653" s="167"/>
      <c r="BV653" s="168"/>
      <c r="BW653" s="167"/>
      <c r="BX653" s="168"/>
      <c r="BY653" s="167"/>
      <c r="BZ653" s="168"/>
      <c r="CA653" s="167"/>
      <c r="CB653" s="168"/>
      <c r="CC653" s="167"/>
      <c r="CD653" s="168"/>
      <c r="CE653" s="62"/>
      <c r="CF653" s="62"/>
      <c r="CG653" s="9"/>
      <c r="CH653" s="9"/>
      <c r="CI653" s="9"/>
      <c r="CJ653" s="9"/>
      <c r="CK653" s="9"/>
      <c r="CL653" s="9"/>
      <c r="CM653" s="9"/>
      <c r="CN653" s="9"/>
      <c r="CO653" s="9"/>
      <c r="CP653" s="9"/>
    </row>
    <row r="654" spans="1:94" ht="30" x14ac:dyDescent="0.25">
      <c r="A654" s="127" t="s">
        <v>2095</v>
      </c>
      <c r="B654" s="51" t="s">
        <v>2096</v>
      </c>
      <c r="C654" s="62"/>
      <c r="D654" s="84">
        <v>4</v>
      </c>
      <c r="E654" s="62" t="s">
        <v>65</v>
      </c>
      <c r="F654" s="62">
        <v>1</v>
      </c>
      <c r="G654" s="62" t="s">
        <v>184</v>
      </c>
      <c r="H654" s="50">
        <f>VLOOKUP($A654,'[1]ma sp 02'!$A$5:$BD$1101,H$1,0)</f>
        <v>0.4</v>
      </c>
      <c r="I654" s="50">
        <f>VLOOKUP($A654,'[1]ma sp 02'!$A$5:$BD$1101,I$1,0)</f>
        <v>0</v>
      </c>
      <c r="J654" s="50">
        <f>VLOOKUP($A654,'[1]ma sp 02'!$A$5:$BD$1101,J$1,0)</f>
        <v>0</v>
      </c>
      <c r="K654" s="50">
        <f>VLOOKUP($A654,'[1]ma sp 02'!$A$5:$BD$1101,K$1,0)</f>
        <v>0</v>
      </c>
      <c r="L654" s="50">
        <f>VLOOKUP($A654,'[1]ma sp 02'!$A$5:$BD$1101,L$1,0)</f>
        <v>0</v>
      </c>
      <c r="M654" s="50">
        <f>VLOOKUP($A654,'[1]ma sp 02'!$A$5:$BD$1101,M$1,0)</f>
        <v>0</v>
      </c>
      <c r="N654" s="50">
        <f>VLOOKUP($A654,'[1]ma sp 02'!$A$5:$BD$1101,N$1,0)</f>
        <v>0</v>
      </c>
      <c r="O654" s="50">
        <f>VLOOKUP($A654,'[1]ma sp 02'!$A$5:$BD$1101,O$1,0)</f>
        <v>0</v>
      </c>
      <c r="P654" s="50">
        <f>VLOOKUP($A654,'[1]ma sp 02'!$A$5:$BD$1101,P$1,0)</f>
        <v>0</v>
      </c>
      <c r="Q654" s="50">
        <f>VLOOKUP($A654,'[1]ma sp 02'!$A$5:$BD$1101,Q$1,0)</f>
        <v>0</v>
      </c>
      <c r="R654" s="50">
        <f>VLOOKUP($A654,'[1]ma sp 02'!$A$5:$BD$1101,R$1,0)</f>
        <v>2.61</v>
      </c>
      <c r="S654" s="50">
        <f>VLOOKUP($A654,'[1]ma sp 02'!$A$5:$BD$1101,S$1,0)</f>
        <v>0</v>
      </c>
      <c r="T654" s="50">
        <f>VLOOKUP($A654,'[1]ma sp 02'!$A$5:$BD$1101,T$1,0)</f>
        <v>0</v>
      </c>
      <c r="U654" s="50">
        <f>VLOOKUP($A654,'[1]ma sp 02'!$A$5:$BD$1101,U$1,0)</f>
        <v>0</v>
      </c>
      <c r="V654" s="50">
        <f>VLOOKUP($A654,'[1]ma sp 02'!$A$5:$BD$1101,V$1,0)</f>
        <v>0</v>
      </c>
      <c r="W654" s="50">
        <f>VLOOKUP($A654,'[1]ma sp 02'!$A$5:$BD$1101,W$1,0)</f>
        <v>0</v>
      </c>
      <c r="X654" s="50"/>
      <c r="Y654" s="62"/>
      <c r="Z654" s="62"/>
      <c r="AA654" s="62"/>
      <c r="AB654" s="62"/>
      <c r="AC654" s="62"/>
      <c r="AD654" s="62"/>
      <c r="AE654" s="62" t="s">
        <v>136</v>
      </c>
      <c r="AF654" s="62"/>
      <c r="AG654" s="53">
        <f t="shared" si="27"/>
        <v>2.7846000000000003E-2</v>
      </c>
      <c r="AH654" s="54">
        <f t="shared" si="28"/>
        <v>0.97333333333333327</v>
      </c>
      <c r="AI654" s="54"/>
      <c r="AJ654" s="62" t="s">
        <v>1881</v>
      </c>
      <c r="AK654" s="62"/>
      <c r="AL654" s="62">
        <v>1.1999999999999999E-3</v>
      </c>
      <c r="AM654" s="61" t="s">
        <v>1489</v>
      </c>
      <c r="AN654" s="62">
        <v>218</v>
      </c>
      <c r="AO654" s="61" t="s">
        <v>2081</v>
      </c>
      <c r="AP654" s="59">
        <f>IFERROR(VLOOKUP($A654,[2]Mssp!$A$5:$BE$1463,AP$4+1,0),0)</f>
        <v>0</v>
      </c>
      <c r="AQ654" s="59">
        <f>IFERROR(VLOOKUP($A654,[2]Mssp!$A$5:$BE$1463,AQ$4+1,0),0)</f>
        <v>0</v>
      </c>
      <c r="AR654" s="59">
        <f>IFERROR(VLOOKUP($A654,[2]Mssp!$A$5:$BE$1463,AR$4+1,0),0)</f>
        <v>0</v>
      </c>
      <c r="AS654" s="59">
        <f>IFERROR(VLOOKUP($A654,[2]Mssp!$A$5:$BE$1463,AS$4+1,0),0)</f>
        <v>0</v>
      </c>
      <c r="AT654" s="59">
        <f>IFERROR(VLOOKUP($A654,[2]Mssp!$A$5:$BE$1463,AT$4+1,0),0)</f>
        <v>0</v>
      </c>
      <c r="AU654" s="59">
        <f>IFERROR(VLOOKUP($A654,[2]Mssp!$A$5:$BE$1463,AU$4+1,0),0)</f>
        <v>0</v>
      </c>
      <c r="AV654" s="59">
        <f>IFERROR(VLOOKUP($A654,[2]Mssp!$A$5:$BE$1463,AV$4+1,0),0)</f>
        <v>0</v>
      </c>
      <c r="AW654" s="59">
        <f>IFERROR(VLOOKUP($A654,[2]Mssp!$A$5:$BE$1463,AW$4+1,0),0)</f>
        <v>0</v>
      </c>
      <c r="AX654" s="59">
        <f>IFERROR(VLOOKUP($A654,[2]Mssp!$A$5:$BE$1463,AX$4+1,0),0)</f>
        <v>0</v>
      </c>
      <c r="AY654" s="59">
        <f>IFERROR(VLOOKUP($A654,[2]Mssp!$A$5:$BE$1463,AY$4+2,0),0)</f>
        <v>0</v>
      </c>
      <c r="AZ654" s="59">
        <f>IFERROR(VLOOKUP($A654,[2]Mssp!$A$5:$BE$1463,AZ$4+2,0),0)</f>
        <v>0</v>
      </c>
      <c r="BA654" s="141"/>
      <c r="BB654" s="61"/>
      <c r="BC654" s="165"/>
      <c r="BD654" s="166"/>
      <c r="BE654" s="167"/>
      <c r="BF654" s="168"/>
      <c r="BG654" s="167"/>
      <c r="BH654" s="168"/>
      <c r="BI654" s="169"/>
      <c r="BJ654" s="168"/>
      <c r="BK654" s="134"/>
      <c r="BL654" s="168"/>
      <c r="BM654" s="167"/>
      <c r="BN654" s="168"/>
      <c r="BO654" s="62"/>
      <c r="BP654" s="168"/>
      <c r="BQ654" s="168"/>
      <c r="BR654" s="168"/>
      <c r="BS654" s="135"/>
      <c r="BT654" s="168"/>
      <c r="BU654" s="167"/>
      <c r="BV654" s="168"/>
      <c r="BW654" s="167"/>
      <c r="BX654" s="168"/>
      <c r="BY654" s="167"/>
      <c r="BZ654" s="168"/>
      <c r="CA654" s="167"/>
      <c r="CB654" s="168"/>
      <c r="CC654" s="167"/>
      <c r="CD654" s="168"/>
      <c r="CE654" s="62"/>
      <c r="CF654" s="62"/>
      <c r="CG654" s="9"/>
      <c r="CH654" s="9"/>
      <c r="CI654" s="9"/>
      <c r="CJ654" s="9"/>
      <c r="CK654" s="9"/>
      <c r="CL654" s="9"/>
      <c r="CM654" s="9"/>
      <c r="CN654" s="9"/>
      <c r="CO654" s="9"/>
      <c r="CP654" s="9"/>
    </row>
    <row r="655" spans="1:94" ht="30" x14ac:dyDescent="0.25">
      <c r="A655" s="127" t="s">
        <v>2097</v>
      </c>
      <c r="B655" s="51" t="s">
        <v>2098</v>
      </c>
      <c r="C655" s="62"/>
      <c r="D655" s="84">
        <v>4</v>
      </c>
      <c r="E655" s="62" t="s">
        <v>65</v>
      </c>
      <c r="F655" s="62">
        <v>1</v>
      </c>
      <c r="G655" s="62" t="s">
        <v>184</v>
      </c>
      <c r="H655" s="50">
        <f>VLOOKUP($A655,'[1]ma sp 02'!$A$5:$BD$1101,H$1,0)</f>
        <v>0</v>
      </c>
      <c r="I655" s="50">
        <f>VLOOKUP($A655,'[1]ma sp 02'!$A$5:$BD$1101,I$1,0)</f>
        <v>0</v>
      </c>
      <c r="J655" s="50">
        <f>VLOOKUP($A655,'[1]ma sp 02'!$A$5:$BD$1101,J$1,0)</f>
        <v>1.8</v>
      </c>
      <c r="K655" s="50">
        <f>VLOOKUP($A655,'[1]ma sp 02'!$A$5:$BD$1101,K$1,0)</f>
        <v>0</v>
      </c>
      <c r="L655" s="50">
        <f>VLOOKUP($A655,'[1]ma sp 02'!$A$5:$BD$1101,L$1,0)</f>
        <v>0</v>
      </c>
      <c r="M655" s="50">
        <f>VLOOKUP($A655,'[1]ma sp 02'!$A$5:$BD$1101,M$1,0)</f>
        <v>0</v>
      </c>
      <c r="N655" s="50">
        <f>VLOOKUP($A655,'[1]ma sp 02'!$A$5:$BD$1101,N$1,0)</f>
        <v>0</v>
      </c>
      <c r="O655" s="50">
        <f>VLOOKUP($A655,'[1]ma sp 02'!$A$5:$BD$1101,O$1,0)</f>
        <v>0</v>
      </c>
      <c r="P655" s="50">
        <f>VLOOKUP($A655,'[1]ma sp 02'!$A$5:$BD$1101,P$1,0)</f>
        <v>0</v>
      </c>
      <c r="Q655" s="50">
        <f>VLOOKUP($A655,'[1]ma sp 02'!$A$5:$BD$1101,Q$1,0)</f>
        <v>0</v>
      </c>
      <c r="R655" s="50">
        <f>VLOOKUP($A655,'[1]ma sp 02'!$A$5:$BD$1101,R$1,0)</f>
        <v>5.2</v>
      </c>
      <c r="S655" s="50">
        <f>VLOOKUP($A655,'[1]ma sp 02'!$A$5:$BD$1101,S$1,0)</f>
        <v>0</v>
      </c>
      <c r="T655" s="50">
        <f>VLOOKUP($A655,'[1]ma sp 02'!$A$5:$BD$1101,T$1,0)</f>
        <v>0</v>
      </c>
      <c r="U655" s="50">
        <f>VLOOKUP($A655,'[1]ma sp 02'!$A$5:$BD$1101,U$1,0)</f>
        <v>0</v>
      </c>
      <c r="V655" s="50">
        <f>VLOOKUP($A655,'[1]ma sp 02'!$A$5:$BD$1101,V$1,0)</f>
        <v>0</v>
      </c>
      <c r="W655" s="50">
        <f>VLOOKUP($A655,'[1]ma sp 02'!$A$5:$BD$1101,W$1,0)</f>
        <v>0</v>
      </c>
      <c r="X655" s="50"/>
      <c r="Y655" s="62"/>
      <c r="Z655" s="62"/>
      <c r="AA655" s="62"/>
      <c r="AB655" s="62"/>
      <c r="AC655" s="62"/>
      <c r="AD655" s="62"/>
      <c r="AE655" s="62" t="s">
        <v>136</v>
      </c>
      <c r="AF655" s="62"/>
      <c r="AG655" s="53">
        <f t="shared" si="27"/>
        <v>2.7846000000000003E-2</v>
      </c>
      <c r="AH655" s="54">
        <f t="shared" si="28"/>
        <v>0.97333333333333327</v>
      </c>
      <c r="AI655" s="54"/>
      <c r="AJ655" s="62" t="s">
        <v>1881</v>
      </c>
      <c r="AK655" s="62"/>
      <c r="AL655" s="62">
        <v>1.1999999999999999E-3</v>
      </c>
      <c r="AM655" s="61" t="s">
        <v>1489</v>
      </c>
      <c r="AN655" s="62">
        <v>218</v>
      </c>
      <c r="AO655" s="61" t="s">
        <v>2081</v>
      </c>
      <c r="AP655" s="59">
        <f>IFERROR(VLOOKUP($A655,[2]Mssp!$A$5:$BE$1463,AP$4+1,0),0)</f>
        <v>0</v>
      </c>
      <c r="AQ655" s="59">
        <f>IFERROR(VLOOKUP($A655,[2]Mssp!$A$5:$BE$1463,AQ$4+1,0),0)</f>
        <v>0</v>
      </c>
      <c r="AR655" s="59">
        <f>IFERROR(VLOOKUP($A655,[2]Mssp!$A$5:$BE$1463,AR$4+1,0),0)</f>
        <v>0</v>
      </c>
      <c r="AS655" s="59">
        <f>IFERROR(VLOOKUP($A655,[2]Mssp!$A$5:$BE$1463,AS$4+1,0),0)</f>
        <v>0</v>
      </c>
      <c r="AT655" s="59">
        <f>IFERROR(VLOOKUP($A655,[2]Mssp!$A$5:$BE$1463,AT$4+1,0),0)</f>
        <v>0</v>
      </c>
      <c r="AU655" s="59">
        <f>IFERROR(VLOOKUP($A655,[2]Mssp!$A$5:$BE$1463,AU$4+1,0),0)</f>
        <v>0</v>
      </c>
      <c r="AV655" s="59">
        <f>IFERROR(VLOOKUP($A655,[2]Mssp!$A$5:$BE$1463,AV$4+1,0),0)</f>
        <v>0</v>
      </c>
      <c r="AW655" s="59">
        <f>IFERROR(VLOOKUP($A655,[2]Mssp!$A$5:$BE$1463,AW$4+1,0),0)</f>
        <v>0</v>
      </c>
      <c r="AX655" s="59">
        <f>IFERROR(VLOOKUP($A655,[2]Mssp!$A$5:$BE$1463,AX$4+1,0),0)</f>
        <v>0</v>
      </c>
      <c r="AY655" s="59">
        <f>IFERROR(VLOOKUP($A655,[2]Mssp!$A$5:$BE$1463,AY$4+2,0),0)</f>
        <v>0</v>
      </c>
      <c r="AZ655" s="59">
        <f>IFERROR(VLOOKUP($A655,[2]Mssp!$A$5:$BE$1463,AZ$4+2,0),0)</f>
        <v>0</v>
      </c>
      <c r="BA655" s="141"/>
      <c r="BB655" s="61"/>
      <c r="BC655" s="165"/>
      <c r="BD655" s="166"/>
      <c r="BE655" s="167"/>
      <c r="BF655" s="168"/>
      <c r="BG655" s="167"/>
      <c r="BH655" s="168"/>
      <c r="BI655" s="169"/>
      <c r="BJ655" s="168"/>
      <c r="BK655" s="134"/>
      <c r="BL655" s="168"/>
      <c r="BM655" s="167"/>
      <c r="BN655" s="168"/>
      <c r="BO655" s="62"/>
      <c r="BP655" s="168"/>
      <c r="BQ655" s="168"/>
      <c r="BR655" s="168"/>
      <c r="BS655" s="135"/>
      <c r="BT655" s="168"/>
      <c r="BU655" s="167"/>
      <c r="BV655" s="168"/>
      <c r="BW655" s="167"/>
      <c r="BX655" s="168"/>
      <c r="BY655" s="167"/>
      <c r="BZ655" s="168"/>
      <c r="CA655" s="167"/>
      <c r="CB655" s="168"/>
      <c r="CC655" s="167"/>
      <c r="CD655" s="168"/>
      <c r="CE655" s="62"/>
      <c r="CF655" s="62"/>
      <c r="CG655" s="9"/>
      <c r="CH655" s="9"/>
      <c r="CI655" s="9"/>
      <c r="CJ655" s="9"/>
      <c r="CK655" s="9"/>
      <c r="CL655" s="9"/>
      <c r="CM655" s="9"/>
      <c r="CN655" s="9"/>
      <c r="CO655" s="9"/>
      <c r="CP655" s="9"/>
    </row>
    <row r="656" spans="1:94" ht="30" x14ac:dyDescent="0.25">
      <c r="A656" s="127" t="s">
        <v>2099</v>
      </c>
      <c r="B656" s="51" t="s">
        <v>2100</v>
      </c>
      <c r="C656" s="62"/>
      <c r="D656" s="84">
        <v>4</v>
      </c>
      <c r="E656" s="62" t="s">
        <v>65</v>
      </c>
      <c r="F656" s="62">
        <v>1</v>
      </c>
      <c r="G656" s="62" t="s">
        <v>184</v>
      </c>
      <c r="H656" s="50">
        <f>VLOOKUP($A656,'[1]ma sp 02'!$A$5:$BD$1101,H$1,0)</f>
        <v>0</v>
      </c>
      <c r="I656" s="50">
        <f>VLOOKUP($A656,'[1]ma sp 02'!$A$5:$BD$1101,I$1,0)</f>
        <v>3.15</v>
      </c>
      <c r="J656" s="50">
        <f>VLOOKUP($A656,'[1]ma sp 02'!$A$5:$BD$1101,J$1,0)</f>
        <v>0</v>
      </c>
      <c r="K656" s="50">
        <f>VLOOKUP($A656,'[1]ma sp 02'!$A$5:$BD$1101,K$1,0)</f>
        <v>0</v>
      </c>
      <c r="L656" s="50">
        <f>VLOOKUP($A656,'[1]ma sp 02'!$A$5:$BD$1101,L$1,0)</f>
        <v>3.34</v>
      </c>
      <c r="M656" s="50">
        <f>VLOOKUP($A656,'[1]ma sp 02'!$A$5:$BD$1101,M$1,0)</f>
        <v>0</v>
      </c>
      <c r="N656" s="50">
        <f>VLOOKUP($A656,'[1]ma sp 02'!$A$5:$BD$1101,N$1,0)</f>
        <v>0</v>
      </c>
      <c r="O656" s="50">
        <f>VLOOKUP($A656,'[1]ma sp 02'!$A$5:$BD$1101,O$1,0)</f>
        <v>0</v>
      </c>
      <c r="P656" s="50">
        <f>VLOOKUP($A656,'[1]ma sp 02'!$A$5:$BD$1101,P$1,0)</f>
        <v>0</v>
      </c>
      <c r="Q656" s="50">
        <f>VLOOKUP($A656,'[1]ma sp 02'!$A$5:$BD$1101,Q$1,0)</f>
        <v>0</v>
      </c>
      <c r="R656" s="50">
        <f>VLOOKUP($A656,'[1]ma sp 02'!$A$5:$BD$1101,R$1,0)</f>
        <v>0</v>
      </c>
      <c r="S656" s="50">
        <f>VLOOKUP($A656,'[1]ma sp 02'!$A$5:$BD$1101,S$1,0)</f>
        <v>0</v>
      </c>
      <c r="T656" s="50">
        <f>VLOOKUP($A656,'[1]ma sp 02'!$A$5:$BD$1101,T$1,0)</f>
        <v>0</v>
      </c>
      <c r="U656" s="50">
        <f>VLOOKUP($A656,'[1]ma sp 02'!$A$5:$BD$1101,U$1,0)</f>
        <v>0</v>
      </c>
      <c r="V656" s="50">
        <f>VLOOKUP($A656,'[1]ma sp 02'!$A$5:$BD$1101,V$1,0)</f>
        <v>0</v>
      </c>
      <c r="W656" s="50">
        <f>VLOOKUP($A656,'[1]ma sp 02'!$A$5:$BD$1101,W$1,0)</f>
        <v>0</v>
      </c>
      <c r="X656" s="50"/>
      <c r="Y656" s="62"/>
      <c r="Z656" s="62"/>
      <c r="AA656" s="62"/>
      <c r="AB656" s="62"/>
      <c r="AC656" s="62"/>
      <c r="AD656" s="62"/>
      <c r="AE656" s="62" t="s">
        <v>136</v>
      </c>
      <c r="AF656" s="62"/>
      <c r="AG656" s="53">
        <f t="shared" si="27"/>
        <v>2.7846000000000003E-2</v>
      </c>
      <c r="AH656" s="54">
        <f t="shared" si="28"/>
        <v>0.97333333333333327</v>
      </c>
      <c r="AI656" s="54"/>
      <c r="AJ656" s="62" t="s">
        <v>1881</v>
      </c>
      <c r="AK656" s="62"/>
      <c r="AL656" s="62">
        <v>1.1999999999999999E-3</v>
      </c>
      <c r="AM656" s="61" t="s">
        <v>1489</v>
      </c>
      <c r="AN656" s="62">
        <v>218</v>
      </c>
      <c r="AO656" s="61" t="s">
        <v>2081</v>
      </c>
      <c r="AP656" s="59">
        <f>IFERROR(VLOOKUP($A656,[2]Mssp!$A$5:$BE$1463,AP$4+1,0),0)</f>
        <v>0</v>
      </c>
      <c r="AQ656" s="59">
        <f>IFERROR(VLOOKUP($A656,[2]Mssp!$A$5:$BE$1463,AQ$4+1,0),0)</f>
        <v>0</v>
      </c>
      <c r="AR656" s="59">
        <f>IFERROR(VLOOKUP($A656,[2]Mssp!$A$5:$BE$1463,AR$4+1,0),0)</f>
        <v>0</v>
      </c>
      <c r="AS656" s="59">
        <f>IFERROR(VLOOKUP($A656,[2]Mssp!$A$5:$BE$1463,AS$4+1,0),0)</f>
        <v>0</v>
      </c>
      <c r="AT656" s="59">
        <f>IFERROR(VLOOKUP($A656,[2]Mssp!$A$5:$BE$1463,AT$4+1,0),0)</f>
        <v>0</v>
      </c>
      <c r="AU656" s="59">
        <f>IFERROR(VLOOKUP($A656,[2]Mssp!$A$5:$BE$1463,AU$4+1,0),0)</f>
        <v>0</v>
      </c>
      <c r="AV656" s="59">
        <f>IFERROR(VLOOKUP($A656,[2]Mssp!$A$5:$BE$1463,AV$4+1,0),0)</f>
        <v>0</v>
      </c>
      <c r="AW656" s="59">
        <f>IFERROR(VLOOKUP($A656,[2]Mssp!$A$5:$BE$1463,AW$4+1,0),0)</f>
        <v>0</v>
      </c>
      <c r="AX656" s="59">
        <f>IFERROR(VLOOKUP($A656,[2]Mssp!$A$5:$BE$1463,AX$4+1,0),0)</f>
        <v>0</v>
      </c>
      <c r="AY656" s="59">
        <f>IFERROR(VLOOKUP($A656,[2]Mssp!$A$5:$BE$1463,AY$4+2,0),0)</f>
        <v>0</v>
      </c>
      <c r="AZ656" s="59">
        <f>IFERROR(VLOOKUP($A656,[2]Mssp!$A$5:$BE$1463,AZ$4+2,0),0)</f>
        <v>0</v>
      </c>
      <c r="BA656" s="141"/>
      <c r="BB656" s="61"/>
      <c r="BC656" s="165"/>
      <c r="BD656" s="166"/>
      <c r="BE656" s="167"/>
      <c r="BF656" s="168"/>
      <c r="BG656" s="167"/>
      <c r="BH656" s="168"/>
      <c r="BI656" s="169"/>
      <c r="BJ656" s="168"/>
      <c r="BK656" s="134"/>
      <c r="BL656" s="168"/>
      <c r="BM656" s="167"/>
      <c r="BN656" s="168"/>
      <c r="BO656" s="62"/>
      <c r="BP656" s="168"/>
      <c r="BQ656" s="168"/>
      <c r="BR656" s="168"/>
      <c r="BS656" s="135"/>
      <c r="BT656" s="168"/>
      <c r="BU656" s="167"/>
      <c r="BV656" s="168"/>
      <c r="BW656" s="167"/>
      <c r="BX656" s="168"/>
      <c r="BY656" s="167"/>
      <c r="BZ656" s="168"/>
      <c r="CA656" s="167"/>
      <c r="CB656" s="168"/>
      <c r="CC656" s="167"/>
      <c r="CD656" s="168"/>
      <c r="CE656" s="62"/>
      <c r="CF656" s="62"/>
      <c r="CG656" s="9"/>
      <c r="CH656" s="9"/>
      <c r="CI656" s="9"/>
      <c r="CJ656" s="9"/>
      <c r="CK656" s="9"/>
      <c r="CL656" s="9"/>
      <c r="CM656" s="9"/>
      <c r="CN656" s="9"/>
      <c r="CO656" s="9"/>
      <c r="CP656" s="9"/>
    </row>
    <row r="657" spans="1:94" ht="30" x14ac:dyDescent="0.25">
      <c r="A657" s="127" t="s">
        <v>2101</v>
      </c>
      <c r="B657" s="51" t="s">
        <v>2102</v>
      </c>
      <c r="C657" s="62"/>
      <c r="D657" s="84">
        <v>4</v>
      </c>
      <c r="E657" s="62" t="s">
        <v>135</v>
      </c>
      <c r="F657" s="62">
        <v>1</v>
      </c>
      <c r="G657" s="62" t="s">
        <v>184</v>
      </c>
      <c r="H657" s="50">
        <f>VLOOKUP($A657,'[1]ma sp 02'!$A$5:$BD$1101,H$1,0)</f>
        <v>0</v>
      </c>
      <c r="I657" s="50">
        <f>VLOOKUP($A657,'[1]ma sp 02'!$A$5:$BD$1101,I$1,0)</f>
        <v>0</v>
      </c>
      <c r="J657" s="50">
        <f>VLOOKUP($A657,'[1]ma sp 02'!$A$5:$BD$1101,J$1,0)</f>
        <v>0</v>
      </c>
      <c r="K657" s="50">
        <f>VLOOKUP($A657,'[1]ma sp 02'!$A$5:$BD$1101,K$1,0)</f>
        <v>0</v>
      </c>
      <c r="L657" s="50">
        <f>VLOOKUP($A657,'[1]ma sp 02'!$A$5:$BD$1101,L$1,0)</f>
        <v>0</v>
      </c>
      <c r="M657" s="50">
        <f>VLOOKUP($A657,'[1]ma sp 02'!$A$5:$BD$1101,M$1,0)</f>
        <v>0</v>
      </c>
      <c r="N657" s="50">
        <f>VLOOKUP($A657,'[1]ma sp 02'!$A$5:$BD$1101,N$1,0)</f>
        <v>6.2</v>
      </c>
      <c r="O657" s="50">
        <f>VLOOKUP($A657,'[1]ma sp 02'!$A$5:$BD$1101,O$1,0)</f>
        <v>0</v>
      </c>
      <c r="P657" s="50">
        <f>VLOOKUP($A657,'[1]ma sp 02'!$A$5:$BD$1101,P$1,0)</f>
        <v>0</v>
      </c>
      <c r="Q657" s="50">
        <f>VLOOKUP($A657,'[1]ma sp 02'!$A$5:$BD$1101,Q$1,0)</f>
        <v>0</v>
      </c>
      <c r="R657" s="50">
        <f>VLOOKUP($A657,'[1]ma sp 02'!$A$5:$BD$1101,R$1,0)</f>
        <v>0</v>
      </c>
      <c r="S657" s="50">
        <f>VLOOKUP($A657,'[1]ma sp 02'!$A$5:$BD$1101,S$1,0)</f>
        <v>0</v>
      </c>
      <c r="T657" s="50">
        <f>VLOOKUP($A657,'[1]ma sp 02'!$A$5:$BD$1101,T$1,0)</f>
        <v>0</v>
      </c>
      <c r="U657" s="50">
        <f>VLOOKUP($A657,'[1]ma sp 02'!$A$5:$BD$1101,U$1,0)</f>
        <v>0</v>
      </c>
      <c r="V657" s="50">
        <f>VLOOKUP($A657,'[1]ma sp 02'!$A$5:$BD$1101,V$1,0)</f>
        <v>0</v>
      </c>
      <c r="W657" s="50">
        <f>VLOOKUP($A657,'[1]ma sp 02'!$A$5:$BD$1101,W$1,0)</f>
        <v>0</v>
      </c>
      <c r="X657" s="50"/>
      <c r="Y657" s="62"/>
      <c r="Z657" s="62"/>
      <c r="AA657" s="62"/>
      <c r="AB657" s="62"/>
      <c r="AC657" s="62"/>
      <c r="AD657" s="62"/>
      <c r="AE657" s="62" t="s">
        <v>136</v>
      </c>
      <c r="AF657" s="62"/>
      <c r="AG657" s="53">
        <f t="shared" si="27"/>
        <v>2.7846000000000003E-2</v>
      </c>
      <c r="AH657" s="54">
        <f t="shared" si="28"/>
        <v>0.97333333333333327</v>
      </c>
      <c r="AI657" s="54"/>
      <c r="AJ657" s="62" t="s">
        <v>1881</v>
      </c>
      <c r="AK657" s="62"/>
      <c r="AL657" s="62">
        <v>1.1999999999999999E-3</v>
      </c>
      <c r="AM657" s="61" t="s">
        <v>1489</v>
      </c>
      <c r="AN657" s="62">
        <v>218</v>
      </c>
      <c r="AO657" s="61" t="s">
        <v>2081</v>
      </c>
      <c r="AP657" s="59">
        <f>IFERROR(VLOOKUP($A657,[2]Mssp!$A$5:$BE$1463,AP$4+1,0),0)</f>
        <v>0</v>
      </c>
      <c r="AQ657" s="59">
        <f>IFERROR(VLOOKUP($A657,[2]Mssp!$A$5:$BE$1463,AQ$4+1,0),0)</f>
        <v>0</v>
      </c>
      <c r="AR657" s="59">
        <f>IFERROR(VLOOKUP($A657,[2]Mssp!$A$5:$BE$1463,AR$4+1,0),0)</f>
        <v>0</v>
      </c>
      <c r="AS657" s="59">
        <f>IFERROR(VLOOKUP($A657,[2]Mssp!$A$5:$BE$1463,AS$4+1,0),0)</f>
        <v>0</v>
      </c>
      <c r="AT657" s="59">
        <f>IFERROR(VLOOKUP($A657,[2]Mssp!$A$5:$BE$1463,AT$4+1,0),0)</f>
        <v>0</v>
      </c>
      <c r="AU657" s="59">
        <f>IFERROR(VLOOKUP($A657,[2]Mssp!$A$5:$BE$1463,AU$4+1,0),0)</f>
        <v>0</v>
      </c>
      <c r="AV657" s="59">
        <f>IFERROR(VLOOKUP($A657,[2]Mssp!$A$5:$BE$1463,AV$4+1,0),0)</f>
        <v>0</v>
      </c>
      <c r="AW657" s="59">
        <f>IFERROR(VLOOKUP($A657,[2]Mssp!$A$5:$BE$1463,AW$4+1,0),0)</f>
        <v>0</v>
      </c>
      <c r="AX657" s="59">
        <f>IFERROR(VLOOKUP($A657,[2]Mssp!$A$5:$BE$1463,AX$4+1,0),0)</f>
        <v>0</v>
      </c>
      <c r="AY657" s="59">
        <f>IFERROR(VLOOKUP($A657,[2]Mssp!$A$5:$BE$1463,AY$4+2,0),0)</f>
        <v>0</v>
      </c>
      <c r="AZ657" s="59">
        <f>IFERROR(VLOOKUP($A657,[2]Mssp!$A$5:$BE$1463,AZ$4+2,0),0)</f>
        <v>0</v>
      </c>
      <c r="BA657" s="141"/>
      <c r="BB657" s="61"/>
      <c r="BC657" s="165"/>
      <c r="BD657" s="166"/>
      <c r="BE657" s="167"/>
      <c r="BF657" s="168"/>
      <c r="BG657" s="167"/>
      <c r="BH657" s="168"/>
      <c r="BI657" s="169"/>
      <c r="BJ657" s="168"/>
      <c r="BK657" s="134"/>
      <c r="BL657" s="168"/>
      <c r="BM657" s="167"/>
      <c r="BN657" s="168"/>
      <c r="BO657" s="62"/>
      <c r="BP657" s="168"/>
      <c r="BQ657" s="168"/>
      <c r="BR657" s="168"/>
      <c r="BS657" s="135"/>
      <c r="BT657" s="168"/>
      <c r="BU657" s="167"/>
      <c r="BV657" s="168"/>
      <c r="BW657" s="167"/>
      <c r="BX657" s="168"/>
      <c r="BY657" s="167"/>
      <c r="BZ657" s="168"/>
      <c r="CA657" s="167"/>
      <c r="CB657" s="168"/>
      <c r="CC657" s="167"/>
      <c r="CD657" s="168"/>
      <c r="CE657" s="62"/>
      <c r="CF657" s="62"/>
      <c r="CG657" s="9"/>
      <c r="CH657" s="9"/>
      <c r="CI657" s="9"/>
      <c r="CJ657" s="9"/>
      <c r="CK657" s="9"/>
      <c r="CL657" s="9"/>
      <c r="CM657" s="9"/>
      <c r="CN657" s="9"/>
      <c r="CO657" s="9"/>
      <c r="CP657" s="9"/>
    </row>
    <row r="658" spans="1:94" x14ac:dyDescent="0.25">
      <c r="A658" s="127"/>
      <c r="B658" s="51"/>
      <c r="C658" s="62"/>
      <c r="D658" s="84"/>
      <c r="E658" s="62"/>
      <c r="F658" s="62"/>
      <c r="G658" s="62"/>
      <c r="H658" s="50" t="e">
        <f>VLOOKUP($A658,'[1]ma sp 02'!$A$5:$BD$1101,H$1,0)</f>
        <v>#N/A</v>
      </c>
      <c r="I658" s="50" t="e">
        <f>VLOOKUP($A658,'[1]ma sp 02'!$A$5:$BD$1101,I$1,0)</f>
        <v>#N/A</v>
      </c>
      <c r="J658" s="50" t="e">
        <f>VLOOKUP($A658,'[1]ma sp 02'!$A$5:$BD$1101,J$1,0)</f>
        <v>#N/A</v>
      </c>
      <c r="K658" s="50" t="e">
        <f>VLOOKUP($A658,'[1]ma sp 02'!$A$5:$BD$1101,K$1,0)</f>
        <v>#N/A</v>
      </c>
      <c r="L658" s="50" t="e">
        <f>VLOOKUP($A658,'[1]ma sp 02'!$A$5:$BD$1101,L$1,0)</f>
        <v>#N/A</v>
      </c>
      <c r="M658" s="50" t="e">
        <f>VLOOKUP($A658,'[1]ma sp 02'!$A$5:$BD$1101,M$1,0)</f>
        <v>#N/A</v>
      </c>
      <c r="N658" s="50" t="e">
        <f>VLOOKUP($A658,'[1]ma sp 02'!$A$5:$BD$1101,N$1,0)</f>
        <v>#N/A</v>
      </c>
      <c r="O658" s="50" t="e">
        <f>VLOOKUP($A658,'[1]ma sp 02'!$A$5:$BD$1101,O$1,0)</f>
        <v>#N/A</v>
      </c>
      <c r="P658" s="50" t="e">
        <f>VLOOKUP($A658,'[1]ma sp 02'!$A$5:$BD$1101,P$1,0)</f>
        <v>#N/A</v>
      </c>
      <c r="Q658" s="50" t="e">
        <f>VLOOKUP($A658,'[1]ma sp 02'!$A$5:$BD$1101,Q$1,0)</f>
        <v>#N/A</v>
      </c>
      <c r="R658" s="50" t="e">
        <f>VLOOKUP($A658,'[1]ma sp 02'!$A$5:$BD$1101,R$1,0)</f>
        <v>#N/A</v>
      </c>
      <c r="S658" s="50" t="e">
        <f>VLOOKUP($A658,'[1]ma sp 02'!$A$5:$BD$1101,S$1,0)</f>
        <v>#N/A</v>
      </c>
      <c r="T658" s="50" t="e">
        <f>VLOOKUP($A658,'[1]ma sp 02'!$A$5:$BD$1101,T$1,0)</f>
        <v>#N/A</v>
      </c>
      <c r="U658" s="50" t="e">
        <f>VLOOKUP($A658,'[1]ma sp 02'!$A$5:$BD$1101,U$1,0)</f>
        <v>#N/A</v>
      </c>
      <c r="V658" s="50" t="e">
        <f>VLOOKUP($A658,'[1]ma sp 02'!$A$5:$BD$1101,V$1,0)</f>
        <v>#N/A</v>
      </c>
      <c r="W658" s="50" t="e">
        <f>VLOOKUP($A658,'[1]ma sp 02'!$A$5:$BD$1101,W$1,0)</f>
        <v>#N/A</v>
      </c>
      <c r="X658" s="50"/>
      <c r="Y658" s="62"/>
      <c r="Z658" s="62"/>
      <c r="AA658" s="62"/>
      <c r="AB658" s="62"/>
      <c r="AC658" s="62"/>
      <c r="AD658" s="62"/>
      <c r="AE658" s="62"/>
      <c r="AF658" s="62"/>
      <c r="AG658" s="53"/>
      <c r="AH658" s="54"/>
      <c r="AI658" s="54"/>
      <c r="AJ658" s="62"/>
      <c r="AK658" s="62"/>
      <c r="AL658" s="62"/>
      <c r="AM658" s="61"/>
      <c r="AN658" s="62"/>
      <c r="AO658" s="61"/>
      <c r="AP658" s="59">
        <f>IFERROR(VLOOKUP($A658,[2]Mssp!$A$5:$BE$1463,AP$4+1,0),0)</f>
        <v>0</v>
      </c>
      <c r="AQ658" s="59">
        <f>IFERROR(VLOOKUP($A658,[2]Mssp!$A$5:$BE$1463,AQ$4+1,0),0)</f>
        <v>0</v>
      </c>
      <c r="AR658" s="59">
        <f>IFERROR(VLOOKUP($A658,[2]Mssp!$A$5:$BE$1463,AR$4+1,0),0)</f>
        <v>0</v>
      </c>
      <c r="AS658" s="59">
        <f>IFERROR(VLOOKUP($A658,[2]Mssp!$A$5:$BE$1463,AS$4+1,0),0)</f>
        <v>0</v>
      </c>
      <c r="AT658" s="59">
        <f>IFERROR(VLOOKUP($A658,[2]Mssp!$A$5:$BE$1463,AT$4+1,0),0)</f>
        <v>0</v>
      </c>
      <c r="AU658" s="59">
        <f>IFERROR(VLOOKUP($A658,[2]Mssp!$A$5:$BE$1463,AU$4+1,0),0)</f>
        <v>0</v>
      </c>
      <c r="AV658" s="59">
        <f>IFERROR(VLOOKUP($A658,[2]Mssp!$A$5:$BE$1463,AV$4+1,0),0)</f>
        <v>0</v>
      </c>
      <c r="AW658" s="59">
        <f>IFERROR(VLOOKUP($A658,[2]Mssp!$A$5:$BE$1463,AW$4+1,0),0)</f>
        <v>0</v>
      </c>
      <c r="AX658" s="59">
        <f>IFERROR(VLOOKUP($A658,[2]Mssp!$A$5:$BE$1463,AX$4+1,0),0)</f>
        <v>0</v>
      </c>
      <c r="AY658" s="59">
        <f>IFERROR(VLOOKUP($A658,[2]Mssp!$A$5:$BE$1463,AY$4+2,0),0)</f>
        <v>0</v>
      </c>
      <c r="AZ658" s="59">
        <f>IFERROR(VLOOKUP($A658,[2]Mssp!$A$5:$BE$1463,AZ$4+2,0),0)</f>
        <v>0</v>
      </c>
      <c r="BA658" s="141"/>
      <c r="BB658" s="61"/>
      <c r="BC658" s="165"/>
      <c r="BD658" s="166"/>
      <c r="BE658" s="167"/>
      <c r="BF658" s="168"/>
      <c r="BG658" s="167"/>
      <c r="BH658" s="168"/>
      <c r="BI658" s="169"/>
      <c r="BJ658" s="168"/>
      <c r="BK658" s="134"/>
      <c r="BL658" s="168"/>
      <c r="BM658" s="167"/>
      <c r="BN658" s="168"/>
      <c r="BO658" s="62"/>
      <c r="BP658" s="168"/>
      <c r="BQ658" s="168"/>
      <c r="BR658" s="168"/>
      <c r="BS658" s="135"/>
      <c r="BT658" s="168"/>
      <c r="BU658" s="167"/>
      <c r="BV658" s="168"/>
      <c r="BW658" s="167"/>
      <c r="BX658" s="168"/>
      <c r="BY658" s="167"/>
      <c r="BZ658" s="168"/>
      <c r="CA658" s="167"/>
      <c r="CB658" s="168"/>
      <c r="CC658" s="167"/>
      <c r="CD658" s="168"/>
      <c r="CE658" s="62"/>
      <c r="CF658" s="62"/>
      <c r="CG658" s="9"/>
      <c r="CH658" s="9"/>
      <c r="CI658" s="9"/>
      <c r="CJ658" s="9"/>
      <c r="CK658" s="9"/>
      <c r="CL658" s="9"/>
      <c r="CM658" s="9"/>
      <c r="CN658" s="9"/>
      <c r="CO658" s="9"/>
      <c r="CP658" s="9"/>
    </row>
    <row r="659" spans="1:94" x14ac:dyDescent="0.25">
      <c r="A659" s="127"/>
      <c r="B659" s="51"/>
      <c r="C659" s="62"/>
      <c r="D659" s="84"/>
      <c r="E659" s="62"/>
      <c r="F659" s="62"/>
      <c r="G659" s="62"/>
      <c r="H659" s="50" t="e">
        <f>VLOOKUP($A659,'[1]ma sp 02'!$A$5:$BD$1101,H$1,0)</f>
        <v>#N/A</v>
      </c>
      <c r="I659" s="50" t="e">
        <f>VLOOKUP($A659,'[1]ma sp 02'!$A$5:$BD$1101,I$1,0)</f>
        <v>#N/A</v>
      </c>
      <c r="J659" s="50" t="e">
        <f>VLOOKUP($A659,'[1]ma sp 02'!$A$5:$BD$1101,J$1,0)</f>
        <v>#N/A</v>
      </c>
      <c r="K659" s="50" t="e">
        <f>VLOOKUP($A659,'[1]ma sp 02'!$A$5:$BD$1101,K$1,0)</f>
        <v>#N/A</v>
      </c>
      <c r="L659" s="50" t="e">
        <f>VLOOKUP($A659,'[1]ma sp 02'!$A$5:$BD$1101,L$1,0)</f>
        <v>#N/A</v>
      </c>
      <c r="M659" s="50" t="e">
        <f>VLOOKUP($A659,'[1]ma sp 02'!$A$5:$BD$1101,M$1,0)</f>
        <v>#N/A</v>
      </c>
      <c r="N659" s="50" t="e">
        <f>VLOOKUP($A659,'[1]ma sp 02'!$A$5:$BD$1101,N$1,0)</f>
        <v>#N/A</v>
      </c>
      <c r="O659" s="50" t="e">
        <f>VLOOKUP($A659,'[1]ma sp 02'!$A$5:$BD$1101,O$1,0)</f>
        <v>#N/A</v>
      </c>
      <c r="P659" s="50" t="e">
        <f>VLOOKUP($A659,'[1]ma sp 02'!$A$5:$BD$1101,P$1,0)</f>
        <v>#N/A</v>
      </c>
      <c r="Q659" s="50" t="e">
        <f>VLOOKUP($A659,'[1]ma sp 02'!$A$5:$BD$1101,Q$1,0)</f>
        <v>#N/A</v>
      </c>
      <c r="R659" s="50" t="e">
        <f>VLOOKUP($A659,'[1]ma sp 02'!$A$5:$BD$1101,R$1,0)</f>
        <v>#N/A</v>
      </c>
      <c r="S659" s="50" t="e">
        <f>VLOOKUP($A659,'[1]ma sp 02'!$A$5:$BD$1101,S$1,0)</f>
        <v>#N/A</v>
      </c>
      <c r="T659" s="50" t="e">
        <f>VLOOKUP($A659,'[1]ma sp 02'!$A$5:$BD$1101,T$1,0)</f>
        <v>#N/A</v>
      </c>
      <c r="U659" s="50" t="e">
        <f>VLOOKUP($A659,'[1]ma sp 02'!$A$5:$BD$1101,U$1,0)</f>
        <v>#N/A</v>
      </c>
      <c r="V659" s="50" t="e">
        <f>VLOOKUP($A659,'[1]ma sp 02'!$A$5:$BD$1101,V$1,0)</f>
        <v>#N/A</v>
      </c>
      <c r="W659" s="50" t="e">
        <f>VLOOKUP($A659,'[1]ma sp 02'!$A$5:$BD$1101,W$1,0)</f>
        <v>#N/A</v>
      </c>
      <c r="X659" s="50"/>
      <c r="Y659" s="62"/>
      <c r="Z659" s="62"/>
      <c r="AA659" s="62"/>
      <c r="AB659" s="62"/>
      <c r="AC659" s="62"/>
      <c r="AD659" s="62"/>
      <c r="AE659" s="62"/>
      <c r="AF659" s="62"/>
      <c r="AG659" s="53"/>
      <c r="AH659" s="54"/>
      <c r="AI659" s="54"/>
      <c r="AJ659" s="62"/>
      <c r="AK659" s="62"/>
      <c r="AL659" s="62"/>
      <c r="AM659" s="61"/>
      <c r="AN659" s="62"/>
      <c r="AO659" s="61"/>
      <c r="AP659" s="59">
        <f>IFERROR(VLOOKUP($A659,[2]Mssp!$A$5:$BE$1463,AP$4+1,0),0)</f>
        <v>0</v>
      </c>
      <c r="AQ659" s="59">
        <f>IFERROR(VLOOKUP($A659,[2]Mssp!$A$5:$BE$1463,AQ$4+1,0),0)</f>
        <v>0</v>
      </c>
      <c r="AR659" s="59">
        <f>IFERROR(VLOOKUP($A659,[2]Mssp!$A$5:$BE$1463,AR$4+1,0),0)</f>
        <v>0</v>
      </c>
      <c r="AS659" s="59">
        <f>IFERROR(VLOOKUP($A659,[2]Mssp!$A$5:$BE$1463,AS$4+1,0),0)</f>
        <v>0</v>
      </c>
      <c r="AT659" s="59">
        <f>IFERROR(VLOOKUP($A659,[2]Mssp!$A$5:$BE$1463,AT$4+1,0),0)</f>
        <v>0</v>
      </c>
      <c r="AU659" s="59">
        <f>IFERROR(VLOOKUP($A659,[2]Mssp!$A$5:$BE$1463,AU$4+1,0),0)</f>
        <v>0</v>
      </c>
      <c r="AV659" s="59">
        <f>IFERROR(VLOOKUP($A659,[2]Mssp!$A$5:$BE$1463,AV$4+1,0),0)</f>
        <v>0</v>
      </c>
      <c r="AW659" s="59">
        <f>IFERROR(VLOOKUP($A659,[2]Mssp!$A$5:$BE$1463,AW$4+1,0),0)</f>
        <v>0</v>
      </c>
      <c r="AX659" s="59">
        <f>IFERROR(VLOOKUP($A659,[2]Mssp!$A$5:$BE$1463,AX$4+1,0),0)</f>
        <v>0</v>
      </c>
      <c r="AY659" s="59">
        <f>IFERROR(VLOOKUP($A659,[2]Mssp!$A$5:$BE$1463,AY$4+2,0),0)</f>
        <v>0</v>
      </c>
      <c r="AZ659" s="59">
        <f>IFERROR(VLOOKUP($A659,[2]Mssp!$A$5:$BE$1463,AZ$4+2,0),0)</f>
        <v>0</v>
      </c>
      <c r="BA659" s="141"/>
      <c r="BB659" s="61"/>
      <c r="BC659" s="165"/>
      <c r="BD659" s="166"/>
      <c r="BE659" s="167"/>
      <c r="BF659" s="168"/>
      <c r="BG659" s="167"/>
      <c r="BH659" s="168"/>
      <c r="BI659" s="169"/>
      <c r="BJ659" s="168"/>
      <c r="BK659" s="134"/>
      <c r="BL659" s="168"/>
      <c r="BM659" s="167"/>
      <c r="BN659" s="168"/>
      <c r="BO659" s="62"/>
      <c r="BP659" s="168"/>
      <c r="BQ659" s="168"/>
      <c r="BR659" s="168"/>
      <c r="BS659" s="135"/>
      <c r="BT659" s="168"/>
      <c r="BU659" s="167"/>
      <c r="BV659" s="168"/>
      <c r="BW659" s="167"/>
      <c r="BX659" s="168"/>
      <c r="BY659" s="167"/>
      <c r="BZ659" s="168"/>
      <c r="CA659" s="167"/>
      <c r="CB659" s="168"/>
      <c r="CC659" s="167"/>
      <c r="CD659" s="168"/>
      <c r="CE659" s="62"/>
      <c r="CF659" s="62"/>
      <c r="CG659" s="9"/>
      <c r="CH659" s="9"/>
      <c r="CI659" s="9"/>
      <c r="CJ659" s="9"/>
      <c r="CK659" s="9"/>
      <c r="CL659" s="9"/>
      <c r="CM659" s="9"/>
      <c r="CN659" s="9"/>
      <c r="CO659" s="9"/>
      <c r="CP659" s="9"/>
    </row>
    <row r="660" spans="1:94" x14ac:dyDescent="0.25">
      <c r="A660" s="127"/>
      <c r="B660" s="51"/>
      <c r="C660" s="62"/>
      <c r="D660" s="84"/>
      <c r="E660" s="62"/>
      <c r="F660" s="62"/>
      <c r="G660" s="62"/>
      <c r="H660" s="50" t="e">
        <f>VLOOKUP($A660,'[1]ma sp 02'!$A$5:$BD$1101,H$1,0)</f>
        <v>#N/A</v>
      </c>
      <c r="I660" s="50" t="e">
        <f>VLOOKUP($A660,'[1]ma sp 02'!$A$5:$BD$1101,I$1,0)</f>
        <v>#N/A</v>
      </c>
      <c r="J660" s="50" t="e">
        <f>VLOOKUP($A660,'[1]ma sp 02'!$A$5:$BD$1101,J$1,0)</f>
        <v>#N/A</v>
      </c>
      <c r="K660" s="50" t="e">
        <f>VLOOKUP($A660,'[1]ma sp 02'!$A$5:$BD$1101,K$1,0)</f>
        <v>#N/A</v>
      </c>
      <c r="L660" s="50" t="e">
        <f>VLOOKUP($A660,'[1]ma sp 02'!$A$5:$BD$1101,L$1,0)</f>
        <v>#N/A</v>
      </c>
      <c r="M660" s="50" t="e">
        <f>VLOOKUP($A660,'[1]ma sp 02'!$A$5:$BD$1101,M$1,0)</f>
        <v>#N/A</v>
      </c>
      <c r="N660" s="50" t="e">
        <f>VLOOKUP($A660,'[1]ma sp 02'!$A$5:$BD$1101,N$1,0)</f>
        <v>#N/A</v>
      </c>
      <c r="O660" s="50" t="e">
        <f>VLOOKUP($A660,'[1]ma sp 02'!$A$5:$BD$1101,O$1,0)</f>
        <v>#N/A</v>
      </c>
      <c r="P660" s="50" t="e">
        <f>VLOOKUP($A660,'[1]ma sp 02'!$A$5:$BD$1101,P$1,0)</f>
        <v>#N/A</v>
      </c>
      <c r="Q660" s="50" t="e">
        <f>VLOOKUP($A660,'[1]ma sp 02'!$A$5:$BD$1101,Q$1,0)</f>
        <v>#N/A</v>
      </c>
      <c r="R660" s="50" t="e">
        <f>VLOOKUP($A660,'[1]ma sp 02'!$A$5:$BD$1101,R$1,0)</f>
        <v>#N/A</v>
      </c>
      <c r="S660" s="50" t="e">
        <f>VLOOKUP($A660,'[1]ma sp 02'!$A$5:$BD$1101,S$1,0)</f>
        <v>#N/A</v>
      </c>
      <c r="T660" s="50" t="e">
        <f>VLOOKUP($A660,'[1]ma sp 02'!$A$5:$BD$1101,T$1,0)</f>
        <v>#N/A</v>
      </c>
      <c r="U660" s="50" t="e">
        <f>VLOOKUP($A660,'[1]ma sp 02'!$A$5:$BD$1101,U$1,0)</f>
        <v>#N/A</v>
      </c>
      <c r="V660" s="50" t="e">
        <f>VLOOKUP($A660,'[1]ma sp 02'!$A$5:$BD$1101,V$1,0)</f>
        <v>#N/A</v>
      </c>
      <c r="W660" s="50" t="e">
        <f>VLOOKUP($A660,'[1]ma sp 02'!$A$5:$BD$1101,W$1,0)</f>
        <v>#N/A</v>
      </c>
      <c r="X660" s="50"/>
      <c r="Y660" s="62"/>
      <c r="Z660" s="62"/>
      <c r="AA660" s="62"/>
      <c r="AB660" s="62"/>
      <c r="AC660" s="62"/>
      <c r="AD660" s="62"/>
      <c r="AE660" s="62"/>
      <c r="AF660" s="62"/>
      <c r="AG660" s="53"/>
      <c r="AH660" s="54"/>
      <c r="AI660" s="54"/>
      <c r="AJ660" s="62"/>
      <c r="AK660" s="62"/>
      <c r="AL660" s="62"/>
      <c r="AM660" s="61"/>
      <c r="AN660" s="62"/>
      <c r="AO660" s="61"/>
      <c r="AP660" s="59">
        <f>IFERROR(VLOOKUP($A660,[2]Mssp!$A$5:$BE$1463,AP$4+1,0),0)</f>
        <v>0</v>
      </c>
      <c r="AQ660" s="59">
        <f>IFERROR(VLOOKUP($A660,[2]Mssp!$A$5:$BE$1463,AQ$4+1,0),0)</f>
        <v>0</v>
      </c>
      <c r="AR660" s="59">
        <f>IFERROR(VLOOKUP($A660,[2]Mssp!$A$5:$BE$1463,AR$4+1,0),0)</f>
        <v>0</v>
      </c>
      <c r="AS660" s="59">
        <f>IFERROR(VLOOKUP($A660,[2]Mssp!$A$5:$BE$1463,AS$4+1,0),0)</f>
        <v>0</v>
      </c>
      <c r="AT660" s="59">
        <f>IFERROR(VLOOKUP($A660,[2]Mssp!$A$5:$BE$1463,AT$4+1,0),0)</f>
        <v>0</v>
      </c>
      <c r="AU660" s="59">
        <f>IFERROR(VLOOKUP($A660,[2]Mssp!$A$5:$BE$1463,AU$4+1,0),0)</f>
        <v>0</v>
      </c>
      <c r="AV660" s="59">
        <f>IFERROR(VLOOKUP($A660,[2]Mssp!$A$5:$BE$1463,AV$4+1,0),0)</f>
        <v>0</v>
      </c>
      <c r="AW660" s="59">
        <f>IFERROR(VLOOKUP($A660,[2]Mssp!$A$5:$BE$1463,AW$4+1,0),0)</f>
        <v>0</v>
      </c>
      <c r="AX660" s="59">
        <f>IFERROR(VLOOKUP($A660,[2]Mssp!$A$5:$BE$1463,AX$4+1,0),0)</f>
        <v>0</v>
      </c>
      <c r="AY660" s="59">
        <f>IFERROR(VLOOKUP($A660,[2]Mssp!$A$5:$BE$1463,AY$4+2,0),0)</f>
        <v>0</v>
      </c>
      <c r="AZ660" s="59">
        <f>IFERROR(VLOOKUP($A660,[2]Mssp!$A$5:$BE$1463,AZ$4+2,0),0)</f>
        <v>0</v>
      </c>
      <c r="BA660" s="141"/>
      <c r="BB660" s="61"/>
      <c r="BC660" s="165"/>
      <c r="BD660" s="166"/>
      <c r="BE660" s="167"/>
      <c r="BF660" s="168"/>
      <c r="BG660" s="167"/>
      <c r="BH660" s="168"/>
      <c r="BI660" s="169"/>
      <c r="BJ660" s="168"/>
      <c r="BK660" s="134"/>
      <c r="BL660" s="168"/>
      <c r="BM660" s="167"/>
      <c r="BN660" s="168"/>
      <c r="BO660" s="62"/>
      <c r="BP660" s="168"/>
      <c r="BQ660" s="168"/>
      <c r="BR660" s="168"/>
      <c r="BS660" s="135"/>
      <c r="BT660" s="168"/>
      <c r="BU660" s="167"/>
      <c r="BV660" s="168"/>
      <c r="BW660" s="167"/>
      <c r="BX660" s="168"/>
      <c r="BY660" s="167"/>
      <c r="BZ660" s="168"/>
      <c r="CA660" s="167"/>
      <c r="CB660" s="168"/>
      <c r="CC660" s="167"/>
      <c r="CD660" s="168"/>
      <c r="CE660" s="62"/>
      <c r="CF660" s="62"/>
      <c r="CG660" s="9"/>
      <c r="CH660" s="9"/>
      <c r="CI660" s="9"/>
      <c r="CJ660" s="9"/>
      <c r="CK660" s="9"/>
      <c r="CL660" s="9"/>
      <c r="CM660" s="9"/>
      <c r="CN660" s="9"/>
      <c r="CO660" s="9"/>
      <c r="CP660" s="9"/>
    </row>
    <row r="661" spans="1:94" x14ac:dyDescent="0.25">
      <c r="A661" s="127"/>
      <c r="B661" s="51"/>
      <c r="C661" s="62"/>
      <c r="D661" s="84"/>
      <c r="E661" s="62"/>
      <c r="F661" s="62"/>
      <c r="G661" s="62"/>
      <c r="H661" s="50" t="e">
        <f>VLOOKUP($A661,'[1]ma sp 02'!$A$5:$BD$1101,H$1,0)</f>
        <v>#N/A</v>
      </c>
      <c r="I661" s="50" t="e">
        <f>VLOOKUP($A661,'[1]ma sp 02'!$A$5:$BD$1101,I$1,0)</f>
        <v>#N/A</v>
      </c>
      <c r="J661" s="50" t="e">
        <f>VLOOKUP($A661,'[1]ma sp 02'!$A$5:$BD$1101,J$1,0)</f>
        <v>#N/A</v>
      </c>
      <c r="K661" s="50" t="e">
        <f>VLOOKUP($A661,'[1]ma sp 02'!$A$5:$BD$1101,K$1,0)</f>
        <v>#N/A</v>
      </c>
      <c r="L661" s="50" t="e">
        <f>VLOOKUP($A661,'[1]ma sp 02'!$A$5:$BD$1101,L$1,0)</f>
        <v>#N/A</v>
      </c>
      <c r="M661" s="50" t="e">
        <f>VLOOKUP($A661,'[1]ma sp 02'!$A$5:$BD$1101,M$1,0)</f>
        <v>#N/A</v>
      </c>
      <c r="N661" s="50" t="e">
        <f>VLOOKUP($A661,'[1]ma sp 02'!$A$5:$BD$1101,N$1,0)</f>
        <v>#N/A</v>
      </c>
      <c r="O661" s="50" t="e">
        <f>VLOOKUP($A661,'[1]ma sp 02'!$A$5:$BD$1101,O$1,0)</f>
        <v>#N/A</v>
      </c>
      <c r="P661" s="50" t="e">
        <f>VLOOKUP($A661,'[1]ma sp 02'!$A$5:$BD$1101,P$1,0)</f>
        <v>#N/A</v>
      </c>
      <c r="Q661" s="50" t="e">
        <f>VLOOKUP($A661,'[1]ma sp 02'!$A$5:$BD$1101,Q$1,0)</f>
        <v>#N/A</v>
      </c>
      <c r="R661" s="50" t="e">
        <f>VLOOKUP($A661,'[1]ma sp 02'!$A$5:$BD$1101,R$1,0)</f>
        <v>#N/A</v>
      </c>
      <c r="S661" s="50" t="e">
        <f>VLOOKUP($A661,'[1]ma sp 02'!$A$5:$BD$1101,S$1,0)</f>
        <v>#N/A</v>
      </c>
      <c r="T661" s="50" t="e">
        <f>VLOOKUP($A661,'[1]ma sp 02'!$A$5:$BD$1101,T$1,0)</f>
        <v>#N/A</v>
      </c>
      <c r="U661" s="50" t="e">
        <f>VLOOKUP($A661,'[1]ma sp 02'!$A$5:$BD$1101,U$1,0)</f>
        <v>#N/A</v>
      </c>
      <c r="V661" s="50" t="e">
        <f>VLOOKUP($A661,'[1]ma sp 02'!$A$5:$BD$1101,V$1,0)</f>
        <v>#N/A</v>
      </c>
      <c r="W661" s="50" t="e">
        <f>VLOOKUP($A661,'[1]ma sp 02'!$A$5:$BD$1101,W$1,0)</f>
        <v>#N/A</v>
      </c>
      <c r="X661" s="50"/>
      <c r="Y661" s="62"/>
      <c r="Z661" s="62"/>
      <c r="AA661" s="62"/>
      <c r="AB661" s="62"/>
      <c r="AC661" s="62"/>
      <c r="AD661" s="62"/>
      <c r="AE661" s="62"/>
      <c r="AF661" s="62"/>
      <c r="AG661" s="53"/>
      <c r="AH661" s="54"/>
      <c r="AI661" s="54"/>
      <c r="AJ661" s="62"/>
      <c r="AK661" s="62"/>
      <c r="AL661" s="62"/>
      <c r="AM661" s="61"/>
      <c r="AN661" s="62"/>
      <c r="AO661" s="61"/>
      <c r="AP661" s="59">
        <f>IFERROR(VLOOKUP($A661,[2]Mssp!$A$5:$BE$1463,AP$4+1,0),0)</f>
        <v>0</v>
      </c>
      <c r="AQ661" s="59">
        <f>IFERROR(VLOOKUP($A661,[2]Mssp!$A$5:$BE$1463,AQ$4+1,0),0)</f>
        <v>0</v>
      </c>
      <c r="AR661" s="59">
        <f>IFERROR(VLOOKUP($A661,[2]Mssp!$A$5:$BE$1463,AR$4+1,0),0)</f>
        <v>0</v>
      </c>
      <c r="AS661" s="59">
        <f>IFERROR(VLOOKUP($A661,[2]Mssp!$A$5:$BE$1463,AS$4+1,0),0)</f>
        <v>0</v>
      </c>
      <c r="AT661" s="59">
        <f>IFERROR(VLOOKUP($A661,[2]Mssp!$A$5:$BE$1463,AT$4+1,0),0)</f>
        <v>0</v>
      </c>
      <c r="AU661" s="59">
        <f>IFERROR(VLOOKUP($A661,[2]Mssp!$A$5:$BE$1463,AU$4+1,0),0)</f>
        <v>0</v>
      </c>
      <c r="AV661" s="59">
        <f>IFERROR(VLOOKUP($A661,[2]Mssp!$A$5:$BE$1463,AV$4+1,0),0)</f>
        <v>0</v>
      </c>
      <c r="AW661" s="59">
        <f>IFERROR(VLOOKUP($A661,[2]Mssp!$A$5:$BE$1463,AW$4+1,0),0)</f>
        <v>0</v>
      </c>
      <c r="AX661" s="59">
        <f>IFERROR(VLOOKUP($A661,[2]Mssp!$A$5:$BE$1463,AX$4+1,0),0)</f>
        <v>0</v>
      </c>
      <c r="AY661" s="59">
        <f>IFERROR(VLOOKUP($A661,[2]Mssp!$A$5:$BE$1463,AY$4+2,0),0)</f>
        <v>0</v>
      </c>
      <c r="AZ661" s="59">
        <f>IFERROR(VLOOKUP($A661,[2]Mssp!$A$5:$BE$1463,AZ$4+2,0),0)</f>
        <v>0</v>
      </c>
      <c r="BA661" s="141"/>
      <c r="BB661" s="61"/>
      <c r="BC661" s="165"/>
      <c r="BD661" s="166"/>
      <c r="BE661" s="167"/>
      <c r="BF661" s="168"/>
      <c r="BG661" s="167"/>
      <c r="BH661" s="168"/>
      <c r="BI661" s="169"/>
      <c r="BJ661" s="168"/>
      <c r="BK661" s="134"/>
      <c r="BL661" s="168"/>
      <c r="BM661" s="167"/>
      <c r="BN661" s="168"/>
      <c r="BO661" s="62"/>
      <c r="BP661" s="168"/>
      <c r="BQ661" s="168"/>
      <c r="BR661" s="168"/>
      <c r="BS661" s="135"/>
      <c r="BT661" s="168"/>
      <c r="BU661" s="167"/>
      <c r="BV661" s="168"/>
      <c r="BW661" s="167"/>
      <c r="BX661" s="168"/>
      <c r="BY661" s="167"/>
      <c r="BZ661" s="168"/>
      <c r="CA661" s="167"/>
      <c r="CB661" s="168"/>
      <c r="CC661" s="167"/>
      <c r="CD661" s="168"/>
      <c r="CE661" s="62"/>
      <c r="CF661" s="62"/>
      <c r="CG661" s="9"/>
      <c r="CH661" s="9"/>
      <c r="CI661" s="9"/>
      <c r="CJ661" s="9"/>
      <c r="CK661" s="9"/>
      <c r="CL661" s="9"/>
      <c r="CM661" s="9"/>
      <c r="CN661" s="9"/>
      <c r="CO661" s="9"/>
      <c r="CP661" s="9"/>
    </row>
    <row r="662" spans="1:94" x14ac:dyDescent="0.25">
      <c r="A662" s="127"/>
      <c r="B662" s="51"/>
      <c r="C662" s="62"/>
      <c r="D662" s="84"/>
      <c r="E662" s="62"/>
      <c r="F662" s="62"/>
      <c r="G662" s="62"/>
      <c r="H662" s="50" t="e">
        <f>VLOOKUP($A662,'[1]ma sp 02'!$A$5:$BD$1101,H$1,0)</f>
        <v>#N/A</v>
      </c>
      <c r="I662" s="50" t="e">
        <f>VLOOKUP($A662,'[1]ma sp 02'!$A$5:$BD$1101,I$1,0)</f>
        <v>#N/A</v>
      </c>
      <c r="J662" s="50" t="e">
        <f>VLOOKUP($A662,'[1]ma sp 02'!$A$5:$BD$1101,J$1,0)</f>
        <v>#N/A</v>
      </c>
      <c r="K662" s="50" t="e">
        <f>VLOOKUP($A662,'[1]ma sp 02'!$A$5:$BD$1101,K$1,0)</f>
        <v>#N/A</v>
      </c>
      <c r="L662" s="50" t="e">
        <f>VLOOKUP($A662,'[1]ma sp 02'!$A$5:$BD$1101,L$1,0)</f>
        <v>#N/A</v>
      </c>
      <c r="M662" s="50" t="e">
        <f>VLOOKUP($A662,'[1]ma sp 02'!$A$5:$BD$1101,M$1,0)</f>
        <v>#N/A</v>
      </c>
      <c r="N662" s="50" t="e">
        <f>VLOOKUP($A662,'[1]ma sp 02'!$A$5:$BD$1101,N$1,0)</f>
        <v>#N/A</v>
      </c>
      <c r="O662" s="50" t="e">
        <f>VLOOKUP($A662,'[1]ma sp 02'!$A$5:$BD$1101,O$1,0)</f>
        <v>#N/A</v>
      </c>
      <c r="P662" s="50" t="e">
        <f>VLOOKUP($A662,'[1]ma sp 02'!$A$5:$BD$1101,P$1,0)</f>
        <v>#N/A</v>
      </c>
      <c r="Q662" s="50" t="e">
        <f>VLOOKUP($A662,'[1]ma sp 02'!$A$5:$BD$1101,Q$1,0)</f>
        <v>#N/A</v>
      </c>
      <c r="R662" s="50" t="e">
        <f>VLOOKUP($A662,'[1]ma sp 02'!$A$5:$BD$1101,R$1,0)</f>
        <v>#N/A</v>
      </c>
      <c r="S662" s="50" t="e">
        <f>VLOOKUP($A662,'[1]ma sp 02'!$A$5:$BD$1101,S$1,0)</f>
        <v>#N/A</v>
      </c>
      <c r="T662" s="50" t="e">
        <f>VLOOKUP($A662,'[1]ma sp 02'!$A$5:$BD$1101,T$1,0)</f>
        <v>#N/A</v>
      </c>
      <c r="U662" s="50" t="e">
        <f>VLOOKUP($A662,'[1]ma sp 02'!$A$5:$BD$1101,U$1,0)</f>
        <v>#N/A</v>
      </c>
      <c r="V662" s="50" t="e">
        <f>VLOOKUP($A662,'[1]ma sp 02'!$A$5:$BD$1101,V$1,0)</f>
        <v>#N/A</v>
      </c>
      <c r="W662" s="50" t="e">
        <f>VLOOKUP($A662,'[1]ma sp 02'!$A$5:$BD$1101,W$1,0)</f>
        <v>#N/A</v>
      </c>
      <c r="X662" s="50"/>
      <c r="Y662" s="62"/>
      <c r="Z662" s="62"/>
      <c r="AA662" s="62"/>
      <c r="AB662" s="62"/>
      <c r="AC662" s="62"/>
      <c r="AD662" s="62"/>
      <c r="AE662" s="62"/>
      <c r="AF662" s="62"/>
      <c r="AG662" s="53"/>
      <c r="AH662" s="54"/>
      <c r="AI662" s="54"/>
      <c r="AJ662" s="62"/>
      <c r="AK662" s="62"/>
      <c r="AL662" s="62"/>
      <c r="AM662" s="61"/>
      <c r="AN662" s="62"/>
      <c r="AO662" s="61"/>
      <c r="AP662" s="59">
        <f>IFERROR(VLOOKUP($A662,[2]Mssp!$A$5:$BE$1463,AP$4+1,0),0)</f>
        <v>0</v>
      </c>
      <c r="AQ662" s="59">
        <f>IFERROR(VLOOKUP($A662,[2]Mssp!$A$5:$BE$1463,AQ$4+1,0),0)</f>
        <v>0</v>
      </c>
      <c r="AR662" s="59">
        <f>IFERROR(VLOOKUP($A662,[2]Mssp!$A$5:$BE$1463,AR$4+1,0),0)</f>
        <v>0</v>
      </c>
      <c r="AS662" s="59">
        <f>IFERROR(VLOOKUP($A662,[2]Mssp!$A$5:$BE$1463,AS$4+1,0),0)</f>
        <v>0</v>
      </c>
      <c r="AT662" s="59">
        <f>IFERROR(VLOOKUP($A662,[2]Mssp!$A$5:$BE$1463,AT$4+1,0),0)</f>
        <v>0</v>
      </c>
      <c r="AU662" s="59">
        <f>IFERROR(VLOOKUP($A662,[2]Mssp!$A$5:$BE$1463,AU$4+1,0),0)</f>
        <v>0</v>
      </c>
      <c r="AV662" s="59">
        <f>IFERROR(VLOOKUP($A662,[2]Mssp!$A$5:$BE$1463,AV$4+1,0),0)</f>
        <v>0</v>
      </c>
      <c r="AW662" s="59">
        <f>IFERROR(VLOOKUP($A662,[2]Mssp!$A$5:$BE$1463,AW$4+1,0),0)</f>
        <v>0</v>
      </c>
      <c r="AX662" s="59">
        <f>IFERROR(VLOOKUP($A662,[2]Mssp!$A$5:$BE$1463,AX$4+1,0),0)</f>
        <v>0</v>
      </c>
      <c r="AY662" s="59">
        <f>IFERROR(VLOOKUP($A662,[2]Mssp!$A$5:$BE$1463,AY$4+2,0),0)</f>
        <v>0</v>
      </c>
      <c r="AZ662" s="59">
        <f>IFERROR(VLOOKUP($A662,[2]Mssp!$A$5:$BE$1463,AZ$4+2,0),0)</f>
        <v>0</v>
      </c>
      <c r="BA662" s="141"/>
      <c r="BB662" s="61"/>
      <c r="BC662" s="165"/>
      <c r="BD662" s="166"/>
      <c r="BE662" s="167"/>
      <c r="BF662" s="168"/>
      <c r="BG662" s="167"/>
      <c r="BH662" s="168"/>
      <c r="BI662" s="169"/>
      <c r="BJ662" s="168"/>
      <c r="BK662" s="134"/>
      <c r="BL662" s="168"/>
      <c r="BM662" s="167"/>
      <c r="BN662" s="168"/>
      <c r="BO662" s="62"/>
      <c r="BP662" s="168"/>
      <c r="BQ662" s="168"/>
      <c r="BR662" s="168"/>
      <c r="BS662" s="135"/>
      <c r="BT662" s="168"/>
      <c r="BU662" s="167"/>
      <c r="BV662" s="168"/>
      <c r="BW662" s="167"/>
      <c r="BX662" s="168"/>
      <c r="BY662" s="167"/>
      <c r="BZ662" s="168"/>
      <c r="CA662" s="167"/>
      <c r="CB662" s="168"/>
      <c r="CC662" s="167"/>
      <c r="CD662" s="168"/>
      <c r="CE662" s="62"/>
      <c r="CF662" s="62"/>
      <c r="CG662" s="9"/>
      <c r="CH662" s="9"/>
      <c r="CI662" s="9"/>
      <c r="CJ662" s="9"/>
      <c r="CK662" s="9"/>
      <c r="CL662" s="9"/>
      <c r="CM662" s="9"/>
      <c r="CN662" s="9"/>
      <c r="CO662" s="9"/>
      <c r="CP662" s="9"/>
    </row>
    <row r="663" spans="1:94" x14ac:dyDescent="0.25">
      <c r="A663" s="127" t="s">
        <v>2103</v>
      </c>
      <c r="B663" s="51" t="s">
        <v>2104</v>
      </c>
      <c r="C663" s="62"/>
      <c r="D663" s="84">
        <v>3</v>
      </c>
      <c r="E663" s="62" t="s">
        <v>1985</v>
      </c>
      <c r="F663" s="62">
        <v>1</v>
      </c>
      <c r="G663" s="62" t="s">
        <v>184</v>
      </c>
      <c r="H663" s="50">
        <f>VLOOKUP($A663,'[1]ma sp 02'!$A$5:$BD$1101,H$1,0)</f>
        <v>0</v>
      </c>
      <c r="I663" s="50">
        <f>VLOOKUP($A663,'[1]ma sp 02'!$A$5:$BD$1101,I$1,0)</f>
        <v>0</v>
      </c>
      <c r="J663" s="50">
        <f>VLOOKUP($A663,'[1]ma sp 02'!$A$5:$BD$1101,J$1,0)</f>
        <v>0</v>
      </c>
      <c r="K663" s="50">
        <f>VLOOKUP($A663,'[1]ma sp 02'!$A$5:$BD$1101,K$1,0)</f>
        <v>0</v>
      </c>
      <c r="L663" s="50">
        <f>VLOOKUP($A663,'[1]ma sp 02'!$A$5:$BD$1101,L$1,0)</f>
        <v>0</v>
      </c>
      <c r="M663" s="50">
        <f>VLOOKUP($A663,'[1]ma sp 02'!$A$5:$BD$1101,M$1,0)</f>
        <v>0</v>
      </c>
      <c r="N663" s="50">
        <f>VLOOKUP($A663,'[1]ma sp 02'!$A$5:$BD$1101,N$1,0)</f>
        <v>0</v>
      </c>
      <c r="O663" s="50">
        <f>VLOOKUP($A663,'[1]ma sp 02'!$A$5:$BD$1101,O$1,0)</f>
        <v>0.01</v>
      </c>
      <c r="P663" s="50">
        <f>VLOOKUP($A663,'[1]ma sp 02'!$A$5:$BD$1101,P$1,0)</f>
        <v>0</v>
      </c>
      <c r="Q663" s="50">
        <f>VLOOKUP($A663,'[1]ma sp 02'!$A$5:$BD$1101,Q$1,0)</f>
        <v>0</v>
      </c>
      <c r="R663" s="50">
        <f>VLOOKUP($A663,'[1]ma sp 02'!$A$5:$BD$1101,R$1,0)</f>
        <v>0</v>
      </c>
      <c r="S663" s="50">
        <f>VLOOKUP($A663,'[1]ma sp 02'!$A$5:$BD$1101,S$1,0)</f>
        <v>0</v>
      </c>
      <c r="T663" s="50">
        <f>VLOOKUP($A663,'[1]ma sp 02'!$A$5:$BD$1101,T$1,0)</f>
        <v>0</v>
      </c>
      <c r="U663" s="50">
        <f>VLOOKUP($A663,'[1]ma sp 02'!$A$5:$BD$1101,U$1,0)</f>
        <v>0</v>
      </c>
      <c r="V663" s="50">
        <f>VLOOKUP($A663,'[1]ma sp 02'!$A$5:$BD$1101,V$1,0)</f>
        <v>0</v>
      </c>
      <c r="W663" s="50">
        <f>VLOOKUP($A663,'[1]ma sp 02'!$A$5:$BD$1101,W$1,0)</f>
        <v>0</v>
      </c>
      <c r="X663" s="50"/>
      <c r="Y663" s="62"/>
      <c r="Z663" s="62"/>
      <c r="AA663" s="62"/>
      <c r="AB663" s="62"/>
      <c r="AC663" s="62"/>
      <c r="AD663" s="62"/>
      <c r="AE663" s="62" t="s">
        <v>456</v>
      </c>
      <c r="AF663" s="62" t="s">
        <v>1986</v>
      </c>
      <c r="AG663" s="53">
        <f>(0.02*0.91+0.012*1.4+0.045*0.925)*0.77</f>
        <v>5.9001249999999998E-2</v>
      </c>
      <c r="AH663" s="54">
        <f>(2.3/0.75/2)*0.76</f>
        <v>1.1653333333333333</v>
      </c>
      <c r="AI663" s="54">
        <f>(2.3/0.75/2)*0.76</f>
        <v>1.1653333333333333</v>
      </c>
      <c r="AJ663" s="62">
        <v>9530</v>
      </c>
      <c r="AK663" s="62">
        <v>9530</v>
      </c>
      <c r="AL663" s="62" t="s">
        <v>1987</v>
      </c>
      <c r="AM663" s="61" t="s">
        <v>1489</v>
      </c>
      <c r="AN663" s="62">
        <v>165</v>
      </c>
      <c r="AO663" s="61" t="s">
        <v>1902</v>
      </c>
      <c r="AP663" s="59" t="str">
        <f>IFERROR(VLOOKUP($A663,[2]Mssp!$A$5:$BE$1463,AP$4+1,0),0)</f>
        <v>20030584-1</v>
      </c>
      <c r="AQ663" s="59">
        <f>IFERROR(VLOOKUP($A663,[2]Mssp!$A$5:$BE$1463,AQ$4+1,0),0)</f>
        <v>0</v>
      </c>
      <c r="AR663" s="59">
        <f>IFERROR(VLOOKUP($A663,[2]Mssp!$A$5:$BE$1463,AR$4+1,0),0)</f>
        <v>0</v>
      </c>
      <c r="AS663" s="59">
        <f>IFERROR(VLOOKUP($A663,[2]Mssp!$A$5:$BE$1463,AS$4+1,0),0)</f>
        <v>0</v>
      </c>
      <c r="AT663" s="59">
        <f>IFERROR(VLOOKUP($A663,[2]Mssp!$A$5:$BE$1463,AT$4+1,0),0)</f>
        <v>0</v>
      </c>
      <c r="AU663" s="59">
        <f>IFERROR(VLOOKUP($A663,[2]Mssp!$A$5:$BE$1463,AU$4+1,0),0)</f>
        <v>0</v>
      </c>
      <c r="AV663" s="59">
        <f>IFERROR(VLOOKUP($A663,[2]Mssp!$A$5:$BE$1463,AV$4+1,0),0)</f>
        <v>0</v>
      </c>
      <c r="AW663" s="59">
        <f>IFERROR(VLOOKUP($A663,[2]Mssp!$A$5:$BE$1463,AW$4+1,0),0)</f>
        <v>0</v>
      </c>
      <c r="AX663" s="59">
        <f>IFERROR(VLOOKUP($A663,[2]Mssp!$A$5:$BE$1463,AX$4+1,0),0)</f>
        <v>0</v>
      </c>
      <c r="AY663" s="59" t="str">
        <f>IFERROR(VLOOKUP($A663,[2]Mssp!$A$5:$BE$1463,AY$4+2,0),0)</f>
        <v>495x870</v>
      </c>
      <c r="AZ663" s="59" t="str">
        <f>IFERROR(VLOOKUP($A663,[2]Mssp!$A$5:$BE$1463,AZ$4+2,0),0)</f>
        <v>R2</v>
      </c>
      <c r="BA663" s="141"/>
      <c r="BB663" s="61"/>
      <c r="BC663" s="165"/>
      <c r="BD663" s="166"/>
      <c r="BE663" s="167"/>
      <c r="BF663" s="168"/>
      <c r="BG663" s="167"/>
      <c r="BH663" s="168"/>
      <c r="BI663" s="169"/>
      <c r="BJ663" s="168"/>
      <c r="BK663" s="134"/>
      <c r="BL663" s="168"/>
      <c r="BM663" s="167"/>
      <c r="BN663" s="168"/>
      <c r="BO663" s="62"/>
      <c r="BP663" s="168"/>
      <c r="BQ663" s="168"/>
      <c r="BR663" s="168"/>
      <c r="BS663" s="135"/>
      <c r="BT663" s="168"/>
      <c r="BU663" s="167"/>
      <c r="BV663" s="168"/>
      <c r="BW663" s="167"/>
      <c r="BX663" s="168"/>
      <c r="BY663" s="167"/>
      <c r="BZ663" s="168"/>
      <c r="CA663" s="167"/>
      <c r="CB663" s="168"/>
      <c r="CC663" s="167"/>
      <c r="CD663" s="168"/>
      <c r="CE663" s="62"/>
      <c r="CF663" s="62"/>
      <c r="CG663" s="9"/>
      <c r="CH663" s="9"/>
      <c r="CI663" s="9"/>
      <c r="CJ663" s="9"/>
      <c r="CK663" s="9"/>
      <c r="CL663" s="9"/>
      <c r="CM663" s="9"/>
      <c r="CN663" s="9"/>
      <c r="CO663" s="9"/>
      <c r="CP663" s="9"/>
    </row>
    <row r="664" spans="1:94" ht="30" x14ac:dyDescent="0.25">
      <c r="A664" s="127" t="s">
        <v>2105</v>
      </c>
      <c r="B664" s="51" t="s">
        <v>2106</v>
      </c>
      <c r="C664" s="62"/>
      <c r="D664" s="84">
        <v>3</v>
      </c>
      <c r="E664" s="62" t="s">
        <v>1985</v>
      </c>
      <c r="F664" s="62">
        <v>1</v>
      </c>
      <c r="G664" s="62" t="s">
        <v>184</v>
      </c>
      <c r="H664" s="50">
        <f>VLOOKUP($A664,'[1]ma sp 02'!$A$5:$BD$1101,H$1,0)</f>
        <v>0</v>
      </c>
      <c r="I664" s="50">
        <f>VLOOKUP($A664,'[1]ma sp 02'!$A$5:$BD$1101,I$1,0)</f>
        <v>0</v>
      </c>
      <c r="J664" s="50">
        <f>VLOOKUP($A664,'[1]ma sp 02'!$A$5:$BD$1101,J$1,0)</f>
        <v>0</v>
      </c>
      <c r="K664" s="50">
        <f>VLOOKUP($A664,'[1]ma sp 02'!$A$5:$BD$1101,K$1,0)</f>
        <v>0</v>
      </c>
      <c r="L664" s="50">
        <f>VLOOKUP($A664,'[1]ma sp 02'!$A$5:$BD$1101,L$1,0)</f>
        <v>0</v>
      </c>
      <c r="M664" s="50">
        <f>VLOOKUP($A664,'[1]ma sp 02'!$A$5:$BD$1101,M$1,0)</f>
        <v>0</v>
      </c>
      <c r="N664" s="50">
        <f>VLOOKUP($A664,'[1]ma sp 02'!$A$5:$BD$1101,N$1,0)</f>
        <v>0</v>
      </c>
      <c r="O664" s="50">
        <f>VLOOKUP($A664,'[1]ma sp 02'!$A$5:$BD$1101,O$1,0)</f>
        <v>1.1200000000000001</v>
      </c>
      <c r="P664" s="50">
        <f>VLOOKUP($A664,'[1]ma sp 02'!$A$5:$BD$1101,P$1,0)</f>
        <v>0</v>
      </c>
      <c r="Q664" s="50">
        <f>VLOOKUP($A664,'[1]ma sp 02'!$A$5:$BD$1101,Q$1,0)</f>
        <v>0</v>
      </c>
      <c r="R664" s="50">
        <f>VLOOKUP($A664,'[1]ma sp 02'!$A$5:$BD$1101,R$1,0)</f>
        <v>0</v>
      </c>
      <c r="S664" s="50">
        <f>VLOOKUP($A664,'[1]ma sp 02'!$A$5:$BD$1101,S$1,0)</f>
        <v>0</v>
      </c>
      <c r="T664" s="50">
        <f>VLOOKUP($A664,'[1]ma sp 02'!$A$5:$BD$1101,T$1,0)</f>
        <v>0</v>
      </c>
      <c r="U664" s="50">
        <f>VLOOKUP($A664,'[1]ma sp 02'!$A$5:$BD$1101,U$1,0)</f>
        <v>0</v>
      </c>
      <c r="V664" s="50">
        <f>VLOOKUP($A664,'[1]ma sp 02'!$A$5:$BD$1101,V$1,0)</f>
        <v>0</v>
      </c>
      <c r="W664" s="50">
        <f>VLOOKUP($A664,'[1]ma sp 02'!$A$5:$BD$1101,W$1,0)</f>
        <v>0</v>
      </c>
      <c r="X664" s="50"/>
      <c r="Y664" s="62"/>
      <c r="Z664" s="62"/>
      <c r="AA664" s="62"/>
      <c r="AB664" s="62"/>
      <c r="AC664" s="62"/>
      <c r="AD664" s="62"/>
      <c r="AE664" s="62" t="s">
        <v>456</v>
      </c>
      <c r="AF664" s="62" t="s">
        <v>1986</v>
      </c>
      <c r="AG664" s="53">
        <f>(0.02*0.91+0.012*1.4+0.045*0.925)*0.77</f>
        <v>5.9001249999999998E-2</v>
      </c>
      <c r="AH664" s="54">
        <f>(2.3/0.75/2)*0.76</f>
        <v>1.1653333333333333</v>
      </c>
      <c r="AI664" s="54">
        <f>(2.3/0.75/2)*0.76</f>
        <v>1.1653333333333333</v>
      </c>
      <c r="AJ664" s="62">
        <v>9530</v>
      </c>
      <c r="AK664" s="62">
        <v>9530</v>
      </c>
      <c r="AL664" s="62" t="s">
        <v>1987</v>
      </c>
      <c r="AM664" s="61" t="s">
        <v>1489</v>
      </c>
      <c r="AN664" s="62">
        <v>165</v>
      </c>
      <c r="AO664" s="61" t="s">
        <v>1902</v>
      </c>
      <c r="AP664" s="59" t="str">
        <f>IFERROR(VLOOKUP($A664,[2]Mssp!$A$5:$BE$1463,AP$4+1,0),0)</f>
        <v>20030583-1</v>
      </c>
      <c r="AQ664" s="59">
        <f>IFERROR(VLOOKUP($A664,[2]Mssp!$A$5:$BE$1463,AQ$4+1,0),0)</f>
        <v>0</v>
      </c>
      <c r="AR664" s="59">
        <f>IFERROR(VLOOKUP($A664,[2]Mssp!$A$5:$BE$1463,AR$4+1,0),0)</f>
        <v>0</v>
      </c>
      <c r="AS664" s="59">
        <f>IFERROR(VLOOKUP($A664,[2]Mssp!$A$5:$BE$1463,AS$4+1,0),0)</f>
        <v>0</v>
      </c>
      <c r="AT664" s="59">
        <f>IFERROR(VLOOKUP($A664,[2]Mssp!$A$5:$BE$1463,AT$4+1,0),0)</f>
        <v>0</v>
      </c>
      <c r="AU664" s="59">
        <f>IFERROR(VLOOKUP($A664,[2]Mssp!$A$5:$BE$1463,AU$4+1,0),0)</f>
        <v>0</v>
      </c>
      <c r="AV664" s="59">
        <f>IFERROR(VLOOKUP($A664,[2]Mssp!$A$5:$BE$1463,AV$4+1,0),0)</f>
        <v>0</v>
      </c>
      <c r="AW664" s="59">
        <f>IFERROR(VLOOKUP($A664,[2]Mssp!$A$5:$BE$1463,AW$4+1,0),0)</f>
        <v>0</v>
      </c>
      <c r="AX664" s="59">
        <f>IFERROR(VLOOKUP($A664,[2]Mssp!$A$5:$BE$1463,AX$4+1,0),0)</f>
        <v>0</v>
      </c>
      <c r="AY664" s="59" t="str">
        <f>IFERROR(VLOOKUP($A664,[2]Mssp!$A$5:$BE$1463,AY$4+2,0),0)</f>
        <v>495x870</v>
      </c>
      <c r="AZ664" s="59" t="str">
        <f>IFERROR(VLOOKUP($A664,[2]Mssp!$A$5:$BE$1463,AZ$4+2,0),0)</f>
        <v>R2</v>
      </c>
      <c r="BA664" s="141" t="s">
        <v>1886</v>
      </c>
      <c r="BB664" s="61" t="s">
        <v>1784</v>
      </c>
      <c r="BC664" s="165"/>
      <c r="BD664" s="166"/>
      <c r="BE664" s="167"/>
      <c r="BF664" s="168"/>
      <c r="BG664" s="167"/>
      <c r="BH664" s="168"/>
      <c r="BI664" s="169"/>
      <c r="BJ664" s="168"/>
      <c r="BK664" s="134"/>
      <c r="BL664" s="168"/>
      <c r="BM664" s="167"/>
      <c r="BN664" s="168"/>
      <c r="BO664" s="62"/>
      <c r="BP664" s="168"/>
      <c r="BQ664" s="168"/>
      <c r="BR664" s="168"/>
      <c r="BS664" s="135"/>
      <c r="BT664" s="168"/>
      <c r="BU664" s="167"/>
      <c r="BV664" s="168"/>
      <c r="BW664" s="167"/>
      <c r="BX664" s="168"/>
      <c r="BY664" s="167"/>
      <c r="BZ664" s="168"/>
      <c r="CA664" s="167"/>
      <c r="CB664" s="168"/>
      <c r="CC664" s="167"/>
      <c r="CD664" s="168"/>
      <c r="CE664" s="62"/>
      <c r="CF664" s="62"/>
      <c r="CG664" s="9"/>
      <c r="CH664" s="9"/>
      <c r="CI664" s="9"/>
      <c r="CJ664" s="9"/>
      <c r="CK664" s="9"/>
      <c r="CL664" s="9"/>
      <c r="CM664" s="9"/>
      <c r="CN664" s="9"/>
      <c r="CO664" s="9"/>
      <c r="CP664" s="9"/>
    </row>
    <row r="665" spans="1:94" ht="30" x14ac:dyDescent="0.25">
      <c r="A665" s="127" t="s">
        <v>2107</v>
      </c>
      <c r="B665" s="51" t="s">
        <v>2108</v>
      </c>
      <c r="C665" s="62"/>
      <c r="D665" s="84">
        <v>2</v>
      </c>
      <c r="E665" s="62" t="s">
        <v>113</v>
      </c>
      <c r="F665" s="62">
        <v>1</v>
      </c>
      <c r="G665" s="62" t="s">
        <v>530</v>
      </c>
      <c r="H665" s="50">
        <f>VLOOKUP($A665,'[1]ma sp 02'!$A$5:$BD$1101,H$1,0)</f>
        <v>0.34</v>
      </c>
      <c r="I665" s="50">
        <f>VLOOKUP($A665,'[1]ma sp 02'!$A$5:$BD$1101,I$1,0)</f>
        <v>0</v>
      </c>
      <c r="J665" s="50">
        <f>VLOOKUP($A665,'[1]ma sp 02'!$A$5:$BD$1101,J$1,0)</f>
        <v>0</v>
      </c>
      <c r="K665" s="50">
        <f>VLOOKUP($A665,'[1]ma sp 02'!$A$5:$BD$1101,K$1,0)</f>
        <v>0</v>
      </c>
      <c r="L665" s="50">
        <f>VLOOKUP($A665,'[1]ma sp 02'!$A$5:$BD$1101,L$1,0)</f>
        <v>0</v>
      </c>
      <c r="M665" s="50">
        <f>VLOOKUP($A665,'[1]ma sp 02'!$A$5:$BD$1101,M$1,0)</f>
        <v>0</v>
      </c>
      <c r="N665" s="50">
        <f>VLOOKUP($A665,'[1]ma sp 02'!$A$5:$BD$1101,N$1,0)</f>
        <v>0</v>
      </c>
      <c r="O665" s="50">
        <f>VLOOKUP($A665,'[1]ma sp 02'!$A$5:$BD$1101,O$1,0)</f>
        <v>0</v>
      </c>
      <c r="P665" s="50">
        <f>VLOOKUP($A665,'[1]ma sp 02'!$A$5:$BD$1101,P$1,0)</f>
        <v>0</v>
      </c>
      <c r="Q665" s="50">
        <f>VLOOKUP($A665,'[1]ma sp 02'!$A$5:$BD$1101,Q$1,0)</f>
        <v>0</v>
      </c>
      <c r="R665" s="50">
        <f>VLOOKUP($A665,'[1]ma sp 02'!$A$5:$BD$1101,R$1,0)</f>
        <v>0</v>
      </c>
      <c r="S665" s="50">
        <f>VLOOKUP($A665,'[1]ma sp 02'!$A$5:$BD$1101,S$1,0)</f>
        <v>0</v>
      </c>
      <c r="T665" s="50">
        <f>VLOOKUP($A665,'[1]ma sp 02'!$A$5:$BD$1101,T$1,0)</f>
        <v>0</v>
      </c>
      <c r="U665" s="50">
        <f>VLOOKUP($A665,'[1]ma sp 02'!$A$5:$BD$1101,U$1,0)</f>
        <v>0</v>
      </c>
      <c r="V665" s="50">
        <f>VLOOKUP($A665,'[1]ma sp 02'!$A$5:$BD$1101,V$1,0)</f>
        <v>0</v>
      </c>
      <c r="W665" s="50">
        <f>VLOOKUP($A665,'[1]ma sp 02'!$A$5:$BD$1101,W$1,0)</f>
        <v>0</v>
      </c>
      <c r="X665" s="50"/>
      <c r="Y665" s="62"/>
      <c r="Z665" s="62"/>
      <c r="AA665" s="62"/>
      <c r="AB665" s="62"/>
      <c r="AC665" s="62"/>
      <c r="AD665" s="62"/>
      <c r="AE665" s="62" t="s">
        <v>116</v>
      </c>
      <c r="AF665" s="62"/>
      <c r="AG665" s="53">
        <f>(0.012*1.4+0.06*0.925)*0.74</f>
        <v>5.3502000000000001E-2</v>
      </c>
      <c r="AH665" s="54">
        <f>(2/0.75/2)*0.73</f>
        <v>0.97333333333333327</v>
      </c>
      <c r="AI665" s="54"/>
      <c r="AJ665" s="62">
        <v>9530</v>
      </c>
      <c r="AK665" s="62"/>
      <c r="AL665" s="62">
        <v>2E-3</v>
      </c>
      <c r="AM665" s="61" t="s">
        <v>1489</v>
      </c>
      <c r="AN665" s="62">
        <v>520</v>
      </c>
      <c r="AO665" s="61" t="s">
        <v>1101</v>
      </c>
      <c r="AP665" s="59" t="str">
        <f>IFERROR(VLOOKUP($A665,[2]Mssp!$A$5:$BE$1463,AP$4+1,0),0)</f>
        <v>X102176-1</v>
      </c>
      <c r="AQ665" s="59">
        <f>IFERROR(VLOOKUP($A665,[2]Mssp!$A$5:$BE$1463,AQ$4+1,0),0)</f>
        <v>0</v>
      </c>
      <c r="AR665" s="59">
        <f>IFERROR(VLOOKUP($A665,[2]Mssp!$A$5:$BE$1463,AR$4+1,0),0)</f>
        <v>0</v>
      </c>
      <c r="AS665" s="59">
        <f>IFERROR(VLOOKUP($A665,[2]Mssp!$A$5:$BE$1463,AS$4+1,0),0)</f>
        <v>0</v>
      </c>
      <c r="AT665" s="59">
        <f>IFERROR(VLOOKUP($A665,[2]Mssp!$A$5:$BE$1463,AT$4+1,0),0)</f>
        <v>0</v>
      </c>
      <c r="AU665" s="59">
        <f>IFERROR(VLOOKUP($A665,[2]Mssp!$A$5:$BE$1463,AU$4+1,0),0)</f>
        <v>0</v>
      </c>
      <c r="AV665" s="59">
        <f>IFERROR(VLOOKUP($A665,[2]Mssp!$A$5:$BE$1463,AV$4+1,0),0)</f>
        <v>0</v>
      </c>
      <c r="AW665" s="59">
        <f>IFERROR(VLOOKUP($A665,[2]Mssp!$A$5:$BE$1463,AW$4+1,0),0)</f>
        <v>0</v>
      </c>
      <c r="AX665" s="59">
        <f>IFERROR(VLOOKUP($A665,[2]Mssp!$A$5:$BE$1463,AX$4+1,0),0)</f>
        <v>0</v>
      </c>
      <c r="AY665" s="59" t="str">
        <f>IFERROR(VLOOKUP($A665,[2]Mssp!$A$5:$BE$1463,AY$4+2,0),0)</f>
        <v>520x850</v>
      </c>
      <c r="AZ665" s="59" t="str">
        <f>IFERROR(VLOOKUP($A665,[2]Mssp!$A$5:$BE$1463,AZ$4+2,0),0)</f>
        <v>P1</v>
      </c>
      <c r="BA665" s="141"/>
      <c r="BB665" s="61" t="s">
        <v>1784</v>
      </c>
      <c r="BC665" s="165"/>
      <c r="BD665" s="166"/>
      <c r="BE665" s="167"/>
      <c r="BF665" s="168"/>
      <c r="BG665" s="167"/>
      <c r="BH665" s="168"/>
      <c r="BI665" s="169"/>
      <c r="BJ665" s="168"/>
      <c r="BK665" s="134"/>
      <c r="BL665" s="168"/>
      <c r="BM665" s="167"/>
      <c r="BN665" s="168"/>
      <c r="BO665" s="62"/>
      <c r="BP665" s="168"/>
      <c r="BQ665" s="168"/>
      <c r="BR665" s="168"/>
      <c r="BS665" s="135"/>
      <c r="BT665" s="168"/>
      <c r="BU665" s="167"/>
      <c r="BV665" s="168"/>
      <c r="BW665" s="167"/>
      <c r="BX665" s="168"/>
      <c r="BY665" s="167"/>
      <c r="BZ665" s="168"/>
      <c r="CA665" s="167"/>
      <c r="CB665" s="168"/>
      <c r="CC665" s="167"/>
      <c r="CD665" s="168"/>
      <c r="CE665" s="62"/>
      <c r="CF665" s="62"/>
      <c r="CG665" s="9"/>
      <c r="CH665" s="9"/>
      <c r="CI665" s="9"/>
      <c r="CJ665" s="9"/>
      <c r="CK665" s="9"/>
      <c r="CL665" s="9"/>
      <c r="CM665" s="9"/>
      <c r="CN665" s="9"/>
      <c r="CO665" s="9"/>
      <c r="CP665" s="9"/>
    </row>
    <row r="666" spans="1:94" ht="30" x14ac:dyDescent="0.25">
      <c r="A666" s="127" t="s">
        <v>2109</v>
      </c>
      <c r="B666" s="51" t="s">
        <v>2110</v>
      </c>
      <c r="C666" s="62"/>
      <c r="D666" s="84">
        <v>4</v>
      </c>
      <c r="E666" s="62" t="s">
        <v>2111</v>
      </c>
      <c r="F666" s="62"/>
      <c r="G666" s="62"/>
      <c r="H666" s="50">
        <f>VLOOKUP($A666,'[1]ma sp 02'!$A$5:$BD$1101,H$1,0)</f>
        <v>0</v>
      </c>
      <c r="I666" s="50">
        <f>VLOOKUP($A666,'[1]ma sp 02'!$A$5:$BD$1101,I$1,0)</f>
        <v>0</v>
      </c>
      <c r="J666" s="50">
        <f>VLOOKUP($A666,'[1]ma sp 02'!$A$5:$BD$1101,J$1,0)</f>
        <v>0</v>
      </c>
      <c r="K666" s="50">
        <f>VLOOKUP($A666,'[1]ma sp 02'!$A$5:$BD$1101,K$1,0)</f>
        <v>0</v>
      </c>
      <c r="L666" s="50">
        <f>VLOOKUP($A666,'[1]ma sp 02'!$A$5:$BD$1101,L$1,0)</f>
        <v>0</v>
      </c>
      <c r="M666" s="50">
        <f>VLOOKUP($A666,'[1]ma sp 02'!$A$5:$BD$1101,M$1,0)</f>
        <v>0</v>
      </c>
      <c r="N666" s="50">
        <f>VLOOKUP($A666,'[1]ma sp 02'!$A$5:$BD$1101,N$1,0)</f>
        <v>0</v>
      </c>
      <c r="O666" s="50">
        <f>VLOOKUP($A666,'[1]ma sp 02'!$A$5:$BD$1101,O$1,0)</f>
        <v>0</v>
      </c>
      <c r="P666" s="50">
        <f>VLOOKUP($A666,'[1]ma sp 02'!$A$5:$BD$1101,P$1,0)</f>
        <v>0</v>
      </c>
      <c r="Q666" s="50">
        <f>VLOOKUP($A666,'[1]ma sp 02'!$A$5:$BD$1101,Q$1,0)</f>
        <v>0</v>
      </c>
      <c r="R666" s="50">
        <f>VLOOKUP($A666,'[1]ma sp 02'!$A$5:$BD$1101,R$1,0)</f>
        <v>0</v>
      </c>
      <c r="S666" s="50">
        <f>VLOOKUP($A666,'[1]ma sp 02'!$A$5:$BD$1101,S$1,0)</f>
        <v>0</v>
      </c>
      <c r="T666" s="50">
        <f>VLOOKUP($A666,'[1]ma sp 02'!$A$5:$BD$1101,T$1,0)</f>
        <v>0</v>
      </c>
      <c r="U666" s="50">
        <f>VLOOKUP($A666,'[1]ma sp 02'!$A$5:$BD$1101,U$1,0)</f>
        <v>0</v>
      </c>
      <c r="V666" s="50">
        <f>VLOOKUP($A666,'[1]ma sp 02'!$A$5:$BD$1101,V$1,0)</f>
        <v>0</v>
      </c>
      <c r="W666" s="50">
        <f>VLOOKUP($A666,'[1]ma sp 02'!$A$5:$BD$1101,W$1,0)</f>
        <v>0</v>
      </c>
      <c r="X666" s="50"/>
      <c r="Y666" s="62"/>
      <c r="Z666" s="62"/>
      <c r="AA666" s="62"/>
      <c r="AB666" s="62"/>
      <c r="AC666" s="62"/>
      <c r="AD666" s="62"/>
      <c r="AE666" s="62" t="s">
        <v>2112</v>
      </c>
      <c r="AF666" s="62"/>
      <c r="AG666" s="53">
        <f>(0.02*0.91+0.08*1.4)*0.98</f>
        <v>0.12759599999999999</v>
      </c>
      <c r="AH666" s="54">
        <f>(2.3/0.75/2)*0.97</f>
        <v>1.4873333333333332</v>
      </c>
      <c r="AI666" s="54"/>
      <c r="AJ666" s="62">
        <v>9530</v>
      </c>
      <c r="AK666" s="62"/>
      <c r="AL666" s="62">
        <v>2.3E-3</v>
      </c>
      <c r="AM666" s="61" t="s">
        <v>1489</v>
      </c>
      <c r="AN666" s="62">
        <v>150</v>
      </c>
      <c r="AO666" s="61" t="s">
        <v>2113</v>
      </c>
      <c r="AP666" s="59">
        <f>IFERROR(VLOOKUP($A666,[2]Mssp!$A$5:$BE$1463,AP$4+1,0),0)</f>
        <v>0</v>
      </c>
      <c r="AQ666" s="59">
        <f>IFERROR(VLOOKUP($A666,[2]Mssp!$A$5:$BE$1463,AQ$4+1,0),0)</f>
        <v>0</v>
      </c>
      <c r="AR666" s="59">
        <f>IFERROR(VLOOKUP($A666,[2]Mssp!$A$5:$BE$1463,AR$4+1,0),0)</f>
        <v>0</v>
      </c>
      <c r="AS666" s="59">
        <f>IFERROR(VLOOKUP($A666,[2]Mssp!$A$5:$BE$1463,AS$4+1,0),0)</f>
        <v>0</v>
      </c>
      <c r="AT666" s="59">
        <f>IFERROR(VLOOKUP($A666,[2]Mssp!$A$5:$BE$1463,AT$4+1,0),0)</f>
        <v>0</v>
      </c>
      <c r="AU666" s="59">
        <f>IFERROR(VLOOKUP($A666,[2]Mssp!$A$5:$BE$1463,AU$4+1,0),0)</f>
        <v>0</v>
      </c>
      <c r="AV666" s="59">
        <f>IFERROR(VLOOKUP($A666,[2]Mssp!$A$5:$BE$1463,AV$4+1,0),0)</f>
        <v>0</v>
      </c>
      <c r="AW666" s="59">
        <f>IFERROR(VLOOKUP($A666,[2]Mssp!$A$5:$BE$1463,AW$4+1,0),0)</f>
        <v>0</v>
      </c>
      <c r="AX666" s="59">
        <f>IFERROR(VLOOKUP($A666,[2]Mssp!$A$5:$BE$1463,AX$4+1,0),0)</f>
        <v>0</v>
      </c>
      <c r="AY666" s="59">
        <f>IFERROR(VLOOKUP($A666,[2]Mssp!$A$5:$BE$1463,AY$4+2,0),0)</f>
        <v>0</v>
      </c>
      <c r="AZ666" s="59">
        <f>IFERROR(VLOOKUP($A666,[2]Mssp!$A$5:$BE$1463,AZ$4+2,0),0)</f>
        <v>0</v>
      </c>
      <c r="BA666" s="141" t="s">
        <v>1936</v>
      </c>
      <c r="BB666" s="61" t="s">
        <v>1784</v>
      </c>
      <c r="BC666" s="165"/>
      <c r="BD666" s="166"/>
      <c r="BE666" s="167"/>
      <c r="BF666" s="168"/>
      <c r="BG666" s="167"/>
      <c r="BH666" s="168"/>
      <c r="BI666" s="169"/>
      <c r="BJ666" s="168"/>
      <c r="BK666" s="134"/>
      <c r="BL666" s="168"/>
      <c r="BM666" s="167"/>
      <c r="BN666" s="168"/>
      <c r="BO666" s="62"/>
      <c r="BP666" s="168"/>
      <c r="BQ666" s="168"/>
      <c r="BR666" s="168"/>
      <c r="BS666" s="135"/>
      <c r="BT666" s="168"/>
      <c r="BU666" s="167"/>
      <c r="BV666" s="168"/>
      <c r="BW666" s="167"/>
      <c r="BX666" s="168"/>
      <c r="BY666" s="167"/>
      <c r="BZ666" s="168"/>
      <c r="CA666" s="167"/>
      <c r="CB666" s="168"/>
      <c r="CC666" s="167"/>
      <c r="CD666" s="168"/>
      <c r="CE666" s="62"/>
      <c r="CF666" s="62"/>
      <c r="CG666" s="9"/>
      <c r="CH666" s="9"/>
      <c r="CI666" s="9"/>
      <c r="CJ666" s="9"/>
      <c r="CK666" s="9"/>
      <c r="CL666" s="9"/>
      <c r="CM666" s="9"/>
      <c r="CN666" s="9"/>
      <c r="CO666" s="9"/>
      <c r="CP666" s="9"/>
    </row>
    <row r="667" spans="1:94" ht="30" x14ac:dyDescent="0.25">
      <c r="A667" s="127" t="s">
        <v>2114</v>
      </c>
      <c r="B667" s="51" t="s">
        <v>2115</v>
      </c>
      <c r="C667" s="62"/>
      <c r="D667" s="84">
        <v>3</v>
      </c>
      <c r="E667" s="62" t="s">
        <v>351</v>
      </c>
      <c r="F667" s="62">
        <v>7</v>
      </c>
      <c r="G667" s="62" t="s">
        <v>530</v>
      </c>
      <c r="H667" s="50">
        <f>VLOOKUP($A667,'[1]ma sp 02'!$A$5:$BD$1101,H$1,0)</f>
        <v>0.31</v>
      </c>
      <c r="I667" s="50">
        <f>VLOOKUP($A667,'[1]ma sp 02'!$A$5:$BD$1101,I$1,0)</f>
        <v>4.0999999999999996</v>
      </c>
      <c r="J667" s="50">
        <f>VLOOKUP($A667,'[1]ma sp 02'!$A$5:$BD$1101,J$1,0)</f>
        <v>0.01</v>
      </c>
      <c r="K667" s="50">
        <f>VLOOKUP($A667,'[1]ma sp 02'!$A$5:$BD$1101,K$1,0)</f>
        <v>0.94799999999999995</v>
      </c>
      <c r="L667" s="50">
        <f>VLOOKUP($A667,'[1]ma sp 02'!$A$5:$BD$1101,L$1,0)</f>
        <v>4.0999999999999996</v>
      </c>
      <c r="M667" s="50">
        <f>VLOOKUP($A667,'[1]ma sp 02'!$A$5:$BD$1101,M$1,0)</f>
        <v>2.52</v>
      </c>
      <c r="N667" s="50">
        <f>VLOOKUP($A667,'[1]ma sp 02'!$A$5:$BD$1101,N$1,0)</f>
        <v>0</v>
      </c>
      <c r="O667" s="50">
        <f>VLOOKUP($A667,'[1]ma sp 02'!$A$5:$BD$1101,O$1,0)</f>
        <v>0.01</v>
      </c>
      <c r="P667" s="50">
        <f>VLOOKUP($A667,'[1]ma sp 02'!$A$5:$BD$1101,P$1,0)</f>
        <v>0</v>
      </c>
      <c r="Q667" s="50">
        <f>VLOOKUP($A667,'[1]ma sp 02'!$A$5:$BD$1101,Q$1,0)</f>
        <v>0</v>
      </c>
      <c r="R667" s="50">
        <f>VLOOKUP($A667,'[1]ma sp 02'!$A$5:$BD$1101,R$1,0)</f>
        <v>0</v>
      </c>
      <c r="S667" s="50">
        <f>VLOOKUP($A667,'[1]ma sp 02'!$A$5:$BD$1101,S$1,0)</f>
        <v>0</v>
      </c>
      <c r="T667" s="50">
        <f>VLOOKUP($A667,'[1]ma sp 02'!$A$5:$BD$1101,T$1,0)</f>
        <v>0.01</v>
      </c>
      <c r="U667" s="50">
        <f>VLOOKUP($A667,'[1]ma sp 02'!$A$5:$BD$1101,U$1,0)</f>
        <v>0</v>
      </c>
      <c r="V667" s="50">
        <f>VLOOKUP($A667,'[1]ma sp 02'!$A$5:$BD$1101,V$1,0)</f>
        <v>0</v>
      </c>
      <c r="W667" s="50">
        <f>VLOOKUP($A667,'[1]ma sp 02'!$A$5:$BD$1101,W$1,0)</f>
        <v>0</v>
      </c>
      <c r="X667" s="50"/>
      <c r="Y667" s="62"/>
      <c r="Z667" s="62"/>
      <c r="AA667" s="62"/>
      <c r="AB667" s="62"/>
      <c r="AC667" s="62"/>
      <c r="AD667" s="62"/>
      <c r="AE667" s="62" t="s">
        <v>2116</v>
      </c>
      <c r="AF667" s="62" t="s">
        <v>2117</v>
      </c>
      <c r="AG667" s="53">
        <f>(0.012*1.4+0.012*1.4+0.925*0.085)*0.79</f>
        <v>8.8657750000000021E-2</v>
      </c>
      <c r="AH667" s="54">
        <f>(2.3/0.75/2)*0.79</f>
        <v>1.2113333333333334</v>
      </c>
      <c r="AI667" s="54">
        <f>(2.3/0.75/2)*0.79</f>
        <v>1.2113333333333334</v>
      </c>
      <c r="AJ667" s="62">
        <v>9530</v>
      </c>
      <c r="AK667" s="62">
        <v>9530</v>
      </c>
      <c r="AL667" s="62" t="s">
        <v>1682</v>
      </c>
      <c r="AM667" s="61" t="s">
        <v>74</v>
      </c>
      <c r="AN667" s="62">
        <v>170</v>
      </c>
      <c r="AO667" s="61" t="s">
        <v>527</v>
      </c>
      <c r="AP667" s="59" t="str">
        <f>IFERROR(VLOOKUP($A667,[2]Mssp!$A$5:$BE$1463,AP$4+1,0),0)</f>
        <v>20030258-1</v>
      </c>
      <c r="AQ667" s="59" t="str">
        <f>IFERROR(VLOOKUP($A667,[2]Mssp!$A$5:$BE$1463,AQ$4+1,0),0)</f>
        <v>20030258-2</v>
      </c>
      <c r="AR667" s="59" t="str">
        <f>IFERROR(VLOOKUP($A667,[2]Mssp!$A$5:$BE$1463,AR$4+1,0),0)</f>
        <v>20030258-3</v>
      </c>
      <c r="AS667" s="59" t="str">
        <f>IFERROR(VLOOKUP($A667,[2]Mssp!$A$5:$BE$1463,AS$4+1,0),0)</f>
        <v>20030258-4</v>
      </c>
      <c r="AT667" s="59" t="str">
        <f>IFERROR(VLOOKUP($A667,[2]Mssp!$A$5:$BE$1463,AT$4+1,0),0)</f>
        <v>20030258-5</v>
      </c>
      <c r="AU667" s="59" t="str">
        <f>IFERROR(VLOOKUP($A667,[2]Mssp!$A$5:$BE$1463,AU$4+1,0),0)</f>
        <v>20030258-6</v>
      </c>
      <c r="AV667" s="59" t="str">
        <f>IFERROR(VLOOKUP($A667,[2]Mssp!$A$5:$BE$1463,AV$4+1,0),0)</f>
        <v>20030258-7</v>
      </c>
      <c r="AW667" s="59">
        <f>IFERROR(VLOOKUP($A667,[2]Mssp!$A$5:$BE$1463,AW$4+1,0),0)</f>
        <v>0</v>
      </c>
      <c r="AX667" s="59">
        <f>IFERROR(VLOOKUP($A667,[2]Mssp!$A$5:$BE$1463,AX$4+1,0),0)</f>
        <v>0</v>
      </c>
      <c r="AY667" s="59" t="str">
        <f>IFERROR(VLOOKUP($A667,[2]Mssp!$A$5:$BE$1463,AY$4+2,0),0)</f>
        <v>510x870</v>
      </c>
      <c r="AZ667" s="59" t="str">
        <f>IFERROR(VLOOKUP($A667,[2]Mssp!$A$5:$BE$1463,AZ$4+2,0),0)</f>
        <v>R2</v>
      </c>
      <c r="BA667" s="141"/>
      <c r="BB667" s="61" t="s">
        <v>235</v>
      </c>
      <c r="BC667" s="165"/>
      <c r="BD667" s="166"/>
      <c r="BE667" s="167"/>
      <c r="BF667" s="168"/>
      <c r="BG667" s="167"/>
      <c r="BH667" s="168"/>
      <c r="BI667" s="169"/>
      <c r="BJ667" s="168"/>
      <c r="BK667" s="134"/>
      <c r="BL667" s="168"/>
      <c r="BM667" s="167"/>
      <c r="BN667" s="168"/>
      <c r="BO667" s="62"/>
      <c r="BP667" s="168"/>
      <c r="BQ667" s="168"/>
      <c r="BR667" s="168"/>
      <c r="BS667" s="135"/>
      <c r="BT667" s="168"/>
      <c r="BU667" s="167"/>
      <c r="BV667" s="168"/>
      <c r="BW667" s="167"/>
      <c r="BX667" s="168"/>
      <c r="BY667" s="167"/>
      <c r="BZ667" s="168"/>
      <c r="CA667" s="167"/>
      <c r="CB667" s="168"/>
      <c r="CC667" s="167"/>
      <c r="CD667" s="168"/>
      <c r="CE667" s="62"/>
      <c r="CF667" s="62"/>
      <c r="CG667" s="9"/>
      <c r="CH667" s="9"/>
      <c r="CI667" s="9"/>
      <c r="CJ667" s="9"/>
      <c r="CK667" s="9"/>
      <c r="CL667" s="9"/>
      <c r="CM667" s="9"/>
      <c r="CN667" s="9"/>
      <c r="CO667" s="9"/>
      <c r="CP667" s="9"/>
    </row>
    <row r="668" spans="1:94" x14ac:dyDescent="0.25">
      <c r="A668" s="127"/>
      <c r="B668" s="51"/>
      <c r="C668" s="62"/>
      <c r="D668" s="84"/>
      <c r="E668" s="62"/>
      <c r="F668" s="62"/>
      <c r="G668" s="62"/>
      <c r="H668" s="50" t="e">
        <f>VLOOKUP($A668,'[1]ma sp 02'!$A$5:$BD$1101,H$1,0)</f>
        <v>#N/A</v>
      </c>
      <c r="I668" s="50" t="e">
        <f>VLOOKUP($A668,'[1]ma sp 02'!$A$5:$BD$1101,I$1,0)</f>
        <v>#N/A</v>
      </c>
      <c r="J668" s="50" t="e">
        <f>VLOOKUP($A668,'[1]ma sp 02'!$A$5:$BD$1101,J$1,0)</f>
        <v>#N/A</v>
      </c>
      <c r="K668" s="50" t="e">
        <f>VLOOKUP($A668,'[1]ma sp 02'!$A$5:$BD$1101,K$1,0)</f>
        <v>#N/A</v>
      </c>
      <c r="L668" s="50" t="e">
        <f>VLOOKUP($A668,'[1]ma sp 02'!$A$5:$BD$1101,L$1,0)</f>
        <v>#N/A</v>
      </c>
      <c r="M668" s="50" t="e">
        <f>VLOOKUP($A668,'[1]ma sp 02'!$A$5:$BD$1101,M$1,0)</f>
        <v>#N/A</v>
      </c>
      <c r="N668" s="50" t="e">
        <f>VLOOKUP($A668,'[1]ma sp 02'!$A$5:$BD$1101,N$1,0)</f>
        <v>#N/A</v>
      </c>
      <c r="O668" s="50" t="e">
        <f>VLOOKUP($A668,'[1]ma sp 02'!$A$5:$BD$1101,O$1,0)</f>
        <v>#N/A</v>
      </c>
      <c r="P668" s="50" t="e">
        <f>VLOOKUP($A668,'[1]ma sp 02'!$A$5:$BD$1101,P$1,0)</f>
        <v>#N/A</v>
      </c>
      <c r="Q668" s="50" t="e">
        <f>VLOOKUP($A668,'[1]ma sp 02'!$A$5:$BD$1101,Q$1,0)</f>
        <v>#N/A</v>
      </c>
      <c r="R668" s="50" t="e">
        <f>VLOOKUP($A668,'[1]ma sp 02'!$A$5:$BD$1101,R$1,0)</f>
        <v>#N/A</v>
      </c>
      <c r="S668" s="50" t="e">
        <f>VLOOKUP($A668,'[1]ma sp 02'!$A$5:$BD$1101,S$1,0)</f>
        <v>#N/A</v>
      </c>
      <c r="T668" s="50" t="e">
        <f>VLOOKUP($A668,'[1]ma sp 02'!$A$5:$BD$1101,T$1,0)</f>
        <v>#N/A</v>
      </c>
      <c r="U668" s="50" t="e">
        <f>VLOOKUP($A668,'[1]ma sp 02'!$A$5:$BD$1101,U$1,0)</f>
        <v>#N/A</v>
      </c>
      <c r="V668" s="50" t="e">
        <f>VLOOKUP($A668,'[1]ma sp 02'!$A$5:$BD$1101,V$1,0)</f>
        <v>#N/A</v>
      </c>
      <c r="W668" s="50" t="e">
        <f>VLOOKUP($A668,'[1]ma sp 02'!$A$5:$BD$1101,W$1,0)</f>
        <v>#N/A</v>
      </c>
      <c r="X668" s="50"/>
      <c r="Y668" s="62"/>
      <c r="Z668" s="62"/>
      <c r="AA668" s="62"/>
      <c r="AB668" s="62"/>
      <c r="AC668" s="62"/>
      <c r="AD668" s="62"/>
      <c r="AE668" s="62"/>
      <c r="AF668" s="62"/>
      <c r="AG668" s="53"/>
      <c r="AH668" s="54"/>
      <c r="AI668" s="54"/>
      <c r="AJ668" s="62"/>
      <c r="AK668" s="62"/>
      <c r="AL668" s="62"/>
      <c r="AM668" s="61"/>
      <c r="AN668" s="62"/>
      <c r="AO668" s="61"/>
      <c r="AP668" s="59">
        <f>IFERROR(VLOOKUP($A668,[2]Mssp!$A$5:$BE$1463,AP$4+1,0),0)</f>
        <v>0</v>
      </c>
      <c r="AQ668" s="59">
        <f>IFERROR(VLOOKUP($A668,[2]Mssp!$A$5:$BE$1463,AQ$4+1,0),0)</f>
        <v>0</v>
      </c>
      <c r="AR668" s="59">
        <f>IFERROR(VLOOKUP($A668,[2]Mssp!$A$5:$BE$1463,AR$4+1,0),0)</f>
        <v>0</v>
      </c>
      <c r="AS668" s="59">
        <f>IFERROR(VLOOKUP($A668,[2]Mssp!$A$5:$BE$1463,AS$4+1,0),0)</f>
        <v>0</v>
      </c>
      <c r="AT668" s="59">
        <f>IFERROR(VLOOKUP($A668,[2]Mssp!$A$5:$BE$1463,AT$4+1,0),0)</f>
        <v>0</v>
      </c>
      <c r="AU668" s="59">
        <f>IFERROR(VLOOKUP($A668,[2]Mssp!$A$5:$BE$1463,AU$4+1,0),0)</f>
        <v>0</v>
      </c>
      <c r="AV668" s="59">
        <f>IFERROR(VLOOKUP($A668,[2]Mssp!$A$5:$BE$1463,AV$4+1,0),0)</f>
        <v>0</v>
      </c>
      <c r="AW668" s="59">
        <f>IFERROR(VLOOKUP($A668,[2]Mssp!$A$5:$BE$1463,AW$4+1,0),0)</f>
        <v>0</v>
      </c>
      <c r="AX668" s="59">
        <f>IFERROR(VLOOKUP($A668,[2]Mssp!$A$5:$BE$1463,AX$4+1,0),0)</f>
        <v>0</v>
      </c>
      <c r="AY668" s="59">
        <f>IFERROR(VLOOKUP($A668,[2]Mssp!$A$5:$BE$1463,AY$4+2,0),0)</f>
        <v>0</v>
      </c>
      <c r="AZ668" s="59">
        <f>IFERROR(VLOOKUP($A668,[2]Mssp!$A$5:$BE$1463,AZ$4+2,0),0)</f>
        <v>0</v>
      </c>
      <c r="BA668" s="141"/>
      <c r="BB668" s="61"/>
      <c r="BC668" s="165"/>
      <c r="BD668" s="166"/>
      <c r="BE668" s="167"/>
      <c r="BF668" s="168"/>
      <c r="BG668" s="167"/>
      <c r="BH668" s="168"/>
      <c r="BI668" s="169"/>
      <c r="BJ668" s="168"/>
      <c r="BK668" s="134"/>
      <c r="BL668" s="168"/>
      <c r="BM668" s="167"/>
      <c r="BN668" s="168"/>
      <c r="BO668" s="62"/>
      <c r="BP668" s="168"/>
      <c r="BQ668" s="168"/>
      <c r="BR668" s="168"/>
      <c r="BS668" s="135"/>
      <c r="BT668" s="168"/>
      <c r="BU668" s="167"/>
      <c r="BV668" s="168"/>
      <c r="BW668" s="167"/>
      <c r="BX668" s="168"/>
      <c r="BY668" s="167"/>
      <c r="BZ668" s="168"/>
      <c r="CA668" s="167"/>
      <c r="CB668" s="168"/>
      <c r="CC668" s="167"/>
      <c r="CD668" s="168"/>
      <c r="CE668" s="62"/>
      <c r="CF668" s="62"/>
      <c r="CG668" s="9"/>
      <c r="CH668" s="9"/>
      <c r="CI668" s="9"/>
      <c r="CJ668" s="9"/>
      <c r="CK668" s="9"/>
      <c r="CL668" s="9"/>
      <c r="CM668" s="9"/>
      <c r="CN668" s="9"/>
      <c r="CO668" s="9"/>
      <c r="CP668" s="9"/>
    </row>
    <row r="669" spans="1:94" x14ac:dyDescent="0.25">
      <c r="A669" s="127" t="s">
        <v>2118</v>
      </c>
      <c r="B669" s="51" t="s">
        <v>2119</v>
      </c>
      <c r="C669" s="62"/>
      <c r="D669" s="84">
        <v>3</v>
      </c>
      <c r="E669" s="62" t="s">
        <v>1985</v>
      </c>
      <c r="F669" s="62">
        <v>1</v>
      </c>
      <c r="G669" s="62" t="s">
        <v>184</v>
      </c>
      <c r="H669" s="50">
        <f>VLOOKUP($A669,'[1]ma sp 02'!$A$5:$BD$1101,H$1,0)</f>
        <v>0.88</v>
      </c>
      <c r="I669" s="50">
        <f>VLOOKUP($A669,'[1]ma sp 02'!$A$5:$BD$1101,I$1,0)</f>
        <v>0</v>
      </c>
      <c r="J669" s="50">
        <f>VLOOKUP($A669,'[1]ma sp 02'!$A$5:$BD$1101,J$1,0)</f>
        <v>0.88</v>
      </c>
      <c r="K669" s="50">
        <f>VLOOKUP($A669,'[1]ma sp 02'!$A$5:$BD$1101,K$1,0)</f>
        <v>0</v>
      </c>
      <c r="L669" s="50">
        <f>VLOOKUP($A669,'[1]ma sp 02'!$A$5:$BD$1101,L$1,0)</f>
        <v>0.44</v>
      </c>
      <c r="M669" s="50">
        <f>VLOOKUP($A669,'[1]ma sp 02'!$A$5:$BD$1101,M$1,0)</f>
        <v>0</v>
      </c>
      <c r="N669" s="50">
        <f>VLOOKUP($A669,'[1]ma sp 02'!$A$5:$BD$1101,N$1,0)</f>
        <v>0</v>
      </c>
      <c r="O669" s="50">
        <f>VLOOKUP($A669,'[1]ma sp 02'!$A$5:$BD$1101,O$1,0)</f>
        <v>1.76</v>
      </c>
      <c r="P669" s="50">
        <f>VLOOKUP($A669,'[1]ma sp 02'!$A$5:$BD$1101,P$1,0)</f>
        <v>0</v>
      </c>
      <c r="Q669" s="50">
        <f>VLOOKUP($A669,'[1]ma sp 02'!$A$5:$BD$1101,Q$1,0)</f>
        <v>0</v>
      </c>
      <c r="R669" s="50">
        <f>VLOOKUP($A669,'[1]ma sp 02'!$A$5:$BD$1101,R$1,0)</f>
        <v>0</v>
      </c>
      <c r="S669" s="50">
        <f>VLOOKUP($A669,'[1]ma sp 02'!$A$5:$BD$1101,S$1,0)</f>
        <v>0</v>
      </c>
      <c r="T669" s="50">
        <f>VLOOKUP($A669,'[1]ma sp 02'!$A$5:$BD$1101,T$1,0)</f>
        <v>0</v>
      </c>
      <c r="U669" s="50">
        <f>VLOOKUP($A669,'[1]ma sp 02'!$A$5:$BD$1101,U$1,0)</f>
        <v>0</v>
      </c>
      <c r="V669" s="50">
        <f>VLOOKUP($A669,'[1]ma sp 02'!$A$5:$BD$1101,V$1,0)</f>
        <v>0</v>
      </c>
      <c r="W669" s="50">
        <f>VLOOKUP($A669,'[1]ma sp 02'!$A$5:$BD$1101,W$1,0)</f>
        <v>0</v>
      </c>
      <c r="X669" s="50"/>
      <c r="Y669" s="62"/>
      <c r="Z669" s="62"/>
      <c r="AA669" s="62"/>
      <c r="AB669" s="62"/>
      <c r="AC669" s="62"/>
      <c r="AD669" s="62"/>
      <c r="AE669" s="62" t="s">
        <v>456</v>
      </c>
      <c r="AF669" s="62" t="s">
        <v>1986</v>
      </c>
      <c r="AG669" s="53">
        <f>(0.02*0.91+0.012*1.4+0.045*0.925)*0.77</f>
        <v>5.9001249999999998E-2</v>
      </c>
      <c r="AH669" s="54">
        <f>(2.3/0.75/2)*0.76</f>
        <v>1.1653333333333333</v>
      </c>
      <c r="AI669" s="54">
        <f>(2.3/0.75/2)*0.76</f>
        <v>1.1653333333333333</v>
      </c>
      <c r="AJ669" s="62">
        <v>9530</v>
      </c>
      <c r="AK669" s="62">
        <v>9530</v>
      </c>
      <c r="AL669" s="62" t="s">
        <v>1987</v>
      </c>
      <c r="AM669" s="61" t="s">
        <v>1489</v>
      </c>
      <c r="AN669" s="62">
        <v>165</v>
      </c>
      <c r="AO669" s="61" t="s">
        <v>1902</v>
      </c>
      <c r="AP669" s="59" t="str">
        <f>IFERROR(VLOOKUP($A669,[2]Mssp!$A$5:$BE$1463,AP$4+1,0),0)</f>
        <v>20030582-1</v>
      </c>
      <c r="AQ669" s="59">
        <f>IFERROR(VLOOKUP($A669,[2]Mssp!$A$5:$BE$1463,AQ$4+1,0),0)</f>
        <v>0</v>
      </c>
      <c r="AR669" s="59">
        <f>IFERROR(VLOOKUP($A669,[2]Mssp!$A$5:$BE$1463,AR$4+1,0),0)</f>
        <v>0</v>
      </c>
      <c r="AS669" s="59">
        <f>IFERROR(VLOOKUP($A669,[2]Mssp!$A$5:$BE$1463,AS$4+1,0),0)</f>
        <v>0</v>
      </c>
      <c r="AT669" s="59">
        <f>IFERROR(VLOOKUP($A669,[2]Mssp!$A$5:$BE$1463,AT$4+1,0),0)</f>
        <v>0</v>
      </c>
      <c r="AU669" s="59">
        <f>IFERROR(VLOOKUP($A669,[2]Mssp!$A$5:$BE$1463,AU$4+1,0),0)</f>
        <v>0</v>
      </c>
      <c r="AV669" s="59">
        <f>IFERROR(VLOOKUP($A669,[2]Mssp!$A$5:$BE$1463,AV$4+1,0),0)</f>
        <v>0</v>
      </c>
      <c r="AW669" s="59">
        <f>IFERROR(VLOOKUP($A669,[2]Mssp!$A$5:$BE$1463,AW$4+1,0),0)</f>
        <v>0</v>
      </c>
      <c r="AX669" s="59">
        <f>IFERROR(VLOOKUP($A669,[2]Mssp!$A$5:$BE$1463,AX$4+1,0),0)</f>
        <v>0</v>
      </c>
      <c r="AY669" s="59" t="str">
        <f>IFERROR(VLOOKUP($A669,[2]Mssp!$A$5:$BE$1463,AY$4+2,0),0)</f>
        <v>495x870</v>
      </c>
      <c r="AZ669" s="59" t="str">
        <f>IFERROR(VLOOKUP($A669,[2]Mssp!$A$5:$BE$1463,AZ$4+2,0),0)</f>
        <v>R2</v>
      </c>
      <c r="BA669" s="141"/>
      <c r="BB669" s="61"/>
      <c r="BC669" s="165"/>
      <c r="BD669" s="166"/>
      <c r="BE669" s="167"/>
      <c r="BF669" s="168"/>
      <c r="BG669" s="167"/>
      <c r="BH669" s="168"/>
      <c r="BI669" s="169"/>
      <c r="BJ669" s="168"/>
      <c r="BK669" s="134"/>
      <c r="BL669" s="168"/>
      <c r="BM669" s="167"/>
      <c r="BN669" s="168"/>
      <c r="BO669" s="62"/>
      <c r="BP669" s="168"/>
      <c r="BQ669" s="168"/>
      <c r="BR669" s="168"/>
      <c r="BS669" s="135"/>
      <c r="BT669" s="168"/>
      <c r="BU669" s="167"/>
      <c r="BV669" s="168"/>
      <c r="BW669" s="167"/>
      <c r="BX669" s="168"/>
      <c r="BY669" s="167"/>
      <c r="BZ669" s="168"/>
      <c r="CA669" s="167"/>
      <c r="CB669" s="168"/>
      <c r="CC669" s="167"/>
      <c r="CD669" s="168"/>
      <c r="CE669" s="62"/>
      <c r="CF669" s="62"/>
      <c r="CG669" s="9"/>
      <c r="CH669" s="9"/>
      <c r="CI669" s="9"/>
      <c r="CJ669" s="9"/>
      <c r="CK669" s="9"/>
      <c r="CL669" s="9"/>
      <c r="CM669" s="9"/>
      <c r="CN669" s="9"/>
      <c r="CO669" s="9"/>
      <c r="CP669" s="9"/>
    </row>
    <row r="670" spans="1:94" ht="45" x14ac:dyDescent="0.25">
      <c r="A670" s="127" t="s">
        <v>2120</v>
      </c>
      <c r="B670" s="51" t="s">
        <v>2121</v>
      </c>
      <c r="C670" s="62"/>
      <c r="D670" s="84">
        <v>3</v>
      </c>
      <c r="E670" s="62" t="s">
        <v>641</v>
      </c>
      <c r="F670" s="62">
        <v>6</v>
      </c>
      <c r="G670" s="62" t="s">
        <v>184</v>
      </c>
      <c r="H670" s="50">
        <f>VLOOKUP($A670,'[1]ma sp 02'!$A$5:$BD$1101,H$1,0)</f>
        <v>0.24</v>
      </c>
      <c r="I670" s="50">
        <f>VLOOKUP($A670,'[1]ma sp 02'!$A$5:$BD$1101,I$1,0)</f>
        <v>1.83</v>
      </c>
      <c r="J670" s="50">
        <f>VLOOKUP($A670,'[1]ma sp 02'!$A$5:$BD$1101,J$1,0)</f>
        <v>1.1599999999999999</v>
      </c>
      <c r="K670" s="50">
        <f>VLOOKUP($A670,'[1]ma sp 02'!$A$5:$BD$1101,K$1,0)</f>
        <v>0.01</v>
      </c>
      <c r="L670" s="50">
        <f>VLOOKUP($A670,'[1]ma sp 02'!$A$5:$BD$1101,L$1,0)</f>
        <v>1.47</v>
      </c>
      <c r="M670" s="50">
        <f>VLOOKUP($A670,'[1]ma sp 02'!$A$5:$BD$1101,M$1,0)</f>
        <v>0.73</v>
      </c>
      <c r="N670" s="50">
        <f>VLOOKUP($A670,'[1]ma sp 02'!$A$5:$BD$1101,N$1,0)</f>
        <v>0</v>
      </c>
      <c r="O670" s="50">
        <f>VLOOKUP($A670,'[1]ma sp 02'!$A$5:$BD$1101,O$1,0)</f>
        <v>0</v>
      </c>
      <c r="P670" s="50">
        <f>VLOOKUP($A670,'[1]ma sp 02'!$A$5:$BD$1101,P$1,0)</f>
        <v>0</v>
      </c>
      <c r="Q670" s="50">
        <f>VLOOKUP($A670,'[1]ma sp 02'!$A$5:$BD$1101,Q$1,0)</f>
        <v>0</v>
      </c>
      <c r="R670" s="50">
        <f>VLOOKUP($A670,'[1]ma sp 02'!$A$5:$BD$1101,R$1,0)</f>
        <v>0</v>
      </c>
      <c r="S670" s="50">
        <f>VLOOKUP($A670,'[1]ma sp 02'!$A$5:$BD$1101,S$1,0)</f>
        <v>0</v>
      </c>
      <c r="T670" s="50">
        <f>VLOOKUP($A670,'[1]ma sp 02'!$A$5:$BD$1101,T$1,0)</f>
        <v>0</v>
      </c>
      <c r="U670" s="50">
        <f>VLOOKUP($A670,'[1]ma sp 02'!$A$5:$BD$1101,U$1,0)</f>
        <v>0</v>
      </c>
      <c r="V670" s="50">
        <f>VLOOKUP($A670,'[1]ma sp 02'!$A$5:$BD$1101,V$1,0)</f>
        <v>0</v>
      </c>
      <c r="W670" s="50">
        <f>VLOOKUP($A670,'[1]ma sp 02'!$A$5:$BD$1101,W$1,0)</f>
        <v>0</v>
      </c>
      <c r="X670" s="50"/>
      <c r="Y670" s="62"/>
      <c r="Z670" s="62"/>
      <c r="AA670" s="62"/>
      <c r="AB670" s="62"/>
      <c r="AC670" s="62"/>
      <c r="AD670" s="62"/>
      <c r="AE670" s="62" t="s">
        <v>115</v>
      </c>
      <c r="AF670" s="62" t="s">
        <v>116</v>
      </c>
      <c r="AG670" s="53">
        <f>(0.02*0.91+0.012*1.4+0.06*0.925)*0.74</f>
        <v>6.6970000000000002E-2</v>
      </c>
      <c r="AH670" s="54">
        <f>(2.3/0.75/2)*0.73</f>
        <v>1.1193333333333333</v>
      </c>
      <c r="AI670" s="54">
        <f>(3/0.75/2)*0.73</f>
        <v>1.46</v>
      </c>
      <c r="AJ670" s="62">
        <v>9530</v>
      </c>
      <c r="AK670" s="62">
        <v>9530</v>
      </c>
      <c r="AL670" s="62" t="s">
        <v>2122</v>
      </c>
      <c r="AM670" s="61" t="s">
        <v>60</v>
      </c>
      <c r="AN670" s="62">
        <v>270</v>
      </c>
      <c r="AO670" s="61" t="s">
        <v>332</v>
      </c>
      <c r="AP670" s="59" t="str">
        <f>IFERROR(VLOOKUP($A670,[2]Mssp!$A$5:$BE$1463,AP$4+1,0),0)</f>
        <v>17041138-1</v>
      </c>
      <c r="AQ670" s="59" t="str">
        <f>IFERROR(VLOOKUP($A670,[2]Mssp!$A$5:$BE$1463,AQ$4+1,0),0)</f>
        <v>17041138-2</v>
      </c>
      <c r="AR670" s="59" t="str">
        <f>IFERROR(VLOOKUP($A670,[2]Mssp!$A$5:$BE$1463,AR$4+1,0),0)</f>
        <v>17041138-3</v>
      </c>
      <c r="AS670" s="59" t="str">
        <f>IFERROR(VLOOKUP($A670,[2]Mssp!$A$5:$BE$1463,AS$4+1,0),0)</f>
        <v>17041138-4</v>
      </c>
      <c r="AT670" s="59" t="str">
        <f>IFERROR(VLOOKUP($A670,[2]Mssp!$A$5:$BE$1463,AT$4+1,0),0)</f>
        <v>17041138-5</v>
      </c>
      <c r="AU670" s="59" t="str">
        <f>IFERROR(VLOOKUP($A670,[2]Mssp!$A$5:$BE$1463,AU$4+1,0),0)</f>
        <v>17041138-6</v>
      </c>
      <c r="AV670" s="59" t="str">
        <f>IFERROR(VLOOKUP($A670,[2]Mssp!$A$5:$BE$1463,AV$4+1,0),0)</f>
        <v>17041138-7</v>
      </c>
      <c r="AW670" s="59">
        <f>IFERROR(VLOOKUP($A670,[2]Mssp!$A$5:$BE$1463,AW$4+1,0),0)</f>
        <v>0</v>
      </c>
      <c r="AX670" s="59">
        <f>IFERROR(VLOOKUP($A670,[2]Mssp!$A$5:$BE$1463,AX$4+1,0),0)</f>
        <v>0</v>
      </c>
      <c r="AY670" s="59" t="str">
        <f>IFERROR(VLOOKUP($A670,[2]Mssp!$A$5:$BE$1463,AY$4+2,0),0)</f>
        <v>540x850</v>
      </c>
      <c r="AZ670" s="59" t="str">
        <f>IFERROR(VLOOKUP($A670,[2]Mssp!$A$5:$BE$1463,AZ$4+2,0),0)</f>
        <v>F4</v>
      </c>
      <c r="BA670" s="141"/>
      <c r="BB670" s="61"/>
      <c r="BC670" s="165"/>
      <c r="BD670" s="166"/>
      <c r="BE670" s="167"/>
      <c r="BF670" s="168"/>
      <c r="BG670" s="167"/>
      <c r="BH670" s="168"/>
      <c r="BI670" s="169"/>
      <c r="BJ670" s="168"/>
      <c r="BK670" s="134"/>
      <c r="BL670" s="168"/>
      <c r="BM670" s="167"/>
      <c r="BN670" s="168"/>
      <c r="BO670" s="62"/>
      <c r="BP670" s="168"/>
      <c r="BQ670" s="168"/>
      <c r="BR670" s="168"/>
      <c r="BS670" s="135"/>
      <c r="BT670" s="168"/>
      <c r="BU670" s="167"/>
      <c r="BV670" s="168"/>
      <c r="BW670" s="167"/>
      <c r="BX670" s="168"/>
      <c r="BY670" s="167"/>
      <c r="BZ670" s="168"/>
      <c r="CA670" s="167"/>
      <c r="CB670" s="168"/>
      <c r="CC670" s="167"/>
      <c r="CD670" s="168"/>
      <c r="CE670" s="62"/>
      <c r="CF670" s="62"/>
      <c r="CG670" s="9"/>
      <c r="CH670" s="9"/>
      <c r="CI670" s="9"/>
      <c r="CJ670" s="9"/>
      <c r="CK670" s="9"/>
      <c r="CL670" s="9"/>
      <c r="CM670" s="9"/>
      <c r="CN670" s="9"/>
      <c r="CO670" s="9"/>
      <c r="CP670" s="9"/>
    </row>
    <row r="671" spans="1:94" ht="45" x14ac:dyDescent="0.25">
      <c r="A671" s="127" t="s">
        <v>2123</v>
      </c>
      <c r="B671" s="51" t="s">
        <v>2124</v>
      </c>
      <c r="C671" s="62"/>
      <c r="D671" s="84">
        <v>1</v>
      </c>
      <c r="E671" s="62" t="s">
        <v>864</v>
      </c>
      <c r="F671" s="62">
        <v>8</v>
      </c>
      <c r="G671" s="62" t="s">
        <v>184</v>
      </c>
      <c r="H671" s="50">
        <f>VLOOKUP($A671,'[1]ma sp 02'!$A$5:$BD$1101,H$1,0)</f>
        <v>0.19</v>
      </c>
      <c r="I671" s="50">
        <f>VLOOKUP($A671,'[1]ma sp 02'!$A$5:$BD$1101,I$1,0)</f>
        <v>3.2</v>
      </c>
      <c r="J671" s="50">
        <f>VLOOKUP($A671,'[1]ma sp 02'!$A$5:$BD$1101,J$1,0)</f>
        <v>9.0999999999999998E-2</v>
      </c>
      <c r="K671" s="50">
        <f>VLOOKUP($A671,'[1]ma sp 02'!$A$5:$BD$1101,K$1,0)</f>
        <v>0.23400000000000001</v>
      </c>
      <c r="L671" s="50">
        <f>VLOOKUP($A671,'[1]ma sp 02'!$A$5:$BD$1101,L$1,0)</f>
        <v>0.32400000000000001</v>
      </c>
      <c r="M671" s="50">
        <f>VLOOKUP($A671,'[1]ma sp 02'!$A$5:$BD$1101,M$1,0)</f>
        <v>0.18</v>
      </c>
      <c r="N671" s="50">
        <f>VLOOKUP($A671,'[1]ma sp 02'!$A$5:$BD$1101,N$1,0)</f>
        <v>0.13</v>
      </c>
      <c r="O671" s="50">
        <f>VLOOKUP($A671,'[1]ma sp 02'!$A$5:$BD$1101,O$1,0)</f>
        <v>0</v>
      </c>
      <c r="P671" s="50">
        <f>VLOOKUP($A671,'[1]ma sp 02'!$A$5:$BD$1101,P$1,0)</f>
        <v>1.583</v>
      </c>
      <c r="Q671" s="50">
        <f>VLOOKUP($A671,'[1]ma sp 02'!$A$5:$BD$1101,Q$1,0)</f>
        <v>0.33700000000000002</v>
      </c>
      <c r="R671" s="50">
        <f>VLOOKUP($A671,'[1]ma sp 02'!$A$5:$BD$1101,R$1,0)</f>
        <v>0</v>
      </c>
      <c r="S671" s="50">
        <f>VLOOKUP($A671,'[1]ma sp 02'!$A$5:$BD$1101,S$1,0)</f>
        <v>6.5000000000000002E-2</v>
      </c>
      <c r="T671" s="50">
        <f>VLOOKUP($A671,'[1]ma sp 02'!$A$5:$BD$1101,T$1,0)</f>
        <v>0</v>
      </c>
      <c r="U671" s="50">
        <f>VLOOKUP($A671,'[1]ma sp 02'!$A$5:$BD$1101,U$1,0)</f>
        <v>0</v>
      </c>
      <c r="V671" s="50">
        <f>VLOOKUP($A671,'[1]ma sp 02'!$A$5:$BD$1101,V$1,0)</f>
        <v>0</v>
      </c>
      <c r="W671" s="50">
        <f>VLOOKUP($A671,'[1]ma sp 02'!$A$5:$BD$1101,W$1,0)</f>
        <v>0</v>
      </c>
      <c r="X671" s="50"/>
      <c r="Y671" s="62"/>
      <c r="Z671" s="62"/>
      <c r="AA671" s="62"/>
      <c r="AB671" s="62"/>
      <c r="AC671" s="62"/>
      <c r="AD671" s="62"/>
      <c r="AE671" s="62" t="s">
        <v>2125</v>
      </c>
      <c r="AF671" s="62"/>
      <c r="AG671" s="53">
        <f>(0.02*0.91+0.05*0.925)*0.71</f>
        <v>4.5759500000000002E-2</v>
      </c>
      <c r="AH671" s="54">
        <f>(2.3/0.75/2)*0.7</f>
        <v>1.0733333333333333</v>
      </c>
      <c r="AI671" s="54"/>
      <c r="AJ671" s="62">
        <v>9530</v>
      </c>
      <c r="AK671" s="62"/>
      <c r="AL671" s="62">
        <v>2.3E-3</v>
      </c>
      <c r="AM671" s="61" t="s">
        <v>74</v>
      </c>
      <c r="AN671" s="62">
        <v>265</v>
      </c>
      <c r="AO671" s="61" t="s">
        <v>2126</v>
      </c>
      <c r="AP671" s="59" t="str">
        <f>IFERROR(VLOOKUP($A671,[2]Mssp!$A$5:$BE$1463,AP$4+1,0),0)</f>
        <v>21061221-1</v>
      </c>
      <c r="AQ671" s="59" t="str">
        <f>IFERROR(VLOOKUP($A671,[2]Mssp!$A$5:$BE$1463,AQ$4+1,0),0)</f>
        <v>21061221-2</v>
      </c>
      <c r="AR671" s="59" t="str">
        <f>IFERROR(VLOOKUP($A671,[2]Mssp!$A$5:$BE$1463,AR$4+1,0),0)</f>
        <v>21090188-3</v>
      </c>
      <c r="AS671" s="59" t="str">
        <f>IFERROR(VLOOKUP($A671,[2]Mssp!$A$5:$BE$1463,AS$4+1,0),0)</f>
        <v>21100379-4</v>
      </c>
      <c r="AT671" s="59" t="str">
        <f>IFERROR(VLOOKUP($A671,[2]Mssp!$A$5:$BE$1463,AT$4+1,0),0)</f>
        <v>20030890-5</v>
      </c>
      <c r="AU671" s="59" t="str">
        <f>IFERROR(VLOOKUP($A671,[2]Mssp!$A$5:$BE$1463,AU$4+1,0),0)</f>
        <v>21100379-6</v>
      </c>
      <c r="AV671" s="59" t="str">
        <f>IFERROR(VLOOKUP($A671,[2]Mssp!$A$5:$BE$1463,AV$4+1,0),0)</f>
        <v>20030890-7</v>
      </c>
      <c r="AW671" s="59" t="str">
        <f>IFERROR(VLOOKUP($A671,[2]Mssp!$A$5:$BE$1463,AW$4+1,0),0)</f>
        <v>21090188-8</v>
      </c>
      <c r="AX671" s="59">
        <f>IFERROR(VLOOKUP($A671,[2]Mssp!$A$5:$BE$1463,AX$4+1,0),0)</f>
        <v>0</v>
      </c>
      <c r="AY671" s="59" t="str">
        <f>IFERROR(VLOOKUP($A671,[2]Mssp!$A$5:$BE$1463,AY$4+2,0),0)</f>
        <v xml:space="preserve"> 530x870</v>
      </c>
      <c r="AZ671" s="59" t="str">
        <f>IFERROR(VLOOKUP($A671,[2]Mssp!$A$5:$BE$1463,AZ$4+2,0),0)</f>
        <v>R3</v>
      </c>
      <c r="BA671" s="141">
        <v>2000</v>
      </c>
      <c r="BB671" s="61" t="s">
        <v>1894</v>
      </c>
      <c r="BC671" s="165"/>
      <c r="BD671" s="166"/>
      <c r="BE671" s="167"/>
      <c r="BF671" s="168"/>
      <c r="BG671" s="167"/>
      <c r="BH671" s="168"/>
      <c r="BI671" s="169"/>
      <c r="BJ671" s="168"/>
      <c r="BK671" s="134"/>
      <c r="BL671" s="168"/>
      <c r="BM671" s="167"/>
      <c r="BN671" s="168"/>
      <c r="BO671" s="62"/>
      <c r="BP671" s="168"/>
      <c r="BQ671" s="168"/>
      <c r="BR671" s="168"/>
      <c r="BS671" s="135"/>
      <c r="BT671" s="168"/>
      <c r="BU671" s="167"/>
      <c r="BV671" s="168"/>
      <c r="BW671" s="167"/>
      <c r="BX671" s="168"/>
      <c r="BY671" s="167"/>
      <c r="BZ671" s="168"/>
      <c r="CA671" s="167"/>
      <c r="CB671" s="168"/>
      <c r="CC671" s="167"/>
      <c r="CD671" s="168"/>
      <c r="CE671" s="62"/>
      <c r="CF671" s="62"/>
      <c r="CG671" s="9"/>
      <c r="CH671" s="9"/>
      <c r="CI671" s="9"/>
      <c r="CJ671" s="9"/>
      <c r="CK671" s="9"/>
      <c r="CL671" s="9"/>
      <c r="CM671" s="9"/>
      <c r="CN671" s="9"/>
      <c r="CO671" s="9"/>
      <c r="CP671" s="9"/>
    </row>
    <row r="672" spans="1:94" x14ac:dyDescent="0.25">
      <c r="A672" s="127" t="s">
        <v>2127</v>
      </c>
      <c r="B672" s="51" t="s">
        <v>2128</v>
      </c>
      <c r="C672" s="62"/>
      <c r="D672" s="84">
        <v>1</v>
      </c>
      <c r="E672" s="62" t="s">
        <v>819</v>
      </c>
      <c r="F672" s="62">
        <v>7</v>
      </c>
      <c r="G672" s="62" t="s">
        <v>184</v>
      </c>
      <c r="H672" s="50">
        <f>VLOOKUP($A672,'[1]ma sp 02'!$A$5:$BD$1101,H$1,0)</f>
        <v>0.01</v>
      </c>
      <c r="I672" s="50">
        <f>VLOOKUP($A672,'[1]ma sp 02'!$A$5:$BD$1101,I$1,0)</f>
        <v>1.77</v>
      </c>
      <c r="J672" s="50">
        <f>VLOOKUP($A672,'[1]ma sp 02'!$A$5:$BD$1101,J$1,0)</f>
        <v>0</v>
      </c>
      <c r="K672" s="50">
        <f>VLOOKUP($A672,'[1]ma sp 02'!$A$5:$BD$1101,K$1,0)</f>
        <v>1.77</v>
      </c>
      <c r="L672" s="50">
        <f>VLOOKUP($A672,'[1]ma sp 02'!$A$5:$BD$1101,L$1,0)</f>
        <v>3.36</v>
      </c>
      <c r="M672" s="50">
        <f>VLOOKUP($A672,'[1]ma sp 02'!$A$5:$BD$1101,M$1,0)</f>
        <v>2.37</v>
      </c>
      <c r="N672" s="50">
        <f>VLOOKUP($A672,'[1]ma sp 02'!$A$5:$BD$1101,N$1,0)</f>
        <v>0</v>
      </c>
      <c r="O672" s="50">
        <f>VLOOKUP($A672,'[1]ma sp 02'!$A$5:$BD$1101,O$1,0)</f>
        <v>0.01</v>
      </c>
      <c r="P672" s="50">
        <f>VLOOKUP($A672,'[1]ma sp 02'!$A$5:$BD$1101,P$1,0)</f>
        <v>0.89</v>
      </c>
      <c r="Q672" s="50">
        <f>VLOOKUP($A672,'[1]ma sp 02'!$A$5:$BD$1101,Q$1,0)</f>
        <v>0</v>
      </c>
      <c r="R672" s="50">
        <f>VLOOKUP($A672,'[1]ma sp 02'!$A$5:$BD$1101,R$1,0)</f>
        <v>0</v>
      </c>
      <c r="S672" s="50">
        <f>VLOOKUP($A672,'[1]ma sp 02'!$A$5:$BD$1101,S$1,0)</f>
        <v>0</v>
      </c>
      <c r="T672" s="50">
        <f>VLOOKUP($A672,'[1]ma sp 02'!$A$5:$BD$1101,T$1,0)</f>
        <v>0</v>
      </c>
      <c r="U672" s="50">
        <f>VLOOKUP($A672,'[1]ma sp 02'!$A$5:$BD$1101,U$1,0)</f>
        <v>0</v>
      </c>
      <c r="V672" s="50">
        <f>VLOOKUP($A672,'[1]ma sp 02'!$A$5:$BD$1101,V$1,0)</f>
        <v>0</v>
      </c>
      <c r="W672" s="50">
        <f>VLOOKUP($A672,'[1]ma sp 02'!$A$5:$BD$1101,W$1,0)</f>
        <v>0</v>
      </c>
      <c r="X672" s="50"/>
      <c r="Y672" s="62"/>
      <c r="Z672" s="62"/>
      <c r="AA672" s="62"/>
      <c r="AB672" s="62"/>
      <c r="AC672" s="62"/>
      <c r="AD672" s="62"/>
      <c r="AE672" s="62"/>
      <c r="AF672" s="62"/>
      <c r="AG672" s="53"/>
      <c r="AH672" s="54"/>
      <c r="AI672" s="54"/>
      <c r="AJ672" s="62"/>
      <c r="AK672" s="62"/>
      <c r="AL672" s="62"/>
      <c r="AM672" s="61" t="s">
        <v>1489</v>
      </c>
      <c r="AN672" s="62">
        <v>6000</v>
      </c>
      <c r="AO672" s="61" t="s">
        <v>527</v>
      </c>
      <c r="AP672" s="59" t="str">
        <f>IFERROR(VLOOKUP($A672,[2]Mssp!$A$5:$BE$1463,AP$4+1,0),0)</f>
        <v>20030971-1</v>
      </c>
      <c r="AQ672" s="59" t="str">
        <f>IFERROR(VLOOKUP($A672,[2]Mssp!$A$5:$BE$1463,AQ$4+1,0),0)</f>
        <v>20030971-2</v>
      </c>
      <c r="AR672" s="59" t="str">
        <f>IFERROR(VLOOKUP($A672,[2]Mssp!$A$5:$BE$1463,AR$4+1,0),0)</f>
        <v>20030971-3</v>
      </c>
      <c r="AS672" s="59" t="str">
        <f>IFERROR(VLOOKUP($A672,[2]Mssp!$A$5:$BE$1463,AS$4+1,0),0)</f>
        <v>20030971-4</v>
      </c>
      <c r="AT672" s="59" t="str">
        <f>IFERROR(VLOOKUP($A672,[2]Mssp!$A$5:$BE$1463,AT$4+1,0),0)</f>
        <v>20030971-5</v>
      </c>
      <c r="AU672" s="59" t="str">
        <f>IFERROR(VLOOKUP($A672,[2]Mssp!$A$5:$BE$1463,AU$4+1,0),0)</f>
        <v>20030971-6</v>
      </c>
      <c r="AV672" s="59" t="str">
        <f>IFERROR(VLOOKUP($A672,[2]Mssp!$A$5:$BE$1463,AV$4+1,0),0)</f>
        <v>20030971-7</v>
      </c>
      <c r="AW672" s="59">
        <f>IFERROR(VLOOKUP($A672,[2]Mssp!$A$5:$BE$1463,AW$4+1,0),0)</f>
        <v>0</v>
      </c>
      <c r="AX672" s="59">
        <f>IFERROR(VLOOKUP($A672,[2]Mssp!$A$5:$BE$1463,AX$4+1,0),0)</f>
        <v>0</v>
      </c>
      <c r="AY672" s="59" t="str">
        <f>IFERROR(VLOOKUP($A672,[2]Mssp!$A$5:$BE$1463,AY$4+2,0),0)</f>
        <v>600x870</v>
      </c>
      <c r="AZ672" s="59" t="str">
        <f>IFERROR(VLOOKUP($A672,[2]Mssp!$A$5:$BE$1463,AZ$4+2,0),0)</f>
        <v>R3</v>
      </c>
      <c r="BA672" s="141"/>
      <c r="BB672" s="61"/>
      <c r="BC672" s="165"/>
      <c r="BD672" s="166"/>
      <c r="BE672" s="167"/>
      <c r="BF672" s="168"/>
      <c r="BG672" s="167"/>
      <c r="BH672" s="168"/>
      <c r="BI672" s="169"/>
      <c r="BJ672" s="168"/>
      <c r="BK672" s="134"/>
      <c r="BL672" s="168"/>
      <c r="BM672" s="167"/>
      <c r="BN672" s="168"/>
      <c r="BO672" s="62"/>
      <c r="BP672" s="168"/>
      <c r="BQ672" s="168"/>
      <c r="BR672" s="168"/>
      <c r="BS672" s="135"/>
      <c r="BT672" s="168"/>
      <c r="BU672" s="167"/>
      <c r="BV672" s="168"/>
      <c r="BW672" s="167"/>
      <c r="BX672" s="168"/>
      <c r="BY672" s="167"/>
      <c r="BZ672" s="168"/>
      <c r="CA672" s="167"/>
      <c r="CB672" s="168"/>
      <c r="CC672" s="167"/>
      <c r="CD672" s="168"/>
      <c r="CE672" s="62"/>
      <c r="CF672" s="62"/>
      <c r="CG672" s="9"/>
      <c r="CH672" s="9"/>
      <c r="CI672" s="9"/>
      <c r="CJ672" s="9"/>
      <c r="CK672" s="9"/>
      <c r="CL672" s="9"/>
      <c r="CM672" s="9"/>
      <c r="CN672" s="9"/>
      <c r="CO672" s="9"/>
      <c r="CP672" s="9"/>
    </row>
    <row r="673" spans="1:94" ht="30" x14ac:dyDescent="0.25">
      <c r="A673" s="127" t="s">
        <v>2129</v>
      </c>
      <c r="B673" s="51" t="s">
        <v>2130</v>
      </c>
      <c r="C673" s="62"/>
      <c r="D673" s="84">
        <v>8</v>
      </c>
      <c r="E673" s="62" t="s">
        <v>2131</v>
      </c>
      <c r="F673" s="62">
        <v>4</v>
      </c>
      <c r="G673" s="62" t="s">
        <v>184</v>
      </c>
      <c r="H673" s="50">
        <f>VLOOKUP($A673,'[1]ma sp 02'!$A$5:$BD$1101,H$1,0)</f>
        <v>0</v>
      </c>
      <c r="I673" s="50">
        <f>VLOOKUP($A673,'[1]ma sp 02'!$A$5:$BD$1101,I$1,0)</f>
        <v>0.23</v>
      </c>
      <c r="J673" s="50">
        <f>VLOOKUP($A673,'[1]ma sp 02'!$A$5:$BD$1101,J$1,0)</f>
        <v>0</v>
      </c>
      <c r="K673" s="50">
        <f>VLOOKUP($A673,'[1]ma sp 02'!$A$5:$BD$1101,K$1,0)</f>
        <v>0</v>
      </c>
      <c r="L673" s="50">
        <f>VLOOKUP($A673,'[1]ma sp 02'!$A$5:$BD$1101,L$1,0)</f>
        <v>0.26</v>
      </c>
      <c r="M673" s="50">
        <f>VLOOKUP($A673,'[1]ma sp 02'!$A$5:$BD$1101,M$1,0)</f>
        <v>0</v>
      </c>
      <c r="N673" s="50">
        <f>VLOOKUP($A673,'[1]ma sp 02'!$A$5:$BD$1101,N$1,0)</f>
        <v>0</v>
      </c>
      <c r="O673" s="50">
        <f>VLOOKUP($A673,'[1]ma sp 02'!$A$5:$BD$1101,O$1,0)</f>
        <v>0.01</v>
      </c>
      <c r="P673" s="50">
        <f>VLOOKUP($A673,'[1]ma sp 02'!$A$5:$BD$1101,P$1,0)</f>
        <v>0.17</v>
      </c>
      <c r="Q673" s="50">
        <f>VLOOKUP($A673,'[1]ma sp 02'!$A$5:$BD$1101,Q$1,0)</f>
        <v>0.01</v>
      </c>
      <c r="R673" s="50">
        <f>VLOOKUP($A673,'[1]ma sp 02'!$A$5:$BD$1101,R$1,0)</f>
        <v>0</v>
      </c>
      <c r="S673" s="50">
        <f>VLOOKUP($A673,'[1]ma sp 02'!$A$5:$BD$1101,S$1,0)</f>
        <v>0</v>
      </c>
      <c r="T673" s="50">
        <f>VLOOKUP($A673,'[1]ma sp 02'!$A$5:$BD$1101,T$1,0)</f>
        <v>0</v>
      </c>
      <c r="U673" s="50">
        <f>VLOOKUP($A673,'[1]ma sp 02'!$A$5:$BD$1101,U$1,0)</f>
        <v>0</v>
      </c>
      <c r="V673" s="50">
        <f>VLOOKUP($A673,'[1]ma sp 02'!$A$5:$BD$1101,V$1,0)</f>
        <v>0</v>
      </c>
      <c r="W673" s="50">
        <f>VLOOKUP($A673,'[1]ma sp 02'!$A$5:$BD$1101,W$1,0)</f>
        <v>0</v>
      </c>
      <c r="X673" s="50"/>
      <c r="Y673" s="62"/>
      <c r="Z673" s="62"/>
      <c r="AA673" s="62"/>
      <c r="AB673" s="62"/>
      <c r="AC673" s="62"/>
      <c r="AD673" s="62"/>
      <c r="AE673" s="62" t="s">
        <v>2055</v>
      </c>
      <c r="AF673" s="62"/>
      <c r="AG673" s="53">
        <f>(0.02*0.91+0.02*0.91)*1.02</f>
        <v>3.7128000000000001E-2</v>
      </c>
      <c r="AH673" s="54">
        <f>(2.3/0.75/2)*0.7</f>
        <v>1.0733333333333333</v>
      </c>
      <c r="AI673" s="54"/>
      <c r="AJ673" s="62" t="s">
        <v>1881</v>
      </c>
      <c r="AK673" s="62"/>
      <c r="AL673" s="62">
        <v>1.1999999999999999E-3</v>
      </c>
      <c r="AM673" s="61" t="s">
        <v>1489</v>
      </c>
      <c r="AN673" s="62">
        <v>125</v>
      </c>
      <c r="AO673" s="61" t="s">
        <v>2132</v>
      </c>
      <c r="AP673" s="59" t="str">
        <f>IFERROR(VLOOKUP($A673,[2]Mssp!$A$5:$BE$1463,AP$4+1,0),0)</f>
        <v>X108725-1</v>
      </c>
      <c r="AQ673" s="59" t="str">
        <f>IFERROR(VLOOKUP($A673,[2]Mssp!$A$5:$BE$1463,AQ$4+1,0),0)</f>
        <v>X108725-2</v>
      </c>
      <c r="AR673" s="59" t="str">
        <f>IFERROR(VLOOKUP($A673,[2]Mssp!$A$5:$BE$1463,AR$4+1,0),0)</f>
        <v>X108725-3</v>
      </c>
      <c r="AS673" s="59" t="str">
        <f>IFERROR(VLOOKUP($A673,[2]Mssp!$A$5:$BE$1463,AS$4+1,0),0)</f>
        <v>X108725-4</v>
      </c>
      <c r="AT673" s="59">
        <f>IFERROR(VLOOKUP($A673,[2]Mssp!$A$5:$BE$1463,AT$4+1,0),0)</f>
        <v>0</v>
      </c>
      <c r="AU673" s="59">
        <f>IFERROR(VLOOKUP($A673,[2]Mssp!$A$5:$BE$1463,AU$4+1,0),0)</f>
        <v>0</v>
      </c>
      <c r="AV673" s="59">
        <f>IFERROR(VLOOKUP($A673,[2]Mssp!$A$5:$BE$1463,AV$4+1,0),0)</f>
        <v>0</v>
      </c>
      <c r="AW673" s="59">
        <f>IFERROR(VLOOKUP($A673,[2]Mssp!$A$5:$BE$1463,AW$4+1,0),0)</f>
        <v>0</v>
      </c>
      <c r="AX673" s="59">
        <f>IFERROR(VLOOKUP($A673,[2]Mssp!$A$5:$BE$1463,AX$4+1,0),0)</f>
        <v>0</v>
      </c>
      <c r="AY673" s="59" t="str">
        <f>IFERROR(VLOOKUP($A673,[2]Mssp!$A$5:$BE$1463,AY$4+2,0),0)</f>
        <v>1150x500</v>
      </c>
      <c r="AZ673" s="59" t="str">
        <f>IFERROR(VLOOKUP($A673,[2]Mssp!$A$5:$BE$1463,AZ$4+2,0),0)</f>
        <v>R3</v>
      </c>
      <c r="BA673" s="141"/>
      <c r="BB673" s="61" t="s">
        <v>952</v>
      </c>
      <c r="BC673" s="165"/>
      <c r="BD673" s="166"/>
      <c r="BE673" s="167"/>
      <c r="BF673" s="168"/>
      <c r="BG673" s="167"/>
      <c r="BH673" s="168"/>
      <c r="BI673" s="169"/>
      <c r="BJ673" s="168"/>
      <c r="BK673" s="134"/>
      <c r="BL673" s="168"/>
      <c r="BM673" s="167"/>
      <c r="BN673" s="168"/>
      <c r="BO673" s="62"/>
      <c r="BP673" s="168"/>
      <c r="BQ673" s="168"/>
      <c r="BR673" s="168"/>
      <c r="BS673" s="135"/>
      <c r="BT673" s="168"/>
      <c r="BU673" s="167"/>
      <c r="BV673" s="168"/>
      <c r="BW673" s="167"/>
      <c r="BX673" s="168"/>
      <c r="BY673" s="167"/>
      <c r="BZ673" s="168"/>
      <c r="CA673" s="167"/>
      <c r="CB673" s="168"/>
      <c r="CC673" s="167"/>
      <c r="CD673" s="168"/>
      <c r="CE673" s="62"/>
      <c r="CF673" s="62"/>
      <c r="CG673" s="9"/>
      <c r="CH673" s="9"/>
      <c r="CI673" s="9"/>
      <c r="CJ673" s="9"/>
      <c r="CK673" s="9"/>
      <c r="CL673" s="9"/>
      <c r="CM673" s="9"/>
      <c r="CN673" s="9"/>
      <c r="CO673" s="9"/>
      <c r="CP673" s="9"/>
    </row>
    <row r="674" spans="1:94" x14ac:dyDescent="0.25">
      <c r="A674" s="127" t="s">
        <v>2133</v>
      </c>
      <c r="B674" s="51" t="s">
        <v>2134</v>
      </c>
      <c r="C674" s="62"/>
      <c r="D674" s="84">
        <v>3</v>
      </c>
      <c r="E674" s="62" t="s">
        <v>1985</v>
      </c>
      <c r="F674" s="62">
        <v>1</v>
      </c>
      <c r="G674" s="62" t="s">
        <v>184</v>
      </c>
      <c r="H674" s="50">
        <f>VLOOKUP($A674,'[1]ma sp 02'!$A$5:$BD$1101,H$1,0)</f>
        <v>0</v>
      </c>
      <c r="I674" s="50">
        <f>VLOOKUP($A674,'[1]ma sp 02'!$A$5:$BD$1101,I$1,0)</f>
        <v>0</v>
      </c>
      <c r="J674" s="50">
        <f>VLOOKUP($A674,'[1]ma sp 02'!$A$5:$BD$1101,J$1,0)</f>
        <v>0</v>
      </c>
      <c r="K674" s="50">
        <f>VLOOKUP($A674,'[1]ma sp 02'!$A$5:$BD$1101,K$1,0)</f>
        <v>0</v>
      </c>
      <c r="L674" s="50">
        <f>VLOOKUP($A674,'[1]ma sp 02'!$A$5:$BD$1101,L$1,0)</f>
        <v>0</v>
      </c>
      <c r="M674" s="50">
        <f>VLOOKUP($A674,'[1]ma sp 02'!$A$5:$BD$1101,M$1,0)</f>
        <v>0</v>
      </c>
      <c r="N674" s="50">
        <f>VLOOKUP($A674,'[1]ma sp 02'!$A$5:$BD$1101,N$1,0)</f>
        <v>0</v>
      </c>
      <c r="O674" s="50">
        <f>VLOOKUP($A674,'[1]ma sp 02'!$A$5:$BD$1101,O$1,0)</f>
        <v>0.46</v>
      </c>
      <c r="P674" s="50">
        <f>VLOOKUP($A674,'[1]ma sp 02'!$A$5:$BD$1101,P$1,0)</f>
        <v>0</v>
      </c>
      <c r="Q674" s="50">
        <f>VLOOKUP($A674,'[1]ma sp 02'!$A$5:$BD$1101,Q$1,0)</f>
        <v>0</v>
      </c>
      <c r="R674" s="50">
        <f>VLOOKUP($A674,'[1]ma sp 02'!$A$5:$BD$1101,R$1,0)</f>
        <v>0</v>
      </c>
      <c r="S674" s="50">
        <f>VLOOKUP($A674,'[1]ma sp 02'!$A$5:$BD$1101,S$1,0)</f>
        <v>0</v>
      </c>
      <c r="T674" s="50">
        <f>VLOOKUP($A674,'[1]ma sp 02'!$A$5:$BD$1101,T$1,0)</f>
        <v>0</v>
      </c>
      <c r="U674" s="50">
        <f>VLOOKUP($A674,'[1]ma sp 02'!$A$5:$BD$1101,U$1,0)</f>
        <v>0</v>
      </c>
      <c r="V674" s="50">
        <f>VLOOKUP($A674,'[1]ma sp 02'!$A$5:$BD$1101,V$1,0)</f>
        <v>0</v>
      </c>
      <c r="W674" s="50">
        <f>VLOOKUP($A674,'[1]ma sp 02'!$A$5:$BD$1101,W$1,0)</f>
        <v>0</v>
      </c>
      <c r="X674" s="50"/>
      <c r="Y674" s="62"/>
      <c r="Z674" s="62"/>
      <c r="AA674" s="62"/>
      <c r="AB674" s="62"/>
      <c r="AC674" s="62"/>
      <c r="AD674" s="62"/>
      <c r="AE674" s="62" t="s">
        <v>456</v>
      </c>
      <c r="AF674" s="62" t="s">
        <v>1986</v>
      </c>
      <c r="AG674" s="53">
        <f>(0.02*0.91+0.012*1.4+0.045*0.925)*0.77</f>
        <v>5.9001249999999998E-2</v>
      </c>
      <c r="AH674" s="54">
        <f>(2.3/0.75/2)*0.76</f>
        <v>1.1653333333333333</v>
      </c>
      <c r="AI674" s="54">
        <f>(2.3/0.75/2)*0.76</f>
        <v>1.1653333333333333</v>
      </c>
      <c r="AJ674" s="62">
        <v>9530</v>
      </c>
      <c r="AK674" s="62">
        <v>9530</v>
      </c>
      <c r="AL674" s="62" t="s">
        <v>1987</v>
      </c>
      <c r="AM674" s="61" t="s">
        <v>1489</v>
      </c>
      <c r="AN674" s="62">
        <v>165</v>
      </c>
      <c r="AO674" s="61" t="s">
        <v>1902</v>
      </c>
      <c r="AP674" s="59" t="str">
        <f>IFERROR(VLOOKUP($A674,[2]Mssp!$A$5:$BE$1463,AP$4+1,0),0)</f>
        <v>20031171-1</v>
      </c>
      <c r="AQ674" s="59">
        <f>IFERROR(VLOOKUP($A674,[2]Mssp!$A$5:$BE$1463,AQ$4+1,0),0)</f>
        <v>0</v>
      </c>
      <c r="AR674" s="59">
        <f>IFERROR(VLOOKUP($A674,[2]Mssp!$A$5:$BE$1463,AR$4+1,0),0)</f>
        <v>0</v>
      </c>
      <c r="AS674" s="59">
        <f>IFERROR(VLOOKUP($A674,[2]Mssp!$A$5:$BE$1463,AS$4+1,0),0)</f>
        <v>0</v>
      </c>
      <c r="AT674" s="59">
        <f>IFERROR(VLOOKUP($A674,[2]Mssp!$A$5:$BE$1463,AT$4+1,0),0)</f>
        <v>0</v>
      </c>
      <c r="AU674" s="59">
        <f>IFERROR(VLOOKUP($A674,[2]Mssp!$A$5:$BE$1463,AU$4+1,0),0)</f>
        <v>0</v>
      </c>
      <c r="AV674" s="59">
        <f>IFERROR(VLOOKUP($A674,[2]Mssp!$A$5:$BE$1463,AV$4+1,0),0)</f>
        <v>0</v>
      </c>
      <c r="AW674" s="59">
        <f>IFERROR(VLOOKUP($A674,[2]Mssp!$A$5:$BE$1463,AW$4+1,0),0)</f>
        <v>0</v>
      </c>
      <c r="AX674" s="59">
        <f>IFERROR(VLOOKUP($A674,[2]Mssp!$A$5:$BE$1463,AX$4+1,0),0)</f>
        <v>0</v>
      </c>
      <c r="AY674" s="59" t="str">
        <f>IFERROR(VLOOKUP($A674,[2]Mssp!$A$5:$BE$1463,AY$4+2,0),0)</f>
        <v>495x870</v>
      </c>
      <c r="AZ674" s="59" t="str">
        <f>IFERROR(VLOOKUP($A674,[2]Mssp!$A$5:$BE$1463,AZ$4+2,0),0)</f>
        <v>R3</v>
      </c>
      <c r="BA674" s="141"/>
      <c r="BB674" s="61"/>
      <c r="BC674" s="165"/>
      <c r="BD674" s="166"/>
      <c r="BE674" s="167"/>
      <c r="BF674" s="168"/>
      <c r="BG674" s="167"/>
      <c r="BH674" s="168"/>
      <c r="BI674" s="169"/>
      <c r="BJ674" s="168"/>
      <c r="BK674" s="134"/>
      <c r="BL674" s="168"/>
      <c r="BM674" s="167"/>
      <c r="BN674" s="168"/>
      <c r="BO674" s="62"/>
      <c r="BP674" s="168"/>
      <c r="BQ674" s="168"/>
      <c r="BR674" s="168"/>
      <c r="BS674" s="135"/>
      <c r="BT674" s="168"/>
      <c r="BU674" s="167"/>
      <c r="BV674" s="168"/>
      <c r="BW674" s="167"/>
      <c r="BX674" s="168"/>
      <c r="BY674" s="167"/>
      <c r="BZ674" s="168"/>
      <c r="CA674" s="167"/>
      <c r="CB674" s="168"/>
      <c r="CC674" s="167"/>
      <c r="CD674" s="168"/>
      <c r="CE674" s="62"/>
      <c r="CF674" s="62"/>
      <c r="CG674" s="9"/>
      <c r="CH674" s="9"/>
      <c r="CI674" s="9"/>
      <c r="CJ674" s="9"/>
      <c r="CK674" s="9"/>
      <c r="CL674" s="9"/>
      <c r="CM674" s="9"/>
      <c r="CN674" s="9"/>
      <c r="CO674" s="9"/>
      <c r="CP674" s="9"/>
    </row>
    <row r="675" spans="1:94" x14ac:dyDescent="0.25">
      <c r="A675" s="158" t="s">
        <v>2135</v>
      </c>
      <c r="B675" s="159" t="s">
        <v>2136</v>
      </c>
      <c r="C675" s="62"/>
      <c r="D675" s="84">
        <v>1</v>
      </c>
      <c r="E675" s="62" t="s">
        <v>351</v>
      </c>
      <c r="F675" s="62">
        <v>3</v>
      </c>
      <c r="G675" s="62" t="s">
        <v>530</v>
      </c>
      <c r="H675" s="50">
        <f>VLOOKUP($A675,'[1]ma sp 02'!$A$5:$BD$1101,H$1,0)</f>
        <v>0</v>
      </c>
      <c r="I675" s="50">
        <f>VLOOKUP($A675,'[1]ma sp 02'!$A$5:$BD$1101,I$1,0)</f>
        <v>7</v>
      </c>
      <c r="J675" s="50">
        <f>VLOOKUP($A675,'[1]ma sp 02'!$A$5:$BD$1101,J$1,0)</f>
        <v>0</v>
      </c>
      <c r="K675" s="50">
        <f>VLOOKUP($A675,'[1]ma sp 02'!$A$5:$BD$1101,K$1,0)</f>
        <v>0</v>
      </c>
      <c r="L675" s="50">
        <f>VLOOKUP($A675,'[1]ma sp 02'!$A$5:$BD$1101,L$1,0)</f>
        <v>0</v>
      </c>
      <c r="M675" s="50">
        <f>VLOOKUP($A675,'[1]ma sp 02'!$A$5:$BD$1101,M$1,0)</f>
        <v>0</v>
      </c>
      <c r="N675" s="50">
        <f>VLOOKUP($A675,'[1]ma sp 02'!$A$5:$BD$1101,N$1,0)</f>
        <v>0</v>
      </c>
      <c r="O675" s="50">
        <f>VLOOKUP($A675,'[1]ma sp 02'!$A$5:$BD$1101,O$1,0)</f>
        <v>0</v>
      </c>
      <c r="P675" s="50">
        <f>VLOOKUP($A675,'[1]ma sp 02'!$A$5:$BD$1101,P$1,0)</f>
        <v>0</v>
      </c>
      <c r="Q675" s="50">
        <f>VLOOKUP($A675,'[1]ma sp 02'!$A$5:$BD$1101,Q$1,0)</f>
        <v>0</v>
      </c>
      <c r="R675" s="50">
        <f>VLOOKUP($A675,'[1]ma sp 02'!$A$5:$BD$1101,R$1,0)</f>
        <v>0</v>
      </c>
      <c r="S675" s="50">
        <f>VLOOKUP($A675,'[1]ma sp 02'!$A$5:$BD$1101,S$1,0)</f>
        <v>0</v>
      </c>
      <c r="T675" s="50">
        <f>VLOOKUP($A675,'[1]ma sp 02'!$A$5:$BD$1101,T$1,0)</f>
        <v>0</v>
      </c>
      <c r="U675" s="50">
        <f>VLOOKUP($A675,'[1]ma sp 02'!$A$5:$BD$1101,U$1,0)</f>
        <v>0</v>
      </c>
      <c r="V675" s="50">
        <f>VLOOKUP($A675,'[1]ma sp 02'!$A$5:$BD$1101,V$1,0)</f>
        <v>0</v>
      </c>
      <c r="W675" s="50">
        <f>VLOOKUP($A675,'[1]ma sp 02'!$A$5:$BD$1101,W$1,0)</f>
        <v>0</v>
      </c>
      <c r="X675" s="50"/>
      <c r="Y675" s="62"/>
      <c r="Z675" s="62"/>
      <c r="AA675" s="62"/>
      <c r="AB675" s="62"/>
      <c r="AC675" s="62"/>
      <c r="AD675" s="62"/>
      <c r="AE675" s="62" t="s">
        <v>2137</v>
      </c>
      <c r="AF675" s="62" t="s">
        <v>2138</v>
      </c>
      <c r="AG675" s="53">
        <f>(0.012*1.4+0.006*2.71+0.1*0.925)*0.8</f>
        <v>0.10044800000000001</v>
      </c>
      <c r="AH675" s="54">
        <f>(2.3/0.75/2)*0.79</f>
        <v>1.2113333333333334</v>
      </c>
      <c r="AI675" s="54">
        <f>(2.3/0.75/2)*0.79</f>
        <v>1.2113333333333334</v>
      </c>
      <c r="AJ675" s="62">
        <v>9530</v>
      </c>
      <c r="AK675" s="62">
        <v>9530</v>
      </c>
      <c r="AL675" s="62" t="s">
        <v>1987</v>
      </c>
      <c r="AM675" s="61" t="s">
        <v>1489</v>
      </c>
      <c r="AN675" s="62">
        <v>180</v>
      </c>
      <c r="AO675" s="61" t="s">
        <v>2139</v>
      </c>
      <c r="AP675" s="59">
        <f>IFERROR(VLOOKUP($A675,[2]Mssp!$A$5:$BE$1463,AP$4+1,0),0)</f>
        <v>0</v>
      </c>
      <c r="AQ675" s="59">
        <f>IFERROR(VLOOKUP($A675,[2]Mssp!$A$5:$BE$1463,AQ$4+1,0),0)</f>
        <v>0</v>
      </c>
      <c r="AR675" s="59">
        <f>IFERROR(VLOOKUP($A675,[2]Mssp!$A$5:$BE$1463,AR$4+1,0),0)</f>
        <v>0</v>
      </c>
      <c r="AS675" s="59">
        <f>IFERROR(VLOOKUP($A675,[2]Mssp!$A$5:$BE$1463,AS$4+1,0),0)</f>
        <v>0</v>
      </c>
      <c r="AT675" s="59">
        <f>IFERROR(VLOOKUP($A675,[2]Mssp!$A$5:$BE$1463,AT$4+1,0),0)</f>
        <v>0</v>
      </c>
      <c r="AU675" s="59">
        <f>IFERROR(VLOOKUP($A675,[2]Mssp!$A$5:$BE$1463,AU$4+1,0),0)</f>
        <v>0</v>
      </c>
      <c r="AV675" s="59" t="str">
        <f>IFERROR(VLOOKUP($A675,[2]Mssp!$A$5:$BE$1463,AV$4+1,0),0)</f>
        <v>F123486-7</v>
      </c>
      <c r="AW675" s="59">
        <f>IFERROR(VLOOKUP($A675,[2]Mssp!$A$5:$BE$1463,AW$4+1,0),0)</f>
        <v>0</v>
      </c>
      <c r="AX675" s="59">
        <f>IFERROR(VLOOKUP($A675,[2]Mssp!$A$5:$BE$1463,AX$4+1,0),0)</f>
        <v>0</v>
      </c>
      <c r="AY675" s="59" t="str">
        <f>IFERROR(VLOOKUP($A675,[2]Mssp!$A$5:$BE$1463,AY$4+2,0),0)</f>
        <v>450x1100</v>
      </c>
      <c r="AZ675" s="59" t="str">
        <f>IFERROR(VLOOKUP($A675,[2]Mssp!$A$5:$BE$1463,AZ$4+2,0),0)</f>
        <v>A2</v>
      </c>
      <c r="BA675" s="141"/>
      <c r="BB675" s="61"/>
      <c r="BC675" s="165"/>
      <c r="BD675" s="166"/>
      <c r="BE675" s="167"/>
      <c r="BF675" s="168"/>
      <c r="BG675" s="167"/>
      <c r="BH675" s="168"/>
      <c r="BI675" s="169"/>
      <c r="BJ675" s="168"/>
      <c r="BK675" s="134"/>
      <c r="BL675" s="168"/>
      <c r="BM675" s="167"/>
      <c r="BN675" s="168"/>
      <c r="BO675" s="62"/>
      <c r="BP675" s="168"/>
      <c r="BQ675" s="168"/>
      <c r="BR675" s="168"/>
      <c r="BS675" s="135"/>
      <c r="BT675" s="168"/>
      <c r="BU675" s="167"/>
      <c r="BV675" s="168"/>
      <c r="BW675" s="167"/>
      <c r="BX675" s="168"/>
      <c r="BY675" s="167"/>
      <c r="BZ675" s="168"/>
      <c r="CA675" s="167"/>
      <c r="CB675" s="168"/>
      <c r="CC675" s="167"/>
      <c r="CD675" s="168"/>
      <c r="CE675" s="62"/>
      <c r="CF675" s="62"/>
      <c r="CG675" s="9"/>
      <c r="CH675" s="9"/>
      <c r="CI675" s="9"/>
      <c r="CJ675" s="9"/>
      <c r="CK675" s="9"/>
      <c r="CL675" s="9"/>
      <c r="CM675" s="9"/>
      <c r="CN675" s="9"/>
      <c r="CO675" s="9"/>
      <c r="CP675" s="9"/>
    </row>
    <row r="676" spans="1:94" x14ac:dyDescent="0.25">
      <c r="A676" s="127" t="s">
        <v>2140</v>
      </c>
      <c r="B676" s="51" t="s">
        <v>2141</v>
      </c>
      <c r="C676" s="124"/>
      <c r="D676" s="84">
        <v>1</v>
      </c>
      <c r="E676" s="62" t="s">
        <v>2142</v>
      </c>
      <c r="F676" s="62">
        <v>4</v>
      </c>
      <c r="G676" s="62"/>
      <c r="H676" s="50">
        <f>VLOOKUP($A676,'[1]ma sp 02'!$A$5:$BD$1101,H$1,0)</f>
        <v>0.1</v>
      </c>
      <c r="I676" s="50">
        <f>VLOOKUP($A676,'[1]ma sp 02'!$A$5:$BD$1101,I$1,0)</f>
        <v>0</v>
      </c>
      <c r="J676" s="50">
        <f>VLOOKUP($A676,'[1]ma sp 02'!$A$5:$BD$1101,J$1,0)</f>
        <v>0</v>
      </c>
      <c r="K676" s="50">
        <f>VLOOKUP($A676,'[1]ma sp 02'!$A$5:$BD$1101,K$1,0)</f>
        <v>0.98599999999999999</v>
      </c>
      <c r="L676" s="50">
        <f>VLOOKUP($A676,'[1]ma sp 02'!$A$5:$BD$1101,L$1,0)</f>
        <v>0</v>
      </c>
      <c r="M676" s="50">
        <f>VLOOKUP($A676,'[1]ma sp 02'!$A$5:$BD$1101,M$1,0)</f>
        <v>1.06</v>
      </c>
      <c r="N676" s="50">
        <f>VLOOKUP($A676,'[1]ma sp 02'!$A$5:$BD$1101,N$1,0)</f>
        <v>0</v>
      </c>
      <c r="O676" s="50">
        <f>VLOOKUP($A676,'[1]ma sp 02'!$A$5:$BD$1101,O$1,0)</f>
        <v>0</v>
      </c>
      <c r="P676" s="50">
        <f>VLOOKUP($A676,'[1]ma sp 02'!$A$5:$BD$1101,P$1,0)</f>
        <v>0</v>
      </c>
      <c r="Q676" s="50">
        <f>VLOOKUP($A676,'[1]ma sp 02'!$A$5:$BD$1101,Q$1,0)</f>
        <v>0</v>
      </c>
      <c r="R676" s="50">
        <f>VLOOKUP($A676,'[1]ma sp 02'!$A$5:$BD$1101,R$1,0)</f>
        <v>0</v>
      </c>
      <c r="S676" s="50">
        <f>VLOOKUP($A676,'[1]ma sp 02'!$A$5:$BD$1101,S$1,0)</f>
        <v>1.28</v>
      </c>
      <c r="T676" s="50">
        <f>VLOOKUP($A676,'[1]ma sp 02'!$A$5:$BD$1101,T$1,0)</f>
        <v>0</v>
      </c>
      <c r="U676" s="50">
        <f>VLOOKUP($A676,'[1]ma sp 02'!$A$5:$BD$1101,U$1,0)</f>
        <v>0</v>
      </c>
      <c r="V676" s="50">
        <f>VLOOKUP($A676,'[1]ma sp 02'!$A$5:$BD$1101,V$1,0)</f>
        <v>0</v>
      </c>
      <c r="W676" s="50">
        <f>VLOOKUP($A676,'[1]ma sp 02'!$A$5:$BD$1101,W$1,0)</f>
        <v>0</v>
      </c>
      <c r="X676" s="50"/>
      <c r="Y676" s="62"/>
      <c r="Z676" s="62"/>
      <c r="AA676" s="62"/>
      <c r="AB676" s="62"/>
      <c r="AC676" s="62"/>
      <c r="AD676" s="62"/>
      <c r="AE676" s="62" t="s">
        <v>2015</v>
      </c>
      <c r="AF676" s="62"/>
      <c r="AG676" s="53">
        <f>(0.06*0.98+0.03*0.925)*1.225</f>
        <v>0.10602375000000001</v>
      </c>
      <c r="AH676" s="54">
        <f>(2/0.75/2)*1.225</f>
        <v>1.6333333333333333</v>
      </c>
      <c r="AI676" s="54"/>
      <c r="AJ676" s="62">
        <v>9530</v>
      </c>
      <c r="AK676" s="62"/>
      <c r="AL676" s="62">
        <v>2E-3</v>
      </c>
      <c r="AM676" s="61" t="s">
        <v>1489</v>
      </c>
      <c r="AN676" s="62"/>
      <c r="AO676" s="61" t="s">
        <v>1977</v>
      </c>
      <c r="AP676" s="59" t="str">
        <f>IFERROR(VLOOKUP($A676,[2]Mssp!$A$5:$BE$1463,AP$4+1,0),0)</f>
        <v>1803432-1</v>
      </c>
      <c r="AQ676" s="59" t="str">
        <f>IFERROR(VLOOKUP($A676,[2]Mssp!$A$5:$BE$1463,AQ$4+1,0),0)</f>
        <v>1803432-2</v>
      </c>
      <c r="AR676" s="59" t="str">
        <f>IFERROR(VLOOKUP($A676,[2]Mssp!$A$5:$BE$1463,AR$4+1,0),0)</f>
        <v>1803432-3</v>
      </c>
      <c r="AS676" s="59" t="str">
        <f>IFERROR(VLOOKUP($A676,[2]Mssp!$A$5:$BE$1463,AS$4+1,0),0)</f>
        <v>1803432-4</v>
      </c>
      <c r="AT676" s="59">
        <f>IFERROR(VLOOKUP($A676,[2]Mssp!$A$5:$BE$1463,AT$4+1,0),0)</f>
        <v>0</v>
      </c>
      <c r="AU676" s="59">
        <f>IFERROR(VLOOKUP($A676,[2]Mssp!$A$5:$BE$1463,AU$4+1,0),0)</f>
        <v>0</v>
      </c>
      <c r="AV676" s="59">
        <f>IFERROR(VLOOKUP($A676,[2]Mssp!$A$5:$BE$1463,AV$4+1,0),0)</f>
        <v>0</v>
      </c>
      <c r="AW676" s="59">
        <f>IFERROR(VLOOKUP($A676,[2]Mssp!$A$5:$BE$1463,AW$4+1,0),0)</f>
        <v>0</v>
      </c>
      <c r="AX676" s="59">
        <f>IFERROR(VLOOKUP($A676,[2]Mssp!$A$5:$BE$1463,AX$4+1,0),0)</f>
        <v>0</v>
      </c>
      <c r="AY676" s="59" t="str">
        <f>IFERROR(VLOOKUP($A676,[2]Mssp!$A$5:$BE$1463,AY$4+2,0),0)</f>
        <v>560x1300</v>
      </c>
      <c r="AZ676" s="59">
        <f>IFERROR(VLOOKUP($A676,[2]Mssp!$A$5:$BE$1463,AZ$4+2,0),0)</f>
        <v>0</v>
      </c>
      <c r="BA676" s="141"/>
      <c r="BB676" s="61"/>
      <c r="BC676" s="165"/>
      <c r="BD676" s="166"/>
      <c r="BE676" s="167"/>
      <c r="BF676" s="168"/>
      <c r="BG676" s="167"/>
      <c r="BH676" s="168"/>
      <c r="BI676" s="169"/>
      <c r="BJ676" s="168"/>
      <c r="BK676" s="134"/>
      <c r="BL676" s="168"/>
      <c r="BM676" s="167"/>
      <c r="BN676" s="168"/>
      <c r="BO676" s="62"/>
      <c r="BP676" s="168"/>
      <c r="BQ676" s="168"/>
      <c r="BR676" s="168"/>
      <c r="BS676" s="135"/>
      <c r="BT676" s="168"/>
      <c r="BU676" s="167"/>
      <c r="BV676" s="168"/>
      <c r="BW676" s="167"/>
      <c r="BX676" s="168"/>
      <c r="BY676" s="167"/>
      <c r="BZ676" s="168"/>
      <c r="CA676" s="167"/>
      <c r="CB676" s="168"/>
      <c r="CC676" s="167"/>
      <c r="CD676" s="168"/>
      <c r="CE676" s="62"/>
      <c r="CF676" s="62"/>
      <c r="CG676" s="9"/>
      <c r="CH676" s="9"/>
      <c r="CI676" s="9"/>
      <c r="CJ676" s="9"/>
      <c r="CK676" s="9"/>
      <c r="CL676" s="9"/>
      <c r="CM676" s="9"/>
      <c r="CN676" s="9"/>
      <c r="CO676" s="9"/>
      <c r="CP676" s="9"/>
    </row>
    <row r="677" spans="1:94" ht="45" x14ac:dyDescent="0.25">
      <c r="A677" s="173" t="s">
        <v>2143</v>
      </c>
      <c r="B677" s="174" t="s">
        <v>2144</v>
      </c>
      <c r="C677" s="62"/>
      <c r="D677" s="84">
        <v>3</v>
      </c>
      <c r="E677" s="62" t="s">
        <v>2145</v>
      </c>
      <c r="F677" s="62">
        <v>2</v>
      </c>
      <c r="G677" s="62" t="s">
        <v>530</v>
      </c>
      <c r="H677" s="50">
        <f>VLOOKUP($A677,'[1]ma sp 02'!$A$5:$BD$1101,H$1,0)</f>
        <v>0.47</v>
      </c>
      <c r="I677" s="50">
        <f>VLOOKUP($A677,'[1]ma sp 02'!$A$5:$BD$1101,I$1,0)</f>
        <v>0</v>
      </c>
      <c r="J677" s="50">
        <f>VLOOKUP($A677,'[1]ma sp 02'!$A$5:$BD$1101,J$1,0)</f>
        <v>0.23</v>
      </c>
      <c r="K677" s="50">
        <f>VLOOKUP($A677,'[1]ma sp 02'!$A$5:$BD$1101,K$1,0)</f>
        <v>0.47</v>
      </c>
      <c r="L677" s="50">
        <f>VLOOKUP($A677,'[1]ma sp 02'!$A$5:$BD$1101,L$1,0)</f>
        <v>1.43</v>
      </c>
      <c r="M677" s="50">
        <f>VLOOKUP($A677,'[1]ma sp 02'!$A$5:$BD$1101,M$1,0)</f>
        <v>0</v>
      </c>
      <c r="N677" s="50">
        <f>VLOOKUP($A677,'[1]ma sp 02'!$A$5:$BD$1101,N$1,0)</f>
        <v>0</v>
      </c>
      <c r="O677" s="50">
        <f>VLOOKUP($A677,'[1]ma sp 02'!$A$5:$BD$1101,O$1,0)</f>
        <v>0.01</v>
      </c>
      <c r="P677" s="50">
        <f>VLOOKUP($A677,'[1]ma sp 02'!$A$5:$BD$1101,P$1,0)</f>
        <v>1.79</v>
      </c>
      <c r="Q677" s="50">
        <f>VLOOKUP($A677,'[1]ma sp 02'!$A$5:$BD$1101,Q$1,0)</f>
        <v>0</v>
      </c>
      <c r="R677" s="50">
        <f>VLOOKUP($A677,'[1]ma sp 02'!$A$5:$BD$1101,R$1,0)</f>
        <v>0</v>
      </c>
      <c r="S677" s="50">
        <f>VLOOKUP($A677,'[1]ma sp 02'!$A$5:$BD$1101,S$1,0)</f>
        <v>0</v>
      </c>
      <c r="T677" s="50">
        <f>VLOOKUP($A677,'[1]ma sp 02'!$A$5:$BD$1101,T$1,0)</f>
        <v>0</v>
      </c>
      <c r="U677" s="50">
        <f>VLOOKUP($A677,'[1]ma sp 02'!$A$5:$BD$1101,U$1,0)</f>
        <v>0</v>
      </c>
      <c r="V677" s="50">
        <f>VLOOKUP($A677,'[1]ma sp 02'!$A$5:$BD$1101,V$1,0)</f>
        <v>0</v>
      </c>
      <c r="W677" s="50">
        <f>VLOOKUP($A677,'[1]ma sp 02'!$A$5:$BD$1101,W$1,0)</f>
        <v>0</v>
      </c>
      <c r="X677" s="50"/>
      <c r="Y677" s="62"/>
      <c r="Z677" s="62"/>
      <c r="AA677" s="62"/>
      <c r="AB677" s="62"/>
      <c r="AC677" s="62"/>
      <c r="AD677" s="62"/>
      <c r="AE677" s="62" t="s">
        <v>1957</v>
      </c>
      <c r="AF677" s="62" t="s">
        <v>2146</v>
      </c>
      <c r="AG677" s="53">
        <f>(0.012*1.4+0.012*1.4+0.055*0.925)*0.716</f>
        <v>6.0484099999999992E-2</v>
      </c>
      <c r="AH677" s="54">
        <f>(2.3/0.75/2)*0.716</f>
        <v>1.0978666666666665</v>
      </c>
      <c r="AI677" s="54">
        <f>(2.3/0.75/2)*0.716</f>
        <v>1.0978666666666665</v>
      </c>
      <c r="AJ677" s="62">
        <v>9530</v>
      </c>
      <c r="AK677" s="62">
        <v>9530</v>
      </c>
      <c r="AL677" s="62" t="s">
        <v>1987</v>
      </c>
      <c r="AM677" s="61" t="s">
        <v>1893</v>
      </c>
      <c r="AN677" s="62">
        <v>180</v>
      </c>
      <c r="AO677" s="61" t="s">
        <v>2078</v>
      </c>
      <c r="AP677" s="59" t="str">
        <f>IFERROR(VLOOKUP($A677,[2]Mssp!$A$5:$BE$1463,AP$4+1,0),0)</f>
        <v>20031376-1</v>
      </c>
      <c r="AQ677" s="59" t="str">
        <f>IFERROR(VLOOKUP($A677,[2]Mssp!$A$5:$BE$1463,AQ$4+1,0),0)</f>
        <v>20031376-2</v>
      </c>
      <c r="AR677" s="59">
        <f>IFERROR(VLOOKUP($A677,[2]Mssp!$A$5:$BE$1463,AR$4+1,0),0)</f>
        <v>0</v>
      </c>
      <c r="AS677" s="59">
        <f>IFERROR(VLOOKUP($A677,[2]Mssp!$A$5:$BE$1463,AS$4+1,0),0)</f>
        <v>0</v>
      </c>
      <c r="AT677" s="59">
        <f>IFERROR(VLOOKUP($A677,[2]Mssp!$A$5:$BE$1463,AT$4+1,0),0)</f>
        <v>0</v>
      </c>
      <c r="AU677" s="59">
        <f>IFERROR(VLOOKUP($A677,[2]Mssp!$A$5:$BE$1463,AU$4+1,0),0)</f>
        <v>0</v>
      </c>
      <c r="AV677" s="59">
        <f>IFERROR(VLOOKUP($A677,[2]Mssp!$A$5:$BE$1463,AV$4+1,0),0)</f>
        <v>0</v>
      </c>
      <c r="AW677" s="59">
        <f>IFERROR(VLOOKUP($A677,[2]Mssp!$A$5:$BE$1463,AW$4+1,0),0)</f>
        <v>0</v>
      </c>
      <c r="AX677" s="59">
        <f>IFERROR(VLOOKUP($A677,[2]Mssp!$A$5:$BE$1463,AX$4+1,0),0)</f>
        <v>0</v>
      </c>
      <c r="AY677" s="59" t="str">
        <f>IFERROR(VLOOKUP($A677,[2]Mssp!$A$5:$BE$1463,AY$4+2,0),0)</f>
        <v>410x870</v>
      </c>
      <c r="AZ677" s="59" t="str">
        <f>IFERROR(VLOOKUP($A677,[2]Mssp!$A$5:$BE$1463,AZ$4+2,0),0)</f>
        <v>R3</v>
      </c>
      <c r="BA677" s="141">
        <v>4000</v>
      </c>
      <c r="BB677" s="61" t="s">
        <v>1894</v>
      </c>
      <c r="BC677" s="165"/>
      <c r="BD677" s="166"/>
      <c r="BE677" s="167"/>
      <c r="BF677" s="168"/>
      <c r="BG677" s="167"/>
      <c r="BH677" s="168"/>
      <c r="BI677" s="169"/>
      <c r="BJ677" s="168"/>
      <c r="BK677" s="134"/>
      <c r="BL677" s="168"/>
      <c r="BM677" s="167"/>
      <c r="BN677" s="168"/>
      <c r="BO677" s="62"/>
      <c r="BP677" s="168"/>
      <c r="BQ677" s="168"/>
      <c r="BR677" s="168"/>
      <c r="BS677" s="135"/>
      <c r="BT677" s="168"/>
      <c r="BU677" s="167"/>
      <c r="BV677" s="168"/>
      <c r="BW677" s="167"/>
      <c r="BX677" s="168"/>
      <c r="BY677" s="167"/>
      <c r="BZ677" s="168"/>
      <c r="CA677" s="167"/>
      <c r="CB677" s="168"/>
      <c r="CC677" s="167"/>
      <c r="CD677" s="168"/>
      <c r="CE677" s="62"/>
      <c r="CF677" s="62"/>
      <c r="CG677" s="9"/>
      <c r="CH677" s="9"/>
      <c r="CI677" s="9"/>
      <c r="CJ677" s="9"/>
      <c r="CK677" s="9"/>
      <c r="CL677" s="9"/>
      <c r="CM677" s="9"/>
      <c r="CN677" s="9"/>
      <c r="CO677" s="9"/>
      <c r="CP677" s="9"/>
    </row>
    <row r="678" spans="1:94" ht="42.75" x14ac:dyDescent="0.25">
      <c r="A678" s="127" t="s">
        <v>2147</v>
      </c>
      <c r="B678" s="51" t="s">
        <v>2148</v>
      </c>
      <c r="C678" s="62"/>
      <c r="D678" s="84">
        <v>1</v>
      </c>
      <c r="E678" s="62" t="s">
        <v>2149</v>
      </c>
      <c r="F678" s="62">
        <v>1</v>
      </c>
      <c r="G678" s="62" t="s">
        <v>184</v>
      </c>
      <c r="H678" s="50">
        <f>VLOOKUP($A678,'[1]ma sp 02'!$A$5:$BD$1101,H$1,0)</f>
        <v>2.11</v>
      </c>
      <c r="I678" s="50">
        <f>VLOOKUP($A678,'[1]ma sp 02'!$A$5:$BD$1101,I$1,0)</f>
        <v>0</v>
      </c>
      <c r="J678" s="50">
        <f>VLOOKUP($A678,'[1]ma sp 02'!$A$5:$BD$1101,J$1,0)</f>
        <v>0</v>
      </c>
      <c r="K678" s="50">
        <f>VLOOKUP($A678,'[1]ma sp 02'!$A$5:$BD$1101,K$1,0)</f>
        <v>0</v>
      </c>
      <c r="L678" s="50">
        <f>VLOOKUP($A678,'[1]ma sp 02'!$A$5:$BD$1101,L$1,0)</f>
        <v>0</v>
      </c>
      <c r="M678" s="50">
        <f>VLOOKUP($A678,'[1]ma sp 02'!$A$5:$BD$1101,M$1,0)</f>
        <v>0</v>
      </c>
      <c r="N678" s="50">
        <f>VLOOKUP($A678,'[1]ma sp 02'!$A$5:$BD$1101,N$1,0)</f>
        <v>0</v>
      </c>
      <c r="O678" s="50">
        <f>VLOOKUP($A678,'[1]ma sp 02'!$A$5:$BD$1101,O$1,0)</f>
        <v>0</v>
      </c>
      <c r="P678" s="50">
        <f>VLOOKUP($A678,'[1]ma sp 02'!$A$5:$BD$1101,P$1,0)</f>
        <v>0</v>
      </c>
      <c r="Q678" s="50">
        <f>VLOOKUP($A678,'[1]ma sp 02'!$A$5:$BD$1101,Q$1,0)</f>
        <v>0</v>
      </c>
      <c r="R678" s="50">
        <f>VLOOKUP($A678,'[1]ma sp 02'!$A$5:$BD$1101,R$1,0)</f>
        <v>0</v>
      </c>
      <c r="S678" s="50">
        <f>VLOOKUP($A678,'[1]ma sp 02'!$A$5:$BD$1101,S$1,0)</f>
        <v>0</v>
      </c>
      <c r="T678" s="50">
        <f>VLOOKUP($A678,'[1]ma sp 02'!$A$5:$BD$1101,T$1,0)</f>
        <v>0</v>
      </c>
      <c r="U678" s="50">
        <f>VLOOKUP($A678,'[1]ma sp 02'!$A$5:$BD$1101,U$1,0)</f>
        <v>0</v>
      </c>
      <c r="V678" s="50">
        <f>VLOOKUP($A678,'[1]ma sp 02'!$A$5:$BD$1101,V$1,0)</f>
        <v>0</v>
      </c>
      <c r="W678" s="50">
        <f>VLOOKUP($A678,'[1]ma sp 02'!$A$5:$BD$1101,W$1,0)</f>
        <v>0</v>
      </c>
      <c r="X678" s="50"/>
      <c r="Y678" s="62"/>
      <c r="Z678" s="62"/>
      <c r="AA678" s="62"/>
      <c r="AB678" s="62"/>
      <c r="AC678" s="62"/>
      <c r="AD678" s="62"/>
      <c r="AE678" s="62"/>
      <c r="AF678" s="62"/>
      <c r="AG678" s="53"/>
      <c r="AH678" s="54"/>
      <c r="AI678" s="54"/>
      <c r="AJ678" s="62"/>
      <c r="AK678" s="62"/>
      <c r="AL678" s="62"/>
      <c r="AM678" s="61"/>
      <c r="AN678" s="62"/>
      <c r="AO678" s="61" t="s">
        <v>2150</v>
      </c>
      <c r="AP678" s="59" t="str">
        <f>IFERROR(VLOOKUP($A678,[2]Mssp!$A$5:$BE$1463,AP$4+1,0),0)</f>
        <v>1903096-1</v>
      </c>
      <c r="AQ678" s="59">
        <f>IFERROR(VLOOKUP($A678,[2]Mssp!$A$5:$BE$1463,AQ$4+1,0),0)</f>
        <v>0</v>
      </c>
      <c r="AR678" s="59">
        <f>IFERROR(VLOOKUP($A678,[2]Mssp!$A$5:$BE$1463,AR$4+1,0),0)</f>
        <v>0</v>
      </c>
      <c r="AS678" s="59">
        <f>IFERROR(VLOOKUP($A678,[2]Mssp!$A$5:$BE$1463,AS$4+1,0),0)</f>
        <v>0</v>
      </c>
      <c r="AT678" s="59">
        <f>IFERROR(VLOOKUP($A678,[2]Mssp!$A$5:$BE$1463,AT$4+1,0),0)</f>
        <v>0</v>
      </c>
      <c r="AU678" s="59">
        <f>IFERROR(VLOOKUP($A678,[2]Mssp!$A$5:$BE$1463,AU$4+1,0),0)</f>
        <v>0</v>
      </c>
      <c r="AV678" s="59">
        <f>IFERROR(VLOOKUP($A678,[2]Mssp!$A$5:$BE$1463,AV$4+1,0),0)</f>
        <v>0</v>
      </c>
      <c r="AW678" s="59">
        <f>IFERROR(VLOOKUP($A678,[2]Mssp!$A$5:$BE$1463,AW$4+1,0),0)</f>
        <v>0</v>
      </c>
      <c r="AX678" s="59">
        <f>IFERROR(VLOOKUP($A678,[2]Mssp!$A$5:$BE$1463,AX$4+1,0),0)</f>
        <v>0</v>
      </c>
      <c r="AY678" s="59" t="str">
        <f>IFERROR(VLOOKUP($A678,[2]Mssp!$A$5:$BE$1463,AY$4+2,0),0)</f>
        <v>600x1320</v>
      </c>
      <c r="AZ678" s="59" t="str">
        <f>IFERROR(VLOOKUP($A678,[2]Mssp!$A$5:$BE$1463,AZ$4+2,0),0)</f>
        <v>R3</v>
      </c>
      <c r="BA678" s="141"/>
      <c r="BB678" s="61"/>
      <c r="BC678" s="165" t="s">
        <v>1615</v>
      </c>
      <c r="BD678" s="166">
        <f>+(89-9.5)%</f>
        <v>0.79500000000000004</v>
      </c>
      <c r="BE678" s="167" t="s">
        <v>1616</v>
      </c>
      <c r="BF678" s="168">
        <f>+(10+10)%</f>
        <v>0.2</v>
      </c>
      <c r="BG678" s="167" t="s">
        <v>1617</v>
      </c>
      <c r="BH678" s="168">
        <f>+(1-0.5)%</f>
        <v>5.0000000000000001E-3</v>
      </c>
      <c r="BI678" s="169"/>
      <c r="BJ678" s="168">
        <v>0</v>
      </c>
      <c r="BK678" s="134" t="s">
        <v>2151</v>
      </c>
      <c r="BL678" s="168">
        <f>+(90-10)%</f>
        <v>0.8</v>
      </c>
      <c r="BM678" s="167" t="s">
        <v>2152</v>
      </c>
      <c r="BN678" s="168">
        <f>+(10+10)%</f>
        <v>0.2</v>
      </c>
      <c r="BO678" s="62"/>
      <c r="BP678" s="168"/>
      <c r="BQ678" s="168"/>
      <c r="BR678" s="168"/>
      <c r="BS678" s="135" t="s">
        <v>1615</v>
      </c>
      <c r="BT678" s="176">
        <f>+(87-7.5-2)%</f>
        <v>0.77500000000000002</v>
      </c>
      <c r="BU678" s="167" t="s">
        <v>1616</v>
      </c>
      <c r="BV678" s="168">
        <f>+(10+10)%</f>
        <v>0.2</v>
      </c>
      <c r="BW678" s="167" t="s">
        <v>2153</v>
      </c>
      <c r="BX678" s="168"/>
      <c r="BY678" s="167" t="s">
        <v>1617</v>
      </c>
      <c r="BZ678" s="176">
        <f>+(1-0.5)%</f>
        <v>5.0000000000000001E-3</v>
      </c>
      <c r="CA678" s="167" t="s">
        <v>1621</v>
      </c>
      <c r="CB678" s="168">
        <v>0.02</v>
      </c>
      <c r="CC678" s="167"/>
      <c r="CD678" s="168"/>
      <c r="CE678" s="62"/>
      <c r="CF678" s="62"/>
      <c r="CG678" s="9"/>
      <c r="CH678" s="9"/>
      <c r="CI678" s="9"/>
      <c r="CJ678" s="9"/>
      <c r="CK678" s="9"/>
      <c r="CL678" s="9"/>
      <c r="CM678" s="9"/>
      <c r="CN678" s="9"/>
      <c r="CO678" s="9"/>
      <c r="CP678" s="9"/>
    </row>
    <row r="679" spans="1:94" ht="45" x14ac:dyDescent="0.25">
      <c r="A679" s="127" t="s">
        <v>2154</v>
      </c>
      <c r="B679" s="51" t="s">
        <v>2155</v>
      </c>
      <c r="C679" s="62"/>
      <c r="D679" s="84">
        <v>1</v>
      </c>
      <c r="E679" s="62" t="s">
        <v>2156</v>
      </c>
      <c r="F679" s="62">
        <v>8</v>
      </c>
      <c r="G679" s="62"/>
      <c r="H679" s="50">
        <f>VLOOKUP($A679,'[1]ma sp 02'!$A$5:$BD$1101,H$1,0)</f>
        <v>2.42</v>
      </c>
      <c r="I679" s="50">
        <f>VLOOKUP($A679,'[1]ma sp 02'!$A$5:$BD$1101,I$1,0)</f>
        <v>0.72899999999999998</v>
      </c>
      <c r="J679" s="50">
        <f>VLOOKUP($A679,'[1]ma sp 02'!$A$5:$BD$1101,J$1,0)</f>
        <v>0.01</v>
      </c>
      <c r="K679" s="50">
        <f>VLOOKUP($A679,'[1]ma sp 02'!$A$5:$BD$1101,K$1,0)</f>
        <v>1.0900000000000001</v>
      </c>
      <c r="L679" s="50">
        <f>VLOOKUP($A679,'[1]ma sp 02'!$A$5:$BD$1101,L$1,0)</f>
        <v>1.21</v>
      </c>
      <c r="M679" s="50">
        <f>VLOOKUP($A679,'[1]ma sp 02'!$A$5:$BD$1101,M$1,0)</f>
        <v>2.42</v>
      </c>
      <c r="N679" s="50">
        <f>VLOOKUP($A679,'[1]ma sp 02'!$A$5:$BD$1101,N$1,0)</f>
        <v>0</v>
      </c>
      <c r="O679" s="50">
        <f>VLOOKUP($A679,'[1]ma sp 02'!$A$5:$BD$1101,O$1,0)</f>
        <v>0</v>
      </c>
      <c r="P679" s="50">
        <f>VLOOKUP($A679,'[1]ma sp 02'!$A$5:$BD$1101,P$1,0)</f>
        <v>0</v>
      </c>
      <c r="Q679" s="50">
        <f>VLOOKUP($A679,'[1]ma sp 02'!$A$5:$BD$1101,Q$1,0)</f>
        <v>0.66</v>
      </c>
      <c r="R679" s="50">
        <f>VLOOKUP($A679,'[1]ma sp 02'!$A$5:$BD$1101,R$1,0)</f>
        <v>0</v>
      </c>
      <c r="S679" s="50">
        <f>VLOOKUP($A679,'[1]ma sp 02'!$A$5:$BD$1101,S$1,0)</f>
        <v>0</v>
      </c>
      <c r="T679" s="50">
        <f>VLOOKUP($A679,'[1]ma sp 02'!$A$5:$BD$1101,T$1,0)</f>
        <v>0.01</v>
      </c>
      <c r="U679" s="50">
        <f>VLOOKUP($A679,'[1]ma sp 02'!$A$5:$BD$1101,U$1,0)</f>
        <v>0</v>
      </c>
      <c r="V679" s="50">
        <f>VLOOKUP($A679,'[1]ma sp 02'!$A$5:$BD$1101,V$1,0)</f>
        <v>0</v>
      </c>
      <c r="W679" s="50">
        <f>VLOOKUP($A679,'[1]ma sp 02'!$A$5:$BD$1101,W$1,0)</f>
        <v>0</v>
      </c>
      <c r="X679" s="50"/>
      <c r="Y679" s="62"/>
      <c r="Z679" s="62"/>
      <c r="AA679" s="62"/>
      <c r="AB679" s="62"/>
      <c r="AC679" s="62"/>
      <c r="AD679" s="62"/>
      <c r="AE679" s="62" t="s">
        <v>2157</v>
      </c>
      <c r="AF679" s="62"/>
      <c r="AG679" s="53">
        <f>(0.015*1.15+0.11*0.925)*0.7</f>
        <v>8.3299999999999999E-2</v>
      </c>
      <c r="AH679" s="54">
        <f>(3/0.75/2)*0.69</f>
        <v>1.38</v>
      </c>
      <c r="AI679" s="54"/>
      <c r="AJ679" s="62">
        <v>9530</v>
      </c>
      <c r="AK679" s="62"/>
      <c r="AL679" s="62">
        <v>3.0000000000000001E-3</v>
      </c>
      <c r="AM679" s="61" t="s">
        <v>128</v>
      </c>
      <c r="AN679" s="62"/>
      <c r="AO679" s="61" t="s">
        <v>2158</v>
      </c>
      <c r="AP679" s="59" t="str">
        <f>IFERROR(VLOOKUP($A679,[2]Mssp!$A$5:$BE$1463,AP$4+1,0),0)</f>
        <v>20040180-1</v>
      </c>
      <c r="AQ679" s="59" t="str">
        <f>IFERROR(VLOOKUP($A679,[2]Mssp!$A$5:$BE$1463,AQ$4+1,0),0)</f>
        <v>20040180-2</v>
      </c>
      <c r="AR679" s="59" t="str">
        <f>IFERROR(VLOOKUP($A679,[2]Mssp!$A$5:$BE$1463,AR$4+1,0),0)</f>
        <v>20040180-3</v>
      </c>
      <c r="AS679" s="59" t="str">
        <f>IFERROR(VLOOKUP($A679,[2]Mssp!$A$5:$BE$1463,AS$4+1,0),0)</f>
        <v>20040180-4</v>
      </c>
      <c r="AT679" s="59" t="str">
        <f>IFERROR(VLOOKUP($A679,[2]Mssp!$A$5:$BE$1463,AT$4+1,0),0)</f>
        <v>20040180-5</v>
      </c>
      <c r="AU679" s="59" t="str">
        <f>IFERROR(VLOOKUP($A679,[2]Mssp!$A$5:$BE$1463,AU$4+1,0),0)</f>
        <v>20040180-6</v>
      </c>
      <c r="AV679" s="59" t="str">
        <f>IFERROR(VLOOKUP($A679,[2]Mssp!$A$5:$BE$1463,AV$4+1,0),0)</f>
        <v>20040180-7</v>
      </c>
      <c r="AW679" s="59" t="str">
        <f>IFERROR(VLOOKUP($A679,[2]Mssp!$A$5:$BE$1463,AW$4+1,0),0)</f>
        <v>20040180-8</v>
      </c>
      <c r="AX679" s="59">
        <f>IFERROR(VLOOKUP($A679,[2]Mssp!$A$5:$BE$1463,AX$4+1,0),0)</f>
        <v>0</v>
      </c>
      <c r="AY679" s="59" t="str">
        <f>IFERROR(VLOOKUP($A679,[2]Mssp!$A$5:$BE$1463,AY$4+2,0),0)</f>
        <v>460x870</v>
      </c>
      <c r="AZ679" s="59" t="str">
        <f>IFERROR(VLOOKUP($A679,[2]Mssp!$A$5:$BE$1463,AZ$4+2,0),0)</f>
        <v>R3</v>
      </c>
      <c r="BA679" s="141"/>
      <c r="BB679" s="61"/>
      <c r="BC679" s="165"/>
      <c r="BD679" s="166"/>
      <c r="BE679" s="167"/>
      <c r="BF679" s="168"/>
      <c r="BG679" s="167"/>
      <c r="BH679" s="168"/>
      <c r="BI679" s="169"/>
      <c r="BJ679" s="168"/>
      <c r="BK679" s="134"/>
      <c r="BL679" s="168"/>
      <c r="BM679" s="167"/>
      <c r="BN679" s="168"/>
      <c r="BO679" s="62"/>
      <c r="BP679" s="168"/>
      <c r="BQ679" s="168"/>
      <c r="BR679" s="168"/>
      <c r="BS679" s="135"/>
      <c r="BT679" s="176"/>
      <c r="BU679" s="167"/>
      <c r="BV679" s="168"/>
      <c r="BW679" s="167"/>
      <c r="BX679" s="168"/>
      <c r="BY679" s="167"/>
      <c r="BZ679" s="176"/>
      <c r="CA679" s="167"/>
      <c r="CB679" s="168"/>
      <c r="CC679" s="167"/>
      <c r="CD679" s="168"/>
      <c r="CE679" s="62"/>
      <c r="CF679" s="62"/>
      <c r="CG679" s="9"/>
      <c r="CH679" s="9"/>
      <c r="CI679" s="9"/>
      <c r="CJ679" s="9"/>
      <c r="CK679" s="9"/>
      <c r="CL679" s="9"/>
      <c r="CM679" s="9"/>
      <c r="CN679" s="9"/>
      <c r="CO679" s="9"/>
      <c r="CP679" s="9"/>
    </row>
    <row r="680" spans="1:94" ht="30" x14ac:dyDescent="0.25">
      <c r="A680" s="127" t="s">
        <v>2159</v>
      </c>
      <c r="B680" s="51" t="s">
        <v>2160</v>
      </c>
      <c r="C680" s="62"/>
      <c r="D680" s="84">
        <v>2</v>
      </c>
      <c r="E680" s="62" t="s">
        <v>2161</v>
      </c>
      <c r="F680" s="62">
        <v>8</v>
      </c>
      <c r="G680" s="62" t="s">
        <v>184</v>
      </c>
      <c r="H680" s="50">
        <f>VLOOKUP($A680,'[1]ma sp 02'!$A$5:$BD$1101,H$1,0)</f>
        <v>3.5999999999999997E-2</v>
      </c>
      <c r="I680" s="50">
        <f>VLOOKUP($A680,'[1]ma sp 02'!$A$5:$BD$1101,I$1,0)</f>
        <v>1.38</v>
      </c>
      <c r="J680" s="50">
        <f>VLOOKUP($A680,'[1]ma sp 02'!$A$5:$BD$1101,J$1,0)</f>
        <v>7.0000000000000007E-2</v>
      </c>
      <c r="K680" s="50">
        <f>VLOOKUP($A680,'[1]ma sp 02'!$A$5:$BD$1101,K$1,0)</f>
        <v>7.0000000000000007E-2</v>
      </c>
      <c r="L680" s="50">
        <f>VLOOKUP($A680,'[1]ma sp 02'!$A$5:$BD$1101,L$1,0)</f>
        <v>0.5</v>
      </c>
      <c r="M680" s="50">
        <f>VLOOKUP($A680,'[1]ma sp 02'!$A$5:$BD$1101,M$1,0)</f>
        <v>0</v>
      </c>
      <c r="N680" s="50">
        <f>VLOOKUP($A680,'[1]ma sp 02'!$A$5:$BD$1101,N$1,0)</f>
        <v>0</v>
      </c>
      <c r="O680" s="50">
        <f>VLOOKUP($A680,'[1]ma sp 02'!$A$5:$BD$1101,O$1,0)</f>
        <v>0.12</v>
      </c>
      <c r="P680" s="50">
        <f>VLOOKUP($A680,'[1]ma sp 02'!$A$5:$BD$1101,P$1,0)</f>
        <v>0.09</v>
      </c>
      <c r="Q680" s="50">
        <f>VLOOKUP($A680,'[1]ma sp 02'!$A$5:$BD$1101,Q$1,0)</f>
        <v>0</v>
      </c>
      <c r="R680" s="50">
        <f>VLOOKUP($A680,'[1]ma sp 02'!$A$5:$BD$1101,R$1,0)</f>
        <v>0</v>
      </c>
      <c r="S680" s="50">
        <f>VLOOKUP($A680,'[1]ma sp 02'!$A$5:$BD$1101,S$1,0)</f>
        <v>0</v>
      </c>
      <c r="T680" s="50">
        <f>VLOOKUP($A680,'[1]ma sp 02'!$A$5:$BD$1101,T$1,0)</f>
        <v>3.5999999999999997E-2</v>
      </c>
      <c r="U680" s="50">
        <f>VLOOKUP($A680,'[1]ma sp 02'!$A$5:$BD$1101,U$1,0)</f>
        <v>0</v>
      </c>
      <c r="V680" s="50">
        <f>VLOOKUP($A680,'[1]ma sp 02'!$A$5:$BD$1101,V$1,0)</f>
        <v>0</v>
      </c>
      <c r="W680" s="50">
        <f>VLOOKUP($A680,'[1]ma sp 02'!$A$5:$BD$1101,W$1,0)</f>
        <v>0</v>
      </c>
      <c r="X680" s="50"/>
      <c r="Y680" s="62"/>
      <c r="Z680" s="62"/>
      <c r="AA680" s="62"/>
      <c r="AB680" s="62"/>
      <c r="AC680" s="62"/>
      <c r="AD680" s="62"/>
      <c r="AE680" s="62" t="s">
        <v>2162</v>
      </c>
      <c r="AF680" s="62"/>
      <c r="AG680" s="53">
        <f>(0.02*0.91+0.035*0.91)*0.88</f>
        <v>4.4044000000000007E-2</v>
      </c>
      <c r="AH680" s="54">
        <f>(3/0.75/2)*0.69</f>
        <v>1.38</v>
      </c>
      <c r="AI680" s="54"/>
      <c r="AJ680" s="62" t="s">
        <v>1881</v>
      </c>
      <c r="AK680" s="62"/>
      <c r="AL680" s="62">
        <v>1.2E-2</v>
      </c>
      <c r="AM680" s="61" t="s">
        <v>386</v>
      </c>
      <c r="AN680" s="62"/>
      <c r="AO680" s="61" t="s">
        <v>2163</v>
      </c>
      <c r="AP680" s="59" t="str">
        <f>IFERROR(VLOOKUP($A680,[2]Mssp!$A$5:$BE$1463,AP$4+1,0),0)</f>
        <v>X108779-1</v>
      </c>
      <c r="AQ680" s="59" t="str">
        <f>IFERROR(VLOOKUP($A680,[2]Mssp!$A$5:$BE$1463,AQ$4+1,0),0)</f>
        <v>X108779-2</v>
      </c>
      <c r="AR680" s="59" t="str">
        <f>IFERROR(VLOOKUP($A680,[2]Mssp!$A$5:$BE$1463,AR$4+1,0),0)</f>
        <v>X108779-3</v>
      </c>
      <c r="AS680" s="59" t="str">
        <f>IFERROR(VLOOKUP($A680,[2]Mssp!$A$5:$BE$1463,AS$4+1,0),0)</f>
        <v>X108779-4</v>
      </c>
      <c r="AT680" s="59" t="str">
        <f>IFERROR(VLOOKUP($A680,[2]Mssp!$A$5:$BE$1463,AT$4+1,0),0)</f>
        <v>X108779-5</v>
      </c>
      <c r="AU680" s="59" t="str">
        <f>IFERROR(VLOOKUP($A680,[2]Mssp!$A$5:$BE$1463,AU$4+1,0),0)</f>
        <v>X108779-6</v>
      </c>
      <c r="AV680" s="59" t="str">
        <f>IFERROR(VLOOKUP($A680,[2]Mssp!$A$5:$BE$1463,AV$4+1,0),0)</f>
        <v>X108779-7</v>
      </c>
      <c r="AW680" s="59" t="str">
        <f>IFERROR(VLOOKUP($A680,[2]Mssp!$A$5:$BE$1463,AW$4+1,0),0)</f>
        <v>X108779-8</v>
      </c>
      <c r="AX680" s="59">
        <f>IFERROR(VLOOKUP($A680,[2]Mssp!$A$5:$BE$1463,AX$4+1,0),0)</f>
        <v>0</v>
      </c>
      <c r="AY680" s="59" t="str">
        <f>IFERROR(VLOOKUP($A680,[2]Mssp!$A$5:$BE$1463,AY$4+2,0),0)</f>
        <v>1100x600</v>
      </c>
      <c r="AZ680" s="59" t="str">
        <f>IFERROR(VLOOKUP($A680,[2]Mssp!$A$5:$BE$1463,AZ$4+2,0),0)</f>
        <v>R3</v>
      </c>
      <c r="BA680" s="141"/>
      <c r="BB680" s="61" t="s">
        <v>1894</v>
      </c>
      <c r="BC680" s="165"/>
      <c r="BD680" s="166"/>
      <c r="BE680" s="167"/>
      <c r="BF680" s="168"/>
      <c r="BG680" s="167"/>
      <c r="BH680" s="168"/>
      <c r="BI680" s="169"/>
      <c r="BJ680" s="168"/>
      <c r="BK680" s="134"/>
      <c r="BL680" s="168"/>
      <c r="BM680" s="167"/>
      <c r="BN680" s="168"/>
      <c r="BO680" s="62"/>
      <c r="BP680" s="168"/>
      <c r="BQ680" s="168"/>
      <c r="BR680" s="168"/>
      <c r="BS680" s="135"/>
      <c r="BT680" s="176"/>
      <c r="BU680" s="167"/>
      <c r="BV680" s="168"/>
      <c r="BW680" s="167"/>
      <c r="BX680" s="168"/>
      <c r="BY680" s="167"/>
      <c r="BZ680" s="176"/>
      <c r="CA680" s="167"/>
      <c r="CB680" s="168"/>
      <c r="CC680" s="167"/>
      <c r="CD680" s="168"/>
      <c r="CE680" s="62"/>
      <c r="CF680" s="62"/>
      <c r="CG680" s="9"/>
      <c r="CH680" s="9"/>
      <c r="CI680" s="9"/>
      <c r="CJ680" s="9"/>
      <c r="CK680" s="9"/>
      <c r="CL680" s="9"/>
      <c r="CM680" s="9"/>
      <c r="CN680" s="9"/>
      <c r="CO680" s="9"/>
      <c r="CP680" s="9"/>
    </row>
    <row r="681" spans="1:94" ht="42.75" x14ac:dyDescent="0.25">
      <c r="A681" s="127" t="s">
        <v>2164</v>
      </c>
      <c r="B681" s="51" t="s">
        <v>2165</v>
      </c>
      <c r="C681" s="62"/>
      <c r="D681" s="84">
        <v>1</v>
      </c>
      <c r="E681" s="62" t="s">
        <v>2166</v>
      </c>
      <c r="F681" s="62">
        <v>1</v>
      </c>
      <c r="G681" s="62"/>
      <c r="H681" s="50">
        <f>VLOOKUP($A681,'[1]ma sp 02'!$A$5:$BD$1101,H$1,0)</f>
        <v>0</v>
      </c>
      <c r="I681" s="50">
        <f>VLOOKUP($A681,'[1]ma sp 02'!$A$5:$BD$1101,I$1,0)</f>
        <v>0</v>
      </c>
      <c r="J681" s="50">
        <f>VLOOKUP($A681,'[1]ma sp 02'!$A$5:$BD$1101,J$1,0)</f>
        <v>0</v>
      </c>
      <c r="K681" s="50">
        <f>VLOOKUP($A681,'[1]ma sp 02'!$A$5:$BD$1101,K$1,0)</f>
        <v>0</v>
      </c>
      <c r="L681" s="50">
        <f>VLOOKUP($A681,'[1]ma sp 02'!$A$5:$BD$1101,L$1,0)</f>
        <v>2.21</v>
      </c>
      <c r="M681" s="50">
        <f>VLOOKUP($A681,'[1]ma sp 02'!$A$5:$BD$1101,M$1,0)</f>
        <v>0</v>
      </c>
      <c r="N681" s="50">
        <f>VLOOKUP($A681,'[1]ma sp 02'!$A$5:$BD$1101,N$1,0)</f>
        <v>0</v>
      </c>
      <c r="O681" s="50">
        <f>VLOOKUP($A681,'[1]ma sp 02'!$A$5:$BD$1101,O$1,0)</f>
        <v>0</v>
      </c>
      <c r="P681" s="50">
        <f>VLOOKUP($A681,'[1]ma sp 02'!$A$5:$BD$1101,P$1,0)</f>
        <v>0.01</v>
      </c>
      <c r="Q681" s="50">
        <f>VLOOKUP($A681,'[1]ma sp 02'!$A$5:$BD$1101,Q$1,0)</f>
        <v>0</v>
      </c>
      <c r="R681" s="50">
        <f>VLOOKUP($A681,'[1]ma sp 02'!$A$5:$BD$1101,R$1,0)</f>
        <v>0</v>
      </c>
      <c r="S681" s="50">
        <f>VLOOKUP($A681,'[1]ma sp 02'!$A$5:$BD$1101,S$1,0)</f>
        <v>0</v>
      </c>
      <c r="T681" s="50">
        <f>VLOOKUP($A681,'[1]ma sp 02'!$A$5:$BD$1101,T$1,0)</f>
        <v>0</v>
      </c>
      <c r="U681" s="50">
        <f>VLOOKUP($A681,'[1]ma sp 02'!$A$5:$BD$1101,U$1,0)</f>
        <v>0</v>
      </c>
      <c r="V681" s="50">
        <f>VLOOKUP($A681,'[1]ma sp 02'!$A$5:$BD$1101,V$1,0)</f>
        <v>0</v>
      </c>
      <c r="W681" s="50">
        <f>VLOOKUP($A681,'[1]ma sp 02'!$A$5:$BD$1101,W$1,0)</f>
        <v>0</v>
      </c>
      <c r="X681" s="50"/>
      <c r="Y681" s="62"/>
      <c r="Z681" s="62"/>
      <c r="AA681" s="62"/>
      <c r="AB681" s="62"/>
      <c r="AC681" s="62"/>
      <c r="AD681" s="62"/>
      <c r="AE681" s="62"/>
      <c r="AF681" s="62"/>
      <c r="AG681" s="53"/>
      <c r="AH681" s="54"/>
      <c r="AI681" s="54"/>
      <c r="AJ681" s="62"/>
      <c r="AK681" s="62"/>
      <c r="AL681" s="62"/>
      <c r="AM681" s="177"/>
      <c r="AN681" s="62"/>
      <c r="AO681" s="61" t="s">
        <v>2150</v>
      </c>
      <c r="AP681" s="59" t="str">
        <f>IFERROR(VLOOKUP($A681,[2]Mssp!$A$5:$BE$1463,AP$4+1,0),0)</f>
        <v>2004179-1</v>
      </c>
      <c r="AQ681" s="59" t="str">
        <f>IFERROR(VLOOKUP($A681,[2]Mssp!$A$5:$BE$1463,AQ$4+1,0),0)</f>
        <v>20040436-1</v>
      </c>
      <c r="AR681" s="59">
        <f>IFERROR(VLOOKUP($A681,[2]Mssp!$A$5:$BE$1463,AR$4+1,0),0)</f>
        <v>0</v>
      </c>
      <c r="AS681" s="59">
        <f>IFERROR(VLOOKUP($A681,[2]Mssp!$A$5:$BE$1463,AS$4+1,0),0)</f>
        <v>0</v>
      </c>
      <c r="AT681" s="59">
        <f>IFERROR(VLOOKUP($A681,[2]Mssp!$A$5:$BE$1463,AT$4+1,0),0)</f>
        <v>0</v>
      </c>
      <c r="AU681" s="59">
        <f>IFERROR(VLOOKUP($A681,[2]Mssp!$A$5:$BE$1463,AU$4+1,0),0)</f>
        <v>0</v>
      </c>
      <c r="AV681" s="59">
        <f>IFERROR(VLOOKUP($A681,[2]Mssp!$A$5:$BE$1463,AV$4+1,0),0)</f>
        <v>0</v>
      </c>
      <c r="AW681" s="59">
        <f>IFERROR(VLOOKUP($A681,[2]Mssp!$A$5:$BE$1463,AW$4+1,0),0)</f>
        <v>0</v>
      </c>
      <c r="AX681" s="59">
        <f>IFERROR(VLOOKUP($A681,[2]Mssp!$A$5:$BE$1463,AX$4+1,0),0)</f>
        <v>0</v>
      </c>
      <c r="AY681" s="59" t="str">
        <f>IFERROR(VLOOKUP($A681,[2]Mssp!$A$5:$BE$1463,AY$4+2,0),0)</f>
        <v>500x1300</v>
      </c>
      <c r="AZ681" s="59" t="str">
        <f>IFERROR(VLOOKUP($A681,[2]Mssp!$A$5:$BE$1463,AZ$4+2,0),0)</f>
        <v>R3</v>
      </c>
      <c r="BA681" s="141"/>
      <c r="BB681" s="61"/>
      <c r="BC681" s="165" t="s">
        <v>1615</v>
      </c>
      <c r="BD681" s="166">
        <f>+(89-9.5)%</f>
        <v>0.79500000000000004</v>
      </c>
      <c r="BE681" s="167" t="s">
        <v>1616</v>
      </c>
      <c r="BF681" s="168">
        <f>+(10+10)%</f>
        <v>0.2</v>
      </c>
      <c r="BG681" s="167" t="s">
        <v>1617</v>
      </c>
      <c r="BH681" s="168">
        <f>+(1-0.5)%</f>
        <v>5.0000000000000001E-3</v>
      </c>
      <c r="BI681" s="169"/>
      <c r="BJ681" s="168">
        <v>0</v>
      </c>
      <c r="BK681" s="134" t="s">
        <v>2151</v>
      </c>
      <c r="BL681" s="168">
        <f>+(90-10)%</f>
        <v>0.8</v>
      </c>
      <c r="BM681" s="167" t="s">
        <v>2152</v>
      </c>
      <c r="BN681" s="168">
        <f>+(10+10)%</f>
        <v>0.2</v>
      </c>
      <c r="BO681" s="62"/>
      <c r="BP681" s="168"/>
      <c r="BQ681" s="168"/>
      <c r="BR681" s="168"/>
      <c r="BS681" s="135" t="s">
        <v>1615</v>
      </c>
      <c r="BT681" s="176">
        <f>+(87-7.5-2)%</f>
        <v>0.77500000000000002</v>
      </c>
      <c r="BU681" s="167" t="s">
        <v>1616</v>
      </c>
      <c r="BV681" s="168">
        <f>+(10+10)%</f>
        <v>0.2</v>
      </c>
      <c r="BW681" s="167" t="s">
        <v>2153</v>
      </c>
      <c r="BX681" s="168"/>
      <c r="BY681" s="167" t="s">
        <v>1617</v>
      </c>
      <c r="BZ681" s="176">
        <f>+(1-0.5)%</f>
        <v>5.0000000000000001E-3</v>
      </c>
      <c r="CA681" s="167" t="s">
        <v>1621</v>
      </c>
      <c r="CB681" s="168">
        <v>0.02</v>
      </c>
      <c r="CC681" s="167"/>
      <c r="CD681" s="168"/>
      <c r="CE681" s="62"/>
      <c r="CF681" s="62"/>
      <c r="CG681" s="9"/>
      <c r="CH681" s="9"/>
      <c r="CI681" s="9"/>
      <c r="CJ681" s="9"/>
      <c r="CK681" s="9"/>
      <c r="CL681" s="9"/>
      <c r="CM681" s="9"/>
      <c r="CN681" s="9"/>
      <c r="CO681" s="9"/>
      <c r="CP681" s="9"/>
    </row>
    <row r="682" spans="1:94" ht="30" x14ac:dyDescent="0.25">
      <c r="A682" s="127" t="s">
        <v>2167</v>
      </c>
      <c r="B682" s="51" t="s">
        <v>2168</v>
      </c>
      <c r="C682" s="62"/>
      <c r="D682" s="84">
        <v>2</v>
      </c>
      <c r="E682" s="62" t="s">
        <v>2046</v>
      </c>
      <c r="F682" s="62">
        <v>2</v>
      </c>
      <c r="G682" s="62"/>
      <c r="H682" s="50">
        <f>VLOOKUP($A682,'[1]ma sp 02'!$A$5:$BD$1101,H$1,0)</f>
        <v>0.01</v>
      </c>
      <c r="I682" s="50">
        <f>VLOOKUP($A682,'[1]ma sp 02'!$A$5:$BD$1101,I$1,0)</f>
        <v>0</v>
      </c>
      <c r="J682" s="50">
        <f>VLOOKUP($A682,'[1]ma sp 02'!$A$5:$BD$1101,J$1,0)</f>
        <v>0</v>
      </c>
      <c r="K682" s="50">
        <f>VLOOKUP($A682,'[1]ma sp 02'!$A$5:$BD$1101,K$1,0)</f>
        <v>0</v>
      </c>
      <c r="L682" s="50">
        <f>VLOOKUP($A682,'[1]ma sp 02'!$A$5:$BD$1101,L$1,0)</f>
        <v>2.1</v>
      </c>
      <c r="M682" s="50">
        <f>VLOOKUP($A682,'[1]ma sp 02'!$A$5:$BD$1101,M$1,0)</f>
        <v>0.44</v>
      </c>
      <c r="N682" s="50">
        <f>VLOOKUP($A682,'[1]ma sp 02'!$A$5:$BD$1101,N$1,0)</f>
        <v>0</v>
      </c>
      <c r="O682" s="50">
        <f>VLOOKUP($A682,'[1]ma sp 02'!$A$5:$BD$1101,O$1,0)</f>
        <v>0</v>
      </c>
      <c r="P682" s="50">
        <f>VLOOKUP($A682,'[1]ma sp 02'!$A$5:$BD$1101,P$1,0)</f>
        <v>0.05</v>
      </c>
      <c r="Q682" s="50">
        <f>VLOOKUP($A682,'[1]ma sp 02'!$A$5:$BD$1101,Q$1,0)</f>
        <v>0.33</v>
      </c>
      <c r="R682" s="50">
        <f>VLOOKUP($A682,'[1]ma sp 02'!$A$5:$BD$1101,R$1,0)</f>
        <v>0</v>
      </c>
      <c r="S682" s="50">
        <f>VLOOKUP($A682,'[1]ma sp 02'!$A$5:$BD$1101,S$1,0)</f>
        <v>0</v>
      </c>
      <c r="T682" s="50">
        <f>VLOOKUP($A682,'[1]ma sp 02'!$A$5:$BD$1101,T$1,0)</f>
        <v>0</v>
      </c>
      <c r="U682" s="50">
        <f>VLOOKUP($A682,'[1]ma sp 02'!$A$5:$BD$1101,U$1,0)</f>
        <v>0</v>
      </c>
      <c r="V682" s="50">
        <f>VLOOKUP($A682,'[1]ma sp 02'!$A$5:$BD$1101,V$1,0)</f>
        <v>0</v>
      </c>
      <c r="W682" s="50">
        <f>VLOOKUP($A682,'[1]ma sp 02'!$A$5:$BD$1101,W$1,0)</f>
        <v>0</v>
      </c>
      <c r="X682" s="50"/>
      <c r="Y682" s="62"/>
      <c r="Z682" s="62"/>
      <c r="AA682" s="62"/>
      <c r="AB682" s="62"/>
      <c r="AC682" s="62"/>
      <c r="AD682" s="62"/>
      <c r="AE682" s="62" t="s">
        <v>2169</v>
      </c>
      <c r="AF682" s="62"/>
      <c r="AG682" s="53"/>
      <c r="AH682" s="54"/>
      <c r="AI682" s="54"/>
      <c r="AJ682" s="62">
        <v>9530</v>
      </c>
      <c r="AK682" s="62"/>
      <c r="AL682" s="62">
        <v>2E-3</v>
      </c>
      <c r="AM682" s="69" t="s">
        <v>2170</v>
      </c>
      <c r="AN682" s="62"/>
      <c r="AO682" s="61" t="s">
        <v>2150</v>
      </c>
      <c r="AP682" s="59" t="str">
        <f>IFERROR(VLOOKUP($A682,[2]Mssp!$A$5:$BE$1463,AP$4+1,0),0)</f>
        <v>2004097-1</v>
      </c>
      <c r="AQ682" s="59" t="str">
        <f>IFERROR(VLOOKUP($A682,[2]Mssp!$A$5:$BE$1463,AQ$4+1,0),0)</f>
        <v>2004097-2</v>
      </c>
      <c r="AR682" s="59">
        <f>IFERROR(VLOOKUP($A682,[2]Mssp!$A$5:$BE$1463,AR$4+1,0),0)</f>
        <v>0</v>
      </c>
      <c r="AS682" s="59">
        <f>IFERROR(VLOOKUP($A682,[2]Mssp!$A$5:$BE$1463,AS$4+1,0),0)</f>
        <v>0</v>
      </c>
      <c r="AT682" s="59">
        <f>IFERROR(VLOOKUP($A682,[2]Mssp!$A$5:$BE$1463,AT$4+1,0),0)</f>
        <v>0</v>
      </c>
      <c r="AU682" s="59">
        <f>IFERROR(VLOOKUP($A682,[2]Mssp!$A$5:$BE$1463,AU$4+1,0),0)</f>
        <v>0</v>
      </c>
      <c r="AV682" s="59">
        <f>IFERROR(VLOOKUP($A682,[2]Mssp!$A$5:$BE$1463,AV$4+1,0),0)</f>
        <v>0</v>
      </c>
      <c r="AW682" s="59">
        <f>IFERROR(VLOOKUP($A682,[2]Mssp!$A$5:$BE$1463,AW$4+1,0),0)</f>
        <v>0</v>
      </c>
      <c r="AX682" s="59">
        <f>IFERROR(VLOOKUP($A682,[2]Mssp!$A$5:$BE$1463,AX$4+1,0),0)</f>
        <v>0</v>
      </c>
      <c r="AY682" s="59" t="str">
        <f>IFERROR(VLOOKUP($A682,[2]Mssp!$A$5:$BE$1463,AY$4+2,0),0)</f>
        <v>440x1310</v>
      </c>
      <c r="AZ682" s="59" t="str">
        <f>IFERROR(VLOOKUP($A682,[2]Mssp!$A$5:$BE$1463,AZ$4+2,0),0)</f>
        <v>R3</v>
      </c>
      <c r="BA682" s="141"/>
      <c r="BB682" s="61"/>
      <c r="BC682" s="165"/>
      <c r="BD682" s="166"/>
      <c r="BE682" s="167"/>
      <c r="BF682" s="168"/>
      <c r="BG682" s="167"/>
      <c r="BH682" s="168"/>
      <c r="BI682" s="169"/>
      <c r="BJ682" s="168"/>
      <c r="BK682" s="134"/>
      <c r="BL682" s="168"/>
      <c r="BM682" s="167"/>
      <c r="BN682" s="168"/>
      <c r="BO682" s="62"/>
      <c r="BP682" s="168"/>
      <c r="BQ682" s="168"/>
      <c r="BR682" s="168"/>
      <c r="BS682" s="135"/>
      <c r="BT682" s="176"/>
      <c r="BU682" s="167"/>
      <c r="BV682" s="168"/>
      <c r="BW682" s="167"/>
      <c r="BX682" s="168"/>
      <c r="BY682" s="167"/>
      <c r="BZ682" s="176"/>
      <c r="CA682" s="167"/>
      <c r="CB682" s="168"/>
      <c r="CC682" s="167"/>
      <c r="CD682" s="168"/>
      <c r="CE682" s="62"/>
      <c r="CF682" s="62"/>
      <c r="CG682" s="9"/>
      <c r="CH682" s="9"/>
      <c r="CI682" s="9"/>
      <c r="CJ682" s="9"/>
      <c r="CK682" s="9"/>
      <c r="CL682" s="9"/>
      <c r="CM682" s="9"/>
      <c r="CN682" s="9"/>
      <c r="CO682" s="9"/>
      <c r="CP682" s="9"/>
    </row>
    <row r="683" spans="1:94" ht="30" x14ac:dyDescent="0.25">
      <c r="A683" s="127" t="s">
        <v>2171</v>
      </c>
      <c r="B683" s="51" t="s">
        <v>2172</v>
      </c>
      <c r="C683" s="62"/>
      <c r="D683" s="84">
        <v>3</v>
      </c>
      <c r="E683" s="62" t="s">
        <v>841</v>
      </c>
      <c r="F683" s="62">
        <v>7</v>
      </c>
      <c r="G683" s="62" t="s">
        <v>184</v>
      </c>
      <c r="H683" s="50">
        <f>VLOOKUP($A683,'[1]ma sp 02'!$A$5:$BD$1101,H$1,0)</f>
        <v>0.38</v>
      </c>
      <c r="I683" s="50">
        <f>VLOOKUP($A683,'[1]ma sp 02'!$A$5:$BD$1101,I$1,0)</f>
        <v>2.97</v>
      </c>
      <c r="J683" s="50">
        <f>VLOOKUP($A683,'[1]ma sp 02'!$A$5:$BD$1101,J$1,0)</f>
        <v>0.59</v>
      </c>
      <c r="K683" s="50">
        <f>VLOOKUP($A683,'[1]ma sp 02'!$A$5:$BD$1101,K$1,0)</f>
        <v>0.1</v>
      </c>
      <c r="L683" s="50">
        <f>VLOOKUP($A683,'[1]ma sp 02'!$A$5:$BD$1101,L$1,0)</f>
        <v>0.66</v>
      </c>
      <c r="M683" s="50">
        <f>VLOOKUP($A683,'[1]ma sp 02'!$A$5:$BD$1101,M$1,0)</f>
        <v>0.77</v>
      </c>
      <c r="N683" s="50">
        <f>VLOOKUP($A683,'[1]ma sp 02'!$A$5:$BD$1101,N$1,0)</f>
        <v>0</v>
      </c>
      <c r="O683" s="50">
        <f>VLOOKUP($A683,'[1]ma sp 02'!$A$5:$BD$1101,O$1,0)</f>
        <v>0.03</v>
      </c>
      <c r="P683" s="50">
        <f>VLOOKUP($A683,'[1]ma sp 02'!$A$5:$BD$1101,P$1,0)</f>
        <v>0.03</v>
      </c>
      <c r="Q683" s="50">
        <f>VLOOKUP($A683,'[1]ma sp 02'!$A$5:$BD$1101,Q$1,0)</f>
        <v>0.49</v>
      </c>
      <c r="R683" s="50">
        <f>VLOOKUP($A683,'[1]ma sp 02'!$A$5:$BD$1101,R$1,0)</f>
        <v>0.01</v>
      </c>
      <c r="S683" s="50">
        <f>VLOOKUP($A683,'[1]ma sp 02'!$A$5:$BD$1101,S$1,0)</f>
        <v>0</v>
      </c>
      <c r="T683" s="50">
        <f>VLOOKUP($A683,'[1]ma sp 02'!$A$5:$BD$1101,T$1,0)</f>
        <v>0</v>
      </c>
      <c r="U683" s="50">
        <f>VLOOKUP($A683,'[1]ma sp 02'!$A$5:$BD$1101,U$1,0)</f>
        <v>0</v>
      </c>
      <c r="V683" s="50">
        <f>VLOOKUP($A683,'[1]ma sp 02'!$A$5:$BD$1101,V$1,0)</f>
        <v>0</v>
      </c>
      <c r="W683" s="50">
        <f>VLOOKUP($A683,'[1]ma sp 02'!$A$5:$BD$1101,W$1,0)</f>
        <v>0</v>
      </c>
      <c r="X683" s="50"/>
      <c r="Y683" s="62"/>
      <c r="Z683" s="62"/>
      <c r="AA683" s="62"/>
      <c r="AB683" s="62"/>
      <c r="AC683" s="62"/>
      <c r="AD683" s="62"/>
      <c r="AE683" s="62" t="s">
        <v>1593</v>
      </c>
      <c r="AF683" s="62" t="s">
        <v>321</v>
      </c>
      <c r="AG683" s="53">
        <f>(0.02*0.91+0.012*1.4+0.085*0.925)*0.74</f>
        <v>8.4082500000000018E-2</v>
      </c>
      <c r="AH683" s="54">
        <f>(2.3/0.75/2)*0.73</f>
        <v>1.1193333333333333</v>
      </c>
      <c r="AI683" s="54">
        <f>(3/0.75/2)*0.73</f>
        <v>1.46</v>
      </c>
      <c r="AJ683" s="9">
        <v>9530</v>
      </c>
      <c r="AK683" s="125">
        <v>9530</v>
      </c>
      <c r="AL683" s="125" t="s">
        <v>1987</v>
      </c>
      <c r="AM683" s="61" t="s">
        <v>74</v>
      </c>
      <c r="AN683" s="62">
        <v>180</v>
      </c>
      <c r="AO683" s="61" t="s">
        <v>2173</v>
      </c>
      <c r="AP683" s="59" t="str">
        <f>IFERROR(VLOOKUP($A683,[2]Mssp!$A$5:$BE$1463,AP$4+1,0),0)</f>
        <v>20110209-1</v>
      </c>
      <c r="AQ683" s="59" t="str">
        <f>IFERROR(VLOOKUP($A683,[2]Mssp!$A$5:$BE$1463,AQ$4+1,0),0)</f>
        <v>20110209-2</v>
      </c>
      <c r="AR683" s="59" t="str">
        <f>IFERROR(VLOOKUP($A683,[2]Mssp!$A$5:$BE$1463,AR$4+1,0),0)</f>
        <v>20110209-3</v>
      </c>
      <c r="AS683" s="59" t="str">
        <f>IFERROR(VLOOKUP($A683,[2]Mssp!$A$5:$BE$1463,AS$4+1,0),0)</f>
        <v>20110209-4</v>
      </c>
      <c r="AT683" s="59" t="str">
        <f>IFERROR(VLOOKUP($A683,[2]Mssp!$A$5:$BE$1463,AT$4+1,0),0)</f>
        <v>20110209-5</v>
      </c>
      <c r="AU683" s="59" t="str">
        <f>IFERROR(VLOOKUP($A683,[2]Mssp!$A$5:$BE$1463,AU$4+1,0),0)</f>
        <v>20110209-6</v>
      </c>
      <c r="AV683" s="59" t="str">
        <f>IFERROR(VLOOKUP($A683,[2]Mssp!$A$5:$BE$1463,AV$4+1,0),0)</f>
        <v>20110209-7</v>
      </c>
      <c r="AW683" s="59" t="str">
        <f>IFERROR(VLOOKUP($A683,[2]Mssp!$A$5:$BE$1463,AW$4+1,0),0)</f>
        <v>20110209-8</v>
      </c>
      <c r="AX683" s="59">
        <f>IFERROR(VLOOKUP($A683,[2]Mssp!$A$5:$BE$1463,AX$4+1,0),0)</f>
        <v>0</v>
      </c>
      <c r="AY683" s="59" t="str">
        <f>IFERROR(VLOOKUP($A683,[2]Mssp!$A$5:$BE$1463,AY$4+2,0),0)</f>
        <v>540x870</v>
      </c>
      <c r="AZ683" s="59" t="str">
        <f>IFERROR(VLOOKUP($A683,[2]Mssp!$A$5:$BE$1463,AZ$4+2,0),0)</f>
        <v>S1</v>
      </c>
      <c r="BA683" s="141"/>
      <c r="BB683" s="61"/>
      <c r="BC683" s="165"/>
      <c r="BD683" s="166"/>
      <c r="BE683" s="167"/>
      <c r="BF683" s="168"/>
      <c r="BG683" s="167"/>
      <c r="BH683" s="168"/>
      <c r="BI683" s="169"/>
      <c r="BJ683" s="168"/>
      <c r="BK683" s="134"/>
      <c r="BL683" s="168"/>
      <c r="BM683" s="167"/>
      <c r="BN683" s="168"/>
      <c r="BO683" s="62"/>
      <c r="BP683" s="168"/>
      <c r="BQ683" s="168"/>
      <c r="BR683" s="168"/>
      <c r="BS683" s="135"/>
      <c r="BT683" s="176"/>
      <c r="BU683" s="167"/>
      <c r="BV683" s="168"/>
      <c r="BW683" s="167"/>
      <c r="BX683" s="168"/>
      <c r="BY683" s="167"/>
      <c r="BZ683" s="176"/>
      <c r="CA683" s="167"/>
      <c r="CB683" s="168"/>
      <c r="CC683" s="167"/>
      <c r="CD683" s="168"/>
      <c r="CE683" s="62"/>
      <c r="CF683" s="62"/>
      <c r="CG683" s="9"/>
      <c r="CH683" s="9"/>
      <c r="CI683" s="9"/>
      <c r="CJ683" s="9"/>
      <c r="CK683" s="9"/>
      <c r="CL683" s="9"/>
      <c r="CM683" s="9"/>
      <c r="CN683" s="9"/>
      <c r="CO683" s="9"/>
      <c r="CP683" s="9"/>
    </row>
    <row r="684" spans="1:94" ht="30" x14ac:dyDescent="0.25">
      <c r="A684" s="127" t="s">
        <v>2174</v>
      </c>
      <c r="B684" s="51" t="s">
        <v>2175</v>
      </c>
      <c r="C684" s="62"/>
      <c r="D684" s="84">
        <v>3</v>
      </c>
      <c r="E684" s="62" t="s">
        <v>819</v>
      </c>
      <c r="F684" s="62">
        <v>7</v>
      </c>
      <c r="G684" s="62" t="s">
        <v>184</v>
      </c>
      <c r="H684" s="50">
        <f>VLOOKUP($A684,'[1]ma sp 02'!$A$5:$BD$1101,H$1,0)</f>
        <v>0.88</v>
      </c>
      <c r="I684" s="50">
        <f>VLOOKUP($A684,'[1]ma sp 02'!$A$5:$BD$1101,I$1,0)</f>
        <v>3.17</v>
      </c>
      <c r="J684" s="50">
        <f>VLOOKUP($A684,'[1]ma sp 02'!$A$5:$BD$1101,J$1,0)</f>
        <v>1.23</v>
      </c>
      <c r="K684" s="50">
        <f>VLOOKUP($A684,'[1]ma sp 02'!$A$5:$BD$1101,K$1,0)</f>
        <v>0.79</v>
      </c>
      <c r="L684" s="50">
        <f>VLOOKUP($A684,'[1]ma sp 02'!$A$5:$BD$1101,L$1,0)</f>
        <v>1.32</v>
      </c>
      <c r="M684" s="50">
        <f>VLOOKUP($A684,'[1]ma sp 02'!$A$5:$BD$1101,M$1,0)</f>
        <v>1.76</v>
      </c>
      <c r="N684" s="50">
        <f>VLOOKUP($A684,'[1]ma sp 02'!$A$5:$BD$1101,N$1,0)</f>
        <v>0</v>
      </c>
      <c r="O684" s="50">
        <f>VLOOKUP($A684,'[1]ma sp 02'!$A$5:$BD$1101,O$1,0)</f>
        <v>0.7</v>
      </c>
      <c r="P684" s="50">
        <f>VLOOKUP($A684,'[1]ma sp 02'!$A$5:$BD$1101,P$1,0)</f>
        <v>0.35</v>
      </c>
      <c r="Q684" s="50">
        <f>VLOOKUP($A684,'[1]ma sp 02'!$A$5:$BD$1101,Q$1,0)</f>
        <v>0.17</v>
      </c>
      <c r="R684" s="50">
        <f>VLOOKUP($A684,'[1]ma sp 02'!$A$5:$BD$1101,R$1,0)</f>
        <v>0</v>
      </c>
      <c r="S684" s="50">
        <f>VLOOKUP($A684,'[1]ma sp 02'!$A$5:$BD$1101,S$1,0)</f>
        <v>0</v>
      </c>
      <c r="T684" s="50">
        <f>VLOOKUP($A684,'[1]ma sp 02'!$A$5:$BD$1101,T$1,0)</f>
        <v>0</v>
      </c>
      <c r="U684" s="50">
        <f>VLOOKUP($A684,'[1]ma sp 02'!$A$5:$BD$1101,U$1,0)</f>
        <v>0</v>
      </c>
      <c r="V684" s="50">
        <f>VLOOKUP($A684,'[1]ma sp 02'!$A$5:$BD$1101,V$1,0)</f>
        <v>0</v>
      </c>
      <c r="W684" s="50">
        <f>VLOOKUP($A684,'[1]ma sp 02'!$A$5:$BD$1101,W$1,0)</f>
        <v>0</v>
      </c>
      <c r="X684" s="50"/>
      <c r="Y684" s="62"/>
      <c r="Z684" s="62"/>
      <c r="AA684" s="62"/>
      <c r="AB684" s="62"/>
      <c r="AC684" s="62"/>
      <c r="AD684" s="62"/>
      <c r="AE684" s="62" t="s">
        <v>1593</v>
      </c>
      <c r="AF684" s="62" t="s">
        <v>321</v>
      </c>
      <c r="AG684" s="53">
        <f>(0.02*0.91+0.012*1.4+0.075*0.925)*0.74</f>
        <v>7.7237500000000001E-2</v>
      </c>
      <c r="AH684" s="54">
        <f>(2.3/0.75/2)*0.73</f>
        <v>1.1193333333333333</v>
      </c>
      <c r="AI684" s="54">
        <f>(3/0.75/2)*0.73</f>
        <v>1.46</v>
      </c>
      <c r="AJ684" s="9">
        <v>9530</v>
      </c>
      <c r="AK684" s="62">
        <v>9530</v>
      </c>
      <c r="AL684" s="62" t="s">
        <v>1987</v>
      </c>
      <c r="AM684" s="61" t="s">
        <v>1489</v>
      </c>
      <c r="AN684" s="62">
        <v>170</v>
      </c>
      <c r="AO684" s="61" t="s">
        <v>2173</v>
      </c>
      <c r="AP684" s="59" t="str">
        <f>IFERROR(VLOOKUP($A684,[2]Mssp!$A$5:$BE$1463,AP$4+1,0),0)</f>
        <v>20040559-1</v>
      </c>
      <c r="AQ684" s="59" t="str">
        <f>IFERROR(VLOOKUP($A684,[2]Mssp!$A$5:$BE$1463,AQ$4+1,0),0)</f>
        <v>20040559-2</v>
      </c>
      <c r="AR684" s="59" t="str">
        <f>IFERROR(VLOOKUP($A684,[2]Mssp!$A$5:$BE$1463,AR$4+1,0),0)</f>
        <v>20040559-3</v>
      </c>
      <c r="AS684" s="59" t="str">
        <f>IFERROR(VLOOKUP($A684,[2]Mssp!$A$5:$BE$1463,AS$4+1,0),0)</f>
        <v>20040559-4</v>
      </c>
      <c r="AT684" s="59" t="str">
        <f>IFERROR(VLOOKUP($A684,[2]Mssp!$A$5:$BE$1463,AT$4+1,0),0)</f>
        <v>20040559-5</v>
      </c>
      <c r="AU684" s="59" t="str">
        <f>IFERROR(VLOOKUP($A684,[2]Mssp!$A$5:$BE$1463,AU$4+1,0),0)</f>
        <v>20040559-6</v>
      </c>
      <c r="AV684" s="59" t="str">
        <f>IFERROR(VLOOKUP($A684,[2]Mssp!$A$5:$BE$1463,AV$4+1,0),0)</f>
        <v>20040559-7</v>
      </c>
      <c r="AW684" s="59">
        <f>IFERROR(VLOOKUP($A684,[2]Mssp!$A$5:$BE$1463,AW$4+1,0),0)</f>
        <v>0</v>
      </c>
      <c r="AX684" s="59">
        <f>IFERROR(VLOOKUP($A684,[2]Mssp!$A$5:$BE$1463,AX$4+1,0),0)</f>
        <v>0</v>
      </c>
      <c r="AY684" s="59" t="str">
        <f>IFERROR(VLOOKUP($A684,[2]Mssp!$A$5:$BE$1463,AY$4+2,0),0)</f>
        <v>540x870</v>
      </c>
      <c r="AZ684" s="59" t="str">
        <f>IFERROR(VLOOKUP($A684,[2]Mssp!$A$5:$BE$1463,AZ$4+2,0),0)</f>
        <v>S1</v>
      </c>
      <c r="BA684" s="141"/>
      <c r="BB684" s="61"/>
      <c r="BC684" s="165"/>
      <c r="BD684" s="166"/>
      <c r="BE684" s="167"/>
      <c r="BF684" s="168"/>
      <c r="BG684" s="167"/>
      <c r="BH684" s="168"/>
      <c r="BI684" s="169"/>
      <c r="BJ684" s="168"/>
      <c r="BK684" s="134"/>
      <c r="BL684" s="168"/>
      <c r="BM684" s="167"/>
      <c r="BN684" s="168"/>
      <c r="BO684" s="62"/>
      <c r="BP684" s="168"/>
      <c r="BQ684" s="168"/>
      <c r="BR684" s="168"/>
      <c r="BS684" s="135"/>
      <c r="BT684" s="176"/>
      <c r="BU684" s="167"/>
      <c r="BV684" s="168"/>
      <c r="BW684" s="167"/>
      <c r="BX684" s="168"/>
      <c r="BY684" s="167"/>
      <c r="BZ684" s="176"/>
      <c r="CA684" s="167"/>
      <c r="CB684" s="168"/>
      <c r="CC684" s="167"/>
      <c r="CD684" s="168"/>
      <c r="CE684" s="62"/>
      <c r="CF684" s="62"/>
      <c r="CG684" s="9"/>
      <c r="CH684" s="9"/>
      <c r="CI684" s="9"/>
      <c r="CJ684" s="9"/>
      <c r="CK684" s="9"/>
      <c r="CL684" s="9"/>
      <c r="CM684" s="9"/>
      <c r="CN684" s="9"/>
      <c r="CO684" s="9"/>
      <c r="CP684" s="9"/>
    </row>
    <row r="685" spans="1:94" ht="30" x14ac:dyDescent="0.25">
      <c r="A685" s="127" t="s">
        <v>2176</v>
      </c>
      <c r="B685" s="51" t="s">
        <v>2177</v>
      </c>
      <c r="C685" s="62"/>
      <c r="D685" s="84">
        <v>2</v>
      </c>
      <c r="E685" s="62" t="s">
        <v>2178</v>
      </c>
      <c r="F685" s="62">
        <v>2</v>
      </c>
      <c r="G685" s="62" t="s">
        <v>530</v>
      </c>
      <c r="H685" s="50">
        <f>VLOOKUP($A685,'[1]ma sp 02'!$A$5:$BD$1101,H$1,0)</f>
        <v>0.01</v>
      </c>
      <c r="I685" s="50">
        <f>VLOOKUP($A685,'[1]ma sp 02'!$A$5:$BD$1101,I$1,0)</f>
        <v>0.82799999999999996</v>
      </c>
      <c r="J685" s="50">
        <f>VLOOKUP($A685,'[1]ma sp 02'!$A$5:$BD$1101,J$1,0)</f>
        <v>0</v>
      </c>
      <c r="K685" s="50">
        <f>VLOOKUP($A685,'[1]ma sp 02'!$A$5:$BD$1101,K$1,0)</f>
        <v>1.42</v>
      </c>
      <c r="L685" s="50">
        <f>VLOOKUP($A685,'[1]ma sp 02'!$A$5:$BD$1101,L$1,0)</f>
        <v>4.25</v>
      </c>
      <c r="M685" s="50">
        <f>VLOOKUP($A685,'[1]ma sp 02'!$A$5:$BD$1101,M$1,0)</f>
        <v>0</v>
      </c>
      <c r="N685" s="50">
        <f>VLOOKUP($A685,'[1]ma sp 02'!$A$5:$BD$1101,N$1,0)</f>
        <v>0</v>
      </c>
      <c r="O685" s="50">
        <f>VLOOKUP($A685,'[1]ma sp 02'!$A$5:$BD$1101,O$1,0)</f>
        <v>0</v>
      </c>
      <c r="P685" s="50">
        <f>VLOOKUP($A685,'[1]ma sp 02'!$A$5:$BD$1101,P$1,0)</f>
        <v>0.01</v>
      </c>
      <c r="Q685" s="50">
        <f>VLOOKUP($A685,'[1]ma sp 02'!$A$5:$BD$1101,Q$1,0)</f>
        <v>0</v>
      </c>
      <c r="R685" s="50">
        <f>VLOOKUP($A685,'[1]ma sp 02'!$A$5:$BD$1101,R$1,0)</f>
        <v>0</v>
      </c>
      <c r="S685" s="50">
        <f>VLOOKUP($A685,'[1]ma sp 02'!$A$5:$BD$1101,S$1,0)</f>
        <v>0</v>
      </c>
      <c r="T685" s="50">
        <f>VLOOKUP($A685,'[1]ma sp 02'!$A$5:$BD$1101,T$1,0)</f>
        <v>0</v>
      </c>
      <c r="U685" s="50">
        <f>VLOOKUP($A685,'[1]ma sp 02'!$A$5:$BD$1101,U$1,0)</f>
        <v>0</v>
      </c>
      <c r="V685" s="50">
        <f>VLOOKUP($A685,'[1]ma sp 02'!$A$5:$BD$1101,V$1,0)</f>
        <v>0</v>
      </c>
      <c r="W685" s="50">
        <f>VLOOKUP($A685,'[1]ma sp 02'!$A$5:$BD$1101,W$1,0)</f>
        <v>0</v>
      </c>
      <c r="X685" s="50"/>
      <c r="Y685" s="62"/>
      <c r="Z685" s="62"/>
      <c r="AA685" s="62"/>
      <c r="AB685" s="62"/>
      <c r="AC685" s="62"/>
      <c r="AD685" s="62"/>
      <c r="AE685" s="62" t="s">
        <v>2179</v>
      </c>
      <c r="AF685" s="62" t="s">
        <v>560</v>
      </c>
      <c r="AG685" s="53">
        <f>(0.012*1.4+0.012*1.4+0.08*0.925)*0.54</f>
        <v>5.8104000000000003E-2</v>
      </c>
      <c r="AH685" s="54">
        <f>(2.3/0.75/2)*0.53</f>
        <v>0.81266666666666665</v>
      </c>
      <c r="AI685" s="54">
        <f>(2.3/0.75/2)*0.53</f>
        <v>0.81266666666666665</v>
      </c>
      <c r="AJ685" s="9">
        <v>9530</v>
      </c>
      <c r="AK685" s="62">
        <v>9530</v>
      </c>
      <c r="AL685" s="62" t="s">
        <v>1987</v>
      </c>
      <c r="AM685" s="61"/>
      <c r="AN685" s="62">
        <v>190</v>
      </c>
      <c r="AO685" s="61" t="s">
        <v>2066</v>
      </c>
      <c r="AP685" s="59" t="str">
        <f>IFERROR(VLOOKUP($A685,[2]Mssp!$A$5:$BE$1463,AP$4+1,0),0)</f>
        <v>20040886-1</v>
      </c>
      <c r="AQ685" s="59" t="str">
        <f>IFERROR(VLOOKUP($A685,[2]Mssp!$A$5:$BE$1463,AQ$4+1,0),0)</f>
        <v>20040886-2</v>
      </c>
      <c r="AR685" s="59" t="str">
        <f>IFERROR(VLOOKUP($A685,[2]Mssp!$A$5:$BE$1463,AR$4+1,0),0)</f>
        <v>20040886-3</v>
      </c>
      <c r="AS685" s="59" t="str">
        <f>IFERROR(VLOOKUP($A685,[2]Mssp!$A$5:$BE$1463,AS$4+1,0),0)</f>
        <v>20040886-4</v>
      </c>
      <c r="AT685" s="59">
        <f>IFERROR(VLOOKUP($A685,[2]Mssp!$A$5:$BE$1463,AT$4+1,0),0)</f>
        <v>0</v>
      </c>
      <c r="AU685" s="59">
        <f>IFERROR(VLOOKUP($A685,[2]Mssp!$A$5:$BE$1463,AU$4+1,0),0)</f>
        <v>0</v>
      </c>
      <c r="AV685" s="59">
        <f>IFERROR(VLOOKUP($A685,[2]Mssp!$A$5:$BE$1463,AV$4+1,0),0)</f>
        <v>0</v>
      </c>
      <c r="AW685" s="59">
        <f>IFERROR(VLOOKUP($A685,[2]Mssp!$A$5:$BE$1463,AW$4+1,0),0)</f>
        <v>0</v>
      </c>
      <c r="AX685" s="59">
        <f>IFERROR(VLOOKUP($A685,[2]Mssp!$A$5:$BE$1463,AX$4+1,0),0)</f>
        <v>0</v>
      </c>
      <c r="AY685" s="59" t="str">
        <f>IFERROR(VLOOKUP($A685,[2]Mssp!$A$5:$BE$1463,AY$4+2,0),0)</f>
        <v>570x750</v>
      </c>
      <c r="AZ685" s="59" t="str">
        <f>IFERROR(VLOOKUP($A685,[2]Mssp!$A$5:$BE$1463,AZ$4+2,0),0)</f>
        <v>S1</v>
      </c>
      <c r="BA685" s="141"/>
      <c r="BB685" s="61"/>
      <c r="BC685" s="165"/>
      <c r="BD685" s="166"/>
      <c r="BE685" s="167"/>
      <c r="BF685" s="168"/>
      <c r="BG685" s="167"/>
      <c r="BH685" s="168"/>
      <c r="BI685" s="169"/>
      <c r="BJ685" s="168"/>
      <c r="BK685" s="134"/>
      <c r="BL685" s="168"/>
      <c r="BM685" s="167"/>
      <c r="BN685" s="168"/>
      <c r="BO685" s="62"/>
      <c r="BP685" s="168"/>
      <c r="BQ685" s="168"/>
      <c r="BR685" s="168"/>
      <c r="BS685" s="135"/>
      <c r="BT685" s="176"/>
      <c r="BU685" s="167"/>
      <c r="BV685" s="168"/>
      <c r="BW685" s="167"/>
      <c r="BX685" s="168"/>
      <c r="BY685" s="167"/>
      <c r="BZ685" s="176"/>
      <c r="CA685" s="167"/>
      <c r="CB685" s="168"/>
      <c r="CC685" s="167"/>
      <c r="CD685" s="168"/>
      <c r="CE685" s="62"/>
      <c r="CF685" s="62"/>
      <c r="CG685" s="9"/>
      <c r="CH685" s="9"/>
      <c r="CI685" s="9"/>
      <c r="CJ685" s="9"/>
      <c r="CK685" s="9"/>
      <c r="CL685" s="9"/>
      <c r="CM685" s="9"/>
      <c r="CN685" s="9"/>
      <c r="CO685" s="9"/>
      <c r="CP685" s="9"/>
    </row>
    <row r="686" spans="1:94" ht="30" x14ac:dyDescent="0.25">
      <c r="A686" s="127" t="s">
        <v>2180</v>
      </c>
      <c r="B686" s="51" t="s">
        <v>2181</v>
      </c>
      <c r="C686" s="62"/>
      <c r="D686" s="84">
        <v>3</v>
      </c>
      <c r="E686" s="62" t="s">
        <v>113</v>
      </c>
      <c r="F686" s="62">
        <v>3</v>
      </c>
      <c r="G686" s="62" t="s">
        <v>530</v>
      </c>
      <c r="H686" s="50">
        <f>VLOOKUP($A686,'[1]ma sp 02'!$A$5:$BD$1101,H$1,0)</f>
        <v>1.61</v>
      </c>
      <c r="I686" s="50">
        <f>VLOOKUP($A686,'[1]ma sp 02'!$A$5:$BD$1101,I$1,0)</f>
        <v>4.6500000000000004</v>
      </c>
      <c r="J686" s="50">
        <f>VLOOKUP($A686,'[1]ma sp 02'!$A$5:$BD$1101,J$1,0)</f>
        <v>0</v>
      </c>
      <c r="K686" s="50">
        <f>VLOOKUP($A686,'[1]ma sp 02'!$A$5:$BD$1101,K$1,0)</f>
        <v>0</v>
      </c>
      <c r="L686" s="50">
        <f>VLOOKUP($A686,'[1]ma sp 02'!$A$5:$BD$1101,L$1,0)</f>
        <v>0</v>
      </c>
      <c r="M686" s="50">
        <f>VLOOKUP($A686,'[1]ma sp 02'!$A$5:$BD$1101,M$1,0)</f>
        <v>2.02</v>
      </c>
      <c r="N686" s="50">
        <f>VLOOKUP($A686,'[1]ma sp 02'!$A$5:$BD$1101,N$1,0)</f>
        <v>0</v>
      </c>
      <c r="O686" s="50">
        <f>VLOOKUP($A686,'[1]ma sp 02'!$A$5:$BD$1101,O$1,0)</f>
        <v>0</v>
      </c>
      <c r="P686" s="50">
        <f>VLOOKUP($A686,'[1]ma sp 02'!$A$5:$BD$1101,P$1,0)</f>
        <v>1.82</v>
      </c>
      <c r="Q686" s="50">
        <f>VLOOKUP($A686,'[1]ma sp 02'!$A$5:$BD$1101,Q$1,0)</f>
        <v>0</v>
      </c>
      <c r="R686" s="50">
        <f>VLOOKUP($A686,'[1]ma sp 02'!$A$5:$BD$1101,R$1,0)</f>
        <v>0</v>
      </c>
      <c r="S686" s="50">
        <f>VLOOKUP($A686,'[1]ma sp 02'!$A$5:$BD$1101,S$1,0)</f>
        <v>0</v>
      </c>
      <c r="T686" s="50">
        <f>VLOOKUP($A686,'[1]ma sp 02'!$A$5:$BD$1101,T$1,0)</f>
        <v>0</v>
      </c>
      <c r="U686" s="50">
        <f>VLOOKUP($A686,'[1]ma sp 02'!$A$5:$BD$1101,U$1,0)</f>
        <v>0</v>
      </c>
      <c r="V686" s="50">
        <f>VLOOKUP($A686,'[1]ma sp 02'!$A$5:$BD$1101,V$1,0)</f>
        <v>0</v>
      </c>
      <c r="W686" s="50">
        <f>VLOOKUP($A686,'[1]ma sp 02'!$A$5:$BD$1101,W$1,0)</f>
        <v>0</v>
      </c>
      <c r="X686" s="50"/>
      <c r="Y686" s="62"/>
      <c r="Z686" s="62"/>
      <c r="AA686" s="62"/>
      <c r="AB686" s="62"/>
      <c r="AC686" s="62"/>
      <c r="AD686" s="62"/>
      <c r="AE686" s="62" t="s">
        <v>1593</v>
      </c>
      <c r="AF686" s="62" t="s">
        <v>1953</v>
      </c>
      <c r="AG686" s="53">
        <f>(0.012*1.4+0.012*1.4+0.08*0.925)*0.74</f>
        <v>7.9624E-2</v>
      </c>
      <c r="AH686" s="54">
        <f>(2.3/0.75/2)*0.72</f>
        <v>1.1039999999999999</v>
      </c>
      <c r="AI686" s="54">
        <f>(2.3/0.75/2)*0.72</f>
        <v>1.1039999999999999</v>
      </c>
      <c r="AJ686" s="62">
        <v>9530</v>
      </c>
      <c r="AK686" s="62">
        <v>9530</v>
      </c>
      <c r="AL686" s="62" t="s">
        <v>1987</v>
      </c>
      <c r="AM686" s="61" t="s">
        <v>2182</v>
      </c>
      <c r="AN686" s="62">
        <v>160</v>
      </c>
      <c r="AO686" s="61" t="s">
        <v>2066</v>
      </c>
      <c r="AP686" s="59" t="str">
        <f>IFERROR(VLOOKUP($A686,[2]Mssp!$A$5:$BE$1463,AP$4+1,0),0)</f>
        <v>20040887-1</v>
      </c>
      <c r="AQ686" s="59" t="str">
        <f>IFERROR(VLOOKUP($A686,[2]Mssp!$A$5:$BE$1463,AQ$4+1,0),0)</f>
        <v>20040887-2</v>
      </c>
      <c r="AR686" s="59" t="str">
        <f>IFERROR(VLOOKUP($A686,[2]Mssp!$A$5:$BE$1463,AR$4+1,0),0)</f>
        <v>20040887-3</v>
      </c>
      <c r="AS686" s="59">
        <f>IFERROR(VLOOKUP($A686,[2]Mssp!$A$5:$BE$1463,AS$4+1,0),0)</f>
        <v>0</v>
      </c>
      <c r="AT686" s="59">
        <f>IFERROR(VLOOKUP($A686,[2]Mssp!$A$5:$BE$1463,AT$4+1,0),0)</f>
        <v>0</v>
      </c>
      <c r="AU686" s="59">
        <f>IFERROR(VLOOKUP($A686,[2]Mssp!$A$5:$BE$1463,AU$4+1,0),0)</f>
        <v>0</v>
      </c>
      <c r="AV686" s="59">
        <f>IFERROR(VLOOKUP($A686,[2]Mssp!$A$5:$BE$1463,AV$4+1,0),0)</f>
        <v>0</v>
      </c>
      <c r="AW686" s="59">
        <f>IFERROR(VLOOKUP($A686,[2]Mssp!$A$5:$BE$1463,AW$4+1,0),0)</f>
        <v>0</v>
      </c>
      <c r="AX686" s="59">
        <f>IFERROR(VLOOKUP($A686,[2]Mssp!$A$5:$BE$1463,AX$4+1,0),0)</f>
        <v>0</v>
      </c>
      <c r="AY686" s="59" t="str">
        <f>IFERROR(VLOOKUP($A686,[2]Mssp!$A$5:$BE$1463,AY$4+2,0),0)</f>
        <v>480x820</v>
      </c>
      <c r="AZ686" s="59" t="str">
        <f>IFERROR(VLOOKUP($A686,[2]Mssp!$A$5:$BE$1463,AZ$4+2,0),0)</f>
        <v>S1</v>
      </c>
      <c r="BA686" s="141"/>
      <c r="BB686" s="61"/>
      <c r="BC686" s="165"/>
      <c r="BD686" s="166"/>
      <c r="BE686" s="167"/>
      <c r="BF686" s="168"/>
      <c r="BG686" s="167"/>
      <c r="BH686" s="168"/>
      <c r="BI686" s="169"/>
      <c r="BJ686" s="168"/>
      <c r="BK686" s="134"/>
      <c r="BL686" s="168"/>
      <c r="BM686" s="167"/>
      <c r="BN686" s="168"/>
      <c r="BO686" s="62"/>
      <c r="BP686" s="168"/>
      <c r="BQ686" s="168"/>
      <c r="BR686" s="168"/>
      <c r="BS686" s="135"/>
      <c r="BT686" s="176"/>
      <c r="BU686" s="167"/>
      <c r="BV686" s="168"/>
      <c r="BW686" s="167"/>
      <c r="BX686" s="168"/>
      <c r="BY686" s="167"/>
      <c r="BZ686" s="176"/>
      <c r="CA686" s="167"/>
      <c r="CB686" s="168"/>
      <c r="CC686" s="167"/>
      <c r="CD686" s="168"/>
      <c r="CE686" s="62"/>
      <c r="CF686" s="62"/>
      <c r="CG686" s="9"/>
      <c r="CH686" s="9"/>
      <c r="CI686" s="9"/>
      <c r="CJ686" s="9"/>
      <c r="CK686" s="9"/>
      <c r="CL686" s="9"/>
      <c r="CM686" s="9"/>
      <c r="CN686" s="9"/>
      <c r="CO686" s="9"/>
      <c r="CP686" s="9"/>
    </row>
    <row r="687" spans="1:94" ht="30" x14ac:dyDescent="0.25">
      <c r="A687" s="127" t="s">
        <v>2183</v>
      </c>
      <c r="B687" s="51" t="s">
        <v>2184</v>
      </c>
      <c r="C687" s="62"/>
      <c r="D687" s="84">
        <v>1</v>
      </c>
      <c r="E687" s="62" t="s">
        <v>2185</v>
      </c>
      <c r="F687" s="62">
        <v>2</v>
      </c>
      <c r="G687" s="62" t="s">
        <v>2186</v>
      </c>
      <c r="H687" s="50">
        <f>VLOOKUP($A687,'[1]ma sp 02'!$A$5:$BD$1101,H$1,0)</f>
        <v>0.23</v>
      </c>
      <c r="I687" s="50">
        <f>VLOOKUP($A687,'[1]ma sp 02'!$A$5:$BD$1101,I$1,0)</f>
        <v>0</v>
      </c>
      <c r="J687" s="50">
        <f>VLOOKUP($A687,'[1]ma sp 02'!$A$5:$BD$1101,J$1,0)</f>
        <v>3.06</v>
      </c>
      <c r="K687" s="50">
        <f>VLOOKUP($A687,'[1]ma sp 02'!$A$5:$BD$1101,K$1,0)</f>
        <v>4.4800000000000004</v>
      </c>
      <c r="L687" s="50">
        <f>VLOOKUP($A687,'[1]ma sp 02'!$A$5:$BD$1101,L$1,0)</f>
        <v>0</v>
      </c>
      <c r="M687" s="50">
        <f>VLOOKUP($A687,'[1]ma sp 02'!$A$5:$BD$1101,M$1,0)</f>
        <v>5.19</v>
      </c>
      <c r="N687" s="50">
        <f>VLOOKUP($A687,'[1]ma sp 02'!$A$5:$BD$1101,N$1,0)</f>
        <v>0</v>
      </c>
      <c r="O687" s="50">
        <f>VLOOKUP($A687,'[1]ma sp 02'!$A$5:$BD$1101,O$1,0)</f>
        <v>0</v>
      </c>
      <c r="P687" s="50">
        <f>VLOOKUP($A687,'[1]ma sp 02'!$A$5:$BD$1101,P$1,0)</f>
        <v>0</v>
      </c>
      <c r="Q687" s="50">
        <f>VLOOKUP($A687,'[1]ma sp 02'!$A$5:$BD$1101,Q$1,0)</f>
        <v>0</v>
      </c>
      <c r="R687" s="50">
        <f>VLOOKUP($A687,'[1]ma sp 02'!$A$5:$BD$1101,R$1,0)</f>
        <v>0.01</v>
      </c>
      <c r="S687" s="50">
        <f>VLOOKUP($A687,'[1]ma sp 02'!$A$5:$BD$1101,S$1,0)</f>
        <v>0</v>
      </c>
      <c r="T687" s="50">
        <f>VLOOKUP($A687,'[1]ma sp 02'!$A$5:$BD$1101,T$1,0)</f>
        <v>0</v>
      </c>
      <c r="U687" s="50">
        <f>VLOOKUP($A687,'[1]ma sp 02'!$A$5:$BD$1101,U$1,0)</f>
        <v>0</v>
      </c>
      <c r="V687" s="50">
        <f>VLOOKUP($A687,'[1]ma sp 02'!$A$5:$BD$1101,V$1,0)</f>
        <v>0</v>
      </c>
      <c r="W687" s="50">
        <f>VLOOKUP($A687,'[1]ma sp 02'!$A$5:$BD$1101,W$1,0)</f>
        <v>0</v>
      </c>
      <c r="X687" s="50"/>
      <c r="Y687" s="62"/>
      <c r="Z687" s="62"/>
      <c r="AA687" s="62"/>
      <c r="AB687" s="62"/>
      <c r="AC687" s="62"/>
      <c r="AD687" s="62"/>
      <c r="AE687" s="62"/>
      <c r="AF687" s="62"/>
      <c r="AG687" s="53"/>
      <c r="AH687" s="54"/>
      <c r="AI687" s="54"/>
      <c r="AJ687" s="62"/>
      <c r="AK687" s="62"/>
      <c r="AL687" s="62"/>
      <c r="AM687" s="61" t="s">
        <v>1575</v>
      </c>
      <c r="AN687" s="62"/>
      <c r="AO687" s="61" t="s">
        <v>2150</v>
      </c>
      <c r="AP687" s="59" t="str">
        <f>IFERROR(VLOOKUP($A687,[2]Mssp!$A$5:$BE$1463,AP$4+1,0),0)</f>
        <v>20040810-1</v>
      </c>
      <c r="AQ687" s="59" t="str">
        <f>IFERROR(VLOOKUP($A687,[2]Mssp!$A$5:$BE$1463,AQ$4+1,0),0)</f>
        <v>20040436-1</v>
      </c>
      <c r="AR687" s="59">
        <f>IFERROR(VLOOKUP($A687,[2]Mssp!$A$5:$BE$1463,AR$4+1,0),0)</f>
        <v>0</v>
      </c>
      <c r="AS687" s="59">
        <f>IFERROR(VLOOKUP($A687,[2]Mssp!$A$5:$BE$1463,AS$4+1,0),0)</f>
        <v>0</v>
      </c>
      <c r="AT687" s="59">
        <f>IFERROR(VLOOKUP($A687,[2]Mssp!$A$5:$BE$1463,AT$4+1,0),0)</f>
        <v>0</v>
      </c>
      <c r="AU687" s="59">
        <f>IFERROR(VLOOKUP($A687,[2]Mssp!$A$5:$BE$1463,AU$4+1,0),0)</f>
        <v>0</v>
      </c>
      <c r="AV687" s="59">
        <f>IFERROR(VLOOKUP($A687,[2]Mssp!$A$5:$BE$1463,AV$4+1,0),0)</f>
        <v>0</v>
      </c>
      <c r="AW687" s="59">
        <f>IFERROR(VLOOKUP($A687,[2]Mssp!$A$5:$BE$1463,AW$4+1,0),0)</f>
        <v>0</v>
      </c>
      <c r="AX687" s="59">
        <f>IFERROR(VLOOKUP($A687,[2]Mssp!$A$5:$BE$1463,AX$4+1,0),0)</f>
        <v>0</v>
      </c>
      <c r="AY687" s="59" t="str">
        <f>IFERROR(VLOOKUP($A687,[2]Mssp!$A$5:$BE$1463,AY$4+2,0),0)</f>
        <v>500x1350</v>
      </c>
      <c r="AZ687" s="59" t="str">
        <f>IFERROR(VLOOKUP($A687,[2]Mssp!$A$5:$BE$1463,AZ$4+2,0),0)</f>
        <v>S1</v>
      </c>
      <c r="BA687" s="141"/>
      <c r="BB687" s="61"/>
      <c r="BC687" s="165"/>
      <c r="BD687" s="166"/>
      <c r="BE687" s="167"/>
      <c r="BF687" s="168"/>
      <c r="BG687" s="167"/>
      <c r="BH687" s="168"/>
      <c r="BI687" s="169"/>
      <c r="BJ687" s="168"/>
      <c r="BK687" s="134"/>
      <c r="BL687" s="168"/>
      <c r="BM687" s="167"/>
      <c r="BN687" s="168"/>
      <c r="BO687" s="62"/>
      <c r="BP687" s="168"/>
      <c r="BQ687" s="168"/>
      <c r="BR687" s="168"/>
      <c r="BS687" s="135"/>
      <c r="BT687" s="176"/>
      <c r="BU687" s="167"/>
      <c r="BV687" s="168"/>
      <c r="BW687" s="167"/>
      <c r="BX687" s="168"/>
      <c r="BY687" s="167"/>
      <c r="BZ687" s="176"/>
      <c r="CA687" s="167"/>
      <c r="CB687" s="168"/>
      <c r="CC687" s="167"/>
      <c r="CD687" s="168"/>
      <c r="CE687" s="62"/>
      <c r="CF687" s="62"/>
      <c r="CG687" s="9"/>
      <c r="CH687" s="9"/>
      <c r="CI687" s="9"/>
      <c r="CJ687" s="9"/>
      <c r="CK687" s="9"/>
      <c r="CL687" s="9"/>
      <c r="CM687" s="9"/>
      <c r="CN687" s="9"/>
      <c r="CO687" s="9"/>
      <c r="CP687" s="9"/>
    </row>
    <row r="688" spans="1:94" x14ac:dyDescent="0.25">
      <c r="A688" s="127" t="s">
        <v>2187</v>
      </c>
      <c r="B688" s="51"/>
      <c r="C688" s="62"/>
      <c r="D688" s="84"/>
      <c r="E688" s="62"/>
      <c r="F688" s="62"/>
      <c r="G688" s="62"/>
      <c r="H688" s="50">
        <f>VLOOKUP($A688,'[1]ma sp 02'!$A$5:$BD$1101,H$1,0)</f>
        <v>0</v>
      </c>
      <c r="I688" s="50">
        <f>VLOOKUP($A688,'[1]ma sp 02'!$A$5:$BD$1101,I$1,0)</f>
        <v>0</v>
      </c>
      <c r="J688" s="50">
        <f>VLOOKUP($A688,'[1]ma sp 02'!$A$5:$BD$1101,J$1,0)</f>
        <v>0</v>
      </c>
      <c r="K688" s="50">
        <f>VLOOKUP($A688,'[1]ma sp 02'!$A$5:$BD$1101,K$1,0)</f>
        <v>0</v>
      </c>
      <c r="L688" s="50">
        <f>VLOOKUP($A688,'[1]ma sp 02'!$A$5:$BD$1101,L$1,0)</f>
        <v>0</v>
      </c>
      <c r="M688" s="50">
        <f>VLOOKUP($A688,'[1]ma sp 02'!$A$5:$BD$1101,M$1,0)</f>
        <v>0</v>
      </c>
      <c r="N688" s="50">
        <f>VLOOKUP($A688,'[1]ma sp 02'!$A$5:$BD$1101,N$1,0)</f>
        <v>0</v>
      </c>
      <c r="O688" s="50">
        <f>VLOOKUP($A688,'[1]ma sp 02'!$A$5:$BD$1101,O$1,0)</f>
        <v>0</v>
      </c>
      <c r="P688" s="50">
        <f>VLOOKUP($A688,'[1]ma sp 02'!$A$5:$BD$1101,P$1,0)</f>
        <v>0</v>
      </c>
      <c r="Q688" s="50">
        <f>VLOOKUP($A688,'[1]ma sp 02'!$A$5:$BD$1101,Q$1,0)</f>
        <v>0</v>
      </c>
      <c r="R688" s="50">
        <f>VLOOKUP($A688,'[1]ma sp 02'!$A$5:$BD$1101,R$1,0)</f>
        <v>0</v>
      </c>
      <c r="S688" s="50">
        <f>VLOOKUP($A688,'[1]ma sp 02'!$A$5:$BD$1101,S$1,0)</f>
        <v>0</v>
      </c>
      <c r="T688" s="50">
        <f>VLOOKUP($A688,'[1]ma sp 02'!$A$5:$BD$1101,T$1,0)</f>
        <v>0</v>
      </c>
      <c r="U688" s="50">
        <f>VLOOKUP($A688,'[1]ma sp 02'!$A$5:$BD$1101,U$1,0)</f>
        <v>0</v>
      </c>
      <c r="V688" s="50">
        <f>VLOOKUP($A688,'[1]ma sp 02'!$A$5:$BD$1101,V$1,0)</f>
        <v>0</v>
      </c>
      <c r="W688" s="50">
        <f>VLOOKUP($A688,'[1]ma sp 02'!$A$5:$BD$1101,W$1,0)</f>
        <v>0</v>
      </c>
      <c r="X688" s="50"/>
      <c r="Y688" s="62"/>
      <c r="Z688" s="62"/>
      <c r="AA688" s="62"/>
      <c r="AB688" s="62"/>
      <c r="AC688" s="62"/>
      <c r="AD688" s="62"/>
      <c r="AE688" s="62"/>
      <c r="AF688" s="62"/>
      <c r="AG688" s="53"/>
      <c r="AH688" s="54"/>
      <c r="AI688" s="54"/>
      <c r="AJ688" s="62"/>
      <c r="AK688" s="62"/>
      <c r="AL688" s="62"/>
      <c r="AM688" s="61"/>
      <c r="AN688" s="62"/>
      <c r="AO688" s="61"/>
      <c r="AP688" s="59" t="str">
        <f>IFERROR(VLOOKUP($A688,[2]Mssp!$A$5:$BE$1463,AP$4+1,0),0)</f>
        <v>20040436-1</v>
      </c>
      <c r="AQ688" s="59">
        <f>IFERROR(VLOOKUP($A688,[2]Mssp!$A$5:$BE$1463,AQ$4+1,0),0)</f>
        <v>0</v>
      </c>
      <c r="AR688" s="59">
        <f>IFERROR(VLOOKUP($A688,[2]Mssp!$A$5:$BE$1463,AR$4+1,0),0)</f>
        <v>0</v>
      </c>
      <c r="AS688" s="59">
        <f>IFERROR(VLOOKUP($A688,[2]Mssp!$A$5:$BE$1463,AS$4+1,0),0)</f>
        <v>0</v>
      </c>
      <c r="AT688" s="59">
        <f>IFERROR(VLOOKUP($A688,[2]Mssp!$A$5:$BE$1463,AT$4+1,0),0)</f>
        <v>0</v>
      </c>
      <c r="AU688" s="59">
        <f>IFERROR(VLOOKUP($A688,[2]Mssp!$A$5:$BE$1463,AU$4+1,0),0)</f>
        <v>0</v>
      </c>
      <c r="AV688" s="59">
        <f>IFERROR(VLOOKUP($A688,[2]Mssp!$A$5:$BE$1463,AV$4+1,0),0)</f>
        <v>0</v>
      </c>
      <c r="AW688" s="59">
        <f>IFERROR(VLOOKUP($A688,[2]Mssp!$A$5:$BE$1463,AW$4+1,0),0)</f>
        <v>0</v>
      </c>
      <c r="AX688" s="59">
        <f>IFERROR(VLOOKUP($A688,[2]Mssp!$A$5:$BE$1463,AX$4+1,0),0)</f>
        <v>0</v>
      </c>
      <c r="AY688" s="59" t="str">
        <f>IFERROR(VLOOKUP($A688,[2]Mssp!$A$5:$BE$1463,AY$4+2,0),0)</f>
        <v>520x1350</v>
      </c>
      <c r="AZ688" s="59" t="str">
        <f>IFERROR(VLOOKUP($A688,[2]Mssp!$A$5:$BE$1463,AZ$4+2,0),0)</f>
        <v>S1</v>
      </c>
      <c r="BA688" s="141"/>
      <c r="BB688" s="61"/>
      <c r="BC688" s="165"/>
      <c r="BD688" s="166"/>
      <c r="BE688" s="167"/>
      <c r="BF688" s="168"/>
      <c r="BG688" s="167"/>
      <c r="BH688" s="168"/>
      <c r="BI688" s="169"/>
      <c r="BJ688" s="168"/>
      <c r="BK688" s="134"/>
      <c r="BL688" s="168"/>
      <c r="BM688" s="167"/>
      <c r="BN688" s="168"/>
      <c r="BO688" s="62"/>
      <c r="BP688" s="168"/>
      <c r="BQ688" s="168"/>
      <c r="BR688" s="168"/>
      <c r="BS688" s="135"/>
      <c r="BT688" s="176"/>
      <c r="BU688" s="167"/>
      <c r="BV688" s="168"/>
      <c r="BW688" s="167"/>
      <c r="BX688" s="168"/>
      <c r="BY688" s="167"/>
      <c r="BZ688" s="176"/>
      <c r="CA688" s="167"/>
      <c r="CB688" s="168"/>
      <c r="CC688" s="167"/>
      <c r="CD688" s="168"/>
      <c r="CE688" s="62"/>
      <c r="CF688" s="62"/>
      <c r="CG688" s="9"/>
      <c r="CH688" s="9"/>
      <c r="CI688" s="9"/>
      <c r="CJ688" s="9"/>
      <c r="CK688" s="9"/>
      <c r="CL688" s="9"/>
      <c r="CM688" s="9"/>
      <c r="CN688" s="9"/>
      <c r="CO688" s="9"/>
      <c r="CP688" s="9"/>
    </row>
    <row r="689" spans="1:94" ht="30" x14ac:dyDescent="0.25">
      <c r="A689" s="127" t="s">
        <v>2188</v>
      </c>
      <c r="B689" s="51" t="s">
        <v>2189</v>
      </c>
      <c r="C689" s="62"/>
      <c r="D689" s="84">
        <v>1</v>
      </c>
      <c r="E689" s="62" t="s">
        <v>2190</v>
      </c>
      <c r="F689" s="62">
        <v>4</v>
      </c>
      <c r="G689" s="62" t="s">
        <v>2186</v>
      </c>
      <c r="H689" s="50">
        <f>VLOOKUP($A689,'[1]ma sp 02'!$A$5:$BD$1101,H$1,0)</f>
        <v>0.33</v>
      </c>
      <c r="I689" s="50">
        <f>VLOOKUP($A689,'[1]ma sp 02'!$A$5:$BD$1101,I$1,0)</f>
        <v>0</v>
      </c>
      <c r="J689" s="50">
        <f>VLOOKUP($A689,'[1]ma sp 02'!$A$5:$BD$1101,J$1,0)</f>
        <v>0</v>
      </c>
      <c r="K689" s="50">
        <f>VLOOKUP($A689,'[1]ma sp 02'!$A$5:$BD$1101,K$1,0)</f>
        <v>0</v>
      </c>
      <c r="L689" s="50">
        <f>VLOOKUP($A689,'[1]ma sp 02'!$A$5:$BD$1101,L$1,0)</f>
        <v>2.0299999999999998</v>
      </c>
      <c r="M689" s="50">
        <f>VLOOKUP($A689,'[1]ma sp 02'!$A$5:$BD$1101,M$1,0)</f>
        <v>8</v>
      </c>
      <c r="N689" s="50">
        <f>VLOOKUP($A689,'[1]ma sp 02'!$A$5:$BD$1101,N$1,0)</f>
        <v>0</v>
      </c>
      <c r="O689" s="50">
        <f>VLOOKUP($A689,'[1]ma sp 02'!$A$5:$BD$1101,O$1,0)</f>
        <v>0</v>
      </c>
      <c r="P689" s="50">
        <f>VLOOKUP($A689,'[1]ma sp 02'!$A$5:$BD$1101,P$1,0)</f>
        <v>1.9</v>
      </c>
      <c r="Q689" s="50">
        <f>VLOOKUP($A689,'[1]ma sp 02'!$A$5:$BD$1101,Q$1,0)</f>
        <v>0</v>
      </c>
      <c r="R689" s="50">
        <f>VLOOKUP($A689,'[1]ma sp 02'!$A$5:$BD$1101,R$1,0)</f>
        <v>0.01</v>
      </c>
      <c r="S689" s="50">
        <f>VLOOKUP($A689,'[1]ma sp 02'!$A$5:$BD$1101,S$1,0)</f>
        <v>0</v>
      </c>
      <c r="T689" s="50">
        <f>VLOOKUP($A689,'[1]ma sp 02'!$A$5:$BD$1101,T$1,0)</f>
        <v>0</v>
      </c>
      <c r="U689" s="50">
        <f>VLOOKUP($A689,'[1]ma sp 02'!$A$5:$BD$1101,U$1,0)</f>
        <v>0</v>
      </c>
      <c r="V689" s="50">
        <f>VLOOKUP($A689,'[1]ma sp 02'!$A$5:$BD$1101,V$1,0)</f>
        <v>0</v>
      </c>
      <c r="W689" s="50">
        <f>VLOOKUP($A689,'[1]ma sp 02'!$A$5:$BD$1101,W$1,0)</f>
        <v>0</v>
      </c>
      <c r="X689" s="50"/>
      <c r="Y689" s="62"/>
      <c r="Z689" s="62"/>
      <c r="AA689" s="62"/>
      <c r="AB689" s="62"/>
      <c r="AC689" s="62"/>
      <c r="AD689" s="62"/>
      <c r="AE689" s="62"/>
      <c r="AF689" s="62"/>
      <c r="AG689" s="53"/>
      <c r="AH689" s="54"/>
      <c r="AI689" s="54"/>
      <c r="AJ689" s="62"/>
      <c r="AK689" s="62"/>
      <c r="AL689" s="62"/>
      <c r="AM689" s="61" t="s">
        <v>1575</v>
      </c>
      <c r="AN689" s="62"/>
      <c r="AO689" s="61" t="s">
        <v>2150</v>
      </c>
      <c r="AP689" s="59">
        <f>IFERROR(VLOOKUP($A689,[2]Mssp!$A$5:$BE$1463,AP$4+1,0),0)</f>
        <v>0</v>
      </c>
      <c r="AQ689" s="59">
        <f>IFERROR(VLOOKUP($A689,[2]Mssp!$A$5:$BE$1463,AQ$4+1,0),0)</f>
        <v>0</v>
      </c>
      <c r="AR689" s="59">
        <f>IFERROR(VLOOKUP($A689,[2]Mssp!$A$5:$BE$1463,AR$4+1,0),0)</f>
        <v>0</v>
      </c>
      <c r="AS689" s="59">
        <f>IFERROR(VLOOKUP($A689,[2]Mssp!$A$5:$BE$1463,AS$4+1,0),0)</f>
        <v>0</v>
      </c>
      <c r="AT689" s="59">
        <f>IFERROR(VLOOKUP($A689,[2]Mssp!$A$5:$BE$1463,AT$4+1,0),0)</f>
        <v>0</v>
      </c>
      <c r="AU689" s="59">
        <f>IFERROR(VLOOKUP($A689,[2]Mssp!$A$5:$BE$1463,AU$4+1,0),0)</f>
        <v>0</v>
      </c>
      <c r="AV689" s="59">
        <f>IFERROR(VLOOKUP($A689,[2]Mssp!$A$5:$BE$1463,AV$4+1,0),0)</f>
        <v>0</v>
      </c>
      <c r="AW689" s="59">
        <f>IFERROR(VLOOKUP($A689,[2]Mssp!$A$5:$BE$1463,AW$4+1,0),0)</f>
        <v>0</v>
      </c>
      <c r="AX689" s="59">
        <f>IFERROR(VLOOKUP($A689,[2]Mssp!$A$5:$BE$1463,AX$4+1,0),0)</f>
        <v>0</v>
      </c>
      <c r="AY689" s="59">
        <f>IFERROR(VLOOKUP($A689,[2]Mssp!$A$5:$BE$1463,AY$4+2,0),0)</f>
        <v>0</v>
      </c>
      <c r="AZ689" s="59">
        <f>IFERROR(VLOOKUP($A689,[2]Mssp!$A$5:$BE$1463,AZ$4+2,0),0)</f>
        <v>0</v>
      </c>
      <c r="BA689" s="141"/>
      <c r="BB689" s="61"/>
      <c r="BC689" s="165"/>
      <c r="BD689" s="166"/>
      <c r="BE689" s="167"/>
      <c r="BF689" s="168"/>
      <c r="BG689" s="167"/>
      <c r="BH689" s="168"/>
      <c r="BI689" s="169"/>
      <c r="BJ689" s="168"/>
      <c r="BK689" s="134"/>
      <c r="BL689" s="168"/>
      <c r="BM689" s="167"/>
      <c r="BN689" s="168"/>
      <c r="BO689" s="62"/>
      <c r="BP689" s="168"/>
      <c r="BQ689" s="168"/>
      <c r="BR689" s="168"/>
      <c r="BS689" s="135"/>
      <c r="BT689" s="176"/>
      <c r="BU689" s="167"/>
      <c r="BV689" s="168"/>
      <c r="BW689" s="167"/>
      <c r="BX689" s="168"/>
      <c r="BY689" s="167"/>
      <c r="BZ689" s="176"/>
      <c r="CA689" s="167"/>
      <c r="CB689" s="168"/>
      <c r="CC689" s="167"/>
      <c r="CD689" s="168"/>
      <c r="CE689" s="62"/>
      <c r="CF689" s="62"/>
      <c r="CG689" s="9"/>
      <c r="CH689" s="9"/>
      <c r="CI689" s="9"/>
      <c r="CJ689" s="9"/>
      <c r="CK689" s="9"/>
      <c r="CL689" s="9"/>
      <c r="CM689" s="9"/>
      <c r="CN689" s="9"/>
      <c r="CO689" s="9"/>
      <c r="CP689" s="9"/>
    </row>
    <row r="690" spans="1:94" ht="45" x14ac:dyDescent="0.25">
      <c r="A690" s="127" t="s">
        <v>2191</v>
      </c>
      <c r="B690" s="51" t="s">
        <v>2192</v>
      </c>
      <c r="C690" s="62"/>
      <c r="D690" s="84">
        <v>4</v>
      </c>
      <c r="E690" s="62" t="s">
        <v>484</v>
      </c>
      <c r="F690" s="62">
        <v>2</v>
      </c>
      <c r="G690" s="62" t="s">
        <v>530</v>
      </c>
      <c r="H690" s="50">
        <f>VLOOKUP($A690,'[1]ma sp 02'!$A$5:$BD$1101,H$1,0)</f>
        <v>0.22700000000000001</v>
      </c>
      <c r="I690" s="50">
        <f>VLOOKUP($A690,'[1]ma sp 02'!$A$5:$BD$1101,I$1,0)</f>
        <v>0</v>
      </c>
      <c r="J690" s="50">
        <f>VLOOKUP($A690,'[1]ma sp 02'!$A$5:$BD$1101,J$1,0)</f>
        <v>0.68100000000000005</v>
      </c>
      <c r="K690" s="50">
        <f>VLOOKUP($A690,'[1]ma sp 02'!$A$5:$BD$1101,K$1,0)</f>
        <v>0.45400000000000001</v>
      </c>
      <c r="L690" s="50">
        <f>VLOOKUP($A690,'[1]ma sp 02'!$A$5:$BD$1101,L$1,0)</f>
        <v>0</v>
      </c>
      <c r="M690" s="50">
        <f>VLOOKUP($A690,'[1]ma sp 02'!$A$5:$BD$1101,M$1,0)</f>
        <v>0.45400000000000001</v>
      </c>
      <c r="N690" s="50">
        <f>VLOOKUP($A690,'[1]ma sp 02'!$A$5:$BD$1101,N$1,0)</f>
        <v>0</v>
      </c>
      <c r="O690" s="50">
        <f>VLOOKUP($A690,'[1]ma sp 02'!$A$5:$BD$1101,O$1,0)</f>
        <v>0.79400000000000004</v>
      </c>
      <c r="P690" s="50">
        <f>VLOOKUP($A690,'[1]ma sp 02'!$A$5:$BD$1101,P$1,0)</f>
        <v>0</v>
      </c>
      <c r="Q690" s="50">
        <f>VLOOKUP($A690,'[1]ma sp 02'!$A$5:$BD$1101,Q$1,0)</f>
        <v>0</v>
      </c>
      <c r="R690" s="50">
        <f>VLOOKUP($A690,'[1]ma sp 02'!$A$5:$BD$1101,R$1,0)</f>
        <v>0</v>
      </c>
      <c r="S690" s="50">
        <f>VLOOKUP($A690,'[1]ma sp 02'!$A$5:$BD$1101,S$1,0)</f>
        <v>0</v>
      </c>
      <c r="T690" s="50">
        <f>VLOOKUP($A690,'[1]ma sp 02'!$A$5:$BD$1101,T$1,0)</f>
        <v>0</v>
      </c>
      <c r="U690" s="50">
        <f>VLOOKUP($A690,'[1]ma sp 02'!$A$5:$BD$1101,U$1,0)</f>
        <v>0</v>
      </c>
      <c r="V690" s="50">
        <f>VLOOKUP($A690,'[1]ma sp 02'!$A$5:$BD$1101,V$1,0)</f>
        <v>0</v>
      </c>
      <c r="W690" s="50">
        <f>VLOOKUP($A690,'[1]ma sp 02'!$A$5:$BD$1101,W$1,0)</f>
        <v>0</v>
      </c>
      <c r="X690" s="50"/>
      <c r="Y690" s="62"/>
      <c r="Z690" s="62"/>
      <c r="AA690" s="62"/>
      <c r="AB690" s="62"/>
      <c r="AC690" s="62"/>
      <c r="AD690" s="62"/>
      <c r="AE690" s="62" t="s">
        <v>2193</v>
      </c>
      <c r="AF690" s="62" t="s">
        <v>2077</v>
      </c>
      <c r="AG690" s="53">
        <f>(0.012*1.4+0.006*2.71+0.055*0.925)*0.744</f>
        <v>6.2447640000000006E-2</v>
      </c>
      <c r="AH690" s="54">
        <f>(2.5/0.75/2)*0.744</f>
        <v>1.24</v>
      </c>
      <c r="AI690" s="54">
        <f>(2.5/0.75/2)*0.744</f>
        <v>1.24</v>
      </c>
      <c r="AJ690" s="62">
        <v>9530</v>
      </c>
      <c r="AK690" s="62">
        <v>9530</v>
      </c>
      <c r="AL690" s="62" t="s">
        <v>2194</v>
      </c>
      <c r="AM690" s="61" t="s">
        <v>1893</v>
      </c>
      <c r="AN690" s="62">
        <v>180</v>
      </c>
      <c r="AO690" s="61" t="s">
        <v>2078</v>
      </c>
      <c r="AP690" s="59" t="str">
        <f>IFERROR(VLOOKUP($A690,[2]Mssp!$A$5:$BE$1463,AP$4+1,0),0)</f>
        <v>21040596-1</v>
      </c>
      <c r="AQ690" s="59" t="str">
        <f>IFERROR(VLOOKUP($A690,[2]Mssp!$A$5:$BE$1463,AQ$4+1,0),0)</f>
        <v>20050185-2</v>
      </c>
      <c r="AR690" s="59">
        <f>IFERROR(VLOOKUP($A690,[2]Mssp!$A$5:$BE$1463,AR$4+1,0),0)</f>
        <v>0</v>
      </c>
      <c r="AS690" s="59">
        <f>IFERROR(VLOOKUP($A690,[2]Mssp!$A$5:$BE$1463,AS$4+1,0),0)</f>
        <v>0</v>
      </c>
      <c r="AT690" s="59">
        <f>IFERROR(VLOOKUP($A690,[2]Mssp!$A$5:$BE$1463,AT$4+1,0),0)</f>
        <v>0</v>
      </c>
      <c r="AU690" s="59">
        <f>IFERROR(VLOOKUP($A690,[2]Mssp!$A$5:$BE$1463,AU$4+1,0),0)</f>
        <v>0</v>
      </c>
      <c r="AV690" s="59">
        <f>IFERROR(VLOOKUP($A690,[2]Mssp!$A$5:$BE$1463,AV$4+1,0),0)</f>
        <v>0</v>
      </c>
      <c r="AW690" s="59">
        <f>IFERROR(VLOOKUP($A690,[2]Mssp!$A$5:$BE$1463,AW$4+1,0),0)</f>
        <v>0</v>
      </c>
      <c r="AX690" s="59">
        <f>IFERROR(VLOOKUP($A690,[2]Mssp!$A$5:$BE$1463,AX$4+1,0),0)</f>
        <v>0</v>
      </c>
      <c r="AY690" s="59" t="str">
        <f>IFERROR(VLOOKUP($A690,[2]Mssp!$A$5:$BE$1463,AY$4+2,0),0)</f>
        <v>450x870</v>
      </c>
      <c r="AZ690" s="59" t="str">
        <f>IFERROR(VLOOKUP($A690,[2]Mssp!$A$5:$BE$1463,AZ$4+2,0),0)</f>
        <v>S1</v>
      </c>
      <c r="BA690" s="141"/>
      <c r="BB690" s="61"/>
      <c r="BC690" s="165"/>
      <c r="BD690" s="166"/>
      <c r="BE690" s="167"/>
      <c r="BF690" s="168"/>
      <c r="BG690" s="167"/>
      <c r="BH690" s="168"/>
      <c r="BI690" s="169"/>
      <c r="BJ690" s="168"/>
      <c r="BK690" s="134"/>
      <c r="BL690" s="168"/>
      <c r="BM690" s="167"/>
      <c r="BN690" s="168"/>
      <c r="BO690" s="62"/>
      <c r="BP690" s="168"/>
      <c r="BQ690" s="168"/>
      <c r="BR690" s="168"/>
      <c r="BS690" s="135"/>
      <c r="BT690" s="176"/>
      <c r="BU690" s="167"/>
      <c r="BV690" s="168"/>
      <c r="BW690" s="167"/>
      <c r="BX690" s="168"/>
      <c r="BY690" s="167"/>
      <c r="BZ690" s="176"/>
      <c r="CA690" s="167"/>
      <c r="CB690" s="168"/>
      <c r="CC690" s="167"/>
      <c r="CD690" s="168"/>
      <c r="CE690" s="62"/>
      <c r="CF690" s="62"/>
      <c r="CG690" s="9"/>
      <c r="CH690" s="9"/>
      <c r="CI690" s="9"/>
      <c r="CJ690" s="9"/>
      <c r="CK690" s="9"/>
      <c r="CL690" s="9"/>
      <c r="CM690" s="9"/>
      <c r="CN690" s="9"/>
      <c r="CO690" s="9"/>
      <c r="CP690" s="9"/>
    </row>
    <row r="691" spans="1:94" ht="30" x14ac:dyDescent="0.25">
      <c r="A691" s="127" t="s">
        <v>2195</v>
      </c>
      <c r="B691" s="51" t="s">
        <v>2196</v>
      </c>
      <c r="C691" s="62"/>
      <c r="D691" s="84">
        <v>1</v>
      </c>
      <c r="E691" s="62" t="s">
        <v>2190</v>
      </c>
      <c r="F691" s="62">
        <v>1</v>
      </c>
      <c r="G691" s="62" t="s">
        <v>2197</v>
      </c>
      <c r="H691" s="50">
        <f>VLOOKUP($A691,'[1]ma sp 02'!$A$5:$BD$1101,H$1,0)</f>
        <v>0.28000000000000003</v>
      </c>
      <c r="I691" s="50">
        <f>VLOOKUP($A691,'[1]ma sp 02'!$A$5:$BD$1101,I$1,0)</f>
        <v>0</v>
      </c>
      <c r="J691" s="50">
        <f>VLOOKUP($A691,'[1]ma sp 02'!$A$5:$BD$1101,J$1,0)</f>
        <v>1.08</v>
      </c>
      <c r="K691" s="50">
        <f>VLOOKUP($A691,'[1]ma sp 02'!$A$5:$BD$1101,K$1,0)</f>
        <v>0.28000000000000003</v>
      </c>
      <c r="L691" s="50">
        <f>VLOOKUP($A691,'[1]ma sp 02'!$A$5:$BD$1101,L$1,0)</f>
        <v>0</v>
      </c>
      <c r="M691" s="50">
        <f>VLOOKUP($A691,'[1]ma sp 02'!$A$5:$BD$1101,M$1,0)</f>
        <v>0</v>
      </c>
      <c r="N691" s="50">
        <f>VLOOKUP($A691,'[1]ma sp 02'!$A$5:$BD$1101,N$1,0)</f>
        <v>0</v>
      </c>
      <c r="O691" s="50">
        <f>VLOOKUP($A691,'[1]ma sp 02'!$A$5:$BD$1101,O$1,0)</f>
        <v>0</v>
      </c>
      <c r="P691" s="50">
        <f>VLOOKUP($A691,'[1]ma sp 02'!$A$5:$BD$1101,P$1,0)</f>
        <v>0</v>
      </c>
      <c r="Q691" s="50">
        <f>VLOOKUP($A691,'[1]ma sp 02'!$A$5:$BD$1101,Q$1,0)</f>
        <v>0</v>
      </c>
      <c r="R691" s="50">
        <f>VLOOKUP($A691,'[1]ma sp 02'!$A$5:$BD$1101,R$1,0)</f>
        <v>0.01</v>
      </c>
      <c r="S691" s="50">
        <f>VLOOKUP($A691,'[1]ma sp 02'!$A$5:$BD$1101,S$1,0)</f>
        <v>0</v>
      </c>
      <c r="T691" s="50">
        <f>VLOOKUP($A691,'[1]ma sp 02'!$A$5:$BD$1101,T$1,0)</f>
        <v>0</v>
      </c>
      <c r="U691" s="50">
        <f>VLOOKUP($A691,'[1]ma sp 02'!$A$5:$BD$1101,U$1,0)</f>
        <v>0</v>
      </c>
      <c r="V691" s="50">
        <f>VLOOKUP($A691,'[1]ma sp 02'!$A$5:$BD$1101,V$1,0)</f>
        <v>0</v>
      </c>
      <c r="W691" s="50">
        <f>VLOOKUP($A691,'[1]ma sp 02'!$A$5:$BD$1101,W$1,0)</f>
        <v>0</v>
      </c>
      <c r="X691" s="50"/>
      <c r="Y691" s="62"/>
      <c r="Z691" s="62"/>
      <c r="AA691" s="62"/>
      <c r="AB691" s="62"/>
      <c r="AC691" s="62"/>
      <c r="AD691" s="62"/>
      <c r="AE691" s="62"/>
      <c r="AF691" s="62"/>
      <c r="AG691" s="53"/>
      <c r="AH691" s="54"/>
      <c r="AI691" s="54"/>
      <c r="AJ691" s="62"/>
      <c r="AK691" s="62"/>
      <c r="AL691" s="62"/>
      <c r="AM691" s="61" t="s">
        <v>1575</v>
      </c>
      <c r="AN691" s="62"/>
      <c r="AO691" s="61" t="s">
        <v>2150</v>
      </c>
      <c r="AP691" s="59" t="str">
        <f>IFERROR(VLOOKUP($A691,[2]Mssp!$A$5:$BE$1463,AP$4+1,0),0)</f>
        <v>20050254-1</v>
      </c>
      <c r="AQ691" s="59">
        <f>IFERROR(VLOOKUP($A691,[2]Mssp!$A$5:$BE$1463,AQ$4+1,0),0)</f>
        <v>0</v>
      </c>
      <c r="AR691" s="59">
        <f>IFERROR(VLOOKUP($A691,[2]Mssp!$A$5:$BE$1463,AR$4+1,0),0)</f>
        <v>0</v>
      </c>
      <c r="AS691" s="59">
        <f>IFERROR(VLOOKUP($A691,[2]Mssp!$A$5:$BE$1463,AS$4+1,0),0)</f>
        <v>0</v>
      </c>
      <c r="AT691" s="59">
        <f>IFERROR(VLOOKUP($A691,[2]Mssp!$A$5:$BE$1463,AT$4+1,0),0)</f>
        <v>0</v>
      </c>
      <c r="AU691" s="59">
        <f>IFERROR(VLOOKUP($A691,[2]Mssp!$A$5:$BE$1463,AU$4+1,0),0)</f>
        <v>0</v>
      </c>
      <c r="AV691" s="59">
        <f>IFERROR(VLOOKUP($A691,[2]Mssp!$A$5:$BE$1463,AV$4+1,0),0)</f>
        <v>0</v>
      </c>
      <c r="AW691" s="59">
        <f>IFERROR(VLOOKUP($A691,[2]Mssp!$A$5:$BE$1463,AW$4+1,0),0)</f>
        <v>0</v>
      </c>
      <c r="AX691" s="59">
        <f>IFERROR(VLOOKUP($A691,[2]Mssp!$A$5:$BE$1463,AX$4+1,0),0)</f>
        <v>0</v>
      </c>
      <c r="AY691" s="59" t="str">
        <f>IFERROR(VLOOKUP($A691,[2]Mssp!$A$5:$BE$1463,AY$4+2,0),0)</f>
        <v>450x1300</v>
      </c>
      <c r="AZ691" s="59" t="str">
        <f>IFERROR(VLOOKUP($A691,[2]Mssp!$A$5:$BE$1463,AZ$4+2,0),0)</f>
        <v>S1</v>
      </c>
      <c r="BA691" s="141"/>
      <c r="BB691" s="61"/>
      <c r="BC691" s="165"/>
      <c r="BD691" s="166"/>
      <c r="BE691" s="167"/>
      <c r="BF691" s="168"/>
      <c r="BG691" s="167"/>
      <c r="BH691" s="168"/>
      <c r="BI691" s="169"/>
      <c r="BJ691" s="168"/>
      <c r="BK691" s="134"/>
      <c r="BL691" s="168"/>
      <c r="BM691" s="167"/>
      <c r="BN691" s="168"/>
      <c r="BO691" s="62"/>
      <c r="BP691" s="168"/>
      <c r="BQ691" s="168"/>
      <c r="BR691" s="168"/>
      <c r="BS691" s="135"/>
      <c r="BT691" s="176"/>
      <c r="BU691" s="167"/>
      <c r="BV691" s="168"/>
      <c r="BW691" s="167"/>
      <c r="BX691" s="168"/>
      <c r="BY691" s="167"/>
      <c r="BZ691" s="176"/>
      <c r="CA691" s="167"/>
      <c r="CB691" s="168"/>
      <c r="CC691" s="167"/>
      <c r="CD691" s="168"/>
      <c r="CE691" s="62"/>
      <c r="CF691" s="62"/>
      <c r="CG691" s="9"/>
      <c r="CH691" s="9"/>
      <c r="CI691" s="9"/>
      <c r="CJ691" s="9"/>
      <c r="CK691" s="9"/>
      <c r="CL691" s="9"/>
      <c r="CM691" s="9"/>
      <c r="CN691" s="9"/>
      <c r="CO691" s="9"/>
      <c r="CP691" s="9"/>
    </row>
    <row r="692" spans="1:94" ht="30" x14ac:dyDescent="0.25">
      <c r="A692" s="127" t="s">
        <v>2198</v>
      </c>
      <c r="B692" s="51" t="s">
        <v>2199</v>
      </c>
      <c r="C692" s="62"/>
      <c r="D692" s="84">
        <v>1</v>
      </c>
      <c r="E692" s="62" t="s">
        <v>1110</v>
      </c>
      <c r="F692" s="62">
        <v>1</v>
      </c>
      <c r="G692" s="62" t="s">
        <v>2200</v>
      </c>
      <c r="H692" s="50">
        <f>VLOOKUP($A692,'[1]ma sp 02'!$A$5:$BD$1101,H$1,0)</f>
        <v>0</v>
      </c>
      <c r="I692" s="50">
        <f>VLOOKUP($A692,'[1]ma sp 02'!$A$5:$BD$1101,I$1,0)</f>
        <v>0</v>
      </c>
      <c r="J692" s="50">
        <f>VLOOKUP($A692,'[1]ma sp 02'!$A$5:$BD$1101,J$1,0)</f>
        <v>0</v>
      </c>
      <c r="K692" s="50">
        <f>VLOOKUP($A692,'[1]ma sp 02'!$A$5:$BD$1101,K$1,0)</f>
        <v>0</v>
      </c>
      <c r="L692" s="50">
        <f>VLOOKUP($A692,'[1]ma sp 02'!$A$5:$BD$1101,L$1,0)</f>
        <v>0.68</v>
      </c>
      <c r="M692" s="50">
        <f>VLOOKUP($A692,'[1]ma sp 02'!$A$5:$BD$1101,M$1,0)</f>
        <v>0</v>
      </c>
      <c r="N692" s="50">
        <f>VLOOKUP($A692,'[1]ma sp 02'!$A$5:$BD$1101,N$1,0)</f>
        <v>0</v>
      </c>
      <c r="O692" s="50">
        <f>VLOOKUP($A692,'[1]ma sp 02'!$A$5:$BD$1101,O$1,0)</f>
        <v>0</v>
      </c>
      <c r="P692" s="50">
        <f>VLOOKUP($A692,'[1]ma sp 02'!$A$5:$BD$1101,P$1,0)</f>
        <v>0.01</v>
      </c>
      <c r="Q692" s="50">
        <f>VLOOKUP($A692,'[1]ma sp 02'!$A$5:$BD$1101,Q$1,0)</f>
        <v>0</v>
      </c>
      <c r="R692" s="50">
        <f>VLOOKUP($A692,'[1]ma sp 02'!$A$5:$BD$1101,R$1,0)</f>
        <v>0</v>
      </c>
      <c r="S692" s="50">
        <f>VLOOKUP($A692,'[1]ma sp 02'!$A$5:$BD$1101,S$1,0)</f>
        <v>0</v>
      </c>
      <c r="T692" s="50">
        <f>VLOOKUP($A692,'[1]ma sp 02'!$A$5:$BD$1101,T$1,0)</f>
        <v>0</v>
      </c>
      <c r="U692" s="50">
        <f>VLOOKUP($A692,'[1]ma sp 02'!$A$5:$BD$1101,U$1,0)</f>
        <v>0</v>
      </c>
      <c r="V692" s="50">
        <f>VLOOKUP($A692,'[1]ma sp 02'!$A$5:$BD$1101,V$1,0)</f>
        <v>0</v>
      </c>
      <c r="W692" s="50">
        <f>VLOOKUP($A692,'[1]ma sp 02'!$A$5:$BD$1101,W$1,0)</f>
        <v>0</v>
      </c>
      <c r="X692" s="50"/>
      <c r="Y692" s="62"/>
      <c r="Z692" s="62"/>
      <c r="AA692" s="62"/>
      <c r="AB692" s="62"/>
      <c r="AC692" s="62"/>
      <c r="AD692" s="62"/>
      <c r="AE692" s="62" t="s">
        <v>2201</v>
      </c>
      <c r="AF692" s="62"/>
      <c r="AG692" s="53">
        <f>(0.015*1.15+0.065*0.925)*0.62</f>
        <v>4.7972500000000001E-2</v>
      </c>
      <c r="AH692" s="54">
        <f>(2.3/0.75/2)*0.61</f>
        <v>0.93533333333333324</v>
      </c>
      <c r="AI692" s="54"/>
      <c r="AJ692" s="62">
        <v>9530</v>
      </c>
      <c r="AK692" s="62"/>
      <c r="AL692" s="62">
        <v>2.3E-3</v>
      </c>
      <c r="AM692" s="61" t="s">
        <v>74</v>
      </c>
      <c r="AN692" s="62">
        <v>450</v>
      </c>
      <c r="AO692" s="61" t="s">
        <v>2202</v>
      </c>
      <c r="AP692" s="59" t="str">
        <f>IFERROR(VLOOKUP($A692,[2]Mssp!$A$5:$BE$1463,AP$4+1,0),0)</f>
        <v>20050352-1</v>
      </c>
      <c r="AQ692" s="59">
        <f>IFERROR(VLOOKUP($A692,[2]Mssp!$A$5:$BE$1463,AQ$4+1,0),0)</f>
        <v>0</v>
      </c>
      <c r="AR692" s="59">
        <f>IFERROR(VLOOKUP($A692,[2]Mssp!$A$5:$BE$1463,AR$4+1,0),0)</f>
        <v>0</v>
      </c>
      <c r="AS692" s="59">
        <f>IFERROR(VLOOKUP($A692,[2]Mssp!$A$5:$BE$1463,AS$4+1,0),0)</f>
        <v>0</v>
      </c>
      <c r="AT692" s="59">
        <f>IFERROR(VLOOKUP($A692,[2]Mssp!$A$5:$BE$1463,AT$4+1,0),0)</f>
        <v>0</v>
      </c>
      <c r="AU692" s="59">
        <f>IFERROR(VLOOKUP($A692,[2]Mssp!$A$5:$BE$1463,AU$4+1,0),0)</f>
        <v>0</v>
      </c>
      <c r="AV692" s="59">
        <f>IFERROR(VLOOKUP($A692,[2]Mssp!$A$5:$BE$1463,AV$4+1,0),0)</f>
        <v>0</v>
      </c>
      <c r="AW692" s="59">
        <f>IFERROR(VLOOKUP($A692,[2]Mssp!$A$5:$BE$1463,AW$4+1,0),0)</f>
        <v>0</v>
      </c>
      <c r="AX692" s="59">
        <f>IFERROR(VLOOKUP($A692,[2]Mssp!$A$5:$BE$1463,AX$4+1,0),0)</f>
        <v>0</v>
      </c>
      <c r="AY692" s="59" t="str">
        <f>IFERROR(VLOOKUP($A692,[2]Mssp!$A$5:$BE$1463,AY$4+2,0),0)</f>
        <v>450x870</v>
      </c>
      <c r="AZ692" s="59" t="str">
        <f>IFERROR(VLOOKUP($A692,[2]Mssp!$A$5:$BE$1463,AZ$4+2,0),0)</f>
        <v>S1</v>
      </c>
      <c r="BA692" s="141"/>
      <c r="BB692" s="61"/>
      <c r="BC692" s="165"/>
      <c r="BD692" s="166"/>
      <c r="BE692" s="167"/>
      <c r="BF692" s="168"/>
      <c r="BG692" s="167"/>
      <c r="BH692" s="168"/>
      <c r="BI692" s="169"/>
      <c r="BJ692" s="168"/>
      <c r="BK692" s="134"/>
      <c r="BL692" s="168"/>
      <c r="BM692" s="167"/>
      <c r="BN692" s="168"/>
      <c r="BO692" s="62"/>
      <c r="BP692" s="168"/>
      <c r="BQ692" s="168"/>
      <c r="BR692" s="168"/>
      <c r="BS692" s="135"/>
      <c r="BT692" s="176"/>
      <c r="BU692" s="167"/>
      <c r="BV692" s="168"/>
      <c r="BW692" s="167"/>
      <c r="BX692" s="168"/>
      <c r="BY692" s="167"/>
      <c r="BZ692" s="176"/>
      <c r="CA692" s="167"/>
      <c r="CB692" s="168"/>
      <c r="CC692" s="167"/>
      <c r="CD692" s="168"/>
      <c r="CE692" s="62"/>
      <c r="CF692" s="62"/>
      <c r="CG692" s="9"/>
      <c r="CH692" s="9"/>
      <c r="CI692" s="9"/>
      <c r="CJ692" s="9"/>
      <c r="CK692" s="9"/>
      <c r="CL692" s="9"/>
      <c r="CM692" s="9"/>
      <c r="CN692" s="9"/>
      <c r="CO692" s="9"/>
      <c r="CP692" s="9"/>
    </row>
    <row r="693" spans="1:94" ht="45" x14ac:dyDescent="0.25">
      <c r="A693" s="127" t="s">
        <v>2203</v>
      </c>
      <c r="B693" s="51" t="s">
        <v>2204</v>
      </c>
      <c r="C693" s="62"/>
      <c r="D693" s="84">
        <v>1</v>
      </c>
      <c r="E693" s="62" t="s">
        <v>803</v>
      </c>
      <c r="F693" s="62"/>
      <c r="G693" s="62" t="s">
        <v>184</v>
      </c>
      <c r="H693" s="50">
        <f>VLOOKUP($A693,'[1]ma sp 02'!$A$5:$BD$1101,H$1,0)</f>
        <v>0</v>
      </c>
      <c r="I693" s="50">
        <f>VLOOKUP($A693,'[1]ma sp 02'!$A$5:$BD$1101,I$1,0)</f>
        <v>0</v>
      </c>
      <c r="J693" s="50">
        <f>VLOOKUP($A693,'[1]ma sp 02'!$A$5:$BD$1101,J$1,0)</f>
        <v>0</v>
      </c>
      <c r="K693" s="50">
        <f>VLOOKUP($A693,'[1]ma sp 02'!$A$5:$BD$1101,K$1,0)</f>
        <v>0</v>
      </c>
      <c r="L693" s="50">
        <f>VLOOKUP($A693,'[1]ma sp 02'!$A$5:$BD$1101,L$1,0)</f>
        <v>0</v>
      </c>
      <c r="M693" s="50">
        <f>VLOOKUP($A693,'[1]ma sp 02'!$A$5:$BD$1101,M$1,0)</f>
        <v>0</v>
      </c>
      <c r="N693" s="50">
        <f>VLOOKUP($A693,'[1]ma sp 02'!$A$5:$BD$1101,N$1,0)</f>
        <v>0</v>
      </c>
      <c r="O693" s="50">
        <f>VLOOKUP($A693,'[1]ma sp 02'!$A$5:$BD$1101,O$1,0)</f>
        <v>0</v>
      </c>
      <c r="P693" s="50">
        <f>VLOOKUP($A693,'[1]ma sp 02'!$A$5:$BD$1101,P$1,0)</f>
        <v>0</v>
      </c>
      <c r="Q693" s="50">
        <f>VLOOKUP($A693,'[1]ma sp 02'!$A$5:$BD$1101,Q$1,0)</f>
        <v>0</v>
      </c>
      <c r="R693" s="50">
        <f>VLOOKUP($A693,'[1]ma sp 02'!$A$5:$BD$1101,R$1,0)</f>
        <v>0</v>
      </c>
      <c r="S693" s="50">
        <f>VLOOKUP($A693,'[1]ma sp 02'!$A$5:$BD$1101,S$1,0)</f>
        <v>0</v>
      </c>
      <c r="T693" s="50">
        <f>VLOOKUP($A693,'[1]ma sp 02'!$A$5:$BD$1101,T$1,0)</f>
        <v>0</v>
      </c>
      <c r="U693" s="50">
        <f>VLOOKUP($A693,'[1]ma sp 02'!$A$5:$BD$1101,U$1,0)</f>
        <v>0</v>
      </c>
      <c r="V693" s="50">
        <f>VLOOKUP($A693,'[1]ma sp 02'!$A$5:$BD$1101,V$1,0)</f>
        <v>0</v>
      </c>
      <c r="W693" s="50">
        <f>VLOOKUP($A693,'[1]ma sp 02'!$A$5:$BD$1101,W$1,0)</f>
        <v>0</v>
      </c>
      <c r="X693" s="50"/>
      <c r="Y693" s="62"/>
      <c r="Z693" s="62"/>
      <c r="AA693" s="62"/>
      <c r="AB693" s="62"/>
      <c r="AC693" s="62"/>
      <c r="AD693" s="62"/>
      <c r="AE693" s="62" t="s">
        <v>2205</v>
      </c>
      <c r="AF693" s="62"/>
      <c r="AG693" s="53">
        <f>(0.02*0.91+0.03*0.91)*0.84</f>
        <v>3.8219999999999997E-2</v>
      </c>
      <c r="AH693" s="54">
        <f>(1.4/0.75/2)*0.83</f>
        <v>0.7746666666666665</v>
      </c>
      <c r="AI693" s="54"/>
      <c r="AJ693" s="62" t="s">
        <v>1881</v>
      </c>
      <c r="AK693" s="62"/>
      <c r="AL693" s="62">
        <v>1.1999999999999999E-3</v>
      </c>
      <c r="AM693" s="61" t="s">
        <v>128</v>
      </c>
      <c r="AN693" s="62">
        <v>480</v>
      </c>
      <c r="AO693" s="61" t="s">
        <v>2206</v>
      </c>
      <c r="AP693" s="59">
        <f>IFERROR(VLOOKUP($A693,[2]Mssp!$A$5:$BE$1463,AP$4+1,0),0)</f>
        <v>0</v>
      </c>
      <c r="AQ693" s="59">
        <f>IFERROR(VLOOKUP($A693,[2]Mssp!$A$5:$BE$1463,AQ$4+1,0),0)</f>
        <v>0</v>
      </c>
      <c r="AR693" s="59">
        <f>IFERROR(VLOOKUP($A693,[2]Mssp!$A$5:$BE$1463,AR$4+1,0),0)</f>
        <v>0</v>
      </c>
      <c r="AS693" s="59">
        <f>IFERROR(VLOOKUP($A693,[2]Mssp!$A$5:$BE$1463,AS$4+1,0),0)</f>
        <v>0</v>
      </c>
      <c r="AT693" s="59">
        <f>IFERROR(VLOOKUP($A693,[2]Mssp!$A$5:$BE$1463,AT$4+1,0),0)</f>
        <v>0</v>
      </c>
      <c r="AU693" s="59">
        <f>IFERROR(VLOOKUP($A693,[2]Mssp!$A$5:$BE$1463,AU$4+1,0),0)</f>
        <v>0</v>
      </c>
      <c r="AV693" s="59">
        <f>IFERROR(VLOOKUP($A693,[2]Mssp!$A$5:$BE$1463,AV$4+1,0),0)</f>
        <v>0</v>
      </c>
      <c r="AW693" s="59">
        <f>IFERROR(VLOOKUP($A693,[2]Mssp!$A$5:$BE$1463,AW$4+1,0),0)</f>
        <v>0</v>
      </c>
      <c r="AX693" s="59">
        <f>IFERROR(VLOOKUP($A693,[2]Mssp!$A$5:$BE$1463,AX$4+1,0),0)</f>
        <v>0</v>
      </c>
      <c r="AY693" s="59">
        <f>IFERROR(VLOOKUP($A693,[2]Mssp!$A$5:$BE$1463,AY$4+2,0),0)</f>
        <v>0</v>
      </c>
      <c r="AZ693" s="59" t="str">
        <f>IFERROR(VLOOKUP($A693,[2]Mssp!$A$5:$BE$1463,AZ$4+2,0),0)</f>
        <v>S1</v>
      </c>
      <c r="BA693" s="141"/>
      <c r="BB693" s="61"/>
      <c r="BC693" s="165"/>
      <c r="BD693" s="166"/>
      <c r="BE693" s="167"/>
      <c r="BF693" s="168"/>
      <c r="BG693" s="167"/>
      <c r="BH693" s="168"/>
      <c r="BI693" s="169"/>
      <c r="BJ693" s="168"/>
      <c r="BK693" s="134"/>
      <c r="BL693" s="168"/>
      <c r="BM693" s="167"/>
      <c r="BN693" s="168"/>
      <c r="BO693" s="62"/>
      <c r="BP693" s="168"/>
      <c r="BQ693" s="168"/>
      <c r="BR693" s="168"/>
      <c r="BS693" s="135"/>
      <c r="BT693" s="176"/>
      <c r="BU693" s="167"/>
      <c r="BV693" s="168"/>
      <c r="BW693" s="167"/>
      <c r="BX693" s="168"/>
      <c r="BY693" s="167"/>
      <c r="BZ693" s="176"/>
      <c r="CA693" s="167"/>
      <c r="CB693" s="168"/>
      <c r="CC693" s="167"/>
      <c r="CD693" s="168"/>
      <c r="CE693" s="62"/>
      <c r="CF693" s="62"/>
      <c r="CG693" s="9"/>
      <c r="CH693" s="9"/>
      <c r="CI693" s="9"/>
      <c r="CJ693" s="9"/>
      <c r="CK693" s="9"/>
      <c r="CL693" s="9"/>
      <c r="CM693" s="9"/>
      <c r="CN693" s="9"/>
      <c r="CO693" s="9"/>
      <c r="CP693" s="9"/>
    </row>
    <row r="694" spans="1:94" ht="45" x14ac:dyDescent="0.25">
      <c r="A694" s="127" t="s">
        <v>2207</v>
      </c>
      <c r="B694" s="51" t="s">
        <v>2208</v>
      </c>
      <c r="C694" s="62"/>
      <c r="D694" s="84">
        <v>5</v>
      </c>
      <c r="E694" s="62" t="s">
        <v>299</v>
      </c>
      <c r="F694" s="62">
        <v>3</v>
      </c>
      <c r="G694" s="62" t="s">
        <v>184</v>
      </c>
      <c r="H694" s="50">
        <f>VLOOKUP($A694,'[1]ma sp 02'!$A$5:$BD$1101,H$1,0)</f>
        <v>0</v>
      </c>
      <c r="I694" s="50">
        <f>VLOOKUP($A694,'[1]ma sp 02'!$A$5:$BD$1101,I$1,0)</f>
        <v>3.03</v>
      </c>
      <c r="J694" s="50">
        <f>VLOOKUP($A694,'[1]ma sp 02'!$A$5:$BD$1101,J$1,0)</f>
        <v>0</v>
      </c>
      <c r="K694" s="50">
        <f>VLOOKUP($A694,'[1]ma sp 02'!$A$5:$BD$1101,K$1,0)</f>
        <v>0</v>
      </c>
      <c r="L694" s="50">
        <f>VLOOKUP($A694,'[1]ma sp 02'!$A$5:$BD$1101,L$1,0)</f>
        <v>0.62</v>
      </c>
      <c r="M694" s="50">
        <f>VLOOKUP($A694,'[1]ma sp 02'!$A$5:$BD$1101,M$1,0)</f>
        <v>0</v>
      </c>
      <c r="N694" s="50">
        <f>VLOOKUP($A694,'[1]ma sp 02'!$A$5:$BD$1101,N$1,0)</f>
        <v>1.35</v>
      </c>
      <c r="O694" s="50">
        <f>VLOOKUP($A694,'[1]ma sp 02'!$A$5:$BD$1101,O$1,0)</f>
        <v>0</v>
      </c>
      <c r="P694" s="50">
        <f>VLOOKUP($A694,'[1]ma sp 02'!$A$5:$BD$1101,P$1,0)</f>
        <v>0</v>
      </c>
      <c r="Q694" s="50">
        <f>VLOOKUP($A694,'[1]ma sp 02'!$A$5:$BD$1101,Q$1,0)</f>
        <v>0.01</v>
      </c>
      <c r="R694" s="50">
        <f>VLOOKUP($A694,'[1]ma sp 02'!$A$5:$BD$1101,R$1,0)</f>
        <v>0</v>
      </c>
      <c r="S694" s="50">
        <f>VLOOKUP($A694,'[1]ma sp 02'!$A$5:$BD$1101,S$1,0)</f>
        <v>0</v>
      </c>
      <c r="T694" s="50">
        <f>VLOOKUP($A694,'[1]ma sp 02'!$A$5:$BD$1101,T$1,0)</f>
        <v>0</v>
      </c>
      <c r="U694" s="50">
        <f>VLOOKUP($A694,'[1]ma sp 02'!$A$5:$BD$1101,U$1,0)</f>
        <v>0</v>
      </c>
      <c r="V694" s="50">
        <f>VLOOKUP($A694,'[1]ma sp 02'!$A$5:$BD$1101,V$1,0)</f>
        <v>0</v>
      </c>
      <c r="W694" s="50">
        <f>VLOOKUP($A694,'[1]ma sp 02'!$A$5:$BD$1101,W$1,0)</f>
        <v>0</v>
      </c>
      <c r="X694" s="50"/>
      <c r="Y694" s="62"/>
      <c r="Z694" s="62"/>
      <c r="AA694" s="62"/>
      <c r="AB694" s="62"/>
      <c r="AC694" s="62"/>
      <c r="AD694" s="62"/>
      <c r="AE694" s="62" t="s">
        <v>2209</v>
      </c>
      <c r="AF694" s="62"/>
      <c r="AG694" s="53">
        <f>(0.02*0.91+0.02*0.91)*0.82</f>
        <v>2.9848E-2</v>
      </c>
      <c r="AH694" s="54">
        <f>(1.2/0.75/2)*0.83</f>
        <v>0.66399999999999992</v>
      </c>
      <c r="AI694" s="54"/>
      <c r="AJ694" s="62" t="s">
        <v>1881</v>
      </c>
      <c r="AK694" s="62"/>
      <c r="AL694" s="62">
        <v>1.1999999999999999E-3</v>
      </c>
      <c r="AM694" s="61" t="s">
        <v>1579</v>
      </c>
      <c r="AN694" s="62">
        <v>95</v>
      </c>
      <c r="AO694" s="61" t="s">
        <v>2210</v>
      </c>
      <c r="AP694" s="59" t="str">
        <f>IFERROR(VLOOKUP($A694,[2]Mssp!$A$5:$BE$1463,AP$4+1,0),0)</f>
        <v>X108968-1</v>
      </c>
      <c r="AQ694" s="59" t="str">
        <f>IFERROR(VLOOKUP($A694,[2]Mssp!$A$5:$BE$1463,AQ$4+1,0),0)</f>
        <v>X108968-2</v>
      </c>
      <c r="AR694" s="59" t="str">
        <f>IFERROR(VLOOKUP($A694,[2]Mssp!$A$5:$BE$1463,AR$4+1,0),0)</f>
        <v>X108968-3</v>
      </c>
      <c r="AS694" s="59">
        <f>IFERROR(VLOOKUP($A694,[2]Mssp!$A$5:$BE$1463,AS$4+1,0),0)</f>
        <v>0</v>
      </c>
      <c r="AT694" s="59">
        <f>IFERROR(VLOOKUP($A694,[2]Mssp!$A$5:$BE$1463,AT$4+1,0),0)</f>
        <v>0</v>
      </c>
      <c r="AU694" s="59">
        <f>IFERROR(VLOOKUP($A694,[2]Mssp!$A$5:$BE$1463,AU$4+1,0),0)</f>
        <v>0</v>
      </c>
      <c r="AV694" s="59">
        <f>IFERROR(VLOOKUP($A694,[2]Mssp!$A$5:$BE$1463,AV$4+1,0),0)</f>
        <v>0</v>
      </c>
      <c r="AW694" s="59">
        <f>IFERROR(VLOOKUP($A694,[2]Mssp!$A$5:$BE$1463,AW$4+1,0),0)</f>
        <v>0</v>
      </c>
      <c r="AX694" s="59">
        <f>IFERROR(VLOOKUP($A694,[2]Mssp!$A$5:$BE$1463,AX$4+1,0),0)</f>
        <v>0</v>
      </c>
      <c r="AY694" s="59" t="str">
        <f>IFERROR(VLOOKUP($A694,[2]Mssp!$A$5:$BE$1463,AY$4+2,0),0)</f>
        <v>870x475</v>
      </c>
      <c r="AZ694" s="59" t="str">
        <f>IFERROR(VLOOKUP($A694,[2]Mssp!$A$5:$BE$1463,AZ$4+2,0),0)</f>
        <v>S1</v>
      </c>
      <c r="BA694" s="141"/>
      <c r="BB694" s="61" t="s">
        <v>952</v>
      </c>
      <c r="BC694" s="165"/>
      <c r="BD694" s="166"/>
      <c r="BE694" s="167"/>
      <c r="BF694" s="168"/>
      <c r="BG694" s="167"/>
      <c r="BH694" s="168"/>
      <c r="BI694" s="169"/>
      <c r="BJ694" s="168"/>
      <c r="BK694" s="134"/>
      <c r="BL694" s="168"/>
      <c r="BM694" s="167"/>
      <c r="BN694" s="168"/>
      <c r="BO694" s="62"/>
      <c r="BP694" s="168"/>
      <c r="BQ694" s="168"/>
      <c r="BR694" s="168"/>
      <c r="BS694" s="135"/>
      <c r="BT694" s="176"/>
      <c r="BU694" s="167"/>
      <c r="BV694" s="168"/>
      <c r="BW694" s="167"/>
      <c r="BX694" s="168"/>
      <c r="BY694" s="167"/>
      <c r="BZ694" s="176"/>
      <c r="CA694" s="167"/>
      <c r="CB694" s="168"/>
      <c r="CC694" s="167"/>
      <c r="CD694" s="168"/>
      <c r="CE694" s="62"/>
      <c r="CF694" s="62"/>
      <c r="CG694" s="9"/>
      <c r="CH694" s="9"/>
      <c r="CI694" s="9"/>
      <c r="CJ694" s="9"/>
      <c r="CK694" s="9"/>
      <c r="CL694" s="9"/>
      <c r="CM694" s="9"/>
      <c r="CN694" s="9"/>
      <c r="CO694" s="9"/>
      <c r="CP694" s="9"/>
    </row>
    <row r="695" spans="1:94" ht="30" x14ac:dyDescent="0.25">
      <c r="A695" s="127" t="s">
        <v>2211</v>
      </c>
      <c r="B695" s="51" t="s">
        <v>2212</v>
      </c>
      <c r="C695" s="62"/>
      <c r="D695" s="84">
        <v>5</v>
      </c>
      <c r="E695" s="62" t="s">
        <v>2213</v>
      </c>
      <c r="F695" s="62">
        <v>6</v>
      </c>
      <c r="G695" s="62" t="s">
        <v>184</v>
      </c>
      <c r="H695" s="50">
        <f>VLOOKUP($A695,'[1]ma sp 02'!$A$5:$BD$1101,H$1,0)</f>
        <v>0.01</v>
      </c>
      <c r="I695" s="50">
        <f>VLOOKUP($A695,'[1]ma sp 02'!$A$5:$BD$1101,I$1,0)</f>
        <v>2.12</v>
      </c>
      <c r="J695" s="50">
        <f>VLOOKUP($A695,'[1]ma sp 02'!$A$5:$BD$1101,J$1,0)</f>
        <v>0.01</v>
      </c>
      <c r="K695" s="50">
        <f>VLOOKUP($A695,'[1]ma sp 02'!$A$5:$BD$1101,K$1,0)</f>
        <v>0.01</v>
      </c>
      <c r="L695" s="50">
        <f>VLOOKUP($A695,'[1]ma sp 02'!$A$5:$BD$1101,L$1,0)</f>
        <v>8.83</v>
      </c>
      <c r="M695" s="50">
        <f>VLOOKUP($A695,'[1]ma sp 02'!$A$5:$BD$1101,M$1,0)</f>
        <v>2.31</v>
      </c>
      <c r="N695" s="50">
        <f>VLOOKUP($A695,'[1]ma sp 02'!$A$5:$BD$1101,N$1,0)</f>
        <v>0</v>
      </c>
      <c r="O695" s="50">
        <f>VLOOKUP($A695,'[1]ma sp 02'!$A$5:$BD$1101,O$1,0)</f>
        <v>0</v>
      </c>
      <c r="P695" s="50">
        <f>VLOOKUP($A695,'[1]ma sp 02'!$A$5:$BD$1101,P$1,0)</f>
        <v>0</v>
      </c>
      <c r="Q695" s="50">
        <f>VLOOKUP($A695,'[1]ma sp 02'!$A$5:$BD$1101,Q$1,0)</f>
        <v>0.19</v>
      </c>
      <c r="R695" s="50">
        <f>VLOOKUP($A695,'[1]ma sp 02'!$A$5:$BD$1101,R$1,0)</f>
        <v>0</v>
      </c>
      <c r="S695" s="50">
        <f>VLOOKUP($A695,'[1]ma sp 02'!$A$5:$BD$1101,S$1,0)</f>
        <v>0</v>
      </c>
      <c r="T695" s="50">
        <f>VLOOKUP($A695,'[1]ma sp 02'!$A$5:$BD$1101,T$1,0)</f>
        <v>0</v>
      </c>
      <c r="U695" s="50">
        <f>VLOOKUP($A695,'[1]ma sp 02'!$A$5:$BD$1101,U$1,0)</f>
        <v>0</v>
      </c>
      <c r="V695" s="50">
        <f>VLOOKUP($A695,'[1]ma sp 02'!$A$5:$BD$1101,V$1,0)</f>
        <v>0</v>
      </c>
      <c r="W695" s="50">
        <f>VLOOKUP($A695,'[1]ma sp 02'!$A$5:$BD$1101,W$1,0)</f>
        <v>0</v>
      </c>
      <c r="X695" s="50"/>
      <c r="Y695" s="62"/>
      <c r="Z695" s="62"/>
      <c r="AA695" s="62"/>
      <c r="AB695" s="62"/>
      <c r="AC695" s="62"/>
      <c r="AD695" s="62"/>
      <c r="AE695" s="62" t="s">
        <v>516</v>
      </c>
      <c r="AF695" s="62"/>
      <c r="AG695" s="53">
        <f>(0.02*0.91+0.02*0.91)*0.72</f>
        <v>2.6207999999999999E-2</v>
      </c>
      <c r="AH695" s="54">
        <f>(1.2/0.75/2)*0.71</f>
        <v>0.56799999999999995</v>
      </c>
      <c r="AI695" s="54"/>
      <c r="AJ695" s="62" t="s">
        <v>1881</v>
      </c>
      <c r="AK695" s="62"/>
      <c r="AL695" s="62">
        <v>1.1999999999999999E-3</v>
      </c>
      <c r="AM695" s="61" t="s">
        <v>1579</v>
      </c>
      <c r="AN695" s="62">
        <v>82</v>
      </c>
      <c r="AO695" s="61" t="s">
        <v>2214</v>
      </c>
      <c r="AP695" s="59" t="str">
        <f>IFERROR(VLOOKUP($A695,[2]Mssp!$A$5:$BE$1463,AP$4+1,0),0)</f>
        <v>F126122-1</v>
      </c>
      <c r="AQ695" s="59" t="str">
        <f>IFERROR(VLOOKUP($A695,[2]Mssp!$A$5:$BE$1463,AQ$4+1,0),0)</f>
        <v>F126122-2</v>
      </c>
      <c r="AR695" s="59" t="str">
        <f>IFERROR(VLOOKUP($A695,[2]Mssp!$A$5:$BE$1463,AR$4+1,0),0)</f>
        <v>F126122-3</v>
      </c>
      <c r="AS695" s="59" t="str">
        <f>IFERROR(VLOOKUP($A695,[2]Mssp!$A$5:$BE$1463,AS$4+1,0),0)</f>
        <v>F126122-4</v>
      </c>
      <c r="AT695" s="59" t="str">
        <f>IFERROR(VLOOKUP($A695,[2]Mssp!$A$5:$BE$1463,AT$4+1,0),0)</f>
        <v>F126122-5</v>
      </c>
      <c r="AU695" s="59" t="str">
        <f>IFERROR(VLOOKUP($A695,[2]Mssp!$A$5:$BE$1463,AU$4+1,0),0)</f>
        <v>F126122-6</v>
      </c>
      <c r="AV695" s="59">
        <f>IFERROR(VLOOKUP($A695,[2]Mssp!$A$5:$BE$1463,AV$4+1,0),0)</f>
        <v>0</v>
      </c>
      <c r="AW695" s="59">
        <f>IFERROR(VLOOKUP($A695,[2]Mssp!$A$5:$BE$1463,AW$4+1,0),0)</f>
        <v>0</v>
      </c>
      <c r="AX695" s="59">
        <f>IFERROR(VLOOKUP($A695,[2]Mssp!$A$5:$BE$1463,AX$4+1,0),0)</f>
        <v>0</v>
      </c>
      <c r="AY695" s="59" t="str">
        <f>IFERROR(VLOOKUP($A695,[2]Mssp!$A$5:$BE$1463,AY$4+2,0),0)</f>
        <v>780x410</v>
      </c>
      <c r="AZ695" s="59" t="str">
        <f>IFERROR(VLOOKUP($A695,[2]Mssp!$A$5:$BE$1463,AZ$4+2,0),0)</f>
        <v>S1</v>
      </c>
      <c r="BA695" s="141"/>
      <c r="BB695" s="61" t="s">
        <v>952</v>
      </c>
      <c r="BC695" s="165"/>
      <c r="BD695" s="166"/>
      <c r="BE695" s="167"/>
      <c r="BF695" s="168"/>
      <c r="BG695" s="167"/>
      <c r="BH695" s="168"/>
      <c r="BI695" s="169"/>
      <c r="BJ695" s="168"/>
      <c r="BK695" s="134"/>
      <c r="BL695" s="168"/>
      <c r="BM695" s="167"/>
      <c r="BN695" s="168"/>
      <c r="BO695" s="62"/>
      <c r="BP695" s="168"/>
      <c r="BQ695" s="168"/>
      <c r="BR695" s="168"/>
      <c r="BS695" s="135"/>
      <c r="BT695" s="176"/>
      <c r="BU695" s="167"/>
      <c r="BV695" s="168"/>
      <c r="BW695" s="167"/>
      <c r="BX695" s="168"/>
      <c r="BY695" s="167"/>
      <c r="BZ695" s="176"/>
      <c r="CA695" s="167"/>
      <c r="CB695" s="168"/>
      <c r="CC695" s="167"/>
      <c r="CD695" s="168"/>
      <c r="CE695" s="62"/>
      <c r="CF695" s="62"/>
      <c r="CG695" s="9"/>
      <c r="CH695" s="9"/>
      <c r="CI695" s="9"/>
      <c r="CJ695" s="9"/>
      <c r="CK695" s="9"/>
      <c r="CL695" s="9"/>
      <c r="CM695" s="9"/>
      <c r="CN695" s="9"/>
      <c r="CO695" s="9"/>
      <c r="CP695" s="9"/>
    </row>
    <row r="696" spans="1:94" ht="30" x14ac:dyDescent="0.25">
      <c r="A696" s="127" t="s">
        <v>2215</v>
      </c>
      <c r="B696" s="51" t="s">
        <v>2216</v>
      </c>
      <c r="C696" s="62"/>
      <c r="D696" s="84">
        <v>3</v>
      </c>
      <c r="E696" s="62" t="s">
        <v>495</v>
      </c>
      <c r="F696" s="62">
        <v>6</v>
      </c>
      <c r="G696" s="62" t="s">
        <v>184</v>
      </c>
      <c r="H696" s="50">
        <f>VLOOKUP($A696,'[1]ma sp 02'!$A$5:$BD$1101,H$1,0)</f>
        <v>0.01</v>
      </c>
      <c r="I696" s="50">
        <f>VLOOKUP($A696,'[1]ma sp 02'!$A$5:$BD$1101,I$1,0)</f>
        <v>2.13</v>
      </c>
      <c r="J696" s="50">
        <f>VLOOKUP($A696,'[1]ma sp 02'!$A$5:$BD$1101,J$1,0)</f>
        <v>0.01</v>
      </c>
      <c r="K696" s="50">
        <f>VLOOKUP($A696,'[1]ma sp 02'!$A$5:$BD$1101,K$1,0)</f>
        <v>0.36</v>
      </c>
      <c r="L696" s="50">
        <f>VLOOKUP($A696,'[1]ma sp 02'!$A$5:$BD$1101,L$1,0)</f>
        <v>3.43</v>
      </c>
      <c r="M696" s="50">
        <f>VLOOKUP($A696,'[1]ma sp 02'!$A$5:$BD$1101,M$1,0)</f>
        <v>1.37</v>
      </c>
      <c r="N696" s="50">
        <f>VLOOKUP($A696,'[1]ma sp 02'!$A$5:$BD$1101,N$1,0)</f>
        <v>0</v>
      </c>
      <c r="O696" s="50">
        <f>VLOOKUP($A696,'[1]ma sp 02'!$A$5:$BD$1101,O$1,0)</f>
        <v>0</v>
      </c>
      <c r="P696" s="50">
        <f>VLOOKUP($A696,'[1]ma sp 02'!$A$5:$BD$1101,P$1,0)</f>
        <v>0.26</v>
      </c>
      <c r="Q696" s="50">
        <f>VLOOKUP($A696,'[1]ma sp 02'!$A$5:$BD$1101,Q$1,0)</f>
        <v>0.06</v>
      </c>
      <c r="R696" s="50">
        <f>VLOOKUP($A696,'[1]ma sp 02'!$A$5:$BD$1101,R$1,0)</f>
        <v>0</v>
      </c>
      <c r="S696" s="50">
        <f>VLOOKUP($A696,'[1]ma sp 02'!$A$5:$BD$1101,S$1,0)</f>
        <v>0.01</v>
      </c>
      <c r="T696" s="50">
        <f>VLOOKUP($A696,'[1]ma sp 02'!$A$5:$BD$1101,T$1,0)</f>
        <v>0</v>
      </c>
      <c r="U696" s="50">
        <f>VLOOKUP($A696,'[1]ma sp 02'!$A$5:$BD$1101,U$1,0)</f>
        <v>0</v>
      </c>
      <c r="V696" s="50">
        <f>VLOOKUP($A696,'[1]ma sp 02'!$A$5:$BD$1101,V$1,0)</f>
        <v>0</v>
      </c>
      <c r="W696" s="50">
        <f>VLOOKUP($A696,'[1]ma sp 02'!$A$5:$BD$1101,W$1,0)</f>
        <v>0</v>
      </c>
      <c r="X696" s="50"/>
      <c r="Y696" s="62"/>
      <c r="Z696" s="62"/>
      <c r="AA696" s="62"/>
      <c r="AB696" s="62"/>
      <c r="AC696" s="62"/>
      <c r="AD696" s="62"/>
      <c r="AE696" s="62" t="s">
        <v>2217</v>
      </c>
      <c r="AF696" s="62"/>
      <c r="AG696" s="53">
        <f>(0.02*0.91+0.03*0.925)*0.66</f>
        <v>3.0327000000000003E-2</v>
      </c>
      <c r="AH696" s="54">
        <f>(1.8/0.75/2)*0.65</f>
        <v>0.78</v>
      </c>
      <c r="AI696" s="54"/>
      <c r="AJ696" s="62">
        <v>9530</v>
      </c>
      <c r="AK696" s="62"/>
      <c r="AL696" s="62">
        <v>1.8E-3</v>
      </c>
      <c r="AM696" s="61" t="s">
        <v>74</v>
      </c>
      <c r="AN696" s="62">
        <v>465</v>
      </c>
      <c r="AO696" s="61" t="s">
        <v>2218</v>
      </c>
      <c r="AP696" s="59" t="str">
        <f>IFERROR(VLOOKUP($A696,[2]Mssp!$A$5:$BE$1463,AP$4+1,0),0)</f>
        <v>20051246-1</v>
      </c>
      <c r="AQ696" s="59" t="str">
        <f>IFERROR(VLOOKUP($A696,[2]Mssp!$A$5:$BE$1463,AQ$4+1,0),0)</f>
        <v>20051246-2</v>
      </c>
      <c r="AR696" s="59" t="str">
        <f>IFERROR(VLOOKUP($A696,[2]Mssp!$A$5:$BE$1463,AR$4+1,0),0)</f>
        <v>20051246-3</v>
      </c>
      <c r="AS696" s="59" t="str">
        <f>IFERROR(VLOOKUP($A696,[2]Mssp!$A$5:$BE$1463,AS$4+1,0),0)</f>
        <v>20051246-4</v>
      </c>
      <c r="AT696" s="59" t="str">
        <f>IFERROR(VLOOKUP($A696,[2]Mssp!$A$5:$BE$1463,AT$4+1,0),0)</f>
        <v>20051246-5</v>
      </c>
      <c r="AU696" s="59" t="str">
        <f>IFERROR(VLOOKUP($A696,[2]Mssp!$A$5:$BE$1463,AU$4+1,0),0)</f>
        <v>20051246-6</v>
      </c>
      <c r="AV696" s="59">
        <f>IFERROR(VLOOKUP($A696,[2]Mssp!$A$5:$BE$1463,AV$4+1,0),0)</f>
        <v>0</v>
      </c>
      <c r="AW696" s="59">
        <f>IFERROR(VLOOKUP($A696,[2]Mssp!$A$5:$BE$1463,AW$4+1,0),0)</f>
        <v>0</v>
      </c>
      <c r="AX696" s="59">
        <f>IFERROR(VLOOKUP($A696,[2]Mssp!$A$5:$BE$1463,AX$4+1,0),0)</f>
        <v>0</v>
      </c>
      <c r="AY696" s="59" t="str">
        <f>IFERROR(VLOOKUP($A696,[2]Mssp!$A$5:$BE$1463,AY$4+2,0),0)</f>
        <v>465x870</v>
      </c>
      <c r="AZ696" s="59" t="str">
        <f>IFERROR(VLOOKUP($A696,[2]Mssp!$A$5:$BE$1463,AZ$4+2,0),0)</f>
        <v>S1</v>
      </c>
      <c r="BA696" s="141">
        <v>15000</v>
      </c>
      <c r="BB696" s="61" t="s">
        <v>235</v>
      </c>
      <c r="BC696" s="165"/>
      <c r="BD696" s="166"/>
      <c r="BE696" s="167"/>
      <c r="BF696" s="168"/>
      <c r="BG696" s="167"/>
      <c r="BH696" s="168"/>
      <c r="BI696" s="169"/>
      <c r="BJ696" s="168"/>
      <c r="BK696" s="134"/>
      <c r="BL696" s="168"/>
      <c r="BM696" s="167"/>
      <c r="BN696" s="168"/>
      <c r="BO696" s="62"/>
      <c r="BP696" s="168"/>
      <c r="BQ696" s="168"/>
      <c r="BR696" s="168"/>
      <c r="BS696" s="135"/>
      <c r="BT696" s="176"/>
      <c r="BU696" s="167"/>
      <c r="BV696" s="168"/>
      <c r="BW696" s="167"/>
      <c r="BX696" s="168"/>
      <c r="BY696" s="167"/>
      <c r="BZ696" s="176"/>
      <c r="CA696" s="167"/>
      <c r="CB696" s="168"/>
      <c r="CC696" s="167"/>
      <c r="CD696" s="168"/>
      <c r="CE696" s="62"/>
      <c r="CF696" s="62"/>
      <c r="CG696" s="9"/>
      <c r="CH696" s="9"/>
      <c r="CI696" s="9"/>
      <c r="CJ696" s="9"/>
      <c r="CK696" s="9"/>
      <c r="CL696" s="9"/>
      <c r="CM696" s="9"/>
      <c r="CN696" s="9"/>
      <c r="CO696" s="9"/>
      <c r="CP696" s="9"/>
    </row>
    <row r="697" spans="1:94" ht="30" x14ac:dyDescent="0.25">
      <c r="A697" s="127" t="s">
        <v>2219</v>
      </c>
      <c r="B697" s="51" t="s">
        <v>2220</v>
      </c>
      <c r="C697" s="62"/>
      <c r="D697" s="84">
        <v>1</v>
      </c>
      <c r="E697" s="62" t="s">
        <v>973</v>
      </c>
      <c r="F697" s="62"/>
      <c r="G697" s="62"/>
      <c r="H697" s="50">
        <f>VLOOKUP($A697,'[1]ma sp 02'!$A$5:$BD$1101,H$1,0)</f>
        <v>0</v>
      </c>
      <c r="I697" s="50">
        <f>VLOOKUP($A697,'[1]ma sp 02'!$A$5:$BD$1101,I$1,0)</f>
        <v>0</v>
      </c>
      <c r="J697" s="50">
        <f>VLOOKUP($A697,'[1]ma sp 02'!$A$5:$BD$1101,J$1,0)</f>
        <v>0</v>
      </c>
      <c r="K697" s="50">
        <f>VLOOKUP($A697,'[1]ma sp 02'!$A$5:$BD$1101,K$1,0)</f>
        <v>0</v>
      </c>
      <c r="L697" s="50">
        <f>VLOOKUP($A697,'[1]ma sp 02'!$A$5:$BD$1101,L$1,0)</f>
        <v>0</v>
      </c>
      <c r="M697" s="50">
        <f>VLOOKUP($A697,'[1]ma sp 02'!$A$5:$BD$1101,M$1,0)</f>
        <v>0</v>
      </c>
      <c r="N697" s="50">
        <f>VLOOKUP($A697,'[1]ma sp 02'!$A$5:$BD$1101,N$1,0)</f>
        <v>0</v>
      </c>
      <c r="O697" s="50">
        <f>VLOOKUP($A697,'[1]ma sp 02'!$A$5:$BD$1101,O$1,0)</f>
        <v>0</v>
      </c>
      <c r="P697" s="50">
        <f>VLOOKUP($A697,'[1]ma sp 02'!$A$5:$BD$1101,P$1,0)</f>
        <v>0</v>
      </c>
      <c r="Q697" s="50">
        <f>VLOOKUP($A697,'[1]ma sp 02'!$A$5:$BD$1101,Q$1,0)</f>
        <v>0</v>
      </c>
      <c r="R697" s="50">
        <f>VLOOKUP($A697,'[1]ma sp 02'!$A$5:$BD$1101,R$1,0)</f>
        <v>0</v>
      </c>
      <c r="S697" s="50">
        <f>VLOOKUP($A697,'[1]ma sp 02'!$A$5:$BD$1101,S$1,0)</f>
        <v>0</v>
      </c>
      <c r="T697" s="50">
        <f>VLOOKUP($A697,'[1]ma sp 02'!$A$5:$BD$1101,T$1,0)</f>
        <v>0</v>
      </c>
      <c r="U697" s="50">
        <f>VLOOKUP($A697,'[1]ma sp 02'!$A$5:$BD$1101,U$1,0)</f>
        <v>0</v>
      </c>
      <c r="V697" s="50">
        <f>VLOOKUP($A697,'[1]ma sp 02'!$A$5:$BD$1101,V$1,0)</f>
        <v>0</v>
      </c>
      <c r="W697" s="50">
        <f>VLOOKUP($A697,'[1]ma sp 02'!$A$5:$BD$1101,W$1,0)</f>
        <v>0</v>
      </c>
      <c r="X697" s="50"/>
      <c r="Y697" s="62"/>
      <c r="Z697" s="62"/>
      <c r="AA697" s="62"/>
      <c r="AB697" s="62"/>
      <c r="AC697" s="62"/>
      <c r="AD697" s="62"/>
      <c r="AE697" s="62" t="s">
        <v>2117</v>
      </c>
      <c r="AF697" s="62"/>
      <c r="AG697" s="53">
        <f>(0.015*1.15+0.085*0.925)*0.58</f>
        <v>5.5607500000000004E-2</v>
      </c>
      <c r="AH697" s="54">
        <f>(2.3/0.75/2)*0.57</f>
        <v>0.87399999999999989</v>
      </c>
      <c r="AI697" s="54"/>
      <c r="AJ697" s="62">
        <v>9530</v>
      </c>
      <c r="AK697" s="62"/>
      <c r="AL697" s="62">
        <v>2.3E-3</v>
      </c>
      <c r="AM697" s="61" t="s">
        <v>74</v>
      </c>
      <c r="AN697" s="62">
        <v>200</v>
      </c>
      <c r="AO697" s="61" t="s">
        <v>527</v>
      </c>
      <c r="AP697" s="59">
        <f>IFERROR(VLOOKUP($A697,[2]Mssp!$A$5:$BE$1463,AP$4+1,0),0)</f>
        <v>0</v>
      </c>
      <c r="AQ697" s="59">
        <f>IFERROR(VLOOKUP($A697,[2]Mssp!$A$5:$BE$1463,AQ$4+1,0),0)</f>
        <v>0</v>
      </c>
      <c r="AR697" s="59">
        <f>IFERROR(VLOOKUP($A697,[2]Mssp!$A$5:$BE$1463,AR$4+1,0),0)</f>
        <v>0</v>
      </c>
      <c r="AS697" s="59">
        <f>IFERROR(VLOOKUP($A697,[2]Mssp!$A$5:$BE$1463,AS$4+1,0),0)</f>
        <v>0</v>
      </c>
      <c r="AT697" s="59">
        <f>IFERROR(VLOOKUP($A697,[2]Mssp!$A$5:$BE$1463,AT$4+1,0),0)</f>
        <v>0</v>
      </c>
      <c r="AU697" s="59">
        <f>IFERROR(VLOOKUP($A697,[2]Mssp!$A$5:$BE$1463,AU$4+1,0),0)</f>
        <v>0</v>
      </c>
      <c r="AV697" s="59">
        <f>IFERROR(VLOOKUP($A697,[2]Mssp!$A$5:$BE$1463,AV$4+1,0),0)</f>
        <v>0</v>
      </c>
      <c r="AW697" s="59">
        <f>IFERROR(VLOOKUP($A697,[2]Mssp!$A$5:$BE$1463,AW$4+1,0),0)</f>
        <v>0</v>
      </c>
      <c r="AX697" s="59">
        <f>IFERROR(VLOOKUP($A697,[2]Mssp!$A$5:$BE$1463,AX$4+1,0),0)</f>
        <v>0</v>
      </c>
      <c r="AY697" s="59">
        <f>IFERROR(VLOOKUP($A697,[2]Mssp!$A$5:$BE$1463,AY$4+2,0),0)</f>
        <v>0</v>
      </c>
      <c r="AZ697" s="59">
        <f>IFERROR(VLOOKUP($A697,[2]Mssp!$A$5:$BE$1463,AZ$4+2,0),0)</f>
        <v>0</v>
      </c>
      <c r="BA697" s="141"/>
      <c r="BB697" s="61" t="s">
        <v>235</v>
      </c>
      <c r="BC697" s="165"/>
      <c r="BD697" s="166"/>
      <c r="BE697" s="167"/>
      <c r="BF697" s="168"/>
      <c r="BG697" s="167"/>
      <c r="BH697" s="168"/>
      <c r="BI697" s="169"/>
      <c r="BJ697" s="168"/>
      <c r="BK697" s="134"/>
      <c r="BL697" s="168"/>
      <c r="BM697" s="167"/>
      <c r="BN697" s="168"/>
      <c r="BO697" s="62"/>
      <c r="BP697" s="168"/>
      <c r="BQ697" s="168"/>
      <c r="BR697" s="168"/>
      <c r="BS697" s="135"/>
      <c r="BT697" s="176"/>
      <c r="BU697" s="167"/>
      <c r="BV697" s="168"/>
      <c r="BW697" s="167"/>
      <c r="BX697" s="168"/>
      <c r="BY697" s="167"/>
      <c r="BZ697" s="176"/>
      <c r="CA697" s="167"/>
      <c r="CB697" s="168"/>
      <c r="CC697" s="167"/>
      <c r="CD697" s="168"/>
      <c r="CE697" s="62"/>
      <c r="CF697" s="62"/>
      <c r="CG697" s="9"/>
      <c r="CH697" s="9"/>
      <c r="CI697" s="9"/>
      <c r="CJ697" s="9"/>
      <c r="CK697" s="9"/>
      <c r="CL697" s="9"/>
      <c r="CM697" s="9"/>
      <c r="CN697" s="9"/>
      <c r="CO697" s="9"/>
      <c r="CP697" s="9"/>
    </row>
    <row r="698" spans="1:94" ht="45" x14ac:dyDescent="0.25">
      <c r="A698" s="127" t="s">
        <v>2221</v>
      </c>
      <c r="B698" s="51" t="s">
        <v>2222</v>
      </c>
      <c r="C698" s="62"/>
      <c r="D698" s="84">
        <v>1</v>
      </c>
      <c r="E698" s="62" t="s">
        <v>2223</v>
      </c>
      <c r="F698" s="62">
        <v>6</v>
      </c>
      <c r="G698" s="62" t="s">
        <v>530</v>
      </c>
      <c r="H698" s="50">
        <f>VLOOKUP($A698,'[1]ma sp 02'!$A$5:$BD$1101,H$1,0)</f>
        <v>5.6000000000000001E-2</v>
      </c>
      <c r="I698" s="50">
        <f>VLOOKUP($A698,'[1]ma sp 02'!$A$5:$BD$1101,I$1,0)</f>
        <v>0</v>
      </c>
      <c r="J698" s="50">
        <f>VLOOKUP($A698,'[1]ma sp 02'!$A$5:$BD$1101,J$1,0)</f>
        <v>0.78</v>
      </c>
      <c r="K698" s="50">
        <f>VLOOKUP($A698,'[1]ma sp 02'!$A$5:$BD$1101,K$1,0)</f>
        <v>0.67</v>
      </c>
      <c r="L698" s="50">
        <f>VLOOKUP($A698,'[1]ma sp 02'!$A$5:$BD$1101,L$1,0)</f>
        <v>1.45</v>
      </c>
      <c r="M698" s="50">
        <f>VLOOKUP($A698,'[1]ma sp 02'!$A$5:$BD$1101,M$1,0)</f>
        <v>0.22</v>
      </c>
      <c r="N698" s="50">
        <f>VLOOKUP($A698,'[1]ma sp 02'!$A$5:$BD$1101,N$1,0)</f>
        <v>0</v>
      </c>
      <c r="O698" s="50">
        <f>VLOOKUP($A698,'[1]ma sp 02'!$A$5:$BD$1101,O$1,0)</f>
        <v>0</v>
      </c>
      <c r="P698" s="50">
        <f>VLOOKUP($A698,'[1]ma sp 02'!$A$5:$BD$1101,P$1,0)</f>
        <v>2.46</v>
      </c>
      <c r="Q698" s="50">
        <f>VLOOKUP($A698,'[1]ma sp 02'!$A$5:$BD$1101,Q$1,0)</f>
        <v>0</v>
      </c>
      <c r="R698" s="50">
        <f>VLOOKUP($A698,'[1]ma sp 02'!$A$5:$BD$1101,R$1,0)</f>
        <v>0.28000000000000003</v>
      </c>
      <c r="S698" s="50">
        <f>VLOOKUP($A698,'[1]ma sp 02'!$A$5:$BD$1101,S$1,0)</f>
        <v>0</v>
      </c>
      <c r="T698" s="50">
        <f>VLOOKUP($A698,'[1]ma sp 02'!$A$5:$BD$1101,T$1,0)</f>
        <v>0</v>
      </c>
      <c r="U698" s="50">
        <f>VLOOKUP($A698,'[1]ma sp 02'!$A$5:$BD$1101,U$1,0)</f>
        <v>0</v>
      </c>
      <c r="V698" s="50">
        <f>VLOOKUP($A698,'[1]ma sp 02'!$A$5:$BD$1101,V$1,0)</f>
        <v>0</v>
      </c>
      <c r="W698" s="50">
        <f>VLOOKUP($A698,'[1]ma sp 02'!$A$5:$BD$1101,W$1,0)</f>
        <v>0</v>
      </c>
      <c r="X698" s="50"/>
      <c r="Y698" s="62"/>
      <c r="Z698" s="62"/>
      <c r="AA698" s="62"/>
      <c r="AB698" s="62"/>
      <c r="AC698" s="62"/>
      <c r="AD698" s="62"/>
      <c r="AE698" s="62" t="s">
        <v>2224</v>
      </c>
      <c r="AF698" s="62"/>
      <c r="AG698" s="53">
        <f>(0.015*1.15+0.13*0.94)*0.75</f>
        <v>0.1045875</v>
      </c>
      <c r="AH698" s="54">
        <f>(3/0.75/2)*0.74</f>
        <v>1.48</v>
      </c>
      <c r="AI698" s="54"/>
      <c r="AJ698" s="62">
        <v>9530</v>
      </c>
      <c r="AK698" s="62"/>
      <c r="AL698" s="62">
        <v>3.0000000000000001E-3</v>
      </c>
      <c r="AM698" s="61" t="s">
        <v>1579</v>
      </c>
      <c r="AN698" s="62">
        <v>480</v>
      </c>
      <c r="AO698" s="61" t="s">
        <v>2225</v>
      </c>
      <c r="AP698" s="59" t="str">
        <f>IFERROR(VLOOKUP($A698,[2]Mssp!$A$5:$BE$1463,AP$4+1,0),0)</f>
        <v>1809279-1</v>
      </c>
      <c r="AQ698" s="59" t="str">
        <f>IFERROR(VLOOKUP($A698,[2]Mssp!$A$5:$BE$1463,AQ$4+1,0),0)</f>
        <v>20051157-2</v>
      </c>
      <c r="AR698" s="59" t="str">
        <f>IFERROR(VLOOKUP($A698,[2]Mssp!$A$5:$BE$1463,AR$4+1,0),0)</f>
        <v>1809279-3</v>
      </c>
      <c r="AS698" s="59" t="str">
        <f>IFERROR(VLOOKUP($A698,[2]Mssp!$A$5:$BE$1463,AS$4+1,0),0)</f>
        <v>1809279-4</v>
      </c>
      <c r="AT698" s="59" t="str">
        <f>IFERROR(VLOOKUP($A698,[2]Mssp!$A$5:$BE$1463,AT$4+1,0),0)</f>
        <v>1809279-5</v>
      </c>
      <c r="AU698" s="59" t="str">
        <f>IFERROR(VLOOKUP($A698,[2]Mssp!$A$5:$BE$1463,AU$4+1,0),0)</f>
        <v>1809279-6</v>
      </c>
      <c r="AV698" s="59" t="str">
        <f>IFERROR(VLOOKUP($A698,[2]Mssp!$A$5:$BE$1463,AV$4+1,0),0)</f>
        <v>1809279-7</v>
      </c>
      <c r="AW698" s="59">
        <f>IFERROR(VLOOKUP($A698,[2]Mssp!$A$5:$BE$1463,AW$4+1,0),0)</f>
        <v>0</v>
      </c>
      <c r="AX698" s="59">
        <f>IFERROR(VLOOKUP($A698,[2]Mssp!$A$5:$BE$1463,AX$4+1,0),0)</f>
        <v>0</v>
      </c>
      <c r="AY698" s="59" t="str">
        <f>IFERROR(VLOOKUP($A698,[2]Mssp!$A$5:$BE$1463,AY$4+2,0),0)</f>
        <v>480x810</v>
      </c>
      <c r="AZ698" s="59" t="str">
        <f>IFERROR(VLOOKUP($A698,[2]Mssp!$A$5:$BE$1463,AZ$4+2,0),0)</f>
        <v>S1</v>
      </c>
      <c r="BA698" s="141"/>
      <c r="BB698" s="61"/>
      <c r="BC698" s="165"/>
      <c r="BD698" s="166"/>
      <c r="BE698" s="167"/>
      <c r="BF698" s="168"/>
      <c r="BG698" s="167"/>
      <c r="BH698" s="168"/>
      <c r="BI698" s="169"/>
      <c r="BJ698" s="168"/>
      <c r="BK698" s="134"/>
      <c r="BL698" s="168"/>
      <c r="BM698" s="167"/>
      <c r="BN698" s="168"/>
      <c r="BO698" s="62"/>
      <c r="BP698" s="168"/>
      <c r="BQ698" s="168"/>
      <c r="BR698" s="168"/>
      <c r="BS698" s="135"/>
      <c r="BT698" s="176"/>
      <c r="BU698" s="167"/>
      <c r="BV698" s="168"/>
      <c r="BW698" s="167"/>
      <c r="BX698" s="168"/>
      <c r="BY698" s="167"/>
      <c r="BZ698" s="176"/>
      <c r="CA698" s="167"/>
      <c r="CB698" s="168"/>
      <c r="CC698" s="167"/>
      <c r="CD698" s="168"/>
      <c r="CE698" s="62"/>
      <c r="CF698" s="62"/>
      <c r="CG698" s="9"/>
      <c r="CH698" s="9"/>
      <c r="CI698" s="9"/>
      <c r="CJ698" s="9"/>
      <c r="CK698" s="9"/>
      <c r="CL698" s="9"/>
      <c r="CM698" s="9"/>
      <c r="CN698" s="9"/>
      <c r="CO698" s="9"/>
      <c r="CP698" s="9"/>
    </row>
    <row r="699" spans="1:94" ht="45" x14ac:dyDescent="0.25">
      <c r="A699" s="127" t="s">
        <v>2226</v>
      </c>
      <c r="B699" s="51" t="s">
        <v>2227</v>
      </c>
      <c r="C699" s="62"/>
      <c r="D699" s="84">
        <v>3</v>
      </c>
      <c r="E699" s="62" t="s">
        <v>636</v>
      </c>
      <c r="F699" s="62"/>
      <c r="G699" s="62" t="s">
        <v>530</v>
      </c>
      <c r="H699" s="50">
        <f>VLOOKUP($A699,'[1]ma sp 02'!$A$5:$BD$1101,H$1,0)</f>
        <v>0</v>
      </c>
      <c r="I699" s="50">
        <f>VLOOKUP($A699,'[1]ma sp 02'!$A$5:$BD$1101,I$1,0)</f>
        <v>0</v>
      </c>
      <c r="J699" s="50">
        <f>VLOOKUP($A699,'[1]ma sp 02'!$A$5:$BD$1101,J$1,0)</f>
        <v>0</v>
      </c>
      <c r="K699" s="50">
        <f>VLOOKUP($A699,'[1]ma sp 02'!$A$5:$BD$1101,K$1,0)</f>
        <v>0</v>
      </c>
      <c r="L699" s="50">
        <f>VLOOKUP($A699,'[1]ma sp 02'!$A$5:$BD$1101,L$1,0)</f>
        <v>0</v>
      </c>
      <c r="M699" s="50">
        <f>VLOOKUP($A699,'[1]ma sp 02'!$A$5:$BD$1101,M$1,0)</f>
        <v>0</v>
      </c>
      <c r="N699" s="50">
        <f>VLOOKUP($A699,'[1]ma sp 02'!$A$5:$BD$1101,N$1,0)</f>
        <v>0</v>
      </c>
      <c r="O699" s="50">
        <f>VLOOKUP($A699,'[1]ma sp 02'!$A$5:$BD$1101,O$1,0)</f>
        <v>0</v>
      </c>
      <c r="P699" s="50">
        <f>VLOOKUP($A699,'[1]ma sp 02'!$A$5:$BD$1101,P$1,0)</f>
        <v>0</v>
      </c>
      <c r="Q699" s="50">
        <f>VLOOKUP($A699,'[1]ma sp 02'!$A$5:$BD$1101,Q$1,0)</f>
        <v>0</v>
      </c>
      <c r="R699" s="50">
        <f>VLOOKUP($A699,'[1]ma sp 02'!$A$5:$BD$1101,R$1,0)</f>
        <v>0</v>
      </c>
      <c r="S699" s="50">
        <f>VLOOKUP($A699,'[1]ma sp 02'!$A$5:$BD$1101,S$1,0)</f>
        <v>0</v>
      </c>
      <c r="T699" s="50">
        <f>VLOOKUP($A699,'[1]ma sp 02'!$A$5:$BD$1101,T$1,0)</f>
        <v>0</v>
      </c>
      <c r="U699" s="50">
        <f>VLOOKUP($A699,'[1]ma sp 02'!$A$5:$BD$1101,U$1,0)</f>
        <v>0</v>
      </c>
      <c r="V699" s="50">
        <f>VLOOKUP($A699,'[1]ma sp 02'!$A$5:$BD$1101,V$1,0)</f>
        <v>0</v>
      </c>
      <c r="W699" s="50">
        <f>VLOOKUP($A699,'[1]ma sp 02'!$A$5:$BD$1101,W$1,0)</f>
        <v>0</v>
      </c>
      <c r="X699" s="50"/>
      <c r="Y699" s="62"/>
      <c r="Z699" s="62"/>
      <c r="AA699" s="62"/>
      <c r="AB699" s="62"/>
      <c r="AC699" s="62"/>
      <c r="AD699" s="62"/>
      <c r="AE699" s="62" t="s">
        <v>2228</v>
      </c>
      <c r="AF699" s="62" t="s">
        <v>2229</v>
      </c>
      <c r="AG699" s="53">
        <f>(0.012*1.4+0.006*2.7+0.07*0.925)*0.76</f>
        <v>7.4290000000000009E-2</v>
      </c>
      <c r="AH699" s="54">
        <f>(2.3/0.75/2)*0.75</f>
        <v>1.1499999999999999</v>
      </c>
      <c r="AI699" s="54">
        <f>(2.3/0.75/2)*0.75</f>
        <v>1.1499999999999999</v>
      </c>
      <c r="AJ699" s="62">
        <v>9530</v>
      </c>
      <c r="AK699" s="62">
        <v>9530</v>
      </c>
      <c r="AL699" s="62" t="s">
        <v>1590</v>
      </c>
      <c r="AM699" s="61" t="s">
        <v>1893</v>
      </c>
      <c r="AN699" s="62">
        <v>190</v>
      </c>
      <c r="AO699" s="61" t="s">
        <v>2230</v>
      </c>
      <c r="AP699" s="59">
        <f>IFERROR(VLOOKUP($A699,[2]Mssp!$A$5:$BE$1463,AP$4+1,0),0)</f>
        <v>0</v>
      </c>
      <c r="AQ699" s="59">
        <f>IFERROR(VLOOKUP($A699,[2]Mssp!$A$5:$BE$1463,AQ$4+1,0),0)</f>
        <v>0</v>
      </c>
      <c r="AR699" s="59">
        <f>IFERROR(VLOOKUP($A699,[2]Mssp!$A$5:$BE$1463,AR$4+1,0),0)</f>
        <v>0</v>
      </c>
      <c r="AS699" s="59">
        <f>IFERROR(VLOOKUP($A699,[2]Mssp!$A$5:$BE$1463,AS$4+1,0),0)</f>
        <v>0</v>
      </c>
      <c r="AT699" s="59">
        <f>IFERROR(VLOOKUP($A699,[2]Mssp!$A$5:$BE$1463,AT$4+1,0),0)</f>
        <v>0</v>
      </c>
      <c r="AU699" s="59">
        <f>IFERROR(VLOOKUP($A699,[2]Mssp!$A$5:$BE$1463,AU$4+1,0),0)</f>
        <v>0</v>
      </c>
      <c r="AV699" s="59">
        <f>IFERROR(VLOOKUP($A699,[2]Mssp!$A$5:$BE$1463,AV$4+1,0),0)</f>
        <v>0</v>
      </c>
      <c r="AW699" s="59">
        <f>IFERROR(VLOOKUP($A699,[2]Mssp!$A$5:$BE$1463,AW$4+1,0),0)</f>
        <v>0</v>
      </c>
      <c r="AX699" s="59">
        <f>IFERROR(VLOOKUP($A699,[2]Mssp!$A$5:$BE$1463,AX$4+1,0),0)</f>
        <v>0</v>
      </c>
      <c r="AY699" s="59">
        <f>IFERROR(VLOOKUP($A699,[2]Mssp!$A$5:$BE$1463,AY$4+2,0),0)</f>
        <v>0</v>
      </c>
      <c r="AZ699" s="59">
        <f>IFERROR(VLOOKUP($A699,[2]Mssp!$A$5:$BE$1463,AZ$4+2,0),0)</f>
        <v>0</v>
      </c>
      <c r="BA699" s="141"/>
      <c r="BB699" s="61"/>
      <c r="BC699" s="165"/>
      <c r="BD699" s="166"/>
      <c r="BE699" s="167"/>
      <c r="BF699" s="168"/>
      <c r="BG699" s="167"/>
      <c r="BH699" s="168"/>
      <c r="BI699" s="169"/>
      <c r="BJ699" s="168"/>
      <c r="BK699" s="134"/>
      <c r="BL699" s="168"/>
      <c r="BM699" s="167"/>
      <c r="BN699" s="168"/>
      <c r="BO699" s="62"/>
      <c r="BP699" s="168"/>
      <c r="BQ699" s="168"/>
      <c r="BR699" s="168"/>
      <c r="BS699" s="135"/>
      <c r="BT699" s="176"/>
      <c r="BU699" s="167"/>
      <c r="BV699" s="168"/>
      <c r="BW699" s="167"/>
      <c r="BX699" s="168"/>
      <c r="BY699" s="167"/>
      <c r="BZ699" s="176"/>
      <c r="CA699" s="167"/>
      <c r="CB699" s="168"/>
      <c r="CC699" s="167"/>
      <c r="CD699" s="168"/>
      <c r="CE699" s="62"/>
      <c r="CF699" s="62"/>
      <c r="CG699" s="9"/>
      <c r="CH699" s="9"/>
      <c r="CI699" s="9"/>
      <c r="CJ699" s="9"/>
      <c r="CK699" s="9"/>
      <c r="CL699" s="9"/>
      <c r="CM699" s="9"/>
      <c r="CN699" s="9"/>
      <c r="CO699" s="9"/>
      <c r="CP699" s="9"/>
    </row>
    <row r="700" spans="1:94" ht="45" x14ac:dyDescent="0.25">
      <c r="A700" s="127" t="s">
        <v>2231</v>
      </c>
      <c r="B700" s="51" t="s">
        <v>2232</v>
      </c>
      <c r="C700" s="62"/>
      <c r="D700" s="84">
        <v>2</v>
      </c>
      <c r="E700" s="62" t="s">
        <v>2233</v>
      </c>
      <c r="F700" s="62"/>
      <c r="G700" s="62" t="s">
        <v>530</v>
      </c>
      <c r="H700" s="50">
        <f>VLOOKUP($A700,'[1]ma sp 02'!$A$5:$BD$1101,H$1,0)</f>
        <v>0</v>
      </c>
      <c r="I700" s="50">
        <f>VLOOKUP($A700,'[1]ma sp 02'!$A$5:$BD$1101,I$1,0)</f>
        <v>0</v>
      </c>
      <c r="J700" s="50">
        <f>VLOOKUP($A700,'[1]ma sp 02'!$A$5:$BD$1101,J$1,0)</f>
        <v>0</v>
      </c>
      <c r="K700" s="50">
        <f>VLOOKUP($A700,'[1]ma sp 02'!$A$5:$BD$1101,K$1,0)</f>
        <v>0</v>
      </c>
      <c r="L700" s="50">
        <f>VLOOKUP($A700,'[1]ma sp 02'!$A$5:$BD$1101,L$1,0)</f>
        <v>0</v>
      </c>
      <c r="M700" s="50">
        <f>VLOOKUP($A700,'[1]ma sp 02'!$A$5:$BD$1101,M$1,0)</f>
        <v>0</v>
      </c>
      <c r="N700" s="50">
        <f>VLOOKUP($A700,'[1]ma sp 02'!$A$5:$BD$1101,N$1,0)</f>
        <v>0</v>
      </c>
      <c r="O700" s="50">
        <f>VLOOKUP($A700,'[1]ma sp 02'!$A$5:$BD$1101,O$1,0)</f>
        <v>0</v>
      </c>
      <c r="P700" s="50">
        <f>VLOOKUP($A700,'[1]ma sp 02'!$A$5:$BD$1101,P$1,0)</f>
        <v>0</v>
      </c>
      <c r="Q700" s="50">
        <f>VLOOKUP($A700,'[1]ma sp 02'!$A$5:$BD$1101,Q$1,0)</f>
        <v>0</v>
      </c>
      <c r="R700" s="50">
        <f>VLOOKUP($A700,'[1]ma sp 02'!$A$5:$BD$1101,R$1,0)</f>
        <v>0</v>
      </c>
      <c r="S700" s="50">
        <f>VLOOKUP($A700,'[1]ma sp 02'!$A$5:$BD$1101,S$1,0)</f>
        <v>0</v>
      </c>
      <c r="T700" s="50">
        <f>VLOOKUP($A700,'[1]ma sp 02'!$A$5:$BD$1101,T$1,0)</f>
        <v>0</v>
      </c>
      <c r="U700" s="50">
        <f>VLOOKUP($A700,'[1]ma sp 02'!$A$5:$BD$1101,U$1,0)</f>
        <v>0</v>
      </c>
      <c r="V700" s="50">
        <f>VLOOKUP($A700,'[1]ma sp 02'!$A$5:$BD$1101,V$1,0)</f>
        <v>0</v>
      </c>
      <c r="W700" s="50">
        <f>VLOOKUP($A700,'[1]ma sp 02'!$A$5:$BD$1101,W$1,0)</f>
        <v>0</v>
      </c>
      <c r="X700" s="50"/>
      <c r="Y700" s="62"/>
      <c r="Z700" s="62"/>
      <c r="AA700" s="62"/>
      <c r="AB700" s="62"/>
      <c r="AC700" s="62"/>
      <c r="AD700" s="62"/>
      <c r="AE700" s="62" t="s">
        <v>2137</v>
      </c>
      <c r="AF700" s="62" t="s">
        <v>2234</v>
      </c>
      <c r="AG700" s="53">
        <f>(0.012*1.4+0.006*2.7+0.07*0.925)*0.8</f>
        <v>7.8200000000000019E-2</v>
      </c>
      <c r="AH700" s="54">
        <f>(2.3/0.75/2)*0.79</f>
        <v>1.2113333333333334</v>
      </c>
      <c r="AI700" s="54">
        <f>(2.3/0.75/2)*0.79</f>
        <v>1.2113333333333334</v>
      </c>
      <c r="AJ700" s="62">
        <v>9530</v>
      </c>
      <c r="AK700" s="62">
        <v>9530</v>
      </c>
      <c r="AL700" s="62" t="s">
        <v>1590</v>
      </c>
      <c r="AM700" s="61" t="s">
        <v>1893</v>
      </c>
      <c r="AN700" s="62">
        <v>230</v>
      </c>
      <c r="AO700" s="61" t="s">
        <v>2230</v>
      </c>
      <c r="AP700" s="59">
        <f>IFERROR(VLOOKUP($A700,[2]Mssp!$A$5:$BE$1463,AP$4+1,0),0)</f>
        <v>0</v>
      </c>
      <c r="AQ700" s="59">
        <f>IFERROR(VLOOKUP($A700,[2]Mssp!$A$5:$BE$1463,AQ$4+1,0),0)</f>
        <v>0</v>
      </c>
      <c r="AR700" s="59">
        <f>IFERROR(VLOOKUP($A700,[2]Mssp!$A$5:$BE$1463,AR$4+1,0),0)</f>
        <v>0</v>
      </c>
      <c r="AS700" s="59">
        <f>IFERROR(VLOOKUP($A700,[2]Mssp!$A$5:$BE$1463,AS$4+1,0),0)</f>
        <v>0</v>
      </c>
      <c r="AT700" s="59">
        <f>IFERROR(VLOOKUP($A700,[2]Mssp!$A$5:$BE$1463,AT$4+1,0),0)</f>
        <v>0</v>
      </c>
      <c r="AU700" s="59">
        <f>IFERROR(VLOOKUP($A700,[2]Mssp!$A$5:$BE$1463,AU$4+1,0),0)</f>
        <v>0</v>
      </c>
      <c r="AV700" s="59">
        <f>IFERROR(VLOOKUP($A700,[2]Mssp!$A$5:$BE$1463,AV$4+1,0),0)</f>
        <v>0</v>
      </c>
      <c r="AW700" s="59">
        <f>IFERROR(VLOOKUP($A700,[2]Mssp!$A$5:$BE$1463,AW$4+1,0),0)</f>
        <v>0</v>
      </c>
      <c r="AX700" s="59">
        <f>IFERROR(VLOOKUP($A700,[2]Mssp!$A$5:$BE$1463,AX$4+1,0),0)</f>
        <v>0</v>
      </c>
      <c r="AY700" s="59">
        <f>IFERROR(VLOOKUP($A700,[2]Mssp!$A$5:$BE$1463,AY$4+2,0),0)</f>
        <v>0</v>
      </c>
      <c r="AZ700" s="59">
        <f>IFERROR(VLOOKUP($A700,[2]Mssp!$A$5:$BE$1463,AZ$4+2,0),0)</f>
        <v>0</v>
      </c>
      <c r="BA700" s="141"/>
      <c r="BB700" s="61"/>
      <c r="BC700" s="165"/>
      <c r="BD700" s="166"/>
      <c r="BE700" s="167"/>
      <c r="BF700" s="168"/>
      <c r="BG700" s="167"/>
      <c r="BH700" s="168"/>
      <c r="BI700" s="169"/>
      <c r="BJ700" s="168"/>
      <c r="BK700" s="134"/>
      <c r="BL700" s="168"/>
      <c r="BM700" s="167"/>
      <c r="BN700" s="168"/>
      <c r="BO700" s="62"/>
      <c r="BP700" s="168"/>
      <c r="BQ700" s="168"/>
      <c r="BR700" s="168"/>
      <c r="BS700" s="135"/>
      <c r="BT700" s="176"/>
      <c r="BU700" s="167"/>
      <c r="BV700" s="168"/>
      <c r="BW700" s="167"/>
      <c r="BX700" s="168"/>
      <c r="BY700" s="167"/>
      <c r="BZ700" s="176"/>
      <c r="CA700" s="167"/>
      <c r="CB700" s="168"/>
      <c r="CC700" s="167"/>
      <c r="CD700" s="168"/>
      <c r="CE700" s="62"/>
      <c r="CF700" s="62"/>
      <c r="CG700" s="9"/>
      <c r="CH700" s="9"/>
      <c r="CI700" s="9"/>
      <c r="CJ700" s="9"/>
      <c r="CK700" s="9"/>
      <c r="CL700" s="9"/>
      <c r="CM700" s="9"/>
      <c r="CN700" s="9"/>
      <c r="CO700" s="9"/>
      <c r="CP700" s="9"/>
    </row>
    <row r="701" spans="1:94" ht="30" x14ac:dyDescent="0.25">
      <c r="A701" s="127" t="s">
        <v>2235</v>
      </c>
      <c r="B701" s="51" t="s">
        <v>2236</v>
      </c>
      <c r="C701" s="62"/>
      <c r="D701" s="84">
        <v>3</v>
      </c>
      <c r="E701" s="62" t="s">
        <v>2237</v>
      </c>
      <c r="F701" s="62">
        <v>2</v>
      </c>
      <c r="G701" s="62" t="s">
        <v>184</v>
      </c>
      <c r="H701" s="50">
        <f>VLOOKUP($A701,'[1]ma sp 02'!$A$5:$BD$1101,H$1,0)</f>
        <v>0.01</v>
      </c>
      <c r="I701" s="50">
        <f>VLOOKUP($A701,'[1]ma sp 02'!$A$5:$BD$1101,I$1,0)</f>
        <v>0</v>
      </c>
      <c r="J701" s="50">
        <f>VLOOKUP($A701,'[1]ma sp 02'!$A$5:$BD$1101,J$1,0)</f>
        <v>0.01</v>
      </c>
      <c r="K701" s="50">
        <f>VLOOKUP($A701,'[1]ma sp 02'!$A$5:$BD$1101,K$1,0)</f>
        <v>0</v>
      </c>
      <c r="L701" s="50">
        <f>VLOOKUP($A701,'[1]ma sp 02'!$A$5:$BD$1101,L$1,0)</f>
        <v>4.5599999999999996</v>
      </c>
      <c r="M701" s="50">
        <f>VLOOKUP($A701,'[1]ma sp 02'!$A$5:$BD$1101,M$1,0)</f>
        <v>3.0459999999999998</v>
      </c>
      <c r="N701" s="50">
        <f>VLOOKUP($A701,'[1]ma sp 02'!$A$5:$BD$1101,N$1,0)</f>
        <v>0</v>
      </c>
      <c r="O701" s="50">
        <f>VLOOKUP($A701,'[1]ma sp 02'!$A$5:$BD$1101,O$1,0)</f>
        <v>5.71</v>
      </c>
      <c r="P701" s="50">
        <f>VLOOKUP($A701,'[1]ma sp 02'!$A$5:$BD$1101,P$1,0)</f>
        <v>0</v>
      </c>
      <c r="Q701" s="50">
        <f>VLOOKUP($A701,'[1]ma sp 02'!$A$5:$BD$1101,Q$1,0)</f>
        <v>0</v>
      </c>
      <c r="R701" s="50">
        <f>VLOOKUP($A701,'[1]ma sp 02'!$A$5:$BD$1101,R$1,0)</f>
        <v>0</v>
      </c>
      <c r="S701" s="50">
        <f>VLOOKUP($A701,'[1]ma sp 02'!$A$5:$BD$1101,S$1,0)</f>
        <v>0</v>
      </c>
      <c r="T701" s="50">
        <f>VLOOKUP($A701,'[1]ma sp 02'!$A$5:$BD$1101,T$1,0)</f>
        <v>0</v>
      </c>
      <c r="U701" s="50">
        <f>VLOOKUP($A701,'[1]ma sp 02'!$A$5:$BD$1101,U$1,0)</f>
        <v>0</v>
      </c>
      <c r="V701" s="50">
        <f>VLOOKUP($A701,'[1]ma sp 02'!$A$5:$BD$1101,V$1,0)</f>
        <v>0</v>
      </c>
      <c r="W701" s="50">
        <f>VLOOKUP($A701,'[1]ma sp 02'!$A$5:$BD$1101,W$1,0)</f>
        <v>0</v>
      </c>
      <c r="X701" s="50"/>
      <c r="Y701" s="62"/>
      <c r="Z701" s="62"/>
      <c r="AA701" s="62"/>
      <c r="AB701" s="62"/>
      <c r="AC701" s="62"/>
      <c r="AD701" s="62"/>
      <c r="AE701" s="62" t="s">
        <v>2238</v>
      </c>
      <c r="AF701" s="62" t="s">
        <v>2239</v>
      </c>
      <c r="AG701" s="53">
        <f>(0.02*0.91+0.006*2.7+0.055*0.925)*0.698</f>
        <v>5.9521949999999997E-2</v>
      </c>
      <c r="AH701" s="54">
        <f>(2.5/0.75/2)*0.688</f>
        <v>1.1466666666666667</v>
      </c>
      <c r="AI701" s="54">
        <f>(2.5/0.75/2)*0.688</f>
        <v>1.1466666666666667</v>
      </c>
      <c r="AJ701" s="62">
        <v>9530</v>
      </c>
      <c r="AK701" s="62">
        <v>9530</v>
      </c>
      <c r="AL701" s="62" t="s">
        <v>1909</v>
      </c>
      <c r="AM701" s="61" t="s">
        <v>1893</v>
      </c>
      <c r="AN701" s="62">
        <v>180</v>
      </c>
      <c r="AO701" s="61" t="s">
        <v>1959</v>
      </c>
      <c r="AP701" s="59" t="str">
        <f>IFERROR(VLOOKUP($A701,[2]Mssp!$A$5:$BE$1463,AP$4+1,0),0)</f>
        <v>20051349-1</v>
      </c>
      <c r="AQ701" s="59" t="str">
        <f>IFERROR(VLOOKUP($A701,[2]Mssp!$A$5:$BE$1463,AQ$4+1,0),0)</f>
        <v>20051349-2</v>
      </c>
      <c r="AR701" s="59">
        <f>IFERROR(VLOOKUP($A701,[2]Mssp!$A$5:$BE$1463,AR$4+1,0),0)</f>
        <v>0</v>
      </c>
      <c r="AS701" s="59">
        <f>IFERROR(VLOOKUP($A701,[2]Mssp!$A$5:$BE$1463,AS$4+1,0),0)</f>
        <v>0</v>
      </c>
      <c r="AT701" s="59">
        <f>IFERROR(VLOOKUP($A701,[2]Mssp!$A$5:$BE$1463,AT$4+1,0),0)</f>
        <v>0</v>
      </c>
      <c r="AU701" s="59">
        <f>IFERROR(VLOOKUP($A701,[2]Mssp!$A$5:$BE$1463,AU$4+1,0),0)</f>
        <v>0</v>
      </c>
      <c r="AV701" s="59">
        <f>IFERROR(VLOOKUP($A701,[2]Mssp!$A$5:$BE$1463,AV$4+1,0),0)</f>
        <v>0</v>
      </c>
      <c r="AW701" s="59">
        <f>IFERROR(VLOOKUP($A701,[2]Mssp!$A$5:$BE$1463,AW$4+1,0),0)</f>
        <v>0</v>
      </c>
      <c r="AX701" s="59">
        <f>IFERROR(VLOOKUP($A701,[2]Mssp!$A$5:$BE$1463,AX$4+1,0),0)</f>
        <v>0</v>
      </c>
      <c r="AY701" s="59" t="str">
        <f>IFERROR(VLOOKUP($A701,[2]Mssp!$A$5:$BE$1463,AY$4+2,0),0)</f>
        <v>540x870</v>
      </c>
      <c r="AZ701" s="59" t="str">
        <f>IFERROR(VLOOKUP($A701,[2]Mssp!$A$5:$BE$1463,AZ$4+2,0),0)</f>
        <v>S1</v>
      </c>
      <c r="BA701" s="141"/>
      <c r="BB701" s="61" t="s">
        <v>1894</v>
      </c>
      <c r="BC701" s="165"/>
      <c r="BD701" s="166"/>
      <c r="BE701" s="167"/>
      <c r="BF701" s="168"/>
      <c r="BG701" s="167"/>
      <c r="BH701" s="168"/>
      <c r="BI701" s="169"/>
      <c r="BJ701" s="168"/>
      <c r="BK701" s="134"/>
      <c r="BL701" s="168"/>
      <c r="BM701" s="167"/>
      <c r="BN701" s="168"/>
      <c r="BO701" s="62"/>
      <c r="BP701" s="168"/>
      <c r="BQ701" s="168"/>
      <c r="BR701" s="168"/>
      <c r="BS701" s="135"/>
      <c r="BT701" s="176"/>
      <c r="BU701" s="167"/>
      <c r="BV701" s="168"/>
      <c r="BW701" s="167"/>
      <c r="BX701" s="168"/>
      <c r="BY701" s="167"/>
      <c r="BZ701" s="176"/>
      <c r="CA701" s="167"/>
      <c r="CB701" s="168"/>
      <c r="CC701" s="167"/>
      <c r="CD701" s="168"/>
      <c r="CE701" s="62"/>
      <c r="CF701" s="62"/>
      <c r="CG701" s="9"/>
      <c r="CH701" s="9"/>
      <c r="CI701" s="9"/>
      <c r="CJ701" s="9"/>
      <c r="CK701" s="9"/>
      <c r="CL701" s="9"/>
      <c r="CM701" s="9"/>
      <c r="CN701" s="9"/>
      <c r="CO701" s="9"/>
      <c r="CP701" s="9"/>
    </row>
    <row r="702" spans="1:94" ht="30" x14ac:dyDescent="0.25">
      <c r="A702" s="127" t="s">
        <v>2240</v>
      </c>
      <c r="B702" s="51" t="s">
        <v>2241</v>
      </c>
      <c r="C702" s="62"/>
      <c r="D702" s="84">
        <v>3</v>
      </c>
      <c r="E702" s="62" t="s">
        <v>173</v>
      </c>
      <c r="F702" s="62">
        <v>2</v>
      </c>
      <c r="G702" s="62" t="s">
        <v>184</v>
      </c>
      <c r="H702" s="50">
        <f>VLOOKUP($A702,'[1]ma sp 02'!$A$5:$BD$1101,H$1,0)</f>
        <v>0</v>
      </c>
      <c r="I702" s="50">
        <f>VLOOKUP($A702,'[1]ma sp 02'!$A$5:$BD$1101,I$1,0)</f>
        <v>0</v>
      </c>
      <c r="J702" s="50">
        <f>VLOOKUP($A702,'[1]ma sp 02'!$A$5:$BD$1101,J$1,0)</f>
        <v>0.25</v>
      </c>
      <c r="K702" s="50">
        <f>VLOOKUP($A702,'[1]ma sp 02'!$A$5:$BD$1101,K$1,0)</f>
        <v>0</v>
      </c>
      <c r="L702" s="50">
        <f>VLOOKUP($A702,'[1]ma sp 02'!$A$5:$BD$1101,L$1,0)</f>
        <v>1.5</v>
      </c>
      <c r="M702" s="50">
        <f>VLOOKUP($A702,'[1]ma sp 02'!$A$5:$BD$1101,M$1,0)</f>
        <v>0.5</v>
      </c>
      <c r="N702" s="50">
        <f>VLOOKUP($A702,'[1]ma sp 02'!$A$5:$BD$1101,N$1,0)</f>
        <v>0</v>
      </c>
      <c r="O702" s="50">
        <f>VLOOKUP($A702,'[1]ma sp 02'!$A$5:$BD$1101,O$1,0)</f>
        <v>0.5</v>
      </c>
      <c r="P702" s="50">
        <f>VLOOKUP($A702,'[1]ma sp 02'!$A$5:$BD$1101,P$1,0)</f>
        <v>0.01</v>
      </c>
      <c r="Q702" s="50">
        <f>VLOOKUP($A702,'[1]ma sp 02'!$A$5:$BD$1101,Q$1,0)</f>
        <v>0.25</v>
      </c>
      <c r="R702" s="50">
        <f>VLOOKUP($A702,'[1]ma sp 02'!$A$5:$BD$1101,R$1,0)</f>
        <v>0</v>
      </c>
      <c r="S702" s="50">
        <f>VLOOKUP($A702,'[1]ma sp 02'!$A$5:$BD$1101,S$1,0)</f>
        <v>0</v>
      </c>
      <c r="T702" s="50">
        <f>VLOOKUP($A702,'[1]ma sp 02'!$A$5:$BD$1101,T$1,0)</f>
        <v>0</v>
      </c>
      <c r="U702" s="50">
        <f>VLOOKUP($A702,'[1]ma sp 02'!$A$5:$BD$1101,U$1,0)</f>
        <v>0</v>
      </c>
      <c r="V702" s="50">
        <f>VLOOKUP($A702,'[1]ma sp 02'!$A$5:$BD$1101,V$1,0)</f>
        <v>0</v>
      </c>
      <c r="W702" s="50">
        <f>VLOOKUP($A702,'[1]ma sp 02'!$A$5:$BD$1101,W$1,0)</f>
        <v>0</v>
      </c>
      <c r="X702" s="50"/>
      <c r="Y702" s="62"/>
      <c r="Z702" s="62"/>
      <c r="AA702" s="62"/>
      <c r="AB702" s="62"/>
      <c r="AC702" s="62"/>
      <c r="AD702" s="62"/>
      <c r="AE702" s="62" t="s">
        <v>946</v>
      </c>
      <c r="AF702" s="62" t="s">
        <v>2242</v>
      </c>
      <c r="AG702" s="53">
        <f>(0.02*0.91+0.006*2.7+0.055*0.925)*0.78</f>
        <v>6.6514500000000004E-2</v>
      </c>
      <c r="AH702" s="54">
        <f>(2.5/0.75/2)*0.77</f>
        <v>1.2833333333333334</v>
      </c>
      <c r="AI702" s="54">
        <f>(2.5/0.75/2)*0.77</f>
        <v>1.2833333333333334</v>
      </c>
      <c r="AJ702" s="62">
        <v>9530</v>
      </c>
      <c r="AK702" s="62">
        <v>9530</v>
      </c>
      <c r="AL702" s="62" t="s">
        <v>1909</v>
      </c>
      <c r="AM702" s="61" t="s">
        <v>1893</v>
      </c>
      <c r="AN702" s="62">
        <v>198</v>
      </c>
      <c r="AO702" s="61" t="s">
        <v>1959</v>
      </c>
      <c r="AP702" s="59" t="str">
        <f>IFERROR(VLOOKUP($A702,[2]Mssp!$A$5:$BE$1463,AP$4+1,0),0)</f>
        <v>20051371-1</v>
      </c>
      <c r="AQ702" s="59" t="str">
        <f>IFERROR(VLOOKUP($A702,[2]Mssp!$A$5:$BE$1463,AQ$4+1,0),0)</f>
        <v>20051371-2</v>
      </c>
      <c r="AR702" s="59">
        <f>IFERROR(VLOOKUP($A702,[2]Mssp!$A$5:$BE$1463,AR$4+1,0),0)</f>
        <v>0</v>
      </c>
      <c r="AS702" s="59">
        <f>IFERROR(VLOOKUP($A702,[2]Mssp!$A$5:$BE$1463,AS$4+1,0),0)</f>
        <v>0</v>
      </c>
      <c r="AT702" s="59">
        <f>IFERROR(VLOOKUP($A702,[2]Mssp!$A$5:$BE$1463,AT$4+1,0),0)</f>
        <v>0</v>
      </c>
      <c r="AU702" s="59">
        <f>IFERROR(VLOOKUP($A702,[2]Mssp!$A$5:$BE$1463,AU$4+1,0),0)</f>
        <v>0</v>
      </c>
      <c r="AV702" s="59">
        <f>IFERROR(VLOOKUP($A702,[2]Mssp!$A$5:$BE$1463,AV$4+1,0),0)</f>
        <v>0</v>
      </c>
      <c r="AW702" s="59">
        <f>IFERROR(VLOOKUP($A702,[2]Mssp!$A$5:$BE$1463,AW$4+1,0),0)</f>
        <v>0</v>
      </c>
      <c r="AX702" s="59">
        <f>IFERROR(VLOOKUP($A702,[2]Mssp!$A$5:$BE$1463,AX$4+1,0),0)</f>
        <v>0</v>
      </c>
      <c r="AY702" s="59" t="str">
        <f>IFERROR(VLOOKUP($A702,[2]Mssp!$A$5:$BE$1463,AY$4+2,0),0)</f>
        <v>594x870</v>
      </c>
      <c r="AZ702" s="59" t="str">
        <f>IFERROR(VLOOKUP($A702,[2]Mssp!$A$5:$BE$1463,AZ$4+2,0),0)</f>
        <v>S1</v>
      </c>
      <c r="BA702" s="141"/>
      <c r="BB702" s="61"/>
      <c r="BC702" s="165"/>
      <c r="BD702" s="166"/>
      <c r="BE702" s="167"/>
      <c r="BF702" s="168"/>
      <c r="BG702" s="167"/>
      <c r="BH702" s="168"/>
      <c r="BI702" s="169"/>
      <c r="BJ702" s="168"/>
      <c r="BK702" s="134"/>
      <c r="BL702" s="168"/>
      <c r="BM702" s="167"/>
      <c r="BN702" s="168"/>
      <c r="BO702" s="62"/>
      <c r="BP702" s="168"/>
      <c r="BQ702" s="168"/>
      <c r="BR702" s="168"/>
      <c r="BS702" s="135"/>
      <c r="BT702" s="176"/>
      <c r="BU702" s="167"/>
      <c r="BV702" s="168"/>
      <c r="BW702" s="167"/>
      <c r="BX702" s="168"/>
      <c r="BY702" s="167"/>
      <c r="BZ702" s="176"/>
      <c r="CA702" s="167"/>
      <c r="CB702" s="168"/>
      <c r="CC702" s="167"/>
      <c r="CD702" s="168"/>
      <c r="CE702" s="62"/>
      <c r="CF702" s="62"/>
      <c r="CG702" s="9"/>
      <c r="CH702" s="9"/>
      <c r="CI702" s="9"/>
      <c r="CJ702" s="9"/>
      <c r="CK702" s="9"/>
      <c r="CL702" s="9"/>
      <c r="CM702" s="9"/>
      <c r="CN702" s="9"/>
      <c r="CO702" s="9"/>
      <c r="CP702" s="9"/>
    </row>
    <row r="703" spans="1:94" ht="30" x14ac:dyDescent="0.25">
      <c r="A703" s="127" t="s">
        <v>2243</v>
      </c>
      <c r="B703" s="51" t="s">
        <v>2244</v>
      </c>
      <c r="C703" s="62"/>
      <c r="D703" s="84">
        <v>3</v>
      </c>
      <c r="E703" s="62" t="s">
        <v>1768</v>
      </c>
      <c r="F703" s="62">
        <v>2</v>
      </c>
      <c r="G703" s="62" t="s">
        <v>184</v>
      </c>
      <c r="H703" s="50">
        <f>VLOOKUP($A703,'[1]ma sp 02'!$A$5:$BD$1101,H$1,0)</f>
        <v>1.82</v>
      </c>
      <c r="I703" s="50">
        <f>VLOOKUP($A703,'[1]ma sp 02'!$A$5:$BD$1101,I$1,0)</f>
        <v>0</v>
      </c>
      <c r="J703" s="50">
        <f>VLOOKUP($A703,'[1]ma sp 02'!$A$5:$BD$1101,J$1,0)</f>
        <v>1.0900000000000001</v>
      </c>
      <c r="K703" s="50">
        <f>VLOOKUP($A703,'[1]ma sp 02'!$A$5:$BD$1101,K$1,0)</f>
        <v>0</v>
      </c>
      <c r="L703" s="50">
        <f>VLOOKUP($A703,'[1]ma sp 02'!$A$5:$BD$1101,L$1,0)</f>
        <v>2.54</v>
      </c>
      <c r="M703" s="50">
        <f>VLOOKUP($A703,'[1]ma sp 02'!$A$5:$BD$1101,M$1,0)</f>
        <v>2.91</v>
      </c>
      <c r="N703" s="50">
        <f>VLOOKUP($A703,'[1]ma sp 02'!$A$5:$BD$1101,N$1,0)</f>
        <v>0</v>
      </c>
      <c r="O703" s="50">
        <f>VLOOKUP($A703,'[1]ma sp 02'!$A$5:$BD$1101,O$1,0)</f>
        <v>0.01</v>
      </c>
      <c r="P703" s="50">
        <f>VLOOKUP($A703,'[1]ma sp 02'!$A$5:$BD$1101,P$1,0)</f>
        <v>3.27</v>
      </c>
      <c r="Q703" s="50">
        <f>VLOOKUP($A703,'[1]ma sp 02'!$A$5:$BD$1101,Q$1,0)</f>
        <v>0</v>
      </c>
      <c r="R703" s="50">
        <f>VLOOKUP($A703,'[1]ma sp 02'!$A$5:$BD$1101,R$1,0)</f>
        <v>0</v>
      </c>
      <c r="S703" s="50">
        <f>VLOOKUP($A703,'[1]ma sp 02'!$A$5:$BD$1101,S$1,0)</f>
        <v>0</v>
      </c>
      <c r="T703" s="50">
        <f>VLOOKUP($A703,'[1]ma sp 02'!$A$5:$BD$1101,T$1,0)</f>
        <v>0.01</v>
      </c>
      <c r="U703" s="50">
        <f>VLOOKUP($A703,'[1]ma sp 02'!$A$5:$BD$1101,U$1,0)</f>
        <v>0</v>
      </c>
      <c r="V703" s="50">
        <f>VLOOKUP($A703,'[1]ma sp 02'!$A$5:$BD$1101,V$1,0)</f>
        <v>0</v>
      </c>
      <c r="W703" s="50">
        <f>VLOOKUP($A703,'[1]ma sp 02'!$A$5:$BD$1101,W$1,0)</f>
        <v>0</v>
      </c>
      <c r="X703" s="50"/>
      <c r="Y703" s="62"/>
      <c r="Z703" s="62"/>
      <c r="AA703" s="62"/>
      <c r="AB703" s="62"/>
      <c r="AC703" s="62"/>
      <c r="AD703" s="62"/>
      <c r="AE703" s="62" t="s">
        <v>2245</v>
      </c>
      <c r="AF703" s="62" t="s">
        <v>2246</v>
      </c>
      <c r="AG703" s="53">
        <f>(0.02*0.91+0.006*2.7+0.055*0.925)*0.86</f>
        <v>7.3336499999999999E-2</v>
      </c>
      <c r="AH703" s="54">
        <f>(2.5/0.75/2)*0.77</f>
        <v>1.2833333333333334</v>
      </c>
      <c r="AI703" s="54">
        <f>(2.5/0.75/2)*0.77</f>
        <v>1.2833333333333334</v>
      </c>
      <c r="AJ703" s="62">
        <v>9530</v>
      </c>
      <c r="AK703" s="62">
        <v>9530</v>
      </c>
      <c r="AL703" s="62" t="s">
        <v>1909</v>
      </c>
      <c r="AM703" s="61" t="s">
        <v>1893</v>
      </c>
      <c r="AN703" s="62">
        <v>220</v>
      </c>
      <c r="AO703" s="61" t="s">
        <v>1959</v>
      </c>
      <c r="AP703" s="59" t="str">
        <f>IFERROR(VLOOKUP($A703,[2]Mssp!$A$5:$BE$1463,AP$4+1,0),0)</f>
        <v>20051370-1</v>
      </c>
      <c r="AQ703" s="59" t="str">
        <f>IFERROR(VLOOKUP($A703,[2]Mssp!$A$5:$BE$1463,AQ$4+1,0),0)</f>
        <v>20051370-2</v>
      </c>
      <c r="AR703" s="59">
        <f>IFERROR(VLOOKUP($A703,[2]Mssp!$A$5:$BE$1463,AR$4+1,0),0)</f>
        <v>0</v>
      </c>
      <c r="AS703" s="59">
        <f>IFERROR(VLOOKUP($A703,[2]Mssp!$A$5:$BE$1463,AS$4+1,0),0)</f>
        <v>0</v>
      </c>
      <c r="AT703" s="59">
        <f>IFERROR(VLOOKUP($A703,[2]Mssp!$A$5:$BE$1463,AT$4+1,0),0)</f>
        <v>0</v>
      </c>
      <c r="AU703" s="59">
        <f>IFERROR(VLOOKUP($A703,[2]Mssp!$A$5:$BE$1463,AU$4+1,0),0)</f>
        <v>0</v>
      </c>
      <c r="AV703" s="59">
        <f>IFERROR(VLOOKUP($A703,[2]Mssp!$A$5:$BE$1463,AV$4+1,0),0)</f>
        <v>0</v>
      </c>
      <c r="AW703" s="59">
        <f>IFERROR(VLOOKUP($A703,[2]Mssp!$A$5:$BE$1463,AW$4+1,0),0)</f>
        <v>0</v>
      </c>
      <c r="AX703" s="59">
        <f>IFERROR(VLOOKUP($A703,[2]Mssp!$A$5:$BE$1463,AX$4+1,0),0)</f>
        <v>0</v>
      </c>
      <c r="AY703" s="59" t="str">
        <f>IFERROR(VLOOKUP($A703,[2]Mssp!$A$5:$BE$1463,AY$4+2,0),0)</f>
        <v>440x1100</v>
      </c>
      <c r="AZ703" s="59" t="str">
        <f>IFERROR(VLOOKUP($A703,[2]Mssp!$A$5:$BE$1463,AZ$4+2,0),0)</f>
        <v>S1</v>
      </c>
      <c r="BA703" s="141"/>
      <c r="BB703" s="61"/>
      <c r="BC703" s="165"/>
      <c r="BD703" s="166"/>
      <c r="BE703" s="167"/>
      <c r="BF703" s="168"/>
      <c r="BG703" s="167"/>
      <c r="BH703" s="168"/>
      <c r="BI703" s="169"/>
      <c r="BJ703" s="168"/>
      <c r="BK703" s="134"/>
      <c r="BL703" s="168"/>
      <c r="BM703" s="167"/>
      <c r="BN703" s="168"/>
      <c r="BO703" s="62"/>
      <c r="BP703" s="168"/>
      <c r="BQ703" s="168"/>
      <c r="BR703" s="168"/>
      <c r="BS703" s="135"/>
      <c r="BT703" s="176"/>
      <c r="BU703" s="167"/>
      <c r="BV703" s="168"/>
      <c r="BW703" s="167"/>
      <c r="BX703" s="168"/>
      <c r="BY703" s="167"/>
      <c r="BZ703" s="176"/>
      <c r="CA703" s="167"/>
      <c r="CB703" s="168"/>
      <c r="CC703" s="167"/>
      <c r="CD703" s="168"/>
      <c r="CE703" s="62"/>
      <c r="CF703" s="62"/>
      <c r="CG703" s="9"/>
      <c r="CH703" s="9"/>
      <c r="CI703" s="9"/>
      <c r="CJ703" s="9"/>
      <c r="CK703" s="9"/>
      <c r="CL703" s="9"/>
      <c r="CM703" s="9"/>
      <c r="CN703" s="9"/>
      <c r="CO703" s="9"/>
      <c r="CP703" s="9"/>
    </row>
    <row r="704" spans="1:94" ht="30" x14ac:dyDescent="0.25">
      <c r="A704" s="127" t="s">
        <v>2247</v>
      </c>
      <c r="B704" s="51" t="s">
        <v>2248</v>
      </c>
      <c r="C704" s="62"/>
      <c r="D704" s="84">
        <v>3</v>
      </c>
      <c r="E704" s="62" t="s">
        <v>1234</v>
      </c>
      <c r="F704" s="62">
        <v>4</v>
      </c>
      <c r="G704" s="62" t="s">
        <v>184</v>
      </c>
      <c r="H704" s="50">
        <f>VLOOKUP($A704,'[1]ma sp 02'!$A$5:$BD$1101,H$1,0)</f>
        <v>1.38</v>
      </c>
      <c r="I704" s="50">
        <f>VLOOKUP($A704,'[1]ma sp 02'!$A$5:$BD$1101,I$1,0)</f>
        <v>0</v>
      </c>
      <c r="J704" s="50">
        <f>VLOOKUP($A704,'[1]ma sp 02'!$A$5:$BD$1101,J$1,0)</f>
        <v>0</v>
      </c>
      <c r="K704" s="50">
        <f>VLOOKUP($A704,'[1]ma sp 02'!$A$5:$BD$1101,K$1,0)</f>
        <v>0.01</v>
      </c>
      <c r="L704" s="50">
        <f>VLOOKUP($A704,'[1]ma sp 02'!$A$5:$BD$1101,L$1,0)</f>
        <v>1.48</v>
      </c>
      <c r="M704" s="50">
        <f>VLOOKUP($A704,'[1]ma sp 02'!$A$5:$BD$1101,M$1,0)</f>
        <v>1.38</v>
      </c>
      <c r="N704" s="50">
        <f>VLOOKUP($A704,'[1]ma sp 02'!$A$5:$BD$1101,N$1,0)</f>
        <v>0</v>
      </c>
      <c r="O704" s="50">
        <f>VLOOKUP($A704,'[1]ma sp 02'!$A$5:$BD$1101,O$1,0)</f>
        <v>0.01</v>
      </c>
      <c r="P704" s="50">
        <f>VLOOKUP($A704,'[1]ma sp 02'!$A$5:$BD$1101,P$1,0)</f>
        <v>0.09</v>
      </c>
      <c r="Q704" s="50">
        <f>VLOOKUP($A704,'[1]ma sp 02'!$A$5:$BD$1101,Q$1,0)</f>
        <v>0.09</v>
      </c>
      <c r="R704" s="50">
        <f>VLOOKUP($A704,'[1]ma sp 02'!$A$5:$BD$1101,R$1,0)</f>
        <v>0</v>
      </c>
      <c r="S704" s="50">
        <f>VLOOKUP($A704,'[1]ma sp 02'!$A$5:$BD$1101,S$1,0)</f>
        <v>0</v>
      </c>
      <c r="T704" s="50">
        <f>VLOOKUP($A704,'[1]ma sp 02'!$A$5:$BD$1101,T$1,0)</f>
        <v>0</v>
      </c>
      <c r="U704" s="50">
        <f>VLOOKUP($A704,'[1]ma sp 02'!$A$5:$BD$1101,U$1,0)</f>
        <v>0</v>
      </c>
      <c r="V704" s="50">
        <f>VLOOKUP($A704,'[1]ma sp 02'!$A$5:$BD$1101,V$1,0)</f>
        <v>0</v>
      </c>
      <c r="W704" s="50">
        <f>VLOOKUP($A704,'[1]ma sp 02'!$A$5:$BD$1101,W$1,0)</f>
        <v>0</v>
      </c>
      <c r="X704" s="50"/>
      <c r="Y704" s="62"/>
      <c r="Z704" s="62"/>
      <c r="AA704" s="62"/>
      <c r="AB704" s="62"/>
      <c r="AC704" s="62"/>
      <c r="AD704" s="62"/>
      <c r="AE704" s="62" t="s">
        <v>2249</v>
      </c>
      <c r="AF704" s="62" t="s">
        <v>2250</v>
      </c>
      <c r="AG704" s="53">
        <f>(0.03*0.91+0.006*2.7+0.08*0.925)*0.86</f>
        <v>0.10105000000000001</v>
      </c>
      <c r="AH704" s="54">
        <f>(2.5/0.75/2)*0.85</f>
        <v>1.4166666666666667</v>
      </c>
      <c r="AI704" s="54">
        <f>(3/0.75/2)*0.85</f>
        <v>1.7</v>
      </c>
      <c r="AJ704" s="62">
        <v>9530</v>
      </c>
      <c r="AK704" s="62">
        <v>9530</v>
      </c>
      <c r="AL704" s="62" t="s">
        <v>2251</v>
      </c>
      <c r="AM704" s="61" t="s">
        <v>1489</v>
      </c>
      <c r="AN704" s="62">
        <v>190</v>
      </c>
      <c r="AO704" s="61" t="s">
        <v>1902</v>
      </c>
      <c r="AP704" s="59" t="str">
        <f>IFERROR(VLOOKUP($A704,[2]Mssp!$A$5:$BE$1463,AP$4+1,0),0)</f>
        <v>20060514-1</v>
      </c>
      <c r="AQ704" s="59" t="str">
        <f>IFERROR(VLOOKUP($A704,[2]Mssp!$A$5:$BE$1463,AQ$4+1,0),0)</f>
        <v>20060514-2</v>
      </c>
      <c r="AR704" s="59" t="str">
        <f>IFERROR(VLOOKUP($A704,[2]Mssp!$A$5:$BE$1463,AR$4+1,0),0)</f>
        <v>20060514-3</v>
      </c>
      <c r="AS704" s="59" t="str">
        <f>IFERROR(VLOOKUP($A704,[2]Mssp!$A$5:$BE$1463,AS$4+1,0),0)</f>
        <v>20060514-4</v>
      </c>
      <c r="AT704" s="59">
        <f>IFERROR(VLOOKUP($A704,[2]Mssp!$A$5:$BE$1463,AT$4+1,0),0)</f>
        <v>0</v>
      </c>
      <c r="AU704" s="59">
        <f>IFERROR(VLOOKUP($A704,[2]Mssp!$A$5:$BE$1463,AU$4+1,0),0)</f>
        <v>0</v>
      </c>
      <c r="AV704" s="59">
        <f>IFERROR(VLOOKUP($A704,[2]Mssp!$A$5:$BE$1463,AV$4+1,0),0)</f>
        <v>0</v>
      </c>
      <c r="AW704" s="59">
        <f>IFERROR(VLOOKUP($A704,[2]Mssp!$A$5:$BE$1463,AW$4+1,0),0)</f>
        <v>0</v>
      </c>
      <c r="AX704" s="59">
        <f>IFERROR(VLOOKUP($A704,[2]Mssp!$A$5:$BE$1463,AX$4+1,0),0)</f>
        <v>0</v>
      </c>
      <c r="AY704" s="59" t="str">
        <f>IFERROR(VLOOKUP($A704,[2]Mssp!$A$5:$BE$1463,AY$4+2,0),0)</f>
        <v>570x1100</v>
      </c>
      <c r="AZ704" s="59" t="str">
        <f>IFERROR(VLOOKUP($A704,[2]Mssp!$A$5:$BE$1463,AZ$4+2,0),0)</f>
        <v>S1</v>
      </c>
      <c r="BA704" s="178" t="s">
        <v>2252</v>
      </c>
      <c r="BB704" s="61" t="s">
        <v>952</v>
      </c>
      <c r="BC704" s="165"/>
      <c r="BD704" s="166"/>
      <c r="BE704" s="167"/>
      <c r="BF704" s="168"/>
      <c r="BG704" s="167"/>
      <c r="BH704" s="168"/>
      <c r="BI704" s="169"/>
      <c r="BJ704" s="168"/>
      <c r="BK704" s="134"/>
      <c r="BL704" s="168"/>
      <c r="BM704" s="167"/>
      <c r="BN704" s="168"/>
      <c r="BO704" s="62"/>
      <c r="BP704" s="168"/>
      <c r="BQ704" s="168"/>
      <c r="BR704" s="168"/>
      <c r="BS704" s="135"/>
      <c r="BT704" s="176"/>
      <c r="BU704" s="167"/>
      <c r="BV704" s="168"/>
      <c r="BW704" s="167"/>
      <c r="BX704" s="168"/>
      <c r="BY704" s="167"/>
      <c r="BZ704" s="176"/>
      <c r="CA704" s="167"/>
      <c r="CB704" s="168"/>
      <c r="CC704" s="167"/>
      <c r="CD704" s="168"/>
      <c r="CE704" s="62"/>
      <c r="CF704" s="62"/>
      <c r="CG704" s="9"/>
      <c r="CH704" s="9"/>
      <c r="CI704" s="9"/>
      <c r="CJ704" s="9"/>
      <c r="CK704" s="9"/>
      <c r="CL704" s="9"/>
      <c r="CM704" s="9"/>
      <c r="CN704" s="9"/>
      <c r="CO704" s="9"/>
      <c r="CP704" s="9"/>
    </row>
    <row r="705" spans="1:94" ht="60" x14ac:dyDescent="0.25">
      <c r="A705" s="127" t="s">
        <v>2253</v>
      </c>
      <c r="B705" s="51" t="s">
        <v>2254</v>
      </c>
      <c r="C705" s="62"/>
      <c r="D705" s="84">
        <v>3</v>
      </c>
      <c r="E705" s="62" t="s">
        <v>1436</v>
      </c>
      <c r="F705" s="62">
        <v>0</v>
      </c>
      <c r="G705" s="62" t="s">
        <v>530</v>
      </c>
      <c r="H705" s="50">
        <f>VLOOKUP($A705,'[1]ma sp 02'!$A$5:$BD$1101,H$1,0)</f>
        <v>0</v>
      </c>
      <c r="I705" s="50">
        <f>VLOOKUP($A705,'[1]ma sp 02'!$A$5:$BD$1101,I$1,0)</f>
        <v>0</v>
      </c>
      <c r="J705" s="50">
        <f>VLOOKUP($A705,'[1]ma sp 02'!$A$5:$BD$1101,J$1,0)</f>
        <v>0</v>
      </c>
      <c r="K705" s="50">
        <f>VLOOKUP($A705,'[1]ma sp 02'!$A$5:$BD$1101,K$1,0)</f>
        <v>0</v>
      </c>
      <c r="L705" s="50">
        <f>VLOOKUP($A705,'[1]ma sp 02'!$A$5:$BD$1101,L$1,0)</f>
        <v>0</v>
      </c>
      <c r="M705" s="50">
        <f>VLOOKUP($A705,'[1]ma sp 02'!$A$5:$BD$1101,M$1,0)</f>
        <v>0</v>
      </c>
      <c r="N705" s="50">
        <f>VLOOKUP($A705,'[1]ma sp 02'!$A$5:$BD$1101,N$1,0)</f>
        <v>0</v>
      </c>
      <c r="O705" s="50">
        <f>VLOOKUP($A705,'[1]ma sp 02'!$A$5:$BD$1101,O$1,0)</f>
        <v>0</v>
      </c>
      <c r="P705" s="50">
        <f>VLOOKUP($A705,'[1]ma sp 02'!$A$5:$BD$1101,P$1,0)</f>
        <v>0</v>
      </c>
      <c r="Q705" s="50">
        <f>VLOOKUP($A705,'[1]ma sp 02'!$A$5:$BD$1101,Q$1,0)</f>
        <v>0</v>
      </c>
      <c r="R705" s="50">
        <f>VLOOKUP($A705,'[1]ma sp 02'!$A$5:$BD$1101,R$1,0)</f>
        <v>0</v>
      </c>
      <c r="S705" s="50">
        <f>VLOOKUP($A705,'[1]ma sp 02'!$A$5:$BD$1101,S$1,0)</f>
        <v>0</v>
      </c>
      <c r="T705" s="50">
        <f>VLOOKUP($A705,'[1]ma sp 02'!$A$5:$BD$1101,T$1,0)</f>
        <v>0</v>
      </c>
      <c r="U705" s="50">
        <f>VLOOKUP($A705,'[1]ma sp 02'!$A$5:$BD$1101,U$1,0)</f>
        <v>0</v>
      </c>
      <c r="V705" s="50">
        <f>VLOOKUP($A705,'[1]ma sp 02'!$A$5:$BD$1101,V$1,0)</f>
        <v>0</v>
      </c>
      <c r="W705" s="50">
        <f>VLOOKUP($A705,'[1]ma sp 02'!$A$5:$BD$1101,W$1,0)</f>
        <v>0</v>
      </c>
      <c r="X705" s="50"/>
      <c r="Y705" s="62"/>
      <c r="Z705" s="62"/>
      <c r="AA705" s="62"/>
      <c r="AB705" s="62"/>
      <c r="AC705" s="62"/>
      <c r="AD705" s="62"/>
      <c r="AE705" s="62" t="s">
        <v>579</v>
      </c>
      <c r="AF705" s="62" t="s">
        <v>335</v>
      </c>
      <c r="AG705" s="53">
        <f>(0.012*1.4+0.006*2.7+0.07*0.925)*0.72</f>
        <v>7.0380000000000012E-2</v>
      </c>
      <c r="AH705" s="54">
        <f>(2.3/0.75/2)*0.71</f>
        <v>1.0886666666666664</v>
      </c>
      <c r="AI705" s="54">
        <f>(2.3/0.75/2)*0.71</f>
        <v>1.0886666666666664</v>
      </c>
      <c r="AJ705" s="62">
        <v>9530</v>
      </c>
      <c r="AK705" s="62">
        <v>9530</v>
      </c>
      <c r="AL705" s="62" t="s">
        <v>1949</v>
      </c>
      <c r="AM705" s="61" t="s">
        <v>1893</v>
      </c>
      <c r="AN705" s="62">
        <v>185</v>
      </c>
      <c r="AO705" s="61" t="s">
        <v>2255</v>
      </c>
      <c r="AP705" s="59">
        <f>IFERROR(VLOOKUP($A705,[2]Mssp!$A$5:$BE$1463,AP$4+1,0),0)</f>
        <v>0</v>
      </c>
      <c r="AQ705" s="59">
        <f>IFERROR(VLOOKUP($A705,[2]Mssp!$A$5:$BE$1463,AQ$4+1,0),0)</f>
        <v>0</v>
      </c>
      <c r="AR705" s="59">
        <f>IFERROR(VLOOKUP($A705,[2]Mssp!$A$5:$BE$1463,AR$4+1,0),0)</f>
        <v>0</v>
      </c>
      <c r="AS705" s="59">
        <f>IFERROR(VLOOKUP($A705,[2]Mssp!$A$5:$BE$1463,AS$4+1,0),0)</f>
        <v>0</v>
      </c>
      <c r="AT705" s="59">
        <f>IFERROR(VLOOKUP($A705,[2]Mssp!$A$5:$BE$1463,AT$4+1,0),0)</f>
        <v>0</v>
      </c>
      <c r="AU705" s="59">
        <f>IFERROR(VLOOKUP($A705,[2]Mssp!$A$5:$BE$1463,AU$4+1,0),0)</f>
        <v>0</v>
      </c>
      <c r="AV705" s="59">
        <f>IFERROR(VLOOKUP($A705,[2]Mssp!$A$5:$BE$1463,AV$4+1,0),0)</f>
        <v>0</v>
      </c>
      <c r="AW705" s="59">
        <f>IFERROR(VLOOKUP($A705,[2]Mssp!$A$5:$BE$1463,AW$4+1,0),0)</f>
        <v>0</v>
      </c>
      <c r="AX705" s="59">
        <f>IFERROR(VLOOKUP($A705,[2]Mssp!$A$5:$BE$1463,AX$4+1,0),0)</f>
        <v>0</v>
      </c>
      <c r="AY705" s="59">
        <f>IFERROR(VLOOKUP($A705,[2]Mssp!$A$5:$BE$1463,AY$4+2,0),0)</f>
        <v>0</v>
      </c>
      <c r="AZ705" s="59">
        <f>IFERROR(VLOOKUP($A705,[2]Mssp!$A$5:$BE$1463,AZ$4+2,0),0)</f>
        <v>0</v>
      </c>
      <c r="BA705" s="141"/>
      <c r="BB705" s="61"/>
      <c r="BC705" s="165"/>
      <c r="BD705" s="166"/>
      <c r="BE705" s="167"/>
      <c r="BF705" s="168"/>
      <c r="BG705" s="167"/>
      <c r="BH705" s="168"/>
      <c r="BI705" s="169"/>
      <c r="BJ705" s="168"/>
      <c r="BK705" s="134"/>
      <c r="BL705" s="168"/>
      <c r="BM705" s="167"/>
      <c r="BN705" s="168"/>
      <c r="BO705" s="62"/>
      <c r="BP705" s="168"/>
      <c r="BQ705" s="168"/>
      <c r="BR705" s="168"/>
      <c r="BS705" s="135"/>
      <c r="BT705" s="176"/>
      <c r="BU705" s="167"/>
      <c r="BV705" s="168"/>
      <c r="BW705" s="167"/>
      <c r="BX705" s="168"/>
      <c r="BY705" s="167"/>
      <c r="BZ705" s="176"/>
      <c r="CA705" s="167"/>
      <c r="CB705" s="168"/>
      <c r="CC705" s="167"/>
      <c r="CD705" s="168"/>
      <c r="CE705" s="62"/>
      <c r="CF705" s="62"/>
      <c r="CG705" s="9"/>
      <c r="CH705" s="9"/>
      <c r="CI705" s="9"/>
      <c r="CJ705" s="9"/>
      <c r="CK705" s="9"/>
      <c r="CL705" s="9"/>
      <c r="CM705" s="9"/>
      <c r="CN705" s="9"/>
      <c r="CO705" s="9"/>
      <c r="CP705" s="9"/>
    </row>
    <row r="706" spans="1:94" ht="30" x14ac:dyDescent="0.25">
      <c r="A706" s="127" t="s">
        <v>2256</v>
      </c>
      <c r="B706" s="51" t="s">
        <v>2257</v>
      </c>
      <c r="C706" s="62"/>
      <c r="D706" s="84">
        <v>3</v>
      </c>
      <c r="E706" s="62" t="s">
        <v>269</v>
      </c>
      <c r="F706" s="62">
        <v>2</v>
      </c>
      <c r="G706" s="62" t="s">
        <v>184</v>
      </c>
      <c r="H706" s="50">
        <f>VLOOKUP($A706,'[1]ma sp 02'!$A$5:$BD$1101,H$1,0)</f>
        <v>0.74</v>
      </c>
      <c r="I706" s="50">
        <f>VLOOKUP($A706,'[1]ma sp 02'!$A$5:$BD$1101,I$1,0)</f>
        <v>0</v>
      </c>
      <c r="J706" s="50">
        <f>VLOOKUP($A706,'[1]ma sp 02'!$A$5:$BD$1101,J$1,0)</f>
        <v>1.49</v>
      </c>
      <c r="K706" s="50">
        <f>VLOOKUP($A706,'[1]ma sp 02'!$A$5:$BD$1101,K$1,0)</f>
        <v>0</v>
      </c>
      <c r="L706" s="50">
        <f>VLOOKUP($A706,'[1]ma sp 02'!$A$5:$BD$1101,L$1,0)</f>
        <v>1.49</v>
      </c>
      <c r="M706" s="50">
        <f>VLOOKUP($A706,'[1]ma sp 02'!$A$5:$BD$1101,M$1,0)</f>
        <v>0.99</v>
      </c>
      <c r="N706" s="50">
        <f>VLOOKUP($A706,'[1]ma sp 02'!$A$5:$BD$1101,N$1,0)</f>
        <v>0</v>
      </c>
      <c r="O706" s="50">
        <f>VLOOKUP($A706,'[1]ma sp 02'!$A$5:$BD$1101,O$1,0)</f>
        <v>2.11</v>
      </c>
      <c r="P706" s="50">
        <f>VLOOKUP($A706,'[1]ma sp 02'!$A$5:$BD$1101,P$1,0)</f>
        <v>1.86</v>
      </c>
      <c r="Q706" s="50">
        <f>VLOOKUP($A706,'[1]ma sp 02'!$A$5:$BD$1101,Q$1,0)</f>
        <v>0.49</v>
      </c>
      <c r="R706" s="50">
        <f>VLOOKUP($A706,'[1]ma sp 02'!$A$5:$BD$1101,R$1,0)</f>
        <v>0</v>
      </c>
      <c r="S706" s="50">
        <f>VLOOKUP($A706,'[1]ma sp 02'!$A$5:$BD$1101,S$1,0)</f>
        <v>0</v>
      </c>
      <c r="T706" s="50">
        <f>VLOOKUP($A706,'[1]ma sp 02'!$A$5:$BD$1101,T$1,0)</f>
        <v>0</v>
      </c>
      <c r="U706" s="50">
        <f>VLOOKUP($A706,'[1]ma sp 02'!$A$5:$BD$1101,U$1,0)</f>
        <v>0</v>
      </c>
      <c r="V706" s="50">
        <f>VLOOKUP($A706,'[1]ma sp 02'!$A$5:$BD$1101,V$1,0)</f>
        <v>0</v>
      </c>
      <c r="W706" s="50">
        <f>VLOOKUP($A706,'[1]ma sp 02'!$A$5:$BD$1101,W$1,0)</f>
        <v>0</v>
      </c>
      <c r="X706" s="50"/>
      <c r="Y706" s="62"/>
      <c r="Z706" s="62"/>
      <c r="AA706" s="62"/>
      <c r="AB706" s="62"/>
      <c r="AC706" s="62"/>
      <c r="AD706" s="62"/>
      <c r="AE706" s="62" t="s">
        <v>579</v>
      </c>
      <c r="AF706" s="62" t="s">
        <v>179</v>
      </c>
      <c r="AG706" s="53">
        <f>(0.012*1.4+0.006*2.7+0.07*0.925)*0.72</f>
        <v>7.0380000000000012E-2</v>
      </c>
      <c r="AH706" s="54">
        <f>(2.5/0.75/2)*0.71</f>
        <v>1.1833333333333333</v>
      </c>
      <c r="AI706" s="54">
        <f>(2.5/0.75/2)*0.71</f>
        <v>1.1833333333333333</v>
      </c>
      <c r="AJ706" s="62">
        <v>9530</v>
      </c>
      <c r="AK706" s="62">
        <v>9530</v>
      </c>
      <c r="AL706" s="62" t="s">
        <v>1909</v>
      </c>
      <c r="AM706" s="61" t="s">
        <v>1893</v>
      </c>
      <c r="AN706" s="62">
        <v>190</v>
      </c>
      <c r="AO706" s="61" t="s">
        <v>1959</v>
      </c>
      <c r="AP706" s="59" t="str">
        <f>IFERROR(VLOOKUP($A706,[2]Mssp!$A$5:$BE$1463,AP$4+1,0),0)</f>
        <v>20060182-1</v>
      </c>
      <c r="AQ706" s="59" t="str">
        <f>IFERROR(VLOOKUP($A706,[2]Mssp!$A$5:$BE$1463,AQ$4+1,0),0)</f>
        <v>20060182-2</v>
      </c>
      <c r="AR706" s="59">
        <f>IFERROR(VLOOKUP($A706,[2]Mssp!$A$5:$BE$1463,AR$4+1,0),0)</f>
        <v>0</v>
      </c>
      <c r="AS706" s="59">
        <f>IFERROR(VLOOKUP($A706,[2]Mssp!$A$5:$BE$1463,AS$4+1,0),0)</f>
        <v>0</v>
      </c>
      <c r="AT706" s="59">
        <f>IFERROR(VLOOKUP($A706,[2]Mssp!$A$5:$BE$1463,AT$4+1,0),0)</f>
        <v>0</v>
      </c>
      <c r="AU706" s="59">
        <f>IFERROR(VLOOKUP($A706,[2]Mssp!$A$5:$BE$1463,AU$4+1,0),0)</f>
        <v>0</v>
      </c>
      <c r="AV706" s="59">
        <f>IFERROR(VLOOKUP($A706,[2]Mssp!$A$5:$BE$1463,AV$4+1,0),0)</f>
        <v>0</v>
      </c>
      <c r="AW706" s="59">
        <f>IFERROR(VLOOKUP($A706,[2]Mssp!$A$5:$BE$1463,AW$4+1,0),0)</f>
        <v>0</v>
      </c>
      <c r="AX706" s="59">
        <f>IFERROR(VLOOKUP($A706,[2]Mssp!$A$5:$BE$1463,AX$4+1,0),0)</f>
        <v>0</v>
      </c>
      <c r="AY706" s="59" t="str">
        <f>IFERROR(VLOOKUP($A706,[2]Mssp!$A$5:$BE$1463,AY$4+2,0),0)</f>
        <v>570x870</v>
      </c>
      <c r="AZ706" s="59" t="str">
        <f>IFERROR(VLOOKUP($A706,[2]Mssp!$A$5:$BE$1463,AZ$4+2,0),0)</f>
        <v>S1</v>
      </c>
      <c r="BA706" s="141"/>
      <c r="BB706" s="61"/>
      <c r="BC706" s="165"/>
      <c r="BD706" s="166"/>
      <c r="BE706" s="167"/>
      <c r="BF706" s="168"/>
      <c r="BG706" s="167"/>
      <c r="BH706" s="168"/>
      <c r="BI706" s="169"/>
      <c r="BJ706" s="168"/>
      <c r="BK706" s="134"/>
      <c r="BL706" s="168"/>
      <c r="BM706" s="167"/>
      <c r="BN706" s="168"/>
      <c r="BO706" s="62"/>
      <c r="BP706" s="168"/>
      <c r="BQ706" s="168"/>
      <c r="BR706" s="168"/>
      <c r="BS706" s="135"/>
      <c r="BT706" s="176"/>
      <c r="BU706" s="167"/>
      <c r="BV706" s="168"/>
      <c r="BW706" s="167"/>
      <c r="BX706" s="168"/>
      <c r="BY706" s="167"/>
      <c r="BZ706" s="176"/>
      <c r="CA706" s="167"/>
      <c r="CB706" s="168"/>
      <c r="CC706" s="167"/>
      <c r="CD706" s="168"/>
      <c r="CE706" s="62"/>
      <c r="CF706" s="62"/>
      <c r="CG706" s="9"/>
      <c r="CH706" s="9"/>
      <c r="CI706" s="9"/>
      <c r="CJ706" s="9"/>
      <c r="CK706" s="9"/>
      <c r="CL706" s="9"/>
      <c r="CM706" s="9"/>
      <c r="CN706" s="9"/>
      <c r="CO706" s="9"/>
      <c r="CP706" s="9"/>
    </row>
    <row r="707" spans="1:94" ht="30" x14ac:dyDescent="0.25">
      <c r="A707" s="127" t="s">
        <v>2258</v>
      </c>
      <c r="B707" s="51" t="s">
        <v>2259</v>
      </c>
      <c r="C707" s="62"/>
      <c r="D707" s="84">
        <v>3</v>
      </c>
      <c r="E707" s="62" t="s">
        <v>173</v>
      </c>
      <c r="F707" s="62"/>
      <c r="G707" s="62" t="s">
        <v>184</v>
      </c>
      <c r="H707" s="50">
        <f>VLOOKUP($A707,'[1]ma sp 02'!$A$5:$BD$1101,H$1,0)</f>
        <v>0</v>
      </c>
      <c r="I707" s="50">
        <f>VLOOKUP($A707,'[1]ma sp 02'!$A$5:$BD$1101,I$1,0)</f>
        <v>0</v>
      </c>
      <c r="J707" s="50">
        <f>VLOOKUP($A707,'[1]ma sp 02'!$A$5:$BD$1101,J$1,0)</f>
        <v>0</v>
      </c>
      <c r="K707" s="50">
        <f>VLOOKUP($A707,'[1]ma sp 02'!$A$5:$BD$1101,K$1,0)</f>
        <v>0</v>
      </c>
      <c r="L707" s="50">
        <f>VLOOKUP($A707,'[1]ma sp 02'!$A$5:$BD$1101,L$1,0)</f>
        <v>0</v>
      </c>
      <c r="M707" s="50">
        <f>VLOOKUP($A707,'[1]ma sp 02'!$A$5:$BD$1101,M$1,0)</f>
        <v>0</v>
      </c>
      <c r="N707" s="50">
        <f>VLOOKUP($A707,'[1]ma sp 02'!$A$5:$BD$1101,N$1,0)</f>
        <v>0</v>
      </c>
      <c r="O707" s="50">
        <f>VLOOKUP($A707,'[1]ma sp 02'!$A$5:$BD$1101,O$1,0)</f>
        <v>0</v>
      </c>
      <c r="P707" s="50">
        <f>VLOOKUP($A707,'[1]ma sp 02'!$A$5:$BD$1101,P$1,0)</f>
        <v>0</v>
      </c>
      <c r="Q707" s="50">
        <f>VLOOKUP($A707,'[1]ma sp 02'!$A$5:$BD$1101,Q$1,0)</f>
        <v>0</v>
      </c>
      <c r="R707" s="50">
        <f>VLOOKUP($A707,'[1]ma sp 02'!$A$5:$BD$1101,R$1,0)</f>
        <v>0</v>
      </c>
      <c r="S707" s="50">
        <f>VLOOKUP($A707,'[1]ma sp 02'!$A$5:$BD$1101,S$1,0)</f>
        <v>0</v>
      </c>
      <c r="T707" s="50">
        <f>VLOOKUP($A707,'[1]ma sp 02'!$A$5:$BD$1101,T$1,0)</f>
        <v>0</v>
      </c>
      <c r="U707" s="50">
        <f>VLOOKUP($A707,'[1]ma sp 02'!$A$5:$BD$1101,U$1,0)</f>
        <v>0</v>
      </c>
      <c r="V707" s="50">
        <f>VLOOKUP($A707,'[1]ma sp 02'!$A$5:$BD$1101,V$1,0)</f>
        <v>0</v>
      </c>
      <c r="W707" s="50">
        <f>VLOOKUP($A707,'[1]ma sp 02'!$A$5:$BD$1101,W$1,0)</f>
        <v>0</v>
      </c>
      <c r="X707" s="50"/>
      <c r="Y707" s="62"/>
      <c r="Z707" s="62"/>
      <c r="AA707" s="62"/>
      <c r="AB707" s="62"/>
      <c r="AC707" s="62"/>
      <c r="AD707" s="62"/>
      <c r="AE707" s="62" t="s">
        <v>946</v>
      </c>
      <c r="AF707" s="62" t="s">
        <v>2260</v>
      </c>
      <c r="AG707" s="53">
        <f>(0.02*0.91+0.006*2.7+0.055*0.925)*0.78</f>
        <v>6.6514500000000004E-2</v>
      </c>
      <c r="AH707" s="54">
        <f>(2.5/0.75/2)*0.77</f>
        <v>1.2833333333333334</v>
      </c>
      <c r="AI707" s="54">
        <f>(2.5/0.75/2)*0.77</f>
        <v>1.2833333333333334</v>
      </c>
      <c r="AJ707" s="62">
        <v>9530</v>
      </c>
      <c r="AK707" s="62">
        <v>9530</v>
      </c>
      <c r="AL707" s="62" t="s">
        <v>1909</v>
      </c>
      <c r="AM707" s="61" t="s">
        <v>1893</v>
      </c>
      <c r="AN707" s="62">
        <v>44</v>
      </c>
      <c r="AO707" s="61" t="s">
        <v>2261</v>
      </c>
      <c r="AP707" s="59">
        <f>IFERROR(VLOOKUP($A707,[2]Mssp!$A$5:$BE$1463,AP$4+1,0),0)</f>
        <v>0</v>
      </c>
      <c r="AQ707" s="59">
        <f>IFERROR(VLOOKUP($A707,[2]Mssp!$A$5:$BE$1463,AQ$4+1,0),0)</f>
        <v>0</v>
      </c>
      <c r="AR707" s="59">
        <f>IFERROR(VLOOKUP($A707,[2]Mssp!$A$5:$BE$1463,AR$4+1,0),0)</f>
        <v>0</v>
      </c>
      <c r="AS707" s="59">
        <f>IFERROR(VLOOKUP($A707,[2]Mssp!$A$5:$BE$1463,AS$4+1,0),0)</f>
        <v>0</v>
      </c>
      <c r="AT707" s="59">
        <f>IFERROR(VLOOKUP($A707,[2]Mssp!$A$5:$BE$1463,AT$4+1,0),0)</f>
        <v>0</v>
      </c>
      <c r="AU707" s="59">
        <f>IFERROR(VLOOKUP($A707,[2]Mssp!$A$5:$BE$1463,AU$4+1,0),0)</f>
        <v>0</v>
      </c>
      <c r="AV707" s="59">
        <f>IFERROR(VLOOKUP($A707,[2]Mssp!$A$5:$BE$1463,AV$4+1,0),0)</f>
        <v>0</v>
      </c>
      <c r="AW707" s="59">
        <f>IFERROR(VLOOKUP($A707,[2]Mssp!$A$5:$BE$1463,AW$4+1,0),0)</f>
        <v>0</v>
      </c>
      <c r="AX707" s="59">
        <f>IFERROR(VLOOKUP($A707,[2]Mssp!$A$5:$BE$1463,AX$4+1,0),0)</f>
        <v>0</v>
      </c>
      <c r="AY707" s="59">
        <f>IFERROR(VLOOKUP($A707,[2]Mssp!$A$5:$BE$1463,AY$4+2,0),0)</f>
        <v>0</v>
      </c>
      <c r="AZ707" s="59">
        <f>IFERROR(VLOOKUP($A707,[2]Mssp!$A$5:$BE$1463,AZ$4+2,0),0)</f>
        <v>0</v>
      </c>
      <c r="BA707" s="141"/>
      <c r="BB707" s="61"/>
      <c r="BC707" s="165"/>
      <c r="BD707" s="166"/>
      <c r="BE707" s="167"/>
      <c r="BF707" s="168"/>
      <c r="BG707" s="167"/>
      <c r="BH707" s="168"/>
      <c r="BI707" s="169"/>
      <c r="BJ707" s="168"/>
      <c r="BK707" s="134"/>
      <c r="BL707" s="168"/>
      <c r="BM707" s="167"/>
      <c r="BN707" s="168"/>
      <c r="BO707" s="62"/>
      <c r="BP707" s="168"/>
      <c r="BQ707" s="168"/>
      <c r="BR707" s="168"/>
      <c r="BS707" s="135"/>
      <c r="BT707" s="176"/>
      <c r="BU707" s="167"/>
      <c r="BV707" s="168"/>
      <c r="BW707" s="167"/>
      <c r="BX707" s="168"/>
      <c r="BY707" s="167"/>
      <c r="BZ707" s="176"/>
      <c r="CA707" s="167"/>
      <c r="CB707" s="168"/>
      <c r="CC707" s="167"/>
      <c r="CD707" s="168"/>
      <c r="CE707" s="62"/>
      <c r="CF707" s="62"/>
      <c r="CG707" s="9"/>
      <c r="CH707" s="9"/>
      <c r="CI707" s="9"/>
      <c r="CJ707" s="9"/>
      <c r="CK707" s="9"/>
      <c r="CL707" s="9"/>
      <c r="CM707" s="9"/>
      <c r="CN707" s="9"/>
      <c r="CO707" s="9"/>
      <c r="CP707" s="9"/>
    </row>
    <row r="708" spans="1:94" ht="45" x14ac:dyDescent="0.25">
      <c r="A708" s="127" t="s">
        <v>2262</v>
      </c>
      <c r="B708" s="51" t="s">
        <v>2263</v>
      </c>
      <c r="C708" s="62"/>
      <c r="D708" s="84">
        <v>2</v>
      </c>
      <c r="E708" s="62" t="s">
        <v>2264</v>
      </c>
      <c r="F708" s="62">
        <v>4</v>
      </c>
      <c r="G708" s="62" t="s">
        <v>184</v>
      </c>
      <c r="H708" s="50">
        <f>VLOOKUP($A708,'[1]ma sp 02'!$A$5:$BD$1101,H$1,0)</f>
        <v>0</v>
      </c>
      <c r="I708" s="50">
        <f>VLOOKUP($A708,'[1]ma sp 02'!$A$5:$BD$1101,I$1,0)</f>
        <v>2.609</v>
      </c>
      <c r="J708" s="50">
        <f>VLOOKUP($A708,'[1]ma sp 02'!$A$5:$BD$1101,J$1,0)</f>
        <v>0.13700000000000001</v>
      </c>
      <c r="K708" s="50">
        <f>VLOOKUP($A708,'[1]ma sp 02'!$A$5:$BD$1101,K$1,0)</f>
        <v>0</v>
      </c>
      <c r="L708" s="50">
        <f>VLOOKUP($A708,'[1]ma sp 02'!$A$5:$BD$1101,L$1,0)</f>
        <v>0.96099999999999997</v>
      </c>
      <c r="M708" s="50">
        <f>VLOOKUP($A708,'[1]ma sp 02'!$A$5:$BD$1101,M$1,0)</f>
        <v>1.6479999999999999</v>
      </c>
      <c r="N708" s="50">
        <f>VLOOKUP($A708,'[1]ma sp 02'!$A$5:$BD$1101,N$1,0)</f>
        <v>0.68700000000000006</v>
      </c>
      <c r="O708" s="50">
        <f>VLOOKUP($A708,'[1]ma sp 02'!$A$5:$BD$1101,O$1,0)</f>
        <v>0</v>
      </c>
      <c r="P708" s="50">
        <f>VLOOKUP($A708,'[1]ma sp 02'!$A$5:$BD$1101,P$1,0)</f>
        <v>0.48099999999999998</v>
      </c>
      <c r="Q708" s="50">
        <f>VLOOKUP($A708,'[1]ma sp 02'!$A$5:$BD$1101,Q$1,0)</f>
        <v>0</v>
      </c>
      <c r="R708" s="50">
        <f>VLOOKUP($A708,'[1]ma sp 02'!$A$5:$BD$1101,R$1,0)</f>
        <v>0.01</v>
      </c>
      <c r="S708" s="50">
        <f>VLOOKUP($A708,'[1]ma sp 02'!$A$5:$BD$1101,S$1,0)</f>
        <v>0.01</v>
      </c>
      <c r="T708" s="50">
        <f>VLOOKUP($A708,'[1]ma sp 02'!$A$5:$BD$1101,T$1,0)</f>
        <v>0</v>
      </c>
      <c r="U708" s="50">
        <f>VLOOKUP($A708,'[1]ma sp 02'!$A$5:$BD$1101,U$1,0)</f>
        <v>0</v>
      </c>
      <c r="V708" s="50">
        <f>VLOOKUP($A708,'[1]ma sp 02'!$A$5:$BD$1101,V$1,0)</f>
        <v>0</v>
      </c>
      <c r="W708" s="50">
        <f>VLOOKUP($A708,'[1]ma sp 02'!$A$5:$BD$1101,W$1,0)</f>
        <v>0</v>
      </c>
      <c r="X708" s="50"/>
      <c r="Y708" s="62"/>
      <c r="Z708" s="62"/>
      <c r="AA708" s="62"/>
      <c r="AB708" s="62"/>
      <c r="AC708" s="62"/>
      <c r="AD708" s="62"/>
      <c r="AE708" s="62" t="s">
        <v>2265</v>
      </c>
      <c r="AF708" s="62"/>
      <c r="AG708" s="53">
        <f>(0.03*0.91+0.04*0.925)*0.93</f>
        <v>5.9799000000000012E-2</v>
      </c>
      <c r="AH708" s="54">
        <f>(2.3/0.75/2)*0.92</f>
        <v>1.4106666666666665</v>
      </c>
      <c r="AI708" s="54"/>
      <c r="AJ708" s="62">
        <v>9530</v>
      </c>
      <c r="AK708" s="62"/>
      <c r="AL708" s="62">
        <v>2.3E-3</v>
      </c>
      <c r="AM708" s="61" t="s">
        <v>128</v>
      </c>
      <c r="AN708" s="62">
        <v>260</v>
      </c>
      <c r="AO708" s="61" t="s">
        <v>2210</v>
      </c>
      <c r="AP708" s="59" t="str">
        <f>IFERROR(VLOOKUP($A708,[2]Mssp!$A$5:$BE$1463,AP$4+1,0),0)</f>
        <v>X109140-1</v>
      </c>
      <c r="AQ708" s="59" t="str">
        <f>IFERROR(VLOOKUP($A708,[2]Mssp!$A$5:$BE$1463,AQ$4+1,0),0)</f>
        <v>X109140-2</v>
      </c>
      <c r="AR708" s="59" t="str">
        <f>IFERROR(VLOOKUP($A708,[2]Mssp!$A$5:$BE$1463,AR$4+1,0),0)</f>
        <v>X109140-3</v>
      </c>
      <c r="AS708" s="59" t="str">
        <f>IFERROR(VLOOKUP($A708,[2]Mssp!$A$5:$BE$1463,AS$4+1,0),0)</f>
        <v>X109140-4</v>
      </c>
      <c r="AT708" s="59">
        <f>IFERROR(VLOOKUP($A708,[2]Mssp!$A$5:$BE$1463,AT$4+1,0),0)</f>
        <v>0</v>
      </c>
      <c r="AU708" s="59">
        <f>IFERROR(VLOOKUP($A708,[2]Mssp!$A$5:$BE$1463,AU$4+1,0),0)</f>
        <v>0</v>
      </c>
      <c r="AV708" s="59">
        <f>IFERROR(VLOOKUP($A708,[2]Mssp!$A$5:$BE$1463,AV$4+1,0),0)</f>
        <v>0</v>
      </c>
      <c r="AW708" s="59">
        <f>IFERROR(VLOOKUP($A708,[2]Mssp!$A$5:$BE$1463,AW$4+1,0),0)</f>
        <v>0</v>
      </c>
      <c r="AX708" s="59">
        <f>IFERROR(VLOOKUP($A708,[2]Mssp!$A$5:$BE$1463,AX$4+1,0),0)</f>
        <v>0</v>
      </c>
      <c r="AY708" s="59" t="str">
        <f>IFERROR(VLOOKUP($A708,[2]Mssp!$A$5:$BE$1463,AY$4+2,0),0)</f>
        <v>1100x520</v>
      </c>
      <c r="AZ708" s="59" t="str">
        <f>IFERROR(VLOOKUP($A708,[2]Mssp!$A$5:$BE$1463,AZ$4+2,0),0)</f>
        <v>S2</v>
      </c>
      <c r="BA708" s="141"/>
      <c r="BB708" s="61"/>
      <c r="BC708" s="165"/>
      <c r="BD708" s="166"/>
      <c r="BE708" s="167"/>
      <c r="BF708" s="168"/>
      <c r="BG708" s="167"/>
      <c r="BH708" s="168"/>
      <c r="BI708" s="169"/>
      <c r="BJ708" s="168"/>
      <c r="BK708" s="134"/>
      <c r="BL708" s="168"/>
      <c r="BM708" s="167"/>
      <c r="BN708" s="168"/>
      <c r="BO708" s="62"/>
      <c r="BP708" s="168"/>
      <c r="BQ708" s="168"/>
      <c r="BR708" s="168"/>
      <c r="BS708" s="135"/>
      <c r="BT708" s="176"/>
      <c r="BU708" s="167"/>
      <c r="BV708" s="168"/>
      <c r="BW708" s="167"/>
      <c r="BX708" s="168"/>
      <c r="BY708" s="167"/>
      <c r="BZ708" s="176"/>
      <c r="CA708" s="167"/>
      <c r="CB708" s="168"/>
      <c r="CC708" s="167"/>
      <c r="CD708" s="168"/>
      <c r="CE708" s="62"/>
      <c r="CF708" s="62"/>
      <c r="CG708" s="9"/>
      <c r="CH708" s="9"/>
      <c r="CI708" s="9"/>
      <c r="CJ708" s="9"/>
      <c r="CK708" s="9"/>
      <c r="CL708" s="9"/>
      <c r="CM708" s="9"/>
      <c r="CN708" s="9"/>
      <c r="CO708" s="9"/>
      <c r="CP708" s="9"/>
    </row>
    <row r="709" spans="1:94" ht="30" x14ac:dyDescent="0.25">
      <c r="A709" s="127" t="s">
        <v>2266</v>
      </c>
      <c r="B709" s="51" t="s">
        <v>2267</v>
      </c>
      <c r="C709" s="62"/>
      <c r="D709" s="84">
        <v>1</v>
      </c>
      <c r="E709" s="62" t="s">
        <v>855</v>
      </c>
      <c r="F709" s="62">
        <v>1</v>
      </c>
      <c r="G709" s="62" t="s">
        <v>184</v>
      </c>
      <c r="H709" s="50">
        <f>VLOOKUP($A709,'[1]ma sp 02'!$A$5:$BD$1101,H$1,0)</f>
        <v>0</v>
      </c>
      <c r="I709" s="50">
        <f>VLOOKUP($A709,'[1]ma sp 02'!$A$5:$BD$1101,I$1,0)</f>
        <v>0.46300000000000002</v>
      </c>
      <c r="J709" s="50">
        <f>VLOOKUP($A709,'[1]ma sp 02'!$A$5:$BD$1101,J$1,0)</f>
        <v>0</v>
      </c>
      <c r="K709" s="50">
        <f>VLOOKUP($A709,'[1]ma sp 02'!$A$5:$BD$1101,K$1,0)</f>
        <v>0</v>
      </c>
      <c r="L709" s="50">
        <f>VLOOKUP($A709,'[1]ma sp 02'!$A$5:$BD$1101,L$1,0)</f>
        <v>0</v>
      </c>
      <c r="M709" s="50">
        <f>VLOOKUP($A709,'[1]ma sp 02'!$A$5:$BD$1101,M$1,0)</f>
        <v>0</v>
      </c>
      <c r="N709" s="50">
        <f>VLOOKUP($A709,'[1]ma sp 02'!$A$5:$BD$1101,N$1,0)</f>
        <v>0</v>
      </c>
      <c r="O709" s="50">
        <f>VLOOKUP($A709,'[1]ma sp 02'!$A$5:$BD$1101,O$1,0)</f>
        <v>0</v>
      </c>
      <c r="P709" s="50">
        <f>VLOOKUP($A709,'[1]ma sp 02'!$A$5:$BD$1101,P$1,0)</f>
        <v>0</v>
      </c>
      <c r="Q709" s="50">
        <f>VLOOKUP($A709,'[1]ma sp 02'!$A$5:$BD$1101,Q$1,0)</f>
        <v>0</v>
      </c>
      <c r="R709" s="50">
        <f>VLOOKUP($A709,'[1]ma sp 02'!$A$5:$BD$1101,R$1,0)</f>
        <v>0</v>
      </c>
      <c r="S709" s="50">
        <f>VLOOKUP($A709,'[1]ma sp 02'!$A$5:$BD$1101,S$1,0)</f>
        <v>0</v>
      </c>
      <c r="T709" s="50">
        <f>VLOOKUP($A709,'[1]ma sp 02'!$A$5:$BD$1101,T$1,0)</f>
        <v>0</v>
      </c>
      <c r="U709" s="50">
        <f>VLOOKUP($A709,'[1]ma sp 02'!$A$5:$BD$1101,U$1,0)</f>
        <v>0</v>
      </c>
      <c r="V709" s="50">
        <f>VLOOKUP($A709,'[1]ma sp 02'!$A$5:$BD$1101,V$1,0)</f>
        <v>0</v>
      </c>
      <c r="W709" s="50">
        <f>VLOOKUP($A709,'[1]ma sp 02'!$A$5:$BD$1101,W$1,0)</f>
        <v>0</v>
      </c>
      <c r="X709" s="50"/>
      <c r="Y709" s="62"/>
      <c r="Z709" s="62"/>
      <c r="AA709" s="62"/>
      <c r="AB709" s="62"/>
      <c r="AC709" s="62"/>
      <c r="AD709" s="62"/>
      <c r="AE709" s="62" t="s">
        <v>993</v>
      </c>
      <c r="AF709" s="62" t="s">
        <v>1220</v>
      </c>
      <c r="AG709" s="53">
        <f>(0.03*0.91+0.006*2.7+0.085*0.925)*0.66</f>
        <v>8.0602500000000007E-2</v>
      </c>
      <c r="AH709" s="54">
        <f>(2.5/0.75/2)*0.65</f>
        <v>1.0833333333333335</v>
      </c>
      <c r="AI709" s="54">
        <f>(2.5/0.75/2)*0.65</f>
        <v>1.0833333333333335</v>
      </c>
      <c r="AJ709" s="62">
        <v>9530</v>
      </c>
      <c r="AK709" s="62">
        <v>9530</v>
      </c>
      <c r="AL709" s="104" t="s">
        <v>2268</v>
      </c>
      <c r="AM709" s="61" t="s">
        <v>74</v>
      </c>
      <c r="AN709" s="62">
        <v>240</v>
      </c>
      <c r="AO709" s="61" t="s">
        <v>2269</v>
      </c>
      <c r="AP709" s="59" t="str">
        <f>IFERROR(VLOOKUP($A709,[2]Mssp!$A$5:$BE$1463,AP$4+1,0),0)</f>
        <v>20060348-1</v>
      </c>
      <c r="AQ709" s="59">
        <f>IFERROR(VLOOKUP($A709,[2]Mssp!$A$5:$BE$1463,AQ$4+1,0),0)</f>
        <v>0</v>
      </c>
      <c r="AR709" s="59">
        <f>IFERROR(VLOOKUP($A709,[2]Mssp!$A$5:$BE$1463,AR$4+1,0),0)</f>
        <v>0</v>
      </c>
      <c r="AS709" s="59">
        <f>IFERROR(VLOOKUP($A709,[2]Mssp!$A$5:$BE$1463,AS$4+1,0),0)</f>
        <v>0</v>
      </c>
      <c r="AT709" s="59">
        <f>IFERROR(VLOOKUP($A709,[2]Mssp!$A$5:$BE$1463,AT$4+1,0),0)</f>
        <v>0</v>
      </c>
      <c r="AU709" s="59">
        <f>IFERROR(VLOOKUP($A709,[2]Mssp!$A$5:$BE$1463,AU$4+1,0),0)</f>
        <v>0</v>
      </c>
      <c r="AV709" s="59">
        <f>IFERROR(VLOOKUP($A709,[2]Mssp!$A$5:$BE$1463,AV$4+1,0),0)</f>
        <v>0</v>
      </c>
      <c r="AW709" s="59">
        <f>IFERROR(VLOOKUP($A709,[2]Mssp!$A$5:$BE$1463,AW$4+1,0),0)</f>
        <v>0</v>
      </c>
      <c r="AX709" s="59">
        <f>IFERROR(VLOOKUP($A709,[2]Mssp!$A$5:$BE$1463,AX$4+1,0),0)</f>
        <v>0</v>
      </c>
      <c r="AY709" s="59" t="str">
        <f>IFERROR(VLOOKUP($A709,[2]Mssp!$A$5:$BE$1463,AY$4+2,0),0)</f>
        <v>480x870</v>
      </c>
      <c r="AZ709" s="59" t="str">
        <f>IFERROR(VLOOKUP($A709,[2]Mssp!$A$5:$BE$1463,AZ$4+2,0),0)</f>
        <v>S2</v>
      </c>
      <c r="BA709" s="141"/>
      <c r="BB709" s="61"/>
      <c r="BC709" s="165"/>
      <c r="BD709" s="166"/>
      <c r="BE709" s="167"/>
      <c r="BF709" s="168"/>
      <c r="BG709" s="167"/>
      <c r="BH709" s="168"/>
      <c r="BI709" s="169"/>
      <c r="BJ709" s="168"/>
      <c r="BK709" s="134"/>
      <c r="BL709" s="168"/>
      <c r="BM709" s="167"/>
      <c r="BN709" s="168"/>
      <c r="BO709" s="62"/>
      <c r="BP709" s="168"/>
      <c r="BQ709" s="168"/>
      <c r="BR709" s="168"/>
      <c r="BS709" s="135"/>
      <c r="BT709" s="176"/>
      <c r="BU709" s="167"/>
      <c r="BV709" s="168"/>
      <c r="BW709" s="167"/>
      <c r="BX709" s="168"/>
      <c r="BY709" s="167"/>
      <c r="BZ709" s="176"/>
      <c r="CA709" s="167"/>
      <c r="CB709" s="168"/>
      <c r="CC709" s="167"/>
      <c r="CD709" s="168"/>
      <c r="CE709" s="62"/>
      <c r="CF709" s="62"/>
      <c r="CG709" s="9"/>
      <c r="CH709" s="9"/>
      <c r="CI709" s="9"/>
      <c r="CJ709" s="9"/>
      <c r="CK709" s="9"/>
      <c r="CL709" s="9"/>
      <c r="CM709" s="9"/>
      <c r="CN709" s="9"/>
      <c r="CO709" s="9"/>
      <c r="CP709" s="9"/>
    </row>
    <row r="710" spans="1:94" x14ac:dyDescent="0.25">
      <c r="A710" s="127" t="s">
        <v>2270</v>
      </c>
      <c r="B710" s="51" t="s">
        <v>2271</v>
      </c>
      <c r="C710" s="62"/>
      <c r="D710" s="84">
        <v>2</v>
      </c>
      <c r="E710" s="62" t="s">
        <v>393</v>
      </c>
      <c r="F710" s="62">
        <v>8</v>
      </c>
      <c r="G710" s="62" t="s">
        <v>530</v>
      </c>
      <c r="H710" s="50">
        <f>VLOOKUP($A710,'[1]ma sp 02'!$A$5:$BD$1101,H$1,0)</f>
        <v>0.58699999999999997</v>
      </c>
      <c r="I710" s="50">
        <f>VLOOKUP($A710,'[1]ma sp 02'!$A$5:$BD$1101,I$1,0)</f>
        <v>3</v>
      </c>
      <c r="J710" s="50">
        <f>VLOOKUP($A710,'[1]ma sp 02'!$A$5:$BD$1101,J$1,0)</f>
        <v>1.6140000000000001</v>
      </c>
      <c r="K710" s="50">
        <f>VLOOKUP($A710,'[1]ma sp 02'!$A$5:$BD$1101,K$1,0)</f>
        <v>0.48899999999999999</v>
      </c>
      <c r="L710" s="50">
        <f>VLOOKUP($A710,'[1]ma sp 02'!$A$5:$BD$1101,L$1,0)</f>
        <v>2.7869999999999999</v>
      </c>
      <c r="M710" s="50">
        <f>VLOOKUP($A710,'[1]ma sp 02'!$A$5:$BD$1101,M$1,0)</f>
        <v>1.0760000000000001</v>
      </c>
      <c r="N710" s="50">
        <f>VLOOKUP($A710,'[1]ma sp 02'!$A$5:$BD$1101,N$1,0)</f>
        <v>0</v>
      </c>
      <c r="O710" s="50">
        <f>VLOOKUP($A710,'[1]ma sp 02'!$A$5:$BD$1101,O$1,0)</f>
        <v>0.24399999999999999</v>
      </c>
      <c r="P710" s="50">
        <f>VLOOKUP($A710,'[1]ma sp 02'!$A$5:$BD$1101,P$1,0)</f>
        <v>9.8000000000000004E-2</v>
      </c>
      <c r="Q710" s="50">
        <f>VLOOKUP($A710,'[1]ma sp 02'!$A$5:$BD$1101,Q$1,0)</f>
        <v>0</v>
      </c>
      <c r="R710" s="50">
        <f>VLOOKUP($A710,'[1]ma sp 02'!$A$5:$BD$1101,R$1,0)</f>
        <v>0.58699999999999997</v>
      </c>
      <c r="S710" s="50">
        <f>VLOOKUP($A710,'[1]ma sp 02'!$A$5:$BD$1101,S$1,0)</f>
        <v>0</v>
      </c>
      <c r="T710" s="50">
        <f>VLOOKUP($A710,'[1]ma sp 02'!$A$5:$BD$1101,T$1,0)</f>
        <v>0</v>
      </c>
      <c r="U710" s="50">
        <f>VLOOKUP($A710,'[1]ma sp 02'!$A$5:$BD$1101,U$1,0)</f>
        <v>0</v>
      </c>
      <c r="V710" s="50">
        <f>VLOOKUP($A710,'[1]ma sp 02'!$A$5:$BD$1101,V$1,0)</f>
        <v>0</v>
      </c>
      <c r="W710" s="50">
        <f>VLOOKUP($A710,'[1]ma sp 02'!$A$5:$BD$1101,W$1,0)</f>
        <v>0</v>
      </c>
      <c r="X710" s="50"/>
      <c r="Y710" s="62"/>
      <c r="Z710" s="62"/>
      <c r="AA710" s="62"/>
      <c r="AB710" s="62"/>
      <c r="AC710" s="62"/>
      <c r="AD710" s="62"/>
      <c r="AE710" s="62" t="s">
        <v>394</v>
      </c>
      <c r="AF710" s="62" t="s">
        <v>2069</v>
      </c>
      <c r="AG710" s="53">
        <f>(0.02*0.91+0.012*1.4+0.035*0.925)*0.66</f>
        <v>4.4467500000000014E-2</v>
      </c>
      <c r="AH710" s="54">
        <f>(2.3/0.75/2)*0.65</f>
        <v>0.99666666666666659</v>
      </c>
      <c r="AI710" s="54">
        <f>(2.5/0.75/2)*0.65</f>
        <v>1.0833333333333335</v>
      </c>
      <c r="AJ710" s="62">
        <v>9530</v>
      </c>
      <c r="AK710" s="62">
        <v>9530</v>
      </c>
      <c r="AL710" s="62" t="s">
        <v>2070</v>
      </c>
      <c r="AM710" s="61" t="s">
        <v>1489</v>
      </c>
      <c r="AN710" s="62">
        <v>216</v>
      </c>
      <c r="AO710" s="61" t="s">
        <v>169</v>
      </c>
      <c r="AP710" s="59" t="str">
        <f>IFERROR(VLOOKUP($A710,[2]Mssp!$A$5:$BE$1463,AP$4+1,0),0)</f>
        <v>F125535-1</v>
      </c>
      <c r="AQ710" s="59" t="str">
        <f>IFERROR(VLOOKUP($A710,[2]Mssp!$A$5:$BE$1463,AQ$4+1,0),0)</f>
        <v>F126128-2</v>
      </c>
      <c r="AR710" s="59" t="str">
        <f>IFERROR(VLOOKUP($A710,[2]Mssp!$A$5:$BE$1463,AR$4+1,0),0)</f>
        <v>F125535-3</v>
      </c>
      <c r="AS710" s="59" t="str">
        <f>IFERROR(VLOOKUP($A710,[2]Mssp!$A$5:$BE$1463,AS$4+1,0),0)</f>
        <v>F125535-4</v>
      </c>
      <c r="AT710" s="59" t="str">
        <f>IFERROR(VLOOKUP($A710,[2]Mssp!$A$5:$BE$1463,AT$4+1,0),0)</f>
        <v>F125535-5</v>
      </c>
      <c r="AU710" s="59" t="str">
        <f>IFERROR(VLOOKUP($A710,[2]Mssp!$A$5:$BE$1463,AU$4+1,0),0)</f>
        <v>F125535-6</v>
      </c>
      <c r="AV710" s="59" t="str">
        <f>IFERROR(VLOOKUP($A710,[2]Mssp!$A$5:$BE$1463,AV$4+1,0),0)</f>
        <v>F125535-7</v>
      </c>
      <c r="AW710" s="59" t="str">
        <f>IFERROR(VLOOKUP($A710,[2]Mssp!$A$5:$BE$1463,AW$4+1,0),0)</f>
        <v>F125535-8</v>
      </c>
      <c r="AX710" s="59">
        <f>IFERROR(VLOOKUP($A710,[2]Mssp!$A$5:$BE$1463,AX$4+1,0),0)</f>
        <v>0</v>
      </c>
      <c r="AY710" s="59" t="str">
        <f>IFERROR(VLOOKUP($A710,[2]Mssp!$A$5:$BE$1463,AY$4+2,0),0)</f>
        <v>432x870</v>
      </c>
      <c r="AZ710" s="59" t="str">
        <f>IFERROR(VLOOKUP($A710,[2]Mssp!$A$5:$BE$1463,AZ$4+2,0),0)</f>
        <v>S2</v>
      </c>
      <c r="BA710" s="141"/>
      <c r="BB710" s="61"/>
      <c r="BC710" s="165"/>
      <c r="BD710" s="166"/>
      <c r="BE710" s="167"/>
      <c r="BF710" s="168"/>
      <c r="BG710" s="167"/>
      <c r="BH710" s="168"/>
      <c r="BI710" s="169"/>
      <c r="BJ710" s="168"/>
      <c r="BK710" s="134"/>
      <c r="BL710" s="168"/>
      <c r="BM710" s="167"/>
      <c r="BN710" s="168"/>
      <c r="BO710" s="62"/>
      <c r="BP710" s="168"/>
      <c r="BQ710" s="168"/>
      <c r="BR710" s="168"/>
      <c r="BS710" s="135"/>
      <c r="BT710" s="176"/>
      <c r="BU710" s="167"/>
      <c r="BV710" s="168"/>
      <c r="BW710" s="167"/>
      <c r="BX710" s="168"/>
      <c r="BY710" s="167"/>
      <c r="BZ710" s="176"/>
      <c r="CA710" s="167"/>
      <c r="CB710" s="168"/>
      <c r="CC710" s="167"/>
      <c r="CD710" s="168"/>
      <c r="CE710" s="62"/>
      <c r="CF710" s="62"/>
      <c r="CG710" s="9"/>
      <c r="CH710" s="9"/>
      <c r="CI710" s="9"/>
      <c r="CJ710" s="9"/>
      <c r="CK710" s="9"/>
      <c r="CL710" s="9"/>
      <c r="CM710" s="9"/>
      <c r="CN710" s="9"/>
      <c r="CO710" s="9"/>
      <c r="CP710" s="9"/>
    </row>
    <row r="711" spans="1:94" ht="30" x14ac:dyDescent="0.25">
      <c r="A711" s="154" t="s">
        <v>2272</v>
      </c>
      <c r="B711" s="81" t="s">
        <v>2273</v>
      </c>
      <c r="C711" s="104"/>
      <c r="D711" s="179">
        <v>1</v>
      </c>
      <c r="E711" s="104" t="s">
        <v>2274</v>
      </c>
      <c r="F711" s="104">
        <v>7</v>
      </c>
      <c r="G711" s="62" t="s">
        <v>184</v>
      </c>
      <c r="H711" s="50">
        <f>VLOOKUP($A711,'[1]ma sp 02'!$A$5:$BD$1101,H$1,0)</f>
        <v>0.6</v>
      </c>
      <c r="I711" s="50">
        <f>VLOOKUP($A711,'[1]ma sp 02'!$A$5:$BD$1101,I$1,0)</f>
        <v>4.53</v>
      </c>
      <c r="J711" s="50">
        <f>VLOOKUP($A711,'[1]ma sp 02'!$A$5:$BD$1101,J$1,0)</f>
        <v>0.94</v>
      </c>
      <c r="K711" s="50">
        <f>VLOOKUP($A711,'[1]ma sp 02'!$A$5:$BD$1101,K$1,0)</f>
        <v>0.22</v>
      </c>
      <c r="L711" s="50">
        <f>VLOOKUP($A711,'[1]ma sp 02'!$A$5:$BD$1101,L$1,0)</f>
        <v>3.37</v>
      </c>
      <c r="M711" s="50">
        <f>VLOOKUP($A711,'[1]ma sp 02'!$A$5:$BD$1101,M$1,0)</f>
        <v>1.54</v>
      </c>
      <c r="N711" s="50">
        <f>VLOOKUP($A711,'[1]ma sp 02'!$A$5:$BD$1101,N$1,0)</f>
        <v>0</v>
      </c>
      <c r="O711" s="50">
        <f>VLOOKUP($A711,'[1]ma sp 02'!$A$5:$BD$1101,O$1,0)</f>
        <v>0.22</v>
      </c>
      <c r="P711" s="50">
        <f>VLOOKUP($A711,'[1]ma sp 02'!$A$5:$BD$1101,P$1,0)</f>
        <v>0.33</v>
      </c>
      <c r="Q711" s="50">
        <f>VLOOKUP($A711,'[1]ma sp 02'!$A$5:$BD$1101,Q$1,0)</f>
        <v>0.27</v>
      </c>
      <c r="R711" s="50">
        <f>VLOOKUP($A711,'[1]ma sp 02'!$A$5:$BD$1101,R$1,0)</f>
        <v>0</v>
      </c>
      <c r="S711" s="50">
        <f>VLOOKUP($A711,'[1]ma sp 02'!$A$5:$BD$1101,S$1,0)</f>
        <v>0</v>
      </c>
      <c r="T711" s="50">
        <f>VLOOKUP($A711,'[1]ma sp 02'!$A$5:$BD$1101,T$1,0)</f>
        <v>0</v>
      </c>
      <c r="U711" s="50">
        <f>VLOOKUP($A711,'[1]ma sp 02'!$A$5:$BD$1101,U$1,0)</f>
        <v>0</v>
      </c>
      <c r="V711" s="50">
        <f>VLOOKUP($A711,'[1]ma sp 02'!$A$5:$BD$1101,V$1,0)</f>
        <v>0</v>
      </c>
      <c r="W711" s="50">
        <f>VLOOKUP($A711,'[1]ma sp 02'!$A$5:$BD$1101,W$1,0)</f>
        <v>0</v>
      </c>
      <c r="X711" s="77"/>
      <c r="Y711" s="104"/>
      <c r="Z711" s="104"/>
      <c r="AA711" s="104"/>
      <c r="AB711" s="104"/>
      <c r="AC711" s="104"/>
      <c r="AD711" s="104"/>
      <c r="AE711" s="104" t="s">
        <v>2275</v>
      </c>
      <c r="AF711" s="104"/>
      <c r="AG711" s="180">
        <f>(0.02*0.91+0.035*0.91)*0.59</f>
        <v>2.95295E-2</v>
      </c>
      <c r="AH711" s="181">
        <f>(2.3/0.75/2)*0.65</f>
        <v>0.99666666666666659</v>
      </c>
      <c r="AI711" s="181"/>
      <c r="AJ711" s="104" t="s">
        <v>1881</v>
      </c>
      <c r="AK711" s="104"/>
      <c r="AL711" s="104">
        <v>1.1999999999999999E-3</v>
      </c>
      <c r="AM711" s="103" t="s">
        <v>386</v>
      </c>
      <c r="AN711" s="104">
        <v>300</v>
      </c>
      <c r="AO711" s="103" t="s">
        <v>2056</v>
      </c>
      <c r="AP711" s="59" t="str">
        <f>IFERROR(VLOOKUP($A711,[2]Mssp!$A$5:$BE$1463,AP$4+1,0),0)</f>
        <v>X109172-1</v>
      </c>
      <c r="AQ711" s="59" t="str">
        <f>IFERROR(VLOOKUP($A711,[2]Mssp!$A$5:$BE$1463,AQ$4+1,0),0)</f>
        <v>X109172-2</v>
      </c>
      <c r="AR711" s="59" t="str">
        <f>IFERROR(VLOOKUP($A711,[2]Mssp!$A$5:$BE$1463,AR$4+1,0),0)</f>
        <v>X109172-3</v>
      </c>
      <c r="AS711" s="59" t="str">
        <f>IFERROR(VLOOKUP($A711,[2]Mssp!$A$5:$BE$1463,AS$4+1,0),0)</f>
        <v>X109172-4</v>
      </c>
      <c r="AT711" s="59" t="str">
        <f>IFERROR(VLOOKUP($A711,[2]Mssp!$A$5:$BE$1463,AT$4+1,0),0)</f>
        <v>X109172-5</v>
      </c>
      <c r="AU711" s="59" t="str">
        <f>IFERROR(VLOOKUP($A711,[2]Mssp!$A$5:$BE$1463,AU$4+1,0),0)</f>
        <v>X109172-6</v>
      </c>
      <c r="AV711" s="59" t="str">
        <f>IFERROR(VLOOKUP($A711,[2]Mssp!$A$5:$BE$1463,AV$4+1,0),0)</f>
        <v>X109172-7</v>
      </c>
      <c r="AW711" s="59">
        <f>IFERROR(VLOOKUP($A711,[2]Mssp!$A$5:$BE$1463,AW$4+1,0),0)</f>
        <v>0</v>
      </c>
      <c r="AX711" s="59">
        <f>IFERROR(VLOOKUP($A711,[2]Mssp!$A$5:$BE$1463,AX$4+1,0),0)</f>
        <v>0</v>
      </c>
      <c r="AY711" s="59" t="str">
        <f>IFERROR(VLOOKUP($A711,[2]Mssp!$A$5:$BE$1463,AY$4+2,0),0)</f>
        <v>870x600</v>
      </c>
      <c r="AZ711" s="59" t="str">
        <f>IFERROR(VLOOKUP($A711,[2]Mssp!$A$5:$BE$1463,AZ$4+2,0),0)</f>
        <v>S2</v>
      </c>
      <c r="BA711" s="182"/>
      <c r="BB711" s="103" t="s">
        <v>1894</v>
      </c>
      <c r="BC711" s="183"/>
      <c r="BD711" s="184"/>
      <c r="BE711" s="185"/>
      <c r="BF711" s="186"/>
      <c r="BG711" s="185"/>
      <c r="BH711" s="186"/>
      <c r="BI711" s="186"/>
      <c r="BJ711" s="186"/>
      <c r="BK711" s="187"/>
      <c r="BL711" s="186"/>
      <c r="BM711" s="185"/>
      <c r="BN711" s="186"/>
      <c r="BO711" s="104"/>
      <c r="BP711" s="186"/>
      <c r="BQ711" s="186"/>
      <c r="BR711" s="186"/>
      <c r="BS711" s="188"/>
      <c r="BT711" s="189"/>
      <c r="BU711" s="185"/>
      <c r="BV711" s="186"/>
      <c r="BW711" s="185"/>
      <c r="BX711" s="186"/>
      <c r="BY711" s="185"/>
      <c r="BZ711" s="189"/>
      <c r="CA711" s="185"/>
      <c r="CB711" s="186"/>
      <c r="CC711" s="185"/>
      <c r="CD711" s="186"/>
      <c r="CE711" s="104"/>
      <c r="CF711" s="104"/>
      <c r="CG711" s="105"/>
      <c r="CH711" s="9"/>
      <c r="CI711" s="105"/>
      <c r="CJ711" s="105"/>
      <c r="CK711" s="105"/>
      <c r="CL711" s="105"/>
      <c r="CM711" s="105"/>
      <c r="CN711" s="105"/>
      <c r="CO711" s="105"/>
      <c r="CP711" s="105"/>
    </row>
    <row r="712" spans="1:94" ht="30" x14ac:dyDescent="0.25">
      <c r="A712" s="127" t="s">
        <v>2276</v>
      </c>
      <c r="B712" s="51" t="s">
        <v>2277</v>
      </c>
      <c r="C712" s="62"/>
      <c r="D712" s="84">
        <v>5</v>
      </c>
      <c r="E712" s="62" t="s">
        <v>2278</v>
      </c>
      <c r="F712" s="62">
        <v>4</v>
      </c>
      <c r="G712" s="62"/>
      <c r="H712" s="50">
        <f>VLOOKUP($A712,'[1]ma sp 02'!$A$5:$BD$1101,H$1,0)</f>
        <v>0.01</v>
      </c>
      <c r="I712" s="50">
        <f>VLOOKUP($A712,'[1]ma sp 02'!$A$5:$BD$1101,I$1,0)</f>
        <v>0.79</v>
      </c>
      <c r="J712" s="50">
        <f>VLOOKUP($A712,'[1]ma sp 02'!$A$5:$BD$1101,J$1,0)</f>
        <v>0</v>
      </c>
      <c r="K712" s="50">
        <f>VLOOKUP($A712,'[1]ma sp 02'!$A$5:$BD$1101,K$1,0)</f>
        <v>0</v>
      </c>
      <c r="L712" s="50">
        <f>VLOOKUP($A712,'[1]ma sp 02'!$A$5:$BD$1101,L$1,0)</f>
        <v>0.66</v>
      </c>
      <c r="M712" s="50">
        <f>VLOOKUP($A712,'[1]ma sp 02'!$A$5:$BD$1101,M$1,0)</f>
        <v>0.1</v>
      </c>
      <c r="N712" s="50">
        <f>VLOOKUP($A712,'[1]ma sp 02'!$A$5:$BD$1101,N$1,0)</f>
        <v>0</v>
      </c>
      <c r="O712" s="50">
        <f>VLOOKUP($A712,'[1]ma sp 02'!$A$5:$BD$1101,O$1,0)</f>
        <v>0</v>
      </c>
      <c r="P712" s="50">
        <f>VLOOKUP($A712,'[1]ma sp 02'!$A$5:$BD$1101,P$1,0)</f>
        <v>0.23</v>
      </c>
      <c r="Q712" s="50">
        <f>VLOOKUP($A712,'[1]ma sp 02'!$A$5:$BD$1101,Q$1,0)</f>
        <v>0.01</v>
      </c>
      <c r="R712" s="50">
        <f>VLOOKUP($A712,'[1]ma sp 02'!$A$5:$BD$1101,R$1,0)</f>
        <v>0</v>
      </c>
      <c r="S712" s="50">
        <f>VLOOKUP($A712,'[1]ma sp 02'!$A$5:$BD$1101,S$1,0)</f>
        <v>0</v>
      </c>
      <c r="T712" s="50">
        <f>VLOOKUP($A712,'[1]ma sp 02'!$A$5:$BD$1101,T$1,0)</f>
        <v>0</v>
      </c>
      <c r="U712" s="50">
        <f>VLOOKUP($A712,'[1]ma sp 02'!$A$5:$BD$1101,U$1,0)</f>
        <v>0</v>
      </c>
      <c r="V712" s="50">
        <f>VLOOKUP($A712,'[1]ma sp 02'!$A$5:$BD$1101,V$1,0)</f>
        <v>0</v>
      </c>
      <c r="W712" s="50">
        <f>VLOOKUP($A712,'[1]ma sp 02'!$A$5:$BD$1101,W$1,0)</f>
        <v>0</v>
      </c>
      <c r="X712" s="50"/>
      <c r="Y712" s="62"/>
      <c r="Z712" s="62"/>
      <c r="AA712" s="62"/>
      <c r="AB712" s="62"/>
      <c r="AC712" s="62"/>
      <c r="AD712" s="62"/>
      <c r="AE712" s="62" t="s">
        <v>2279</v>
      </c>
      <c r="AF712" s="62"/>
      <c r="AG712" s="180">
        <f>(0.02*0.91+0.02*0.91)*1.04</f>
        <v>3.7856000000000001E-2</v>
      </c>
      <c r="AH712" s="181">
        <f>(2.3/0.75/2)*1.03</f>
        <v>1.5793333333333333</v>
      </c>
      <c r="AI712" s="54"/>
      <c r="AJ712" s="104" t="s">
        <v>1881</v>
      </c>
      <c r="AK712" s="104"/>
      <c r="AL712" s="104">
        <v>1.1999999999999999E-3</v>
      </c>
      <c r="AM712" s="61" t="s">
        <v>1489</v>
      </c>
      <c r="AN712" s="62">
        <v>115</v>
      </c>
      <c r="AO712" s="103" t="s">
        <v>2056</v>
      </c>
      <c r="AP712" s="59" t="str">
        <f>IFERROR(VLOOKUP($A712,[2]Mssp!$A$5:$BE$1463,AP$4+1,0),0)</f>
        <v>F126299-1</v>
      </c>
      <c r="AQ712" s="59" t="str">
        <f>IFERROR(VLOOKUP($A712,[2]Mssp!$A$5:$BE$1463,AQ$4+1,0),0)</f>
        <v>F126299-2</v>
      </c>
      <c r="AR712" s="59" t="str">
        <f>IFERROR(VLOOKUP($A712,[2]Mssp!$A$5:$BE$1463,AR$4+1,0),0)</f>
        <v>F126299-3</v>
      </c>
      <c r="AS712" s="59" t="str">
        <f>IFERROR(VLOOKUP($A712,[2]Mssp!$A$5:$BE$1463,AS$4+1,0),0)</f>
        <v>F126299-4</v>
      </c>
      <c r="AT712" s="59">
        <f>IFERROR(VLOOKUP($A712,[2]Mssp!$A$5:$BE$1463,AT$4+1,0),0)</f>
        <v>0</v>
      </c>
      <c r="AU712" s="59">
        <f>IFERROR(VLOOKUP($A712,[2]Mssp!$A$5:$BE$1463,AU$4+1,0),0)</f>
        <v>0</v>
      </c>
      <c r="AV712" s="59">
        <f>IFERROR(VLOOKUP($A712,[2]Mssp!$A$5:$BE$1463,AV$4+1,0),0)</f>
        <v>0</v>
      </c>
      <c r="AW712" s="59">
        <f>IFERROR(VLOOKUP($A712,[2]Mssp!$A$5:$BE$1463,AW$4+1,0),0)</f>
        <v>0</v>
      </c>
      <c r="AX712" s="59">
        <f>IFERROR(VLOOKUP($A712,[2]Mssp!$A$5:$BE$1463,AX$4+1,0),0)</f>
        <v>0</v>
      </c>
      <c r="AY712" s="59" t="str">
        <f>IFERROR(VLOOKUP($A712,[2]Mssp!$A$5:$BE$1463,AY$4+2,0),0)</f>
        <v>1200x460</v>
      </c>
      <c r="AZ712" s="59" t="str">
        <f>IFERROR(VLOOKUP($A712,[2]Mssp!$A$5:$BE$1463,AZ$4+2,0),0)</f>
        <v>S2</v>
      </c>
      <c r="BA712" s="141"/>
      <c r="BB712" s="61" t="s">
        <v>952</v>
      </c>
      <c r="BC712" s="165"/>
      <c r="BD712" s="166"/>
      <c r="BE712" s="167"/>
      <c r="BF712" s="168"/>
      <c r="BG712" s="167"/>
      <c r="BH712" s="168"/>
      <c r="BI712" s="169"/>
      <c r="BJ712" s="168"/>
      <c r="BK712" s="134"/>
      <c r="BL712" s="168"/>
      <c r="BM712" s="167"/>
      <c r="BN712" s="168"/>
      <c r="BO712" s="62"/>
      <c r="BP712" s="168"/>
      <c r="BQ712" s="168"/>
      <c r="BR712" s="168"/>
      <c r="BS712" s="135"/>
      <c r="BT712" s="176"/>
      <c r="BU712" s="167"/>
      <c r="BV712" s="168"/>
      <c r="BW712" s="167"/>
      <c r="BX712" s="168"/>
      <c r="BY712" s="167"/>
      <c r="BZ712" s="176"/>
      <c r="CA712" s="167"/>
      <c r="CB712" s="168"/>
      <c r="CC712" s="167"/>
      <c r="CD712" s="168"/>
      <c r="CE712" s="62"/>
      <c r="CF712" s="62"/>
      <c r="CG712" s="9"/>
      <c r="CH712" s="9"/>
      <c r="CI712" s="9"/>
      <c r="CJ712" s="9"/>
      <c r="CK712" s="9"/>
      <c r="CL712" s="9"/>
      <c r="CM712" s="9"/>
      <c r="CN712" s="9"/>
      <c r="CO712" s="9"/>
      <c r="CP712" s="9"/>
    </row>
    <row r="713" spans="1:94" ht="30" x14ac:dyDescent="0.25">
      <c r="A713" s="127" t="s">
        <v>2280</v>
      </c>
      <c r="B713" s="51" t="s">
        <v>2281</v>
      </c>
      <c r="C713" s="62"/>
      <c r="D713" s="84">
        <v>8</v>
      </c>
      <c r="E713" s="62" t="s">
        <v>2131</v>
      </c>
      <c r="F713" s="62">
        <v>5</v>
      </c>
      <c r="G713" s="62" t="s">
        <v>184</v>
      </c>
      <c r="H713" s="50">
        <f>VLOOKUP($A713,'[1]ma sp 02'!$A$5:$BD$1101,H$1,0)</f>
        <v>0.21</v>
      </c>
      <c r="I713" s="50">
        <f>VLOOKUP($A713,'[1]ma sp 02'!$A$5:$BD$1101,I$1,0)</f>
        <v>0.51700000000000002</v>
      </c>
      <c r="J713" s="50">
        <f>VLOOKUP($A713,'[1]ma sp 02'!$A$5:$BD$1101,J$1,0)</f>
        <v>7.0000000000000007E-2</v>
      </c>
      <c r="K713" s="50">
        <f>VLOOKUP($A713,'[1]ma sp 02'!$A$5:$BD$1101,K$1,0)</f>
        <v>0</v>
      </c>
      <c r="L713" s="50">
        <f>VLOOKUP($A713,'[1]ma sp 02'!$A$5:$BD$1101,L$1,0)</f>
        <v>0.33</v>
      </c>
      <c r="M713" s="50">
        <f>VLOOKUP($A713,'[1]ma sp 02'!$A$5:$BD$1101,M$1,0)</f>
        <v>0.17799999999999999</v>
      </c>
      <c r="N713" s="50">
        <f>VLOOKUP($A713,'[1]ma sp 02'!$A$5:$BD$1101,N$1,0)</f>
        <v>0</v>
      </c>
      <c r="O713" s="50">
        <f>VLOOKUP($A713,'[1]ma sp 02'!$A$5:$BD$1101,O$1,0)</f>
        <v>0.1</v>
      </c>
      <c r="P713" s="50">
        <f>VLOOKUP($A713,'[1]ma sp 02'!$A$5:$BD$1101,P$1,0)</f>
        <v>0.19</v>
      </c>
      <c r="Q713" s="50">
        <f>VLOOKUP($A713,'[1]ma sp 02'!$A$5:$BD$1101,Q$1,0)</f>
        <v>0.14000000000000001</v>
      </c>
      <c r="R713" s="50">
        <f>VLOOKUP($A713,'[1]ma sp 02'!$A$5:$BD$1101,R$1,0)</f>
        <v>0</v>
      </c>
      <c r="S713" s="50">
        <f>VLOOKUP($A713,'[1]ma sp 02'!$A$5:$BD$1101,S$1,0)</f>
        <v>0</v>
      </c>
      <c r="T713" s="50">
        <f>VLOOKUP($A713,'[1]ma sp 02'!$A$5:$BD$1101,T$1,0)</f>
        <v>0</v>
      </c>
      <c r="U713" s="50">
        <f>VLOOKUP($A713,'[1]ma sp 02'!$A$5:$BD$1101,U$1,0)</f>
        <v>0</v>
      </c>
      <c r="V713" s="50">
        <f>VLOOKUP($A713,'[1]ma sp 02'!$A$5:$BD$1101,V$1,0)</f>
        <v>0</v>
      </c>
      <c r="W713" s="50">
        <f>VLOOKUP($A713,'[1]ma sp 02'!$A$5:$BD$1101,W$1,0)</f>
        <v>0</v>
      </c>
      <c r="X713" s="50"/>
      <c r="Y713" s="62"/>
      <c r="Z713" s="62"/>
      <c r="AA713" s="62"/>
      <c r="AB713" s="62"/>
      <c r="AC713" s="62"/>
      <c r="AD713" s="62"/>
      <c r="AE713" s="62" t="s">
        <v>2055</v>
      </c>
      <c r="AF713" s="62"/>
      <c r="AG713" s="180">
        <f>(0.02*0.91+0.02*0.91)*1.02</f>
        <v>3.7128000000000001E-2</v>
      </c>
      <c r="AH713" s="181">
        <f>(2.3/0.75/2)*1.01</f>
        <v>1.5486666666666666</v>
      </c>
      <c r="AI713" s="54"/>
      <c r="AJ713" s="104" t="s">
        <v>1881</v>
      </c>
      <c r="AK713" s="104"/>
      <c r="AL713" s="104">
        <v>1.1999999999999999E-3</v>
      </c>
      <c r="AM713" s="61" t="s">
        <v>1489</v>
      </c>
      <c r="AN713" s="62">
        <v>117</v>
      </c>
      <c r="AO713" s="103" t="s">
        <v>2056</v>
      </c>
      <c r="AP713" s="59" t="str">
        <f>IFERROR(VLOOKUP($A713,[2]Mssp!$A$5:$BE$1463,AP$4+1,0),0)</f>
        <v>X109188-1</v>
      </c>
      <c r="AQ713" s="59" t="str">
        <f>IFERROR(VLOOKUP($A713,[2]Mssp!$A$5:$BE$1463,AQ$4+1,0),0)</f>
        <v>X109188-2</v>
      </c>
      <c r="AR713" s="59" t="str">
        <f>IFERROR(VLOOKUP($A713,[2]Mssp!$A$5:$BE$1463,AR$4+1,0),0)</f>
        <v>X109188-3</v>
      </c>
      <c r="AS713" s="59" t="str">
        <f>IFERROR(VLOOKUP($A713,[2]Mssp!$A$5:$BE$1463,AS$4+1,0),0)</f>
        <v>X109188-4</v>
      </c>
      <c r="AT713" s="59" t="str">
        <f>IFERROR(VLOOKUP($A713,[2]Mssp!$A$5:$BE$1463,AT$4+1,0),0)</f>
        <v>X109188G1-5</v>
      </c>
      <c r="AU713" s="59">
        <f>IFERROR(VLOOKUP($A713,[2]Mssp!$A$5:$BE$1463,AU$4+1,0),0)</f>
        <v>0</v>
      </c>
      <c r="AV713" s="59">
        <f>IFERROR(VLOOKUP($A713,[2]Mssp!$A$5:$BE$1463,AV$4+1,0),0)</f>
        <v>0</v>
      </c>
      <c r="AW713" s="59">
        <f>IFERROR(VLOOKUP($A713,[2]Mssp!$A$5:$BE$1463,AW$4+1,0),0)</f>
        <v>0</v>
      </c>
      <c r="AX713" s="59">
        <f>IFERROR(VLOOKUP($A713,[2]Mssp!$A$5:$BE$1463,AX$4+1,0),0)</f>
        <v>0</v>
      </c>
      <c r="AY713" s="59" t="str">
        <f>IFERROR(VLOOKUP($A713,[2]Mssp!$A$5:$BE$1463,AY$4+2,0),0)</f>
        <v>1200x468</v>
      </c>
      <c r="AZ713" s="59" t="str">
        <f>IFERROR(VLOOKUP($A713,[2]Mssp!$A$5:$BE$1463,AZ$4+2,0),0)</f>
        <v>S2</v>
      </c>
      <c r="BA713" s="141"/>
      <c r="BB713" s="61" t="s">
        <v>952</v>
      </c>
      <c r="BC713" s="165"/>
      <c r="BD713" s="166"/>
      <c r="BE713" s="167"/>
      <c r="BF713" s="168"/>
      <c r="BG713" s="167"/>
      <c r="BH713" s="168"/>
      <c r="BI713" s="169"/>
      <c r="BJ713" s="168"/>
      <c r="BK713" s="134"/>
      <c r="BL713" s="168"/>
      <c r="BM713" s="167"/>
      <c r="BN713" s="168"/>
      <c r="BO713" s="62"/>
      <c r="BP713" s="168"/>
      <c r="BQ713" s="168"/>
      <c r="BR713" s="168"/>
      <c r="BS713" s="135"/>
      <c r="BT713" s="176"/>
      <c r="BU713" s="167"/>
      <c r="BV713" s="168"/>
      <c r="BW713" s="167"/>
      <c r="BX713" s="168"/>
      <c r="BY713" s="167"/>
      <c r="BZ713" s="176"/>
      <c r="CA713" s="167"/>
      <c r="CB713" s="168"/>
      <c r="CC713" s="167"/>
      <c r="CD713" s="168"/>
      <c r="CE713" s="62"/>
      <c r="CF713" s="62"/>
      <c r="CG713" s="9"/>
      <c r="CH713" s="9"/>
      <c r="CI713" s="9"/>
      <c r="CJ713" s="9"/>
      <c r="CK713" s="9"/>
      <c r="CL713" s="9"/>
      <c r="CM713" s="9"/>
      <c r="CN713" s="9"/>
      <c r="CO713" s="9"/>
      <c r="CP713" s="9"/>
    </row>
    <row r="714" spans="1:94" ht="30" x14ac:dyDescent="0.25">
      <c r="A714" s="127" t="s">
        <v>2282</v>
      </c>
      <c r="B714" s="51" t="s">
        <v>2283</v>
      </c>
      <c r="C714" s="62"/>
      <c r="D714" s="84">
        <v>2</v>
      </c>
      <c r="E714" s="62" t="s">
        <v>2059</v>
      </c>
      <c r="F714" s="62">
        <v>7</v>
      </c>
      <c r="G714" s="62" t="s">
        <v>184</v>
      </c>
      <c r="H714" s="50">
        <f>VLOOKUP($A714,'[1]ma sp 02'!$A$5:$BD$1101,H$1,0)</f>
        <v>6.9000000000000006E-2</v>
      </c>
      <c r="I714" s="50">
        <f>VLOOKUP($A714,'[1]ma sp 02'!$A$5:$BD$1101,I$1,0)</f>
        <v>2.27</v>
      </c>
      <c r="J714" s="50">
        <f>VLOOKUP($A714,'[1]ma sp 02'!$A$5:$BD$1101,J$1,0)</f>
        <v>0.27500000000000002</v>
      </c>
      <c r="K714" s="50">
        <f>VLOOKUP($A714,'[1]ma sp 02'!$A$5:$BD$1101,K$1,0)</f>
        <v>0.2</v>
      </c>
      <c r="L714" s="50">
        <f>VLOOKUP($A714,'[1]ma sp 02'!$A$5:$BD$1101,L$1,0)</f>
        <v>0.17</v>
      </c>
      <c r="M714" s="50">
        <f>VLOOKUP($A714,'[1]ma sp 02'!$A$5:$BD$1101,M$1,0)</f>
        <v>0.41</v>
      </c>
      <c r="N714" s="50">
        <f>VLOOKUP($A714,'[1]ma sp 02'!$A$5:$BD$1101,N$1,0)</f>
        <v>0</v>
      </c>
      <c r="O714" s="50">
        <f>VLOOKUP($A714,'[1]ma sp 02'!$A$5:$BD$1101,O$1,0)</f>
        <v>0</v>
      </c>
      <c r="P714" s="50">
        <f>VLOOKUP($A714,'[1]ma sp 02'!$A$5:$BD$1101,P$1,0)</f>
        <v>0.31</v>
      </c>
      <c r="Q714" s="50">
        <f>VLOOKUP($A714,'[1]ma sp 02'!$A$5:$BD$1101,Q$1,0)</f>
        <v>0</v>
      </c>
      <c r="R714" s="50">
        <f>VLOOKUP($A714,'[1]ma sp 02'!$A$5:$BD$1101,R$1,0)</f>
        <v>0</v>
      </c>
      <c r="S714" s="50">
        <f>VLOOKUP($A714,'[1]ma sp 02'!$A$5:$BD$1101,S$1,0)</f>
        <v>0</v>
      </c>
      <c r="T714" s="50">
        <f>VLOOKUP($A714,'[1]ma sp 02'!$A$5:$BD$1101,T$1,0)</f>
        <v>0</v>
      </c>
      <c r="U714" s="50">
        <f>VLOOKUP($A714,'[1]ma sp 02'!$A$5:$BD$1101,U$1,0)</f>
        <v>0</v>
      </c>
      <c r="V714" s="50">
        <f>VLOOKUP($A714,'[1]ma sp 02'!$A$5:$BD$1101,V$1,0)</f>
        <v>0</v>
      </c>
      <c r="W714" s="50">
        <f>VLOOKUP($A714,'[1]ma sp 02'!$A$5:$BD$1101,W$1,0)</f>
        <v>0</v>
      </c>
      <c r="X714" s="50"/>
      <c r="Y714" s="62"/>
      <c r="Z714" s="62"/>
      <c r="AA714" s="62"/>
      <c r="AB714" s="62"/>
      <c r="AC714" s="62"/>
      <c r="AD714" s="62"/>
      <c r="AE714" s="62" t="s">
        <v>2284</v>
      </c>
      <c r="AF714" s="62"/>
      <c r="AG714" s="180">
        <f>(0.02*0.91+0.035*0.91)*0.84</f>
        <v>4.2042000000000003E-2</v>
      </c>
      <c r="AH714" s="54">
        <f>1.2*0.83/3</f>
        <v>0.33199999999999996</v>
      </c>
      <c r="AI714" s="54"/>
      <c r="AJ714" s="104" t="s">
        <v>1881</v>
      </c>
      <c r="AK714" s="62"/>
      <c r="AL714" s="104">
        <v>1.1999999999999999E-3</v>
      </c>
      <c r="AM714" s="61" t="s">
        <v>386</v>
      </c>
      <c r="AN714" s="62">
        <v>340</v>
      </c>
      <c r="AO714" s="103" t="s">
        <v>2056</v>
      </c>
      <c r="AP714" s="59" t="str">
        <f>IFERROR(VLOOKUP($A714,[2]Mssp!$A$5:$BE$1463,AP$4+1,0),0)</f>
        <v>X109189-1</v>
      </c>
      <c r="AQ714" s="59" t="str">
        <f>IFERROR(VLOOKUP($A714,[2]Mssp!$A$5:$BE$1463,AQ$4+1,0),0)</f>
        <v>X109189-2</v>
      </c>
      <c r="AR714" s="59" t="str">
        <f>IFERROR(VLOOKUP($A714,[2]Mssp!$A$5:$BE$1463,AR$4+1,0),0)</f>
        <v>X109189-3</v>
      </c>
      <c r="AS714" s="59" t="str">
        <f>IFERROR(VLOOKUP($A714,[2]Mssp!$A$5:$BE$1463,AS$4+1,0),0)</f>
        <v>X109189-4</v>
      </c>
      <c r="AT714" s="59" t="str">
        <f>IFERROR(VLOOKUP($A714,[2]Mssp!$A$5:$BE$1463,AT$4+1,0),0)</f>
        <v>X109189-5</v>
      </c>
      <c r="AU714" s="59" t="str">
        <f>IFERROR(VLOOKUP($A714,[2]Mssp!$A$5:$BE$1463,AU$4+1,0),0)</f>
        <v>X109189-6</v>
      </c>
      <c r="AV714" s="59" t="str">
        <f>IFERROR(VLOOKUP($A714,[2]Mssp!$A$5:$BE$1463,AV$4+1,0),0)</f>
        <v>X109189-7</v>
      </c>
      <c r="AW714" s="59">
        <f>IFERROR(VLOOKUP($A714,[2]Mssp!$A$5:$BE$1463,AW$4+1,0),0)</f>
        <v>0</v>
      </c>
      <c r="AX714" s="59">
        <f>IFERROR(VLOOKUP($A714,[2]Mssp!$A$5:$BE$1463,AX$4+1,0),0)</f>
        <v>0</v>
      </c>
      <c r="AY714" s="59" t="str">
        <f>IFERROR(VLOOKUP($A714,[2]Mssp!$A$5:$BE$1463,AY$4+2,0),0)</f>
        <v>1100x680</v>
      </c>
      <c r="AZ714" s="59" t="str">
        <f>IFERROR(VLOOKUP($A714,[2]Mssp!$A$5:$BE$1463,AZ$4+2,0),0)</f>
        <v>S2</v>
      </c>
      <c r="BA714" s="141"/>
      <c r="BB714" s="61" t="s">
        <v>1894</v>
      </c>
      <c r="BC714" s="165"/>
      <c r="BD714" s="166"/>
      <c r="BE714" s="167"/>
      <c r="BF714" s="168"/>
      <c r="BG714" s="167"/>
      <c r="BH714" s="168"/>
      <c r="BI714" s="169"/>
      <c r="BJ714" s="168"/>
      <c r="BK714" s="134"/>
      <c r="BL714" s="168"/>
      <c r="BM714" s="167"/>
      <c r="BN714" s="168"/>
      <c r="BO714" s="62"/>
      <c r="BP714" s="168"/>
      <c r="BQ714" s="168"/>
      <c r="BR714" s="168"/>
      <c r="BS714" s="135"/>
      <c r="BT714" s="176"/>
      <c r="BU714" s="167"/>
      <c r="BV714" s="168"/>
      <c r="BW714" s="167"/>
      <c r="BX714" s="168"/>
      <c r="BY714" s="167"/>
      <c r="BZ714" s="176"/>
      <c r="CA714" s="167"/>
      <c r="CB714" s="168"/>
      <c r="CC714" s="167"/>
      <c r="CD714" s="168"/>
      <c r="CE714" s="62"/>
      <c r="CF714" s="62"/>
      <c r="CG714" s="9"/>
      <c r="CH714" s="9"/>
      <c r="CI714" s="9"/>
      <c r="CJ714" s="9"/>
      <c r="CK714" s="9"/>
      <c r="CL714" s="9"/>
      <c r="CM714" s="9"/>
      <c r="CN714" s="9"/>
      <c r="CO714" s="9"/>
      <c r="CP714" s="9"/>
    </row>
    <row r="715" spans="1:94" ht="30" x14ac:dyDescent="0.25">
      <c r="A715" s="127" t="s">
        <v>2285</v>
      </c>
      <c r="B715" s="51" t="s">
        <v>2286</v>
      </c>
      <c r="C715" s="62"/>
      <c r="D715" s="84">
        <v>3</v>
      </c>
      <c r="E715" s="62" t="s">
        <v>1985</v>
      </c>
      <c r="F715" s="62">
        <v>1</v>
      </c>
      <c r="G715" s="62" t="s">
        <v>184</v>
      </c>
      <c r="H715" s="50">
        <f>VLOOKUP($A715,'[1]ma sp 02'!$A$5:$BD$1101,H$1,0)</f>
        <v>0</v>
      </c>
      <c r="I715" s="50">
        <f>VLOOKUP($A715,'[1]ma sp 02'!$A$5:$BD$1101,I$1,0)</f>
        <v>2.64</v>
      </c>
      <c r="J715" s="50">
        <f>VLOOKUP($A715,'[1]ma sp 02'!$A$5:$BD$1101,J$1,0)</f>
        <v>0</v>
      </c>
      <c r="K715" s="50">
        <f>VLOOKUP($A715,'[1]ma sp 02'!$A$5:$BD$1101,K$1,0)</f>
        <v>0</v>
      </c>
      <c r="L715" s="50">
        <f>VLOOKUP($A715,'[1]ma sp 02'!$A$5:$BD$1101,L$1,0)</f>
        <v>0</v>
      </c>
      <c r="M715" s="50">
        <f>VLOOKUP($A715,'[1]ma sp 02'!$A$5:$BD$1101,M$1,0)</f>
        <v>0</v>
      </c>
      <c r="N715" s="50">
        <f>VLOOKUP($A715,'[1]ma sp 02'!$A$5:$BD$1101,N$1,0)</f>
        <v>0</v>
      </c>
      <c r="O715" s="50">
        <f>VLOOKUP($A715,'[1]ma sp 02'!$A$5:$BD$1101,O$1,0)</f>
        <v>0</v>
      </c>
      <c r="P715" s="50">
        <f>VLOOKUP($A715,'[1]ma sp 02'!$A$5:$BD$1101,P$1,0)</f>
        <v>0</v>
      </c>
      <c r="Q715" s="50">
        <f>VLOOKUP($A715,'[1]ma sp 02'!$A$5:$BD$1101,Q$1,0)</f>
        <v>0</v>
      </c>
      <c r="R715" s="50">
        <f>VLOOKUP($A715,'[1]ma sp 02'!$A$5:$BD$1101,R$1,0)</f>
        <v>0</v>
      </c>
      <c r="S715" s="50">
        <f>VLOOKUP($A715,'[1]ma sp 02'!$A$5:$BD$1101,S$1,0)</f>
        <v>0</v>
      </c>
      <c r="T715" s="50">
        <f>VLOOKUP($A715,'[1]ma sp 02'!$A$5:$BD$1101,T$1,0)</f>
        <v>0</v>
      </c>
      <c r="U715" s="50">
        <f>VLOOKUP($A715,'[1]ma sp 02'!$A$5:$BD$1101,U$1,0)</f>
        <v>0</v>
      </c>
      <c r="V715" s="50">
        <f>VLOOKUP($A715,'[1]ma sp 02'!$A$5:$BD$1101,V$1,0)</f>
        <v>0</v>
      </c>
      <c r="W715" s="50">
        <f>VLOOKUP($A715,'[1]ma sp 02'!$A$5:$BD$1101,W$1,0)</f>
        <v>0</v>
      </c>
      <c r="X715" s="50"/>
      <c r="Y715" s="62"/>
      <c r="Z715" s="62"/>
      <c r="AA715" s="62"/>
      <c r="AB715" s="62"/>
      <c r="AC715" s="62"/>
      <c r="AD715" s="62"/>
      <c r="AE715" s="62" t="s">
        <v>456</v>
      </c>
      <c r="AF715" s="62" t="s">
        <v>1986</v>
      </c>
      <c r="AG715" s="53">
        <f>(0.02*0.91+0.012*1.4+0.045*0.925)*0.77</f>
        <v>5.9001249999999998E-2</v>
      </c>
      <c r="AH715" s="54">
        <f>(2.3/0.75/2)*0.76</f>
        <v>1.1653333333333333</v>
      </c>
      <c r="AI715" s="54">
        <f>(2.3/0.75/2)*0.76</f>
        <v>1.1653333333333333</v>
      </c>
      <c r="AJ715" s="62">
        <v>9530</v>
      </c>
      <c r="AK715" s="62">
        <v>9530</v>
      </c>
      <c r="AL715" s="62" t="s">
        <v>1987</v>
      </c>
      <c r="AM715" s="61" t="s">
        <v>1489</v>
      </c>
      <c r="AN715" s="62">
        <v>165</v>
      </c>
      <c r="AO715" s="61" t="s">
        <v>1902</v>
      </c>
      <c r="AP715" s="59">
        <f>IFERROR(VLOOKUP($A715,[2]Mssp!$A$5:$BE$1463,AP$4+1,0),0)</f>
        <v>0</v>
      </c>
      <c r="AQ715" s="59">
        <f>IFERROR(VLOOKUP($A715,[2]Mssp!$A$5:$BE$1463,AQ$4+1,0),0)</f>
        <v>0</v>
      </c>
      <c r="AR715" s="59">
        <f>IFERROR(VLOOKUP($A715,[2]Mssp!$A$5:$BE$1463,AR$4+1,0),0)</f>
        <v>0</v>
      </c>
      <c r="AS715" s="59">
        <f>IFERROR(VLOOKUP($A715,[2]Mssp!$A$5:$BE$1463,AS$4+1,0),0)</f>
        <v>0</v>
      </c>
      <c r="AT715" s="59">
        <f>IFERROR(VLOOKUP($A715,[2]Mssp!$A$5:$BE$1463,AT$4+1,0),0)</f>
        <v>0</v>
      </c>
      <c r="AU715" s="59">
        <f>IFERROR(VLOOKUP($A715,[2]Mssp!$A$5:$BE$1463,AU$4+1,0),0)</f>
        <v>0</v>
      </c>
      <c r="AV715" s="59" t="str">
        <f>IFERROR(VLOOKUP($A715,[2]Mssp!$A$5:$BE$1463,AV$4+1,0),0)</f>
        <v>1507601-7</v>
      </c>
      <c r="AW715" s="59">
        <f>IFERROR(VLOOKUP($A715,[2]Mssp!$A$5:$BE$1463,AW$4+1,0),0)</f>
        <v>0</v>
      </c>
      <c r="AX715" s="59">
        <f>IFERROR(VLOOKUP($A715,[2]Mssp!$A$5:$BE$1463,AX$4+1,0),0)</f>
        <v>0</v>
      </c>
      <c r="AY715" s="59" t="str">
        <f>IFERROR(VLOOKUP($A715,[2]Mssp!$A$5:$BE$1463,AY$4+2,0),0)</f>
        <v>480x850</v>
      </c>
      <c r="AZ715" s="59" t="str">
        <f>IFERROR(VLOOKUP($A715,[2]Mssp!$A$5:$BE$1463,AZ$4+2,0),0)</f>
        <v>N2</v>
      </c>
      <c r="BA715" s="141"/>
      <c r="BB715" s="61"/>
      <c r="BC715" s="165"/>
      <c r="BD715" s="166"/>
      <c r="BE715" s="167"/>
      <c r="BF715" s="168"/>
      <c r="BG715" s="167"/>
      <c r="BH715" s="168"/>
      <c r="BI715" s="169"/>
      <c r="BJ715" s="168"/>
      <c r="BK715" s="134"/>
      <c r="BL715" s="168"/>
      <c r="BM715" s="167"/>
      <c r="BN715" s="168"/>
      <c r="BO715" s="62"/>
      <c r="BP715" s="168"/>
      <c r="BQ715" s="168"/>
      <c r="BR715" s="168"/>
      <c r="BS715" s="135"/>
      <c r="BT715" s="176"/>
      <c r="BU715" s="167"/>
      <c r="BV715" s="168"/>
      <c r="BW715" s="167"/>
      <c r="BX715" s="168"/>
      <c r="BY715" s="167"/>
      <c r="BZ715" s="176"/>
      <c r="CA715" s="167"/>
      <c r="CB715" s="168"/>
      <c r="CC715" s="167"/>
      <c r="CD715" s="168"/>
      <c r="CE715" s="62"/>
      <c r="CF715" s="62"/>
      <c r="CG715" s="9"/>
      <c r="CH715" s="9"/>
      <c r="CI715" s="9"/>
      <c r="CJ715" s="9"/>
      <c r="CK715" s="9"/>
      <c r="CL715" s="9"/>
      <c r="CM715" s="9"/>
      <c r="CN715" s="9"/>
      <c r="CO715" s="9"/>
      <c r="CP715" s="9"/>
    </row>
    <row r="716" spans="1:94" ht="30" x14ac:dyDescent="0.25">
      <c r="A716" s="127" t="s">
        <v>2287</v>
      </c>
      <c r="B716" s="51" t="s">
        <v>2288</v>
      </c>
      <c r="C716" s="62"/>
      <c r="D716" s="84">
        <v>3</v>
      </c>
      <c r="E716" s="62" t="s">
        <v>351</v>
      </c>
      <c r="F716" s="62">
        <v>3</v>
      </c>
      <c r="G716" s="62" t="s">
        <v>530</v>
      </c>
      <c r="H716" s="50">
        <f>VLOOKUP($A716,'[1]ma sp 02'!$A$5:$BD$1101,H$1,0)</f>
        <v>0</v>
      </c>
      <c r="I716" s="50">
        <f>VLOOKUP($A716,'[1]ma sp 02'!$A$5:$BD$1101,I$1,0)</f>
        <v>4.0199999999999996</v>
      </c>
      <c r="J716" s="50">
        <f>VLOOKUP($A716,'[1]ma sp 02'!$A$5:$BD$1101,J$1,0)</f>
        <v>0</v>
      </c>
      <c r="K716" s="50">
        <f>VLOOKUP($A716,'[1]ma sp 02'!$A$5:$BD$1101,K$1,0)</f>
        <v>0</v>
      </c>
      <c r="L716" s="50">
        <f>VLOOKUP($A716,'[1]ma sp 02'!$A$5:$BD$1101,L$1,0)</f>
        <v>0.21</v>
      </c>
      <c r="M716" s="50">
        <f>VLOOKUP($A716,'[1]ma sp 02'!$A$5:$BD$1101,M$1,0)</f>
        <v>0.84</v>
      </c>
      <c r="N716" s="50">
        <f>VLOOKUP($A716,'[1]ma sp 02'!$A$5:$BD$1101,N$1,0)</f>
        <v>0</v>
      </c>
      <c r="O716" s="50">
        <f>VLOOKUP($A716,'[1]ma sp 02'!$A$5:$BD$1101,O$1,0)</f>
        <v>0.01</v>
      </c>
      <c r="P716" s="50">
        <f>VLOOKUP($A716,'[1]ma sp 02'!$A$5:$BD$1101,P$1,0)</f>
        <v>0</v>
      </c>
      <c r="Q716" s="50">
        <f>VLOOKUP($A716,'[1]ma sp 02'!$A$5:$BD$1101,Q$1,0)</f>
        <v>0</v>
      </c>
      <c r="R716" s="50">
        <f>VLOOKUP($A716,'[1]ma sp 02'!$A$5:$BD$1101,R$1,0)</f>
        <v>0</v>
      </c>
      <c r="S716" s="50">
        <f>VLOOKUP($A716,'[1]ma sp 02'!$A$5:$BD$1101,S$1,0)</f>
        <v>0</v>
      </c>
      <c r="T716" s="50">
        <f>VLOOKUP($A716,'[1]ma sp 02'!$A$5:$BD$1101,T$1,0)</f>
        <v>0</v>
      </c>
      <c r="U716" s="50">
        <f>VLOOKUP($A716,'[1]ma sp 02'!$A$5:$BD$1101,U$1,0)</f>
        <v>0</v>
      </c>
      <c r="V716" s="50">
        <f>VLOOKUP($A716,'[1]ma sp 02'!$A$5:$BD$1101,V$1,0)</f>
        <v>0</v>
      </c>
      <c r="W716" s="50">
        <f>VLOOKUP($A716,'[1]ma sp 02'!$A$5:$BD$1101,W$1,0)</f>
        <v>0</v>
      </c>
      <c r="X716" s="50"/>
      <c r="Y716" s="62"/>
      <c r="Z716" s="62"/>
      <c r="AA716" s="62"/>
      <c r="AB716" s="62"/>
      <c r="AC716" s="62"/>
      <c r="AD716" s="62"/>
      <c r="AE716" s="62" t="s">
        <v>1797</v>
      </c>
      <c r="AF716" s="62" t="s">
        <v>2289</v>
      </c>
      <c r="AG716" s="53">
        <f>(0.012*1.4+0.006*2.7+0.1*0.925)*0.81</f>
        <v>0.10165500000000001</v>
      </c>
      <c r="AH716" s="54">
        <f>(2.3/0.75/2)*0.8</f>
        <v>1.2266666666666666</v>
      </c>
      <c r="AI716" s="54">
        <f>(3/0.75/2)*0.8</f>
        <v>1.6</v>
      </c>
      <c r="AJ716" s="62">
        <v>9530</v>
      </c>
      <c r="AK716" s="62">
        <v>9530</v>
      </c>
      <c r="AL716" s="62" t="s">
        <v>1892</v>
      </c>
      <c r="AM716" s="61" t="s">
        <v>1489</v>
      </c>
      <c r="AN716" s="62">
        <v>180</v>
      </c>
      <c r="AO716" s="61" t="s">
        <v>2113</v>
      </c>
      <c r="AP716" s="59" t="str">
        <f>IFERROR(VLOOKUP($A716,[2]Mssp!$A$5:$BE$1463,AP$4+1,0),0)</f>
        <v>20060667-1</v>
      </c>
      <c r="AQ716" s="59" t="str">
        <f>IFERROR(VLOOKUP($A716,[2]Mssp!$A$5:$BE$1463,AQ$4+1,0),0)</f>
        <v>20060667-2</v>
      </c>
      <c r="AR716" s="59" t="str">
        <f>IFERROR(VLOOKUP($A716,[2]Mssp!$A$5:$BE$1463,AR$4+1,0),0)</f>
        <v>20060667-3</v>
      </c>
      <c r="AS716" s="59">
        <f>IFERROR(VLOOKUP($A716,[2]Mssp!$A$5:$BE$1463,AS$4+1,0),0)</f>
        <v>0</v>
      </c>
      <c r="AT716" s="59">
        <f>IFERROR(VLOOKUP($A716,[2]Mssp!$A$5:$BE$1463,AT$4+1,0),0)</f>
        <v>0</v>
      </c>
      <c r="AU716" s="59">
        <f>IFERROR(VLOOKUP($A716,[2]Mssp!$A$5:$BE$1463,AU$4+1,0),0)</f>
        <v>0</v>
      </c>
      <c r="AV716" s="59">
        <f>IFERROR(VLOOKUP($A716,[2]Mssp!$A$5:$BE$1463,AV$4+1,0),0)</f>
        <v>0</v>
      </c>
      <c r="AW716" s="59">
        <f>IFERROR(VLOOKUP($A716,[2]Mssp!$A$5:$BE$1463,AW$4+1,0),0)</f>
        <v>0</v>
      </c>
      <c r="AX716" s="59">
        <f>IFERROR(VLOOKUP($A716,[2]Mssp!$A$5:$BE$1463,AX$4+1,0),0)</f>
        <v>0</v>
      </c>
      <c r="AY716" s="59" t="str">
        <f>IFERROR(VLOOKUP($A716,[2]Mssp!$A$5:$BE$1463,AY$4+2,0),0)</f>
        <v>540x870</v>
      </c>
      <c r="AZ716" s="59" t="str">
        <f>IFERROR(VLOOKUP($A716,[2]Mssp!$A$5:$BE$1463,AZ$4+2,0),0)</f>
        <v>S2</v>
      </c>
      <c r="BA716" s="141"/>
      <c r="BB716" s="61" t="s">
        <v>952</v>
      </c>
      <c r="BC716" s="165"/>
      <c r="BD716" s="166"/>
      <c r="BE716" s="167"/>
      <c r="BF716" s="168"/>
      <c r="BG716" s="167"/>
      <c r="BH716" s="168"/>
      <c r="BI716" s="169"/>
      <c r="BJ716" s="168"/>
      <c r="BK716" s="134"/>
      <c r="BL716" s="168"/>
      <c r="BM716" s="167"/>
      <c r="BN716" s="168"/>
      <c r="BO716" s="62"/>
      <c r="BP716" s="168"/>
      <c r="BQ716" s="168"/>
      <c r="BR716" s="168"/>
      <c r="BS716" s="135"/>
      <c r="BT716" s="176"/>
      <c r="BU716" s="167"/>
      <c r="BV716" s="168"/>
      <c r="BW716" s="167"/>
      <c r="BX716" s="168"/>
      <c r="BY716" s="167"/>
      <c r="BZ716" s="176"/>
      <c r="CA716" s="167"/>
      <c r="CB716" s="168"/>
      <c r="CC716" s="167"/>
      <c r="CD716" s="168"/>
      <c r="CE716" s="62"/>
      <c r="CF716" s="62"/>
      <c r="CG716" s="9"/>
      <c r="CH716" s="9"/>
      <c r="CI716" s="9"/>
      <c r="CJ716" s="9"/>
      <c r="CK716" s="9"/>
      <c r="CL716" s="9"/>
      <c r="CM716" s="9"/>
      <c r="CN716" s="9"/>
      <c r="CO716" s="9"/>
      <c r="CP716" s="9"/>
    </row>
    <row r="717" spans="1:94" ht="30" x14ac:dyDescent="0.25">
      <c r="A717" s="127" t="s">
        <v>2290</v>
      </c>
      <c r="B717" s="51" t="s">
        <v>2291</v>
      </c>
      <c r="C717" s="62"/>
      <c r="D717" s="84">
        <v>1</v>
      </c>
      <c r="E717" s="62" t="s">
        <v>1436</v>
      </c>
      <c r="F717" s="62">
        <v>3</v>
      </c>
      <c r="G717" s="62" t="s">
        <v>530</v>
      </c>
      <c r="H717" s="50">
        <f>VLOOKUP($A717,'[1]ma sp 02'!$A$5:$BD$1101,H$1,0)</f>
        <v>0</v>
      </c>
      <c r="I717" s="50">
        <f>VLOOKUP($A717,'[1]ma sp 02'!$A$5:$BD$1101,I$1,0)</f>
        <v>3.8140000000000001</v>
      </c>
      <c r="J717" s="50">
        <f>VLOOKUP($A717,'[1]ma sp 02'!$A$5:$BD$1101,J$1,0)</f>
        <v>0</v>
      </c>
      <c r="K717" s="50">
        <f>VLOOKUP($A717,'[1]ma sp 02'!$A$5:$BD$1101,K$1,0)</f>
        <v>0</v>
      </c>
      <c r="L717" s="50">
        <f>VLOOKUP($A717,'[1]ma sp 02'!$A$5:$BD$1101,L$1,0)</f>
        <v>0.47</v>
      </c>
      <c r="M717" s="50">
        <f>VLOOKUP($A717,'[1]ma sp 02'!$A$5:$BD$1101,M$1,0)</f>
        <v>0</v>
      </c>
      <c r="N717" s="50">
        <f>VLOOKUP($A717,'[1]ma sp 02'!$A$5:$BD$1101,N$1,0)</f>
        <v>0</v>
      </c>
      <c r="O717" s="50">
        <f>VLOOKUP($A717,'[1]ma sp 02'!$A$5:$BD$1101,O$1,0)</f>
        <v>0.01</v>
      </c>
      <c r="P717" s="50">
        <f>VLOOKUP($A717,'[1]ma sp 02'!$A$5:$BD$1101,P$1,0)</f>
        <v>0</v>
      </c>
      <c r="Q717" s="50">
        <f>VLOOKUP($A717,'[1]ma sp 02'!$A$5:$BD$1101,Q$1,0)</f>
        <v>0</v>
      </c>
      <c r="R717" s="50">
        <f>VLOOKUP($A717,'[1]ma sp 02'!$A$5:$BD$1101,R$1,0)</f>
        <v>0</v>
      </c>
      <c r="S717" s="50">
        <f>VLOOKUP($A717,'[1]ma sp 02'!$A$5:$BD$1101,S$1,0)</f>
        <v>0</v>
      </c>
      <c r="T717" s="50">
        <f>VLOOKUP($A717,'[1]ma sp 02'!$A$5:$BD$1101,T$1,0)</f>
        <v>0</v>
      </c>
      <c r="U717" s="50">
        <f>VLOOKUP($A717,'[1]ma sp 02'!$A$5:$BD$1101,U$1,0)</f>
        <v>0</v>
      </c>
      <c r="V717" s="50">
        <f>VLOOKUP($A717,'[1]ma sp 02'!$A$5:$BD$1101,V$1,0)</f>
        <v>0</v>
      </c>
      <c r="W717" s="50">
        <f>VLOOKUP($A717,'[1]ma sp 02'!$A$5:$BD$1101,W$1,0)</f>
        <v>0</v>
      </c>
      <c r="X717" s="50"/>
      <c r="Y717" s="62"/>
      <c r="Z717" s="62"/>
      <c r="AA717" s="62"/>
      <c r="AB717" s="62"/>
      <c r="AC717" s="62"/>
      <c r="AD717" s="62"/>
      <c r="AE717" s="62" t="s">
        <v>2292</v>
      </c>
      <c r="AF717" s="62" t="s">
        <v>2293</v>
      </c>
      <c r="AG717" s="53">
        <f>(0.012*1.4+0.006*2.7+0.12*0.925)*0.72</f>
        <v>0.10368000000000001</v>
      </c>
      <c r="AH717" s="54">
        <f>(2.3/0.75/2)*0.71</f>
        <v>1.0886666666666664</v>
      </c>
      <c r="AI717" s="54">
        <f>(3/0.75/2)*0.71</f>
        <v>1.42</v>
      </c>
      <c r="AJ717" s="62">
        <v>9530</v>
      </c>
      <c r="AK717" s="62">
        <v>9530</v>
      </c>
      <c r="AL717" s="62" t="s">
        <v>2023</v>
      </c>
      <c r="AM717" s="61" t="s">
        <v>74</v>
      </c>
      <c r="AN717" s="62">
        <v>240</v>
      </c>
      <c r="AO717" s="61" t="s">
        <v>2139</v>
      </c>
      <c r="AP717" s="59" t="str">
        <f>IFERROR(VLOOKUP($A717,[2]Mssp!$A$5:$BE$1463,AP$4+1,0),0)</f>
        <v>21030387-1</v>
      </c>
      <c r="AQ717" s="59" t="str">
        <f>IFERROR(VLOOKUP($A717,[2]Mssp!$A$5:$BE$1463,AQ$4+1,0),0)</f>
        <v>21030387-2</v>
      </c>
      <c r="AR717" s="59" t="str">
        <f>IFERROR(VLOOKUP($A717,[2]Mssp!$A$5:$BE$1463,AR$4+1,0),0)</f>
        <v>21030387-3</v>
      </c>
      <c r="AS717" s="59">
        <f>IFERROR(VLOOKUP($A717,[2]Mssp!$A$5:$BE$1463,AS$4+1,0),0)</f>
        <v>0</v>
      </c>
      <c r="AT717" s="59">
        <f>IFERROR(VLOOKUP($A717,[2]Mssp!$A$5:$BE$1463,AT$4+1,0),0)</f>
        <v>0</v>
      </c>
      <c r="AU717" s="59">
        <f>IFERROR(VLOOKUP($A717,[2]Mssp!$A$5:$BE$1463,AU$4+1,0),0)</f>
        <v>0</v>
      </c>
      <c r="AV717" s="59">
        <f>IFERROR(VLOOKUP($A717,[2]Mssp!$A$5:$BE$1463,AV$4+1,0),0)</f>
        <v>0</v>
      </c>
      <c r="AW717" s="59">
        <f>IFERROR(VLOOKUP($A717,[2]Mssp!$A$5:$BE$1463,AW$4+1,0),0)</f>
        <v>0</v>
      </c>
      <c r="AX717" s="59">
        <f>IFERROR(VLOOKUP($A717,[2]Mssp!$A$5:$BE$1463,AX$4+1,0),0)</f>
        <v>0</v>
      </c>
      <c r="AY717" s="59" t="str">
        <f>IFERROR(VLOOKUP($A717,[2]Mssp!$A$5:$BE$1463,AY$4+2,0),0)</f>
        <v>480x870</v>
      </c>
      <c r="AZ717" s="59" t="str">
        <f>IFERROR(VLOOKUP($A717,[2]Mssp!$A$5:$BE$1463,AZ$4+2,0),0)</f>
        <v>S2</v>
      </c>
      <c r="BA717" s="141"/>
      <c r="BB717" s="61" t="s">
        <v>1894</v>
      </c>
      <c r="BC717" s="165"/>
      <c r="BD717" s="166"/>
      <c r="BE717" s="167"/>
      <c r="BF717" s="168"/>
      <c r="BG717" s="167"/>
      <c r="BH717" s="168"/>
      <c r="BI717" s="169"/>
      <c r="BJ717" s="168"/>
      <c r="BK717" s="134"/>
      <c r="BL717" s="168"/>
      <c r="BM717" s="167"/>
      <c r="BN717" s="168"/>
      <c r="BO717" s="62"/>
      <c r="BP717" s="168"/>
      <c r="BQ717" s="168"/>
      <c r="BR717" s="168"/>
      <c r="BS717" s="135"/>
      <c r="BT717" s="176"/>
      <c r="BU717" s="167"/>
      <c r="BV717" s="168"/>
      <c r="BW717" s="167"/>
      <c r="BX717" s="168"/>
      <c r="BY717" s="167"/>
      <c r="BZ717" s="176"/>
      <c r="CA717" s="167"/>
      <c r="CB717" s="168"/>
      <c r="CC717" s="167"/>
      <c r="CD717" s="168"/>
      <c r="CE717" s="62"/>
      <c r="CF717" s="62"/>
      <c r="CG717" s="9"/>
      <c r="CH717" s="9"/>
      <c r="CI717" s="9"/>
      <c r="CJ717" s="9"/>
      <c r="CK717" s="9"/>
      <c r="CL717" s="9"/>
      <c r="CM717" s="9"/>
      <c r="CN717" s="9"/>
      <c r="CO717" s="9"/>
      <c r="CP717" s="9"/>
    </row>
    <row r="718" spans="1:94" ht="30" x14ac:dyDescent="0.25">
      <c r="A718" s="127" t="s">
        <v>2294</v>
      </c>
      <c r="B718" s="190" t="s">
        <v>2295</v>
      </c>
      <c r="C718" s="62"/>
      <c r="D718" s="62">
        <v>3</v>
      </c>
      <c r="E718" s="124" t="s">
        <v>113</v>
      </c>
      <c r="F718" s="62">
        <v>7</v>
      </c>
      <c r="G718" s="62"/>
      <c r="H718" s="50">
        <f>VLOOKUP($A718,'[1]ma sp 02'!$A$5:$BD$1101,H$1,0)</f>
        <v>0.17</v>
      </c>
      <c r="I718" s="50">
        <f>VLOOKUP($A718,'[1]ma sp 02'!$A$5:$BD$1101,I$1,0)</f>
        <v>2.87</v>
      </c>
      <c r="J718" s="50">
        <f>VLOOKUP($A718,'[1]ma sp 02'!$A$5:$BD$1101,J$1,0)</f>
        <v>0.52</v>
      </c>
      <c r="K718" s="50">
        <f>VLOOKUP($A718,'[1]ma sp 02'!$A$5:$BD$1101,K$1,0)</f>
        <v>0.26</v>
      </c>
      <c r="L718" s="50">
        <f>VLOOKUP($A718,'[1]ma sp 02'!$A$5:$BD$1101,L$1,0)</f>
        <v>1.04</v>
      </c>
      <c r="M718" s="50">
        <f>VLOOKUP($A718,'[1]ma sp 02'!$A$5:$BD$1101,M$1,0)</f>
        <v>0.69</v>
      </c>
      <c r="N718" s="50">
        <f>VLOOKUP($A718,'[1]ma sp 02'!$A$5:$BD$1101,N$1,0)</f>
        <v>0</v>
      </c>
      <c r="O718" s="50">
        <f>VLOOKUP($A718,'[1]ma sp 02'!$A$5:$BD$1101,O$1,0)</f>
        <v>0.26</v>
      </c>
      <c r="P718" s="50">
        <f>VLOOKUP($A718,'[1]ma sp 02'!$A$5:$BD$1101,P$1,0)</f>
        <v>0.87</v>
      </c>
      <c r="Q718" s="50">
        <f>VLOOKUP($A718,'[1]ma sp 02'!$A$5:$BD$1101,Q$1,0)</f>
        <v>0</v>
      </c>
      <c r="R718" s="50">
        <f>VLOOKUP($A718,'[1]ma sp 02'!$A$5:$BD$1101,R$1,0)</f>
        <v>0</v>
      </c>
      <c r="S718" s="50">
        <f>VLOOKUP($A718,'[1]ma sp 02'!$A$5:$BD$1101,S$1,0)</f>
        <v>0</v>
      </c>
      <c r="T718" s="50">
        <f>VLOOKUP($A718,'[1]ma sp 02'!$A$5:$BD$1101,T$1,0)</f>
        <v>0</v>
      </c>
      <c r="U718" s="50">
        <f>VLOOKUP($A718,'[1]ma sp 02'!$A$5:$BD$1101,U$1,0)</f>
        <v>0</v>
      </c>
      <c r="V718" s="50">
        <f>VLOOKUP($A718,'[1]ma sp 02'!$A$5:$BD$1101,V$1,0)</f>
        <v>0</v>
      </c>
      <c r="W718" s="50">
        <f>VLOOKUP($A718,'[1]ma sp 02'!$A$5:$BD$1101,W$1,0)</f>
        <v>0</v>
      </c>
      <c r="X718" s="50"/>
      <c r="Y718" s="62"/>
      <c r="Z718" s="62"/>
      <c r="AA718" s="62"/>
      <c r="AB718" s="62"/>
      <c r="AC718" s="62"/>
      <c r="AD718" s="62"/>
      <c r="AE718" s="62" t="s">
        <v>115</v>
      </c>
      <c r="AF718" s="62" t="s">
        <v>2296</v>
      </c>
      <c r="AG718" s="53">
        <f>(0.03*0.91+0.012*1.4+0.065*0.925)*0.74</f>
        <v>7.7126500000000014E-2</v>
      </c>
      <c r="AH718" s="54">
        <f>(2.3/0.75/2)*0.73</f>
        <v>1.1193333333333333</v>
      </c>
      <c r="AI718" s="54">
        <f>(2.3/0.75/2)*0.73</f>
        <v>1.1193333333333333</v>
      </c>
      <c r="AJ718" s="56">
        <v>9530</v>
      </c>
      <c r="AK718" s="57">
        <v>9530</v>
      </c>
      <c r="AL718" s="62" t="s">
        <v>1987</v>
      </c>
      <c r="AM718" s="61" t="s">
        <v>2252</v>
      </c>
      <c r="AN718" s="62"/>
      <c r="AO718" s="61" t="s">
        <v>2173</v>
      </c>
      <c r="AP718" s="59" t="str">
        <f>IFERROR(VLOOKUP($A718,[2]Mssp!$A$5:$BE$1463,AP$4+1,0),0)</f>
        <v>20060705-1</v>
      </c>
      <c r="AQ718" s="59" t="str">
        <f>IFERROR(VLOOKUP($A718,[2]Mssp!$A$5:$BE$1463,AQ$4+1,0),0)</f>
        <v>20060705-2</v>
      </c>
      <c r="AR718" s="59" t="str">
        <f>IFERROR(VLOOKUP($A718,[2]Mssp!$A$5:$BE$1463,AR$4+1,0),0)</f>
        <v>20060705-3</v>
      </c>
      <c r="AS718" s="59" t="str">
        <f>IFERROR(VLOOKUP($A718,[2]Mssp!$A$5:$BE$1463,AS$4+1,0),0)</f>
        <v>20060705-4</v>
      </c>
      <c r="AT718" s="59" t="str">
        <f>IFERROR(VLOOKUP($A718,[2]Mssp!$A$5:$BE$1463,AT$4+1,0),0)</f>
        <v>20060705-5</v>
      </c>
      <c r="AU718" s="59" t="str">
        <f>IFERROR(VLOOKUP($A718,[2]Mssp!$A$5:$BE$1463,AU$4+1,0),0)</f>
        <v>20060705-6</v>
      </c>
      <c r="AV718" s="59" t="str">
        <f>IFERROR(VLOOKUP($A718,[2]Mssp!$A$5:$BE$1463,AV$4+1,0),0)</f>
        <v>20060705-7</v>
      </c>
      <c r="AW718" s="59">
        <f>IFERROR(VLOOKUP($A718,[2]Mssp!$A$5:$BE$1463,AW$4+1,0),0)</f>
        <v>0</v>
      </c>
      <c r="AX718" s="59">
        <f>IFERROR(VLOOKUP($A718,[2]Mssp!$A$5:$BE$1463,AX$4+1,0),0)</f>
        <v>0</v>
      </c>
      <c r="AY718" s="59" t="str">
        <f>IFERROR(VLOOKUP($A718,[2]Mssp!$A$5:$BE$1463,AY$4+2,0),0)</f>
        <v>540x870</v>
      </c>
      <c r="AZ718" s="59" t="str">
        <f>IFERROR(VLOOKUP($A718,[2]Mssp!$A$5:$BE$1463,AZ$4+2,0),0)</f>
        <v>S2</v>
      </c>
      <c r="BA718" s="141" t="s">
        <v>2297</v>
      </c>
      <c r="BB718" s="61" t="s">
        <v>952</v>
      </c>
      <c r="BC718" s="165"/>
      <c r="BD718" s="166"/>
      <c r="BE718" s="167"/>
      <c r="BF718" s="168"/>
      <c r="BG718" s="167"/>
      <c r="BH718" s="168"/>
      <c r="BI718" s="169"/>
      <c r="BJ718" s="168"/>
      <c r="BK718" s="134"/>
      <c r="BL718" s="168"/>
      <c r="BM718" s="167"/>
      <c r="BN718" s="168"/>
      <c r="BO718" s="62"/>
      <c r="BP718" s="168"/>
      <c r="BQ718" s="168"/>
      <c r="BR718" s="168"/>
      <c r="BS718" s="135"/>
      <c r="BT718" s="176"/>
      <c r="BU718" s="167"/>
      <c r="BV718" s="168"/>
      <c r="BW718" s="167"/>
      <c r="BX718" s="168"/>
      <c r="BY718" s="167"/>
      <c r="BZ718" s="176"/>
      <c r="CA718" s="167"/>
      <c r="CB718" s="168"/>
      <c r="CC718" s="167"/>
      <c r="CD718" s="168"/>
      <c r="CE718" s="62"/>
      <c r="CF718" s="62"/>
      <c r="CG718" s="9"/>
      <c r="CH718" s="9"/>
      <c r="CI718" s="9"/>
      <c r="CJ718" s="9"/>
      <c r="CK718" s="9"/>
      <c r="CL718" s="9"/>
      <c r="CM718" s="9"/>
      <c r="CN718" s="9"/>
      <c r="CO718" s="9"/>
      <c r="CP718" s="9"/>
    </row>
    <row r="719" spans="1:94" ht="45" x14ac:dyDescent="0.25">
      <c r="A719" s="127" t="s">
        <v>2298</v>
      </c>
      <c r="B719" s="9" t="s">
        <v>2299</v>
      </c>
      <c r="C719" s="62"/>
      <c r="D719" s="62">
        <v>4</v>
      </c>
      <c r="E719" s="62" t="s">
        <v>1734</v>
      </c>
      <c r="F719" s="9">
        <v>2</v>
      </c>
      <c r="G719" s="62" t="s">
        <v>184</v>
      </c>
      <c r="H719" s="50">
        <f>VLOOKUP($A719,'[1]ma sp 02'!$A$5:$BD$1101,H$1,0)</f>
        <v>0.21</v>
      </c>
      <c r="I719" s="50">
        <f>VLOOKUP($A719,'[1]ma sp 02'!$A$5:$BD$1101,I$1,0)</f>
        <v>0</v>
      </c>
      <c r="J719" s="50">
        <f>VLOOKUP($A719,'[1]ma sp 02'!$A$5:$BD$1101,J$1,0)</f>
        <v>1.72</v>
      </c>
      <c r="K719" s="50">
        <f>VLOOKUP($A719,'[1]ma sp 02'!$A$5:$BD$1101,K$1,0)</f>
        <v>0</v>
      </c>
      <c r="L719" s="50">
        <f>VLOOKUP($A719,'[1]ma sp 02'!$A$5:$BD$1101,L$1,0)</f>
        <v>1.94</v>
      </c>
      <c r="M719" s="50">
        <f>VLOOKUP($A719,'[1]ma sp 02'!$A$5:$BD$1101,M$1,0)</f>
        <v>0</v>
      </c>
      <c r="N719" s="50">
        <f>VLOOKUP($A719,'[1]ma sp 02'!$A$5:$BD$1101,N$1,0)</f>
        <v>0</v>
      </c>
      <c r="O719" s="50">
        <f>VLOOKUP($A719,'[1]ma sp 02'!$A$5:$BD$1101,O$1,0)</f>
        <v>0.01</v>
      </c>
      <c r="P719" s="50">
        <f>VLOOKUP($A719,'[1]ma sp 02'!$A$5:$BD$1101,P$1,0)</f>
        <v>0</v>
      </c>
      <c r="Q719" s="50">
        <f>VLOOKUP($A719,'[1]ma sp 02'!$A$5:$BD$1101,Q$1,0)</f>
        <v>0</v>
      </c>
      <c r="R719" s="50">
        <f>VLOOKUP($A719,'[1]ma sp 02'!$A$5:$BD$1101,R$1,0)</f>
        <v>0.01</v>
      </c>
      <c r="S719" s="50">
        <f>VLOOKUP($A719,'[1]ma sp 02'!$A$5:$BD$1101,S$1,0)</f>
        <v>0</v>
      </c>
      <c r="T719" s="50">
        <f>VLOOKUP($A719,'[1]ma sp 02'!$A$5:$BD$1101,T$1,0)</f>
        <v>0</v>
      </c>
      <c r="U719" s="50">
        <f>VLOOKUP($A719,'[1]ma sp 02'!$A$5:$BD$1101,U$1,0)</f>
        <v>0</v>
      </c>
      <c r="V719" s="50">
        <f>VLOOKUP($A719,'[1]ma sp 02'!$A$5:$BD$1101,V$1,0)</f>
        <v>0</v>
      </c>
      <c r="W719" s="50">
        <f>VLOOKUP($A719,'[1]ma sp 02'!$A$5:$BD$1101,W$1,0)</f>
        <v>0</v>
      </c>
      <c r="X719" s="9"/>
      <c r="Y719" s="9"/>
      <c r="Z719" s="9"/>
      <c r="AA719" s="9"/>
      <c r="AB719" s="9"/>
      <c r="AC719" s="9"/>
      <c r="AD719" s="9"/>
      <c r="AE719" s="9" t="s">
        <v>2300</v>
      </c>
      <c r="AF719" s="9"/>
      <c r="AG719" s="53">
        <f>(0.03*0.91+0.04*0.925)*0.79</f>
        <v>5.0797000000000009E-2</v>
      </c>
      <c r="AH719" s="54">
        <f>(2.3/0.75/2)*0.78</f>
        <v>1.196</v>
      </c>
      <c r="AI719" s="9"/>
      <c r="AJ719" s="56">
        <v>9530</v>
      </c>
      <c r="AK719" s="9"/>
      <c r="AL719" s="9">
        <v>2.3E-3</v>
      </c>
      <c r="AM719" s="69" t="s">
        <v>60</v>
      </c>
      <c r="AN719" s="9">
        <v>150</v>
      </c>
      <c r="AO719" s="69" t="s">
        <v>2301</v>
      </c>
      <c r="AP719" s="59" t="str">
        <f>IFERROR(VLOOKUP($A719,[2]Mssp!$A$5:$BE$1463,AP$4+1,0),0)</f>
        <v>X109176-1</v>
      </c>
      <c r="AQ719" s="59" t="str">
        <f>IFERROR(VLOOKUP($A719,[2]Mssp!$A$5:$BE$1463,AQ$4+1,0),0)</f>
        <v>X109176-2</v>
      </c>
      <c r="AR719" s="59">
        <f>IFERROR(VLOOKUP($A719,[2]Mssp!$A$5:$BE$1463,AR$4+1,0),0)</f>
        <v>0</v>
      </c>
      <c r="AS719" s="59">
        <f>IFERROR(VLOOKUP($A719,[2]Mssp!$A$5:$BE$1463,AS$4+1,0),0)</f>
        <v>0</v>
      </c>
      <c r="AT719" s="59">
        <f>IFERROR(VLOOKUP($A719,[2]Mssp!$A$5:$BE$1463,AT$4+1,0),0)</f>
        <v>0</v>
      </c>
      <c r="AU719" s="59">
        <f>IFERROR(VLOOKUP($A719,[2]Mssp!$A$5:$BE$1463,AU$4+1,0),0)</f>
        <v>0</v>
      </c>
      <c r="AV719" s="59">
        <f>IFERROR(VLOOKUP($A719,[2]Mssp!$A$5:$BE$1463,AV$4+1,0),0)</f>
        <v>0</v>
      </c>
      <c r="AW719" s="59">
        <f>IFERROR(VLOOKUP($A719,[2]Mssp!$A$5:$BE$1463,AW$4+1,0),0)</f>
        <v>0</v>
      </c>
      <c r="AX719" s="59">
        <f>IFERROR(VLOOKUP($A719,[2]Mssp!$A$5:$BE$1463,AX$4+1,0),0)</f>
        <v>0</v>
      </c>
      <c r="AY719" s="59" t="str">
        <f>IFERROR(VLOOKUP($A719,[2]Mssp!$A$5:$BE$1463,AY$4+2,0),0)</f>
        <v>870x450</v>
      </c>
      <c r="AZ719" s="59" t="str">
        <f>IFERROR(VLOOKUP($A719,[2]Mssp!$A$5:$BE$1463,AZ$4+2,0),0)</f>
        <v>S2</v>
      </c>
      <c r="BA719" s="120"/>
      <c r="BB719" s="69" t="s">
        <v>1894</v>
      </c>
      <c r="BC719" s="165"/>
      <c r="BD719" s="166"/>
      <c r="BE719" s="167"/>
      <c r="BF719" s="168"/>
      <c r="BG719" s="167"/>
      <c r="BH719" s="168"/>
      <c r="BI719" s="169"/>
      <c r="BJ719" s="168"/>
      <c r="BK719" s="134"/>
      <c r="BL719" s="168"/>
      <c r="BM719" s="167"/>
      <c r="BN719" s="168"/>
      <c r="BO719" s="62"/>
      <c r="BP719" s="168"/>
      <c r="BQ719" s="168"/>
      <c r="BR719" s="168"/>
      <c r="BS719" s="135"/>
      <c r="BT719" s="176"/>
      <c r="BU719" s="167"/>
      <c r="BV719" s="168"/>
      <c r="BW719" s="167"/>
      <c r="BX719" s="168"/>
      <c r="BY719" s="167"/>
      <c r="BZ719" s="176"/>
      <c r="CA719" s="167"/>
      <c r="CB719" s="168"/>
      <c r="CC719" s="167"/>
      <c r="CD719" s="168"/>
      <c r="CE719" s="62"/>
      <c r="CF719" s="62"/>
      <c r="CG719" s="9"/>
      <c r="CH719" s="9"/>
      <c r="CI719" s="9"/>
      <c r="CJ719" s="9"/>
      <c r="CK719" s="9"/>
      <c r="CL719" s="9"/>
      <c r="CM719" s="9"/>
      <c r="CN719" s="9"/>
      <c r="CO719" s="9"/>
      <c r="CP719" s="9"/>
    </row>
    <row r="720" spans="1:94" ht="30" x14ac:dyDescent="0.25">
      <c r="A720" s="127" t="s">
        <v>2302</v>
      </c>
      <c r="B720" s="190" t="s">
        <v>2303</v>
      </c>
      <c r="C720" s="62"/>
      <c r="D720" s="62">
        <v>8</v>
      </c>
      <c r="E720" s="124" t="s">
        <v>299</v>
      </c>
      <c r="F720" s="62">
        <v>6</v>
      </c>
      <c r="G720" s="62"/>
      <c r="H720" s="50">
        <f>VLOOKUP($A720,'[1]ma sp 02'!$A$5:$BD$1101,H$1,0)</f>
        <v>1.04</v>
      </c>
      <c r="I720" s="50">
        <f>VLOOKUP($A720,'[1]ma sp 02'!$A$5:$BD$1101,I$1,0)</f>
        <v>3.56</v>
      </c>
      <c r="J720" s="50">
        <f>VLOOKUP($A720,'[1]ma sp 02'!$A$5:$BD$1101,J$1,0)</f>
        <v>0.62</v>
      </c>
      <c r="K720" s="50">
        <f>VLOOKUP($A720,'[1]ma sp 02'!$A$5:$BD$1101,K$1,0)</f>
        <v>0.21</v>
      </c>
      <c r="L720" s="50">
        <f>VLOOKUP($A720,'[1]ma sp 02'!$A$5:$BD$1101,L$1,0)</f>
        <v>1.78</v>
      </c>
      <c r="M720" s="50">
        <f>VLOOKUP($A720,'[1]ma sp 02'!$A$5:$BD$1101,M$1,0)</f>
        <v>2.5099999999999998</v>
      </c>
      <c r="N720" s="50">
        <f>VLOOKUP($A720,'[1]ma sp 02'!$A$5:$BD$1101,N$1,0)</f>
        <v>0</v>
      </c>
      <c r="O720" s="50">
        <f>VLOOKUP($A720,'[1]ma sp 02'!$A$5:$BD$1101,O$1,0)</f>
        <v>0</v>
      </c>
      <c r="P720" s="50">
        <f>VLOOKUP($A720,'[1]ma sp 02'!$A$5:$BD$1101,P$1,0)</f>
        <v>0</v>
      </c>
      <c r="Q720" s="50">
        <f>VLOOKUP($A720,'[1]ma sp 02'!$A$5:$BD$1101,Q$1,0)</f>
        <v>0.2</v>
      </c>
      <c r="R720" s="50">
        <f>VLOOKUP($A720,'[1]ma sp 02'!$A$5:$BD$1101,R$1,0)</f>
        <v>0</v>
      </c>
      <c r="S720" s="50">
        <f>VLOOKUP($A720,'[1]ma sp 02'!$A$5:$BD$1101,S$1,0)</f>
        <v>0</v>
      </c>
      <c r="T720" s="50">
        <f>VLOOKUP($A720,'[1]ma sp 02'!$A$5:$BD$1101,T$1,0)</f>
        <v>0.01</v>
      </c>
      <c r="U720" s="50">
        <f>VLOOKUP($A720,'[1]ma sp 02'!$A$5:$BD$1101,U$1,0)</f>
        <v>0</v>
      </c>
      <c r="V720" s="50">
        <f>VLOOKUP($A720,'[1]ma sp 02'!$A$5:$BD$1101,V$1,0)</f>
        <v>0</v>
      </c>
      <c r="W720" s="50">
        <f>VLOOKUP($A720,'[1]ma sp 02'!$A$5:$BD$1101,W$1,0)</f>
        <v>0</v>
      </c>
      <c r="X720" s="50"/>
      <c r="Y720" s="62"/>
      <c r="Z720" s="62"/>
      <c r="AA720" s="62"/>
      <c r="AB720" s="62"/>
      <c r="AC720" s="62"/>
      <c r="AD720" s="62"/>
      <c r="AE720" s="62" t="s">
        <v>2304</v>
      </c>
      <c r="AF720" s="62"/>
      <c r="AG720" s="53">
        <f>(0.02*0.91+0.04*0.925)*0.82</f>
        <v>4.5264000000000006E-2</v>
      </c>
      <c r="AH720" s="54">
        <f>(2.5/0.75/2)*0.81</f>
        <v>1.35</v>
      </c>
      <c r="AI720" s="9"/>
      <c r="AJ720" s="56">
        <v>9530</v>
      </c>
      <c r="AK720" s="62"/>
      <c r="AL720" s="62">
        <v>2.5000000000000001E-3</v>
      </c>
      <c r="AM720" s="61" t="s">
        <v>1489</v>
      </c>
      <c r="AN720" s="62">
        <v>135</v>
      </c>
      <c r="AO720" s="61" t="s">
        <v>2305</v>
      </c>
      <c r="AP720" s="59" t="str">
        <f>IFERROR(VLOOKUP($A720,[2]Mssp!$A$5:$BE$1463,AP$4+1,0),0)</f>
        <v>X109178-1</v>
      </c>
      <c r="AQ720" s="59" t="str">
        <f>IFERROR(VLOOKUP($A720,[2]Mssp!$A$5:$BE$1463,AQ$4+1,0),0)</f>
        <v>X109178-2</v>
      </c>
      <c r="AR720" s="59" t="str">
        <f>IFERROR(VLOOKUP($A720,[2]Mssp!$A$5:$BE$1463,AR$4+1,0),0)</f>
        <v>X109178-3</v>
      </c>
      <c r="AS720" s="59" t="str">
        <f>IFERROR(VLOOKUP($A720,[2]Mssp!$A$5:$BE$1463,AS$4+1,0),0)</f>
        <v>X109178-4</v>
      </c>
      <c r="AT720" s="59" t="str">
        <f>IFERROR(VLOOKUP($A720,[2]Mssp!$A$5:$BE$1463,AT$4+1,0),0)</f>
        <v>X109178-5</v>
      </c>
      <c r="AU720" s="59" t="str">
        <f>IFERROR(VLOOKUP($A720,[2]Mssp!$A$5:$BE$1463,AU$4+1,0),0)</f>
        <v>X109178-6</v>
      </c>
      <c r="AV720" s="59">
        <f>IFERROR(VLOOKUP($A720,[2]Mssp!$A$5:$BE$1463,AV$4+1,0),0)</f>
        <v>0</v>
      </c>
      <c r="AW720" s="59">
        <f>IFERROR(VLOOKUP($A720,[2]Mssp!$A$5:$BE$1463,AW$4+1,0),0)</f>
        <v>0</v>
      </c>
      <c r="AX720" s="59">
        <f>IFERROR(VLOOKUP($A720,[2]Mssp!$A$5:$BE$1463,AX$4+1,0),0)</f>
        <v>0</v>
      </c>
      <c r="AY720" s="59" t="str">
        <f>IFERROR(VLOOKUP($A720,[2]Mssp!$A$5:$BE$1463,AY$4+2,0),0)</f>
        <v>870x540</v>
      </c>
      <c r="AZ720" s="59" t="str">
        <f>IFERROR(VLOOKUP($A720,[2]Mssp!$A$5:$BE$1463,AZ$4+2,0),0)</f>
        <v>S2</v>
      </c>
      <c r="BA720" s="141" t="s">
        <v>2306</v>
      </c>
      <c r="BB720" s="61" t="s">
        <v>952</v>
      </c>
      <c r="BC720" s="165"/>
      <c r="BD720" s="166"/>
      <c r="BE720" s="167"/>
      <c r="BF720" s="168"/>
      <c r="BG720" s="167"/>
      <c r="BH720" s="168"/>
      <c r="BI720" s="169"/>
      <c r="BJ720" s="168"/>
      <c r="BK720" s="134"/>
      <c r="BL720" s="168"/>
      <c r="BM720" s="167"/>
      <c r="BN720" s="168"/>
      <c r="BO720" s="62"/>
      <c r="BP720" s="168"/>
      <c r="BQ720" s="168"/>
      <c r="BR720" s="168"/>
      <c r="BS720" s="135"/>
      <c r="BT720" s="176"/>
      <c r="BU720" s="167"/>
      <c r="BV720" s="168"/>
      <c r="BW720" s="167"/>
      <c r="BX720" s="168"/>
      <c r="BY720" s="167"/>
      <c r="BZ720" s="176"/>
      <c r="CA720" s="167"/>
      <c r="CB720" s="168"/>
      <c r="CC720" s="167"/>
      <c r="CD720" s="168"/>
      <c r="CE720" s="62"/>
      <c r="CF720" s="62"/>
      <c r="CG720" s="9"/>
      <c r="CH720" s="9"/>
      <c r="CI720" s="9"/>
      <c r="CJ720" s="9"/>
      <c r="CK720" s="9"/>
      <c r="CL720" s="9"/>
      <c r="CM720" s="9"/>
      <c r="CN720" s="9"/>
      <c r="CO720" s="9"/>
      <c r="CP720" s="9"/>
    </row>
    <row r="721" spans="1:94" ht="30" x14ac:dyDescent="0.25">
      <c r="A721" s="127" t="s">
        <v>2307</v>
      </c>
      <c r="B721" s="190" t="s">
        <v>2308</v>
      </c>
      <c r="C721" s="62"/>
      <c r="D721" s="62">
        <v>8</v>
      </c>
      <c r="E721" s="124" t="s">
        <v>299</v>
      </c>
      <c r="F721" s="62">
        <v>6</v>
      </c>
      <c r="G721" s="62"/>
      <c r="H721" s="50">
        <f>VLOOKUP($A721,'[1]ma sp 02'!$A$5:$BD$1101,H$1,0)</f>
        <v>0.41</v>
      </c>
      <c r="I721" s="50">
        <f>VLOOKUP($A721,'[1]ma sp 02'!$A$5:$BD$1101,I$1,0)</f>
        <v>3.12</v>
      </c>
      <c r="J721" s="50">
        <f>VLOOKUP($A721,'[1]ma sp 02'!$A$5:$BD$1101,J$1,0)</f>
        <v>0.01</v>
      </c>
      <c r="K721" s="50">
        <f>VLOOKUP($A721,'[1]ma sp 02'!$A$5:$BD$1101,K$1,0)</f>
        <v>0.41</v>
      </c>
      <c r="L721" s="50">
        <f>VLOOKUP($A721,'[1]ma sp 02'!$A$5:$BD$1101,L$1,0)</f>
        <v>0</v>
      </c>
      <c r="M721" s="50">
        <f>VLOOKUP($A721,'[1]ma sp 02'!$A$5:$BD$1101,M$1,0)</f>
        <v>0</v>
      </c>
      <c r="N721" s="50">
        <f>VLOOKUP($A721,'[1]ma sp 02'!$A$5:$BD$1101,N$1,0)</f>
        <v>0</v>
      </c>
      <c r="O721" s="50">
        <f>VLOOKUP($A721,'[1]ma sp 02'!$A$5:$BD$1101,O$1,0)</f>
        <v>0</v>
      </c>
      <c r="P721" s="50">
        <f>VLOOKUP($A721,'[1]ma sp 02'!$A$5:$BD$1101,P$1,0)</f>
        <v>0</v>
      </c>
      <c r="Q721" s="50">
        <f>VLOOKUP($A721,'[1]ma sp 02'!$A$5:$BD$1101,Q$1,0)</f>
        <v>0.41</v>
      </c>
      <c r="R721" s="50">
        <f>VLOOKUP($A721,'[1]ma sp 02'!$A$5:$BD$1101,R$1,0)</f>
        <v>0</v>
      </c>
      <c r="S721" s="50">
        <f>VLOOKUP($A721,'[1]ma sp 02'!$A$5:$BD$1101,S$1,0)</f>
        <v>0</v>
      </c>
      <c r="T721" s="50">
        <f>VLOOKUP($A721,'[1]ma sp 02'!$A$5:$BD$1101,T$1,0)</f>
        <v>0.01</v>
      </c>
      <c r="U721" s="50">
        <f>VLOOKUP($A721,'[1]ma sp 02'!$A$5:$BD$1101,U$1,0)</f>
        <v>0</v>
      </c>
      <c r="V721" s="50">
        <f>VLOOKUP($A721,'[1]ma sp 02'!$A$5:$BD$1101,V$1,0)</f>
        <v>0</v>
      </c>
      <c r="W721" s="50">
        <f>VLOOKUP($A721,'[1]ma sp 02'!$A$5:$BD$1101,W$1,0)</f>
        <v>0</v>
      </c>
      <c r="X721" s="50"/>
      <c r="Y721" s="62"/>
      <c r="Z721" s="62"/>
      <c r="AA721" s="62"/>
      <c r="AB721" s="62"/>
      <c r="AC721" s="62"/>
      <c r="AD721" s="62"/>
      <c r="AE721" s="62" t="s">
        <v>2304</v>
      </c>
      <c r="AF721" s="62"/>
      <c r="AG721" s="53">
        <f>(0.02*0.91+0.04*0.925)*0.82</f>
        <v>4.5264000000000006E-2</v>
      </c>
      <c r="AH721" s="54">
        <f>(2.5/0.75/2)*0.81</f>
        <v>1.35</v>
      </c>
      <c r="AI721" s="9"/>
      <c r="AJ721" s="56">
        <v>9530</v>
      </c>
      <c r="AK721" s="62"/>
      <c r="AL721" s="62">
        <v>2.5000000000000001E-3</v>
      </c>
      <c r="AM721" s="61" t="s">
        <v>1489</v>
      </c>
      <c r="AN721" s="62">
        <v>135</v>
      </c>
      <c r="AO721" s="61" t="s">
        <v>2305</v>
      </c>
      <c r="AP721" s="59" t="str">
        <f>IFERROR(VLOOKUP($A721,[2]Mssp!$A$5:$BE$1463,AP$4+1,0),0)</f>
        <v>X109180-1</v>
      </c>
      <c r="AQ721" s="59" t="str">
        <f>IFERROR(VLOOKUP($A721,[2]Mssp!$A$5:$BE$1463,AQ$4+1,0),0)</f>
        <v>X109178-2</v>
      </c>
      <c r="AR721" s="59" t="str">
        <f>IFERROR(VLOOKUP($A721,[2]Mssp!$A$5:$BE$1463,AR$4+1,0),0)</f>
        <v>X109178-3</v>
      </c>
      <c r="AS721" s="59" t="str">
        <f>IFERROR(VLOOKUP($A721,[2]Mssp!$A$5:$BE$1463,AS$4+1,0),0)</f>
        <v>X109178-4</v>
      </c>
      <c r="AT721" s="59" t="str">
        <f>IFERROR(VLOOKUP($A721,[2]Mssp!$A$5:$BE$1463,AT$4+1,0),0)</f>
        <v>X109178-5</v>
      </c>
      <c r="AU721" s="59" t="str">
        <f>IFERROR(VLOOKUP($A721,[2]Mssp!$A$5:$BE$1463,AU$4+1,0),0)</f>
        <v>X109178-6</v>
      </c>
      <c r="AV721" s="59">
        <f>IFERROR(VLOOKUP($A721,[2]Mssp!$A$5:$BE$1463,AV$4+1,0),0)</f>
        <v>0</v>
      </c>
      <c r="AW721" s="59">
        <f>IFERROR(VLOOKUP($A721,[2]Mssp!$A$5:$BE$1463,AW$4+1,0),0)</f>
        <v>0</v>
      </c>
      <c r="AX721" s="59">
        <f>IFERROR(VLOOKUP($A721,[2]Mssp!$A$5:$BE$1463,AX$4+1,0),0)</f>
        <v>0</v>
      </c>
      <c r="AY721" s="59" t="str">
        <f>IFERROR(VLOOKUP($A721,[2]Mssp!$A$5:$BE$1463,AY$4+2,0),0)</f>
        <v>870x540</v>
      </c>
      <c r="AZ721" s="59" t="str">
        <f>IFERROR(VLOOKUP($A721,[2]Mssp!$A$5:$BE$1463,AZ$4+2,0),0)</f>
        <v>S2</v>
      </c>
      <c r="BA721" s="141" t="s">
        <v>2306</v>
      </c>
      <c r="BB721" s="61" t="s">
        <v>952</v>
      </c>
      <c r="BC721" s="165"/>
      <c r="BD721" s="166"/>
      <c r="BE721" s="167"/>
      <c r="BF721" s="168"/>
      <c r="BG721" s="167"/>
      <c r="BH721" s="168"/>
      <c r="BI721" s="169"/>
      <c r="BJ721" s="168"/>
      <c r="BK721" s="134"/>
      <c r="BL721" s="168"/>
      <c r="BM721" s="167"/>
      <c r="BN721" s="168"/>
      <c r="BO721" s="62"/>
      <c r="BP721" s="168"/>
      <c r="BQ721" s="168"/>
      <c r="BR721" s="168"/>
      <c r="BS721" s="135"/>
      <c r="BT721" s="176"/>
      <c r="BU721" s="167"/>
      <c r="BV721" s="168"/>
      <c r="BW721" s="167"/>
      <c r="BX721" s="168"/>
      <c r="BY721" s="167"/>
      <c r="BZ721" s="176"/>
      <c r="CA721" s="167"/>
      <c r="CB721" s="168"/>
      <c r="CC721" s="167"/>
      <c r="CD721" s="168"/>
      <c r="CE721" s="62"/>
      <c r="CF721" s="62"/>
      <c r="CG721" s="9"/>
      <c r="CH721" s="9"/>
      <c r="CI721" s="9"/>
      <c r="CJ721" s="9"/>
      <c r="CK721" s="9"/>
      <c r="CL721" s="9"/>
      <c r="CM721" s="9"/>
      <c r="CN721" s="9"/>
      <c r="CO721" s="9"/>
      <c r="CP721" s="9"/>
    </row>
    <row r="722" spans="1:94" ht="30" x14ac:dyDescent="0.25">
      <c r="A722" s="127" t="s">
        <v>2309</v>
      </c>
      <c r="B722" s="190" t="s">
        <v>2310</v>
      </c>
      <c r="C722" s="62"/>
      <c r="D722" s="62">
        <v>8</v>
      </c>
      <c r="E722" s="124" t="s">
        <v>299</v>
      </c>
      <c r="F722" s="62">
        <v>6</v>
      </c>
      <c r="G722" s="62"/>
      <c r="H722" s="50">
        <f>VLOOKUP($A722,'[1]ma sp 02'!$A$5:$BD$1101,H$1,0)</f>
        <v>0.2</v>
      </c>
      <c r="I722" s="50">
        <f>VLOOKUP($A722,'[1]ma sp 02'!$A$5:$BD$1101,I$1,0)</f>
        <v>3.29</v>
      </c>
      <c r="J722" s="50">
        <f>VLOOKUP($A722,'[1]ma sp 02'!$A$5:$BD$1101,J$1,0)</f>
        <v>0.3</v>
      </c>
      <c r="K722" s="50">
        <f>VLOOKUP($A722,'[1]ma sp 02'!$A$5:$BD$1101,K$1,0)</f>
        <v>0.41</v>
      </c>
      <c r="L722" s="50">
        <f>VLOOKUP($A722,'[1]ma sp 02'!$A$5:$BD$1101,L$1,0)</f>
        <v>0.3</v>
      </c>
      <c r="M722" s="50">
        <f>VLOOKUP($A722,'[1]ma sp 02'!$A$5:$BD$1101,M$1,0)</f>
        <v>0</v>
      </c>
      <c r="N722" s="50">
        <f>VLOOKUP($A722,'[1]ma sp 02'!$A$5:$BD$1101,N$1,0)</f>
        <v>0</v>
      </c>
      <c r="O722" s="50">
        <f>VLOOKUP($A722,'[1]ma sp 02'!$A$5:$BD$1101,O$1,0)</f>
        <v>0</v>
      </c>
      <c r="P722" s="50">
        <f>VLOOKUP($A722,'[1]ma sp 02'!$A$5:$BD$1101,P$1,0)</f>
        <v>1.64</v>
      </c>
      <c r="Q722" s="50">
        <f>VLOOKUP($A722,'[1]ma sp 02'!$A$5:$BD$1101,Q$1,0)</f>
        <v>0</v>
      </c>
      <c r="R722" s="50">
        <f>VLOOKUP($A722,'[1]ma sp 02'!$A$5:$BD$1101,R$1,0)</f>
        <v>0</v>
      </c>
      <c r="S722" s="50">
        <f>VLOOKUP($A722,'[1]ma sp 02'!$A$5:$BD$1101,S$1,0)</f>
        <v>0</v>
      </c>
      <c r="T722" s="50">
        <f>VLOOKUP($A722,'[1]ma sp 02'!$A$5:$BD$1101,T$1,0)</f>
        <v>0.2</v>
      </c>
      <c r="U722" s="50">
        <f>VLOOKUP($A722,'[1]ma sp 02'!$A$5:$BD$1101,U$1,0)</f>
        <v>0</v>
      </c>
      <c r="V722" s="50">
        <f>VLOOKUP($A722,'[1]ma sp 02'!$A$5:$BD$1101,V$1,0)</f>
        <v>0.01</v>
      </c>
      <c r="W722" s="50">
        <f>VLOOKUP($A722,'[1]ma sp 02'!$A$5:$BD$1101,W$1,0)</f>
        <v>0</v>
      </c>
      <c r="X722" s="50"/>
      <c r="Y722" s="62"/>
      <c r="Z722" s="62"/>
      <c r="AA722" s="62"/>
      <c r="AB722" s="62"/>
      <c r="AC722" s="62"/>
      <c r="AD722" s="62"/>
      <c r="AE722" s="62" t="s">
        <v>2304</v>
      </c>
      <c r="AF722" s="62"/>
      <c r="AG722" s="53">
        <f>(0.02*0.91+0.04*0.925)*0.82</f>
        <v>4.5264000000000006E-2</v>
      </c>
      <c r="AH722" s="54">
        <f>(2.5/0.75/2)*0.81</f>
        <v>1.35</v>
      </c>
      <c r="AI722" s="9"/>
      <c r="AJ722" s="56">
        <v>9530</v>
      </c>
      <c r="AK722" s="62"/>
      <c r="AL722" s="62">
        <v>2.5000000000000001E-3</v>
      </c>
      <c r="AM722" s="61" t="s">
        <v>1489</v>
      </c>
      <c r="AN722" s="62">
        <v>135</v>
      </c>
      <c r="AO722" s="61" t="s">
        <v>2305</v>
      </c>
      <c r="AP722" s="59" t="str">
        <f>IFERROR(VLOOKUP($A722,[2]Mssp!$A$5:$BE$1463,AP$4+1,0),0)</f>
        <v>X109181-1</v>
      </c>
      <c r="AQ722" s="59" t="str">
        <f>IFERROR(VLOOKUP($A722,[2]Mssp!$A$5:$BE$1463,AQ$4+1,0),0)</f>
        <v>X109178-2</v>
      </c>
      <c r="AR722" s="59" t="str">
        <f>IFERROR(VLOOKUP($A722,[2]Mssp!$A$5:$BE$1463,AR$4+1,0),0)</f>
        <v>X109178-3</v>
      </c>
      <c r="AS722" s="59" t="str">
        <f>IFERROR(VLOOKUP($A722,[2]Mssp!$A$5:$BE$1463,AS$4+1,0),0)</f>
        <v>X109178-4</v>
      </c>
      <c r="AT722" s="59" t="str">
        <f>IFERROR(VLOOKUP($A722,[2]Mssp!$A$5:$BE$1463,AT$4+1,0),0)</f>
        <v>X109178-5</v>
      </c>
      <c r="AU722" s="59" t="str">
        <f>IFERROR(VLOOKUP($A722,[2]Mssp!$A$5:$BE$1463,AU$4+1,0),0)</f>
        <v>X109178-6</v>
      </c>
      <c r="AV722" s="59">
        <f>IFERROR(VLOOKUP($A722,[2]Mssp!$A$5:$BE$1463,AV$4+1,0),0)</f>
        <v>0</v>
      </c>
      <c r="AW722" s="59">
        <f>IFERROR(VLOOKUP($A722,[2]Mssp!$A$5:$BE$1463,AW$4+1,0),0)</f>
        <v>0</v>
      </c>
      <c r="AX722" s="59">
        <f>IFERROR(VLOOKUP($A722,[2]Mssp!$A$5:$BE$1463,AX$4+1,0),0)</f>
        <v>0</v>
      </c>
      <c r="AY722" s="59" t="str">
        <f>IFERROR(VLOOKUP($A722,[2]Mssp!$A$5:$BE$1463,AY$4+2,0),0)</f>
        <v>870x540</v>
      </c>
      <c r="AZ722" s="59" t="str">
        <f>IFERROR(VLOOKUP($A722,[2]Mssp!$A$5:$BE$1463,AZ$4+2,0),0)</f>
        <v>S2</v>
      </c>
      <c r="BA722" s="141" t="s">
        <v>2306</v>
      </c>
      <c r="BB722" s="61" t="s">
        <v>952</v>
      </c>
      <c r="BC722" s="165"/>
      <c r="BD722" s="166"/>
      <c r="BE722" s="167"/>
      <c r="BF722" s="168"/>
      <c r="BG722" s="167"/>
      <c r="BH722" s="168"/>
      <c r="BI722" s="169"/>
      <c r="BJ722" s="168"/>
      <c r="BK722" s="134"/>
      <c r="BL722" s="168"/>
      <c r="BM722" s="167"/>
      <c r="BN722" s="168"/>
      <c r="BO722" s="62"/>
      <c r="BP722" s="168"/>
      <c r="BQ722" s="168"/>
      <c r="BR722" s="168"/>
      <c r="BS722" s="135"/>
      <c r="BT722" s="176"/>
      <c r="BU722" s="167"/>
      <c r="BV722" s="168"/>
      <c r="BW722" s="167"/>
      <c r="BX722" s="168"/>
      <c r="BY722" s="167"/>
      <c r="BZ722" s="176"/>
      <c r="CA722" s="167"/>
      <c r="CB722" s="168"/>
      <c r="CC722" s="167"/>
      <c r="CD722" s="168"/>
      <c r="CE722" s="62"/>
      <c r="CF722" s="62"/>
      <c r="CG722" s="9"/>
      <c r="CH722" s="9"/>
      <c r="CI722" s="9"/>
      <c r="CJ722" s="9"/>
      <c r="CK722" s="9"/>
      <c r="CL722" s="9"/>
      <c r="CM722" s="9"/>
      <c r="CN722" s="9"/>
      <c r="CO722" s="9"/>
      <c r="CP722" s="9"/>
    </row>
    <row r="723" spans="1:94" ht="45" x14ac:dyDescent="0.25">
      <c r="A723" s="127" t="s">
        <v>2311</v>
      </c>
      <c r="B723" s="51" t="s">
        <v>2312</v>
      </c>
      <c r="C723" s="62"/>
      <c r="D723" s="84">
        <v>4</v>
      </c>
      <c r="E723" s="62" t="s">
        <v>2313</v>
      </c>
      <c r="F723" s="62">
        <v>4</v>
      </c>
      <c r="G723" s="62"/>
      <c r="H723" s="50">
        <f>VLOOKUP($A723,'[1]ma sp 02'!$A$5:$BD$1101,H$1,0)</f>
        <v>0.73</v>
      </c>
      <c r="I723" s="50">
        <f>VLOOKUP($A723,'[1]ma sp 02'!$A$5:$BD$1101,I$1,0)</f>
        <v>4.95</v>
      </c>
      <c r="J723" s="50">
        <f>VLOOKUP($A723,'[1]ma sp 02'!$A$5:$BD$1101,J$1,0)</f>
        <v>0</v>
      </c>
      <c r="K723" s="50">
        <f>VLOOKUP($A723,'[1]ma sp 02'!$A$5:$BD$1101,K$1,0)</f>
        <v>0</v>
      </c>
      <c r="L723" s="50">
        <f>VLOOKUP($A723,'[1]ma sp 02'!$A$5:$BD$1101,L$1,0)</f>
        <v>2.93</v>
      </c>
      <c r="M723" s="50">
        <f>VLOOKUP($A723,'[1]ma sp 02'!$A$5:$BD$1101,M$1,0)</f>
        <v>3.66</v>
      </c>
      <c r="N723" s="50">
        <f>VLOOKUP($A723,'[1]ma sp 02'!$A$5:$BD$1101,N$1,0)</f>
        <v>0</v>
      </c>
      <c r="O723" s="50">
        <f>VLOOKUP($A723,'[1]ma sp 02'!$A$5:$BD$1101,O$1,0)</f>
        <v>0.18</v>
      </c>
      <c r="P723" s="50">
        <f>VLOOKUP($A723,'[1]ma sp 02'!$A$5:$BD$1101,P$1,0)</f>
        <v>0.55000000000000004</v>
      </c>
      <c r="Q723" s="50">
        <f>VLOOKUP($A723,'[1]ma sp 02'!$A$5:$BD$1101,Q$1,0)</f>
        <v>0</v>
      </c>
      <c r="R723" s="50">
        <f>VLOOKUP($A723,'[1]ma sp 02'!$A$5:$BD$1101,R$1,0)</f>
        <v>0</v>
      </c>
      <c r="S723" s="50">
        <f>VLOOKUP($A723,'[1]ma sp 02'!$A$5:$BD$1101,S$1,0)</f>
        <v>0</v>
      </c>
      <c r="T723" s="50">
        <f>VLOOKUP($A723,'[1]ma sp 02'!$A$5:$BD$1101,T$1,0)</f>
        <v>0</v>
      </c>
      <c r="U723" s="50">
        <f>VLOOKUP($A723,'[1]ma sp 02'!$A$5:$BD$1101,U$1,0)</f>
        <v>0</v>
      </c>
      <c r="V723" s="50">
        <f>VLOOKUP($A723,'[1]ma sp 02'!$A$5:$BD$1101,V$1,0)</f>
        <v>0</v>
      </c>
      <c r="W723" s="50">
        <f>VLOOKUP($A723,'[1]ma sp 02'!$A$5:$BD$1101,W$1,0)</f>
        <v>0</v>
      </c>
      <c r="X723" s="50"/>
      <c r="Y723" s="62"/>
      <c r="Z723" s="62"/>
      <c r="AA723" s="62"/>
      <c r="AB723" s="62"/>
      <c r="AC723" s="62"/>
      <c r="AD723" s="62"/>
      <c r="AE723" s="62" t="s">
        <v>2314</v>
      </c>
      <c r="AF723" s="62" t="s">
        <v>2315</v>
      </c>
      <c r="AG723" s="53">
        <f>(0.02*0.91+0.012*1.4+0.045*0.925)*0.668</f>
        <v>5.1185500000000002E-2</v>
      </c>
      <c r="AH723" s="54">
        <f>(2.3/0.75/2)*0.658</f>
        <v>1.0089333333333332</v>
      </c>
      <c r="AI723" s="54">
        <f>(2.3/0.75/2)*0.73</f>
        <v>1.1193333333333333</v>
      </c>
      <c r="AJ723" s="56">
        <v>9530</v>
      </c>
      <c r="AK723" s="57">
        <v>9530</v>
      </c>
      <c r="AL723" s="62" t="s">
        <v>2194</v>
      </c>
      <c r="AM723" s="61" t="s">
        <v>2182</v>
      </c>
      <c r="AN723" s="62">
        <v>125</v>
      </c>
      <c r="AO723" s="61" t="s">
        <v>2316</v>
      </c>
      <c r="AP723" s="59" t="str">
        <f>IFERROR(VLOOKUP($A723,[2]Mssp!$A$5:$BE$1463,AP$4+1,0),0)</f>
        <v>20060828-1</v>
      </c>
      <c r="AQ723" s="59" t="str">
        <f>IFERROR(VLOOKUP($A723,[2]Mssp!$A$5:$BE$1463,AQ$4+1,0),0)</f>
        <v>20060828-2</v>
      </c>
      <c r="AR723" s="59" t="str">
        <f>IFERROR(VLOOKUP($A723,[2]Mssp!$A$5:$BE$1463,AR$4+1,0),0)</f>
        <v>20060828-3</v>
      </c>
      <c r="AS723" s="59" t="str">
        <f>IFERROR(VLOOKUP($A723,[2]Mssp!$A$5:$BE$1463,AS$4+1,0),0)</f>
        <v>20060828-4</v>
      </c>
      <c r="AT723" s="59">
        <f>IFERROR(VLOOKUP($A723,[2]Mssp!$A$5:$BE$1463,AT$4+1,0),0)</f>
        <v>0</v>
      </c>
      <c r="AU723" s="59">
        <f>IFERROR(VLOOKUP($A723,[2]Mssp!$A$5:$BE$1463,AU$4+1,0),0)</f>
        <v>0</v>
      </c>
      <c r="AV723" s="59">
        <f>IFERROR(VLOOKUP($A723,[2]Mssp!$A$5:$BE$1463,AV$4+1,0),0)</f>
        <v>0</v>
      </c>
      <c r="AW723" s="59">
        <f>IFERROR(VLOOKUP($A723,[2]Mssp!$A$5:$BE$1463,AW$4+1,0),0)</f>
        <v>0</v>
      </c>
      <c r="AX723" s="59">
        <f>IFERROR(VLOOKUP($A723,[2]Mssp!$A$5:$BE$1463,AX$4+1,0),0)</f>
        <v>0</v>
      </c>
      <c r="AY723" s="59" t="str">
        <f>IFERROR(VLOOKUP($A723,[2]Mssp!$A$5:$BE$1463,AY$4+2,0),0)</f>
        <v>500x870</v>
      </c>
      <c r="AZ723" s="59" t="str">
        <f>IFERROR(VLOOKUP($A723,[2]Mssp!$A$5:$BE$1463,AZ$4+2,0),0)</f>
        <v>S2</v>
      </c>
      <c r="BA723" s="141" t="s">
        <v>2317</v>
      </c>
      <c r="BB723" s="61" t="s">
        <v>952</v>
      </c>
      <c r="BC723" s="165"/>
      <c r="BD723" s="166"/>
      <c r="BE723" s="167"/>
      <c r="BF723" s="168"/>
      <c r="BG723" s="167"/>
      <c r="BH723" s="168"/>
      <c r="BI723" s="169"/>
      <c r="BJ723" s="168"/>
      <c r="BK723" s="134"/>
      <c r="BL723" s="168"/>
      <c r="BM723" s="167"/>
      <c r="BN723" s="168"/>
      <c r="BO723" s="62"/>
      <c r="BP723" s="168"/>
      <c r="BQ723" s="168"/>
      <c r="BR723" s="168"/>
      <c r="BS723" s="135"/>
      <c r="BT723" s="176"/>
      <c r="BU723" s="167"/>
      <c r="BV723" s="168"/>
      <c r="BW723" s="167"/>
      <c r="BX723" s="168"/>
      <c r="BY723" s="167"/>
      <c r="BZ723" s="176"/>
      <c r="CA723" s="167"/>
      <c r="CB723" s="168"/>
      <c r="CC723" s="167"/>
      <c r="CD723" s="168"/>
      <c r="CE723" s="62"/>
      <c r="CF723" s="62"/>
      <c r="CG723" s="9"/>
      <c r="CH723" s="9"/>
      <c r="CI723" s="9"/>
      <c r="CJ723" s="9"/>
      <c r="CK723" s="9"/>
      <c r="CL723" s="9"/>
      <c r="CM723" s="9"/>
      <c r="CN723" s="9"/>
      <c r="CO723" s="9"/>
      <c r="CP723" s="9"/>
    </row>
    <row r="724" spans="1:94" ht="45" x14ac:dyDescent="0.25">
      <c r="A724" s="127" t="s">
        <v>2318</v>
      </c>
      <c r="B724" s="51" t="s">
        <v>2319</v>
      </c>
      <c r="C724" s="62"/>
      <c r="D724" s="84"/>
      <c r="E724" s="62" t="s">
        <v>315</v>
      </c>
      <c r="F724" s="62">
        <v>2</v>
      </c>
      <c r="G724" s="62" t="s">
        <v>530</v>
      </c>
      <c r="H724" s="50">
        <f>VLOOKUP($A724,'[1]ma sp 02'!$A$5:$BD$1101,H$1,0)</f>
        <v>0</v>
      </c>
      <c r="I724" s="50">
        <f>VLOOKUP($A724,'[1]ma sp 02'!$A$5:$BD$1101,I$1,0)</f>
        <v>0</v>
      </c>
      <c r="J724" s="50">
        <f>VLOOKUP($A724,'[1]ma sp 02'!$A$5:$BD$1101,J$1,0)</f>
        <v>0</v>
      </c>
      <c r="K724" s="50">
        <f>VLOOKUP($A724,'[1]ma sp 02'!$A$5:$BD$1101,K$1,0)</f>
        <v>0</v>
      </c>
      <c r="L724" s="50">
        <f>VLOOKUP($A724,'[1]ma sp 02'!$A$5:$BD$1101,L$1,0)</f>
        <v>0</v>
      </c>
      <c r="M724" s="50">
        <f>VLOOKUP($A724,'[1]ma sp 02'!$A$5:$BD$1101,M$1,0)</f>
        <v>0</v>
      </c>
      <c r="N724" s="50">
        <f>VLOOKUP($A724,'[1]ma sp 02'!$A$5:$BD$1101,N$1,0)</f>
        <v>0</v>
      </c>
      <c r="O724" s="50">
        <f>VLOOKUP($A724,'[1]ma sp 02'!$A$5:$BD$1101,O$1,0)</f>
        <v>0</v>
      </c>
      <c r="P724" s="50">
        <f>VLOOKUP($A724,'[1]ma sp 02'!$A$5:$BD$1101,P$1,0)</f>
        <v>0</v>
      </c>
      <c r="Q724" s="50">
        <f>VLOOKUP($A724,'[1]ma sp 02'!$A$5:$BD$1101,Q$1,0)</f>
        <v>0</v>
      </c>
      <c r="R724" s="50">
        <f>VLOOKUP($A724,'[1]ma sp 02'!$A$5:$BD$1101,R$1,0)</f>
        <v>0</v>
      </c>
      <c r="S724" s="50">
        <f>VLOOKUP($A724,'[1]ma sp 02'!$A$5:$BD$1101,S$1,0)</f>
        <v>0</v>
      </c>
      <c r="T724" s="50">
        <f>VLOOKUP($A724,'[1]ma sp 02'!$A$5:$BD$1101,T$1,0)</f>
        <v>0</v>
      </c>
      <c r="U724" s="50">
        <f>VLOOKUP($A724,'[1]ma sp 02'!$A$5:$BD$1101,U$1,0)</f>
        <v>0</v>
      </c>
      <c r="V724" s="50">
        <f>VLOOKUP($A724,'[1]ma sp 02'!$A$5:$BD$1101,V$1,0)</f>
        <v>0</v>
      </c>
      <c r="W724" s="50">
        <f>VLOOKUP($A724,'[1]ma sp 02'!$A$5:$BD$1101,W$1,0)</f>
        <v>0</v>
      </c>
      <c r="X724" s="50"/>
      <c r="Y724" s="62"/>
      <c r="Z724" s="62"/>
      <c r="AA724" s="62"/>
      <c r="AB724" s="62"/>
      <c r="AC724" s="62"/>
      <c r="AD724" s="62"/>
      <c r="AE724" s="62" t="s">
        <v>2320</v>
      </c>
      <c r="AF724" s="62" t="s">
        <v>2321</v>
      </c>
      <c r="AG724" s="53">
        <f>(0.012*1.4+0.006*2.7+0.07*0.925)*0.86</f>
        <v>8.4065000000000015E-2</v>
      </c>
      <c r="AH724" s="54">
        <f>(2.3/0.75/2)*0.81</f>
        <v>1.242</v>
      </c>
      <c r="AI724" s="54">
        <f>(2.3/0.75/2)*0.81</f>
        <v>1.242</v>
      </c>
      <c r="AJ724" s="62">
        <v>9530</v>
      </c>
      <c r="AK724" s="62">
        <v>9530</v>
      </c>
      <c r="AL724" s="62" t="s">
        <v>1949</v>
      </c>
      <c r="AM724" s="61" t="s">
        <v>1893</v>
      </c>
      <c r="AN724" s="62">
        <v>200</v>
      </c>
      <c r="AO724" s="61" t="s">
        <v>2322</v>
      </c>
      <c r="AP724" s="59">
        <f>IFERROR(VLOOKUP($A724,[2]Mssp!$A$5:$BE$1463,AP$4+1,0),0)</f>
        <v>0</v>
      </c>
      <c r="AQ724" s="59">
        <f>IFERROR(VLOOKUP($A724,[2]Mssp!$A$5:$BE$1463,AQ$4+1,0),0)</f>
        <v>0</v>
      </c>
      <c r="AR724" s="59">
        <f>IFERROR(VLOOKUP($A724,[2]Mssp!$A$5:$BE$1463,AR$4+1,0),0)</f>
        <v>0</v>
      </c>
      <c r="AS724" s="59">
        <f>IFERROR(VLOOKUP($A724,[2]Mssp!$A$5:$BE$1463,AS$4+1,0),0)</f>
        <v>0</v>
      </c>
      <c r="AT724" s="59">
        <f>IFERROR(VLOOKUP($A724,[2]Mssp!$A$5:$BE$1463,AT$4+1,0),0)</f>
        <v>0</v>
      </c>
      <c r="AU724" s="59">
        <f>IFERROR(VLOOKUP($A724,[2]Mssp!$A$5:$BE$1463,AU$4+1,0),0)</f>
        <v>0</v>
      </c>
      <c r="AV724" s="59">
        <f>IFERROR(VLOOKUP($A724,[2]Mssp!$A$5:$BE$1463,AV$4+1,0),0)</f>
        <v>0</v>
      </c>
      <c r="AW724" s="59">
        <f>IFERROR(VLOOKUP($A724,[2]Mssp!$A$5:$BE$1463,AW$4+1,0),0)</f>
        <v>0</v>
      </c>
      <c r="AX724" s="59">
        <f>IFERROR(VLOOKUP($A724,[2]Mssp!$A$5:$BE$1463,AX$4+1,0),0)</f>
        <v>0</v>
      </c>
      <c r="AY724" s="59">
        <f>IFERROR(VLOOKUP($A724,[2]Mssp!$A$5:$BE$1463,AY$4+2,0),0)</f>
        <v>0</v>
      </c>
      <c r="AZ724" s="59">
        <f>IFERROR(VLOOKUP($A724,[2]Mssp!$A$5:$BE$1463,AZ$4+2,0),0)</f>
        <v>0</v>
      </c>
      <c r="BA724" s="141"/>
      <c r="BB724" s="61" t="s">
        <v>1894</v>
      </c>
      <c r="BC724" s="165"/>
      <c r="BD724" s="166"/>
      <c r="BE724" s="167"/>
      <c r="BF724" s="168"/>
      <c r="BG724" s="167"/>
      <c r="BH724" s="168"/>
      <c r="BI724" s="169"/>
      <c r="BJ724" s="168"/>
      <c r="BK724" s="134"/>
      <c r="BL724" s="168"/>
      <c r="BM724" s="167"/>
      <c r="BN724" s="168"/>
      <c r="BO724" s="62"/>
      <c r="BP724" s="168"/>
      <c r="BQ724" s="168"/>
      <c r="BR724" s="168"/>
      <c r="BS724" s="135"/>
      <c r="BT724" s="176"/>
      <c r="BU724" s="167"/>
      <c r="BV724" s="168"/>
      <c r="BW724" s="167"/>
      <c r="BX724" s="168"/>
      <c r="BY724" s="167"/>
      <c r="BZ724" s="176"/>
      <c r="CA724" s="167"/>
      <c r="CB724" s="168"/>
      <c r="CC724" s="167"/>
      <c r="CD724" s="168"/>
      <c r="CE724" s="62"/>
      <c r="CF724" s="62"/>
      <c r="CG724" s="9"/>
      <c r="CH724" s="9"/>
      <c r="CI724" s="9"/>
      <c r="CJ724" s="9"/>
      <c r="CK724" s="9"/>
      <c r="CL724" s="9"/>
      <c r="CM724" s="9"/>
      <c r="CN724" s="9"/>
      <c r="CO724" s="9"/>
      <c r="CP724" s="9"/>
    </row>
    <row r="725" spans="1:94" ht="45" x14ac:dyDescent="0.25">
      <c r="A725" s="127" t="s">
        <v>2323</v>
      </c>
      <c r="B725" s="51" t="s">
        <v>2324</v>
      </c>
      <c r="C725" s="62"/>
      <c r="D725" s="84"/>
      <c r="E725" s="62" t="s">
        <v>2325</v>
      </c>
      <c r="F725" s="62">
        <v>2</v>
      </c>
      <c r="G725" s="62" t="s">
        <v>530</v>
      </c>
      <c r="H725" s="50">
        <f>VLOOKUP($A725,'[1]ma sp 02'!$A$5:$BD$1101,H$1,0)</f>
        <v>0</v>
      </c>
      <c r="I725" s="50">
        <f>VLOOKUP($A725,'[1]ma sp 02'!$A$5:$BD$1101,I$1,0)</f>
        <v>0</v>
      </c>
      <c r="J725" s="50">
        <f>VLOOKUP($A725,'[1]ma sp 02'!$A$5:$BD$1101,J$1,0)</f>
        <v>0</v>
      </c>
      <c r="K725" s="50">
        <f>VLOOKUP($A725,'[1]ma sp 02'!$A$5:$BD$1101,K$1,0)</f>
        <v>0</v>
      </c>
      <c r="L725" s="50">
        <f>VLOOKUP($A725,'[1]ma sp 02'!$A$5:$BD$1101,L$1,0)</f>
        <v>0</v>
      </c>
      <c r="M725" s="50">
        <f>VLOOKUP($A725,'[1]ma sp 02'!$A$5:$BD$1101,M$1,0)</f>
        <v>0</v>
      </c>
      <c r="N725" s="50">
        <f>VLOOKUP($A725,'[1]ma sp 02'!$A$5:$BD$1101,N$1,0)</f>
        <v>0</v>
      </c>
      <c r="O725" s="50">
        <f>VLOOKUP($A725,'[1]ma sp 02'!$A$5:$BD$1101,O$1,0)</f>
        <v>0</v>
      </c>
      <c r="P725" s="50">
        <f>VLOOKUP($A725,'[1]ma sp 02'!$A$5:$BD$1101,P$1,0)</f>
        <v>0</v>
      </c>
      <c r="Q725" s="50">
        <f>VLOOKUP($A725,'[1]ma sp 02'!$A$5:$BD$1101,Q$1,0)</f>
        <v>0</v>
      </c>
      <c r="R725" s="50">
        <f>VLOOKUP($A725,'[1]ma sp 02'!$A$5:$BD$1101,R$1,0)</f>
        <v>0</v>
      </c>
      <c r="S725" s="50">
        <f>VLOOKUP($A725,'[1]ma sp 02'!$A$5:$BD$1101,S$1,0)</f>
        <v>0</v>
      </c>
      <c r="T725" s="50">
        <f>VLOOKUP($A725,'[1]ma sp 02'!$A$5:$BD$1101,T$1,0)</f>
        <v>0</v>
      </c>
      <c r="U725" s="50">
        <f>VLOOKUP($A725,'[1]ma sp 02'!$A$5:$BD$1101,U$1,0)</f>
        <v>0</v>
      </c>
      <c r="V725" s="50">
        <f>VLOOKUP($A725,'[1]ma sp 02'!$A$5:$BD$1101,V$1,0)</f>
        <v>0</v>
      </c>
      <c r="W725" s="50">
        <f>VLOOKUP($A725,'[1]ma sp 02'!$A$5:$BD$1101,W$1,0)</f>
        <v>0</v>
      </c>
      <c r="X725" s="50"/>
      <c r="Y725" s="62"/>
      <c r="Z725" s="62"/>
      <c r="AA725" s="62"/>
      <c r="AB725" s="62"/>
      <c r="AC725" s="62"/>
      <c r="AD725" s="62"/>
      <c r="AE725" s="62" t="s">
        <v>2326</v>
      </c>
      <c r="AF725" s="62" t="s">
        <v>2327</v>
      </c>
      <c r="AG725" s="53">
        <f>(0.012*1.4+0.006*2.7+0.07*0.925)*0.86</f>
        <v>8.4065000000000015E-2</v>
      </c>
      <c r="AH725" s="54">
        <f>(2.3/0.75/2)*0.71</f>
        <v>1.0886666666666664</v>
      </c>
      <c r="AI725" s="54">
        <f>(2.3/0.75/2)*0.71</f>
        <v>1.0886666666666664</v>
      </c>
      <c r="AJ725" s="62">
        <v>9530</v>
      </c>
      <c r="AK725" s="62">
        <v>9530</v>
      </c>
      <c r="AL725" s="62" t="s">
        <v>1949</v>
      </c>
      <c r="AM725" s="61" t="s">
        <v>1893</v>
      </c>
      <c r="AN725" s="62">
        <v>172</v>
      </c>
      <c r="AO725" s="61" t="s">
        <v>2322</v>
      </c>
      <c r="AP725" s="59">
        <f>IFERROR(VLOOKUP($A725,[2]Mssp!$A$5:$BE$1463,AP$4+1,0),0)</f>
        <v>0</v>
      </c>
      <c r="AQ725" s="59">
        <f>IFERROR(VLOOKUP($A725,[2]Mssp!$A$5:$BE$1463,AQ$4+1,0),0)</f>
        <v>0</v>
      </c>
      <c r="AR725" s="59">
        <f>IFERROR(VLOOKUP($A725,[2]Mssp!$A$5:$BE$1463,AR$4+1,0),0)</f>
        <v>0</v>
      </c>
      <c r="AS725" s="59">
        <f>IFERROR(VLOOKUP($A725,[2]Mssp!$A$5:$BE$1463,AS$4+1,0),0)</f>
        <v>0</v>
      </c>
      <c r="AT725" s="59">
        <f>IFERROR(VLOOKUP($A725,[2]Mssp!$A$5:$BE$1463,AT$4+1,0),0)</f>
        <v>0</v>
      </c>
      <c r="AU725" s="59">
        <f>IFERROR(VLOOKUP($A725,[2]Mssp!$A$5:$BE$1463,AU$4+1,0),0)</f>
        <v>0</v>
      </c>
      <c r="AV725" s="59">
        <f>IFERROR(VLOOKUP($A725,[2]Mssp!$A$5:$BE$1463,AV$4+1,0),0)</f>
        <v>0</v>
      </c>
      <c r="AW725" s="59">
        <f>IFERROR(VLOOKUP($A725,[2]Mssp!$A$5:$BE$1463,AW$4+1,0),0)</f>
        <v>0</v>
      </c>
      <c r="AX725" s="59">
        <f>IFERROR(VLOOKUP($A725,[2]Mssp!$A$5:$BE$1463,AX$4+1,0),0)</f>
        <v>0</v>
      </c>
      <c r="AY725" s="59">
        <f>IFERROR(VLOOKUP($A725,[2]Mssp!$A$5:$BE$1463,AY$4+2,0),0)</f>
        <v>0</v>
      </c>
      <c r="AZ725" s="59">
        <f>IFERROR(VLOOKUP($A725,[2]Mssp!$A$5:$BE$1463,AZ$4+2,0),0)</f>
        <v>0</v>
      </c>
      <c r="BA725" s="141"/>
      <c r="BB725" s="61" t="s">
        <v>1894</v>
      </c>
      <c r="BC725" s="165"/>
      <c r="BD725" s="166"/>
      <c r="BE725" s="167"/>
      <c r="BF725" s="168"/>
      <c r="BG725" s="167"/>
      <c r="BH725" s="168"/>
      <c r="BI725" s="169"/>
      <c r="BJ725" s="168"/>
      <c r="BK725" s="134"/>
      <c r="BL725" s="168"/>
      <c r="BM725" s="167"/>
      <c r="BN725" s="168"/>
      <c r="BO725" s="62"/>
      <c r="BP725" s="168"/>
      <c r="BQ725" s="168"/>
      <c r="BR725" s="168"/>
      <c r="BS725" s="135"/>
      <c r="BT725" s="176"/>
      <c r="BU725" s="167"/>
      <c r="BV725" s="168"/>
      <c r="BW725" s="167"/>
      <c r="BX725" s="168"/>
      <c r="BY725" s="167"/>
      <c r="BZ725" s="176"/>
      <c r="CA725" s="167"/>
      <c r="CB725" s="168"/>
      <c r="CC725" s="167"/>
      <c r="CD725" s="168"/>
      <c r="CE725" s="62"/>
      <c r="CF725" s="62"/>
      <c r="CG725" s="9"/>
      <c r="CH725" s="9"/>
      <c r="CI725" s="9"/>
      <c r="CJ725" s="9"/>
      <c r="CK725" s="9"/>
      <c r="CL725" s="9"/>
      <c r="CM725" s="9"/>
      <c r="CN725" s="9"/>
      <c r="CO725" s="9"/>
      <c r="CP725" s="9"/>
    </row>
    <row r="726" spans="1:94" ht="30" x14ac:dyDescent="0.25">
      <c r="A726" s="127" t="s">
        <v>2328</v>
      </c>
      <c r="B726" s="51" t="s">
        <v>2329</v>
      </c>
      <c r="C726" s="62"/>
      <c r="D726" s="84">
        <v>4</v>
      </c>
      <c r="E726" s="62" t="s">
        <v>2330</v>
      </c>
      <c r="F726" s="62">
        <v>8</v>
      </c>
      <c r="G726" s="62"/>
      <c r="H726" s="50">
        <f>VLOOKUP($A726,'[1]ma sp 02'!$A$5:$BD$1101,H$1,0)</f>
        <v>0.83</v>
      </c>
      <c r="I726" s="50">
        <f>VLOOKUP($A726,'[1]ma sp 02'!$A$5:$BD$1101,I$1,0)</f>
        <v>4.07</v>
      </c>
      <c r="J726" s="50">
        <f>VLOOKUP($A726,'[1]ma sp 02'!$A$5:$BD$1101,J$1,0)</f>
        <v>0.01</v>
      </c>
      <c r="K726" s="50">
        <f>VLOOKUP($A726,'[1]ma sp 02'!$A$5:$BD$1101,K$1,0)</f>
        <v>0.71199999999999997</v>
      </c>
      <c r="L726" s="50">
        <f>VLOOKUP($A726,'[1]ma sp 02'!$A$5:$BD$1101,L$1,0)</f>
        <v>1.61</v>
      </c>
      <c r="M726" s="50">
        <f>VLOOKUP($A726,'[1]ma sp 02'!$A$5:$BD$1101,M$1,0)</f>
        <v>2.27</v>
      </c>
      <c r="N726" s="50">
        <f>VLOOKUP($A726,'[1]ma sp 02'!$A$5:$BD$1101,N$1,0)</f>
        <v>0.24</v>
      </c>
      <c r="O726" s="50">
        <f>VLOOKUP($A726,'[1]ma sp 02'!$A$5:$BD$1101,O$1,0)</f>
        <v>0.01</v>
      </c>
      <c r="P726" s="50">
        <f>VLOOKUP($A726,'[1]ma sp 02'!$A$5:$BD$1101,P$1,0)</f>
        <v>0.24</v>
      </c>
      <c r="Q726" s="50">
        <f>VLOOKUP($A726,'[1]ma sp 02'!$A$5:$BD$1101,Q$1,0)</f>
        <v>0</v>
      </c>
      <c r="R726" s="50">
        <f>VLOOKUP($A726,'[1]ma sp 02'!$A$5:$BD$1101,R$1,0)</f>
        <v>0</v>
      </c>
      <c r="S726" s="50">
        <f>VLOOKUP($A726,'[1]ma sp 02'!$A$5:$BD$1101,S$1,0)</f>
        <v>0</v>
      </c>
      <c r="T726" s="50">
        <f>VLOOKUP($A726,'[1]ma sp 02'!$A$5:$BD$1101,T$1,0)</f>
        <v>0.65</v>
      </c>
      <c r="U726" s="50">
        <f>VLOOKUP($A726,'[1]ma sp 02'!$A$5:$BD$1101,U$1,0)</f>
        <v>0</v>
      </c>
      <c r="V726" s="50">
        <f>VLOOKUP($A726,'[1]ma sp 02'!$A$5:$BD$1101,V$1,0)</f>
        <v>0</v>
      </c>
      <c r="W726" s="50">
        <f>VLOOKUP($A726,'[1]ma sp 02'!$A$5:$BD$1101,W$1,0)</f>
        <v>0</v>
      </c>
      <c r="X726" s="50"/>
      <c r="Y726" s="62"/>
      <c r="Z726" s="62"/>
      <c r="AA726" s="62"/>
      <c r="AB726" s="62"/>
      <c r="AC726" s="62"/>
      <c r="AD726" s="62"/>
      <c r="AE726" s="62" t="s">
        <v>2331</v>
      </c>
      <c r="AF726" s="62"/>
      <c r="AG726" s="53">
        <f>(0.03*0.91+0.035*0.91)*0.9</f>
        <v>5.3235000000000011E-2</v>
      </c>
      <c r="AH726" s="54">
        <f>(2.5/0.75/2)*0.89</f>
        <v>1.4833333333333334</v>
      </c>
      <c r="AI726" s="54"/>
      <c r="AJ726" s="62">
        <v>9530</v>
      </c>
      <c r="AK726" s="62"/>
      <c r="AL726" s="62">
        <v>2.5000000000000001E-3</v>
      </c>
      <c r="AM726" s="61" t="s">
        <v>1489</v>
      </c>
      <c r="AN726" s="62">
        <v>146</v>
      </c>
      <c r="AO726" s="61" t="s">
        <v>169</v>
      </c>
      <c r="AP726" s="59" t="str">
        <f>IFERROR(VLOOKUP($A726,[2]Mssp!$A$5:$BE$1463,AP$4+1,0),0)</f>
        <v>F812232-1</v>
      </c>
      <c r="AQ726" s="59" t="str">
        <f>IFERROR(VLOOKUP($A726,[2]Mssp!$A$5:$BE$1463,AQ$4+1,0),0)</f>
        <v>F812232-2</v>
      </c>
      <c r="AR726" s="59" t="str">
        <f>IFERROR(VLOOKUP($A726,[2]Mssp!$A$5:$BE$1463,AR$4+1,0),0)</f>
        <v>F812232-3</v>
      </c>
      <c r="AS726" s="59" t="str">
        <f>IFERROR(VLOOKUP($A726,[2]Mssp!$A$5:$BE$1463,AS$4+1,0),0)</f>
        <v>F812232-4</v>
      </c>
      <c r="AT726" s="59" t="str">
        <f>IFERROR(VLOOKUP($A726,[2]Mssp!$A$5:$BE$1463,AT$4+1,0),0)</f>
        <v>F812232-5</v>
      </c>
      <c r="AU726" s="59" t="str">
        <f>IFERROR(VLOOKUP($A726,[2]Mssp!$A$5:$BE$1463,AU$4+1,0),0)</f>
        <v>F812232-6</v>
      </c>
      <c r="AV726" s="59" t="str">
        <f>IFERROR(VLOOKUP($A726,[2]Mssp!$A$5:$BE$1463,AV$4+1,0),0)</f>
        <v>F812232-7</v>
      </c>
      <c r="AW726" s="59" t="str">
        <f>IFERROR(VLOOKUP($A726,[2]Mssp!$A$5:$BE$1463,AW$4+1,0),0)</f>
        <v>F812232-8</v>
      </c>
      <c r="AX726" s="59">
        <f>IFERROR(VLOOKUP($A726,[2]Mssp!$A$5:$BE$1463,AX$4+1,0),0)</f>
        <v>0</v>
      </c>
      <c r="AY726" s="59" t="str">
        <f>IFERROR(VLOOKUP($A726,[2]Mssp!$A$5:$BE$1463,AY$4+2,0),0)</f>
        <v>1100x438</v>
      </c>
      <c r="AZ726" s="59" t="str">
        <f>IFERROR(VLOOKUP($A726,[2]Mssp!$A$5:$BE$1463,AZ$4+2,0),0)</f>
        <v>S2</v>
      </c>
      <c r="BA726" s="141" t="s">
        <v>2306</v>
      </c>
      <c r="BB726" s="61" t="s">
        <v>952</v>
      </c>
      <c r="BC726" s="165"/>
      <c r="BD726" s="166"/>
      <c r="BE726" s="167"/>
      <c r="BF726" s="168"/>
      <c r="BG726" s="167"/>
      <c r="BH726" s="168"/>
      <c r="BI726" s="169"/>
      <c r="BJ726" s="168"/>
      <c r="BK726" s="134"/>
      <c r="BL726" s="168"/>
      <c r="BM726" s="167"/>
      <c r="BN726" s="168"/>
      <c r="BO726" s="62"/>
      <c r="BP726" s="168"/>
      <c r="BQ726" s="168"/>
      <c r="BR726" s="168"/>
      <c r="BS726" s="135"/>
      <c r="BT726" s="176"/>
      <c r="BU726" s="167"/>
      <c r="BV726" s="168"/>
      <c r="BW726" s="167"/>
      <c r="BX726" s="168"/>
      <c r="BY726" s="167"/>
      <c r="BZ726" s="176"/>
      <c r="CA726" s="167"/>
      <c r="CB726" s="168"/>
      <c r="CC726" s="167"/>
      <c r="CD726" s="168"/>
      <c r="CE726" s="62"/>
      <c r="CF726" s="62"/>
      <c r="CG726" s="9"/>
      <c r="CH726" s="9"/>
      <c r="CI726" s="9"/>
      <c r="CJ726" s="9"/>
      <c r="CK726" s="9"/>
      <c r="CL726" s="9"/>
      <c r="CM726" s="9"/>
      <c r="CN726" s="9"/>
      <c r="CO726" s="9"/>
      <c r="CP726" s="9"/>
    </row>
    <row r="727" spans="1:94" ht="30" x14ac:dyDescent="0.25">
      <c r="A727" s="158" t="s">
        <v>2332</v>
      </c>
      <c r="B727" s="159" t="s">
        <v>2333</v>
      </c>
      <c r="C727" s="62"/>
      <c r="D727" s="84">
        <v>4</v>
      </c>
      <c r="E727" s="62" t="s">
        <v>2330</v>
      </c>
      <c r="F727" s="62">
        <v>8</v>
      </c>
      <c r="G727" s="62"/>
      <c r="H727" s="50">
        <f>VLOOKUP($A727,'[1]ma sp 02'!$A$5:$BD$1101,H$1,0)</f>
        <v>1.1200000000000001</v>
      </c>
      <c r="I727" s="50">
        <f>VLOOKUP($A727,'[1]ma sp 02'!$A$5:$BD$1101,I$1,0)</f>
        <v>10</v>
      </c>
      <c r="J727" s="50">
        <f>VLOOKUP($A727,'[1]ma sp 02'!$A$5:$BD$1101,J$1,0)</f>
        <v>0.01</v>
      </c>
      <c r="K727" s="50">
        <f>VLOOKUP($A727,'[1]ma sp 02'!$A$5:$BD$1101,K$1,0)</f>
        <v>1.69</v>
      </c>
      <c r="L727" s="50">
        <f>VLOOKUP($A727,'[1]ma sp 02'!$A$5:$BD$1101,L$1,0)</f>
        <v>5.64</v>
      </c>
      <c r="M727" s="50">
        <f>VLOOKUP($A727,'[1]ma sp 02'!$A$5:$BD$1101,M$1,0)</f>
        <v>2.5</v>
      </c>
      <c r="N727" s="50">
        <f>VLOOKUP($A727,'[1]ma sp 02'!$A$5:$BD$1101,N$1,0)</f>
        <v>5.9</v>
      </c>
      <c r="O727" s="50">
        <f>VLOOKUP($A727,'[1]ma sp 02'!$A$5:$BD$1101,O$1,0)</f>
        <v>0.28000000000000003</v>
      </c>
      <c r="P727" s="50">
        <f>VLOOKUP($A727,'[1]ma sp 02'!$A$5:$BD$1101,P$1,0)</f>
        <v>1.69</v>
      </c>
      <c r="Q727" s="50">
        <f>VLOOKUP($A727,'[1]ma sp 02'!$A$5:$BD$1101,Q$1,0)</f>
        <v>0</v>
      </c>
      <c r="R727" s="50">
        <f>VLOOKUP($A727,'[1]ma sp 02'!$A$5:$BD$1101,R$1,0)</f>
        <v>0</v>
      </c>
      <c r="S727" s="50">
        <f>VLOOKUP($A727,'[1]ma sp 02'!$A$5:$BD$1101,S$1,0)</f>
        <v>0</v>
      </c>
      <c r="T727" s="50">
        <f>VLOOKUP($A727,'[1]ma sp 02'!$A$5:$BD$1101,T$1,0)</f>
        <v>0.01</v>
      </c>
      <c r="U727" s="50">
        <f>VLOOKUP($A727,'[1]ma sp 02'!$A$5:$BD$1101,U$1,0)</f>
        <v>0</v>
      </c>
      <c r="V727" s="50">
        <f>VLOOKUP($A727,'[1]ma sp 02'!$A$5:$BD$1101,V$1,0)</f>
        <v>0</v>
      </c>
      <c r="W727" s="50">
        <f>VLOOKUP($A727,'[1]ma sp 02'!$A$5:$BD$1101,W$1,0)</f>
        <v>0</v>
      </c>
      <c r="X727" s="50"/>
      <c r="Y727" s="62"/>
      <c r="Z727" s="62"/>
      <c r="AA727" s="62"/>
      <c r="AB727" s="62"/>
      <c r="AC727" s="62"/>
      <c r="AD727" s="62"/>
      <c r="AE727" s="62" t="s">
        <v>2331</v>
      </c>
      <c r="AF727" s="62"/>
      <c r="AG727" s="53">
        <f>(0.03*0.91+0.035*0.91)*0.9</f>
        <v>5.3235000000000011E-2</v>
      </c>
      <c r="AH727" s="54">
        <f>(2.5/0.75/2)*0.89</f>
        <v>1.4833333333333334</v>
      </c>
      <c r="AI727" s="54"/>
      <c r="AJ727" s="62">
        <v>9530</v>
      </c>
      <c r="AK727" s="62"/>
      <c r="AL727" s="62">
        <v>2.3E-3</v>
      </c>
      <c r="AM727" s="61" t="s">
        <v>1489</v>
      </c>
      <c r="AN727" s="62">
        <v>146</v>
      </c>
      <c r="AO727" s="61" t="s">
        <v>169</v>
      </c>
      <c r="AP727" s="59" t="str">
        <f>IFERROR(VLOOKUP($A727,[2]Mssp!$A$5:$BE$1463,AP$4+1,0),0)</f>
        <v>F812232G1-1</v>
      </c>
      <c r="AQ727" s="59" t="str">
        <f>IFERROR(VLOOKUP($A727,[2]Mssp!$A$5:$BE$1463,AQ$4+1,0),0)</f>
        <v>F812232-2</v>
      </c>
      <c r="AR727" s="59" t="str">
        <f>IFERROR(VLOOKUP($A727,[2]Mssp!$A$5:$BE$1463,AR$4+1,0),0)</f>
        <v>F812232-3</v>
      </c>
      <c r="AS727" s="59" t="str">
        <f>IFERROR(VLOOKUP($A727,[2]Mssp!$A$5:$BE$1463,AS$4+1,0),0)</f>
        <v>F812232-4</v>
      </c>
      <c r="AT727" s="59" t="str">
        <f>IFERROR(VLOOKUP($A727,[2]Mssp!$A$5:$BE$1463,AT$4+1,0),0)</f>
        <v>F812232-5</v>
      </c>
      <c r="AU727" s="59" t="str">
        <f>IFERROR(VLOOKUP($A727,[2]Mssp!$A$5:$BE$1463,AU$4+1,0),0)</f>
        <v>F812232-6</v>
      </c>
      <c r="AV727" s="59" t="str">
        <f>IFERROR(VLOOKUP($A727,[2]Mssp!$A$5:$BE$1463,AV$4+1,0),0)</f>
        <v>F812232-7</v>
      </c>
      <c r="AW727" s="59" t="str">
        <f>IFERROR(VLOOKUP($A727,[2]Mssp!$A$5:$BE$1463,AW$4+1,0),0)</f>
        <v>F812232-8</v>
      </c>
      <c r="AX727" s="59">
        <f>IFERROR(VLOOKUP($A727,[2]Mssp!$A$5:$BE$1463,AX$4+1,0),0)</f>
        <v>0</v>
      </c>
      <c r="AY727" s="59" t="str">
        <f>IFERROR(VLOOKUP($A727,[2]Mssp!$A$5:$BE$1463,AY$4+2,0),0)</f>
        <v>1100x438</v>
      </c>
      <c r="AZ727" s="59" t="str">
        <f>IFERROR(VLOOKUP($A727,[2]Mssp!$A$5:$BE$1463,AZ$4+2,0),0)</f>
        <v>S2</v>
      </c>
      <c r="BA727" s="141" t="s">
        <v>2306</v>
      </c>
      <c r="BB727" s="61" t="s">
        <v>952</v>
      </c>
      <c r="BC727" s="165"/>
      <c r="BD727" s="166"/>
      <c r="BE727" s="167"/>
      <c r="BF727" s="168"/>
      <c r="BG727" s="167"/>
      <c r="BH727" s="168"/>
      <c r="BI727" s="169"/>
      <c r="BJ727" s="168"/>
      <c r="BK727" s="134"/>
      <c r="BL727" s="168"/>
      <c r="BM727" s="167"/>
      <c r="BN727" s="168"/>
      <c r="BO727" s="62"/>
      <c r="BP727" s="168"/>
      <c r="BQ727" s="168"/>
      <c r="BR727" s="168"/>
      <c r="BS727" s="135"/>
      <c r="BT727" s="176"/>
      <c r="BU727" s="167"/>
      <c r="BV727" s="168"/>
      <c r="BW727" s="167"/>
      <c r="BX727" s="168"/>
      <c r="BY727" s="167"/>
      <c r="BZ727" s="176"/>
      <c r="CA727" s="167"/>
      <c r="CB727" s="168"/>
      <c r="CC727" s="167"/>
      <c r="CD727" s="168"/>
      <c r="CE727" s="62"/>
      <c r="CF727" s="62"/>
      <c r="CG727" s="9"/>
      <c r="CH727" s="9"/>
      <c r="CI727" s="9"/>
      <c r="CJ727" s="9"/>
      <c r="CK727" s="9"/>
      <c r="CL727" s="9"/>
      <c r="CM727" s="9"/>
      <c r="CN727" s="9"/>
      <c r="CO727" s="9"/>
      <c r="CP727" s="9"/>
    </row>
    <row r="728" spans="1:94" ht="30" x14ac:dyDescent="0.25">
      <c r="A728" s="127" t="s">
        <v>2334</v>
      </c>
      <c r="B728" s="51" t="s">
        <v>2335</v>
      </c>
      <c r="C728" s="124"/>
      <c r="D728" s="84"/>
      <c r="E728" s="62" t="s">
        <v>2336</v>
      </c>
      <c r="F728" s="62">
        <v>3</v>
      </c>
      <c r="G728" s="62"/>
      <c r="H728" s="50">
        <f>VLOOKUP($A728,'[1]ma sp 02'!$A$5:$BD$1101,H$1,0)</f>
        <v>0.06</v>
      </c>
      <c r="I728" s="50">
        <f>VLOOKUP($A728,'[1]ma sp 02'!$A$5:$BD$1101,I$1,0)</f>
        <v>0</v>
      </c>
      <c r="J728" s="50">
        <f>VLOOKUP($A728,'[1]ma sp 02'!$A$5:$BD$1101,J$1,0)</f>
        <v>0.49</v>
      </c>
      <c r="K728" s="50">
        <f>VLOOKUP($A728,'[1]ma sp 02'!$A$5:$BD$1101,K$1,0)</f>
        <v>0.01</v>
      </c>
      <c r="L728" s="50">
        <f>VLOOKUP($A728,'[1]ma sp 02'!$A$5:$BD$1101,L$1,0)</f>
        <v>0</v>
      </c>
      <c r="M728" s="50">
        <f>VLOOKUP($A728,'[1]ma sp 02'!$A$5:$BD$1101,M$1,0)</f>
        <v>0.37</v>
      </c>
      <c r="N728" s="50">
        <f>VLOOKUP($A728,'[1]ma sp 02'!$A$5:$BD$1101,N$1,0)</f>
        <v>0</v>
      </c>
      <c r="O728" s="50">
        <f>VLOOKUP($A728,'[1]ma sp 02'!$A$5:$BD$1101,O$1,0)</f>
        <v>0</v>
      </c>
      <c r="P728" s="50">
        <f>VLOOKUP($A728,'[1]ma sp 02'!$A$5:$BD$1101,P$1,0)</f>
        <v>0.1</v>
      </c>
      <c r="Q728" s="50">
        <f>VLOOKUP($A728,'[1]ma sp 02'!$A$5:$BD$1101,Q$1,0)</f>
        <v>0</v>
      </c>
      <c r="R728" s="50">
        <f>VLOOKUP($A728,'[1]ma sp 02'!$A$5:$BD$1101,R$1,0)</f>
        <v>0</v>
      </c>
      <c r="S728" s="50">
        <f>VLOOKUP($A728,'[1]ma sp 02'!$A$5:$BD$1101,S$1,0)</f>
        <v>0</v>
      </c>
      <c r="T728" s="50">
        <f>VLOOKUP($A728,'[1]ma sp 02'!$A$5:$BD$1101,T$1,0)</f>
        <v>0</v>
      </c>
      <c r="U728" s="50">
        <f>VLOOKUP($A728,'[1]ma sp 02'!$A$5:$BD$1101,U$1,0)</f>
        <v>0</v>
      </c>
      <c r="V728" s="50">
        <f>VLOOKUP($A728,'[1]ma sp 02'!$A$5:$BD$1101,V$1,0)</f>
        <v>0</v>
      </c>
      <c r="W728" s="50">
        <f>VLOOKUP($A728,'[1]ma sp 02'!$A$5:$BD$1101,W$1,0)</f>
        <v>0</v>
      </c>
      <c r="X728" s="50"/>
      <c r="Y728" s="62"/>
      <c r="Z728" s="62"/>
      <c r="AA728" s="62"/>
      <c r="AB728" s="62"/>
      <c r="AC728" s="62"/>
      <c r="AD728" s="62"/>
      <c r="AE728" s="62" t="s">
        <v>2337</v>
      </c>
      <c r="AF728" s="62"/>
      <c r="AG728" s="53">
        <f>(0.06*0.98+0.03*0.925)*1.22</f>
        <v>0.105591</v>
      </c>
      <c r="AH728" s="54">
        <f>(2/0.75/2)*1.21</f>
        <v>1.6133333333333333</v>
      </c>
      <c r="AI728" s="54"/>
      <c r="AJ728" s="62">
        <v>9530</v>
      </c>
      <c r="AK728" s="62"/>
      <c r="AL728" s="62">
        <v>2E-3</v>
      </c>
      <c r="AM728" s="61" t="s">
        <v>1575</v>
      </c>
      <c r="AN728" s="62">
        <v>796</v>
      </c>
      <c r="AO728" s="61" t="s">
        <v>2338</v>
      </c>
      <c r="AP728" s="59" t="str">
        <f>IFERROR(VLOOKUP($A728,[2]Mssp!$A$5:$BE$1463,AP$4+1,0),0)</f>
        <v>20070555-1</v>
      </c>
      <c r="AQ728" s="59" t="str">
        <f>IFERROR(VLOOKUP($A728,[2]Mssp!$A$5:$BE$1463,AQ$4+1,0),0)</f>
        <v>20070555-2</v>
      </c>
      <c r="AR728" s="59" t="str">
        <f>IFERROR(VLOOKUP($A728,[2]Mssp!$A$5:$BE$1463,AR$4+1,0),0)</f>
        <v>20070555-3</v>
      </c>
      <c r="AS728" s="59">
        <f>IFERROR(VLOOKUP($A728,[2]Mssp!$A$5:$BE$1463,AS$4+1,0),0)</f>
        <v>0</v>
      </c>
      <c r="AT728" s="59">
        <f>IFERROR(VLOOKUP($A728,[2]Mssp!$A$5:$BE$1463,AT$4+1,0),0)</f>
        <v>0</v>
      </c>
      <c r="AU728" s="59">
        <f>IFERROR(VLOOKUP($A728,[2]Mssp!$A$5:$BE$1463,AU$4+1,0),0)</f>
        <v>0</v>
      </c>
      <c r="AV728" s="59">
        <f>IFERROR(VLOOKUP($A728,[2]Mssp!$A$5:$BE$1463,AV$4+1,0),0)</f>
        <v>0</v>
      </c>
      <c r="AW728" s="59">
        <f>IFERROR(VLOOKUP($A728,[2]Mssp!$A$5:$BE$1463,AW$4+1,0),0)</f>
        <v>0</v>
      </c>
      <c r="AX728" s="59">
        <f>IFERROR(VLOOKUP($A728,[2]Mssp!$A$5:$BE$1463,AX$4+1,0),0)</f>
        <v>0</v>
      </c>
      <c r="AY728" s="59" t="str">
        <f>IFERROR(VLOOKUP($A728,[2]Mssp!$A$5:$BE$1463,AY$4+2,0),0)</f>
        <v>796x1300</v>
      </c>
      <c r="AZ728" s="59">
        <f>IFERROR(VLOOKUP($A728,[2]Mssp!$A$5:$BE$1463,AZ$4+2,0),0)</f>
        <v>0</v>
      </c>
      <c r="BA728" s="141"/>
      <c r="BB728" s="61"/>
      <c r="BC728" s="165"/>
      <c r="BD728" s="166"/>
      <c r="BE728" s="167"/>
      <c r="BF728" s="168"/>
      <c r="BG728" s="167"/>
      <c r="BH728" s="168"/>
      <c r="BI728" s="169"/>
      <c r="BJ728" s="168"/>
      <c r="BK728" s="134"/>
      <c r="BL728" s="168"/>
      <c r="BM728" s="167"/>
      <c r="BN728" s="168"/>
      <c r="BO728" s="62"/>
      <c r="BP728" s="168"/>
      <c r="BQ728" s="168"/>
      <c r="BR728" s="168"/>
      <c r="BS728" s="135"/>
      <c r="BT728" s="176"/>
      <c r="BU728" s="167"/>
      <c r="BV728" s="168"/>
      <c r="BW728" s="167"/>
      <c r="BX728" s="168"/>
      <c r="BY728" s="167"/>
      <c r="BZ728" s="176"/>
      <c r="CA728" s="167"/>
      <c r="CB728" s="168"/>
      <c r="CC728" s="167"/>
      <c r="CD728" s="168"/>
      <c r="CE728" s="62"/>
      <c r="CF728" s="62"/>
      <c r="CG728" s="9"/>
      <c r="CH728" s="9"/>
      <c r="CI728" s="9"/>
      <c r="CJ728" s="9"/>
      <c r="CK728" s="9"/>
      <c r="CL728" s="9"/>
      <c r="CM728" s="9"/>
      <c r="CN728" s="9"/>
      <c r="CO728" s="9"/>
      <c r="CP728" s="9"/>
    </row>
    <row r="729" spans="1:94" ht="30" x14ac:dyDescent="0.25">
      <c r="A729" s="173" t="s">
        <v>2339</v>
      </c>
      <c r="B729" s="174" t="s">
        <v>2340</v>
      </c>
      <c r="C729" s="62"/>
      <c r="D729" s="84"/>
      <c r="E729" s="62" t="s">
        <v>315</v>
      </c>
      <c r="F729" s="62">
        <v>7</v>
      </c>
      <c r="G729" s="62"/>
      <c r="H729" s="50">
        <f>VLOOKUP($A729,'[1]ma sp 02'!$A$5:$BD$1101,H$1,0)</f>
        <v>0.01</v>
      </c>
      <c r="I729" s="50">
        <f>VLOOKUP($A729,'[1]ma sp 02'!$A$5:$BD$1101,I$1,0)</f>
        <v>4.8620000000000001</v>
      </c>
      <c r="J729" s="50">
        <f>VLOOKUP($A729,'[1]ma sp 02'!$A$5:$BD$1101,J$1,0)</f>
        <v>6.4000000000000001E-2</v>
      </c>
      <c r="K729" s="50">
        <f>VLOOKUP($A729,'[1]ma sp 02'!$A$5:$BD$1101,K$1,0)</f>
        <v>0.24199999999999999</v>
      </c>
      <c r="L729" s="50">
        <f>VLOOKUP($A729,'[1]ma sp 02'!$A$5:$BD$1101,L$1,0)</f>
        <v>1.05</v>
      </c>
      <c r="M729" s="50">
        <f>VLOOKUP($A729,'[1]ma sp 02'!$A$5:$BD$1101,M$1,0)</f>
        <v>0.109</v>
      </c>
      <c r="N729" s="50">
        <f>VLOOKUP($A729,'[1]ma sp 02'!$A$5:$BD$1101,N$1,0)</f>
        <v>0</v>
      </c>
      <c r="O729" s="50">
        <f>VLOOKUP($A729,'[1]ma sp 02'!$A$5:$BD$1101,O$1,0)</f>
        <v>0</v>
      </c>
      <c r="P729" s="50">
        <f>VLOOKUP($A729,'[1]ma sp 02'!$A$5:$BD$1101,P$1,0)</f>
        <v>0.30599999999999999</v>
      </c>
      <c r="Q729" s="50">
        <f>VLOOKUP($A729,'[1]ma sp 02'!$A$5:$BD$1101,Q$1,0)</f>
        <v>0</v>
      </c>
      <c r="R729" s="50">
        <f>VLOOKUP($A729,'[1]ma sp 02'!$A$5:$BD$1101,R$1,0)</f>
        <v>0</v>
      </c>
      <c r="S729" s="50">
        <f>VLOOKUP($A729,'[1]ma sp 02'!$A$5:$BD$1101,S$1,0)</f>
        <v>0</v>
      </c>
      <c r="T729" s="50">
        <f>VLOOKUP($A729,'[1]ma sp 02'!$A$5:$BD$1101,T$1,0)</f>
        <v>0</v>
      </c>
      <c r="U729" s="50">
        <f>VLOOKUP($A729,'[1]ma sp 02'!$A$5:$BD$1101,U$1,0)</f>
        <v>0</v>
      </c>
      <c r="V729" s="50">
        <f>VLOOKUP($A729,'[1]ma sp 02'!$A$5:$BD$1101,V$1,0)</f>
        <v>0.01</v>
      </c>
      <c r="W729" s="50">
        <f>VLOOKUP($A729,'[1]ma sp 02'!$A$5:$BD$1101,W$1,0)</f>
        <v>0</v>
      </c>
      <c r="X729" s="50"/>
      <c r="Y729" s="62"/>
      <c r="Z729" s="62"/>
      <c r="AA729" s="62"/>
      <c r="AB729" s="62"/>
      <c r="AC729" s="62"/>
      <c r="AD729" s="62"/>
      <c r="AE729" s="62" t="s">
        <v>2341</v>
      </c>
      <c r="AF729" s="62" t="s">
        <v>2342</v>
      </c>
      <c r="AG729" s="71">
        <f>(0.012*1.4+0.006*2.71+0.06*0.91)*0.82</f>
        <v>7.1881199999999992E-2</v>
      </c>
      <c r="AH729" s="153">
        <f>(2.3/0.75/2)*0.81</f>
        <v>1.242</v>
      </c>
      <c r="AI729" s="63">
        <f>(2.3/0.75/2)*0.81</f>
        <v>1.242</v>
      </c>
      <c r="AJ729" s="58">
        <v>9530</v>
      </c>
      <c r="AK729" s="58">
        <v>9530</v>
      </c>
      <c r="AL729" s="62" t="s">
        <v>1700</v>
      </c>
      <c r="AM729" s="61" t="s">
        <v>1489</v>
      </c>
      <c r="AN729" s="62">
        <v>150</v>
      </c>
      <c r="AO729" s="61" t="s">
        <v>1724</v>
      </c>
      <c r="AP729" s="59" t="str">
        <f>IFERROR(VLOOKUP($A729,[2]Mssp!$A$5:$BE$1463,AP$4+1,0),0)</f>
        <v>F126602-1</v>
      </c>
      <c r="AQ729" s="59" t="str">
        <f>IFERROR(VLOOKUP($A729,[2]Mssp!$A$5:$BE$1463,AQ$4+1,0),0)</f>
        <v>F126602-2</v>
      </c>
      <c r="AR729" s="59" t="str">
        <f>IFERROR(VLOOKUP($A729,[2]Mssp!$A$5:$BE$1463,AR$4+1,0),0)</f>
        <v>F126602-3</v>
      </c>
      <c r="AS729" s="59" t="str">
        <f>IFERROR(VLOOKUP($A729,[2]Mssp!$A$5:$BE$1463,AS$4+1,0),0)</f>
        <v>F126602-4</v>
      </c>
      <c r="AT729" s="59" t="str">
        <f>IFERROR(VLOOKUP($A729,[2]Mssp!$A$5:$BE$1463,AT$4+1,0),0)</f>
        <v>F126602-5</v>
      </c>
      <c r="AU729" s="59" t="str">
        <f>IFERROR(VLOOKUP($A729,[2]Mssp!$A$5:$BE$1463,AU$4+1,0),0)</f>
        <v>F126602-6</v>
      </c>
      <c r="AV729" s="59" t="str">
        <f>IFERROR(VLOOKUP($A729,[2]Mssp!$A$5:$BE$1463,AV$4+1,0),0)</f>
        <v>F126602-7</v>
      </c>
      <c r="AW729" s="59">
        <f>IFERROR(VLOOKUP($A729,[2]Mssp!$A$5:$BE$1463,AW$4+1,0),0)</f>
        <v>0</v>
      </c>
      <c r="AX729" s="59">
        <f>IFERROR(VLOOKUP($A729,[2]Mssp!$A$5:$BE$1463,AX$4+1,0),0)</f>
        <v>0</v>
      </c>
      <c r="AY729" s="59" t="str">
        <f>IFERROR(VLOOKUP($A729,[2]Mssp!$A$5:$BE$1463,AY$4+2,0),0)</f>
        <v>1100x450</v>
      </c>
      <c r="AZ729" s="59" t="str">
        <f>IFERROR(VLOOKUP($A729,[2]Mssp!$A$5:$BE$1463,AZ$4+2,0),0)</f>
        <v>A2</v>
      </c>
      <c r="BA729" s="141" t="s">
        <v>2306</v>
      </c>
      <c r="BB729" s="61" t="s">
        <v>952</v>
      </c>
      <c r="BC729" s="165"/>
      <c r="BD729" s="166"/>
      <c r="BE729" s="167"/>
      <c r="BF729" s="168"/>
      <c r="BG729" s="167"/>
      <c r="BH729" s="168"/>
      <c r="BI729" s="169"/>
      <c r="BJ729" s="168"/>
      <c r="BK729" s="134"/>
      <c r="BL729" s="168"/>
      <c r="BM729" s="167"/>
      <c r="BN729" s="168"/>
      <c r="BO729" s="62"/>
      <c r="BP729" s="168"/>
      <c r="BQ729" s="168"/>
      <c r="BR729" s="168"/>
      <c r="BS729" s="135"/>
      <c r="BT729" s="176"/>
      <c r="BU729" s="167"/>
      <c r="BV729" s="168"/>
      <c r="BW729" s="167"/>
      <c r="BX729" s="168"/>
      <c r="BY729" s="167"/>
      <c r="BZ729" s="176"/>
      <c r="CA729" s="167"/>
      <c r="CB729" s="168"/>
      <c r="CC729" s="167"/>
      <c r="CD729" s="168"/>
      <c r="CE729" s="62"/>
      <c r="CF729" s="62"/>
      <c r="CG729" s="9"/>
      <c r="CH729" s="9"/>
      <c r="CI729" s="9"/>
      <c r="CJ729" s="9"/>
      <c r="CK729" s="9"/>
      <c r="CL729" s="9"/>
      <c r="CM729" s="9"/>
      <c r="CN729" s="9"/>
      <c r="CO729" s="9"/>
      <c r="CP729" s="9"/>
    </row>
    <row r="730" spans="1:94" ht="30" x14ac:dyDescent="0.25">
      <c r="A730" s="127" t="s">
        <v>2343</v>
      </c>
      <c r="B730" s="51" t="s">
        <v>2344</v>
      </c>
      <c r="C730" s="62"/>
      <c r="D730" s="84"/>
      <c r="E730" s="62" t="s">
        <v>131</v>
      </c>
      <c r="F730" s="62"/>
      <c r="G730" s="62"/>
      <c r="H730" s="50">
        <f>VLOOKUP($A730,'[1]ma sp 02'!$A$5:$BD$1101,H$1,0)</f>
        <v>0</v>
      </c>
      <c r="I730" s="50">
        <f>VLOOKUP($A730,'[1]ma sp 02'!$A$5:$BD$1101,I$1,0)</f>
        <v>0</v>
      </c>
      <c r="J730" s="50">
        <f>VLOOKUP($A730,'[1]ma sp 02'!$A$5:$BD$1101,J$1,0)</f>
        <v>0</v>
      </c>
      <c r="K730" s="50">
        <f>VLOOKUP($A730,'[1]ma sp 02'!$A$5:$BD$1101,K$1,0)</f>
        <v>0</v>
      </c>
      <c r="L730" s="50">
        <f>VLOOKUP($A730,'[1]ma sp 02'!$A$5:$BD$1101,L$1,0)</f>
        <v>0</v>
      </c>
      <c r="M730" s="50">
        <f>VLOOKUP($A730,'[1]ma sp 02'!$A$5:$BD$1101,M$1,0)</f>
        <v>0</v>
      </c>
      <c r="N730" s="50">
        <f>VLOOKUP($A730,'[1]ma sp 02'!$A$5:$BD$1101,N$1,0)</f>
        <v>0</v>
      </c>
      <c r="O730" s="50">
        <f>VLOOKUP($A730,'[1]ma sp 02'!$A$5:$BD$1101,O$1,0)</f>
        <v>0</v>
      </c>
      <c r="P730" s="50">
        <f>VLOOKUP($A730,'[1]ma sp 02'!$A$5:$BD$1101,P$1,0)</f>
        <v>0</v>
      </c>
      <c r="Q730" s="50">
        <f>VLOOKUP($A730,'[1]ma sp 02'!$A$5:$BD$1101,Q$1,0)</f>
        <v>0</v>
      </c>
      <c r="R730" s="50">
        <f>VLOOKUP($A730,'[1]ma sp 02'!$A$5:$BD$1101,R$1,0)</f>
        <v>0</v>
      </c>
      <c r="S730" s="50">
        <f>VLOOKUP($A730,'[1]ma sp 02'!$A$5:$BD$1101,S$1,0)</f>
        <v>0</v>
      </c>
      <c r="T730" s="50">
        <f>VLOOKUP($A730,'[1]ma sp 02'!$A$5:$BD$1101,T$1,0)</f>
        <v>0</v>
      </c>
      <c r="U730" s="50">
        <f>VLOOKUP($A730,'[1]ma sp 02'!$A$5:$BD$1101,U$1,0)</f>
        <v>0</v>
      </c>
      <c r="V730" s="50">
        <f>VLOOKUP($A730,'[1]ma sp 02'!$A$5:$BD$1101,V$1,0)</f>
        <v>0</v>
      </c>
      <c r="W730" s="50">
        <f>VLOOKUP($A730,'[1]ma sp 02'!$A$5:$BD$1101,W$1,0)</f>
        <v>0</v>
      </c>
      <c r="X730" s="50"/>
      <c r="Y730" s="62"/>
      <c r="Z730" s="62"/>
      <c r="AA730" s="62"/>
      <c r="AB730" s="62"/>
      <c r="AC730" s="62"/>
      <c r="AD730" s="62"/>
      <c r="AE730" s="62" t="s">
        <v>1721</v>
      </c>
      <c r="AF730" s="62" t="s">
        <v>2345</v>
      </c>
      <c r="AG730" s="53">
        <f>(0.012*0.6+0.006*2.7+0.12*0.925)*0.62</f>
        <v>8.3328000000000013E-2</v>
      </c>
      <c r="AH730" s="54">
        <f>(2.5/0.75/2)*0.61</f>
        <v>1.0166666666666666</v>
      </c>
      <c r="AI730" s="54">
        <f>(4/0.75/2)*0.61</f>
        <v>1.6266666666666665</v>
      </c>
      <c r="AJ730" s="62">
        <v>9530</v>
      </c>
      <c r="AK730" s="62">
        <v>9530</v>
      </c>
      <c r="AL730" s="62" t="s">
        <v>2346</v>
      </c>
      <c r="AM730" s="61" t="s">
        <v>74</v>
      </c>
      <c r="AN730" s="62">
        <v>400</v>
      </c>
      <c r="AO730" s="61" t="s">
        <v>1959</v>
      </c>
      <c r="AP730" s="59">
        <f>IFERROR(VLOOKUP($A730,[2]Mssp!$A$5:$BE$1463,AP$4+1,0),0)</f>
        <v>0</v>
      </c>
      <c r="AQ730" s="59">
        <f>IFERROR(VLOOKUP($A730,[2]Mssp!$A$5:$BE$1463,AQ$4+1,0),0)</f>
        <v>0</v>
      </c>
      <c r="AR730" s="59">
        <f>IFERROR(VLOOKUP($A730,[2]Mssp!$A$5:$BE$1463,AR$4+1,0),0)</f>
        <v>0</v>
      </c>
      <c r="AS730" s="59">
        <f>IFERROR(VLOOKUP($A730,[2]Mssp!$A$5:$BE$1463,AS$4+1,0),0)</f>
        <v>0</v>
      </c>
      <c r="AT730" s="59">
        <f>IFERROR(VLOOKUP($A730,[2]Mssp!$A$5:$BE$1463,AT$4+1,0),0)</f>
        <v>0</v>
      </c>
      <c r="AU730" s="59">
        <f>IFERROR(VLOOKUP($A730,[2]Mssp!$A$5:$BE$1463,AU$4+1,0),0)</f>
        <v>0</v>
      </c>
      <c r="AV730" s="59">
        <f>IFERROR(VLOOKUP($A730,[2]Mssp!$A$5:$BE$1463,AV$4+1,0),0)</f>
        <v>0</v>
      </c>
      <c r="AW730" s="59">
        <f>IFERROR(VLOOKUP($A730,[2]Mssp!$A$5:$BE$1463,AW$4+1,0),0)</f>
        <v>0</v>
      </c>
      <c r="AX730" s="59">
        <f>IFERROR(VLOOKUP($A730,[2]Mssp!$A$5:$BE$1463,AX$4+1,0),0)</f>
        <v>0</v>
      </c>
      <c r="AY730" s="59">
        <f>IFERROR(VLOOKUP($A730,[2]Mssp!$A$5:$BE$1463,AY$4+2,0),0)</f>
        <v>0</v>
      </c>
      <c r="AZ730" s="59">
        <f>IFERROR(VLOOKUP($A730,[2]Mssp!$A$5:$BE$1463,AZ$4+2,0),0)</f>
        <v>0</v>
      </c>
      <c r="BA730" s="141"/>
      <c r="BB730" s="61" t="s">
        <v>1894</v>
      </c>
      <c r="BC730" s="165"/>
      <c r="BD730" s="166"/>
      <c r="BE730" s="167"/>
      <c r="BF730" s="168"/>
      <c r="BG730" s="167"/>
      <c r="BH730" s="168"/>
      <c r="BI730" s="169"/>
      <c r="BJ730" s="168"/>
      <c r="BK730" s="134"/>
      <c r="BL730" s="168"/>
      <c r="BM730" s="167"/>
      <c r="BN730" s="168"/>
      <c r="BO730" s="62"/>
      <c r="BP730" s="168"/>
      <c r="BQ730" s="168"/>
      <c r="BR730" s="168"/>
      <c r="BS730" s="135"/>
      <c r="BT730" s="176"/>
      <c r="BU730" s="167"/>
      <c r="BV730" s="168"/>
      <c r="BW730" s="167"/>
      <c r="BX730" s="168"/>
      <c r="BY730" s="167"/>
      <c r="BZ730" s="176"/>
      <c r="CA730" s="167"/>
      <c r="CB730" s="168"/>
      <c r="CC730" s="167"/>
      <c r="CD730" s="168"/>
      <c r="CE730" s="62"/>
      <c r="CF730" s="62"/>
      <c r="CG730" s="9"/>
      <c r="CH730" s="9"/>
      <c r="CI730" s="9"/>
      <c r="CJ730" s="9"/>
      <c r="CK730" s="9"/>
      <c r="CL730" s="9"/>
      <c r="CM730" s="9"/>
      <c r="CN730" s="9"/>
      <c r="CO730" s="9"/>
      <c r="CP730" s="9"/>
    </row>
    <row r="731" spans="1:94" ht="30" x14ac:dyDescent="0.25">
      <c r="A731" s="127" t="s">
        <v>2347</v>
      </c>
      <c r="B731" s="51" t="s">
        <v>2348</v>
      </c>
      <c r="C731" s="62"/>
      <c r="D731" s="84">
        <v>2</v>
      </c>
      <c r="E731" s="62" t="s">
        <v>299</v>
      </c>
      <c r="F731" s="62">
        <v>8</v>
      </c>
      <c r="G731" s="62"/>
      <c r="H731" s="50">
        <f>VLOOKUP($A731,'[1]ma sp 02'!$A$5:$BD$1101,H$1,0)</f>
        <v>0</v>
      </c>
      <c r="I731" s="50">
        <f>VLOOKUP($A731,'[1]ma sp 02'!$A$5:$BD$1101,I$1,0)</f>
        <v>2.59</v>
      </c>
      <c r="J731" s="50">
        <f>VLOOKUP($A731,'[1]ma sp 02'!$A$5:$BD$1101,J$1,0)</f>
        <v>0.622</v>
      </c>
      <c r="K731" s="50">
        <f>VLOOKUP($A731,'[1]ma sp 02'!$A$5:$BD$1101,K$1,0)</f>
        <v>2.3E-2</v>
      </c>
      <c r="L731" s="50">
        <f>VLOOKUP($A731,'[1]ma sp 02'!$A$5:$BD$1101,L$1,0)</f>
        <v>0.218</v>
      </c>
      <c r="M731" s="50">
        <f>VLOOKUP($A731,'[1]ma sp 02'!$A$5:$BD$1101,M$1,0)</f>
        <v>4.7E-2</v>
      </c>
      <c r="N731" s="50">
        <f>VLOOKUP($A731,'[1]ma sp 02'!$A$5:$BD$1101,N$1,0)</f>
        <v>0</v>
      </c>
      <c r="O731" s="50">
        <f>VLOOKUP($A731,'[1]ma sp 02'!$A$5:$BD$1101,O$1,0)</f>
        <v>7.8E-2</v>
      </c>
      <c r="P731" s="50">
        <f>VLOOKUP($A731,'[1]ma sp 02'!$A$5:$BD$1101,P$1,0)</f>
        <v>0.11700000000000001</v>
      </c>
      <c r="Q731" s="50">
        <f>VLOOKUP($A731,'[1]ma sp 02'!$A$5:$BD$1101,Q$1,0)</f>
        <v>4.7E-2</v>
      </c>
      <c r="R731" s="50">
        <f>VLOOKUP($A731,'[1]ma sp 02'!$A$5:$BD$1101,R$1,0)</f>
        <v>1.6E-2</v>
      </c>
      <c r="S731" s="50">
        <f>VLOOKUP($A731,'[1]ma sp 02'!$A$5:$BD$1101,S$1,0)</f>
        <v>0</v>
      </c>
      <c r="T731" s="50">
        <f>VLOOKUP($A731,'[1]ma sp 02'!$A$5:$BD$1101,T$1,0)</f>
        <v>0</v>
      </c>
      <c r="U731" s="50">
        <f>VLOOKUP($A731,'[1]ma sp 02'!$A$5:$BD$1101,U$1,0)</f>
        <v>0</v>
      </c>
      <c r="V731" s="50">
        <f>VLOOKUP($A731,'[1]ma sp 02'!$A$5:$BD$1101,V$1,0)</f>
        <v>0</v>
      </c>
      <c r="W731" s="50">
        <f>VLOOKUP($A731,'[1]ma sp 02'!$A$5:$BD$1101,W$1,0)</f>
        <v>0.42799999999999999</v>
      </c>
      <c r="X731" s="50"/>
      <c r="Y731" s="62"/>
      <c r="Z731" s="62"/>
      <c r="AA731" s="62"/>
      <c r="AB731" s="62"/>
      <c r="AC731" s="62"/>
      <c r="AD731" s="62"/>
      <c r="AE731" s="62" t="s">
        <v>1934</v>
      </c>
      <c r="AF731" s="62"/>
      <c r="AG731" s="71">
        <f>(0.02*0.91+0.055*0.925)*0.82</f>
        <v>5.6641499999999997E-2</v>
      </c>
      <c r="AH731" s="155">
        <f>(3/0.75/2)*0.81</f>
        <v>1.62</v>
      </c>
      <c r="AI731" s="54"/>
      <c r="AJ731" s="62">
        <v>9530</v>
      </c>
      <c r="AK731" s="62"/>
      <c r="AL731" s="62">
        <v>3.0000000000000001E-3</v>
      </c>
      <c r="AM731" s="61" t="s">
        <v>1489</v>
      </c>
      <c r="AN731" s="62">
        <v>260</v>
      </c>
      <c r="AO731" s="61" t="s">
        <v>1935</v>
      </c>
      <c r="AP731" s="59" t="str">
        <f>IFERROR(VLOOKUP($A731,[2]Mssp!$A$5:$BE$1463,AP$4+1,0),0)</f>
        <v>X109482G2-1</v>
      </c>
      <c r="AQ731" s="59" t="str">
        <f>IFERROR(VLOOKUP($A731,[2]Mssp!$A$5:$BE$1463,AQ$4+1,0),0)</f>
        <v>X109482-2</v>
      </c>
      <c r="AR731" s="59" t="str">
        <f>IFERROR(VLOOKUP($A731,[2]Mssp!$A$5:$BE$1463,AR$4+1,0),0)</f>
        <v>X109482-3</v>
      </c>
      <c r="AS731" s="59" t="str">
        <f>IFERROR(VLOOKUP($A731,[2]Mssp!$A$5:$BE$1463,AS$4+1,0),0)</f>
        <v>X109482G2-4</v>
      </c>
      <c r="AT731" s="59" t="str">
        <f>IFERROR(VLOOKUP($A731,[2]Mssp!$A$5:$BE$1463,AT$4+1,0),0)</f>
        <v>X109482-5</v>
      </c>
      <c r="AU731" s="59" t="str">
        <f>IFERROR(VLOOKUP($A731,[2]Mssp!$A$5:$BE$1463,AU$4+1,0),0)</f>
        <v>X109482-6</v>
      </c>
      <c r="AV731" s="59" t="str">
        <f>IFERROR(VLOOKUP($A731,[2]Mssp!$A$5:$BE$1463,AV$4+1,0),0)</f>
        <v>X109482-7</v>
      </c>
      <c r="AW731" s="59" t="str">
        <f>IFERROR(VLOOKUP($A731,[2]Mssp!$A$5:$BE$1463,AW$4+1,0),0)</f>
        <v>X109482G2-8</v>
      </c>
      <c r="AX731" s="59">
        <f>IFERROR(VLOOKUP($A731,[2]Mssp!$A$5:$BE$1463,AX$4+1,0),0)</f>
        <v>0</v>
      </c>
      <c r="AY731" s="59" t="str">
        <f>IFERROR(VLOOKUP($A731,[2]Mssp!$A$5:$BE$1463,AY$4+2,0),0)</f>
        <v>520x870</v>
      </c>
      <c r="AZ731" s="59" t="str">
        <f>IFERROR(VLOOKUP($A731,[2]Mssp!$A$5:$BE$1463,AZ$4+2,0),0)</f>
        <v>S2</v>
      </c>
      <c r="BA731" s="141" t="s">
        <v>1936</v>
      </c>
      <c r="BB731" s="61" t="s">
        <v>952</v>
      </c>
      <c r="BC731" s="165"/>
      <c r="BD731" s="166"/>
      <c r="BE731" s="167"/>
      <c r="BF731" s="168"/>
      <c r="BG731" s="167"/>
      <c r="BH731" s="168"/>
      <c r="BI731" s="169"/>
      <c r="BJ731" s="168"/>
      <c r="BK731" s="134"/>
      <c r="BL731" s="168"/>
      <c r="BM731" s="167"/>
      <c r="BN731" s="168"/>
      <c r="BO731" s="62"/>
      <c r="BP731" s="168"/>
      <c r="BQ731" s="168"/>
      <c r="BR731" s="168"/>
      <c r="BS731" s="135"/>
      <c r="BT731" s="176"/>
      <c r="BU731" s="167"/>
      <c r="BV731" s="168"/>
      <c r="BW731" s="167"/>
      <c r="BX731" s="168"/>
      <c r="BY731" s="167"/>
      <c r="BZ731" s="176"/>
      <c r="CA731" s="167"/>
      <c r="CB731" s="168"/>
      <c r="CC731" s="167"/>
      <c r="CD731" s="168"/>
      <c r="CE731" s="62"/>
      <c r="CF731" s="62"/>
      <c r="CG731" s="9"/>
      <c r="CH731" s="9"/>
      <c r="CI731" s="9"/>
      <c r="CJ731" s="9"/>
      <c r="CK731" s="9"/>
      <c r="CL731" s="9"/>
      <c r="CM731" s="9"/>
      <c r="CN731" s="9"/>
      <c r="CO731" s="9"/>
      <c r="CP731" s="9"/>
    </row>
    <row r="732" spans="1:94" ht="45" x14ac:dyDescent="0.25">
      <c r="A732" s="127" t="s">
        <v>2349</v>
      </c>
      <c r="B732" s="51" t="s">
        <v>2350</v>
      </c>
      <c r="C732" s="62"/>
      <c r="D732" s="84">
        <v>2</v>
      </c>
      <c r="E732" s="62" t="s">
        <v>495</v>
      </c>
      <c r="F732" s="62">
        <v>1</v>
      </c>
      <c r="G732" s="62" t="s">
        <v>184</v>
      </c>
      <c r="H732" s="50">
        <f>VLOOKUP($A732,'[1]ma sp 02'!$A$5:$BD$1101,H$1,0)</f>
        <v>1.1200000000000001</v>
      </c>
      <c r="I732" s="50">
        <f>VLOOKUP($A732,'[1]ma sp 02'!$A$5:$BD$1101,I$1,0)</f>
        <v>0</v>
      </c>
      <c r="J732" s="50">
        <f>VLOOKUP($A732,'[1]ma sp 02'!$A$5:$BD$1101,J$1,0)</f>
        <v>0</v>
      </c>
      <c r="K732" s="50">
        <f>VLOOKUP($A732,'[1]ma sp 02'!$A$5:$BD$1101,K$1,0)</f>
        <v>0</v>
      </c>
      <c r="L732" s="50">
        <f>VLOOKUP($A732,'[1]ma sp 02'!$A$5:$BD$1101,L$1,0)</f>
        <v>0</v>
      </c>
      <c r="M732" s="50">
        <f>VLOOKUP($A732,'[1]ma sp 02'!$A$5:$BD$1101,M$1,0)</f>
        <v>0</v>
      </c>
      <c r="N732" s="50">
        <f>VLOOKUP($A732,'[1]ma sp 02'!$A$5:$BD$1101,N$1,0)</f>
        <v>0</v>
      </c>
      <c r="O732" s="50">
        <f>VLOOKUP($A732,'[1]ma sp 02'!$A$5:$BD$1101,O$1,0)</f>
        <v>0</v>
      </c>
      <c r="P732" s="50">
        <f>VLOOKUP($A732,'[1]ma sp 02'!$A$5:$BD$1101,P$1,0)</f>
        <v>0</v>
      </c>
      <c r="Q732" s="50">
        <f>VLOOKUP($A732,'[1]ma sp 02'!$A$5:$BD$1101,Q$1,0)</f>
        <v>0</v>
      </c>
      <c r="R732" s="50">
        <f>VLOOKUP($A732,'[1]ma sp 02'!$A$5:$BD$1101,R$1,0)</f>
        <v>0</v>
      </c>
      <c r="S732" s="50">
        <f>VLOOKUP($A732,'[1]ma sp 02'!$A$5:$BD$1101,S$1,0)</f>
        <v>0</v>
      </c>
      <c r="T732" s="50">
        <f>VLOOKUP($A732,'[1]ma sp 02'!$A$5:$BD$1101,T$1,0)</f>
        <v>0</v>
      </c>
      <c r="U732" s="50">
        <f>VLOOKUP($A732,'[1]ma sp 02'!$A$5:$BD$1101,U$1,0)</f>
        <v>0</v>
      </c>
      <c r="V732" s="50">
        <f>VLOOKUP($A732,'[1]ma sp 02'!$A$5:$BD$1101,V$1,0)</f>
        <v>0</v>
      </c>
      <c r="W732" s="50">
        <f>VLOOKUP($A732,'[1]ma sp 02'!$A$5:$BD$1101,W$1,0)</f>
        <v>0</v>
      </c>
      <c r="X732" s="50"/>
      <c r="Y732" s="62"/>
      <c r="Z732" s="62"/>
      <c r="AA732" s="62"/>
      <c r="AB732" s="62"/>
      <c r="AC732" s="62"/>
      <c r="AD732" s="62"/>
      <c r="AE732" s="62" t="s">
        <v>2069</v>
      </c>
      <c r="AF732" s="62"/>
      <c r="AG732" s="53">
        <f>(0.02*0.91+0.035*0.925)*0.66</f>
        <v>3.3379500000000006E-2</v>
      </c>
      <c r="AH732" s="54">
        <f>(2.3/0.75/2)*0.65</f>
        <v>0.99666666666666659</v>
      </c>
      <c r="AI732" s="54"/>
      <c r="AJ732" s="62">
        <v>9530</v>
      </c>
      <c r="AK732" s="62"/>
      <c r="AL732" s="62">
        <v>2.3E-3</v>
      </c>
      <c r="AM732" s="61" t="s">
        <v>1489</v>
      </c>
      <c r="AN732" s="62">
        <v>180</v>
      </c>
      <c r="AO732" s="61" t="s">
        <v>2351</v>
      </c>
      <c r="AP732" s="59" t="str">
        <f>IFERROR(VLOOKUP($A732,[2]Mssp!$A$5:$BE$1463,AP$4+1,0),0)</f>
        <v>X109439-1</v>
      </c>
      <c r="AQ732" s="59">
        <f>IFERROR(VLOOKUP($A732,[2]Mssp!$A$5:$BE$1463,AQ$4+1,0),0)</f>
        <v>0</v>
      </c>
      <c r="AR732" s="59">
        <f>IFERROR(VLOOKUP($A732,[2]Mssp!$A$5:$BE$1463,AR$4+1,0),0)</f>
        <v>0</v>
      </c>
      <c r="AS732" s="59">
        <f>IFERROR(VLOOKUP($A732,[2]Mssp!$A$5:$BE$1463,AS$4+1,0),0)</f>
        <v>0</v>
      </c>
      <c r="AT732" s="59">
        <f>IFERROR(VLOOKUP($A732,[2]Mssp!$A$5:$BE$1463,AT$4+1,0),0)</f>
        <v>0</v>
      </c>
      <c r="AU732" s="59">
        <f>IFERROR(VLOOKUP($A732,[2]Mssp!$A$5:$BE$1463,AU$4+1,0),0)</f>
        <v>0</v>
      </c>
      <c r="AV732" s="59">
        <f>IFERROR(VLOOKUP($A732,[2]Mssp!$A$5:$BE$1463,AV$4+1,0),0)</f>
        <v>0</v>
      </c>
      <c r="AW732" s="59">
        <f>IFERROR(VLOOKUP($A732,[2]Mssp!$A$5:$BE$1463,AW$4+1,0),0)</f>
        <v>0</v>
      </c>
      <c r="AX732" s="59">
        <f>IFERROR(VLOOKUP($A732,[2]Mssp!$A$5:$BE$1463,AX$4+1,0),0)</f>
        <v>0</v>
      </c>
      <c r="AY732" s="59" t="str">
        <f>IFERROR(VLOOKUP($A732,[2]Mssp!$A$5:$BE$1463,AY$4+2,0),0)</f>
        <v>750x540</v>
      </c>
      <c r="AZ732" s="59" t="str">
        <f>IFERROR(VLOOKUP($A732,[2]Mssp!$A$5:$BE$1463,AZ$4+2,0),0)</f>
        <v>S2</v>
      </c>
      <c r="BA732" s="141"/>
      <c r="BB732" s="61" t="s">
        <v>952</v>
      </c>
      <c r="BC732" s="165"/>
      <c r="BD732" s="166"/>
      <c r="BE732" s="167"/>
      <c r="BF732" s="168"/>
      <c r="BG732" s="167"/>
      <c r="BH732" s="168"/>
      <c r="BI732" s="169"/>
      <c r="BJ732" s="168"/>
      <c r="BK732" s="134"/>
      <c r="BL732" s="168"/>
      <c r="BM732" s="167"/>
      <c r="BN732" s="168"/>
      <c r="BO732" s="62"/>
      <c r="BP732" s="168"/>
      <c r="BQ732" s="168"/>
      <c r="BR732" s="168"/>
      <c r="BS732" s="135"/>
      <c r="BT732" s="176"/>
      <c r="BU732" s="167"/>
      <c r="BV732" s="168"/>
      <c r="BW732" s="167"/>
      <c r="BX732" s="168"/>
      <c r="BY732" s="167"/>
      <c r="BZ732" s="176"/>
      <c r="CA732" s="167"/>
      <c r="CB732" s="168"/>
      <c r="CC732" s="167"/>
      <c r="CD732" s="168"/>
      <c r="CE732" s="62"/>
      <c r="CF732" s="62"/>
      <c r="CG732" s="9"/>
      <c r="CH732" s="9"/>
      <c r="CI732" s="9"/>
      <c r="CJ732" s="9"/>
      <c r="CK732" s="9"/>
      <c r="CL732" s="9"/>
      <c r="CM732" s="9"/>
      <c r="CN732" s="9"/>
      <c r="CO732" s="9"/>
      <c r="CP732" s="9"/>
    </row>
    <row r="733" spans="1:94" ht="30" x14ac:dyDescent="0.25">
      <c r="A733" s="127" t="s">
        <v>2352</v>
      </c>
      <c r="B733" s="51" t="s">
        <v>2353</v>
      </c>
      <c r="C733" s="62"/>
      <c r="D733" s="84">
        <v>1</v>
      </c>
      <c r="E733" s="62" t="s">
        <v>655</v>
      </c>
      <c r="F733" s="62">
        <v>1</v>
      </c>
      <c r="G733" s="62" t="s">
        <v>530</v>
      </c>
      <c r="H733" s="50">
        <f>VLOOKUP($A733,'[1]ma sp 02'!$A$5:$BD$1101,H$1,0)</f>
        <v>0</v>
      </c>
      <c r="I733" s="50">
        <f>VLOOKUP($A733,'[1]ma sp 02'!$A$5:$BD$1101,I$1,0)</f>
        <v>0</v>
      </c>
      <c r="J733" s="50">
        <f>VLOOKUP($A733,'[1]ma sp 02'!$A$5:$BD$1101,J$1,0)</f>
        <v>0</v>
      </c>
      <c r="K733" s="50">
        <f>VLOOKUP($A733,'[1]ma sp 02'!$A$5:$BD$1101,K$1,0)</f>
        <v>0</v>
      </c>
      <c r="L733" s="50">
        <f>VLOOKUP($A733,'[1]ma sp 02'!$A$5:$BD$1101,L$1,0)</f>
        <v>0</v>
      </c>
      <c r="M733" s="50">
        <f>VLOOKUP($A733,'[1]ma sp 02'!$A$5:$BD$1101,M$1,0)</f>
        <v>0</v>
      </c>
      <c r="N733" s="50">
        <f>VLOOKUP($A733,'[1]ma sp 02'!$A$5:$BD$1101,N$1,0)</f>
        <v>0</v>
      </c>
      <c r="O733" s="50">
        <f>VLOOKUP($A733,'[1]ma sp 02'!$A$5:$BD$1101,O$1,0)</f>
        <v>0</v>
      </c>
      <c r="P733" s="50">
        <f>VLOOKUP($A733,'[1]ma sp 02'!$A$5:$BD$1101,P$1,0)</f>
        <v>0</v>
      </c>
      <c r="Q733" s="50">
        <f>VLOOKUP($A733,'[1]ma sp 02'!$A$5:$BD$1101,Q$1,0)</f>
        <v>0</v>
      </c>
      <c r="R733" s="50">
        <f>VLOOKUP($A733,'[1]ma sp 02'!$A$5:$BD$1101,R$1,0)</f>
        <v>0.06</v>
      </c>
      <c r="S733" s="50">
        <f>VLOOKUP($A733,'[1]ma sp 02'!$A$5:$BD$1101,S$1,0)</f>
        <v>0</v>
      </c>
      <c r="T733" s="50">
        <f>VLOOKUP($A733,'[1]ma sp 02'!$A$5:$BD$1101,T$1,0)</f>
        <v>0</v>
      </c>
      <c r="U733" s="50">
        <f>VLOOKUP($A733,'[1]ma sp 02'!$A$5:$BD$1101,U$1,0)</f>
        <v>0</v>
      </c>
      <c r="V733" s="50">
        <f>VLOOKUP($A733,'[1]ma sp 02'!$A$5:$BD$1101,V$1,0)</f>
        <v>0</v>
      </c>
      <c r="W733" s="50">
        <f>VLOOKUP($A733,'[1]ma sp 02'!$A$5:$BD$1101,W$1,0)</f>
        <v>0.11</v>
      </c>
      <c r="X733" s="50"/>
      <c r="Y733" s="62"/>
      <c r="Z733" s="62"/>
      <c r="AA733" s="62"/>
      <c r="AB733" s="62"/>
      <c r="AC733" s="62"/>
      <c r="AD733" s="62"/>
      <c r="AE733" s="62" t="s">
        <v>2354</v>
      </c>
      <c r="AF733" s="62"/>
      <c r="AG733" s="53">
        <f>(0.015*1.15+0.065*0.925)*0.82</f>
        <v>6.344749999999999E-2</v>
      </c>
      <c r="AH733" s="54">
        <f>(2.5/0.75/2)*0.81</f>
        <v>1.35</v>
      </c>
      <c r="AI733" s="54"/>
      <c r="AJ733" s="62">
        <v>9530</v>
      </c>
      <c r="AK733" s="62"/>
      <c r="AL733" s="62">
        <v>2.5000000000000001E-3</v>
      </c>
      <c r="AM733" s="61" t="s">
        <v>74</v>
      </c>
      <c r="AN733" s="62">
        <v>270</v>
      </c>
      <c r="AO733" s="61" t="s">
        <v>2355</v>
      </c>
      <c r="AP733" s="59" t="str">
        <f>IFERROR(VLOOKUP($A733,[2]Mssp!$A$5:$BE$1463,AP$4+1,0),0)</f>
        <v>20070965-1</v>
      </c>
      <c r="AQ733" s="59">
        <f>IFERROR(VLOOKUP($A733,[2]Mssp!$A$5:$BE$1463,AQ$4+1,0),0)</f>
        <v>0</v>
      </c>
      <c r="AR733" s="59">
        <f>IFERROR(VLOOKUP($A733,[2]Mssp!$A$5:$BE$1463,AR$4+1,0),0)</f>
        <v>0</v>
      </c>
      <c r="AS733" s="59">
        <f>IFERROR(VLOOKUP($A733,[2]Mssp!$A$5:$BE$1463,AS$4+1,0),0)</f>
        <v>0</v>
      </c>
      <c r="AT733" s="59">
        <f>IFERROR(VLOOKUP($A733,[2]Mssp!$A$5:$BE$1463,AT$4+1,0),0)</f>
        <v>0</v>
      </c>
      <c r="AU733" s="59">
        <f>IFERROR(VLOOKUP($A733,[2]Mssp!$A$5:$BE$1463,AU$4+1,0),0)</f>
        <v>0</v>
      </c>
      <c r="AV733" s="59">
        <f>IFERROR(VLOOKUP($A733,[2]Mssp!$A$5:$BE$1463,AV$4+1,0),0)</f>
        <v>0</v>
      </c>
      <c r="AW733" s="59">
        <f>IFERROR(VLOOKUP($A733,[2]Mssp!$A$5:$BE$1463,AW$4+1,0),0)</f>
        <v>0</v>
      </c>
      <c r="AX733" s="59">
        <f>IFERROR(VLOOKUP($A733,[2]Mssp!$A$5:$BE$1463,AX$4+1,0),0)</f>
        <v>0</v>
      </c>
      <c r="AY733" s="59" t="str">
        <f>IFERROR(VLOOKUP($A733,[2]Mssp!$A$5:$BE$1463,AY$4+2,0),0)</f>
        <v>540x870</v>
      </c>
      <c r="AZ733" s="59" t="str">
        <f>IFERROR(VLOOKUP($A733,[2]Mssp!$A$5:$BE$1463,AZ$4+2,0),0)</f>
        <v>S3</v>
      </c>
      <c r="BA733" s="141"/>
      <c r="BB733" s="61" t="s">
        <v>1894</v>
      </c>
      <c r="BC733" s="165"/>
      <c r="BD733" s="166"/>
      <c r="BE733" s="167"/>
      <c r="BF733" s="168"/>
      <c r="BG733" s="167"/>
      <c r="BH733" s="168"/>
      <c r="BI733" s="169"/>
      <c r="BJ733" s="168"/>
      <c r="BK733" s="134"/>
      <c r="BL733" s="168"/>
      <c r="BM733" s="167"/>
      <c r="BN733" s="168"/>
      <c r="BO733" s="62"/>
      <c r="BP733" s="168"/>
      <c r="BQ733" s="168"/>
      <c r="BR733" s="168"/>
      <c r="BS733" s="135"/>
      <c r="BT733" s="176"/>
      <c r="BU733" s="167"/>
      <c r="BV733" s="168"/>
      <c r="BW733" s="167"/>
      <c r="BX733" s="168"/>
      <c r="BY733" s="167"/>
      <c r="BZ733" s="176"/>
      <c r="CA733" s="167"/>
      <c r="CB733" s="168"/>
      <c r="CC733" s="167"/>
      <c r="CD733" s="168"/>
      <c r="CE733" s="62"/>
      <c r="CF733" s="62"/>
      <c r="CG733" s="9"/>
      <c r="CH733" s="9"/>
      <c r="CI733" s="9"/>
      <c r="CJ733" s="9"/>
      <c r="CK733" s="9"/>
      <c r="CL733" s="9"/>
      <c r="CM733" s="9"/>
      <c r="CN733" s="9"/>
      <c r="CO733" s="9"/>
      <c r="CP733" s="9"/>
    </row>
    <row r="734" spans="1:94" ht="30" x14ac:dyDescent="0.25">
      <c r="A734" s="127" t="s">
        <v>2356</v>
      </c>
      <c r="B734" s="51" t="s">
        <v>2357</v>
      </c>
      <c r="C734" s="62"/>
      <c r="D734" s="84">
        <v>1</v>
      </c>
      <c r="E734" s="62" t="s">
        <v>2358</v>
      </c>
      <c r="F734" s="62">
        <v>2</v>
      </c>
      <c r="G734" s="62"/>
      <c r="H734" s="50">
        <f>VLOOKUP($A734,'[1]ma sp 02'!$A$5:$BD$1101,H$1,0)</f>
        <v>0</v>
      </c>
      <c r="I734" s="50">
        <f>VLOOKUP($A734,'[1]ma sp 02'!$A$5:$BD$1101,I$1,0)</f>
        <v>0</v>
      </c>
      <c r="J734" s="50">
        <f>VLOOKUP($A734,'[1]ma sp 02'!$A$5:$BD$1101,J$1,0)</f>
        <v>0</v>
      </c>
      <c r="K734" s="50">
        <f>VLOOKUP($A734,'[1]ma sp 02'!$A$5:$BD$1101,K$1,0)</f>
        <v>1.2</v>
      </c>
      <c r="L734" s="50">
        <f>VLOOKUP($A734,'[1]ma sp 02'!$A$5:$BD$1101,L$1,0)</f>
        <v>4.45</v>
      </c>
      <c r="M734" s="50">
        <f>VLOOKUP($A734,'[1]ma sp 02'!$A$5:$BD$1101,M$1,0)</f>
        <v>0</v>
      </c>
      <c r="N734" s="50">
        <f>VLOOKUP($A734,'[1]ma sp 02'!$A$5:$BD$1101,N$1,0)</f>
        <v>0</v>
      </c>
      <c r="O734" s="50">
        <f>VLOOKUP($A734,'[1]ma sp 02'!$A$5:$BD$1101,O$1,0)</f>
        <v>0</v>
      </c>
      <c r="P734" s="50">
        <f>VLOOKUP($A734,'[1]ma sp 02'!$A$5:$BD$1101,P$1,0)</f>
        <v>0.01</v>
      </c>
      <c r="Q734" s="50">
        <f>VLOOKUP($A734,'[1]ma sp 02'!$A$5:$BD$1101,Q$1,0)</f>
        <v>0.56999999999999995</v>
      </c>
      <c r="R734" s="50">
        <f>VLOOKUP($A734,'[1]ma sp 02'!$A$5:$BD$1101,R$1,0)</f>
        <v>0</v>
      </c>
      <c r="S734" s="50">
        <f>VLOOKUP($A734,'[1]ma sp 02'!$A$5:$BD$1101,S$1,0)</f>
        <v>0</v>
      </c>
      <c r="T734" s="50">
        <f>VLOOKUP($A734,'[1]ma sp 02'!$A$5:$BD$1101,T$1,0)</f>
        <v>0.1</v>
      </c>
      <c r="U734" s="50">
        <f>VLOOKUP($A734,'[1]ma sp 02'!$A$5:$BD$1101,U$1,0)</f>
        <v>0</v>
      </c>
      <c r="V734" s="50">
        <f>VLOOKUP($A734,'[1]ma sp 02'!$A$5:$BD$1101,V$1,0)</f>
        <v>0</v>
      </c>
      <c r="W734" s="50">
        <f>VLOOKUP($A734,'[1]ma sp 02'!$A$5:$BD$1101,W$1,0)</f>
        <v>0</v>
      </c>
      <c r="X734" s="50"/>
      <c r="Y734" s="62"/>
      <c r="Z734" s="62"/>
      <c r="AA734" s="62"/>
      <c r="AB734" s="62"/>
      <c r="AC734" s="62"/>
      <c r="AD734" s="62"/>
      <c r="AE734" s="62" t="s">
        <v>2358</v>
      </c>
      <c r="AF734" s="62"/>
      <c r="AG734" s="53">
        <f>(0.03*0.925+0.03*0.925)*1.28</f>
        <v>7.1040000000000006E-2</v>
      </c>
      <c r="AH734" s="54">
        <f>(2.3/0.75/2)*1.28</f>
        <v>1.9626666666666666</v>
      </c>
      <c r="AI734" s="54"/>
      <c r="AJ734" s="62">
        <v>9530</v>
      </c>
      <c r="AK734" s="62"/>
      <c r="AL734" s="62">
        <v>2.3E-3</v>
      </c>
      <c r="AM734" s="61" t="s">
        <v>1489</v>
      </c>
      <c r="AN734" s="62"/>
      <c r="AO734" s="61" t="s">
        <v>2150</v>
      </c>
      <c r="AP734" s="59" t="str">
        <f>IFERROR(VLOOKUP($A734,[2]Mssp!$A$5:$BE$1463,AP$4+1,0),0)</f>
        <v>19031361-0</v>
      </c>
      <c r="AQ734" s="59" t="str">
        <f>IFERROR(VLOOKUP($A734,[2]Mssp!$A$5:$BE$1463,AQ$4+1,0),0)</f>
        <v>19031159-1</v>
      </c>
      <c r="AR734" s="59">
        <f>IFERROR(VLOOKUP($A734,[2]Mssp!$A$5:$BE$1463,AR$4+1,0),0)</f>
        <v>0</v>
      </c>
      <c r="AS734" s="59">
        <f>IFERROR(VLOOKUP($A734,[2]Mssp!$A$5:$BE$1463,AS$4+1,0),0)</f>
        <v>0</v>
      </c>
      <c r="AT734" s="59">
        <f>IFERROR(VLOOKUP($A734,[2]Mssp!$A$5:$BE$1463,AT$4+1,0),0)</f>
        <v>0</v>
      </c>
      <c r="AU734" s="59">
        <f>IFERROR(VLOOKUP($A734,[2]Mssp!$A$5:$BE$1463,AU$4+1,0),0)</f>
        <v>0</v>
      </c>
      <c r="AV734" s="59">
        <f>IFERROR(VLOOKUP($A734,[2]Mssp!$A$5:$BE$1463,AV$4+1,0),0)</f>
        <v>0</v>
      </c>
      <c r="AW734" s="59">
        <f>IFERROR(VLOOKUP($A734,[2]Mssp!$A$5:$BE$1463,AW$4+1,0),0)</f>
        <v>0</v>
      </c>
      <c r="AX734" s="59">
        <f>IFERROR(VLOOKUP($A734,[2]Mssp!$A$5:$BE$1463,AX$4+1,0),0)</f>
        <v>0</v>
      </c>
      <c r="AY734" s="59" t="str">
        <f>IFERROR(VLOOKUP($A734,[2]Mssp!$A$5:$BE$1463,AY$4+2,0),0)</f>
        <v>500x1320</v>
      </c>
      <c r="AZ734" s="59">
        <f>IFERROR(VLOOKUP($A734,[2]Mssp!$A$5:$BE$1463,AZ$4+2,0),0)</f>
        <v>0</v>
      </c>
      <c r="BA734" s="141" t="s">
        <v>2359</v>
      </c>
      <c r="BB734" s="61" t="s">
        <v>952</v>
      </c>
      <c r="BC734" s="165"/>
      <c r="BD734" s="166"/>
      <c r="BE734" s="167"/>
      <c r="BF734" s="168"/>
      <c r="BG734" s="167"/>
      <c r="BH734" s="168"/>
      <c r="BI734" s="169"/>
      <c r="BJ734" s="168"/>
      <c r="BK734" s="134"/>
      <c r="BL734" s="168"/>
      <c r="BM734" s="167"/>
      <c r="BN734" s="168"/>
      <c r="BO734" s="62"/>
      <c r="BP734" s="168"/>
      <c r="BQ734" s="168"/>
      <c r="BR734" s="168"/>
      <c r="BS734" s="135"/>
      <c r="BT734" s="176"/>
      <c r="BU734" s="167"/>
      <c r="BV734" s="168"/>
      <c r="BW734" s="167"/>
      <c r="BX734" s="168"/>
      <c r="BY734" s="167"/>
      <c r="BZ734" s="176"/>
      <c r="CA734" s="167"/>
      <c r="CB734" s="168"/>
      <c r="CC734" s="167"/>
      <c r="CD734" s="168"/>
      <c r="CE734" s="62"/>
      <c r="CF734" s="62"/>
      <c r="CG734" s="9"/>
      <c r="CH734" s="9"/>
      <c r="CI734" s="9"/>
      <c r="CJ734" s="9"/>
      <c r="CK734" s="9"/>
      <c r="CL734" s="9"/>
      <c r="CM734" s="9"/>
      <c r="CN734" s="9"/>
      <c r="CO734" s="9"/>
      <c r="CP734" s="9"/>
    </row>
    <row r="735" spans="1:94" ht="30" x14ac:dyDescent="0.25">
      <c r="A735" s="127" t="s">
        <v>2360</v>
      </c>
      <c r="B735" s="51" t="s">
        <v>2361</v>
      </c>
      <c r="C735" s="62"/>
      <c r="D735" s="84">
        <v>3</v>
      </c>
      <c r="E735" s="62" t="s">
        <v>113</v>
      </c>
      <c r="F735" s="62">
        <v>5</v>
      </c>
      <c r="G735" s="62" t="s">
        <v>530</v>
      </c>
      <c r="H735" s="50">
        <f>VLOOKUP($A735,'[1]ma sp 02'!$A$5:$BD$1101,H$1,0)</f>
        <v>0.11</v>
      </c>
      <c r="I735" s="50">
        <f>VLOOKUP($A735,'[1]ma sp 02'!$A$5:$BD$1101,I$1,0)</f>
        <v>1.9059999999999999</v>
      </c>
      <c r="J735" s="50">
        <f>VLOOKUP($A735,'[1]ma sp 02'!$A$5:$BD$1101,J$1,0)</f>
        <v>0.34</v>
      </c>
      <c r="K735" s="50">
        <f>VLOOKUP($A735,'[1]ma sp 02'!$A$5:$BD$1101,K$1,0)</f>
        <v>0</v>
      </c>
      <c r="L735" s="50">
        <f>VLOOKUP($A735,'[1]ma sp 02'!$A$5:$BD$1101,L$1,0)</f>
        <v>0.4</v>
      </c>
      <c r="M735" s="50">
        <f>VLOOKUP($A735,'[1]ma sp 02'!$A$5:$BD$1101,M$1,0)</f>
        <v>0.92400000000000004</v>
      </c>
      <c r="N735" s="50">
        <f>VLOOKUP($A735,'[1]ma sp 02'!$A$5:$BD$1101,N$1,0)</f>
        <v>0</v>
      </c>
      <c r="O735" s="50">
        <f>VLOOKUP($A735,'[1]ma sp 02'!$A$5:$BD$1101,O$1,0)</f>
        <v>0</v>
      </c>
      <c r="P735" s="50">
        <f>VLOOKUP($A735,'[1]ma sp 02'!$A$5:$BD$1101,P$1,0)</f>
        <v>0</v>
      </c>
      <c r="Q735" s="50">
        <f>VLOOKUP($A735,'[1]ma sp 02'!$A$5:$BD$1101,Q$1,0)</f>
        <v>0</v>
      </c>
      <c r="R735" s="50">
        <f>VLOOKUP($A735,'[1]ma sp 02'!$A$5:$BD$1101,R$1,0)</f>
        <v>0</v>
      </c>
      <c r="S735" s="50">
        <f>VLOOKUP($A735,'[1]ma sp 02'!$A$5:$BD$1101,S$1,0)</f>
        <v>0</v>
      </c>
      <c r="T735" s="50">
        <f>VLOOKUP($A735,'[1]ma sp 02'!$A$5:$BD$1101,T$1,0)</f>
        <v>0</v>
      </c>
      <c r="U735" s="50">
        <f>VLOOKUP($A735,'[1]ma sp 02'!$A$5:$BD$1101,U$1,0)</f>
        <v>0</v>
      </c>
      <c r="V735" s="50">
        <f>VLOOKUP($A735,'[1]ma sp 02'!$A$5:$BD$1101,V$1,0)</f>
        <v>0</v>
      </c>
      <c r="W735" s="50">
        <f>VLOOKUP($A735,'[1]ma sp 02'!$A$5:$BD$1101,W$1,0)</f>
        <v>0</v>
      </c>
      <c r="X735" s="50"/>
      <c r="Y735" s="62"/>
      <c r="Z735" s="62"/>
      <c r="AA735" s="62"/>
      <c r="AB735" s="62"/>
      <c r="AC735" s="62"/>
      <c r="AD735" s="62"/>
      <c r="AE735" s="62" t="s">
        <v>115</v>
      </c>
      <c r="AF735" s="62" t="s">
        <v>2296</v>
      </c>
      <c r="AG735" s="53">
        <f>(0.012*1.4+0.012*1.4+0.085*0.925)*0.74</f>
        <v>8.3046500000000009E-2</v>
      </c>
      <c r="AH735" s="54">
        <f>(2.3/0.75/2)*0.73</f>
        <v>1.1193333333333333</v>
      </c>
      <c r="AI735" s="54">
        <f>(2.3/0.75/2)*0.73</f>
        <v>1.1193333333333333</v>
      </c>
      <c r="AJ735" s="62">
        <v>9530</v>
      </c>
      <c r="AK735" s="62">
        <v>9530</v>
      </c>
      <c r="AL735" s="62" t="s">
        <v>1949</v>
      </c>
      <c r="AM735" s="61" t="s">
        <v>1489</v>
      </c>
      <c r="AN735" s="62">
        <v>170</v>
      </c>
      <c r="AO735" s="61" t="s">
        <v>2362</v>
      </c>
      <c r="AP735" s="59" t="str">
        <f>IFERROR(VLOOKUP($A735,[2]Mssp!$A$5:$BE$1463,AP$4+1,0),0)</f>
        <v>1908564-1</v>
      </c>
      <c r="AQ735" s="59" t="str">
        <f>IFERROR(VLOOKUP($A735,[2]Mssp!$A$5:$BE$1463,AQ$4+1,0),0)</f>
        <v>1908564-2</v>
      </c>
      <c r="AR735" s="59" t="str">
        <f>IFERROR(VLOOKUP($A735,[2]Mssp!$A$5:$BE$1463,AR$4+1,0),0)</f>
        <v>1908564-3</v>
      </c>
      <c r="AS735" s="59" t="str">
        <f>IFERROR(VLOOKUP($A735,[2]Mssp!$A$5:$BE$1463,AS$4+1,0),0)</f>
        <v>1908564-4</v>
      </c>
      <c r="AT735" s="59" t="str">
        <f>IFERROR(VLOOKUP($A735,[2]Mssp!$A$5:$BE$1463,AT$4+1,0),0)</f>
        <v>1905368-5</v>
      </c>
      <c r="AU735" s="59">
        <f>IFERROR(VLOOKUP($A735,[2]Mssp!$A$5:$BE$1463,AU$4+1,0),0)</f>
        <v>0</v>
      </c>
      <c r="AV735" s="59">
        <f>IFERROR(VLOOKUP($A735,[2]Mssp!$A$5:$BE$1463,AV$4+1,0),0)</f>
        <v>0</v>
      </c>
      <c r="AW735" s="59">
        <f>IFERROR(VLOOKUP($A735,[2]Mssp!$A$5:$BE$1463,AW$4+1,0),0)</f>
        <v>0</v>
      </c>
      <c r="AX735" s="59">
        <f>IFERROR(VLOOKUP($A735,[2]Mssp!$A$5:$BE$1463,AX$4+1,0),0)</f>
        <v>0</v>
      </c>
      <c r="AY735" s="59" t="str">
        <f>IFERROR(VLOOKUP($A735,[2]Mssp!$A$5:$BE$1463,AY$4+2,0),0)</f>
        <v>510x800</v>
      </c>
      <c r="AZ735" s="59" t="str">
        <f>IFERROR(VLOOKUP($A735,[2]Mssp!$A$5:$BE$1463,AZ$4+2,0),0)</f>
        <v>S3</v>
      </c>
      <c r="BA735" s="141" t="s">
        <v>2297</v>
      </c>
      <c r="BB735" s="61" t="s">
        <v>952</v>
      </c>
      <c r="BC735" s="165"/>
      <c r="BD735" s="166"/>
      <c r="BE735" s="167"/>
      <c r="BF735" s="168"/>
      <c r="BG735" s="167"/>
      <c r="BH735" s="168"/>
      <c r="BI735" s="169"/>
      <c r="BJ735" s="168"/>
      <c r="BK735" s="134"/>
      <c r="BL735" s="168"/>
      <c r="BM735" s="167"/>
      <c r="BN735" s="168"/>
      <c r="BO735" s="62"/>
      <c r="BP735" s="168"/>
      <c r="BQ735" s="168"/>
      <c r="BR735" s="168"/>
      <c r="BS735" s="135"/>
      <c r="BT735" s="176"/>
      <c r="BU735" s="167"/>
      <c r="BV735" s="168"/>
      <c r="BW735" s="167"/>
      <c r="BX735" s="168"/>
      <c r="BY735" s="167"/>
      <c r="BZ735" s="176"/>
      <c r="CA735" s="167"/>
      <c r="CB735" s="168"/>
      <c r="CC735" s="167"/>
      <c r="CD735" s="168"/>
      <c r="CE735" s="62"/>
      <c r="CF735" s="62"/>
      <c r="CG735" s="9"/>
      <c r="CH735" s="9"/>
      <c r="CI735" s="9"/>
      <c r="CJ735" s="9"/>
      <c r="CK735" s="9"/>
      <c r="CL735" s="9"/>
      <c r="CM735" s="9"/>
      <c r="CN735" s="9"/>
      <c r="CO735" s="9"/>
      <c r="CP735" s="9"/>
    </row>
    <row r="736" spans="1:94" ht="30" x14ac:dyDescent="0.25">
      <c r="A736" s="127" t="s">
        <v>2363</v>
      </c>
      <c r="B736" s="51" t="s">
        <v>2364</v>
      </c>
      <c r="C736" s="62"/>
      <c r="D736" s="84">
        <v>3</v>
      </c>
      <c r="E736" s="62" t="s">
        <v>437</v>
      </c>
      <c r="F736" s="62">
        <v>7</v>
      </c>
      <c r="G736" s="62" t="s">
        <v>530</v>
      </c>
      <c r="H736" s="50">
        <f>VLOOKUP($A736,'[1]ma sp 02'!$A$5:$BD$1101,H$1,0)</f>
        <v>0.4</v>
      </c>
      <c r="I736" s="50">
        <f>VLOOKUP($A736,'[1]ma sp 02'!$A$5:$BD$1101,I$1,0)</f>
        <v>3.79</v>
      </c>
      <c r="J736" s="50">
        <f>VLOOKUP($A736,'[1]ma sp 02'!$A$5:$BD$1101,J$1,0)</f>
        <v>0.17</v>
      </c>
      <c r="K736" s="50">
        <f>VLOOKUP($A736,'[1]ma sp 02'!$A$5:$BD$1101,K$1,0)</f>
        <v>0.51</v>
      </c>
      <c r="L736" s="50">
        <f>VLOOKUP($A736,'[1]ma sp 02'!$A$5:$BD$1101,L$1,0)</f>
        <v>1.43</v>
      </c>
      <c r="M736" s="50">
        <f>VLOOKUP($A736,'[1]ma sp 02'!$A$5:$BD$1101,M$1,0)</f>
        <v>2.1800000000000002</v>
      </c>
      <c r="N736" s="50">
        <f>VLOOKUP($A736,'[1]ma sp 02'!$A$5:$BD$1101,N$1,0)</f>
        <v>0</v>
      </c>
      <c r="O736" s="50">
        <f>VLOOKUP($A736,'[1]ma sp 02'!$A$5:$BD$1101,O$1,0)</f>
        <v>0</v>
      </c>
      <c r="P736" s="50">
        <f>VLOOKUP($A736,'[1]ma sp 02'!$A$5:$BD$1101,P$1,0)</f>
        <v>0.51</v>
      </c>
      <c r="Q736" s="50">
        <f>VLOOKUP($A736,'[1]ma sp 02'!$A$5:$BD$1101,Q$1,0)</f>
        <v>0</v>
      </c>
      <c r="R736" s="50">
        <f>VLOOKUP($A736,'[1]ma sp 02'!$A$5:$BD$1101,R$1,0)</f>
        <v>0.23</v>
      </c>
      <c r="S736" s="50">
        <f>VLOOKUP($A736,'[1]ma sp 02'!$A$5:$BD$1101,S$1,0)</f>
        <v>0</v>
      </c>
      <c r="T736" s="50">
        <f>VLOOKUP($A736,'[1]ma sp 02'!$A$5:$BD$1101,T$1,0)</f>
        <v>0</v>
      </c>
      <c r="U736" s="50">
        <f>VLOOKUP($A736,'[1]ma sp 02'!$A$5:$BD$1101,U$1,0)</f>
        <v>0</v>
      </c>
      <c r="V736" s="50">
        <f>VLOOKUP($A736,'[1]ma sp 02'!$A$5:$BD$1101,V$1,0)</f>
        <v>0</v>
      </c>
      <c r="W736" s="50">
        <f>VLOOKUP($A736,'[1]ma sp 02'!$A$5:$BD$1101,W$1,0)</f>
        <v>0</v>
      </c>
      <c r="X736" s="50"/>
      <c r="Y736" s="62"/>
      <c r="Z736" s="62"/>
      <c r="AA736" s="62"/>
      <c r="AB736" s="62"/>
      <c r="AC736" s="62"/>
      <c r="AD736" s="62"/>
      <c r="AE736" s="62" t="s">
        <v>2365</v>
      </c>
      <c r="AF736" s="62" t="s">
        <v>2366</v>
      </c>
      <c r="AG736" s="53">
        <f>(0.012*1.4+0.006*2.71+0.12*0.925)*0.68</f>
        <v>9.7960800000000001E-2</v>
      </c>
      <c r="AH736" s="54">
        <f>(2.3/0.75/2)*0.67</f>
        <v>1.0273333333333332</v>
      </c>
      <c r="AI736" s="54">
        <f>(3/0.75/2)*0.67</f>
        <v>1.34</v>
      </c>
      <c r="AJ736" s="62">
        <v>9530</v>
      </c>
      <c r="AK736" s="62">
        <v>9530</v>
      </c>
      <c r="AL736" s="62" t="s">
        <v>2367</v>
      </c>
      <c r="AM736" s="61" t="s">
        <v>74</v>
      </c>
      <c r="AN736" s="62">
        <v>160</v>
      </c>
      <c r="AO736" s="61" t="s">
        <v>612</v>
      </c>
      <c r="AP736" s="59" t="str">
        <f>IFERROR(VLOOKUP($A736,[2]Mssp!$A$5:$BE$1463,AP$4+1,0),0)</f>
        <v>X109473-1</v>
      </c>
      <c r="AQ736" s="59" t="str">
        <f>IFERROR(VLOOKUP($A736,[2]Mssp!$A$5:$BE$1463,AQ$4+1,0),0)</f>
        <v>X109473-2</v>
      </c>
      <c r="AR736" s="59" t="str">
        <f>IFERROR(VLOOKUP($A736,[2]Mssp!$A$5:$BE$1463,AR$4+1,0),0)</f>
        <v>X109473-3</v>
      </c>
      <c r="AS736" s="59" t="str">
        <f>IFERROR(VLOOKUP($A736,[2]Mssp!$A$5:$BE$1463,AS$4+1,0),0)</f>
        <v>X109473-4</v>
      </c>
      <c r="AT736" s="59" t="str">
        <f>IFERROR(VLOOKUP($A736,[2]Mssp!$A$5:$BE$1463,AT$4+1,0),0)</f>
        <v>X109473-5</v>
      </c>
      <c r="AU736" s="59" t="str">
        <f>IFERROR(VLOOKUP($A736,[2]Mssp!$A$5:$BE$1463,AU$4+1,0),0)</f>
        <v>X109473-6</v>
      </c>
      <c r="AV736" s="59" t="str">
        <f>IFERROR(VLOOKUP($A736,[2]Mssp!$A$5:$BE$1463,AV$4+1,0),0)</f>
        <v>X109473-7</v>
      </c>
      <c r="AW736" s="59">
        <f>IFERROR(VLOOKUP($A736,[2]Mssp!$A$5:$BE$1463,AW$4+1,0),0)</f>
        <v>0</v>
      </c>
      <c r="AX736" s="59">
        <f>IFERROR(VLOOKUP($A736,[2]Mssp!$A$5:$BE$1463,AX$4+1,0),0)</f>
        <v>0</v>
      </c>
      <c r="AY736" s="59" t="str">
        <f>IFERROR(VLOOKUP($A736,[2]Mssp!$A$5:$BE$1463,AY$4+2,0),0)</f>
        <v>480x870</v>
      </c>
      <c r="AZ736" s="59" t="str">
        <f>IFERROR(VLOOKUP($A736,[2]Mssp!$A$5:$BE$1463,AZ$4+2,0),0)</f>
        <v>D4</v>
      </c>
      <c r="BA736" s="141"/>
      <c r="BB736" s="61"/>
      <c r="BC736" s="165"/>
      <c r="BD736" s="166"/>
      <c r="BE736" s="167"/>
      <c r="BF736" s="168"/>
      <c r="BG736" s="167"/>
      <c r="BH736" s="168"/>
      <c r="BI736" s="169"/>
      <c r="BJ736" s="168"/>
      <c r="BK736" s="134"/>
      <c r="BL736" s="168"/>
      <c r="BM736" s="167"/>
      <c r="BN736" s="168"/>
      <c r="BO736" s="62"/>
      <c r="BP736" s="168"/>
      <c r="BQ736" s="168"/>
      <c r="BR736" s="168"/>
      <c r="BS736" s="135"/>
      <c r="BT736" s="176"/>
      <c r="BU736" s="167"/>
      <c r="BV736" s="168"/>
      <c r="BW736" s="167"/>
      <c r="BX736" s="168"/>
      <c r="BY736" s="167"/>
      <c r="BZ736" s="176"/>
      <c r="CA736" s="167"/>
      <c r="CB736" s="168"/>
      <c r="CC736" s="167"/>
      <c r="CD736" s="168"/>
      <c r="CE736" s="62"/>
      <c r="CF736" s="62"/>
      <c r="CG736" s="9"/>
      <c r="CH736" s="9"/>
      <c r="CI736" s="9"/>
      <c r="CJ736" s="9"/>
      <c r="CK736" s="9"/>
      <c r="CL736" s="9"/>
      <c r="CM736" s="9"/>
      <c r="CN736" s="9"/>
      <c r="CO736" s="9"/>
      <c r="CP736" s="9"/>
    </row>
    <row r="737" spans="1:94" ht="45" x14ac:dyDescent="0.25">
      <c r="A737" s="127" t="s">
        <v>2368</v>
      </c>
      <c r="B737" s="51" t="s">
        <v>2369</v>
      </c>
      <c r="C737" s="62"/>
      <c r="D737" s="84">
        <v>4</v>
      </c>
      <c r="E737" s="62" t="s">
        <v>2007</v>
      </c>
      <c r="F737" s="62">
        <v>4</v>
      </c>
      <c r="G737" s="62" t="s">
        <v>184</v>
      </c>
      <c r="H737" s="50">
        <f>VLOOKUP($A737,'[1]ma sp 02'!$A$5:$BD$1101,H$1,0)</f>
        <v>0.32</v>
      </c>
      <c r="I737" s="50">
        <f>VLOOKUP($A737,'[1]ma sp 02'!$A$5:$BD$1101,I$1,0)</f>
        <v>4.09</v>
      </c>
      <c r="J737" s="50">
        <f>VLOOKUP($A737,'[1]ma sp 02'!$A$5:$BD$1101,J$1,0)</f>
        <v>0</v>
      </c>
      <c r="K737" s="50">
        <f>VLOOKUP($A737,'[1]ma sp 02'!$A$5:$BD$1101,K$1,0)</f>
        <v>0</v>
      </c>
      <c r="L737" s="50">
        <f>VLOOKUP($A737,'[1]ma sp 02'!$A$5:$BD$1101,L$1,0)</f>
        <v>0.43</v>
      </c>
      <c r="M737" s="50">
        <f>VLOOKUP($A737,'[1]ma sp 02'!$A$5:$BD$1101,M$1,0)</f>
        <v>0</v>
      </c>
      <c r="N737" s="50">
        <f>VLOOKUP($A737,'[1]ma sp 02'!$A$5:$BD$1101,N$1,0)</f>
        <v>0</v>
      </c>
      <c r="O737" s="50">
        <f>VLOOKUP($A737,'[1]ma sp 02'!$A$5:$BD$1101,O$1,0)</f>
        <v>0</v>
      </c>
      <c r="P737" s="50">
        <f>VLOOKUP($A737,'[1]ma sp 02'!$A$5:$BD$1101,P$1,0)</f>
        <v>0.43</v>
      </c>
      <c r="Q737" s="50">
        <f>VLOOKUP($A737,'[1]ma sp 02'!$A$5:$BD$1101,Q$1,0)</f>
        <v>0</v>
      </c>
      <c r="R737" s="50">
        <f>VLOOKUP($A737,'[1]ma sp 02'!$A$5:$BD$1101,R$1,0)</f>
        <v>0.01</v>
      </c>
      <c r="S737" s="50">
        <f>VLOOKUP($A737,'[1]ma sp 02'!$A$5:$BD$1101,S$1,0)</f>
        <v>0</v>
      </c>
      <c r="T737" s="50">
        <f>VLOOKUP($A737,'[1]ma sp 02'!$A$5:$BD$1101,T$1,0)</f>
        <v>0</v>
      </c>
      <c r="U737" s="50">
        <f>VLOOKUP($A737,'[1]ma sp 02'!$A$5:$BD$1101,U$1,0)</f>
        <v>0</v>
      </c>
      <c r="V737" s="50">
        <f>VLOOKUP($A737,'[1]ma sp 02'!$A$5:$BD$1101,V$1,0)</f>
        <v>0</v>
      </c>
      <c r="W737" s="50">
        <f>VLOOKUP($A737,'[1]ma sp 02'!$A$5:$BD$1101,W$1,0)</f>
        <v>0</v>
      </c>
      <c r="X737" s="50"/>
      <c r="Y737" s="62"/>
      <c r="Z737" s="62"/>
      <c r="AA737" s="62"/>
      <c r="AB737" s="62"/>
      <c r="AC737" s="62"/>
      <c r="AD737" s="62"/>
      <c r="AE737" s="62" t="s">
        <v>1797</v>
      </c>
      <c r="AF737" s="62" t="s">
        <v>1322</v>
      </c>
      <c r="AG737" s="53">
        <f>(0.02*0.91+0.006*2.71+0.075*0.925)*0.8</f>
        <v>8.3068000000000017E-2</v>
      </c>
      <c r="AH737" s="54">
        <f>(2.3/0.75/2)*0.79</f>
        <v>1.2113333333333334</v>
      </c>
      <c r="AI737" s="54">
        <f>(2.3/0.75/2)*0.79</f>
        <v>1.2113333333333334</v>
      </c>
      <c r="AJ737" s="62">
        <v>9530</v>
      </c>
      <c r="AK737" s="62">
        <v>9530</v>
      </c>
      <c r="AL737" s="62" t="s">
        <v>1949</v>
      </c>
      <c r="AM737" s="61" t="s">
        <v>386</v>
      </c>
      <c r="AN737" s="62">
        <v>146</v>
      </c>
      <c r="AO737" s="61" t="s">
        <v>2370</v>
      </c>
      <c r="AP737" s="59">
        <f>IFERROR(VLOOKUP($A737,[2]Mssp!$A$5:$BE$1463,AP$4+1,0),0)</f>
        <v>0</v>
      </c>
      <c r="AQ737" s="59">
        <f>IFERROR(VLOOKUP($A737,[2]Mssp!$A$5:$BE$1463,AQ$4+1,0),0)</f>
        <v>0</v>
      </c>
      <c r="AR737" s="59">
        <f>IFERROR(VLOOKUP($A737,[2]Mssp!$A$5:$BE$1463,AR$4+1,0),0)</f>
        <v>0</v>
      </c>
      <c r="AS737" s="59">
        <f>IFERROR(VLOOKUP($A737,[2]Mssp!$A$5:$BE$1463,AS$4+1,0),0)</f>
        <v>0</v>
      </c>
      <c r="AT737" s="59">
        <f>IFERROR(VLOOKUP($A737,[2]Mssp!$A$5:$BE$1463,AT$4+1,0),0)</f>
        <v>0</v>
      </c>
      <c r="AU737" s="59">
        <f>IFERROR(VLOOKUP($A737,[2]Mssp!$A$5:$BE$1463,AU$4+1,0),0)</f>
        <v>0</v>
      </c>
      <c r="AV737" s="59">
        <f>IFERROR(VLOOKUP($A737,[2]Mssp!$A$5:$BE$1463,AV$4+1,0),0)</f>
        <v>0</v>
      </c>
      <c r="AW737" s="59">
        <f>IFERROR(VLOOKUP($A737,[2]Mssp!$A$5:$BE$1463,AW$4+1,0),0)</f>
        <v>0</v>
      </c>
      <c r="AX737" s="59">
        <f>IFERROR(VLOOKUP($A737,[2]Mssp!$A$5:$BE$1463,AX$4+1,0),0)</f>
        <v>0</v>
      </c>
      <c r="AY737" s="59">
        <f>IFERROR(VLOOKUP($A737,[2]Mssp!$A$5:$BE$1463,AY$4+2,0),0)</f>
        <v>0</v>
      </c>
      <c r="AZ737" s="59">
        <f>IFERROR(VLOOKUP($A737,[2]Mssp!$A$5:$BE$1463,AZ$4+2,0),0)</f>
        <v>0</v>
      </c>
      <c r="BA737" s="141"/>
      <c r="BB737" s="61" t="s">
        <v>1894</v>
      </c>
      <c r="BC737" s="165"/>
      <c r="BD737" s="166"/>
      <c r="BE737" s="167"/>
      <c r="BF737" s="168"/>
      <c r="BG737" s="167"/>
      <c r="BH737" s="168"/>
      <c r="BI737" s="169"/>
      <c r="BJ737" s="168"/>
      <c r="BK737" s="134"/>
      <c r="BL737" s="168"/>
      <c r="BM737" s="167"/>
      <c r="BN737" s="168"/>
      <c r="BO737" s="62"/>
      <c r="BP737" s="168"/>
      <c r="BQ737" s="168"/>
      <c r="BR737" s="168"/>
      <c r="BS737" s="135"/>
      <c r="BT737" s="176"/>
      <c r="BU737" s="167"/>
      <c r="BV737" s="168"/>
      <c r="BW737" s="167"/>
      <c r="BX737" s="168"/>
      <c r="BY737" s="167"/>
      <c r="BZ737" s="176"/>
      <c r="CA737" s="167"/>
      <c r="CB737" s="168"/>
      <c r="CC737" s="167"/>
      <c r="CD737" s="168"/>
      <c r="CE737" s="62"/>
      <c r="CF737" s="62"/>
      <c r="CG737" s="9"/>
      <c r="CH737" s="9"/>
      <c r="CI737" s="9"/>
      <c r="CJ737" s="9"/>
      <c r="CK737" s="9"/>
      <c r="CL737" s="9"/>
      <c r="CM737" s="9"/>
      <c r="CN737" s="9"/>
      <c r="CO737" s="9"/>
      <c r="CP737" s="9"/>
    </row>
    <row r="738" spans="1:94" ht="45" x14ac:dyDescent="0.25">
      <c r="A738" s="127" t="s">
        <v>2371</v>
      </c>
      <c r="B738" s="51" t="s">
        <v>2372</v>
      </c>
      <c r="C738" s="62"/>
      <c r="D738" s="57">
        <v>2</v>
      </c>
      <c r="E738" s="57" t="s">
        <v>1422</v>
      </c>
      <c r="F738" s="57">
        <v>7</v>
      </c>
      <c r="G738" s="50" t="s">
        <v>184</v>
      </c>
      <c r="H738" s="50">
        <f>VLOOKUP($A738,'[1]ma sp 02'!$A$5:$BD$1101,H$1,0)</f>
        <v>0</v>
      </c>
      <c r="I738" s="50">
        <f>VLOOKUP($A738,'[1]ma sp 02'!$A$5:$BD$1101,I$1,0)</f>
        <v>3.87</v>
      </c>
      <c r="J738" s="50">
        <f>VLOOKUP($A738,'[1]ma sp 02'!$A$5:$BD$1101,J$1,0)</f>
        <v>0.55000000000000004</v>
      </c>
      <c r="K738" s="50">
        <f>VLOOKUP($A738,'[1]ma sp 02'!$A$5:$BD$1101,K$1,0)</f>
        <v>0.01</v>
      </c>
      <c r="L738" s="50">
        <f>VLOOKUP($A738,'[1]ma sp 02'!$A$5:$BD$1101,L$1,0)</f>
        <v>3.18</v>
      </c>
      <c r="M738" s="50">
        <f>VLOOKUP($A738,'[1]ma sp 02'!$A$5:$BD$1101,M$1,0)</f>
        <v>0.83</v>
      </c>
      <c r="N738" s="50">
        <f>VLOOKUP($A738,'[1]ma sp 02'!$A$5:$BD$1101,N$1,0)</f>
        <v>0</v>
      </c>
      <c r="O738" s="50">
        <f>VLOOKUP($A738,'[1]ma sp 02'!$A$5:$BD$1101,O$1,0)</f>
        <v>0.83</v>
      </c>
      <c r="P738" s="50">
        <f>VLOOKUP($A738,'[1]ma sp 02'!$A$5:$BD$1101,P$1,0)</f>
        <v>0</v>
      </c>
      <c r="Q738" s="50">
        <f>VLOOKUP($A738,'[1]ma sp 02'!$A$5:$BD$1101,Q$1,0)</f>
        <v>0</v>
      </c>
      <c r="R738" s="50">
        <f>VLOOKUP($A738,'[1]ma sp 02'!$A$5:$BD$1101,R$1,0)</f>
        <v>0</v>
      </c>
      <c r="S738" s="50">
        <f>VLOOKUP($A738,'[1]ma sp 02'!$A$5:$BD$1101,S$1,0)</f>
        <v>0</v>
      </c>
      <c r="T738" s="50">
        <f>VLOOKUP($A738,'[1]ma sp 02'!$A$5:$BD$1101,T$1,0)</f>
        <v>0</v>
      </c>
      <c r="U738" s="50">
        <f>VLOOKUP($A738,'[1]ma sp 02'!$A$5:$BD$1101,U$1,0)</f>
        <v>0</v>
      </c>
      <c r="V738" s="50">
        <f>VLOOKUP($A738,'[1]ma sp 02'!$A$5:$BD$1101,V$1,0)</f>
        <v>0</v>
      </c>
      <c r="W738" s="50">
        <f>VLOOKUP($A738,'[1]ma sp 02'!$A$5:$BD$1101,W$1,0)</f>
        <v>0</v>
      </c>
      <c r="X738" s="50">
        <f>COUNTIF(H738:W738, "&gt;0")</f>
        <v>6</v>
      </c>
      <c r="Y738" s="62"/>
      <c r="Z738" s="62"/>
      <c r="AA738" s="62"/>
      <c r="AB738" s="62"/>
      <c r="AC738" s="62"/>
      <c r="AD738" s="62"/>
      <c r="AE738" s="62" t="s">
        <v>78</v>
      </c>
      <c r="AF738" s="62" t="s">
        <v>2373</v>
      </c>
      <c r="AG738" s="53">
        <f>(0.02*0.91+0.012*1.4+0.075*0.925)*0.62</f>
        <v>6.4712500000000006E-2</v>
      </c>
      <c r="AH738" s="54">
        <f>(2.3/0.75/2)*0.61</f>
        <v>0.93533333333333324</v>
      </c>
      <c r="AI738" s="54">
        <f>(3/0.75/2)*0.61</f>
        <v>1.22</v>
      </c>
      <c r="AJ738" s="62">
        <v>9530</v>
      </c>
      <c r="AK738" s="62">
        <v>9530</v>
      </c>
      <c r="AL738" s="62" t="s">
        <v>117</v>
      </c>
      <c r="AM738" s="61" t="s">
        <v>60</v>
      </c>
      <c r="AN738" s="62">
        <v>340</v>
      </c>
      <c r="AO738" s="61" t="s">
        <v>332</v>
      </c>
      <c r="AP738" s="59">
        <f>IFERROR(VLOOKUP($A738,[2]Mssp!$A$5:$BE$1463,AP$4+1,0),0)</f>
        <v>0</v>
      </c>
      <c r="AQ738" s="59">
        <f>IFERROR(VLOOKUP($A738,[2]Mssp!$A$5:$BE$1463,AQ$4+1,0),0)</f>
        <v>0</v>
      </c>
      <c r="AR738" s="59">
        <f>IFERROR(VLOOKUP($A738,[2]Mssp!$A$5:$BE$1463,AR$4+1,0),0)</f>
        <v>0</v>
      </c>
      <c r="AS738" s="59">
        <f>IFERROR(VLOOKUP($A738,[2]Mssp!$A$5:$BE$1463,AS$4+1,0),0)</f>
        <v>0</v>
      </c>
      <c r="AT738" s="59">
        <f>IFERROR(VLOOKUP($A738,[2]Mssp!$A$5:$BE$1463,AT$4+1,0),0)</f>
        <v>0</v>
      </c>
      <c r="AU738" s="59">
        <f>IFERROR(VLOOKUP($A738,[2]Mssp!$A$5:$BE$1463,AU$4+1,0),0)</f>
        <v>0</v>
      </c>
      <c r="AV738" s="59">
        <f>IFERROR(VLOOKUP($A738,[2]Mssp!$A$5:$BE$1463,AV$4+1,0),0)</f>
        <v>0</v>
      </c>
      <c r="AW738" s="59">
        <f>IFERROR(VLOOKUP($A738,[2]Mssp!$A$5:$BE$1463,AW$4+1,0),0)</f>
        <v>0</v>
      </c>
      <c r="AX738" s="59">
        <f>IFERROR(VLOOKUP($A738,[2]Mssp!$A$5:$BE$1463,AX$4+1,0),0)</f>
        <v>0</v>
      </c>
      <c r="AY738" s="59">
        <f>IFERROR(VLOOKUP($A738,[2]Mssp!$A$5:$BE$1463,AY$4+2,0),0)</f>
        <v>0</v>
      </c>
      <c r="AZ738" s="59" t="str">
        <f>IFERROR(VLOOKUP($A738,[2]Mssp!$A$5:$BE$1463,AZ$4+2,0),0)</f>
        <v>H1</v>
      </c>
      <c r="BA738" s="60">
        <v>2500</v>
      </c>
      <c r="BB738" s="61" t="s">
        <v>223</v>
      </c>
      <c r="BC738" s="165"/>
      <c r="BD738" s="166"/>
      <c r="BE738" s="167"/>
      <c r="BF738" s="168"/>
      <c r="BG738" s="167"/>
      <c r="BH738" s="168"/>
      <c r="BI738" s="169"/>
      <c r="BJ738" s="168"/>
      <c r="BK738" s="134"/>
      <c r="BL738" s="168"/>
      <c r="BM738" s="167"/>
      <c r="BN738" s="168"/>
      <c r="BO738" s="62"/>
      <c r="BP738" s="168"/>
      <c r="BQ738" s="168"/>
      <c r="BR738" s="168"/>
      <c r="BS738" s="135"/>
      <c r="BT738" s="176"/>
      <c r="BU738" s="167"/>
      <c r="BV738" s="168"/>
      <c r="BW738" s="167"/>
      <c r="BX738" s="168"/>
      <c r="BY738" s="167"/>
      <c r="BZ738" s="176"/>
      <c r="CA738" s="167"/>
      <c r="CB738" s="168"/>
      <c r="CC738" s="167"/>
      <c r="CD738" s="168"/>
      <c r="CE738" s="62"/>
      <c r="CF738" s="62"/>
      <c r="CG738" s="9"/>
      <c r="CH738" s="9"/>
      <c r="CI738" s="9"/>
      <c r="CJ738" s="9"/>
      <c r="CK738" s="9"/>
      <c r="CL738" s="9"/>
      <c r="CM738" s="9"/>
      <c r="CN738" s="9"/>
      <c r="CO738" s="9"/>
      <c r="CP738" s="9"/>
    </row>
    <row r="739" spans="1:94" ht="90" x14ac:dyDescent="0.25">
      <c r="A739" s="127" t="s">
        <v>2374</v>
      </c>
      <c r="B739" s="51" t="s">
        <v>2375</v>
      </c>
      <c r="C739" s="62"/>
      <c r="D739" s="58">
        <v>2</v>
      </c>
      <c r="E739" s="58" t="s">
        <v>649</v>
      </c>
      <c r="F739" s="58">
        <v>7</v>
      </c>
      <c r="G739" s="50" t="s">
        <v>56</v>
      </c>
      <c r="H739" s="50">
        <f>VLOOKUP($A739,'[1]ma sp 02'!$A$5:$BD$1101,H$1,0)</f>
        <v>0.11</v>
      </c>
      <c r="I739" s="50">
        <f>VLOOKUP($A739,'[1]ma sp 02'!$A$5:$BD$1101,I$1,0)</f>
        <v>3.79</v>
      </c>
      <c r="J739" s="50">
        <f>VLOOKUP($A739,'[1]ma sp 02'!$A$5:$BD$1101,J$1,0)</f>
        <v>1.78</v>
      </c>
      <c r="K739" s="50">
        <f>VLOOKUP($A739,'[1]ma sp 02'!$A$5:$BD$1101,K$1,0)</f>
        <v>0.55000000000000004</v>
      </c>
      <c r="L739" s="50">
        <f>VLOOKUP($A739,'[1]ma sp 02'!$A$5:$BD$1101,L$1,0)</f>
        <v>2.11</v>
      </c>
      <c r="M739" s="50">
        <f>VLOOKUP($A739,'[1]ma sp 02'!$A$5:$BD$1101,M$1,0)</f>
        <v>2.0699999999999998</v>
      </c>
      <c r="N739" s="50">
        <f>VLOOKUP($A739,'[1]ma sp 02'!$A$5:$BD$1101,N$1,0)</f>
        <v>0</v>
      </c>
      <c r="O739" s="50">
        <f>VLOOKUP($A739,'[1]ma sp 02'!$A$5:$BD$1101,O$1,0)</f>
        <v>0.11</v>
      </c>
      <c r="P739" s="50">
        <f>VLOOKUP($A739,'[1]ma sp 02'!$A$5:$BD$1101,P$1,0)</f>
        <v>0</v>
      </c>
      <c r="Q739" s="50">
        <f>VLOOKUP($A739,'[1]ma sp 02'!$A$5:$BD$1101,Q$1,0)</f>
        <v>0</v>
      </c>
      <c r="R739" s="50">
        <f>VLOOKUP($A739,'[1]ma sp 02'!$A$5:$BD$1101,R$1,0)</f>
        <v>0</v>
      </c>
      <c r="S739" s="50">
        <f>VLOOKUP($A739,'[1]ma sp 02'!$A$5:$BD$1101,S$1,0)</f>
        <v>0</v>
      </c>
      <c r="T739" s="50">
        <f>VLOOKUP($A739,'[1]ma sp 02'!$A$5:$BD$1101,T$1,0)</f>
        <v>0</v>
      </c>
      <c r="U739" s="50">
        <f>VLOOKUP($A739,'[1]ma sp 02'!$A$5:$BD$1101,U$1,0)</f>
        <v>0</v>
      </c>
      <c r="V739" s="50">
        <f>VLOOKUP($A739,'[1]ma sp 02'!$A$5:$BD$1101,V$1,0)</f>
        <v>0</v>
      </c>
      <c r="W739" s="50">
        <f>VLOOKUP($A739,'[1]ma sp 02'!$A$5:$BD$1101,W$1,0)</f>
        <v>0</v>
      </c>
      <c r="X739" s="50">
        <f>COUNTIF(H739:W739, "&gt;0")</f>
        <v>7</v>
      </c>
      <c r="Y739" s="57"/>
      <c r="Z739" s="57"/>
      <c r="AA739" s="57"/>
      <c r="AB739" s="57"/>
      <c r="AC739" s="57"/>
      <c r="AD739" s="57"/>
      <c r="AE739" s="58" t="s">
        <v>485</v>
      </c>
      <c r="AF739" s="58" t="s">
        <v>650</v>
      </c>
      <c r="AG739" s="71">
        <f>(0.02*0.91+0.012*1.4+0.075*0.925)*0.76</f>
        <v>7.9325000000000007E-2</v>
      </c>
      <c r="AH739" s="63">
        <f>(2.3/0.75/2)*0.75</f>
        <v>1.1499999999999999</v>
      </c>
      <c r="AI739" s="63">
        <f>(3/0.75/2)*0.75</f>
        <v>1.5</v>
      </c>
      <c r="AJ739" s="58">
        <v>9530</v>
      </c>
      <c r="AK739" s="58">
        <v>9530</v>
      </c>
      <c r="AL739" s="58" t="s">
        <v>117</v>
      </c>
      <c r="AM739" s="52" t="s">
        <v>60</v>
      </c>
      <c r="AN739" s="58">
        <v>420</v>
      </c>
      <c r="AO739" s="61" t="s">
        <v>332</v>
      </c>
      <c r="AP739" s="59">
        <f>IFERROR(VLOOKUP($A739,[2]Mssp!$A$5:$BE$1463,AP$4+1,0),0)</f>
        <v>0</v>
      </c>
      <c r="AQ739" s="59">
        <f>IFERROR(VLOOKUP($A739,[2]Mssp!$A$5:$BE$1463,AQ$4+1,0),0)</f>
        <v>0</v>
      </c>
      <c r="AR739" s="59">
        <f>IFERROR(VLOOKUP($A739,[2]Mssp!$A$5:$BE$1463,AR$4+1,0),0)</f>
        <v>0</v>
      </c>
      <c r="AS739" s="59">
        <f>IFERROR(VLOOKUP($A739,[2]Mssp!$A$5:$BE$1463,AS$4+1,0),0)</f>
        <v>0</v>
      </c>
      <c r="AT739" s="59">
        <f>IFERROR(VLOOKUP($A739,[2]Mssp!$A$5:$BE$1463,AT$4+1,0),0)</f>
        <v>0</v>
      </c>
      <c r="AU739" s="59">
        <f>IFERROR(VLOOKUP($A739,[2]Mssp!$A$5:$BE$1463,AU$4+1,0),0)</f>
        <v>0</v>
      </c>
      <c r="AV739" s="59">
        <f>IFERROR(VLOOKUP($A739,[2]Mssp!$A$5:$BE$1463,AV$4+1,0),0)</f>
        <v>0</v>
      </c>
      <c r="AW739" s="59">
        <f>IFERROR(VLOOKUP($A739,[2]Mssp!$A$5:$BE$1463,AW$4+1,0),0)</f>
        <v>0</v>
      </c>
      <c r="AX739" s="59">
        <f>IFERROR(VLOOKUP($A739,[2]Mssp!$A$5:$BE$1463,AX$4+1,0),0)</f>
        <v>0</v>
      </c>
      <c r="AY739" s="59">
        <f>IFERROR(VLOOKUP($A739,[2]Mssp!$A$5:$BE$1463,AY$4+2,0),0)</f>
        <v>0</v>
      </c>
      <c r="AZ739" s="59" t="str">
        <f>IFERROR(VLOOKUP($A739,[2]Mssp!$A$5:$BE$1463,AZ$4+2,0),0)</f>
        <v>H1</v>
      </c>
      <c r="BA739" s="60">
        <v>1500</v>
      </c>
      <c r="BB739" s="61" t="s">
        <v>119</v>
      </c>
      <c r="BC739" s="62"/>
      <c r="BD739" s="166"/>
      <c r="BE739" s="167"/>
      <c r="BF739" s="168"/>
      <c r="BG739" s="167"/>
      <c r="BH739" s="168"/>
      <c r="BI739" s="169"/>
      <c r="BJ739" s="168"/>
      <c r="BK739" s="134"/>
      <c r="BL739" s="168"/>
      <c r="BM739" s="167"/>
      <c r="BN739" s="168"/>
      <c r="BO739" s="62"/>
      <c r="BP739" s="168"/>
      <c r="BQ739" s="168"/>
      <c r="BR739" s="168"/>
      <c r="BS739" s="135"/>
      <c r="BT739" s="176"/>
      <c r="BU739" s="167"/>
      <c r="BV739" s="168"/>
      <c r="BW739" s="167"/>
      <c r="BX739" s="168"/>
      <c r="BY739" s="167"/>
      <c r="BZ739" s="176"/>
      <c r="CA739" s="167"/>
      <c r="CB739" s="168"/>
      <c r="CC739" s="167"/>
      <c r="CD739" s="168"/>
      <c r="CE739" s="62"/>
      <c r="CF739" s="62"/>
      <c r="CG739" s="9"/>
      <c r="CH739" s="9"/>
      <c r="CI739" s="9"/>
      <c r="CJ739" s="9"/>
      <c r="CK739" s="9"/>
      <c r="CL739" s="9"/>
      <c r="CM739" s="9"/>
      <c r="CN739" s="9"/>
      <c r="CO739" s="9"/>
      <c r="CP739" s="9"/>
    </row>
    <row r="740" spans="1:94" ht="45" x14ac:dyDescent="0.25">
      <c r="A740" s="127" t="s">
        <v>2376</v>
      </c>
      <c r="B740" s="51" t="s">
        <v>2377</v>
      </c>
      <c r="C740" s="62"/>
      <c r="D740" s="84">
        <v>3</v>
      </c>
      <c r="E740" s="62" t="s">
        <v>113</v>
      </c>
      <c r="F740" s="62">
        <v>7</v>
      </c>
      <c r="G740" s="62"/>
      <c r="H740" s="50">
        <f>VLOOKUP($A740,'[1]ma sp 02'!$A$5:$BD$1101,H$1,0)</f>
        <v>0.01</v>
      </c>
      <c r="I740" s="50">
        <f>VLOOKUP($A740,'[1]ma sp 02'!$A$5:$BD$1101,I$1,0)</f>
        <v>9.6720000000000006</v>
      </c>
      <c r="J740" s="50">
        <f>VLOOKUP($A740,'[1]ma sp 02'!$A$5:$BD$1101,J$1,0)</f>
        <v>1.4970000000000001</v>
      </c>
      <c r="K740" s="50">
        <f>VLOOKUP($A740,'[1]ma sp 02'!$A$5:$BD$1101,K$1,0)</f>
        <v>0</v>
      </c>
      <c r="L740" s="50">
        <f>VLOOKUP($A740,'[1]ma sp 02'!$A$5:$BD$1101,L$1,0)</f>
        <v>1.7270000000000001</v>
      </c>
      <c r="M740" s="50">
        <f>VLOOKUP($A740,'[1]ma sp 02'!$A$5:$BD$1101,M$1,0)</f>
        <v>0.442</v>
      </c>
      <c r="N740" s="50">
        <f>VLOOKUP($A740,'[1]ma sp 02'!$A$5:$BD$1101,N$1,0)</f>
        <v>0</v>
      </c>
      <c r="O740" s="50">
        <f>VLOOKUP($A740,'[1]ma sp 02'!$A$5:$BD$1101,O$1,0)</f>
        <v>0</v>
      </c>
      <c r="P740" s="50">
        <f>VLOOKUP($A740,'[1]ma sp 02'!$A$5:$BD$1101,P$1,0)</f>
        <v>0</v>
      </c>
      <c r="Q740" s="50">
        <f>VLOOKUP($A740,'[1]ma sp 02'!$A$5:$BD$1101,Q$1,0)</f>
        <v>0</v>
      </c>
      <c r="R740" s="50">
        <f>VLOOKUP($A740,'[1]ma sp 02'!$A$5:$BD$1101,R$1,0)</f>
        <v>0</v>
      </c>
      <c r="S740" s="50">
        <f>VLOOKUP($A740,'[1]ma sp 02'!$A$5:$BD$1101,S$1,0)</f>
        <v>0</v>
      </c>
      <c r="T740" s="50">
        <f>VLOOKUP($A740,'[1]ma sp 02'!$A$5:$BD$1101,T$1,0)</f>
        <v>0</v>
      </c>
      <c r="U740" s="50">
        <f>VLOOKUP($A740,'[1]ma sp 02'!$A$5:$BD$1101,U$1,0)</f>
        <v>0</v>
      </c>
      <c r="V740" s="50">
        <f>VLOOKUP($A740,'[1]ma sp 02'!$A$5:$BD$1101,V$1,0)</f>
        <v>0</v>
      </c>
      <c r="W740" s="50">
        <f>VLOOKUP($A740,'[1]ma sp 02'!$A$5:$BD$1101,W$1,0)</f>
        <v>0</v>
      </c>
      <c r="X740" s="50"/>
      <c r="Y740" s="62"/>
      <c r="Z740" s="62"/>
      <c r="AA740" s="62"/>
      <c r="AB740" s="62"/>
      <c r="AC740" s="62"/>
      <c r="AD740" s="62"/>
      <c r="AE740" s="62" t="s">
        <v>115</v>
      </c>
      <c r="AF740" s="62" t="s">
        <v>321</v>
      </c>
      <c r="AG740" s="53">
        <f>(0.03*0.91+0.012*1.4+0.075*0.925)*0.74</f>
        <v>8.3971500000000004E-2</v>
      </c>
      <c r="AH740" s="54">
        <f t="shared" ref="AH740:AI743" si="29">(2.3/0.75/2)*0.73</f>
        <v>1.1193333333333333</v>
      </c>
      <c r="AI740" s="54">
        <f t="shared" si="29"/>
        <v>1.1193333333333333</v>
      </c>
      <c r="AJ740" s="62">
        <v>9530</v>
      </c>
      <c r="AK740" s="62">
        <v>9530</v>
      </c>
      <c r="AL740" s="62" t="s">
        <v>2378</v>
      </c>
      <c r="AM740" s="52" t="s">
        <v>60</v>
      </c>
      <c r="AN740" s="62">
        <v>270</v>
      </c>
      <c r="AO740" s="61" t="s">
        <v>332</v>
      </c>
      <c r="AP740" s="59" t="str">
        <f>IFERROR(VLOOKUP($A740,[2]Mssp!$A$5:$BE$1463,AP$4+1,0),0)</f>
        <v>HD32008017-1</v>
      </c>
      <c r="AQ740" s="59" t="str">
        <f>IFERROR(VLOOKUP($A740,[2]Mssp!$A$5:$BE$1463,AQ$4+1,0),0)</f>
        <v>HD32008017-2</v>
      </c>
      <c r="AR740" s="59" t="str">
        <f>IFERROR(VLOOKUP($A740,[2]Mssp!$A$5:$BE$1463,AR$4+1,0),0)</f>
        <v>HD32008017-3</v>
      </c>
      <c r="AS740" s="59" t="str">
        <f>IFERROR(VLOOKUP($A740,[2]Mssp!$A$5:$BE$1463,AS$4+1,0),0)</f>
        <v>HD32008017-4</v>
      </c>
      <c r="AT740" s="59" t="str">
        <f>IFERROR(VLOOKUP($A740,[2]Mssp!$A$5:$BE$1463,AT$4+1,0),0)</f>
        <v>HD32008017-5</v>
      </c>
      <c r="AU740" s="59" t="str">
        <f>IFERROR(VLOOKUP($A740,[2]Mssp!$A$5:$BE$1463,AU$4+1,0),0)</f>
        <v>HD32008017-6</v>
      </c>
      <c r="AV740" s="59" t="str">
        <f>IFERROR(VLOOKUP($A740,[2]Mssp!$A$5:$BE$1463,AV$4+1,0),0)</f>
        <v>HD32008017-7</v>
      </c>
      <c r="AW740" s="59">
        <f>IFERROR(VLOOKUP($A740,[2]Mssp!$A$5:$BE$1463,AW$4+1,0),0)</f>
        <v>0</v>
      </c>
      <c r="AX740" s="59">
        <f>IFERROR(VLOOKUP($A740,[2]Mssp!$A$5:$BE$1463,AX$4+1,0),0)</f>
        <v>0</v>
      </c>
      <c r="AY740" s="59" t="str">
        <f>IFERROR(VLOOKUP($A740,[2]Mssp!$A$5:$BE$1463,AY$4+2,0),0)</f>
        <v>540x870</v>
      </c>
      <c r="AZ740" s="59" t="str">
        <f>IFERROR(VLOOKUP($A740,[2]Mssp!$A$5:$BE$1463,AZ$4+2,0),0)</f>
        <v>H1</v>
      </c>
      <c r="BA740" s="141"/>
      <c r="BB740" s="61"/>
      <c r="BC740" s="165"/>
      <c r="BD740" s="166"/>
      <c r="BE740" s="167"/>
      <c r="BF740" s="168"/>
      <c r="BG740" s="167"/>
      <c r="BH740" s="168"/>
      <c r="BI740" s="169"/>
      <c r="BJ740" s="168"/>
      <c r="BK740" s="134"/>
      <c r="BL740" s="168"/>
      <c r="BM740" s="167"/>
      <c r="BN740" s="168"/>
      <c r="BO740" s="62"/>
      <c r="BP740" s="168"/>
      <c r="BQ740" s="168"/>
      <c r="BR740" s="168"/>
      <c r="BS740" s="135"/>
      <c r="BT740" s="176"/>
      <c r="BU740" s="167"/>
      <c r="BV740" s="168"/>
      <c r="BW740" s="167"/>
      <c r="BX740" s="168"/>
      <c r="BY740" s="167"/>
      <c r="BZ740" s="176"/>
      <c r="CA740" s="167"/>
      <c r="CB740" s="168"/>
      <c r="CC740" s="167"/>
      <c r="CD740" s="168"/>
      <c r="CE740" s="62"/>
      <c r="CF740" s="62"/>
      <c r="CG740" s="9"/>
      <c r="CH740" s="9"/>
      <c r="CI740" s="9"/>
      <c r="CJ740" s="9"/>
      <c r="CK740" s="9"/>
      <c r="CL740" s="9"/>
      <c r="CM740" s="9"/>
      <c r="CN740" s="9"/>
      <c r="CO740" s="9"/>
      <c r="CP740" s="9"/>
    </row>
    <row r="741" spans="1:94" ht="45" x14ac:dyDescent="0.25">
      <c r="A741" s="127" t="s">
        <v>2379</v>
      </c>
      <c r="B741" s="51" t="s">
        <v>2380</v>
      </c>
      <c r="C741" s="62"/>
      <c r="D741" s="84">
        <v>3</v>
      </c>
      <c r="E741" s="62" t="s">
        <v>113</v>
      </c>
      <c r="F741" s="62">
        <v>7</v>
      </c>
      <c r="G741" s="62"/>
      <c r="H741" s="50">
        <f>VLOOKUP($A741,'[1]ma sp 02'!$A$5:$BD$1101,H$1,0)</f>
        <v>0.58099999999999996</v>
      </c>
      <c r="I741" s="50">
        <f>VLOOKUP($A741,'[1]ma sp 02'!$A$5:$BD$1101,I$1,0)</f>
        <v>6.26</v>
      </c>
      <c r="J741" s="50">
        <f>VLOOKUP($A741,'[1]ma sp 02'!$A$5:$BD$1101,J$1,0)</f>
        <v>0.46500000000000002</v>
      </c>
      <c r="K741" s="50">
        <f>VLOOKUP($A741,'[1]ma sp 02'!$A$5:$BD$1101,K$1,0)</f>
        <v>0.46500000000000002</v>
      </c>
      <c r="L741" s="50">
        <f>VLOOKUP($A741,'[1]ma sp 02'!$A$5:$BD$1101,L$1,0)</f>
        <v>1.976</v>
      </c>
      <c r="M741" s="50">
        <f>VLOOKUP($A741,'[1]ma sp 02'!$A$5:$BD$1101,M$1,0)</f>
        <v>0</v>
      </c>
      <c r="N741" s="50">
        <f>VLOOKUP($A741,'[1]ma sp 02'!$A$5:$BD$1101,N$1,0)</f>
        <v>0</v>
      </c>
      <c r="O741" s="50">
        <f>VLOOKUP($A741,'[1]ma sp 02'!$A$5:$BD$1101,O$1,0)</f>
        <v>0</v>
      </c>
      <c r="P741" s="50">
        <f>VLOOKUP($A741,'[1]ma sp 02'!$A$5:$BD$1101,P$1,0)</f>
        <v>0.46500000000000002</v>
      </c>
      <c r="Q741" s="50">
        <f>VLOOKUP($A741,'[1]ma sp 02'!$A$5:$BD$1101,Q$1,0)</f>
        <v>0</v>
      </c>
      <c r="R741" s="50">
        <f>VLOOKUP($A741,'[1]ma sp 02'!$A$5:$BD$1101,R$1,0)</f>
        <v>0</v>
      </c>
      <c r="S741" s="50">
        <f>VLOOKUP($A741,'[1]ma sp 02'!$A$5:$BD$1101,S$1,0)</f>
        <v>0</v>
      </c>
      <c r="T741" s="50">
        <f>VLOOKUP($A741,'[1]ma sp 02'!$A$5:$BD$1101,T$1,0)</f>
        <v>0</v>
      </c>
      <c r="U741" s="50">
        <f>VLOOKUP($A741,'[1]ma sp 02'!$A$5:$BD$1101,U$1,0)</f>
        <v>0</v>
      </c>
      <c r="V741" s="50">
        <f>VLOOKUP($A741,'[1]ma sp 02'!$A$5:$BD$1101,V$1,0)</f>
        <v>0</v>
      </c>
      <c r="W741" s="50">
        <f>VLOOKUP($A741,'[1]ma sp 02'!$A$5:$BD$1101,W$1,0)</f>
        <v>0</v>
      </c>
      <c r="X741" s="50"/>
      <c r="Y741" s="62"/>
      <c r="Z741" s="62"/>
      <c r="AA741" s="62"/>
      <c r="AB741" s="62"/>
      <c r="AC741" s="62"/>
      <c r="AD741" s="62"/>
      <c r="AE741" s="62" t="s">
        <v>115</v>
      </c>
      <c r="AF741" s="62" t="s">
        <v>321</v>
      </c>
      <c r="AG741" s="53">
        <f>(0.03*0.91+0.012*1.4+0.075*0.925)*0.74</f>
        <v>8.3971500000000004E-2</v>
      </c>
      <c r="AH741" s="54">
        <f t="shared" si="29"/>
        <v>1.1193333333333333</v>
      </c>
      <c r="AI741" s="54">
        <f t="shared" si="29"/>
        <v>1.1193333333333333</v>
      </c>
      <c r="AJ741" s="62">
        <v>9530</v>
      </c>
      <c r="AK741" s="62">
        <v>9530</v>
      </c>
      <c r="AL741" s="62" t="s">
        <v>2378</v>
      </c>
      <c r="AM741" s="52" t="s">
        <v>60</v>
      </c>
      <c r="AN741" s="62">
        <v>270</v>
      </c>
      <c r="AO741" s="61" t="s">
        <v>332</v>
      </c>
      <c r="AP741" s="59" t="str">
        <f>IFERROR(VLOOKUP($A741,[2]Mssp!$A$5:$BE$1463,AP$4+1,0),0)</f>
        <v>HD32008017-1</v>
      </c>
      <c r="AQ741" s="59" t="str">
        <f>IFERROR(VLOOKUP($A741,[2]Mssp!$A$5:$BE$1463,AQ$4+1,0),0)</f>
        <v>HD32008017-2</v>
      </c>
      <c r="AR741" s="59" t="str">
        <f>IFERROR(VLOOKUP($A741,[2]Mssp!$A$5:$BE$1463,AR$4+1,0),0)</f>
        <v>HD32008017J1-1</v>
      </c>
      <c r="AS741" s="59" t="str">
        <f>IFERROR(VLOOKUP($A741,[2]Mssp!$A$5:$BE$1463,AS$4+1,0),0)</f>
        <v>HD32008017-4</v>
      </c>
      <c r="AT741" s="59" t="str">
        <f>IFERROR(VLOOKUP($A741,[2]Mssp!$A$5:$BE$1463,AT$4+1,0),0)</f>
        <v>HD32008017-5</v>
      </c>
      <c r="AU741" s="59" t="str">
        <f>IFERROR(VLOOKUP($A741,[2]Mssp!$A$5:$BE$1463,AU$4+1,0),0)</f>
        <v>HD32008017-6</v>
      </c>
      <c r="AV741" s="59" t="str">
        <f>IFERROR(VLOOKUP($A741,[2]Mssp!$A$5:$BE$1463,AV$4+1,0),0)</f>
        <v>HD32008017-7</v>
      </c>
      <c r="AW741" s="59">
        <f>IFERROR(VLOOKUP($A741,[2]Mssp!$A$5:$BE$1463,AW$4+1,0),0)</f>
        <v>0</v>
      </c>
      <c r="AX741" s="59">
        <f>IFERROR(VLOOKUP($A741,[2]Mssp!$A$5:$BE$1463,AX$4+1,0),0)</f>
        <v>0</v>
      </c>
      <c r="AY741" s="59" t="str">
        <f>IFERROR(VLOOKUP($A741,[2]Mssp!$A$5:$BE$1463,AY$4+2,0),0)</f>
        <v>540x870</v>
      </c>
      <c r="AZ741" s="59" t="str">
        <f>IFERROR(VLOOKUP($A741,[2]Mssp!$A$5:$BE$1463,AZ$4+2,0),0)</f>
        <v>H1</v>
      </c>
      <c r="BA741" s="141" t="s">
        <v>2381</v>
      </c>
      <c r="BB741" s="61" t="s">
        <v>1894</v>
      </c>
      <c r="BC741" s="165"/>
      <c r="BD741" s="166"/>
      <c r="BE741" s="167"/>
      <c r="BF741" s="168"/>
      <c r="BG741" s="167"/>
      <c r="BH741" s="168"/>
      <c r="BI741" s="169"/>
      <c r="BJ741" s="168"/>
      <c r="BK741" s="134"/>
      <c r="BL741" s="168"/>
      <c r="BM741" s="167"/>
      <c r="BN741" s="168"/>
      <c r="BO741" s="62"/>
      <c r="BP741" s="168"/>
      <c r="BQ741" s="168"/>
      <c r="BR741" s="168"/>
      <c r="BS741" s="135"/>
      <c r="BT741" s="176"/>
      <c r="BU741" s="167"/>
      <c r="BV741" s="168"/>
      <c r="BW741" s="167"/>
      <c r="BX741" s="168"/>
      <c r="BY741" s="167"/>
      <c r="BZ741" s="176"/>
      <c r="CA741" s="167"/>
      <c r="CB741" s="168"/>
      <c r="CC741" s="167"/>
      <c r="CD741" s="168"/>
      <c r="CE741" s="62"/>
      <c r="CF741" s="62"/>
      <c r="CG741" s="9"/>
      <c r="CH741" s="9"/>
      <c r="CI741" s="9"/>
      <c r="CJ741" s="9"/>
      <c r="CK741" s="9"/>
      <c r="CL741" s="9"/>
      <c r="CM741" s="9"/>
      <c r="CN741" s="9"/>
      <c r="CO741" s="9"/>
      <c r="CP741" s="9"/>
    </row>
    <row r="742" spans="1:94" ht="45" x14ac:dyDescent="0.25">
      <c r="A742" s="127" t="s">
        <v>2382</v>
      </c>
      <c r="B742" s="51" t="s">
        <v>2383</v>
      </c>
      <c r="C742" s="62"/>
      <c r="D742" s="84">
        <v>3</v>
      </c>
      <c r="E742" s="62" t="s">
        <v>437</v>
      </c>
      <c r="F742" s="62">
        <v>2</v>
      </c>
      <c r="G742" s="62" t="s">
        <v>530</v>
      </c>
      <c r="H742" s="50">
        <f>VLOOKUP($A742,'[1]ma sp 02'!$A$5:$BD$1101,H$1,0)</f>
        <v>0</v>
      </c>
      <c r="I742" s="50">
        <f>VLOOKUP($A742,'[1]ma sp 02'!$A$5:$BD$1101,I$1,0)</f>
        <v>0</v>
      </c>
      <c r="J742" s="50">
        <f>VLOOKUP($A742,'[1]ma sp 02'!$A$5:$BD$1101,J$1,0)</f>
        <v>0.25</v>
      </c>
      <c r="K742" s="50">
        <f>VLOOKUP($A742,'[1]ma sp 02'!$A$5:$BD$1101,K$1,0)</f>
        <v>0.25</v>
      </c>
      <c r="L742" s="50">
        <f>VLOOKUP($A742,'[1]ma sp 02'!$A$5:$BD$1101,L$1,0)</f>
        <v>0.25</v>
      </c>
      <c r="M742" s="50">
        <f>VLOOKUP($A742,'[1]ma sp 02'!$A$5:$BD$1101,M$1,0)</f>
        <v>0</v>
      </c>
      <c r="N742" s="50">
        <f>VLOOKUP($A742,'[1]ma sp 02'!$A$5:$BD$1101,N$1,0)</f>
        <v>0</v>
      </c>
      <c r="O742" s="50">
        <f>VLOOKUP($A742,'[1]ma sp 02'!$A$5:$BD$1101,O$1,0)</f>
        <v>0.5</v>
      </c>
      <c r="P742" s="50">
        <f>VLOOKUP($A742,'[1]ma sp 02'!$A$5:$BD$1101,P$1,0)</f>
        <v>0</v>
      </c>
      <c r="Q742" s="50">
        <f>VLOOKUP($A742,'[1]ma sp 02'!$A$5:$BD$1101,Q$1,0)</f>
        <v>0</v>
      </c>
      <c r="R742" s="50">
        <f>VLOOKUP($A742,'[1]ma sp 02'!$A$5:$BD$1101,R$1,0)</f>
        <v>0.01</v>
      </c>
      <c r="S742" s="50">
        <f>VLOOKUP($A742,'[1]ma sp 02'!$A$5:$BD$1101,S$1,0)</f>
        <v>0</v>
      </c>
      <c r="T742" s="50">
        <f>VLOOKUP($A742,'[1]ma sp 02'!$A$5:$BD$1101,T$1,0)</f>
        <v>0</v>
      </c>
      <c r="U742" s="50">
        <f>VLOOKUP($A742,'[1]ma sp 02'!$A$5:$BD$1101,U$1,0)</f>
        <v>0</v>
      </c>
      <c r="V742" s="50">
        <f>VLOOKUP($A742,'[1]ma sp 02'!$A$5:$BD$1101,V$1,0)</f>
        <v>0</v>
      </c>
      <c r="W742" s="50">
        <f>VLOOKUP($A742,'[1]ma sp 02'!$A$5:$BD$1101,W$1,0)</f>
        <v>0</v>
      </c>
      <c r="X742" s="50"/>
      <c r="Y742" s="62"/>
      <c r="Z742" s="62"/>
      <c r="AA742" s="62"/>
      <c r="AB742" s="62"/>
      <c r="AC742" s="62"/>
      <c r="AD742" s="62"/>
      <c r="AE742" s="62" t="s">
        <v>2384</v>
      </c>
      <c r="AF742" s="62" t="s">
        <v>2385</v>
      </c>
      <c r="AG742" s="53">
        <f>(0.012*1.4+0.006*2.71+0.065*0.925)*0.67</f>
        <v>6.2433950000000009E-2</v>
      </c>
      <c r="AH742" s="54">
        <f>(2.5/0.75/2)*0.67</f>
        <v>1.1166666666666667</v>
      </c>
      <c r="AI742" s="54">
        <f>(2.5/0.75/2)*0.67</f>
        <v>1.1166666666666667</v>
      </c>
      <c r="AJ742" s="62">
        <v>9530</v>
      </c>
      <c r="AK742" s="62">
        <v>9530</v>
      </c>
      <c r="AL742" s="62" t="s">
        <v>1909</v>
      </c>
      <c r="AM742" s="52" t="s">
        <v>60</v>
      </c>
      <c r="AN742" s="62">
        <v>180</v>
      </c>
      <c r="AO742" s="61" t="s">
        <v>1959</v>
      </c>
      <c r="AP742" s="59" t="str">
        <f>IFERROR(VLOOKUP($A742,[2]Mssp!$A$5:$BE$1463,AP$4+1,0),0)</f>
        <v>20080566-1</v>
      </c>
      <c r="AQ742" s="59" t="str">
        <f>IFERROR(VLOOKUP($A742,[2]Mssp!$A$5:$BE$1463,AQ$4+1,0),0)</f>
        <v>20080566-2</v>
      </c>
      <c r="AR742" s="59">
        <f>IFERROR(VLOOKUP($A742,[2]Mssp!$A$5:$BE$1463,AR$4+1,0),0)</f>
        <v>0</v>
      </c>
      <c r="AS742" s="59">
        <f>IFERROR(VLOOKUP($A742,[2]Mssp!$A$5:$BE$1463,AS$4+1,0),0)</f>
        <v>0</v>
      </c>
      <c r="AT742" s="59">
        <f>IFERROR(VLOOKUP($A742,[2]Mssp!$A$5:$BE$1463,AT$4+1,0),0)</f>
        <v>0</v>
      </c>
      <c r="AU742" s="59">
        <f>IFERROR(VLOOKUP($A742,[2]Mssp!$A$5:$BE$1463,AU$4+1,0),0)</f>
        <v>0</v>
      </c>
      <c r="AV742" s="59">
        <f>IFERROR(VLOOKUP($A742,[2]Mssp!$A$5:$BE$1463,AV$4+1,0),0)</f>
        <v>0</v>
      </c>
      <c r="AW742" s="59">
        <f>IFERROR(VLOOKUP($A742,[2]Mssp!$A$5:$BE$1463,AW$4+1,0),0)</f>
        <v>0</v>
      </c>
      <c r="AX742" s="59">
        <f>IFERROR(VLOOKUP($A742,[2]Mssp!$A$5:$BE$1463,AX$4+1,0),0)</f>
        <v>0</v>
      </c>
      <c r="AY742" s="59" t="str">
        <f>IFERROR(VLOOKUP($A742,[2]Mssp!$A$5:$BE$1463,AY$4+2,0),0)</f>
        <v>540x870</v>
      </c>
      <c r="AZ742" s="59" t="str">
        <f>IFERROR(VLOOKUP($A742,[2]Mssp!$A$5:$BE$1463,AZ$4+2,0),0)</f>
        <v>S3</v>
      </c>
      <c r="BA742" s="141"/>
      <c r="BB742" s="61" t="s">
        <v>1894</v>
      </c>
      <c r="BC742" s="165"/>
      <c r="BD742" s="166"/>
      <c r="BE742" s="167"/>
      <c r="BF742" s="168"/>
      <c r="BG742" s="167"/>
      <c r="BH742" s="168"/>
      <c r="BI742" s="169"/>
      <c r="BJ742" s="168"/>
      <c r="BK742" s="134"/>
      <c r="BL742" s="168"/>
      <c r="BM742" s="167"/>
      <c r="BN742" s="168"/>
      <c r="BO742" s="62"/>
      <c r="BP742" s="168"/>
      <c r="BQ742" s="168"/>
      <c r="BR742" s="168"/>
      <c r="BS742" s="135"/>
      <c r="BT742" s="176"/>
      <c r="BU742" s="167"/>
      <c r="BV742" s="168"/>
      <c r="BW742" s="167"/>
      <c r="BX742" s="168"/>
      <c r="BY742" s="167"/>
      <c r="BZ742" s="176"/>
      <c r="CA742" s="167"/>
      <c r="CB742" s="168"/>
      <c r="CC742" s="167"/>
      <c r="CD742" s="168"/>
      <c r="CE742" s="62"/>
      <c r="CF742" s="62"/>
      <c r="CG742" s="9"/>
      <c r="CH742" s="9"/>
      <c r="CI742" s="9"/>
      <c r="CJ742" s="9"/>
      <c r="CK742" s="9"/>
      <c r="CL742" s="9"/>
      <c r="CM742" s="9"/>
      <c r="CN742" s="9"/>
      <c r="CO742" s="9"/>
      <c r="CP742" s="9"/>
    </row>
    <row r="743" spans="1:94" ht="30" x14ac:dyDescent="0.25">
      <c r="A743" s="127" t="s">
        <v>2386</v>
      </c>
      <c r="B743" s="51" t="s">
        <v>2387</v>
      </c>
      <c r="C743" s="62"/>
      <c r="D743" s="84">
        <v>3</v>
      </c>
      <c r="E743" s="62" t="s">
        <v>841</v>
      </c>
      <c r="F743" s="62">
        <v>7</v>
      </c>
      <c r="G743" s="62" t="s">
        <v>184</v>
      </c>
      <c r="H743" s="50">
        <f>VLOOKUP($A743,'[1]ma sp 02'!$A$5:$BD$1101,H$1,0)</f>
        <v>0.01</v>
      </c>
      <c r="I743" s="50">
        <f>VLOOKUP($A743,'[1]ma sp 02'!$A$5:$BD$1101,I$1,0)</f>
        <v>4.0149999999999997</v>
      </c>
      <c r="J743" s="50">
        <f>VLOOKUP($A743,'[1]ma sp 02'!$A$5:$BD$1101,J$1,0)</f>
        <v>0.54</v>
      </c>
      <c r="K743" s="50">
        <f>VLOOKUP($A743,'[1]ma sp 02'!$A$5:$BD$1101,K$1,0)</f>
        <v>0.19</v>
      </c>
      <c r="L743" s="50">
        <f>VLOOKUP($A743,'[1]ma sp 02'!$A$5:$BD$1101,L$1,0)</f>
        <v>2.085</v>
      </c>
      <c r="M743" s="50">
        <f>VLOOKUP($A743,'[1]ma sp 02'!$A$5:$BD$1101,M$1,0)</f>
        <v>0.69499999999999995</v>
      </c>
      <c r="N743" s="50">
        <f>VLOOKUP($A743,'[1]ma sp 02'!$A$5:$BD$1101,N$1,0)</f>
        <v>0</v>
      </c>
      <c r="O743" s="50">
        <f>VLOOKUP($A743,'[1]ma sp 02'!$A$5:$BD$1101,O$1,0)</f>
        <v>0.27</v>
      </c>
      <c r="P743" s="50">
        <f>VLOOKUP($A743,'[1]ma sp 02'!$A$5:$BD$1101,P$1,0)</f>
        <v>0.42499999999999999</v>
      </c>
      <c r="Q743" s="50">
        <f>VLOOKUP($A743,'[1]ma sp 02'!$A$5:$BD$1101,Q$1,0)</f>
        <v>0.23</v>
      </c>
      <c r="R743" s="50">
        <f>VLOOKUP($A743,'[1]ma sp 02'!$A$5:$BD$1101,R$1,0)</f>
        <v>0</v>
      </c>
      <c r="S743" s="50">
        <f>VLOOKUP($A743,'[1]ma sp 02'!$A$5:$BD$1101,S$1,0)</f>
        <v>0</v>
      </c>
      <c r="T743" s="50">
        <f>VLOOKUP($A743,'[1]ma sp 02'!$A$5:$BD$1101,T$1,0)</f>
        <v>0</v>
      </c>
      <c r="U743" s="50">
        <f>VLOOKUP($A743,'[1]ma sp 02'!$A$5:$BD$1101,U$1,0)</f>
        <v>0</v>
      </c>
      <c r="V743" s="50">
        <f>VLOOKUP($A743,'[1]ma sp 02'!$A$5:$BD$1101,V$1,0)</f>
        <v>0</v>
      </c>
      <c r="W743" s="50">
        <f>VLOOKUP($A743,'[1]ma sp 02'!$A$5:$BD$1101,W$1,0)</f>
        <v>0</v>
      </c>
      <c r="X743" s="50"/>
      <c r="Y743" s="62"/>
      <c r="Z743" s="62"/>
      <c r="AA743" s="62"/>
      <c r="AB743" s="62"/>
      <c r="AC743" s="62"/>
      <c r="AD743" s="62"/>
      <c r="AE743" s="62" t="s">
        <v>115</v>
      </c>
      <c r="AF743" s="62" t="s">
        <v>321</v>
      </c>
      <c r="AG743" s="53">
        <f>(0.03*0.91+0.012*1.4+0.075*0.925)*0.74</f>
        <v>8.3971500000000004E-2</v>
      </c>
      <c r="AH743" s="54">
        <f t="shared" si="29"/>
        <v>1.1193333333333333</v>
      </c>
      <c r="AI743" s="54">
        <f t="shared" si="29"/>
        <v>1.1193333333333333</v>
      </c>
      <c r="AJ743" s="62">
        <v>9530</v>
      </c>
      <c r="AK743" s="62">
        <v>9530</v>
      </c>
      <c r="AL743" s="62" t="s">
        <v>1949</v>
      </c>
      <c r="AM743" s="61" t="s">
        <v>74</v>
      </c>
      <c r="AN743" s="62">
        <v>180</v>
      </c>
      <c r="AO743" s="61" t="s">
        <v>2173</v>
      </c>
      <c r="AP743" s="59" t="str">
        <f>IFERROR(VLOOKUP($A743,[2]Mssp!$A$5:$BE$1463,AP$4+1,0),0)</f>
        <v>20080341-1</v>
      </c>
      <c r="AQ743" s="59" t="str">
        <f>IFERROR(VLOOKUP($A743,[2]Mssp!$A$5:$BE$1463,AQ$4+1,0),0)</f>
        <v>20080341-2</v>
      </c>
      <c r="AR743" s="59" t="str">
        <f>IFERROR(VLOOKUP($A743,[2]Mssp!$A$5:$BE$1463,AR$4+1,0),0)</f>
        <v>20080341-3</v>
      </c>
      <c r="AS743" s="59" t="str">
        <f>IFERROR(VLOOKUP($A743,[2]Mssp!$A$5:$BE$1463,AS$4+1,0),0)</f>
        <v>20080341-4</v>
      </c>
      <c r="AT743" s="59" t="str">
        <f>IFERROR(VLOOKUP($A743,[2]Mssp!$A$5:$BE$1463,AT$4+1,0),0)</f>
        <v>20080341-5</v>
      </c>
      <c r="AU743" s="59" t="str">
        <f>IFERROR(VLOOKUP($A743,[2]Mssp!$A$5:$BE$1463,AU$4+1,0),0)</f>
        <v>20080341-6</v>
      </c>
      <c r="AV743" s="59" t="str">
        <f>IFERROR(VLOOKUP($A743,[2]Mssp!$A$5:$BE$1463,AV$4+1,0),0)</f>
        <v>20080341-7</v>
      </c>
      <c r="AW743" s="59">
        <f>IFERROR(VLOOKUP($A743,[2]Mssp!$A$5:$BE$1463,AW$4+1,0),0)</f>
        <v>0</v>
      </c>
      <c r="AX743" s="59">
        <f>IFERROR(VLOOKUP($A743,[2]Mssp!$A$5:$BE$1463,AX$4+1,0),0)</f>
        <v>0</v>
      </c>
      <c r="AY743" s="59" t="str">
        <f>IFERROR(VLOOKUP($A743,[2]Mssp!$A$5:$BE$1463,AY$4+2,0),0)</f>
        <v>720x870</v>
      </c>
      <c r="AZ743" s="59" t="str">
        <f>IFERROR(VLOOKUP($A743,[2]Mssp!$A$5:$BE$1463,AZ$4+2,0),0)</f>
        <v>S3</v>
      </c>
      <c r="BA743" s="141"/>
      <c r="BB743" s="61" t="s">
        <v>1894</v>
      </c>
      <c r="BC743" s="165"/>
      <c r="BD743" s="166"/>
      <c r="BE743" s="167"/>
      <c r="BF743" s="168"/>
      <c r="BG743" s="167"/>
      <c r="BH743" s="168"/>
      <c r="BI743" s="169"/>
      <c r="BJ743" s="168"/>
      <c r="BK743" s="134"/>
      <c r="BL743" s="168"/>
      <c r="BM743" s="167"/>
      <c r="BN743" s="168"/>
      <c r="BO743" s="62"/>
      <c r="BP743" s="168"/>
      <c r="BQ743" s="168"/>
      <c r="BR743" s="168"/>
      <c r="BS743" s="135"/>
      <c r="BT743" s="176"/>
      <c r="BU743" s="167"/>
      <c r="BV743" s="168"/>
      <c r="BW743" s="167"/>
      <c r="BX743" s="168"/>
      <c r="BY743" s="167"/>
      <c r="BZ743" s="176"/>
      <c r="CA743" s="167"/>
      <c r="CB743" s="168"/>
      <c r="CC743" s="167"/>
      <c r="CD743" s="168"/>
      <c r="CE743" s="62"/>
      <c r="CF743" s="62"/>
      <c r="CG743" s="9"/>
      <c r="CH743" s="9"/>
      <c r="CI743" s="9"/>
      <c r="CJ743" s="9"/>
      <c r="CK743" s="9"/>
      <c r="CL743" s="9"/>
      <c r="CM743" s="9"/>
      <c r="CN743" s="9"/>
      <c r="CO743" s="9"/>
      <c r="CP743" s="9"/>
    </row>
    <row r="744" spans="1:94" ht="30" x14ac:dyDescent="0.25">
      <c r="A744" s="127" t="s">
        <v>2388</v>
      </c>
      <c r="B744" s="51" t="s">
        <v>2389</v>
      </c>
      <c r="C744" s="62"/>
      <c r="D744" s="84">
        <v>4</v>
      </c>
      <c r="E744" s="62" t="s">
        <v>2390</v>
      </c>
      <c r="F744" s="62">
        <v>8</v>
      </c>
      <c r="G744" s="62" t="s">
        <v>184</v>
      </c>
      <c r="H744" s="50">
        <f>VLOOKUP($A744,'[1]ma sp 02'!$A$5:$BD$1101,H$1,0)</f>
        <v>0.11899999999999999</v>
      </c>
      <c r="I744" s="50">
        <f>VLOOKUP($A744,'[1]ma sp 02'!$A$5:$BD$1101,I$1,0)</f>
        <v>2.54</v>
      </c>
      <c r="J744" s="50">
        <f>VLOOKUP($A744,'[1]ma sp 02'!$A$5:$BD$1101,J$1,0)</f>
        <v>5.8999999999999997E-2</v>
      </c>
      <c r="K744" s="50">
        <f>VLOOKUP($A744,'[1]ma sp 02'!$A$5:$BD$1101,K$1,0)</f>
        <v>0.17799999999999999</v>
      </c>
      <c r="L744" s="50">
        <f>VLOOKUP($A744,'[1]ma sp 02'!$A$5:$BD$1101,L$1,0)</f>
        <v>0.88900000000000001</v>
      </c>
      <c r="M744" s="50">
        <f>VLOOKUP($A744,'[1]ma sp 02'!$A$5:$BD$1101,M$1,0)</f>
        <v>0</v>
      </c>
      <c r="N744" s="50">
        <f>VLOOKUP($A744,'[1]ma sp 02'!$A$5:$BD$1101,N$1,0)</f>
        <v>0.47399999999999998</v>
      </c>
      <c r="O744" s="50">
        <f>VLOOKUP($A744,'[1]ma sp 02'!$A$5:$BD$1101,O$1,0)</f>
        <v>5.8999999999999997E-2</v>
      </c>
      <c r="P744" s="50">
        <f>VLOOKUP($A744,'[1]ma sp 02'!$A$5:$BD$1101,P$1,0)</f>
        <v>0</v>
      </c>
      <c r="Q744" s="50">
        <f>VLOOKUP($A744,'[1]ma sp 02'!$A$5:$BD$1101,Q$1,0)</f>
        <v>0</v>
      </c>
      <c r="R744" s="50">
        <f>VLOOKUP($A744,'[1]ma sp 02'!$A$5:$BD$1101,R$1,0)</f>
        <v>0</v>
      </c>
      <c r="S744" s="50">
        <f>VLOOKUP($A744,'[1]ma sp 02'!$A$5:$BD$1101,S$1,0)</f>
        <v>0</v>
      </c>
      <c r="T744" s="50">
        <f>VLOOKUP($A744,'[1]ma sp 02'!$A$5:$BD$1101,T$1,0)</f>
        <v>0.83</v>
      </c>
      <c r="U744" s="50">
        <f>VLOOKUP($A744,'[1]ma sp 02'!$A$5:$BD$1101,U$1,0)</f>
        <v>0</v>
      </c>
      <c r="V744" s="50">
        <f>VLOOKUP($A744,'[1]ma sp 02'!$A$5:$BD$1101,V$1,0)</f>
        <v>0</v>
      </c>
      <c r="W744" s="50">
        <f>VLOOKUP($A744,'[1]ma sp 02'!$A$5:$BD$1101,W$1,0)</f>
        <v>0</v>
      </c>
      <c r="X744" s="50"/>
      <c r="Y744" s="62"/>
      <c r="Z744" s="62"/>
      <c r="AA744" s="62"/>
      <c r="AB744" s="62"/>
      <c r="AC744" s="62"/>
      <c r="AD744" s="62"/>
      <c r="AE744" s="62" t="s">
        <v>2162</v>
      </c>
      <c r="AF744" s="62"/>
      <c r="AG744" s="53">
        <f>(0.03*0.91+0.035*0.91)*0.88</f>
        <v>5.2052000000000008E-2</v>
      </c>
      <c r="AH744" s="54">
        <f>(2.5/0.75/2)*0.87</f>
        <v>1.45</v>
      </c>
      <c r="AI744" s="54"/>
      <c r="AJ744" s="62">
        <v>9530</v>
      </c>
      <c r="AK744" s="62"/>
      <c r="AL744" s="62">
        <v>2.3E-3</v>
      </c>
      <c r="AM744" s="61" t="s">
        <v>1489</v>
      </c>
      <c r="AN744" s="62">
        <v>138</v>
      </c>
      <c r="AO744" s="61" t="s">
        <v>169</v>
      </c>
      <c r="AP744" s="59" t="str">
        <f>IFERROR(VLOOKUP($A744,[2]Mssp!$A$5:$BE$1463,AP$4+1,0),0)</f>
        <v>F126665-1</v>
      </c>
      <c r="AQ744" s="59" t="str">
        <f>IFERROR(VLOOKUP($A744,[2]Mssp!$A$5:$BE$1463,AQ$4+1,0),0)</f>
        <v>F126665-2</v>
      </c>
      <c r="AR744" s="59" t="str">
        <f>IFERROR(VLOOKUP($A744,[2]Mssp!$A$5:$BE$1463,AR$4+1,0),0)</f>
        <v>F126665-3</v>
      </c>
      <c r="AS744" s="59" t="str">
        <f>IFERROR(VLOOKUP($A744,[2]Mssp!$A$5:$BE$1463,AS$4+1,0),0)</f>
        <v>F126665-4</v>
      </c>
      <c r="AT744" s="59" t="str">
        <f>IFERROR(VLOOKUP($A744,[2]Mssp!$A$5:$BE$1463,AT$4+1,0),0)</f>
        <v>F126665-5</v>
      </c>
      <c r="AU744" s="59" t="str">
        <f>IFERROR(VLOOKUP($A744,[2]Mssp!$A$5:$BE$1463,AU$4+1,0),0)</f>
        <v>F126665-6</v>
      </c>
      <c r="AV744" s="59" t="str">
        <f>IFERROR(VLOOKUP($A744,[2]Mssp!$A$5:$BE$1463,AV$4+1,0),0)</f>
        <v>F126665-7</v>
      </c>
      <c r="AW744" s="59" t="str">
        <f>IFERROR(VLOOKUP($A744,[2]Mssp!$A$5:$BE$1463,AW$4+1,0),0)</f>
        <v>F126665-8</v>
      </c>
      <c r="AX744" s="59">
        <f>IFERROR(VLOOKUP($A744,[2]Mssp!$A$5:$BE$1463,AX$4+1,0),0)</f>
        <v>0</v>
      </c>
      <c r="AY744" s="59" t="str">
        <f>IFERROR(VLOOKUP($A744,[2]Mssp!$A$5:$BE$1463,AY$4+2,0),0)</f>
        <v>552x1100</v>
      </c>
      <c r="AZ744" s="59" t="str">
        <f>IFERROR(VLOOKUP($A744,[2]Mssp!$A$5:$BE$1463,AZ$4+2,0),0)</f>
        <v>S3</v>
      </c>
      <c r="BA744" s="141"/>
      <c r="BB744" s="61" t="s">
        <v>952</v>
      </c>
      <c r="BC744" s="165"/>
      <c r="BD744" s="166"/>
      <c r="BE744" s="167"/>
      <c r="BF744" s="168"/>
      <c r="BG744" s="167"/>
      <c r="BH744" s="168"/>
      <c r="BI744" s="169"/>
      <c r="BJ744" s="168"/>
      <c r="BK744" s="134"/>
      <c r="BL744" s="168"/>
      <c r="BM744" s="167"/>
      <c r="BN744" s="168"/>
      <c r="BO744" s="62"/>
      <c r="BP744" s="168"/>
      <c r="BQ744" s="168"/>
      <c r="BR744" s="168"/>
      <c r="BS744" s="135"/>
      <c r="BT744" s="176"/>
      <c r="BU744" s="167"/>
      <c r="BV744" s="168"/>
      <c r="BW744" s="167"/>
      <c r="BX744" s="168"/>
      <c r="BY744" s="167"/>
      <c r="BZ744" s="176"/>
      <c r="CA744" s="167"/>
      <c r="CB744" s="168"/>
      <c r="CC744" s="167"/>
      <c r="CD744" s="168"/>
      <c r="CE744" s="62"/>
      <c r="CF744" s="62"/>
      <c r="CG744" s="9"/>
      <c r="CH744" s="9"/>
      <c r="CI744" s="9"/>
      <c r="CJ744" s="9"/>
      <c r="CK744" s="9"/>
      <c r="CL744" s="9"/>
      <c r="CM744" s="9"/>
      <c r="CN744" s="9"/>
      <c r="CO744" s="9"/>
      <c r="CP744" s="9"/>
    </row>
    <row r="745" spans="1:94" ht="30" x14ac:dyDescent="0.25">
      <c r="A745" s="127" t="s">
        <v>2391</v>
      </c>
      <c r="B745" s="51" t="s">
        <v>2392</v>
      </c>
      <c r="C745" s="62"/>
      <c r="D745" s="84">
        <v>4</v>
      </c>
      <c r="E745" s="62" t="s">
        <v>2390</v>
      </c>
      <c r="F745" s="62">
        <v>8</v>
      </c>
      <c r="G745" s="62" t="s">
        <v>184</v>
      </c>
      <c r="H745" s="50">
        <f>VLOOKUP($A745,'[1]ma sp 02'!$A$5:$BD$1101,H$1,0)</f>
        <v>0.81699999999999995</v>
      </c>
      <c r="I745" s="50">
        <f>VLOOKUP($A745,'[1]ma sp 02'!$A$5:$BD$1101,I$1,0)</f>
        <v>5.0369999999999999</v>
      </c>
      <c r="J745" s="50">
        <f>VLOOKUP($A745,'[1]ma sp 02'!$A$5:$BD$1101,J$1,0)</f>
        <v>0.13600000000000001</v>
      </c>
      <c r="K745" s="50">
        <f>VLOOKUP($A745,'[1]ma sp 02'!$A$5:$BD$1101,K$1,0)</f>
        <v>0.27200000000000002</v>
      </c>
      <c r="L745" s="50">
        <f>VLOOKUP($A745,'[1]ma sp 02'!$A$5:$BD$1101,L$1,0)</f>
        <v>0.81699999999999995</v>
      </c>
      <c r="M745" s="50">
        <f>VLOOKUP($A745,'[1]ma sp 02'!$A$5:$BD$1101,M$1,0)</f>
        <v>2.4500000000000002</v>
      </c>
      <c r="N745" s="50">
        <f>VLOOKUP($A745,'[1]ma sp 02'!$A$5:$BD$1101,N$1,0)</f>
        <v>0.13600000000000001</v>
      </c>
      <c r="O745" s="50">
        <f>VLOOKUP($A745,'[1]ma sp 02'!$A$5:$BD$1101,O$1,0)</f>
        <v>0.01</v>
      </c>
      <c r="P745" s="50">
        <f>VLOOKUP($A745,'[1]ma sp 02'!$A$5:$BD$1101,P$1,0)</f>
        <v>0</v>
      </c>
      <c r="Q745" s="50">
        <f>VLOOKUP($A745,'[1]ma sp 02'!$A$5:$BD$1101,Q$1,0)</f>
        <v>0.27200000000000002</v>
      </c>
      <c r="R745" s="50">
        <f>VLOOKUP($A745,'[1]ma sp 02'!$A$5:$BD$1101,R$1,0)</f>
        <v>0</v>
      </c>
      <c r="S745" s="50">
        <f>VLOOKUP($A745,'[1]ma sp 02'!$A$5:$BD$1101,S$1,0)</f>
        <v>0</v>
      </c>
      <c r="T745" s="50">
        <f>VLOOKUP($A745,'[1]ma sp 02'!$A$5:$BD$1101,T$1,0)</f>
        <v>0.01</v>
      </c>
      <c r="U745" s="50">
        <f>VLOOKUP($A745,'[1]ma sp 02'!$A$5:$BD$1101,U$1,0)</f>
        <v>0</v>
      </c>
      <c r="V745" s="50">
        <f>VLOOKUP($A745,'[1]ma sp 02'!$A$5:$BD$1101,V$1,0)</f>
        <v>0</v>
      </c>
      <c r="W745" s="50">
        <f>VLOOKUP($A745,'[1]ma sp 02'!$A$5:$BD$1101,W$1,0)</f>
        <v>0</v>
      </c>
      <c r="X745" s="50"/>
      <c r="Y745" s="62"/>
      <c r="Z745" s="62"/>
      <c r="AA745" s="62"/>
      <c r="AB745" s="62"/>
      <c r="AC745" s="62"/>
      <c r="AD745" s="62"/>
      <c r="AE745" s="62" t="s">
        <v>2162</v>
      </c>
      <c r="AF745" s="62"/>
      <c r="AG745" s="53">
        <f>(0.03*0.91+0.035*0.91)*0.88</f>
        <v>5.2052000000000008E-2</v>
      </c>
      <c r="AH745" s="54">
        <f>(2.5/0.75/2)*0.87</f>
        <v>1.45</v>
      </c>
      <c r="AI745" s="54"/>
      <c r="AJ745" s="62">
        <v>9530</v>
      </c>
      <c r="AK745" s="62"/>
      <c r="AL745" s="62">
        <v>2.3E-3</v>
      </c>
      <c r="AM745" s="61" t="s">
        <v>1489</v>
      </c>
      <c r="AN745" s="62">
        <v>138</v>
      </c>
      <c r="AO745" s="61" t="s">
        <v>169</v>
      </c>
      <c r="AP745" s="59" t="str">
        <f>IFERROR(VLOOKUP($A745,[2]Mssp!$A$5:$BE$1463,AP$4+1,0),0)</f>
        <v>F126666G2-1</v>
      </c>
      <c r="AQ745" s="59" t="str">
        <f>IFERROR(VLOOKUP($A745,[2]Mssp!$A$5:$BE$1463,AQ$4+1,0),0)</f>
        <v>F126665-2</v>
      </c>
      <c r="AR745" s="59" t="str">
        <f>IFERROR(VLOOKUP($A745,[2]Mssp!$A$5:$BE$1463,AR$4+1,0),0)</f>
        <v>F126665-3</v>
      </c>
      <c r="AS745" s="59" t="str">
        <f>IFERROR(VLOOKUP($A745,[2]Mssp!$A$5:$BE$1463,AS$4+1,0),0)</f>
        <v>F126665-4</v>
      </c>
      <c r="AT745" s="59" t="str">
        <f>IFERROR(VLOOKUP($A745,[2]Mssp!$A$5:$BE$1463,AT$4+1,0),0)</f>
        <v>F126665-5</v>
      </c>
      <c r="AU745" s="59" t="str">
        <f>IFERROR(VLOOKUP($A745,[2]Mssp!$A$5:$BE$1463,AU$4+1,0),0)</f>
        <v>F126665-6</v>
      </c>
      <c r="AV745" s="59" t="str">
        <f>IFERROR(VLOOKUP($A745,[2]Mssp!$A$5:$BE$1463,AV$4+1,0),0)</f>
        <v>F126665-7</v>
      </c>
      <c r="AW745" s="59" t="str">
        <f>IFERROR(VLOOKUP($A745,[2]Mssp!$A$5:$BE$1463,AW$4+1,0),0)</f>
        <v>F126665-8</v>
      </c>
      <c r="AX745" s="59">
        <f>IFERROR(VLOOKUP($A745,[2]Mssp!$A$5:$BE$1463,AX$4+1,0),0)</f>
        <v>0</v>
      </c>
      <c r="AY745" s="59" t="str">
        <f>IFERROR(VLOOKUP($A745,[2]Mssp!$A$5:$BE$1463,AY$4+2,0),0)</f>
        <v>552x1100</v>
      </c>
      <c r="AZ745" s="59" t="str">
        <f>IFERROR(VLOOKUP($A745,[2]Mssp!$A$5:$BE$1463,AZ$4+2,0),0)</f>
        <v>S3</v>
      </c>
      <c r="BA745" s="141"/>
      <c r="BB745" s="61" t="s">
        <v>952</v>
      </c>
      <c r="BC745" s="165"/>
      <c r="BD745" s="166"/>
      <c r="BE745" s="167"/>
      <c r="BF745" s="168"/>
      <c r="BG745" s="167"/>
      <c r="BH745" s="168"/>
      <c r="BI745" s="169"/>
      <c r="BJ745" s="168"/>
      <c r="BK745" s="134"/>
      <c r="BL745" s="168"/>
      <c r="BM745" s="167"/>
      <c r="BN745" s="168"/>
      <c r="BO745" s="62"/>
      <c r="BP745" s="168"/>
      <c r="BQ745" s="168"/>
      <c r="BR745" s="168"/>
      <c r="BS745" s="135"/>
      <c r="BT745" s="176"/>
      <c r="BU745" s="167"/>
      <c r="BV745" s="168"/>
      <c r="BW745" s="167"/>
      <c r="BX745" s="168"/>
      <c r="BY745" s="167"/>
      <c r="BZ745" s="176"/>
      <c r="CA745" s="167"/>
      <c r="CB745" s="168"/>
      <c r="CC745" s="167"/>
      <c r="CD745" s="168"/>
      <c r="CE745" s="62"/>
      <c r="CF745" s="62"/>
      <c r="CG745" s="9"/>
      <c r="CH745" s="9"/>
      <c r="CI745" s="9"/>
      <c r="CJ745" s="9"/>
      <c r="CK745" s="9"/>
      <c r="CL745" s="9"/>
      <c r="CM745" s="9"/>
      <c r="CN745" s="9"/>
      <c r="CO745" s="9"/>
      <c r="CP745" s="9"/>
    </row>
    <row r="746" spans="1:94" ht="30" x14ac:dyDescent="0.25">
      <c r="A746" s="127" t="s">
        <v>2393</v>
      </c>
      <c r="B746" s="51" t="s">
        <v>2394</v>
      </c>
      <c r="C746" s="62"/>
      <c r="D746" s="84">
        <v>5</v>
      </c>
      <c r="E746" s="62" t="s">
        <v>1884</v>
      </c>
      <c r="F746" s="62">
        <v>2</v>
      </c>
      <c r="G746" s="62" t="s">
        <v>184</v>
      </c>
      <c r="H746" s="50">
        <f>VLOOKUP($A746,'[1]ma sp 02'!$A$5:$BD$1101,H$1,0)</f>
        <v>0.39100000000000001</v>
      </c>
      <c r="I746" s="50">
        <f>VLOOKUP($A746,'[1]ma sp 02'!$A$5:$BD$1101,I$1,0)</f>
        <v>0.33500000000000002</v>
      </c>
      <c r="J746" s="50">
        <f>VLOOKUP($A746,'[1]ma sp 02'!$A$5:$BD$1101,J$1,0)</f>
        <v>0</v>
      </c>
      <c r="K746" s="50">
        <f>VLOOKUP($A746,'[1]ma sp 02'!$A$5:$BD$1101,K$1,0)</f>
        <v>0</v>
      </c>
      <c r="L746" s="50">
        <f>VLOOKUP($A746,'[1]ma sp 02'!$A$5:$BD$1101,L$1,0)</f>
        <v>0.95</v>
      </c>
      <c r="M746" s="50">
        <f>VLOOKUP($A746,'[1]ma sp 02'!$A$5:$BD$1101,M$1,0)</f>
        <v>0.44700000000000001</v>
      </c>
      <c r="N746" s="50">
        <f>VLOOKUP($A746,'[1]ma sp 02'!$A$5:$BD$1101,N$1,0)</f>
        <v>0</v>
      </c>
      <c r="O746" s="50">
        <f>VLOOKUP($A746,'[1]ma sp 02'!$A$5:$BD$1101,O$1,0)</f>
        <v>0</v>
      </c>
      <c r="P746" s="50">
        <f>VLOOKUP($A746,'[1]ma sp 02'!$A$5:$BD$1101,P$1,0)</f>
        <v>0</v>
      </c>
      <c r="Q746" s="50">
        <f>VLOOKUP($A746,'[1]ma sp 02'!$A$5:$BD$1101,Q$1,0)</f>
        <v>0.01</v>
      </c>
      <c r="R746" s="50">
        <f>VLOOKUP($A746,'[1]ma sp 02'!$A$5:$BD$1101,R$1,0)</f>
        <v>0</v>
      </c>
      <c r="S746" s="50">
        <f>VLOOKUP($A746,'[1]ma sp 02'!$A$5:$BD$1101,S$1,0)</f>
        <v>0</v>
      </c>
      <c r="T746" s="50">
        <f>VLOOKUP($A746,'[1]ma sp 02'!$A$5:$BD$1101,T$1,0)</f>
        <v>0.33500000000000002</v>
      </c>
      <c r="U746" s="50">
        <f>VLOOKUP($A746,'[1]ma sp 02'!$A$5:$BD$1101,U$1,0)</f>
        <v>0</v>
      </c>
      <c r="V746" s="50">
        <f>VLOOKUP($A746,'[1]ma sp 02'!$A$5:$BD$1101,V$1,0)</f>
        <v>0</v>
      </c>
      <c r="W746" s="50">
        <f>VLOOKUP($A746,'[1]ma sp 02'!$A$5:$BD$1101,W$1,0)</f>
        <v>0</v>
      </c>
      <c r="X746" s="50"/>
      <c r="Y746" s="62"/>
      <c r="Z746" s="62"/>
      <c r="AA746" s="62"/>
      <c r="AB746" s="62"/>
      <c r="AC746" s="62"/>
      <c r="AD746" s="62"/>
      <c r="AE746" s="62" t="s">
        <v>2395</v>
      </c>
      <c r="AF746" s="62"/>
      <c r="AG746" s="53">
        <f>(0.02*0.91+0.025*0.94)*0.91</f>
        <v>3.7947000000000002E-2</v>
      </c>
      <c r="AH746" s="155">
        <f>(2/0.75/2)*0.9</f>
        <v>1.2</v>
      </c>
      <c r="AI746" s="9"/>
      <c r="AJ746" s="9">
        <v>9530</v>
      </c>
      <c r="AK746" s="9"/>
      <c r="AL746" s="9">
        <v>2E-3</v>
      </c>
      <c r="AM746" s="61" t="s">
        <v>1489</v>
      </c>
      <c r="AN746" s="62">
        <v>155</v>
      </c>
      <c r="AO746" s="61" t="s">
        <v>1736</v>
      </c>
      <c r="AP746" s="59" t="str">
        <f>IFERROR(VLOOKUP($A746,[2]Mssp!$A$5:$BE$1463,AP$4+1,0),0)</f>
        <v>F126667-1</v>
      </c>
      <c r="AQ746" s="59" t="str">
        <f>IFERROR(VLOOKUP($A746,[2]Mssp!$A$5:$BE$1463,AQ$4+1,0),0)</f>
        <v>F126667-2</v>
      </c>
      <c r="AR746" s="59">
        <f>IFERROR(VLOOKUP($A746,[2]Mssp!$A$5:$BE$1463,AR$4+1,0),0)</f>
        <v>0</v>
      </c>
      <c r="AS746" s="59">
        <f>IFERROR(VLOOKUP($A746,[2]Mssp!$A$5:$BE$1463,AS$4+1,0),0)</f>
        <v>0</v>
      </c>
      <c r="AT746" s="59">
        <f>IFERROR(VLOOKUP($A746,[2]Mssp!$A$5:$BE$1463,AT$4+1,0),0)</f>
        <v>0</v>
      </c>
      <c r="AU746" s="59">
        <f>IFERROR(VLOOKUP($A746,[2]Mssp!$A$5:$BE$1463,AU$4+1,0),0)</f>
        <v>0</v>
      </c>
      <c r="AV746" s="59">
        <f>IFERROR(VLOOKUP($A746,[2]Mssp!$A$5:$BE$1463,AV$4+1,0),0)</f>
        <v>0</v>
      </c>
      <c r="AW746" s="59">
        <f>IFERROR(VLOOKUP($A746,[2]Mssp!$A$5:$BE$1463,AW$4+1,0),0)</f>
        <v>0</v>
      </c>
      <c r="AX746" s="59">
        <f>IFERROR(VLOOKUP($A746,[2]Mssp!$A$5:$BE$1463,AX$4+1,0),0)</f>
        <v>0</v>
      </c>
      <c r="AY746" s="59" t="str">
        <f>IFERROR(VLOOKUP($A746,[2]Mssp!$A$5:$BE$1463,AY$4+2,0),0)</f>
        <v>465x1100</v>
      </c>
      <c r="AZ746" s="59" t="str">
        <f>IFERROR(VLOOKUP($A746,[2]Mssp!$A$5:$BE$1463,AZ$4+2,0),0)</f>
        <v>S3</v>
      </c>
      <c r="BA746" s="141" t="s">
        <v>1886</v>
      </c>
      <c r="BB746" s="61" t="s">
        <v>952</v>
      </c>
      <c r="BC746" s="165"/>
      <c r="BD746" s="166"/>
      <c r="BE746" s="167"/>
      <c r="BF746" s="168"/>
      <c r="BG746" s="167"/>
      <c r="BH746" s="168"/>
      <c r="BI746" s="169"/>
      <c r="BJ746" s="168"/>
      <c r="BK746" s="134"/>
      <c r="BL746" s="168"/>
      <c r="BM746" s="167"/>
      <c r="BN746" s="168"/>
      <c r="BO746" s="62"/>
      <c r="BP746" s="168"/>
      <c r="BQ746" s="168"/>
      <c r="BR746" s="168"/>
      <c r="BS746" s="135"/>
      <c r="BT746" s="176"/>
      <c r="BU746" s="167"/>
      <c r="BV746" s="168"/>
      <c r="BW746" s="167"/>
      <c r="BX746" s="168"/>
      <c r="BY746" s="167"/>
      <c r="BZ746" s="176"/>
      <c r="CA746" s="167"/>
      <c r="CB746" s="168"/>
      <c r="CC746" s="167"/>
      <c r="CD746" s="168"/>
      <c r="CE746" s="62"/>
      <c r="CF746" s="62"/>
      <c r="CG746" s="9"/>
      <c r="CH746" s="9"/>
      <c r="CI746" s="9"/>
      <c r="CJ746" s="9"/>
      <c r="CK746" s="9"/>
      <c r="CL746" s="9"/>
      <c r="CM746" s="9"/>
      <c r="CN746" s="9"/>
      <c r="CO746" s="9"/>
      <c r="CP746" s="9"/>
    </row>
    <row r="747" spans="1:94" ht="45" x14ac:dyDescent="0.25">
      <c r="A747" s="127" t="s">
        <v>2396</v>
      </c>
      <c r="B747" s="51" t="s">
        <v>2397</v>
      </c>
      <c r="C747" s="62"/>
      <c r="D747" s="84">
        <v>3</v>
      </c>
      <c r="E747" s="62" t="s">
        <v>2398</v>
      </c>
      <c r="F747" s="62"/>
      <c r="G747" s="62"/>
      <c r="H747" s="50">
        <f>VLOOKUP($A747,'[1]ma sp 02'!$A$5:$BD$1101,H$1,0)</f>
        <v>0</v>
      </c>
      <c r="I747" s="50">
        <f>VLOOKUP($A747,'[1]ma sp 02'!$A$5:$BD$1101,I$1,0)</f>
        <v>0</v>
      </c>
      <c r="J747" s="50">
        <f>VLOOKUP($A747,'[1]ma sp 02'!$A$5:$BD$1101,J$1,0)</f>
        <v>0</v>
      </c>
      <c r="K747" s="50">
        <f>VLOOKUP($A747,'[1]ma sp 02'!$A$5:$BD$1101,K$1,0)</f>
        <v>0</v>
      </c>
      <c r="L747" s="50">
        <f>VLOOKUP($A747,'[1]ma sp 02'!$A$5:$BD$1101,L$1,0)</f>
        <v>0</v>
      </c>
      <c r="M747" s="50">
        <f>VLOOKUP($A747,'[1]ma sp 02'!$A$5:$BD$1101,M$1,0)</f>
        <v>0</v>
      </c>
      <c r="N747" s="50">
        <f>VLOOKUP($A747,'[1]ma sp 02'!$A$5:$BD$1101,N$1,0)</f>
        <v>0</v>
      </c>
      <c r="O747" s="50">
        <f>VLOOKUP($A747,'[1]ma sp 02'!$A$5:$BD$1101,O$1,0)</f>
        <v>0</v>
      </c>
      <c r="P747" s="50">
        <f>VLOOKUP($A747,'[1]ma sp 02'!$A$5:$BD$1101,P$1,0)</f>
        <v>0</v>
      </c>
      <c r="Q747" s="50">
        <f>VLOOKUP($A747,'[1]ma sp 02'!$A$5:$BD$1101,Q$1,0)</f>
        <v>0</v>
      </c>
      <c r="R747" s="50">
        <f>VLOOKUP($A747,'[1]ma sp 02'!$A$5:$BD$1101,R$1,0)</f>
        <v>0</v>
      </c>
      <c r="S747" s="50">
        <f>VLOOKUP($A747,'[1]ma sp 02'!$A$5:$BD$1101,S$1,0)</f>
        <v>0</v>
      </c>
      <c r="T747" s="50">
        <f>VLOOKUP($A747,'[1]ma sp 02'!$A$5:$BD$1101,T$1,0)</f>
        <v>0</v>
      </c>
      <c r="U747" s="50">
        <f>VLOOKUP($A747,'[1]ma sp 02'!$A$5:$BD$1101,U$1,0)</f>
        <v>0</v>
      </c>
      <c r="V747" s="50">
        <f>VLOOKUP($A747,'[1]ma sp 02'!$A$5:$BD$1101,V$1,0)</f>
        <v>0</v>
      </c>
      <c r="W747" s="50">
        <f>VLOOKUP($A747,'[1]ma sp 02'!$A$5:$BD$1101,W$1,0)</f>
        <v>0</v>
      </c>
      <c r="X747" s="50"/>
      <c r="Y747" s="62"/>
      <c r="Z747" s="62"/>
      <c r="AA747" s="62"/>
      <c r="AB747" s="62"/>
      <c r="AC747" s="62"/>
      <c r="AD747" s="62"/>
      <c r="AE747" s="62" t="s">
        <v>2399</v>
      </c>
      <c r="AF747" s="62"/>
      <c r="AG747" s="53">
        <f>(0.02*0.91+0.035*0.94)*0.88</f>
        <v>4.4968000000000001E-2</v>
      </c>
      <c r="AH747" s="155">
        <f>(2/0.75/2)*0.87</f>
        <v>1.1599999999999999</v>
      </c>
      <c r="AI747" s="9"/>
      <c r="AJ747" s="9">
        <v>9530</v>
      </c>
      <c r="AK747" s="9"/>
      <c r="AL747" s="9">
        <v>2E-3</v>
      </c>
      <c r="AM747" s="61" t="s">
        <v>1489</v>
      </c>
      <c r="AN747" s="62">
        <v>175</v>
      </c>
      <c r="AO747" s="61" t="s">
        <v>2400</v>
      </c>
      <c r="AP747" s="59">
        <f>IFERROR(VLOOKUP($A747,[2]Mssp!$A$5:$BE$1463,AP$4+1,0),0)</f>
        <v>0</v>
      </c>
      <c r="AQ747" s="59">
        <f>IFERROR(VLOOKUP($A747,[2]Mssp!$A$5:$BE$1463,AQ$4+1,0),0)</f>
        <v>0</v>
      </c>
      <c r="AR747" s="59">
        <f>IFERROR(VLOOKUP($A747,[2]Mssp!$A$5:$BE$1463,AR$4+1,0),0)</f>
        <v>0</v>
      </c>
      <c r="AS747" s="59">
        <f>IFERROR(VLOOKUP($A747,[2]Mssp!$A$5:$BE$1463,AS$4+1,0),0)</f>
        <v>0</v>
      </c>
      <c r="AT747" s="59">
        <f>IFERROR(VLOOKUP($A747,[2]Mssp!$A$5:$BE$1463,AT$4+1,0),0)</f>
        <v>0</v>
      </c>
      <c r="AU747" s="59">
        <f>IFERROR(VLOOKUP($A747,[2]Mssp!$A$5:$BE$1463,AU$4+1,0),0)</f>
        <v>0</v>
      </c>
      <c r="AV747" s="59">
        <f>IFERROR(VLOOKUP($A747,[2]Mssp!$A$5:$BE$1463,AV$4+1,0),0)</f>
        <v>0</v>
      </c>
      <c r="AW747" s="59">
        <f>IFERROR(VLOOKUP($A747,[2]Mssp!$A$5:$BE$1463,AW$4+1,0),0)</f>
        <v>0</v>
      </c>
      <c r="AX747" s="59">
        <f>IFERROR(VLOOKUP($A747,[2]Mssp!$A$5:$BE$1463,AX$4+1,0),0)</f>
        <v>0</v>
      </c>
      <c r="AY747" s="59">
        <f>IFERROR(VLOOKUP($A747,[2]Mssp!$A$5:$BE$1463,AY$4+2,0),0)</f>
        <v>0</v>
      </c>
      <c r="AZ747" s="59">
        <f>IFERROR(VLOOKUP($A747,[2]Mssp!$A$5:$BE$1463,AZ$4+2,0),0)</f>
        <v>0</v>
      </c>
      <c r="BA747" s="141" t="s">
        <v>2000</v>
      </c>
      <c r="BB747" s="61" t="s">
        <v>952</v>
      </c>
      <c r="BC747" s="165"/>
      <c r="BD747" s="166"/>
      <c r="BE747" s="167"/>
      <c r="BF747" s="168"/>
      <c r="BG747" s="167"/>
      <c r="BH747" s="168"/>
      <c r="BI747" s="169"/>
      <c r="BJ747" s="168"/>
      <c r="BK747" s="134"/>
      <c r="BL747" s="168"/>
      <c r="BM747" s="167"/>
      <c r="BN747" s="168"/>
      <c r="BO747" s="62"/>
      <c r="BP747" s="168"/>
      <c r="BQ747" s="168"/>
      <c r="BR747" s="168"/>
      <c r="BS747" s="135"/>
      <c r="BT747" s="176"/>
      <c r="BU747" s="167"/>
      <c r="BV747" s="168"/>
      <c r="BW747" s="167"/>
      <c r="BX747" s="168"/>
      <c r="BY747" s="167"/>
      <c r="BZ747" s="176"/>
      <c r="CA747" s="167"/>
      <c r="CB747" s="168"/>
      <c r="CC747" s="167"/>
      <c r="CD747" s="168"/>
      <c r="CE747" s="62"/>
      <c r="CF747" s="62"/>
      <c r="CG747" s="9"/>
      <c r="CH747" s="9"/>
      <c r="CI747" s="9"/>
      <c r="CJ747" s="9"/>
      <c r="CK747" s="9"/>
      <c r="CL747" s="9"/>
      <c r="CM747" s="9"/>
      <c r="CN747" s="9"/>
      <c r="CO747" s="9"/>
      <c r="CP747" s="9"/>
    </row>
    <row r="748" spans="1:94" ht="45" x14ac:dyDescent="0.25">
      <c r="A748" s="127" t="s">
        <v>2401</v>
      </c>
      <c r="B748" s="51" t="s">
        <v>2402</v>
      </c>
      <c r="C748" s="62"/>
      <c r="D748" s="84">
        <v>2</v>
      </c>
      <c r="E748" s="62" t="s">
        <v>113</v>
      </c>
      <c r="F748" s="62"/>
      <c r="G748" s="62"/>
      <c r="H748" s="50">
        <f>VLOOKUP($A748,'[1]ma sp 02'!$A$5:$BD$1101,H$1,0)</f>
        <v>0</v>
      </c>
      <c r="I748" s="50">
        <f>VLOOKUP($A748,'[1]ma sp 02'!$A$5:$BD$1101,I$1,0)</f>
        <v>0</v>
      </c>
      <c r="J748" s="50">
        <f>VLOOKUP($A748,'[1]ma sp 02'!$A$5:$BD$1101,J$1,0)</f>
        <v>0</v>
      </c>
      <c r="K748" s="50">
        <f>VLOOKUP($A748,'[1]ma sp 02'!$A$5:$BD$1101,K$1,0)</f>
        <v>0</v>
      </c>
      <c r="L748" s="50">
        <f>VLOOKUP($A748,'[1]ma sp 02'!$A$5:$BD$1101,L$1,0)</f>
        <v>0</v>
      </c>
      <c r="M748" s="50">
        <f>VLOOKUP($A748,'[1]ma sp 02'!$A$5:$BD$1101,M$1,0)</f>
        <v>0</v>
      </c>
      <c r="N748" s="50">
        <f>VLOOKUP($A748,'[1]ma sp 02'!$A$5:$BD$1101,N$1,0)</f>
        <v>0</v>
      </c>
      <c r="O748" s="50">
        <f>VLOOKUP($A748,'[1]ma sp 02'!$A$5:$BD$1101,O$1,0)</f>
        <v>0</v>
      </c>
      <c r="P748" s="50">
        <f>VLOOKUP($A748,'[1]ma sp 02'!$A$5:$BD$1101,P$1,0)</f>
        <v>0</v>
      </c>
      <c r="Q748" s="50">
        <f>VLOOKUP($A748,'[1]ma sp 02'!$A$5:$BD$1101,Q$1,0)</f>
        <v>0</v>
      </c>
      <c r="R748" s="50">
        <f>VLOOKUP($A748,'[1]ma sp 02'!$A$5:$BD$1101,R$1,0)</f>
        <v>0</v>
      </c>
      <c r="S748" s="50">
        <f>VLOOKUP($A748,'[1]ma sp 02'!$A$5:$BD$1101,S$1,0)</f>
        <v>0</v>
      </c>
      <c r="T748" s="50">
        <f>VLOOKUP($A748,'[1]ma sp 02'!$A$5:$BD$1101,T$1,0)</f>
        <v>0</v>
      </c>
      <c r="U748" s="50">
        <f>VLOOKUP($A748,'[1]ma sp 02'!$A$5:$BD$1101,U$1,0)</f>
        <v>0</v>
      </c>
      <c r="V748" s="50">
        <f>VLOOKUP($A748,'[1]ma sp 02'!$A$5:$BD$1101,V$1,0)</f>
        <v>0</v>
      </c>
      <c r="W748" s="50">
        <f>VLOOKUP($A748,'[1]ma sp 02'!$A$5:$BD$1101,W$1,0)</f>
        <v>0</v>
      </c>
      <c r="X748" s="50"/>
      <c r="Y748" s="62"/>
      <c r="Z748" s="62"/>
      <c r="AA748" s="62"/>
      <c r="AB748" s="62"/>
      <c r="AC748" s="62"/>
      <c r="AD748" s="62"/>
      <c r="AE748" s="62" t="s">
        <v>2403</v>
      </c>
      <c r="AF748" s="62" t="s">
        <v>2404</v>
      </c>
      <c r="AG748" s="53">
        <f>(0.012*1.4+0.006*2.71+0.07*0.925)*0.74</f>
        <v>7.237940000000001E-2</v>
      </c>
      <c r="AH748" s="54">
        <f>(2.3/0.75/2)*0.73</f>
        <v>1.1193333333333333</v>
      </c>
      <c r="AI748" s="54">
        <f>(2.3/0.75/2)*0.73</f>
        <v>1.1193333333333333</v>
      </c>
      <c r="AJ748" s="9">
        <v>9530</v>
      </c>
      <c r="AK748" s="9">
        <v>9530</v>
      </c>
      <c r="AL748" s="9" t="s">
        <v>1949</v>
      </c>
      <c r="AM748" s="61" t="s">
        <v>1893</v>
      </c>
      <c r="AN748" s="62">
        <v>210</v>
      </c>
      <c r="AO748" s="61" t="s">
        <v>2405</v>
      </c>
      <c r="AP748" s="59">
        <f>IFERROR(VLOOKUP($A748,[2]Mssp!$A$5:$BE$1463,AP$4+1,0),0)</f>
        <v>0</v>
      </c>
      <c r="AQ748" s="59">
        <f>IFERROR(VLOOKUP($A748,[2]Mssp!$A$5:$BE$1463,AQ$4+1,0),0)</f>
        <v>0</v>
      </c>
      <c r="AR748" s="59">
        <f>IFERROR(VLOOKUP($A748,[2]Mssp!$A$5:$BE$1463,AR$4+1,0),0)</f>
        <v>0</v>
      </c>
      <c r="AS748" s="59">
        <f>IFERROR(VLOOKUP($A748,[2]Mssp!$A$5:$BE$1463,AS$4+1,0),0)</f>
        <v>0</v>
      </c>
      <c r="AT748" s="59">
        <f>IFERROR(VLOOKUP($A748,[2]Mssp!$A$5:$BE$1463,AT$4+1,0),0)</f>
        <v>0</v>
      </c>
      <c r="AU748" s="59">
        <f>IFERROR(VLOOKUP($A748,[2]Mssp!$A$5:$BE$1463,AU$4+1,0),0)</f>
        <v>0</v>
      </c>
      <c r="AV748" s="59">
        <f>IFERROR(VLOOKUP($A748,[2]Mssp!$A$5:$BE$1463,AV$4+1,0),0)</f>
        <v>0</v>
      </c>
      <c r="AW748" s="59">
        <f>IFERROR(VLOOKUP($A748,[2]Mssp!$A$5:$BE$1463,AW$4+1,0),0)</f>
        <v>0</v>
      </c>
      <c r="AX748" s="59">
        <f>IFERROR(VLOOKUP($A748,[2]Mssp!$A$5:$BE$1463,AX$4+1,0),0)</f>
        <v>0</v>
      </c>
      <c r="AY748" s="59">
        <f>IFERROR(VLOOKUP($A748,[2]Mssp!$A$5:$BE$1463,AY$4+2,0),0)</f>
        <v>0</v>
      </c>
      <c r="AZ748" s="59">
        <f>IFERROR(VLOOKUP($A748,[2]Mssp!$A$5:$BE$1463,AZ$4+2,0),0)</f>
        <v>0</v>
      </c>
      <c r="BA748" s="141"/>
      <c r="BB748" s="61"/>
      <c r="BC748" s="165"/>
      <c r="BD748" s="166"/>
      <c r="BE748" s="167"/>
      <c r="BF748" s="168"/>
      <c r="BG748" s="167"/>
      <c r="BH748" s="168"/>
      <c r="BI748" s="169"/>
      <c r="BJ748" s="168"/>
      <c r="BK748" s="134"/>
      <c r="BL748" s="168"/>
      <c r="BM748" s="167"/>
      <c r="BN748" s="168"/>
      <c r="BO748" s="62"/>
      <c r="BP748" s="168"/>
      <c r="BQ748" s="168"/>
      <c r="BR748" s="168"/>
      <c r="BS748" s="135"/>
      <c r="BT748" s="176"/>
      <c r="BU748" s="167"/>
      <c r="BV748" s="168"/>
      <c r="BW748" s="167"/>
      <c r="BX748" s="168"/>
      <c r="BY748" s="167"/>
      <c r="BZ748" s="176"/>
      <c r="CA748" s="167"/>
      <c r="CB748" s="168"/>
      <c r="CC748" s="167"/>
      <c r="CD748" s="168"/>
      <c r="CE748" s="62"/>
      <c r="CF748" s="62"/>
      <c r="CG748" s="9"/>
      <c r="CH748" s="9"/>
      <c r="CI748" s="9"/>
      <c r="CJ748" s="9"/>
      <c r="CK748" s="9"/>
      <c r="CL748" s="9"/>
      <c r="CM748" s="9"/>
      <c r="CN748" s="9"/>
      <c r="CO748" s="9"/>
      <c r="CP748" s="9"/>
    </row>
    <row r="749" spans="1:94" ht="30" x14ac:dyDescent="0.25">
      <c r="A749" s="127" t="s">
        <v>2406</v>
      </c>
      <c r="B749" s="51" t="s">
        <v>2407</v>
      </c>
      <c r="C749" s="62"/>
      <c r="D749" s="84">
        <v>3</v>
      </c>
      <c r="E749" s="62" t="s">
        <v>1023</v>
      </c>
      <c r="F749" s="62">
        <v>2</v>
      </c>
      <c r="G749" s="62"/>
      <c r="H749" s="50">
        <f>VLOOKUP($A749,'[1]ma sp 02'!$A$5:$BD$1101,H$1,0)</f>
        <v>0</v>
      </c>
      <c r="I749" s="50">
        <f>VLOOKUP($A749,'[1]ma sp 02'!$A$5:$BD$1101,I$1,0)</f>
        <v>0</v>
      </c>
      <c r="J749" s="50">
        <f>VLOOKUP($A749,'[1]ma sp 02'!$A$5:$BD$1101,J$1,0)</f>
        <v>0.432</v>
      </c>
      <c r="K749" s="50">
        <f>VLOOKUP($A749,'[1]ma sp 02'!$A$5:$BD$1101,K$1,0)</f>
        <v>0</v>
      </c>
      <c r="L749" s="50">
        <f>VLOOKUP($A749,'[1]ma sp 02'!$A$5:$BD$1101,L$1,0)</f>
        <v>0</v>
      </c>
      <c r="M749" s="50">
        <f>VLOOKUP($A749,'[1]ma sp 02'!$A$5:$BD$1101,M$1,0)</f>
        <v>0.64800000000000002</v>
      </c>
      <c r="N749" s="50">
        <f>VLOOKUP($A749,'[1]ma sp 02'!$A$5:$BD$1101,N$1,0)</f>
        <v>0</v>
      </c>
      <c r="O749" s="50">
        <f>VLOOKUP($A749,'[1]ma sp 02'!$A$5:$BD$1101,O$1,0)</f>
        <v>0</v>
      </c>
      <c r="P749" s="50">
        <f>VLOOKUP($A749,'[1]ma sp 02'!$A$5:$BD$1101,P$1,0)</f>
        <v>0.01</v>
      </c>
      <c r="Q749" s="50">
        <f>VLOOKUP($A749,'[1]ma sp 02'!$A$5:$BD$1101,Q$1,0)</f>
        <v>0.21</v>
      </c>
      <c r="R749" s="50">
        <f>VLOOKUP($A749,'[1]ma sp 02'!$A$5:$BD$1101,R$1,0)</f>
        <v>0.75600000000000001</v>
      </c>
      <c r="S749" s="50">
        <f>VLOOKUP($A749,'[1]ma sp 02'!$A$5:$BD$1101,S$1,0)</f>
        <v>0</v>
      </c>
      <c r="T749" s="50">
        <f>VLOOKUP($A749,'[1]ma sp 02'!$A$5:$BD$1101,T$1,0)</f>
        <v>0</v>
      </c>
      <c r="U749" s="50">
        <f>VLOOKUP($A749,'[1]ma sp 02'!$A$5:$BD$1101,U$1,0)</f>
        <v>0</v>
      </c>
      <c r="V749" s="50">
        <f>VLOOKUP($A749,'[1]ma sp 02'!$A$5:$BD$1101,V$1,0)</f>
        <v>0</v>
      </c>
      <c r="W749" s="50">
        <f>VLOOKUP($A749,'[1]ma sp 02'!$A$5:$BD$1101,W$1,0)</f>
        <v>0</v>
      </c>
      <c r="X749" s="50"/>
      <c r="Y749" s="62"/>
      <c r="Z749" s="62"/>
      <c r="AA749" s="62"/>
      <c r="AB749" s="62"/>
      <c r="AC749" s="62"/>
      <c r="AD749" s="62"/>
      <c r="AE749" s="62" t="s">
        <v>2408</v>
      </c>
      <c r="AF749" s="62"/>
      <c r="AG749" s="53">
        <f>(0.03*0.91+0.035*0.925)*0.8</f>
        <v>4.7740000000000005E-2</v>
      </c>
      <c r="AH749" s="54">
        <f>(2.3/0.75/2)*0.79</f>
        <v>1.2113333333333334</v>
      </c>
      <c r="AI749" s="9"/>
      <c r="AJ749" s="9">
        <v>9530</v>
      </c>
      <c r="AK749" s="9"/>
      <c r="AL749" s="9">
        <v>2.3E-3</v>
      </c>
      <c r="AM749" s="61" t="s">
        <v>1489</v>
      </c>
      <c r="AN749" s="62">
        <v>170</v>
      </c>
      <c r="AO749" s="61" t="s">
        <v>209</v>
      </c>
      <c r="AP749" s="59" t="str">
        <f>IFERROR(VLOOKUP($A749,[2]Mssp!$A$5:$BE$1463,AP$4+1,0),0)</f>
        <v>20080603-1</v>
      </c>
      <c r="AQ749" s="59" t="str">
        <f>IFERROR(VLOOKUP($A749,[2]Mssp!$A$5:$BE$1463,AQ$4+1,0),0)</f>
        <v>20080603-2</v>
      </c>
      <c r="AR749" s="59">
        <f>IFERROR(VLOOKUP($A749,[2]Mssp!$A$5:$BE$1463,AR$4+1,0),0)</f>
        <v>0</v>
      </c>
      <c r="AS749" s="59">
        <f>IFERROR(VLOOKUP($A749,[2]Mssp!$A$5:$BE$1463,AS$4+1,0),0)</f>
        <v>0</v>
      </c>
      <c r="AT749" s="59">
        <f>IFERROR(VLOOKUP($A749,[2]Mssp!$A$5:$BE$1463,AT$4+1,0),0)</f>
        <v>0</v>
      </c>
      <c r="AU749" s="59">
        <f>IFERROR(VLOOKUP($A749,[2]Mssp!$A$5:$BE$1463,AU$4+1,0),0)</f>
        <v>0</v>
      </c>
      <c r="AV749" s="59">
        <f>IFERROR(VLOOKUP($A749,[2]Mssp!$A$5:$BE$1463,AV$4+1,0),0)</f>
        <v>0</v>
      </c>
      <c r="AW749" s="59">
        <f>IFERROR(VLOOKUP($A749,[2]Mssp!$A$5:$BE$1463,AW$4+1,0),0)</f>
        <v>0</v>
      </c>
      <c r="AX749" s="59">
        <f>IFERROR(VLOOKUP($A749,[2]Mssp!$A$5:$BE$1463,AX$4+1,0),0)</f>
        <v>0</v>
      </c>
      <c r="AY749" s="59" t="str">
        <f>IFERROR(VLOOKUP($A749,[2]Mssp!$A$5:$BE$1463,AY$4+2,0),0)</f>
        <v>510x870</v>
      </c>
      <c r="AZ749" s="59" t="str">
        <f>IFERROR(VLOOKUP($A749,[2]Mssp!$A$5:$BE$1463,AZ$4+2,0),0)</f>
        <v>S3</v>
      </c>
      <c r="BA749" s="141" t="s">
        <v>1489</v>
      </c>
      <c r="BB749" s="61" t="s">
        <v>952</v>
      </c>
      <c r="BC749" s="165"/>
      <c r="BD749" s="166"/>
      <c r="BE749" s="167"/>
      <c r="BF749" s="168"/>
      <c r="BG749" s="167"/>
      <c r="BH749" s="168"/>
      <c r="BI749" s="169"/>
      <c r="BJ749" s="168"/>
      <c r="BK749" s="134"/>
      <c r="BL749" s="168"/>
      <c r="BM749" s="167"/>
      <c r="BN749" s="168"/>
      <c r="BO749" s="62"/>
      <c r="BP749" s="168"/>
      <c r="BQ749" s="168"/>
      <c r="BR749" s="168"/>
      <c r="BS749" s="135"/>
      <c r="BT749" s="176"/>
      <c r="BU749" s="167"/>
      <c r="BV749" s="168"/>
      <c r="BW749" s="167"/>
      <c r="BX749" s="168"/>
      <c r="BY749" s="167"/>
      <c r="BZ749" s="176"/>
      <c r="CA749" s="167"/>
      <c r="CB749" s="168"/>
      <c r="CC749" s="167"/>
      <c r="CD749" s="168"/>
      <c r="CE749" s="62"/>
      <c r="CF749" s="62"/>
      <c r="CG749" s="9"/>
      <c r="CH749" s="9"/>
      <c r="CI749" s="9"/>
      <c r="CJ749" s="9"/>
      <c r="CK749" s="9"/>
      <c r="CL749" s="9"/>
      <c r="CM749" s="9"/>
      <c r="CN749" s="9"/>
      <c r="CO749" s="9"/>
      <c r="CP749" s="9"/>
    </row>
    <row r="750" spans="1:94" ht="30" x14ac:dyDescent="0.25">
      <c r="A750" s="127" t="s">
        <v>2409</v>
      </c>
      <c r="B750" s="51" t="s">
        <v>2410</v>
      </c>
      <c r="C750" s="62"/>
      <c r="D750" s="84">
        <v>3</v>
      </c>
      <c r="E750" s="62" t="s">
        <v>113</v>
      </c>
      <c r="F750" s="62">
        <v>7</v>
      </c>
      <c r="G750" s="62"/>
      <c r="H750" s="50">
        <f>VLOOKUP($A750,'[1]ma sp 02'!$A$5:$BD$1101,H$1,0)</f>
        <v>0.17399999999999999</v>
      </c>
      <c r="I750" s="50">
        <f>VLOOKUP($A750,'[1]ma sp 02'!$A$5:$BD$1101,I$1,0)</f>
        <v>3.53</v>
      </c>
      <c r="J750" s="50">
        <f>VLOOKUP($A750,'[1]ma sp 02'!$A$5:$BD$1101,J$1,0)</f>
        <v>0.11600000000000001</v>
      </c>
      <c r="K750" s="50">
        <f>VLOOKUP($A750,'[1]ma sp 02'!$A$5:$BD$1101,K$1,0)</f>
        <v>0.01</v>
      </c>
      <c r="L750" s="50">
        <f>VLOOKUP($A750,'[1]ma sp 02'!$A$5:$BD$1101,L$1,0)</f>
        <v>0.46400000000000002</v>
      </c>
      <c r="M750" s="50">
        <f>VLOOKUP($A750,'[1]ma sp 02'!$A$5:$BD$1101,M$1,0)</f>
        <v>1.62</v>
      </c>
      <c r="N750" s="50">
        <f>VLOOKUP($A750,'[1]ma sp 02'!$A$5:$BD$1101,N$1,0)</f>
        <v>0</v>
      </c>
      <c r="O750" s="50">
        <f>VLOOKUP($A750,'[1]ma sp 02'!$A$5:$BD$1101,O$1,0)</f>
        <v>0.40600000000000003</v>
      </c>
      <c r="P750" s="50">
        <f>VLOOKUP($A750,'[1]ma sp 02'!$A$5:$BD$1101,P$1,0)</f>
        <v>0.40600000000000003</v>
      </c>
      <c r="Q750" s="50">
        <f>VLOOKUP($A750,'[1]ma sp 02'!$A$5:$BD$1101,Q$1,0)</f>
        <v>0</v>
      </c>
      <c r="R750" s="50">
        <f>VLOOKUP($A750,'[1]ma sp 02'!$A$5:$BD$1101,R$1,0)</f>
        <v>0.11600000000000001</v>
      </c>
      <c r="S750" s="50">
        <f>VLOOKUP($A750,'[1]ma sp 02'!$A$5:$BD$1101,S$1,0)</f>
        <v>0</v>
      </c>
      <c r="T750" s="50">
        <f>VLOOKUP($A750,'[1]ma sp 02'!$A$5:$BD$1101,T$1,0)</f>
        <v>0</v>
      </c>
      <c r="U750" s="50">
        <f>VLOOKUP($A750,'[1]ma sp 02'!$A$5:$BD$1101,U$1,0)</f>
        <v>0</v>
      </c>
      <c r="V750" s="50">
        <f>VLOOKUP($A750,'[1]ma sp 02'!$A$5:$BD$1101,V$1,0)</f>
        <v>0</v>
      </c>
      <c r="W750" s="50">
        <f>VLOOKUP($A750,'[1]ma sp 02'!$A$5:$BD$1101,W$1,0)</f>
        <v>0</v>
      </c>
      <c r="X750" s="50"/>
      <c r="Y750" s="62"/>
      <c r="Z750" s="62"/>
      <c r="AA750" s="62"/>
      <c r="AB750" s="62"/>
      <c r="AC750" s="62"/>
      <c r="AD750" s="62"/>
      <c r="AE750" s="62" t="s">
        <v>115</v>
      </c>
      <c r="AF750" s="62" t="s">
        <v>2296</v>
      </c>
      <c r="AG750" s="53">
        <f>(0.03*0.91+0.012*1.4+0.085*0.925)*0.74</f>
        <v>9.0816500000000008E-2</v>
      </c>
      <c r="AH750" s="54">
        <f>(2.3/0.75/2)*0.73</f>
        <v>1.1193333333333333</v>
      </c>
      <c r="AI750" s="54">
        <f t="shared" ref="AH750:AI752" si="30">(2.3/0.75/2)*0.73</f>
        <v>1.1193333333333333</v>
      </c>
      <c r="AJ750" s="62">
        <v>9530</v>
      </c>
      <c r="AK750" s="62">
        <v>9530</v>
      </c>
      <c r="AL750" s="62" t="s">
        <v>1682</v>
      </c>
      <c r="AM750" s="61" t="s">
        <v>1489</v>
      </c>
      <c r="AN750" s="62">
        <v>180</v>
      </c>
      <c r="AO750" s="61" t="s">
        <v>2173</v>
      </c>
      <c r="AP750" s="59" t="str">
        <f>IFERROR(VLOOKUP($A750,[2]Mssp!$A$5:$BE$1463,AP$4+1,0),0)</f>
        <v>20080652-1</v>
      </c>
      <c r="AQ750" s="59" t="str">
        <f>IFERROR(VLOOKUP($A750,[2]Mssp!$A$5:$BE$1463,AQ$4+1,0),0)</f>
        <v>20080652-2</v>
      </c>
      <c r="AR750" s="59" t="str">
        <f>IFERROR(VLOOKUP($A750,[2]Mssp!$A$5:$BE$1463,AR$4+1,0),0)</f>
        <v>20080652-3</v>
      </c>
      <c r="AS750" s="59" t="str">
        <f>IFERROR(VLOOKUP($A750,[2]Mssp!$A$5:$BE$1463,AS$4+1,0),0)</f>
        <v>20080652-4</v>
      </c>
      <c r="AT750" s="59" t="str">
        <f>IFERROR(VLOOKUP($A750,[2]Mssp!$A$5:$BE$1463,AT$4+1,0),0)</f>
        <v>20080652-5</v>
      </c>
      <c r="AU750" s="59" t="str">
        <f>IFERROR(VLOOKUP($A750,[2]Mssp!$A$5:$BE$1463,AU$4+1,0),0)</f>
        <v>20080652-6</v>
      </c>
      <c r="AV750" s="59" t="str">
        <f>IFERROR(VLOOKUP($A750,[2]Mssp!$A$5:$BE$1463,AV$4+1,0),0)</f>
        <v>20080652-7</v>
      </c>
      <c r="AW750" s="59" t="str">
        <f>IFERROR(VLOOKUP($A750,[2]Mssp!$A$5:$BE$1463,AW$4+1,0),0)</f>
        <v>20080652-8</v>
      </c>
      <c r="AX750" s="59">
        <f>IFERROR(VLOOKUP($A750,[2]Mssp!$A$5:$BE$1463,AX$4+1,0),0)</f>
        <v>0</v>
      </c>
      <c r="AY750" s="59" t="str">
        <f>IFERROR(VLOOKUP($A750,[2]Mssp!$A$5:$BE$1463,AY$4+2,0),0)</f>
        <v>540x870</v>
      </c>
      <c r="AZ750" s="59" t="str">
        <f>IFERROR(VLOOKUP($A750,[2]Mssp!$A$5:$BE$1463,AZ$4+2,0),0)</f>
        <v>S3</v>
      </c>
      <c r="BA750" s="141" t="s">
        <v>1489</v>
      </c>
      <c r="BB750" s="61" t="s">
        <v>952</v>
      </c>
      <c r="BC750" s="165"/>
      <c r="BD750" s="166"/>
      <c r="BE750" s="167"/>
      <c r="BF750" s="168"/>
      <c r="BG750" s="167"/>
      <c r="BH750" s="168"/>
      <c r="BI750" s="169"/>
      <c r="BJ750" s="168"/>
      <c r="BK750" s="134"/>
      <c r="BL750" s="168"/>
      <c r="BM750" s="167"/>
      <c r="BN750" s="168"/>
      <c r="BO750" s="62"/>
      <c r="BP750" s="168"/>
      <c r="BQ750" s="168"/>
      <c r="BR750" s="168"/>
      <c r="BS750" s="135"/>
      <c r="BT750" s="176"/>
      <c r="BU750" s="167"/>
      <c r="BV750" s="168"/>
      <c r="BW750" s="167"/>
      <c r="BX750" s="168"/>
      <c r="BY750" s="167"/>
      <c r="BZ750" s="176"/>
      <c r="CA750" s="167"/>
      <c r="CB750" s="168"/>
      <c r="CC750" s="167"/>
      <c r="CD750" s="168"/>
      <c r="CE750" s="62"/>
      <c r="CF750" s="62"/>
      <c r="CG750" s="9"/>
      <c r="CH750" s="9"/>
      <c r="CI750" s="9"/>
      <c r="CJ750" s="9"/>
      <c r="CK750" s="9"/>
      <c r="CL750" s="9"/>
      <c r="CM750" s="9"/>
      <c r="CN750" s="9"/>
      <c r="CO750" s="9"/>
      <c r="CP750" s="9"/>
    </row>
    <row r="751" spans="1:94" ht="45" x14ac:dyDescent="0.25">
      <c r="A751" s="127" t="s">
        <v>2411</v>
      </c>
      <c r="B751" s="51" t="s">
        <v>2412</v>
      </c>
      <c r="C751" s="62"/>
      <c r="D751" s="84">
        <v>3</v>
      </c>
      <c r="E751" s="62" t="s">
        <v>113</v>
      </c>
      <c r="F751" s="62">
        <v>6</v>
      </c>
      <c r="G751" s="62"/>
      <c r="H751" s="50">
        <f>VLOOKUP($A751,'[1]ma sp 02'!$A$5:$BD$1101,H$1,0)</f>
        <v>0</v>
      </c>
      <c r="I751" s="50">
        <f>VLOOKUP($A751,'[1]ma sp 02'!$A$5:$BD$1101,I$1,0)</f>
        <v>0.57899999999999996</v>
      </c>
      <c r="J751" s="50">
        <f>VLOOKUP($A751,'[1]ma sp 02'!$A$5:$BD$1101,J$1,0)</f>
        <v>0.23200000000000001</v>
      </c>
      <c r="K751" s="50">
        <f>VLOOKUP($A751,'[1]ma sp 02'!$A$5:$BD$1101,K$1,0)</f>
        <v>0.23200000000000001</v>
      </c>
      <c r="L751" s="50">
        <f>VLOOKUP($A751,'[1]ma sp 02'!$A$5:$BD$1101,L$1,0)</f>
        <v>0.34699999999999998</v>
      </c>
      <c r="M751" s="50">
        <f>VLOOKUP($A751,'[1]ma sp 02'!$A$5:$BD$1101,M$1,0)</f>
        <v>1.8520000000000001</v>
      </c>
      <c r="N751" s="50">
        <f>VLOOKUP($A751,'[1]ma sp 02'!$A$5:$BD$1101,N$1,0)</f>
        <v>1.85</v>
      </c>
      <c r="O751" s="50">
        <f>VLOOKUP($A751,'[1]ma sp 02'!$A$5:$BD$1101,O$1,0)</f>
        <v>0.11600000000000001</v>
      </c>
      <c r="P751" s="50">
        <f>VLOOKUP($A751,'[1]ma sp 02'!$A$5:$BD$1101,P$1,0)</f>
        <v>0</v>
      </c>
      <c r="Q751" s="50">
        <f>VLOOKUP($A751,'[1]ma sp 02'!$A$5:$BD$1101,Q$1,0)</f>
        <v>0</v>
      </c>
      <c r="R751" s="50">
        <f>VLOOKUP($A751,'[1]ma sp 02'!$A$5:$BD$1101,R$1,0)</f>
        <v>0</v>
      </c>
      <c r="S751" s="50">
        <f>VLOOKUP($A751,'[1]ma sp 02'!$A$5:$BD$1101,S$1,0)</f>
        <v>0</v>
      </c>
      <c r="T751" s="50">
        <f>VLOOKUP($A751,'[1]ma sp 02'!$A$5:$BD$1101,T$1,0)</f>
        <v>0</v>
      </c>
      <c r="U751" s="50">
        <f>VLOOKUP($A751,'[1]ma sp 02'!$A$5:$BD$1101,U$1,0)</f>
        <v>0</v>
      </c>
      <c r="V751" s="50">
        <f>VLOOKUP($A751,'[1]ma sp 02'!$A$5:$BD$1101,V$1,0)</f>
        <v>0</v>
      </c>
      <c r="W751" s="50">
        <f>VLOOKUP($A751,'[1]ma sp 02'!$A$5:$BD$1101,W$1,0)</f>
        <v>0</v>
      </c>
      <c r="X751" s="50"/>
      <c r="Y751" s="62"/>
      <c r="Z751" s="62"/>
      <c r="AA751" s="62"/>
      <c r="AB751" s="62"/>
      <c r="AC751" s="62"/>
      <c r="AD751" s="62"/>
      <c r="AE751" s="62" t="s">
        <v>115</v>
      </c>
      <c r="AF751" s="62" t="s">
        <v>321</v>
      </c>
      <c r="AG751" s="53">
        <f>(0.03*0.91+0.012*1.4+0.075*0.925)*0.74</f>
        <v>8.3971500000000004E-2</v>
      </c>
      <c r="AH751" s="54">
        <f t="shared" si="30"/>
        <v>1.1193333333333333</v>
      </c>
      <c r="AI751" s="54">
        <f>(3/0.75/2)*0.73</f>
        <v>1.46</v>
      </c>
      <c r="AJ751" s="62">
        <v>9530</v>
      </c>
      <c r="AK751" s="62">
        <v>9530</v>
      </c>
      <c r="AL751" s="62" t="s">
        <v>2378</v>
      </c>
      <c r="AM751" s="52" t="s">
        <v>60</v>
      </c>
      <c r="AN751" s="62">
        <v>270</v>
      </c>
      <c r="AO751" s="61" t="s">
        <v>332</v>
      </c>
      <c r="AP751" s="59" t="str">
        <f>IFERROR(VLOOKUP($A751,[2]Mssp!$A$5:$BE$1463,AP$4+1,0),0)</f>
        <v>20080653-1</v>
      </c>
      <c r="AQ751" s="59" t="str">
        <f>IFERROR(VLOOKUP($A751,[2]Mssp!$A$5:$BE$1463,AQ$4+1,0),0)</f>
        <v>20080653-2</v>
      </c>
      <c r="AR751" s="59" t="str">
        <f>IFERROR(VLOOKUP($A751,[2]Mssp!$A$5:$BE$1463,AR$4+1,0),0)</f>
        <v>20080653-3</v>
      </c>
      <c r="AS751" s="59" t="str">
        <f>IFERROR(VLOOKUP($A751,[2]Mssp!$A$5:$BE$1463,AS$4+1,0),0)</f>
        <v>20080653-4</v>
      </c>
      <c r="AT751" s="59" t="str">
        <f>IFERROR(VLOOKUP($A751,[2]Mssp!$A$5:$BE$1463,AT$4+1,0),0)</f>
        <v>20080653-5</v>
      </c>
      <c r="AU751" s="59" t="str">
        <f>IFERROR(VLOOKUP($A751,[2]Mssp!$A$5:$BE$1463,AU$4+1,0),0)</f>
        <v>20080653-6</v>
      </c>
      <c r="AV751" s="59">
        <f>IFERROR(VLOOKUP($A751,[2]Mssp!$A$5:$BE$1463,AV$4+1,0),0)</f>
        <v>0</v>
      </c>
      <c r="AW751" s="59">
        <f>IFERROR(VLOOKUP($A751,[2]Mssp!$A$5:$BE$1463,AW$4+1,0),0)</f>
        <v>0</v>
      </c>
      <c r="AX751" s="59">
        <f>IFERROR(VLOOKUP($A751,[2]Mssp!$A$5:$BE$1463,AX$4+1,0),0)</f>
        <v>0</v>
      </c>
      <c r="AY751" s="59" t="str">
        <f>IFERROR(VLOOKUP($A751,[2]Mssp!$A$5:$BE$1463,AY$4+2,0),0)</f>
        <v>540x870</v>
      </c>
      <c r="AZ751" s="59" t="str">
        <f>IFERROR(VLOOKUP($A751,[2]Mssp!$A$5:$BE$1463,AZ$4+2,0),0)</f>
        <v>H1</v>
      </c>
      <c r="BA751" s="141" t="s">
        <v>2381</v>
      </c>
      <c r="BB751" s="61" t="s">
        <v>1894</v>
      </c>
      <c r="BC751" s="165"/>
      <c r="BD751" s="166"/>
      <c r="BE751" s="167"/>
      <c r="BF751" s="168"/>
      <c r="BG751" s="167"/>
      <c r="BH751" s="168"/>
      <c r="BI751" s="169"/>
      <c r="BJ751" s="168"/>
      <c r="BK751" s="134"/>
      <c r="BL751" s="168"/>
      <c r="BM751" s="167"/>
      <c r="BN751" s="168"/>
      <c r="BO751" s="62"/>
      <c r="BP751" s="168"/>
      <c r="BQ751" s="168"/>
      <c r="BR751" s="168"/>
      <c r="BS751" s="135"/>
      <c r="BT751" s="176"/>
      <c r="BU751" s="167"/>
      <c r="BV751" s="168"/>
      <c r="BW751" s="167"/>
      <c r="BX751" s="168"/>
      <c r="BY751" s="167"/>
      <c r="BZ751" s="176"/>
      <c r="CA751" s="167"/>
      <c r="CB751" s="168"/>
      <c r="CC751" s="167"/>
      <c r="CD751" s="168"/>
      <c r="CE751" s="62"/>
      <c r="CF751" s="62"/>
      <c r="CG751" s="9"/>
      <c r="CH751" s="9"/>
      <c r="CI751" s="9"/>
      <c r="CJ751" s="9"/>
      <c r="CK751" s="9"/>
      <c r="CL751" s="9"/>
      <c r="CM751" s="9"/>
      <c r="CN751" s="9"/>
      <c r="CO751" s="9"/>
      <c r="CP751" s="9"/>
    </row>
    <row r="752" spans="1:94" ht="45" x14ac:dyDescent="0.25">
      <c r="A752" s="127" t="s">
        <v>2413</v>
      </c>
      <c r="B752" s="51" t="s">
        <v>2414</v>
      </c>
      <c r="C752" s="62"/>
      <c r="D752" s="84">
        <v>3</v>
      </c>
      <c r="E752" s="62" t="s">
        <v>113</v>
      </c>
      <c r="F752" s="62">
        <v>6</v>
      </c>
      <c r="G752" s="62"/>
      <c r="H752" s="50">
        <f>VLOOKUP($A752,'[1]ma sp 02'!$A$5:$BD$1101,H$1,0)</f>
        <v>0</v>
      </c>
      <c r="I752" s="50">
        <f>VLOOKUP($A752,'[1]ma sp 02'!$A$5:$BD$1101,I$1,0)</f>
        <v>0</v>
      </c>
      <c r="J752" s="50">
        <f>VLOOKUP($A752,'[1]ma sp 02'!$A$5:$BD$1101,J$1,0)</f>
        <v>0</v>
      </c>
      <c r="K752" s="50">
        <f>VLOOKUP($A752,'[1]ma sp 02'!$A$5:$BD$1101,K$1,0)</f>
        <v>0</v>
      </c>
      <c r="L752" s="50">
        <f>VLOOKUP($A752,'[1]ma sp 02'!$A$5:$BD$1101,L$1,0)</f>
        <v>0</v>
      </c>
      <c r="M752" s="50">
        <f>VLOOKUP($A752,'[1]ma sp 02'!$A$5:$BD$1101,M$1,0)</f>
        <v>0</v>
      </c>
      <c r="N752" s="50">
        <f>VLOOKUP($A752,'[1]ma sp 02'!$A$5:$BD$1101,N$1,0)</f>
        <v>0</v>
      </c>
      <c r="O752" s="50">
        <f>VLOOKUP($A752,'[1]ma sp 02'!$A$5:$BD$1101,O$1,0)</f>
        <v>0</v>
      </c>
      <c r="P752" s="50">
        <f>VLOOKUP($A752,'[1]ma sp 02'!$A$5:$BD$1101,P$1,0)</f>
        <v>0</v>
      </c>
      <c r="Q752" s="50">
        <f>VLOOKUP($A752,'[1]ma sp 02'!$A$5:$BD$1101,Q$1,0)</f>
        <v>0</v>
      </c>
      <c r="R752" s="50">
        <f>VLOOKUP($A752,'[1]ma sp 02'!$A$5:$BD$1101,R$1,0)</f>
        <v>0</v>
      </c>
      <c r="S752" s="50">
        <f>VLOOKUP($A752,'[1]ma sp 02'!$A$5:$BD$1101,S$1,0)</f>
        <v>0</v>
      </c>
      <c r="T752" s="50">
        <f>VLOOKUP($A752,'[1]ma sp 02'!$A$5:$BD$1101,T$1,0)</f>
        <v>0</v>
      </c>
      <c r="U752" s="50">
        <f>VLOOKUP($A752,'[1]ma sp 02'!$A$5:$BD$1101,U$1,0)</f>
        <v>0</v>
      </c>
      <c r="V752" s="50">
        <f>VLOOKUP($A752,'[1]ma sp 02'!$A$5:$BD$1101,V$1,0)</f>
        <v>0</v>
      </c>
      <c r="W752" s="50">
        <f>VLOOKUP($A752,'[1]ma sp 02'!$A$5:$BD$1101,W$1,0)</f>
        <v>0</v>
      </c>
      <c r="X752" s="50"/>
      <c r="Y752" s="62"/>
      <c r="Z752" s="62"/>
      <c r="AA752" s="62"/>
      <c r="AB752" s="62"/>
      <c r="AC752" s="62"/>
      <c r="AD752" s="62"/>
      <c r="AE752" s="62" t="s">
        <v>115</v>
      </c>
      <c r="AF752" s="62" t="s">
        <v>321</v>
      </c>
      <c r="AG752" s="53">
        <f>(0.03*0.91+0.012*1.4+0.075*0.925)*0.74</f>
        <v>8.3971500000000004E-2</v>
      </c>
      <c r="AH752" s="54">
        <f t="shared" si="30"/>
        <v>1.1193333333333333</v>
      </c>
      <c r="AI752" s="54">
        <f>(3/0.75/2)*0.73</f>
        <v>1.46</v>
      </c>
      <c r="AJ752" s="62">
        <v>9530</v>
      </c>
      <c r="AK752" s="62">
        <v>9530</v>
      </c>
      <c r="AL752" s="62" t="s">
        <v>2378</v>
      </c>
      <c r="AM752" s="52" t="s">
        <v>60</v>
      </c>
      <c r="AN752" s="62">
        <v>270</v>
      </c>
      <c r="AO752" s="61" t="s">
        <v>332</v>
      </c>
      <c r="AP752" s="59" t="str">
        <f>IFERROR(VLOOKUP($A752,[2]Mssp!$A$5:$BE$1463,AP$4+1,0),0)</f>
        <v>20080654-1</v>
      </c>
      <c r="AQ752" s="59" t="str">
        <f>IFERROR(VLOOKUP($A752,[2]Mssp!$A$5:$BE$1463,AQ$4+1,0),0)</f>
        <v>20080653-2</v>
      </c>
      <c r="AR752" s="59" t="str">
        <f>IFERROR(VLOOKUP($A752,[2]Mssp!$A$5:$BE$1463,AR$4+1,0),0)</f>
        <v>20080653-3</v>
      </c>
      <c r="AS752" s="59" t="str">
        <f>IFERROR(VLOOKUP($A752,[2]Mssp!$A$5:$BE$1463,AS$4+1,0),0)</f>
        <v>20080653-4</v>
      </c>
      <c r="AT752" s="59" t="str">
        <f>IFERROR(VLOOKUP($A752,[2]Mssp!$A$5:$BE$1463,AT$4+1,0),0)</f>
        <v>20080653-5</v>
      </c>
      <c r="AU752" s="59" t="str">
        <f>IFERROR(VLOOKUP($A752,[2]Mssp!$A$5:$BE$1463,AU$4+1,0),0)</f>
        <v>20080653-6</v>
      </c>
      <c r="AV752" s="59">
        <f>IFERROR(VLOOKUP($A752,[2]Mssp!$A$5:$BE$1463,AV$4+1,0),0)</f>
        <v>0</v>
      </c>
      <c r="AW752" s="59">
        <f>IFERROR(VLOOKUP($A752,[2]Mssp!$A$5:$BE$1463,AW$4+1,0),0)</f>
        <v>0</v>
      </c>
      <c r="AX752" s="59">
        <f>IFERROR(VLOOKUP($A752,[2]Mssp!$A$5:$BE$1463,AX$4+1,0),0)</f>
        <v>0</v>
      </c>
      <c r="AY752" s="59" t="str">
        <f>IFERROR(VLOOKUP($A752,[2]Mssp!$A$5:$BE$1463,AY$4+2,0),0)</f>
        <v>540x870</v>
      </c>
      <c r="AZ752" s="59" t="str">
        <f>IFERROR(VLOOKUP($A752,[2]Mssp!$A$5:$BE$1463,AZ$4+2,0),0)</f>
        <v>H1</v>
      </c>
      <c r="BA752" s="141" t="s">
        <v>2381</v>
      </c>
      <c r="BB752" s="61" t="s">
        <v>1894</v>
      </c>
      <c r="BC752" s="165"/>
      <c r="BD752" s="166"/>
      <c r="BE752" s="167"/>
      <c r="BF752" s="168"/>
      <c r="BG752" s="167"/>
      <c r="BH752" s="168"/>
      <c r="BI752" s="169"/>
      <c r="BJ752" s="168"/>
      <c r="BK752" s="134"/>
      <c r="BL752" s="168"/>
      <c r="BM752" s="167"/>
      <c r="BN752" s="168"/>
      <c r="BO752" s="62"/>
      <c r="BP752" s="168"/>
      <c r="BQ752" s="168"/>
      <c r="BR752" s="168"/>
      <c r="BS752" s="135"/>
      <c r="BT752" s="176"/>
      <c r="BU752" s="167"/>
      <c r="BV752" s="168"/>
      <c r="BW752" s="167"/>
      <c r="BX752" s="168"/>
      <c r="BY752" s="167"/>
      <c r="BZ752" s="176"/>
      <c r="CA752" s="167"/>
      <c r="CB752" s="168"/>
      <c r="CC752" s="167"/>
      <c r="CD752" s="168"/>
      <c r="CE752" s="62"/>
      <c r="CF752" s="62"/>
      <c r="CG752" s="9"/>
      <c r="CH752" s="9"/>
      <c r="CI752" s="9"/>
      <c r="CJ752" s="9"/>
      <c r="CK752" s="9"/>
      <c r="CL752" s="9"/>
      <c r="CM752" s="9"/>
      <c r="CN752" s="9"/>
      <c r="CO752" s="9"/>
      <c r="CP752" s="9"/>
    </row>
    <row r="753" spans="1:94" ht="30" x14ac:dyDescent="0.25">
      <c r="A753" s="127" t="s">
        <v>2415</v>
      </c>
      <c r="B753" s="51" t="s">
        <v>2416</v>
      </c>
      <c r="C753" s="62"/>
      <c r="D753" s="84"/>
      <c r="E753" s="62" t="s">
        <v>2417</v>
      </c>
      <c r="F753" s="62"/>
      <c r="G753" s="62"/>
      <c r="H753" s="50">
        <f>VLOOKUP($A753,'[1]ma sp 02'!$A$5:$BD$1101,H$1,0)</f>
        <v>0</v>
      </c>
      <c r="I753" s="50">
        <f>VLOOKUP($A753,'[1]ma sp 02'!$A$5:$BD$1101,I$1,0)</f>
        <v>0</v>
      </c>
      <c r="J753" s="50">
        <f>VLOOKUP($A753,'[1]ma sp 02'!$A$5:$BD$1101,J$1,0)</f>
        <v>0</v>
      </c>
      <c r="K753" s="50">
        <f>VLOOKUP($A753,'[1]ma sp 02'!$A$5:$BD$1101,K$1,0)</f>
        <v>0</v>
      </c>
      <c r="L753" s="50">
        <f>VLOOKUP($A753,'[1]ma sp 02'!$A$5:$BD$1101,L$1,0)</f>
        <v>0</v>
      </c>
      <c r="M753" s="50">
        <f>VLOOKUP($A753,'[1]ma sp 02'!$A$5:$BD$1101,M$1,0)</f>
        <v>0</v>
      </c>
      <c r="N753" s="50">
        <f>VLOOKUP($A753,'[1]ma sp 02'!$A$5:$BD$1101,N$1,0)</f>
        <v>0</v>
      </c>
      <c r="O753" s="50">
        <f>VLOOKUP($A753,'[1]ma sp 02'!$A$5:$BD$1101,O$1,0)</f>
        <v>0</v>
      </c>
      <c r="P753" s="50">
        <f>VLOOKUP($A753,'[1]ma sp 02'!$A$5:$BD$1101,P$1,0)</f>
        <v>0</v>
      </c>
      <c r="Q753" s="50">
        <f>VLOOKUP($A753,'[1]ma sp 02'!$A$5:$BD$1101,Q$1,0)</f>
        <v>0</v>
      </c>
      <c r="R753" s="50">
        <f>VLOOKUP($A753,'[1]ma sp 02'!$A$5:$BD$1101,R$1,0)</f>
        <v>0</v>
      </c>
      <c r="S753" s="50">
        <f>VLOOKUP($A753,'[1]ma sp 02'!$A$5:$BD$1101,S$1,0)</f>
        <v>0</v>
      </c>
      <c r="T753" s="50">
        <f>VLOOKUP($A753,'[1]ma sp 02'!$A$5:$BD$1101,T$1,0)</f>
        <v>0</v>
      </c>
      <c r="U753" s="50">
        <f>VLOOKUP($A753,'[1]ma sp 02'!$A$5:$BD$1101,U$1,0)</f>
        <v>0</v>
      </c>
      <c r="V753" s="50">
        <f>VLOOKUP($A753,'[1]ma sp 02'!$A$5:$BD$1101,V$1,0)</f>
        <v>0</v>
      </c>
      <c r="W753" s="50">
        <f>VLOOKUP($A753,'[1]ma sp 02'!$A$5:$BD$1101,W$1,0)</f>
        <v>0</v>
      </c>
      <c r="X753" s="50"/>
      <c r="Y753" s="62"/>
      <c r="Z753" s="62"/>
      <c r="AA753" s="62"/>
      <c r="AB753" s="62"/>
      <c r="AC753" s="62"/>
      <c r="AD753" s="62"/>
      <c r="AE753" s="62" t="s">
        <v>2418</v>
      </c>
      <c r="AF753" s="62"/>
      <c r="AG753" s="180">
        <f>(0.02*0.91+0.08*0.925)*0.68</f>
        <v>6.2696000000000002E-2</v>
      </c>
      <c r="AH753" s="155">
        <f>(2.3/0.75/2)*0.67</f>
        <v>1.0273333333333332</v>
      </c>
      <c r="AI753" s="9"/>
      <c r="AJ753" s="9">
        <v>9530</v>
      </c>
      <c r="AK753" s="9"/>
      <c r="AL753" s="9">
        <v>2.3E-3</v>
      </c>
      <c r="AM753" s="61" t="s">
        <v>74</v>
      </c>
      <c r="AN753" s="62"/>
      <c r="AO753" s="61" t="s">
        <v>2419</v>
      </c>
      <c r="AP753" s="59">
        <f>IFERROR(VLOOKUP($A753,[2]Mssp!$A$5:$BE$1463,AP$4+1,0),0)</f>
        <v>0</v>
      </c>
      <c r="AQ753" s="59">
        <f>IFERROR(VLOOKUP($A753,[2]Mssp!$A$5:$BE$1463,AQ$4+1,0),0)</f>
        <v>0</v>
      </c>
      <c r="AR753" s="59">
        <f>IFERROR(VLOOKUP($A753,[2]Mssp!$A$5:$BE$1463,AR$4+1,0),0)</f>
        <v>0</v>
      </c>
      <c r="AS753" s="59">
        <f>IFERROR(VLOOKUP($A753,[2]Mssp!$A$5:$BE$1463,AS$4+1,0),0)</f>
        <v>0</v>
      </c>
      <c r="AT753" s="59">
        <f>IFERROR(VLOOKUP($A753,[2]Mssp!$A$5:$BE$1463,AT$4+1,0),0)</f>
        <v>0</v>
      </c>
      <c r="AU753" s="59">
        <f>IFERROR(VLOOKUP($A753,[2]Mssp!$A$5:$BE$1463,AU$4+1,0),0)</f>
        <v>0</v>
      </c>
      <c r="AV753" s="59">
        <f>IFERROR(VLOOKUP($A753,[2]Mssp!$A$5:$BE$1463,AV$4+1,0),0)</f>
        <v>0</v>
      </c>
      <c r="AW753" s="59">
        <f>IFERROR(VLOOKUP($A753,[2]Mssp!$A$5:$BE$1463,AW$4+1,0),0)</f>
        <v>0</v>
      </c>
      <c r="AX753" s="59">
        <f>IFERROR(VLOOKUP($A753,[2]Mssp!$A$5:$BE$1463,AX$4+1,0),0)</f>
        <v>0</v>
      </c>
      <c r="AY753" s="59">
        <f>IFERROR(VLOOKUP($A753,[2]Mssp!$A$5:$BE$1463,AY$4+2,0),0)</f>
        <v>0</v>
      </c>
      <c r="AZ753" s="59">
        <f>IFERROR(VLOOKUP($A753,[2]Mssp!$A$5:$BE$1463,AZ$4+2,0),0)</f>
        <v>0</v>
      </c>
      <c r="BA753" s="141"/>
      <c r="BB753" s="61"/>
      <c r="BC753" s="165"/>
      <c r="BD753" s="166"/>
      <c r="BE753" s="167"/>
      <c r="BF753" s="168"/>
      <c r="BG753" s="167"/>
      <c r="BH753" s="168"/>
      <c r="BI753" s="169"/>
      <c r="BJ753" s="168"/>
      <c r="BK753" s="134"/>
      <c r="BL753" s="168"/>
      <c r="BM753" s="167"/>
      <c r="BN753" s="168"/>
      <c r="BO753" s="62"/>
      <c r="BP753" s="168"/>
      <c r="BQ753" s="168"/>
      <c r="BR753" s="168"/>
      <c r="BS753" s="135"/>
      <c r="BT753" s="176"/>
      <c r="BU753" s="167"/>
      <c r="BV753" s="168"/>
      <c r="BW753" s="167"/>
      <c r="BX753" s="168"/>
      <c r="BY753" s="167"/>
      <c r="BZ753" s="176"/>
      <c r="CA753" s="167"/>
      <c r="CB753" s="168"/>
      <c r="CC753" s="167"/>
      <c r="CD753" s="168"/>
      <c r="CE753" s="62"/>
      <c r="CF753" s="62"/>
      <c r="CG753" s="9"/>
      <c r="CH753" s="9"/>
      <c r="CI753" s="9"/>
      <c r="CJ753" s="9"/>
      <c r="CK753" s="9"/>
      <c r="CL753" s="9"/>
      <c r="CM753" s="9"/>
      <c r="CN753" s="9"/>
      <c r="CO753" s="9"/>
      <c r="CP753" s="9"/>
    </row>
    <row r="754" spans="1:94" ht="30" x14ac:dyDescent="0.25">
      <c r="A754" s="127" t="s">
        <v>2420</v>
      </c>
      <c r="B754" s="51" t="s">
        <v>2421</v>
      </c>
      <c r="C754" s="62"/>
      <c r="D754" s="84"/>
      <c r="E754" s="62" t="s">
        <v>1734</v>
      </c>
      <c r="F754" s="62"/>
      <c r="G754" s="62"/>
      <c r="H754" s="50">
        <f>VLOOKUP($A754,'[1]ma sp 02'!$A$5:$BD$1101,H$1,0)</f>
        <v>0</v>
      </c>
      <c r="I754" s="50">
        <f>VLOOKUP($A754,'[1]ma sp 02'!$A$5:$BD$1101,I$1,0)</f>
        <v>0</v>
      </c>
      <c r="J754" s="50">
        <f>VLOOKUP($A754,'[1]ma sp 02'!$A$5:$BD$1101,J$1,0)</f>
        <v>0</v>
      </c>
      <c r="K754" s="50">
        <f>VLOOKUP($A754,'[1]ma sp 02'!$A$5:$BD$1101,K$1,0)</f>
        <v>0</v>
      </c>
      <c r="L754" s="50">
        <f>VLOOKUP($A754,'[1]ma sp 02'!$A$5:$BD$1101,L$1,0)</f>
        <v>0</v>
      </c>
      <c r="M754" s="50">
        <f>VLOOKUP($A754,'[1]ma sp 02'!$A$5:$BD$1101,M$1,0)</f>
        <v>0</v>
      </c>
      <c r="N754" s="50">
        <f>VLOOKUP($A754,'[1]ma sp 02'!$A$5:$BD$1101,N$1,0)</f>
        <v>0</v>
      </c>
      <c r="O754" s="50">
        <f>VLOOKUP($A754,'[1]ma sp 02'!$A$5:$BD$1101,O$1,0)</f>
        <v>0</v>
      </c>
      <c r="P754" s="50">
        <f>VLOOKUP($A754,'[1]ma sp 02'!$A$5:$BD$1101,P$1,0)</f>
        <v>0</v>
      </c>
      <c r="Q754" s="50">
        <f>VLOOKUP($A754,'[1]ma sp 02'!$A$5:$BD$1101,Q$1,0)</f>
        <v>0</v>
      </c>
      <c r="R754" s="50">
        <f>VLOOKUP($A754,'[1]ma sp 02'!$A$5:$BD$1101,R$1,0)</f>
        <v>0</v>
      </c>
      <c r="S754" s="50">
        <f>VLOOKUP($A754,'[1]ma sp 02'!$A$5:$BD$1101,S$1,0)</f>
        <v>0</v>
      </c>
      <c r="T754" s="50">
        <f>VLOOKUP($A754,'[1]ma sp 02'!$A$5:$BD$1101,T$1,0)</f>
        <v>0</v>
      </c>
      <c r="U754" s="50">
        <f>VLOOKUP($A754,'[1]ma sp 02'!$A$5:$BD$1101,U$1,0)</f>
        <v>0</v>
      </c>
      <c r="V754" s="50">
        <f>VLOOKUP($A754,'[1]ma sp 02'!$A$5:$BD$1101,V$1,0)</f>
        <v>0</v>
      </c>
      <c r="W754" s="50">
        <f>VLOOKUP($A754,'[1]ma sp 02'!$A$5:$BD$1101,W$1,0)</f>
        <v>0</v>
      </c>
      <c r="X754" s="50"/>
      <c r="Y754" s="62"/>
      <c r="Z754" s="62"/>
      <c r="AA754" s="62"/>
      <c r="AB754" s="62"/>
      <c r="AC754" s="62"/>
      <c r="AD754" s="62"/>
      <c r="AE754" s="62" t="s">
        <v>2422</v>
      </c>
      <c r="AF754" s="62"/>
      <c r="AG754" s="180">
        <f>(0.02*0.91+0.035*0.91)*0.79</f>
        <v>3.9539500000000005E-2</v>
      </c>
      <c r="AH754" s="155">
        <f>(2/0.75/2)*0.78</f>
        <v>1.04</v>
      </c>
      <c r="AI754" s="9"/>
      <c r="AJ754" s="9">
        <v>9530</v>
      </c>
      <c r="AK754" s="9"/>
      <c r="AL754" s="9">
        <v>2E-3</v>
      </c>
      <c r="AM754" s="61" t="s">
        <v>1489</v>
      </c>
      <c r="AN754" s="62" t="s">
        <v>2306</v>
      </c>
      <c r="AO754" s="61" t="s">
        <v>2419</v>
      </c>
      <c r="AP754" s="59">
        <f>IFERROR(VLOOKUP($A754,[2]Mssp!$A$5:$BE$1463,AP$4+1,0),0)</f>
        <v>0</v>
      </c>
      <c r="AQ754" s="59">
        <f>IFERROR(VLOOKUP($A754,[2]Mssp!$A$5:$BE$1463,AQ$4+1,0),0)</f>
        <v>0</v>
      </c>
      <c r="AR754" s="59">
        <f>IFERROR(VLOOKUP($A754,[2]Mssp!$A$5:$BE$1463,AR$4+1,0),0)</f>
        <v>0</v>
      </c>
      <c r="AS754" s="59">
        <f>IFERROR(VLOOKUP($A754,[2]Mssp!$A$5:$BE$1463,AS$4+1,0),0)</f>
        <v>0</v>
      </c>
      <c r="AT754" s="59">
        <f>IFERROR(VLOOKUP($A754,[2]Mssp!$A$5:$BE$1463,AT$4+1,0),0)</f>
        <v>0</v>
      </c>
      <c r="AU754" s="59">
        <f>IFERROR(VLOOKUP($A754,[2]Mssp!$A$5:$BE$1463,AU$4+1,0),0)</f>
        <v>0</v>
      </c>
      <c r="AV754" s="59">
        <f>IFERROR(VLOOKUP($A754,[2]Mssp!$A$5:$BE$1463,AV$4+1,0),0)</f>
        <v>0</v>
      </c>
      <c r="AW754" s="59">
        <f>IFERROR(VLOOKUP($A754,[2]Mssp!$A$5:$BE$1463,AW$4+1,0),0)</f>
        <v>0</v>
      </c>
      <c r="AX754" s="59">
        <f>IFERROR(VLOOKUP($A754,[2]Mssp!$A$5:$BE$1463,AX$4+1,0),0)</f>
        <v>0</v>
      </c>
      <c r="AY754" s="59">
        <f>IFERROR(VLOOKUP($A754,[2]Mssp!$A$5:$BE$1463,AY$4+2,0),0)</f>
        <v>0</v>
      </c>
      <c r="AZ754" s="59">
        <f>IFERROR(VLOOKUP($A754,[2]Mssp!$A$5:$BE$1463,AZ$4+2,0),0)</f>
        <v>0</v>
      </c>
      <c r="BA754" s="141"/>
      <c r="BB754" s="61"/>
      <c r="BC754" s="165"/>
      <c r="BD754" s="166"/>
      <c r="BE754" s="167"/>
      <c r="BF754" s="168"/>
      <c r="BG754" s="167"/>
      <c r="BH754" s="168"/>
      <c r="BI754" s="169"/>
      <c r="BJ754" s="168"/>
      <c r="BK754" s="134"/>
      <c r="BL754" s="168"/>
      <c r="BM754" s="167"/>
      <c r="BN754" s="168"/>
      <c r="BO754" s="62"/>
      <c r="BP754" s="168"/>
      <c r="BQ754" s="168"/>
      <c r="BR754" s="168"/>
      <c r="BS754" s="135"/>
      <c r="BT754" s="176"/>
      <c r="BU754" s="167"/>
      <c r="BV754" s="168"/>
      <c r="BW754" s="167"/>
      <c r="BX754" s="168"/>
      <c r="BY754" s="167"/>
      <c r="BZ754" s="176"/>
      <c r="CA754" s="167"/>
      <c r="CB754" s="168"/>
      <c r="CC754" s="167"/>
      <c r="CD754" s="168"/>
      <c r="CE754" s="62"/>
      <c r="CF754" s="62"/>
      <c r="CG754" s="9"/>
      <c r="CH754" s="9"/>
      <c r="CI754" s="9"/>
      <c r="CJ754" s="9"/>
      <c r="CK754" s="9"/>
      <c r="CL754" s="9"/>
      <c r="CM754" s="9"/>
      <c r="CN754" s="9"/>
      <c r="CO754" s="9"/>
      <c r="CP754" s="9"/>
    </row>
    <row r="755" spans="1:94" ht="30" x14ac:dyDescent="0.25">
      <c r="A755" s="127" t="s">
        <v>2423</v>
      </c>
      <c r="B755" s="51" t="s">
        <v>2424</v>
      </c>
      <c r="C755" s="62"/>
      <c r="D755" s="84"/>
      <c r="E755" s="62" t="s">
        <v>351</v>
      </c>
      <c r="F755" s="62">
        <v>6</v>
      </c>
      <c r="G755" s="62"/>
      <c r="H755" s="50">
        <f>VLOOKUP($A755,'[1]ma sp 02'!$A$5:$BD$1101,H$1,0)</f>
        <v>0.54</v>
      </c>
      <c r="I755" s="50">
        <f>VLOOKUP($A755,'[1]ma sp 02'!$A$5:$BD$1101,I$1,0)</f>
        <v>3.258</v>
      </c>
      <c r="J755" s="50">
        <f>VLOOKUP($A755,'[1]ma sp 02'!$A$5:$BD$1101,J$1,0)</f>
        <v>0.65</v>
      </c>
      <c r="K755" s="50">
        <f>VLOOKUP($A755,'[1]ma sp 02'!$A$5:$BD$1101,K$1,0)</f>
        <v>0</v>
      </c>
      <c r="L755" s="50">
        <f>VLOOKUP($A755,'[1]ma sp 02'!$A$5:$BD$1101,L$1,0)</f>
        <v>0.43</v>
      </c>
      <c r="M755" s="50">
        <f>VLOOKUP($A755,'[1]ma sp 02'!$A$5:$BD$1101,M$1,0)</f>
        <v>3.258</v>
      </c>
      <c r="N755" s="50">
        <f>VLOOKUP($A755,'[1]ma sp 02'!$A$5:$BD$1101,N$1,0)</f>
        <v>0</v>
      </c>
      <c r="O755" s="50">
        <f>VLOOKUP($A755,'[1]ma sp 02'!$A$5:$BD$1101,O$1,0)</f>
        <v>0</v>
      </c>
      <c r="P755" s="50">
        <f>VLOOKUP($A755,'[1]ma sp 02'!$A$5:$BD$1101,P$1,0)</f>
        <v>0.01</v>
      </c>
      <c r="Q755" s="50">
        <f>VLOOKUP($A755,'[1]ma sp 02'!$A$5:$BD$1101,Q$1,0)</f>
        <v>0</v>
      </c>
      <c r="R755" s="50">
        <f>VLOOKUP($A755,'[1]ma sp 02'!$A$5:$BD$1101,R$1,0)</f>
        <v>0</v>
      </c>
      <c r="S755" s="50">
        <f>VLOOKUP($A755,'[1]ma sp 02'!$A$5:$BD$1101,S$1,0)</f>
        <v>0</v>
      </c>
      <c r="T755" s="50">
        <f>VLOOKUP($A755,'[1]ma sp 02'!$A$5:$BD$1101,T$1,0)</f>
        <v>0</v>
      </c>
      <c r="U755" s="50">
        <f>VLOOKUP($A755,'[1]ma sp 02'!$A$5:$BD$1101,U$1,0)</f>
        <v>0</v>
      </c>
      <c r="V755" s="50">
        <f>VLOOKUP($A755,'[1]ma sp 02'!$A$5:$BD$1101,V$1,0)</f>
        <v>0</v>
      </c>
      <c r="W755" s="50">
        <f>VLOOKUP($A755,'[1]ma sp 02'!$A$5:$BD$1101,W$1,0)</f>
        <v>0</v>
      </c>
      <c r="X755" s="50"/>
      <c r="Y755" s="62"/>
      <c r="Z755" s="62"/>
      <c r="AA755" s="62"/>
      <c r="AB755" s="62"/>
      <c r="AC755" s="62"/>
      <c r="AD755" s="62"/>
      <c r="AE755" s="62" t="s">
        <v>352</v>
      </c>
      <c r="AF755" s="62" t="s">
        <v>2425</v>
      </c>
      <c r="AG755" s="180">
        <f>(0.012*1.4+0.0012*1.4+0.1*0.925)*0.8</f>
        <v>8.8784000000000016E-2</v>
      </c>
      <c r="AH755" s="155">
        <f>(2.3/0.75/2)*0.79</f>
        <v>1.2113333333333334</v>
      </c>
      <c r="AI755" s="155">
        <f>(2.3/0.75/2)*0.79</f>
        <v>1.2113333333333334</v>
      </c>
      <c r="AJ755" s="9">
        <v>9530</v>
      </c>
      <c r="AK755" s="9">
        <v>9530</v>
      </c>
      <c r="AL755" s="9" t="s">
        <v>1590</v>
      </c>
      <c r="AM755" s="61" t="s">
        <v>1489</v>
      </c>
      <c r="AN755" s="62" t="s">
        <v>2426</v>
      </c>
      <c r="AO755" s="61" t="s">
        <v>2427</v>
      </c>
      <c r="AP755" s="59" t="str">
        <f>IFERROR(VLOOKUP($A755,[2]Mssp!$A$5:$BE$1463,AP$4+1,0),0)</f>
        <v>20081014-1</v>
      </c>
      <c r="AQ755" s="59" t="str">
        <f>IFERROR(VLOOKUP($A755,[2]Mssp!$A$5:$BE$1463,AQ$4+1,0),0)</f>
        <v>20081014-2</v>
      </c>
      <c r="AR755" s="59" t="str">
        <f>IFERROR(VLOOKUP($A755,[2]Mssp!$A$5:$BE$1463,AR$4+1,0),0)</f>
        <v>20081014-3</v>
      </c>
      <c r="AS755" s="59" t="str">
        <f>IFERROR(VLOOKUP($A755,[2]Mssp!$A$5:$BE$1463,AS$4+1,0),0)</f>
        <v>20081014-4</v>
      </c>
      <c r="AT755" s="59" t="str">
        <f>IFERROR(VLOOKUP($A755,[2]Mssp!$A$5:$BE$1463,AT$4+1,0),0)</f>
        <v>20081014-5</v>
      </c>
      <c r="AU755" s="59" t="str">
        <f>IFERROR(VLOOKUP($A755,[2]Mssp!$A$5:$BE$1463,AU$4+1,0),0)</f>
        <v>20081014-6</v>
      </c>
      <c r="AV755" s="59">
        <f>IFERROR(VLOOKUP($A755,[2]Mssp!$A$5:$BE$1463,AV$4+1,0),0)</f>
        <v>0</v>
      </c>
      <c r="AW755" s="59">
        <f>IFERROR(VLOOKUP($A755,[2]Mssp!$A$5:$BE$1463,AW$4+1,0),0)</f>
        <v>0</v>
      </c>
      <c r="AX755" s="59">
        <f>IFERROR(VLOOKUP($A755,[2]Mssp!$A$5:$BE$1463,AX$4+1,0),0)</f>
        <v>0</v>
      </c>
      <c r="AY755" s="59" t="str">
        <f>IFERROR(VLOOKUP($A755,[2]Mssp!$A$5:$BE$1463,AY$4+2,0),0)</f>
        <v>570x870</v>
      </c>
      <c r="AZ755" s="59" t="str">
        <f>IFERROR(VLOOKUP($A755,[2]Mssp!$A$5:$BE$1463,AZ$4+2,0),0)</f>
        <v>S3</v>
      </c>
      <c r="BA755" s="141" t="s">
        <v>2428</v>
      </c>
      <c r="BB755" s="61" t="s">
        <v>952</v>
      </c>
      <c r="BC755" s="165"/>
      <c r="BD755" s="166"/>
      <c r="BE755" s="167"/>
      <c r="BF755" s="168"/>
      <c r="BG755" s="167"/>
      <c r="BH755" s="168"/>
      <c r="BI755" s="169"/>
      <c r="BJ755" s="168"/>
      <c r="BK755" s="134"/>
      <c r="BL755" s="168"/>
      <c r="BM755" s="167"/>
      <c r="BN755" s="168"/>
      <c r="BO755" s="62"/>
      <c r="BP755" s="168"/>
      <c r="BQ755" s="168"/>
      <c r="BR755" s="168"/>
      <c r="BS755" s="135"/>
      <c r="BT755" s="176"/>
      <c r="BU755" s="167"/>
      <c r="BV755" s="168"/>
      <c r="BW755" s="167"/>
      <c r="BX755" s="168"/>
      <c r="BY755" s="167"/>
      <c r="BZ755" s="176"/>
      <c r="CA755" s="167"/>
      <c r="CB755" s="168"/>
      <c r="CC755" s="167"/>
      <c r="CD755" s="168"/>
      <c r="CE755" s="62"/>
      <c r="CF755" s="62"/>
      <c r="CG755" s="9"/>
      <c r="CH755" s="9"/>
      <c r="CI755" s="9"/>
      <c r="CJ755" s="9"/>
      <c r="CK755" s="9"/>
      <c r="CL755" s="9"/>
      <c r="CM755" s="9"/>
      <c r="CN755" s="9"/>
      <c r="CO755" s="9"/>
      <c r="CP755" s="9"/>
    </row>
    <row r="756" spans="1:94" ht="30" x14ac:dyDescent="0.25">
      <c r="A756" s="127" t="s">
        <v>2429</v>
      </c>
      <c r="B756" s="51" t="s">
        <v>2430</v>
      </c>
      <c r="C756" s="62"/>
      <c r="D756" s="84"/>
      <c r="E756" s="62" t="s">
        <v>351</v>
      </c>
      <c r="F756" s="62">
        <v>6</v>
      </c>
      <c r="G756" s="62"/>
      <c r="H756" s="50">
        <f>VLOOKUP($A756,'[1]ma sp 02'!$A$5:$BD$1101,H$1,0)</f>
        <v>0.01</v>
      </c>
      <c r="I756" s="50">
        <f>VLOOKUP($A756,'[1]ma sp 02'!$A$5:$BD$1101,I$1,0)</f>
        <v>1.46</v>
      </c>
      <c r="J756" s="50">
        <f>VLOOKUP($A756,'[1]ma sp 02'!$A$5:$BD$1101,J$1,0)</f>
        <v>0.22500000000000001</v>
      </c>
      <c r="K756" s="50">
        <f>VLOOKUP($A756,'[1]ma sp 02'!$A$5:$BD$1101,K$1,0)</f>
        <v>0.67500000000000004</v>
      </c>
      <c r="L756" s="50">
        <f>VLOOKUP($A756,'[1]ma sp 02'!$A$5:$BD$1101,L$1,0)</f>
        <v>1.1200000000000001</v>
      </c>
      <c r="M756" s="50">
        <f>VLOOKUP($A756,'[1]ma sp 02'!$A$5:$BD$1101,M$1,0)</f>
        <v>0</v>
      </c>
      <c r="N756" s="50">
        <f>VLOOKUP($A756,'[1]ma sp 02'!$A$5:$BD$1101,N$1,0)</f>
        <v>0</v>
      </c>
      <c r="O756" s="50">
        <f>VLOOKUP($A756,'[1]ma sp 02'!$A$5:$BD$1101,O$1,0)</f>
        <v>0</v>
      </c>
      <c r="P756" s="50">
        <f>VLOOKUP($A756,'[1]ma sp 02'!$A$5:$BD$1101,P$1,0)</f>
        <v>1.03</v>
      </c>
      <c r="Q756" s="50">
        <f>VLOOKUP($A756,'[1]ma sp 02'!$A$5:$BD$1101,Q$1,0)</f>
        <v>0</v>
      </c>
      <c r="R756" s="50">
        <f>VLOOKUP($A756,'[1]ma sp 02'!$A$5:$BD$1101,R$1,0)</f>
        <v>0</v>
      </c>
      <c r="S756" s="50">
        <f>VLOOKUP($A756,'[1]ma sp 02'!$A$5:$BD$1101,S$1,0)</f>
        <v>0</v>
      </c>
      <c r="T756" s="50">
        <f>VLOOKUP($A756,'[1]ma sp 02'!$A$5:$BD$1101,T$1,0)</f>
        <v>0</v>
      </c>
      <c r="U756" s="50">
        <f>VLOOKUP($A756,'[1]ma sp 02'!$A$5:$BD$1101,U$1,0)</f>
        <v>0</v>
      </c>
      <c r="V756" s="50">
        <f>VLOOKUP($A756,'[1]ma sp 02'!$A$5:$BD$1101,V$1,0)</f>
        <v>0</v>
      </c>
      <c r="W756" s="50">
        <f>VLOOKUP($A756,'[1]ma sp 02'!$A$5:$BD$1101,W$1,0)</f>
        <v>0</v>
      </c>
      <c r="X756" s="50"/>
      <c r="Y756" s="62"/>
      <c r="Z756" s="62"/>
      <c r="AA756" s="62"/>
      <c r="AB756" s="62"/>
      <c r="AC756" s="62"/>
      <c r="AD756" s="62"/>
      <c r="AE756" s="62" t="s">
        <v>352</v>
      </c>
      <c r="AF756" s="62" t="s">
        <v>2425</v>
      </c>
      <c r="AG756" s="180">
        <f>(0.012*1.4+0.0012*1.4+0.1*0.925)*0.8</f>
        <v>8.8784000000000016E-2</v>
      </c>
      <c r="AH756" s="155">
        <f>(2.3/0.75/2)*0.79</f>
        <v>1.2113333333333334</v>
      </c>
      <c r="AI756" s="155">
        <f>(2.3/0.75/2)*0.79</f>
        <v>1.2113333333333334</v>
      </c>
      <c r="AJ756" s="9">
        <v>9530</v>
      </c>
      <c r="AK756" s="9">
        <v>9530</v>
      </c>
      <c r="AL756" s="9" t="s">
        <v>1590</v>
      </c>
      <c r="AM756" s="61" t="s">
        <v>1489</v>
      </c>
      <c r="AN756" s="62" t="s">
        <v>2426</v>
      </c>
      <c r="AO756" s="61" t="s">
        <v>2427</v>
      </c>
      <c r="AP756" s="59" t="str">
        <f>IFERROR(VLOOKUP($A756,[2]Mssp!$A$5:$BE$1463,AP$4+1,0),0)</f>
        <v>21070327-1</v>
      </c>
      <c r="AQ756" s="59" t="str">
        <f>IFERROR(VLOOKUP($A756,[2]Mssp!$A$5:$BE$1463,AQ$4+1,0),0)</f>
        <v>21070327-2</v>
      </c>
      <c r="AR756" s="59" t="str">
        <f>IFERROR(VLOOKUP($A756,[2]Mssp!$A$5:$BE$1463,AR$4+1,0),0)</f>
        <v>21070327-3</v>
      </c>
      <c r="AS756" s="59" t="str">
        <f>IFERROR(VLOOKUP($A756,[2]Mssp!$A$5:$BE$1463,AS$4+1,0),0)</f>
        <v>21070327-4</v>
      </c>
      <c r="AT756" s="59" t="str">
        <f>IFERROR(VLOOKUP($A756,[2]Mssp!$A$5:$BE$1463,AT$4+1,0),0)</f>
        <v>21070327-5</v>
      </c>
      <c r="AU756" s="59" t="str">
        <f>IFERROR(VLOOKUP($A756,[2]Mssp!$A$5:$BE$1463,AU$4+1,0),0)</f>
        <v>20081014-6</v>
      </c>
      <c r="AV756" s="59">
        <f>IFERROR(VLOOKUP($A756,[2]Mssp!$A$5:$BE$1463,AV$4+1,0),0)</f>
        <v>0</v>
      </c>
      <c r="AW756" s="59">
        <f>IFERROR(VLOOKUP($A756,[2]Mssp!$A$5:$BE$1463,AW$4+1,0),0)</f>
        <v>0</v>
      </c>
      <c r="AX756" s="59">
        <f>IFERROR(VLOOKUP($A756,[2]Mssp!$A$5:$BE$1463,AX$4+1,0),0)</f>
        <v>0</v>
      </c>
      <c r="AY756" s="59" t="str">
        <f>IFERROR(VLOOKUP($A756,[2]Mssp!$A$5:$BE$1463,AY$4+2,0),0)</f>
        <v>570x870</v>
      </c>
      <c r="AZ756" s="59" t="str">
        <f>IFERROR(VLOOKUP($A756,[2]Mssp!$A$5:$BE$1463,AZ$4+2,0),0)</f>
        <v>S3</v>
      </c>
      <c r="BA756" s="141" t="s">
        <v>2428</v>
      </c>
      <c r="BB756" s="61" t="s">
        <v>952</v>
      </c>
      <c r="BC756" s="165"/>
      <c r="BD756" s="166"/>
      <c r="BE756" s="167"/>
      <c r="BF756" s="168"/>
      <c r="BG756" s="167"/>
      <c r="BH756" s="168"/>
      <c r="BI756" s="169"/>
      <c r="BJ756" s="168"/>
      <c r="BK756" s="134"/>
      <c r="BL756" s="168"/>
      <c r="BM756" s="167"/>
      <c r="BN756" s="168"/>
      <c r="BO756" s="62"/>
      <c r="BP756" s="168"/>
      <c r="BQ756" s="168"/>
      <c r="BR756" s="168"/>
      <c r="BS756" s="135"/>
      <c r="BT756" s="176"/>
      <c r="BU756" s="167"/>
      <c r="BV756" s="168"/>
      <c r="BW756" s="167"/>
      <c r="BX756" s="168"/>
      <c r="BY756" s="167"/>
      <c r="BZ756" s="176"/>
      <c r="CA756" s="167"/>
      <c r="CB756" s="168"/>
      <c r="CC756" s="167"/>
      <c r="CD756" s="168"/>
      <c r="CE756" s="62"/>
      <c r="CF756" s="62"/>
      <c r="CG756" s="9"/>
      <c r="CH756" s="9"/>
      <c r="CI756" s="9"/>
      <c r="CJ756" s="9"/>
      <c r="CK756" s="9"/>
      <c r="CL756" s="9"/>
      <c r="CM756" s="9"/>
      <c r="CN756" s="9"/>
      <c r="CO756" s="9"/>
      <c r="CP756" s="9"/>
    </row>
    <row r="757" spans="1:94" ht="30" x14ac:dyDescent="0.25">
      <c r="A757" s="127" t="s">
        <v>2431</v>
      </c>
      <c r="B757" s="51" t="s">
        <v>2432</v>
      </c>
      <c r="C757" s="62"/>
      <c r="D757" s="84"/>
      <c r="E757" s="62" t="s">
        <v>2433</v>
      </c>
      <c r="F757" s="62">
        <v>5</v>
      </c>
      <c r="G757" s="62"/>
      <c r="H757" s="50">
        <f>VLOOKUP($A757,'[1]ma sp 02'!$A$5:$BD$1101,H$1,0)</f>
        <v>0</v>
      </c>
      <c r="I757" s="50">
        <f>VLOOKUP($A757,'[1]ma sp 02'!$A$5:$BD$1101,I$1,0)</f>
        <v>0</v>
      </c>
      <c r="J757" s="50">
        <f>VLOOKUP($A757,'[1]ma sp 02'!$A$5:$BD$1101,J$1,0)</f>
        <v>0.124</v>
      </c>
      <c r="K757" s="50">
        <f>VLOOKUP($A757,'[1]ma sp 02'!$A$5:$BD$1101,K$1,0)</f>
        <v>0</v>
      </c>
      <c r="L757" s="50">
        <f>VLOOKUP($A757,'[1]ma sp 02'!$A$5:$BD$1101,L$1,0)</f>
        <v>1.2450000000000001</v>
      </c>
      <c r="M757" s="50">
        <f>VLOOKUP($A757,'[1]ma sp 02'!$A$5:$BD$1101,M$1,0)</f>
        <v>0.747</v>
      </c>
      <c r="N757" s="50">
        <f>VLOOKUP($A757,'[1]ma sp 02'!$A$5:$BD$1101,N$1,0)</f>
        <v>0</v>
      </c>
      <c r="O757" s="50">
        <f>VLOOKUP($A757,'[1]ma sp 02'!$A$5:$BD$1101,O$1,0)</f>
        <v>0.01</v>
      </c>
      <c r="P757" s="50">
        <f>VLOOKUP($A757,'[1]ma sp 02'!$A$5:$BD$1101,P$1,0)</f>
        <v>0</v>
      </c>
      <c r="Q757" s="50">
        <f>VLOOKUP($A757,'[1]ma sp 02'!$A$5:$BD$1101,Q$1,0)</f>
        <v>0</v>
      </c>
      <c r="R757" s="50">
        <f>VLOOKUP($A757,'[1]ma sp 02'!$A$5:$BD$1101,R$1,0)</f>
        <v>0.01</v>
      </c>
      <c r="S757" s="50">
        <f>VLOOKUP($A757,'[1]ma sp 02'!$A$5:$BD$1101,S$1,0)</f>
        <v>0</v>
      </c>
      <c r="T757" s="50">
        <f>VLOOKUP($A757,'[1]ma sp 02'!$A$5:$BD$1101,T$1,0)</f>
        <v>0</v>
      </c>
      <c r="U757" s="50">
        <f>VLOOKUP($A757,'[1]ma sp 02'!$A$5:$BD$1101,U$1,0)</f>
        <v>0</v>
      </c>
      <c r="V757" s="50">
        <f>VLOOKUP($A757,'[1]ma sp 02'!$A$5:$BD$1101,V$1,0)</f>
        <v>0</v>
      </c>
      <c r="W757" s="50">
        <f>VLOOKUP($A757,'[1]ma sp 02'!$A$5:$BD$1101,W$1,0)</f>
        <v>0</v>
      </c>
      <c r="X757" s="50"/>
      <c r="Y757" s="62"/>
      <c r="Z757" s="62"/>
      <c r="AA757" s="62"/>
      <c r="AB757" s="62"/>
      <c r="AC757" s="62"/>
      <c r="AD757" s="62"/>
      <c r="AE757" s="62" t="s">
        <v>1206</v>
      </c>
      <c r="AF757" s="62"/>
      <c r="AG757" s="180">
        <f>(0.012*1.4+0.06*0.94)*0.69</f>
        <v>5.050799999999999E-2</v>
      </c>
      <c r="AH757" s="155">
        <f>(3/0.75/2)*0.68</f>
        <v>1.36</v>
      </c>
      <c r="AI757" s="9"/>
      <c r="AJ757" s="9">
        <v>9530</v>
      </c>
      <c r="AK757" s="9"/>
      <c r="AL757" s="9">
        <v>3.0000000000000001E-3</v>
      </c>
      <c r="AM757" s="61" t="s">
        <v>1489</v>
      </c>
      <c r="AN757" s="62" t="s">
        <v>2306</v>
      </c>
      <c r="AO757" s="61" t="s">
        <v>2434</v>
      </c>
      <c r="AP757" s="59" t="str">
        <f>IFERROR(VLOOKUP($A757,[2]Mssp!$A$5:$BE$1463,AP$4+1,0),0)</f>
        <v>F126752-1</v>
      </c>
      <c r="AQ757" s="59" t="str">
        <f>IFERROR(VLOOKUP($A757,[2]Mssp!$A$5:$BE$1463,AQ$4+1,0),0)</f>
        <v>F126752-2</v>
      </c>
      <c r="AR757" s="59" t="str">
        <f>IFERROR(VLOOKUP($A757,[2]Mssp!$A$5:$BE$1463,AR$4+1,0),0)</f>
        <v>F126752-3</v>
      </c>
      <c r="AS757" s="59" t="str">
        <f>IFERROR(VLOOKUP($A757,[2]Mssp!$A$5:$BE$1463,AS$4+1,0),0)</f>
        <v>F126752-4</v>
      </c>
      <c r="AT757" s="59" t="str">
        <f>IFERROR(VLOOKUP($A757,[2]Mssp!$A$5:$BE$1463,AT$4+1,0),0)</f>
        <v>F126752-5</v>
      </c>
      <c r="AU757" s="59">
        <f>IFERROR(VLOOKUP($A757,[2]Mssp!$A$5:$BE$1463,AU$4+1,0),0)</f>
        <v>0</v>
      </c>
      <c r="AV757" s="59">
        <f>IFERROR(VLOOKUP($A757,[2]Mssp!$A$5:$BE$1463,AV$4+1,0),0)</f>
        <v>0</v>
      </c>
      <c r="AW757" s="59">
        <f>IFERROR(VLOOKUP($A757,[2]Mssp!$A$5:$BE$1463,AW$4+1,0),0)</f>
        <v>0</v>
      </c>
      <c r="AX757" s="59">
        <f>IFERROR(VLOOKUP($A757,[2]Mssp!$A$5:$BE$1463,AX$4+1,0),0)</f>
        <v>0</v>
      </c>
      <c r="AY757" s="59" t="str">
        <f>IFERROR(VLOOKUP($A757,[2]Mssp!$A$5:$BE$1463,AY$4+2,0),0)</f>
        <v>470x870</v>
      </c>
      <c r="AZ757" s="59" t="str">
        <f>IFERROR(VLOOKUP($A757,[2]Mssp!$A$5:$BE$1463,AZ$4+2,0),0)</f>
        <v>S3</v>
      </c>
      <c r="BA757" s="141" t="s">
        <v>1936</v>
      </c>
      <c r="BB757" s="61" t="s">
        <v>952</v>
      </c>
      <c r="BC757" s="165"/>
      <c r="BD757" s="166"/>
      <c r="BE757" s="167"/>
      <c r="BF757" s="168"/>
      <c r="BG757" s="167"/>
      <c r="BH757" s="168"/>
      <c r="BI757" s="169"/>
      <c r="BJ757" s="168"/>
      <c r="BK757" s="134"/>
      <c r="BL757" s="168"/>
      <c r="BM757" s="167"/>
      <c r="BN757" s="168"/>
      <c r="BO757" s="62"/>
      <c r="BP757" s="168"/>
      <c r="BQ757" s="168"/>
      <c r="BR757" s="168"/>
      <c r="BS757" s="135"/>
      <c r="BT757" s="176"/>
      <c r="BU757" s="167"/>
      <c r="BV757" s="168"/>
      <c r="BW757" s="167"/>
      <c r="BX757" s="168"/>
      <c r="BY757" s="167"/>
      <c r="BZ757" s="176"/>
      <c r="CA757" s="167"/>
      <c r="CB757" s="168"/>
      <c r="CC757" s="167"/>
      <c r="CD757" s="168"/>
      <c r="CE757" s="62"/>
      <c r="CF757" s="62"/>
      <c r="CG757" s="9"/>
      <c r="CH757" s="9"/>
      <c r="CI757" s="9"/>
      <c r="CJ757" s="9"/>
      <c r="CK757" s="9"/>
      <c r="CL757" s="9"/>
      <c r="CM757" s="9"/>
      <c r="CN757" s="9"/>
      <c r="CO757" s="9"/>
      <c r="CP757" s="9"/>
    </row>
    <row r="758" spans="1:94" ht="30" x14ac:dyDescent="0.25">
      <c r="A758" s="127" t="s">
        <v>2435</v>
      </c>
      <c r="B758" s="51" t="s">
        <v>2436</v>
      </c>
      <c r="C758" s="62"/>
      <c r="D758" s="84"/>
      <c r="E758" s="62" t="s">
        <v>351</v>
      </c>
      <c r="F758" s="62">
        <v>3</v>
      </c>
      <c r="G758" s="62"/>
      <c r="H758" s="50">
        <f>VLOOKUP($A758,'[1]ma sp 02'!$A$5:$BD$1101,H$1,0)</f>
        <v>0</v>
      </c>
      <c r="I758" s="50">
        <f>VLOOKUP($A758,'[1]ma sp 02'!$A$5:$BD$1101,I$1,0)</f>
        <v>4.609</v>
      </c>
      <c r="J758" s="50">
        <f>VLOOKUP($A758,'[1]ma sp 02'!$A$5:$BD$1101,J$1,0)</f>
        <v>1.603</v>
      </c>
      <c r="K758" s="50">
        <f>VLOOKUP($A758,'[1]ma sp 02'!$A$5:$BD$1101,K$1,0)</f>
        <v>0.40100000000000002</v>
      </c>
      <c r="L758" s="50">
        <f>VLOOKUP($A758,'[1]ma sp 02'!$A$5:$BD$1101,L$1,0)</f>
        <v>2.4049999999999998</v>
      </c>
      <c r="M758" s="50">
        <f>VLOOKUP($A758,'[1]ma sp 02'!$A$5:$BD$1101,M$1,0)</f>
        <v>0.80200000000000005</v>
      </c>
      <c r="N758" s="50">
        <f>VLOOKUP($A758,'[1]ma sp 02'!$A$5:$BD$1101,N$1,0)</f>
        <v>0</v>
      </c>
      <c r="O758" s="50">
        <f>VLOOKUP($A758,'[1]ma sp 02'!$A$5:$BD$1101,O$1,0)</f>
        <v>0</v>
      </c>
      <c r="P758" s="50">
        <f>VLOOKUP($A758,'[1]ma sp 02'!$A$5:$BD$1101,P$1,0)</f>
        <v>0.01</v>
      </c>
      <c r="Q758" s="50">
        <f>VLOOKUP($A758,'[1]ma sp 02'!$A$5:$BD$1101,Q$1,0)</f>
        <v>0</v>
      </c>
      <c r="R758" s="50">
        <f>VLOOKUP($A758,'[1]ma sp 02'!$A$5:$BD$1101,R$1,0)</f>
        <v>0.2</v>
      </c>
      <c r="S758" s="50">
        <f>VLOOKUP($A758,'[1]ma sp 02'!$A$5:$BD$1101,S$1,0)</f>
        <v>0</v>
      </c>
      <c r="T758" s="50">
        <f>VLOOKUP($A758,'[1]ma sp 02'!$A$5:$BD$1101,T$1,0)</f>
        <v>0</v>
      </c>
      <c r="U758" s="50">
        <f>VLOOKUP($A758,'[1]ma sp 02'!$A$5:$BD$1101,U$1,0)</f>
        <v>0</v>
      </c>
      <c r="V758" s="50">
        <f>VLOOKUP($A758,'[1]ma sp 02'!$A$5:$BD$1101,V$1,0)</f>
        <v>0</v>
      </c>
      <c r="W758" s="50">
        <f>VLOOKUP($A758,'[1]ma sp 02'!$A$5:$BD$1101,W$1,0)</f>
        <v>0</v>
      </c>
      <c r="X758" s="50"/>
      <c r="Y758" s="62"/>
      <c r="Z758" s="62"/>
      <c r="AA758" s="62"/>
      <c r="AB758" s="62"/>
      <c r="AC758" s="62"/>
      <c r="AD758" s="62"/>
      <c r="AE758" s="62" t="s">
        <v>352</v>
      </c>
      <c r="AF758" s="62" t="s">
        <v>2437</v>
      </c>
      <c r="AG758" s="180">
        <f>(0.012*1.4+0.0012*1.4+0.08*0.925)*0.8</f>
        <v>7.3984000000000008E-2</v>
      </c>
      <c r="AH758" s="155">
        <f>(2.3/0.75/2)*0.79</f>
        <v>1.2113333333333334</v>
      </c>
      <c r="AI758" s="155">
        <f>(2.3/0.75/2)*0.79</f>
        <v>1.2113333333333334</v>
      </c>
      <c r="AJ758" s="9">
        <v>9530</v>
      </c>
      <c r="AK758" s="9">
        <v>9530</v>
      </c>
      <c r="AL758" s="9" t="s">
        <v>1590</v>
      </c>
      <c r="AM758" s="61" t="s">
        <v>1489</v>
      </c>
      <c r="AN758" s="62">
        <v>190</v>
      </c>
      <c r="AO758" s="61" t="s">
        <v>2066</v>
      </c>
      <c r="AP758" s="59" t="str">
        <f>IFERROR(VLOOKUP($A758,[2]Mssp!$A$5:$BE$1463,AP$4+1,0),0)</f>
        <v>F126749-1</v>
      </c>
      <c r="AQ758" s="59" t="str">
        <f>IFERROR(VLOOKUP($A758,[2]Mssp!$A$5:$BE$1463,AQ$4+1,0),0)</f>
        <v>F126749-2</v>
      </c>
      <c r="AR758" s="59" t="str">
        <f>IFERROR(VLOOKUP($A758,[2]Mssp!$A$5:$BE$1463,AR$4+1,0),0)</f>
        <v>F126749-3</v>
      </c>
      <c r="AS758" s="59">
        <f>IFERROR(VLOOKUP($A758,[2]Mssp!$A$5:$BE$1463,AS$4+1,0),0)</f>
        <v>0</v>
      </c>
      <c r="AT758" s="59">
        <f>IFERROR(VLOOKUP($A758,[2]Mssp!$A$5:$BE$1463,AT$4+1,0),0)</f>
        <v>0</v>
      </c>
      <c r="AU758" s="59">
        <f>IFERROR(VLOOKUP($A758,[2]Mssp!$A$5:$BE$1463,AU$4+1,0),0)</f>
        <v>0</v>
      </c>
      <c r="AV758" s="59">
        <f>IFERROR(VLOOKUP($A758,[2]Mssp!$A$5:$BE$1463,AV$4+1,0),0)</f>
        <v>0</v>
      </c>
      <c r="AW758" s="59">
        <f>IFERROR(VLOOKUP($A758,[2]Mssp!$A$5:$BE$1463,AW$4+1,0),0)</f>
        <v>0</v>
      </c>
      <c r="AX758" s="59">
        <f>IFERROR(VLOOKUP($A758,[2]Mssp!$A$5:$BE$1463,AX$4+1,0),0)</f>
        <v>0</v>
      </c>
      <c r="AY758" s="59" t="str">
        <f>IFERROR(VLOOKUP($A758,[2]Mssp!$A$5:$BE$1463,AY$4+2,0),0)</f>
        <v>570x870</v>
      </c>
      <c r="AZ758" s="59" t="str">
        <f>IFERROR(VLOOKUP($A758,[2]Mssp!$A$5:$BE$1463,AZ$4+2,0),0)</f>
        <v>S3</v>
      </c>
      <c r="BA758" s="141" t="s">
        <v>2000</v>
      </c>
      <c r="BB758" s="61" t="s">
        <v>952</v>
      </c>
      <c r="BC758" s="165"/>
      <c r="BD758" s="166"/>
      <c r="BE758" s="167"/>
      <c r="BF758" s="168"/>
      <c r="BG758" s="167"/>
      <c r="BH758" s="168"/>
      <c r="BI758" s="169"/>
      <c r="BJ758" s="168"/>
      <c r="BK758" s="134"/>
      <c r="BL758" s="168"/>
      <c r="BM758" s="167"/>
      <c r="BN758" s="168"/>
      <c r="BO758" s="62"/>
      <c r="BP758" s="168"/>
      <c r="BQ758" s="168"/>
      <c r="BR758" s="168"/>
      <c r="BS758" s="135"/>
      <c r="BT758" s="176"/>
      <c r="BU758" s="167"/>
      <c r="BV758" s="168"/>
      <c r="BW758" s="167"/>
      <c r="BX758" s="168"/>
      <c r="BY758" s="167"/>
      <c r="BZ758" s="176"/>
      <c r="CA758" s="167"/>
      <c r="CB758" s="168"/>
      <c r="CC758" s="167"/>
      <c r="CD758" s="168"/>
      <c r="CE758" s="62"/>
      <c r="CF758" s="62"/>
      <c r="CG758" s="9"/>
      <c r="CH758" s="9"/>
      <c r="CI758" s="9"/>
      <c r="CJ758" s="9"/>
      <c r="CK758" s="9"/>
      <c r="CL758" s="9"/>
      <c r="CM758" s="9"/>
      <c r="CN758" s="9"/>
      <c r="CO758" s="9"/>
      <c r="CP758" s="9"/>
    </row>
    <row r="759" spans="1:94" ht="30" x14ac:dyDescent="0.25">
      <c r="A759" s="127" t="s">
        <v>2438</v>
      </c>
      <c r="B759" s="51" t="s">
        <v>2439</v>
      </c>
      <c r="C759" s="62"/>
      <c r="D759" s="84"/>
      <c r="E759" s="62" t="s">
        <v>2440</v>
      </c>
      <c r="F759" s="62"/>
      <c r="G759" s="62"/>
      <c r="H759" s="50">
        <f>VLOOKUP($A759,'[1]ma sp 02'!$A$5:$BD$1101,H$1,0)</f>
        <v>0</v>
      </c>
      <c r="I759" s="50">
        <f>VLOOKUP($A759,'[1]ma sp 02'!$A$5:$BD$1101,I$1,0)</f>
        <v>0</v>
      </c>
      <c r="J759" s="50">
        <f>VLOOKUP($A759,'[1]ma sp 02'!$A$5:$BD$1101,J$1,0)</f>
        <v>0</v>
      </c>
      <c r="K759" s="50">
        <f>VLOOKUP($A759,'[1]ma sp 02'!$A$5:$BD$1101,K$1,0)</f>
        <v>0</v>
      </c>
      <c r="L759" s="50">
        <f>VLOOKUP($A759,'[1]ma sp 02'!$A$5:$BD$1101,L$1,0)</f>
        <v>0</v>
      </c>
      <c r="M759" s="50">
        <f>VLOOKUP($A759,'[1]ma sp 02'!$A$5:$BD$1101,M$1,0)</f>
        <v>0</v>
      </c>
      <c r="N759" s="50">
        <f>VLOOKUP($A759,'[1]ma sp 02'!$A$5:$BD$1101,N$1,0)</f>
        <v>0</v>
      </c>
      <c r="O759" s="50">
        <f>VLOOKUP($A759,'[1]ma sp 02'!$A$5:$BD$1101,O$1,0)</f>
        <v>0</v>
      </c>
      <c r="P759" s="50">
        <f>VLOOKUP($A759,'[1]ma sp 02'!$A$5:$BD$1101,P$1,0)</f>
        <v>0</v>
      </c>
      <c r="Q759" s="50">
        <f>VLOOKUP($A759,'[1]ma sp 02'!$A$5:$BD$1101,Q$1,0)</f>
        <v>0</v>
      </c>
      <c r="R759" s="50">
        <f>VLOOKUP($A759,'[1]ma sp 02'!$A$5:$BD$1101,R$1,0)</f>
        <v>0</v>
      </c>
      <c r="S759" s="50">
        <f>VLOOKUP($A759,'[1]ma sp 02'!$A$5:$BD$1101,S$1,0)</f>
        <v>0</v>
      </c>
      <c r="T759" s="50">
        <f>VLOOKUP($A759,'[1]ma sp 02'!$A$5:$BD$1101,T$1,0)</f>
        <v>0</v>
      </c>
      <c r="U759" s="50">
        <f>VLOOKUP($A759,'[1]ma sp 02'!$A$5:$BD$1101,U$1,0)</f>
        <v>0</v>
      </c>
      <c r="V759" s="50">
        <f>VLOOKUP($A759,'[1]ma sp 02'!$A$5:$BD$1101,V$1,0)</f>
        <v>0</v>
      </c>
      <c r="W759" s="50">
        <f>VLOOKUP($A759,'[1]ma sp 02'!$A$5:$BD$1101,W$1,0)</f>
        <v>0</v>
      </c>
      <c r="X759" s="50"/>
      <c r="Y759" s="62"/>
      <c r="Z759" s="62"/>
      <c r="AA759" s="62"/>
      <c r="AB759" s="62"/>
      <c r="AC759" s="62"/>
      <c r="AD759" s="62"/>
      <c r="AE759" s="62" t="s">
        <v>2441</v>
      </c>
      <c r="AF759" s="62"/>
      <c r="AG759" s="180">
        <f>(0.02*0.91+0.045*0.925)*0.56</f>
        <v>3.3502000000000004E-2</v>
      </c>
      <c r="AH759" s="155">
        <f>(2.3/0.75/2)*0.55</f>
        <v>0.84333333333333338</v>
      </c>
      <c r="AI759" s="9"/>
      <c r="AJ759" s="56">
        <v>9530</v>
      </c>
      <c r="AK759" s="9"/>
      <c r="AL759" s="9">
        <v>2.3E-3</v>
      </c>
      <c r="AM759" s="61" t="s">
        <v>1489</v>
      </c>
      <c r="AN759" s="62"/>
      <c r="AO759" s="61" t="s">
        <v>2442</v>
      </c>
      <c r="AP759" s="59">
        <f>IFERROR(VLOOKUP($A759,[2]Mssp!$A$5:$BE$1463,AP$4+1,0),0)</f>
        <v>0</v>
      </c>
      <c r="AQ759" s="59">
        <f>IFERROR(VLOOKUP($A759,[2]Mssp!$A$5:$BE$1463,AQ$4+1,0),0)</f>
        <v>0</v>
      </c>
      <c r="AR759" s="59">
        <f>IFERROR(VLOOKUP($A759,[2]Mssp!$A$5:$BE$1463,AR$4+1,0),0)</f>
        <v>0</v>
      </c>
      <c r="AS759" s="59">
        <f>IFERROR(VLOOKUP($A759,[2]Mssp!$A$5:$BE$1463,AS$4+1,0),0)</f>
        <v>0</v>
      </c>
      <c r="AT759" s="59">
        <f>IFERROR(VLOOKUP($A759,[2]Mssp!$A$5:$BE$1463,AT$4+1,0),0)</f>
        <v>0</v>
      </c>
      <c r="AU759" s="59">
        <f>IFERROR(VLOOKUP($A759,[2]Mssp!$A$5:$BE$1463,AU$4+1,0),0)</f>
        <v>0</v>
      </c>
      <c r="AV759" s="59">
        <f>IFERROR(VLOOKUP($A759,[2]Mssp!$A$5:$BE$1463,AV$4+1,0),0)</f>
        <v>0</v>
      </c>
      <c r="AW759" s="59">
        <f>IFERROR(VLOOKUP($A759,[2]Mssp!$A$5:$BE$1463,AW$4+1,0),0)</f>
        <v>0</v>
      </c>
      <c r="AX759" s="59">
        <f>IFERROR(VLOOKUP($A759,[2]Mssp!$A$5:$BE$1463,AX$4+1,0),0)</f>
        <v>0</v>
      </c>
      <c r="AY759" s="59">
        <f>IFERROR(VLOOKUP($A759,[2]Mssp!$A$5:$BE$1463,AY$4+2,0),0)</f>
        <v>0</v>
      </c>
      <c r="AZ759" s="59">
        <f>IFERROR(VLOOKUP($A759,[2]Mssp!$A$5:$BE$1463,AZ$4+2,0),0)</f>
        <v>0</v>
      </c>
      <c r="BA759" s="141"/>
      <c r="BB759" s="61" t="s">
        <v>952</v>
      </c>
      <c r="BC759" s="165"/>
      <c r="BD759" s="166"/>
      <c r="BE759" s="167"/>
      <c r="BF759" s="168"/>
      <c r="BG759" s="167"/>
      <c r="BH759" s="168"/>
      <c r="BI759" s="169"/>
      <c r="BJ759" s="168"/>
      <c r="BK759" s="134"/>
      <c r="BL759" s="168"/>
      <c r="BM759" s="167"/>
      <c r="BN759" s="168"/>
      <c r="BO759" s="62"/>
      <c r="BP759" s="168"/>
      <c r="BQ759" s="168"/>
      <c r="BR759" s="168"/>
      <c r="BS759" s="135"/>
      <c r="BT759" s="176"/>
      <c r="BU759" s="167"/>
      <c r="BV759" s="168"/>
      <c r="BW759" s="167"/>
      <c r="BX759" s="168"/>
      <c r="BY759" s="167"/>
      <c r="BZ759" s="176"/>
      <c r="CA759" s="167"/>
      <c r="CB759" s="168"/>
      <c r="CC759" s="167"/>
      <c r="CD759" s="168"/>
      <c r="CE759" s="62"/>
      <c r="CF759" s="62"/>
      <c r="CG759" s="9"/>
      <c r="CH759" s="9"/>
      <c r="CI759" s="9"/>
      <c r="CJ759" s="9"/>
      <c r="CK759" s="9"/>
      <c r="CL759" s="9"/>
      <c r="CM759" s="9"/>
      <c r="CN759" s="9"/>
      <c r="CO759" s="9"/>
      <c r="CP759" s="9"/>
    </row>
    <row r="760" spans="1:94" ht="60" x14ac:dyDescent="0.25">
      <c r="A760" s="127" t="s">
        <v>2443</v>
      </c>
      <c r="B760" s="51" t="s">
        <v>2444</v>
      </c>
      <c r="C760" s="62"/>
      <c r="D760" s="84"/>
      <c r="E760" s="62" t="s">
        <v>973</v>
      </c>
      <c r="F760" s="62">
        <v>3</v>
      </c>
      <c r="G760" s="62"/>
      <c r="H760" s="50">
        <f>VLOOKUP($A760,'[1]ma sp 02'!$A$5:$BD$1101,H$1,0)</f>
        <v>0.218</v>
      </c>
      <c r="I760" s="50">
        <f>VLOOKUP($A760,'[1]ma sp 02'!$A$5:$BD$1101,I$1,0)</f>
        <v>2.726</v>
      </c>
      <c r="J760" s="50">
        <f>VLOOKUP($A760,'[1]ma sp 02'!$A$5:$BD$1101,J$1,0)</f>
        <v>0</v>
      </c>
      <c r="K760" s="50">
        <f>VLOOKUP($A760,'[1]ma sp 02'!$A$5:$BD$1101,K$1,0)</f>
        <v>2.1800000000000002</v>
      </c>
      <c r="L760" s="50">
        <f>VLOOKUP($A760,'[1]ma sp 02'!$A$5:$BD$1101,L$1,0)</f>
        <v>0.54500000000000004</v>
      </c>
      <c r="M760" s="50">
        <f>VLOOKUP($A760,'[1]ma sp 02'!$A$5:$BD$1101,M$1,0)</f>
        <v>0</v>
      </c>
      <c r="N760" s="50">
        <f>VLOOKUP($A760,'[1]ma sp 02'!$A$5:$BD$1101,N$1,0)</f>
        <v>0</v>
      </c>
      <c r="O760" s="50">
        <f>VLOOKUP($A760,'[1]ma sp 02'!$A$5:$BD$1101,O$1,0)</f>
        <v>0</v>
      </c>
      <c r="P760" s="50">
        <f>VLOOKUP($A760,'[1]ma sp 02'!$A$5:$BD$1101,P$1,0)</f>
        <v>2.61</v>
      </c>
      <c r="Q760" s="50">
        <f>VLOOKUP($A760,'[1]ma sp 02'!$A$5:$BD$1101,Q$1,0)</f>
        <v>0</v>
      </c>
      <c r="R760" s="50">
        <f>VLOOKUP($A760,'[1]ma sp 02'!$A$5:$BD$1101,R$1,0)</f>
        <v>0</v>
      </c>
      <c r="S760" s="50">
        <f>VLOOKUP($A760,'[1]ma sp 02'!$A$5:$BD$1101,S$1,0)</f>
        <v>0</v>
      </c>
      <c r="T760" s="50">
        <f>VLOOKUP($A760,'[1]ma sp 02'!$A$5:$BD$1101,T$1,0)</f>
        <v>0</v>
      </c>
      <c r="U760" s="50">
        <f>VLOOKUP($A760,'[1]ma sp 02'!$A$5:$BD$1101,U$1,0)</f>
        <v>0</v>
      </c>
      <c r="V760" s="50">
        <f>VLOOKUP($A760,'[1]ma sp 02'!$A$5:$BD$1101,V$1,0)</f>
        <v>0</v>
      </c>
      <c r="W760" s="50">
        <f>VLOOKUP($A760,'[1]ma sp 02'!$A$5:$BD$1101,W$1,0)</f>
        <v>0</v>
      </c>
      <c r="X760" s="50"/>
      <c r="Y760" s="62"/>
      <c r="Z760" s="62"/>
      <c r="AA760" s="62"/>
      <c r="AB760" s="62"/>
      <c r="AC760" s="62"/>
      <c r="AD760" s="62"/>
      <c r="AE760" s="62" t="s">
        <v>2445</v>
      </c>
      <c r="AF760" s="62"/>
      <c r="AG760" s="180">
        <f>(0.015*1.15+0.07*0.925)*0.8</f>
        <v>6.5600000000000019E-2</v>
      </c>
      <c r="AH760" s="155">
        <f>(2.3/0.75/2)*0.79</f>
        <v>1.2113333333333334</v>
      </c>
      <c r="AI760" s="9"/>
      <c r="AJ760" s="56">
        <v>9530</v>
      </c>
      <c r="AK760" s="9"/>
      <c r="AL760" s="9">
        <v>2.3E-3</v>
      </c>
      <c r="AM760" s="61" t="s">
        <v>74</v>
      </c>
      <c r="AN760" s="62"/>
      <c r="AO760" s="61" t="s">
        <v>2446</v>
      </c>
      <c r="AP760" s="59" t="str">
        <f>IFERROR(VLOOKUP($A760,[2]Mssp!$A$5:$BE$1463,AP$4+1,0),0)</f>
        <v>F126735NG2-1</v>
      </c>
      <c r="AQ760" s="59" t="str">
        <f>IFERROR(VLOOKUP($A760,[2]Mssp!$A$5:$BE$1463,AQ$4+1,0),0)</f>
        <v>F126735-2</v>
      </c>
      <c r="AR760" s="59" t="str">
        <f>IFERROR(VLOOKUP($A760,[2]Mssp!$A$5:$BE$1463,AR$4+1,0),0)</f>
        <v>F126735-3</v>
      </c>
      <c r="AS760" s="59">
        <f>IFERROR(VLOOKUP($A760,[2]Mssp!$A$5:$BE$1463,AS$4+1,0),0)</f>
        <v>0</v>
      </c>
      <c r="AT760" s="59">
        <f>IFERROR(VLOOKUP($A760,[2]Mssp!$A$5:$BE$1463,AT$4+1,0),0)</f>
        <v>0</v>
      </c>
      <c r="AU760" s="59">
        <f>IFERROR(VLOOKUP($A760,[2]Mssp!$A$5:$BE$1463,AU$4+1,0),0)</f>
        <v>0</v>
      </c>
      <c r="AV760" s="59">
        <f>IFERROR(VLOOKUP($A760,[2]Mssp!$A$5:$BE$1463,AV$4+1,0),0)</f>
        <v>0</v>
      </c>
      <c r="AW760" s="59">
        <f>IFERROR(VLOOKUP($A760,[2]Mssp!$A$5:$BE$1463,AW$4+1,0),0)</f>
        <v>0</v>
      </c>
      <c r="AX760" s="59">
        <f>IFERROR(VLOOKUP($A760,[2]Mssp!$A$5:$BE$1463,AX$4+1,0),0)</f>
        <v>0</v>
      </c>
      <c r="AY760" s="59" t="str">
        <f>IFERROR(VLOOKUP($A760,[2]Mssp!$A$5:$BE$1463,AY$4+2,0),0)</f>
        <v>490x870</v>
      </c>
      <c r="AZ760" s="59" t="str">
        <f>IFERROR(VLOOKUP($A760,[2]Mssp!$A$5:$BE$1463,AZ$4+2,0),0)</f>
        <v>S3</v>
      </c>
      <c r="BA760" s="141"/>
      <c r="BB760" s="61" t="s">
        <v>1894</v>
      </c>
      <c r="BC760" s="165"/>
      <c r="BD760" s="166"/>
      <c r="BE760" s="167"/>
      <c r="BF760" s="168"/>
      <c r="BG760" s="167"/>
      <c r="BH760" s="168"/>
      <c r="BI760" s="169"/>
      <c r="BJ760" s="168"/>
      <c r="BK760" s="134"/>
      <c r="BL760" s="168"/>
      <c r="BM760" s="167"/>
      <c r="BN760" s="168"/>
      <c r="BO760" s="62"/>
      <c r="BP760" s="168"/>
      <c r="BQ760" s="168"/>
      <c r="BR760" s="168"/>
      <c r="BS760" s="135"/>
      <c r="BT760" s="176"/>
      <c r="BU760" s="167"/>
      <c r="BV760" s="168"/>
      <c r="BW760" s="167"/>
      <c r="BX760" s="168"/>
      <c r="BY760" s="167"/>
      <c r="BZ760" s="176"/>
      <c r="CA760" s="167"/>
      <c r="CB760" s="168"/>
      <c r="CC760" s="167"/>
      <c r="CD760" s="168"/>
      <c r="CE760" s="62"/>
      <c r="CF760" s="62"/>
      <c r="CG760" s="9"/>
      <c r="CH760" s="9"/>
      <c r="CI760" s="9"/>
      <c r="CJ760" s="9"/>
      <c r="CK760" s="9"/>
      <c r="CL760" s="9"/>
      <c r="CM760" s="9"/>
      <c r="CN760" s="9"/>
      <c r="CO760" s="9"/>
      <c r="CP760" s="9"/>
    </row>
    <row r="761" spans="1:94" ht="30" x14ac:dyDescent="0.25">
      <c r="A761" s="127" t="s">
        <v>2447</v>
      </c>
      <c r="B761" s="51" t="s">
        <v>2448</v>
      </c>
      <c r="C761" s="62"/>
      <c r="D761" s="84">
        <v>11</v>
      </c>
      <c r="E761" s="62" t="s">
        <v>2449</v>
      </c>
      <c r="F761" s="62">
        <v>4</v>
      </c>
      <c r="G761" s="62"/>
      <c r="H761" s="50">
        <f>VLOOKUP($A761,'[1]ma sp 02'!$A$5:$BD$1101,H$1,0)</f>
        <v>0.68</v>
      </c>
      <c r="I761" s="50">
        <f>VLOOKUP($A761,'[1]ma sp 02'!$A$5:$BD$1101,I$1,0)</f>
        <v>0</v>
      </c>
      <c r="J761" s="50">
        <f>VLOOKUP($A761,'[1]ma sp 02'!$A$5:$BD$1101,J$1,0)</f>
        <v>0.68</v>
      </c>
      <c r="K761" s="50">
        <f>VLOOKUP($A761,'[1]ma sp 02'!$A$5:$BD$1101,K$1,0)</f>
        <v>0</v>
      </c>
      <c r="L761" s="50">
        <f>VLOOKUP($A761,'[1]ma sp 02'!$A$5:$BD$1101,L$1,0)</f>
        <v>3.06</v>
      </c>
      <c r="M761" s="50">
        <f>VLOOKUP($A761,'[1]ma sp 02'!$A$5:$BD$1101,M$1,0)</f>
        <v>6.8</v>
      </c>
      <c r="N761" s="50">
        <f>VLOOKUP($A761,'[1]ma sp 02'!$A$5:$BD$1101,N$1,0)</f>
        <v>0</v>
      </c>
      <c r="O761" s="50">
        <f>VLOOKUP($A761,'[1]ma sp 02'!$A$5:$BD$1101,O$1,0)</f>
        <v>0.01</v>
      </c>
      <c r="P761" s="50">
        <f>VLOOKUP($A761,'[1]ma sp 02'!$A$5:$BD$1101,P$1,0)</f>
        <v>0</v>
      </c>
      <c r="Q761" s="50">
        <f>VLOOKUP($A761,'[1]ma sp 02'!$A$5:$BD$1101,Q$1,0)</f>
        <v>0</v>
      </c>
      <c r="R761" s="50">
        <f>VLOOKUP($A761,'[1]ma sp 02'!$A$5:$BD$1101,R$1,0)</f>
        <v>0</v>
      </c>
      <c r="S761" s="50">
        <f>VLOOKUP($A761,'[1]ma sp 02'!$A$5:$BD$1101,S$1,0)</f>
        <v>0</v>
      </c>
      <c r="T761" s="50">
        <f>VLOOKUP($A761,'[1]ma sp 02'!$A$5:$BD$1101,T$1,0)</f>
        <v>0</v>
      </c>
      <c r="U761" s="50">
        <f>VLOOKUP($A761,'[1]ma sp 02'!$A$5:$BD$1101,U$1,0)</f>
        <v>0</v>
      </c>
      <c r="V761" s="50">
        <f>VLOOKUP($A761,'[1]ma sp 02'!$A$5:$BD$1101,V$1,0)</f>
        <v>0</v>
      </c>
      <c r="W761" s="50">
        <f>VLOOKUP($A761,'[1]ma sp 02'!$A$5:$BD$1101,W$1,0)</f>
        <v>0</v>
      </c>
      <c r="X761" s="50"/>
      <c r="Y761" s="62"/>
      <c r="Z761" s="62"/>
      <c r="AA761" s="62"/>
      <c r="AB761" s="62"/>
      <c r="AC761" s="62"/>
      <c r="AD761" s="62"/>
      <c r="AE761" s="62" t="s">
        <v>842</v>
      </c>
      <c r="AF761" s="62"/>
      <c r="AG761" s="180">
        <f>(0.064+0.025*0.91)*0.74</f>
        <v>6.4195000000000002E-2</v>
      </c>
      <c r="AH761" s="155">
        <f>(5/0.75/2)*0.73</f>
        <v>2.4333333333333336</v>
      </c>
      <c r="AI761" s="9"/>
      <c r="AJ761" s="56">
        <v>9530</v>
      </c>
      <c r="AK761" s="9"/>
      <c r="AL761" s="9">
        <v>5.0000000000000001E-3</v>
      </c>
      <c r="AM761" s="61" t="s">
        <v>1575</v>
      </c>
      <c r="AN761" s="62"/>
      <c r="AO761" s="61" t="s">
        <v>2450</v>
      </c>
      <c r="AP761" s="59" t="str">
        <f>IFERROR(VLOOKUP($A761,[2]Mssp!$A$5:$BE$1463,AP$4+1,0),0)</f>
        <v>X109684-1</v>
      </c>
      <c r="AQ761" s="59" t="str">
        <f>IFERROR(VLOOKUP($A761,[2]Mssp!$A$5:$BE$1463,AQ$4+1,0),0)</f>
        <v>X109684-2</v>
      </c>
      <c r="AR761" s="59" t="str">
        <f>IFERROR(VLOOKUP($A761,[2]Mssp!$A$5:$BE$1463,AR$4+1,0),0)</f>
        <v>X109684-3</v>
      </c>
      <c r="AS761" s="59" t="str">
        <f>IFERROR(VLOOKUP($A761,[2]Mssp!$A$5:$BE$1463,AS$4+1,0),0)</f>
        <v>X109684-4</v>
      </c>
      <c r="AT761" s="59">
        <f>IFERROR(VLOOKUP($A761,[2]Mssp!$A$5:$BE$1463,AT$4+1,0),0)</f>
        <v>0</v>
      </c>
      <c r="AU761" s="59">
        <f>IFERROR(VLOOKUP($A761,[2]Mssp!$A$5:$BE$1463,AU$4+1,0),0)</f>
        <v>0</v>
      </c>
      <c r="AV761" s="59">
        <f>IFERROR(VLOOKUP($A761,[2]Mssp!$A$5:$BE$1463,AV$4+1,0),0)</f>
        <v>0</v>
      </c>
      <c r="AW761" s="59">
        <f>IFERROR(VLOOKUP($A761,[2]Mssp!$A$5:$BE$1463,AW$4+1,0),0)</f>
        <v>0</v>
      </c>
      <c r="AX761" s="59">
        <f>IFERROR(VLOOKUP($A761,[2]Mssp!$A$5:$BE$1463,AX$4+1,0),0)</f>
        <v>0</v>
      </c>
      <c r="AY761" s="59" t="str">
        <f>IFERROR(VLOOKUP($A761,[2]Mssp!$A$5:$BE$1463,AY$4+2,0),0)</f>
        <v>462x870</v>
      </c>
      <c r="AZ761" s="59">
        <f>IFERROR(VLOOKUP($A761,[2]Mssp!$A$5:$BE$1463,AZ$4+2,0),0)</f>
        <v>0</v>
      </c>
      <c r="BA761" s="141"/>
      <c r="BB761" s="61" t="s">
        <v>952</v>
      </c>
      <c r="BC761" s="165"/>
      <c r="BD761" s="166"/>
      <c r="BE761" s="167"/>
      <c r="BF761" s="168"/>
      <c r="BG761" s="167"/>
      <c r="BH761" s="168"/>
      <c r="BI761" s="169"/>
      <c r="BJ761" s="168"/>
      <c r="BK761" s="134"/>
      <c r="BL761" s="168"/>
      <c r="BM761" s="167"/>
      <c r="BN761" s="168"/>
      <c r="BO761" s="62"/>
      <c r="BP761" s="168"/>
      <c r="BQ761" s="168"/>
      <c r="BR761" s="168"/>
      <c r="BS761" s="135"/>
      <c r="BT761" s="176"/>
      <c r="BU761" s="167"/>
      <c r="BV761" s="168"/>
      <c r="BW761" s="167"/>
      <c r="BX761" s="168"/>
      <c r="BY761" s="167"/>
      <c r="BZ761" s="176"/>
      <c r="CA761" s="167"/>
      <c r="CB761" s="168"/>
      <c r="CC761" s="167"/>
      <c r="CD761" s="168"/>
      <c r="CE761" s="62"/>
      <c r="CF761" s="62"/>
      <c r="CG761" s="9"/>
      <c r="CH761" s="9"/>
      <c r="CI761" s="9"/>
      <c r="CJ761" s="9"/>
      <c r="CK761" s="9"/>
      <c r="CL761" s="9"/>
      <c r="CM761" s="9"/>
      <c r="CN761" s="9"/>
      <c r="CO761" s="9"/>
      <c r="CP761" s="9"/>
    </row>
    <row r="762" spans="1:94" ht="30" x14ac:dyDescent="0.25">
      <c r="A762" s="127" t="s">
        <v>2451</v>
      </c>
      <c r="B762" s="51" t="s">
        <v>2452</v>
      </c>
      <c r="C762" s="62"/>
      <c r="D762" s="84">
        <v>11</v>
      </c>
      <c r="E762" s="62" t="s">
        <v>2449</v>
      </c>
      <c r="F762" s="62">
        <v>4</v>
      </c>
      <c r="G762" s="62"/>
      <c r="H762" s="50">
        <f>VLOOKUP($A762,'[1]ma sp 02'!$A$5:$BD$1101,H$1,0)</f>
        <v>0.71799999999999997</v>
      </c>
      <c r="I762" s="50">
        <f>VLOOKUP($A762,'[1]ma sp 02'!$A$5:$BD$1101,I$1,0)</f>
        <v>0</v>
      </c>
      <c r="J762" s="50">
        <f>VLOOKUP($A762,'[1]ma sp 02'!$A$5:$BD$1101,J$1,0)</f>
        <v>2.1549999999999998</v>
      </c>
      <c r="K762" s="50">
        <f>VLOOKUP($A762,'[1]ma sp 02'!$A$5:$BD$1101,K$1,0)</f>
        <v>0</v>
      </c>
      <c r="L762" s="50">
        <f>VLOOKUP($A762,'[1]ma sp 02'!$A$5:$BD$1101,L$1,0)</f>
        <v>7.54</v>
      </c>
      <c r="M762" s="50">
        <f>VLOOKUP($A762,'[1]ma sp 02'!$A$5:$BD$1101,M$1,0)</f>
        <v>2.5139999999999998</v>
      </c>
      <c r="N762" s="50">
        <f>VLOOKUP($A762,'[1]ma sp 02'!$A$5:$BD$1101,N$1,0)</f>
        <v>0</v>
      </c>
      <c r="O762" s="50">
        <f>VLOOKUP($A762,'[1]ma sp 02'!$A$5:$BD$1101,O$1,0)</f>
        <v>0.01</v>
      </c>
      <c r="P762" s="50">
        <f>VLOOKUP($A762,'[1]ma sp 02'!$A$5:$BD$1101,P$1,0)</f>
        <v>4.13</v>
      </c>
      <c r="Q762" s="50">
        <f>VLOOKUP($A762,'[1]ma sp 02'!$A$5:$BD$1101,Q$1,0)</f>
        <v>0</v>
      </c>
      <c r="R762" s="50">
        <f>VLOOKUP($A762,'[1]ma sp 02'!$A$5:$BD$1101,R$1,0)</f>
        <v>0</v>
      </c>
      <c r="S762" s="50">
        <f>VLOOKUP($A762,'[1]ma sp 02'!$A$5:$BD$1101,S$1,0)</f>
        <v>0</v>
      </c>
      <c r="T762" s="50">
        <f>VLOOKUP($A762,'[1]ma sp 02'!$A$5:$BD$1101,T$1,0)</f>
        <v>0</v>
      </c>
      <c r="U762" s="50">
        <f>VLOOKUP($A762,'[1]ma sp 02'!$A$5:$BD$1101,U$1,0)</f>
        <v>0</v>
      </c>
      <c r="V762" s="50">
        <f>VLOOKUP($A762,'[1]ma sp 02'!$A$5:$BD$1101,V$1,0)</f>
        <v>0</v>
      </c>
      <c r="W762" s="50">
        <f>VLOOKUP($A762,'[1]ma sp 02'!$A$5:$BD$1101,W$1,0)</f>
        <v>0</v>
      </c>
      <c r="X762" s="50"/>
      <c r="Y762" s="62"/>
      <c r="Z762" s="62"/>
      <c r="AA762" s="62"/>
      <c r="AB762" s="62"/>
      <c r="AC762" s="62"/>
      <c r="AD762" s="62"/>
      <c r="AE762" s="62" t="s">
        <v>842</v>
      </c>
      <c r="AF762" s="62"/>
      <c r="AG762" s="180">
        <f t="shared" ref="AG762:AG769" si="31">(0.064+0.025*0.91)*0.74</f>
        <v>6.4195000000000002E-2</v>
      </c>
      <c r="AH762" s="155">
        <f t="shared" ref="AH762:AH769" si="32">(5/0.75/2)*0.73</f>
        <v>2.4333333333333336</v>
      </c>
      <c r="AI762" s="9"/>
      <c r="AJ762" s="56">
        <v>9530</v>
      </c>
      <c r="AK762" s="9"/>
      <c r="AL762" s="9">
        <v>5.0000000000000001E-3</v>
      </c>
      <c r="AM762" s="61" t="s">
        <v>1575</v>
      </c>
      <c r="AN762" s="62"/>
      <c r="AO762" s="61" t="s">
        <v>2450</v>
      </c>
      <c r="AP762" s="59" t="str">
        <f>IFERROR(VLOOKUP($A762,[2]Mssp!$A$5:$BE$1463,AP$4+1,0),0)</f>
        <v>X109685-1</v>
      </c>
      <c r="AQ762" s="59" t="str">
        <f>IFERROR(VLOOKUP($A762,[2]Mssp!$A$5:$BE$1463,AQ$4+1,0),0)</f>
        <v>X109684-2</v>
      </c>
      <c r="AR762" s="59" t="str">
        <f>IFERROR(VLOOKUP($A762,[2]Mssp!$A$5:$BE$1463,AR$4+1,0),0)</f>
        <v>X109684-3</v>
      </c>
      <c r="AS762" s="59" t="str">
        <f>IFERROR(VLOOKUP($A762,[2]Mssp!$A$5:$BE$1463,AS$4+1,0),0)</f>
        <v>X109684-4</v>
      </c>
      <c r="AT762" s="59">
        <f>IFERROR(VLOOKUP($A762,[2]Mssp!$A$5:$BE$1463,AT$4+1,0),0)</f>
        <v>0</v>
      </c>
      <c r="AU762" s="59">
        <f>IFERROR(VLOOKUP($A762,[2]Mssp!$A$5:$BE$1463,AU$4+1,0),0)</f>
        <v>0</v>
      </c>
      <c r="AV762" s="59">
        <f>IFERROR(VLOOKUP($A762,[2]Mssp!$A$5:$BE$1463,AV$4+1,0),0)</f>
        <v>0</v>
      </c>
      <c r="AW762" s="59">
        <f>IFERROR(VLOOKUP($A762,[2]Mssp!$A$5:$BE$1463,AW$4+1,0),0)</f>
        <v>0</v>
      </c>
      <c r="AX762" s="59">
        <f>IFERROR(VLOOKUP($A762,[2]Mssp!$A$5:$BE$1463,AX$4+1,0),0)</f>
        <v>0</v>
      </c>
      <c r="AY762" s="59" t="str">
        <f>IFERROR(VLOOKUP($A762,[2]Mssp!$A$5:$BE$1463,AY$4+2,0),0)</f>
        <v>462x870</v>
      </c>
      <c r="AZ762" s="59">
        <f>IFERROR(VLOOKUP($A762,[2]Mssp!$A$5:$BE$1463,AZ$4+2,0),0)</f>
        <v>0</v>
      </c>
      <c r="BA762" s="141"/>
      <c r="BB762" s="61"/>
      <c r="BC762" s="165"/>
      <c r="BD762" s="166"/>
      <c r="BE762" s="167"/>
      <c r="BF762" s="168"/>
      <c r="BG762" s="167"/>
      <c r="BH762" s="168"/>
      <c r="BI762" s="169"/>
      <c r="BJ762" s="168"/>
      <c r="BK762" s="134"/>
      <c r="BL762" s="168"/>
      <c r="BM762" s="167"/>
      <c r="BN762" s="168"/>
      <c r="BO762" s="62"/>
      <c r="BP762" s="168"/>
      <c r="BQ762" s="168"/>
      <c r="BR762" s="168"/>
      <c r="BS762" s="135"/>
      <c r="BT762" s="176"/>
      <c r="BU762" s="167"/>
      <c r="BV762" s="168"/>
      <c r="BW762" s="167"/>
      <c r="BX762" s="168"/>
      <c r="BY762" s="167"/>
      <c r="BZ762" s="176"/>
      <c r="CA762" s="167"/>
      <c r="CB762" s="168"/>
      <c r="CC762" s="167"/>
      <c r="CD762" s="168"/>
      <c r="CE762" s="62"/>
      <c r="CF762" s="62"/>
      <c r="CG762" s="9"/>
      <c r="CH762" s="9"/>
      <c r="CI762" s="9"/>
      <c r="CJ762" s="9"/>
      <c r="CK762" s="9"/>
      <c r="CL762" s="9"/>
      <c r="CM762" s="9"/>
      <c r="CN762" s="9"/>
      <c r="CO762" s="9"/>
      <c r="CP762" s="9"/>
    </row>
    <row r="763" spans="1:94" ht="30" x14ac:dyDescent="0.25">
      <c r="A763" s="127" t="s">
        <v>2453</v>
      </c>
      <c r="B763" s="51" t="s">
        <v>2454</v>
      </c>
      <c r="C763" s="62"/>
      <c r="D763" s="84">
        <v>11</v>
      </c>
      <c r="E763" s="62" t="s">
        <v>2449</v>
      </c>
      <c r="F763" s="62">
        <v>4</v>
      </c>
      <c r="G763" s="62"/>
      <c r="H763" s="50">
        <f>VLOOKUP($A763,'[1]ma sp 02'!$A$5:$BD$1101,H$1,0)</f>
        <v>0.182</v>
      </c>
      <c r="I763" s="50">
        <f>VLOOKUP($A763,'[1]ma sp 02'!$A$5:$BD$1101,I$1,0)</f>
        <v>0</v>
      </c>
      <c r="J763" s="50">
        <f>VLOOKUP($A763,'[1]ma sp 02'!$A$5:$BD$1101,J$1,0)</f>
        <v>1.82</v>
      </c>
      <c r="K763" s="50">
        <f>VLOOKUP($A763,'[1]ma sp 02'!$A$5:$BD$1101,K$1,0)</f>
        <v>0</v>
      </c>
      <c r="L763" s="50">
        <f>VLOOKUP($A763,'[1]ma sp 02'!$A$5:$BD$1101,L$1,0)</f>
        <v>2.1800000000000002</v>
      </c>
      <c r="M763" s="50">
        <f>VLOOKUP($A763,'[1]ma sp 02'!$A$5:$BD$1101,M$1,0)</f>
        <v>4.7300000000000004</v>
      </c>
      <c r="N763" s="50">
        <f>VLOOKUP($A763,'[1]ma sp 02'!$A$5:$BD$1101,N$1,0)</f>
        <v>0</v>
      </c>
      <c r="O763" s="50">
        <f>VLOOKUP($A763,'[1]ma sp 02'!$A$5:$BD$1101,O$1,0)</f>
        <v>0.01</v>
      </c>
      <c r="P763" s="50">
        <f>VLOOKUP($A763,'[1]ma sp 02'!$A$5:$BD$1101,P$1,0)</f>
        <v>0</v>
      </c>
      <c r="Q763" s="50">
        <f>VLOOKUP($A763,'[1]ma sp 02'!$A$5:$BD$1101,Q$1,0)</f>
        <v>0</v>
      </c>
      <c r="R763" s="50">
        <f>VLOOKUP($A763,'[1]ma sp 02'!$A$5:$BD$1101,R$1,0)</f>
        <v>0</v>
      </c>
      <c r="S763" s="50">
        <f>VLOOKUP($A763,'[1]ma sp 02'!$A$5:$BD$1101,S$1,0)</f>
        <v>0</v>
      </c>
      <c r="T763" s="50">
        <f>VLOOKUP($A763,'[1]ma sp 02'!$A$5:$BD$1101,T$1,0)</f>
        <v>0</v>
      </c>
      <c r="U763" s="50">
        <f>VLOOKUP($A763,'[1]ma sp 02'!$A$5:$BD$1101,U$1,0)</f>
        <v>0</v>
      </c>
      <c r="V763" s="50">
        <f>VLOOKUP($A763,'[1]ma sp 02'!$A$5:$BD$1101,V$1,0)</f>
        <v>0</v>
      </c>
      <c r="W763" s="50">
        <f>VLOOKUP($A763,'[1]ma sp 02'!$A$5:$BD$1101,W$1,0)</f>
        <v>0</v>
      </c>
      <c r="X763" s="50"/>
      <c r="Y763" s="62"/>
      <c r="Z763" s="62"/>
      <c r="AA763" s="62"/>
      <c r="AB763" s="62"/>
      <c r="AC763" s="62"/>
      <c r="AD763" s="62"/>
      <c r="AE763" s="62" t="s">
        <v>842</v>
      </c>
      <c r="AF763" s="62"/>
      <c r="AG763" s="180">
        <f t="shared" si="31"/>
        <v>6.4195000000000002E-2</v>
      </c>
      <c r="AH763" s="155">
        <f t="shared" si="32"/>
        <v>2.4333333333333336</v>
      </c>
      <c r="AI763" s="9"/>
      <c r="AJ763" s="56">
        <v>9530</v>
      </c>
      <c r="AK763" s="9"/>
      <c r="AL763" s="9">
        <v>5.0000000000000001E-3</v>
      </c>
      <c r="AM763" s="61" t="s">
        <v>1575</v>
      </c>
      <c r="AN763" s="62"/>
      <c r="AO763" s="61" t="s">
        <v>2450</v>
      </c>
      <c r="AP763" s="59" t="str">
        <f>IFERROR(VLOOKUP($A763,[2]Mssp!$A$5:$BE$1463,AP$4+1,0),0)</f>
        <v>X109686-1</v>
      </c>
      <c r="AQ763" s="59" t="str">
        <f>IFERROR(VLOOKUP($A763,[2]Mssp!$A$5:$BE$1463,AQ$4+1,0),0)</f>
        <v>X109684-2</v>
      </c>
      <c r="AR763" s="59" t="str">
        <f>IFERROR(VLOOKUP($A763,[2]Mssp!$A$5:$BE$1463,AR$4+1,0),0)</f>
        <v>X109684-3</v>
      </c>
      <c r="AS763" s="59" t="str">
        <f>IFERROR(VLOOKUP($A763,[2]Mssp!$A$5:$BE$1463,AS$4+1,0),0)</f>
        <v>X109684-4</v>
      </c>
      <c r="AT763" s="59">
        <f>IFERROR(VLOOKUP($A763,[2]Mssp!$A$5:$BE$1463,AT$4+1,0),0)</f>
        <v>0</v>
      </c>
      <c r="AU763" s="59">
        <f>IFERROR(VLOOKUP($A763,[2]Mssp!$A$5:$BE$1463,AU$4+1,0),0)</f>
        <v>0</v>
      </c>
      <c r="AV763" s="59">
        <f>IFERROR(VLOOKUP($A763,[2]Mssp!$A$5:$BE$1463,AV$4+1,0),0)</f>
        <v>0</v>
      </c>
      <c r="AW763" s="59">
        <f>IFERROR(VLOOKUP($A763,[2]Mssp!$A$5:$BE$1463,AW$4+1,0),0)</f>
        <v>0</v>
      </c>
      <c r="AX763" s="59">
        <f>IFERROR(VLOOKUP($A763,[2]Mssp!$A$5:$BE$1463,AX$4+1,0),0)</f>
        <v>0</v>
      </c>
      <c r="AY763" s="59" t="str">
        <f>IFERROR(VLOOKUP($A763,[2]Mssp!$A$5:$BE$1463,AY$4+2,0),0)</f>
        <v>462x870</v>
      </c>
      <c r="AZ763" s="59">
        <f>IFERROR(VLOOKUP($A763,[2]Mssp!$A$5:$BE$1463,AZ$4+2,0),0)</f>
        <v>0</v>
      </c>
      <c r="BA763" s="141"/>
      <c r="BB763" s="61"/>
      <c r="BC763" s="165"/>
      <c r="BD763" s="166"/>
      <c r="BE763" s="167"/>
      <c r="BF763" s="168"/>
      <c r="BG763" s="167"/>
      <c r="BH763" s="168"/>
      <c r="BI763" s="169"/>
      <c r="BJ763" s="168"/>
      <c r="BK763" s="134"/>
      <c r="BL763" s="168"/>
      <c r="BM763" s="167"/>
      <c r="BN763" s="168"/>
      <c r="BO763" s="62"/>
      <c r="BP763" s="168"/>
      <c r="BQ763" s="168"/>
      <c r="BR763" s="168"/>
      <c r="BS763" s="135"/>
      <c r="BT763" s="176"/>
      <c r="BU763" s="167"/>
      <c r="BV763" s="168"/>
      <c r="BW763" s="167"/>
      <c r="BX763" s="168"/>
      <c r="BY763" s="167"/>
      <c r="BZ763" s="176"/>
      <c r="CA763" s="167"/>
      <c r="CB763" s="168"/>
      <c r="CC763" s="167"/>
      <c r="CD763" s="168"/>
      <c r="CE763" s="62"/>
      <c r="CF763" s="62"/>
      <c r="CG763" s="9"/>
      <c r="CH763" s="9"/>
      <c r="CI763" s="9"/>
      <c r="CJ763" s="9"/>
      <c r="CK763" s="9"/>
      <c r="CL763" s="9"/>
      <c r="CM763" s="9"/>
      <c r="CN763" s="9"/>
      <c r="CO763" s="9"/>
      <c r="CP763" s="9"/>
    </row>
    <row r="764" spans="1:94" ht="30" x14ac:dyDescent="0.25">
      <c r="A764" s="127" t="s">
        <v>2455</v>
      </c>
      <c r="B764" s="51" t="s">
        <v>2456</v>
      </c>
      <c r="C764" s="62"/>
      <c r="D764" s="84">
        <v>11</v>
      </c>
      <c r="E764" s="62" t="s">
        <v>2449</v>
      </c>
      <c r="F764" s="62">
        <v>4</v>
      </c>
      <c r="G764" s="62"/>
      <c r="H764" s="50">
        <f>VLOOKUP($A764,'[1]ma sp 02'!$A$5:$BD$1101,H$1,0)</f>
        <v>0.01</v>
      </c>
      <c r="I764" s="50">
        <f>VLOOKUP($A764,'[1]ma sp 02'!$A$5:$BD$1101,I$1,0)</f>
        <v>0</v>
      </c>
      <c r="J764" s="50">
        <f>VLOOKUP($A764,'[1]ma sp 02'!$A$5:$BD$1101,J$1,0)</f>
        <v>0</v>
      </c>
      <c r="K764" s="50">
        <f>VLOOKUP($A764,'[1]ma sp 02'!$A$5:$BD$1101,K$1,0)</f>
        <v>2.1349999999999998</v>
      </c>
      <c r="L764" s="50">
        <f>VLOOKUP($A764,'[1]ma sp 02'!$A$5:$BD$1101,L$1,0)</f>
        <v>0</v>
      </c>
      <c r="M764" s="50">
        <f>VLOOKUP($A764,'[1]ma sp 02'!$A$5:$BD$1101,M$1,0)</f>
        <v>7.93</v>
      </c>
      <c r="N764" s="50">
        <f>VLOOKUP($A764,'[1]ma sp 02'!$A$5:$BD$1101,N$1,0)</f>
        <v>0</v>
      </c>
      <c r="O764" s="50">
        <f>VLOOKUP($A764,'[1]ma sp 02'!$A$5:$BD$1101,O$1,0)</f>
        <v>0.76</v>
      </c>
      <c r="P764" s="50">
        <f>VLOOKUP($A764,'[1]ma sp 02'!$A$5:$BD$1101,P$1,0)</f>
        <v>1.98</v>
      </c>
      <c r="Q764" s="50">
        <f>VLOOKUP($A764,'[1]ma sp 02'!$A$5:$BD$1101,Q$1,0)</f>
        <v>0</v>
      </c>
      <c r="R764" s="50">
        <f>VLOOKUP($A764,'[1]ma sp 02'!$A$5:$BD$1101,R$1,0)</f>
        <v>0</v>
      </c>
      <c r="S764" s="50">
        <f>VLOOKUP($A764,'[1]ma sp 02'!$A$5:$BD$1101,S$1,0)</f>
        <v>0</v>
      </c>
      <c r="T764" s="50">
        <f>VLOOKUP($A764,'[1]ma sp 02'!$A$5:$BD$1101,T$1,0)</f>
        <v>0</v>
      </c>
      <c r="U764" s="50">
        <f>VLOOKUP($A764,'[1]ma sp 02'!$A$5:$BD$1101,U$1,0)</f>
        <v>0</v>
      </c>
      <c r="V764" s="50">
        <f>VLOOKUP($A764,'[1]ma sp 02'!$A$5:$BD$1101,V$1,0)</f>
        <v>0</v>
      </c>
      <c r="W764" s="50">
        <f>VLOOKUP($A764,'[1]ma sp 02'!$A$5:$BD$1101,W$1,0)</f>
        <v>0</v>
      </c>
      <c r="X764" s="50"/>
      <c r="Y764" s="62"/>
      <c r="Z764" s="62"/>
      <c r="AA764" s="62"/>
      <c r="AB764" s="62"/>
      <c r="AC764" s="62"/>
      <c r="AD764" s="62"/>
      <c r="AE764" s="62" t="s">
        <v>842</v>
      </c>
      <c r="AF764" s="62"/>
      <c r="AG764" s="180">
        <f t="shared" si="31"/>
        <v>6.4195000000000002E-2</v>
      </c>
      <c r="AH764" s="155">
        <f t="shared" si="32"/>
        <v>2.4333333333333336</v>
      </c>
      <c r="AI764" s="9"/>
      <c r="AJ764" s="56">
        <v>9530</v>
      </c>
      <c r="AK764" s="9"/>
      <c r="AL764" s="9">
        <v>5.0000000000000001E-3</v>
      </c>
      <c r="AM764" s="61" t="s">
        <v>1575</v>
      </c>
      <c r="AN764" s="62"/>
      <c r="AO764" s="61" t="s">
        <v>2450</v>
      </c>
      <c r="AP764" s="59" t="str">
        <f>IFERROR(VLOOKUP($A764,[2]Mssp!$A$5:$BE$1463,AP$4+1,0),0)</f>
        <v>X109687-1</v>
      </c>
      <c r="AQ764" s="59" t="str">
        <f>IFERROR(VLOOKUP($A764,[2]Mssp!$A$5:$BE$1463,AQ$4+1,0),0)</f>
        <v>X109684-2</v>
      </c>
      <c r="AR764" s="59" t="str">
        <f>IFERROR(VLOOKUP($A764,[2]Mssp!$A$5:$BE$1463,AR$4+1,0),0)</f>
        <v>X109684-3</v>
      </c>
      <c r="AS764" s="59" t="str">
        <f>IFERROR(VLOOKUP($A764,[2]Mssp!$A$5:$BE$1463,AS$4+1,0),0)</f>
        <v>X109684-4</v>
      </c>
      <c r="AT764" s="59">
        <f>IFERROR(VLOOKUP($A764,[2]Mssp!$A$5:$BE$1463,AT$4+1,0),0)</f>
        <v>0</v>
      </c>
      <c r="AU764" s="59">
        <f>IFERROR(VLOOKUP($A764,[2]Mssp!$A$5:$BE$1463,AU$4+1,0),0)</f>
        <v>0</v>
      </c>
      <c r="AV764" s="59">
        <f>IFERROR(VLOOKUP($A764,[2]Mssp!$A$5:$BE$1463,AV$4+1,0),0)</f>
        <v>0</v>
      </c>
      <c r="AW764" s="59">
        <f>IFERROR(VLOOKUP($A764,[2]Mssp!$A$5:$BE$1463,AW$4+1,0),0)</f>
        <v>0</v>
      </c>
      <c r="AX764" s="59">
        <f>IFERROR(VLOOKUP($A764,[2]Mssp!$A$5:$BE$1463,AX$4+1,0),0)</f>
        <v>0</v>
      </c>
      <c r="AY764" s="59" t="str">
        <f>IFERROR(VLOOKUP($A764,[2]Mssp!$A$5:$BE$1463,AY$4+2,0),0)</f>
        <v>462x870</v>
      </c>
      <c r="AZ764" s="59">
        <f>IFERROR(VLOOKUP($A764,[2]Mssp!$A$5:$BE$1463,AZ$4+2,0),0)</f>
        <v>0</v>
      </c>
      <c r="BA764" s="141"/>
      <c r="BB764" s="61"/>
      <c r="BC764" s="165"/>
      <c r="BD764" s="166"/>
      <c r="BE764" s="167"/>
      <c r="BF764" s="168"/>
      <c r="BG764" s="167"/>
      <c r="BH764" s="168"/>
      <c r="BI764" s="169"/>
      <c r="BJ764" s="168"/>
      <c r="BK764" s="134"/>
      <c r="BL764" s="168"/>
      <c r="BM764" s="167"/>
      <c r="BN764" s="168"/>
      <c r="BO764" s="62"/>
      <c r="BP764" s="168"/>
      <c r="BQ764" s="168"/>
      <c r="BR764" s="168"/>
      <c r="BS764" s="135"/>
      <c r="BT764" s="176"/>
      <c r="BU764" s="167"/>
      <c r="BV764" s="168"/>
      <c r="BW764" s="167"/>
      <c r="BX764" s="168"/>
      <c r="BY764" s="167"/>
      <c r="BZ764" s="176"/>
      <c r="CA764" s="167"/>
      <c r="CB764" s="168"/>
      <c r="CC764" s="167"/>
      <c r="CD764" s="168"/>
      <c r="CE764" s="62"/>
      <c r="CF764" s="62"/>
      <c r="CG764" s="9"/>
      <c r="CH764" s="9"/>
      <c r="CI764" s="9"/>
      <c r="CJ764" s="9"/>
      <c r="CK764" s="9"/>
      <c r="CL764" s="9"/>
      <c r="CM764" s="9"/>
      <c r="CN764" s="9"/>
      <c r="CO764" s="9"/>
      <c r="CP764" s="9"/>
    </row>
    <row r="765" spans="1:94" ht="30" x14ac:dyDescent="0.25">
      <c r="A765" s="127" t="s">
        <v>2457</v>
      </c>
      <c r="B765" s="51" t="s">
        <v>2458</v>
      </c>
      <c r="C765" s="62"/>
      <c r="D765" s="84">
        <v>11</v>
      </c>
      <c r="E765" s="62" t="s">
        <v>2449</v>
      </c>
      <c r="F765" s="62">
        <v>4</v>
      </c>
      <c r="G765" s="62"/>
      <c r="H765" s="50">
        <f>VLOOKUP($A765,'[1]ma sp 02'!$A$5:$BD$1101,H$1,0)</f>
        <v>0.17</v>
      </c>
      <c r="I765" s="50">
        <f>VLOOKUP($A765,'[1]ma sp 02'!$A$5:$BD$1101,I$1,0)</f>
        <v>0</v>
      </c>
      <c r="J765" s="50">
        <f>VLOOKUP($A765,'[1]ma sp 02'!$A$5:$BD$1101,J$1,0)</f>
        <v>0</v>
      </c>
      <c r="K765" s="50">
        <f>VLOOKUP($A765,'[1]ma sp 02'!$A$5:$BD$1101,K$1,0)</f>
        <v>0</v>
      </c>
      <c r="L765" s="50">
        <f>VLOOKUP($A765,'[1]ma sp 02'!$A$5:$BD$1101,L$1,0)</f>
        <v>0.34</v>
      </c>
      <c r="M765" s="50">
        <f>VLOOKUP($A765,'[1]ma sp 02'!$A$5:$BD$1101,M$1,0)</f>
        <v>7.88</v>
      </c>
      <c r="N765" s="50">
        <f>VLOOKUP($A765,'[1]ma sp 02'!$A$5:$BD$1101,N$1,0)</f>
        <v>0</v>
      </c>
      <c r="O765" s="50">
        <f>VLOOKUP($A765,'[1]ma sp 02'!$A$5:$BD$1101,O$1,0)</f>
        <v>0</v>
      </c>
      <c r="P765" s="50">
        <f>VLOOKUP($A765,'[1]ma sp 02'!$A$5:$BD$1101,P$1,0)</f>
        <v>3.427</v>
      </c>
      <c r="Q765" s="50">
        <f>VLOOKUP($A765,'[1]ma sp 02'!$A$5:$BD$1101,Q$1,0)</f>
        <v>0</v>
      </c>
      <c r="R765" s="50">
        <f>VLOOKUP($A765,'[1]ma sp 02'!$A$5:$BD$1101,R$1,0)</f>
        <v>0</v>
      </c>
      <c r="S765" s="50">
        <f>VLOOKUP($A765,'[1]ma sp 02'!$A$5:$BD$1101,S$1,0)</f>
        <v>0</v>
      </c>
      <c r="T765" s="50">
        <f>VLOOKUP($A765,'[1]ma sp 02'!$A$5:$BD$1101,T$1,0)</f>
        <v>0</v>
      </c>
      <c r="U765" s="50">
        <f>VLOOKUP($A765,'[1]ma sp 02'!$A$5:$BD$1101,U$1,0)</f>
        <v>0</v>
      </c>
      <c r="V765" s="50">
        <f>VLOOKUP($A765,'[1]ma sp 02'!$A$5:$BD$1101,V$1,0)</f>
        <v>0</v>
      </c>
      <c r="W765" s="50">
        <f>VLOOKUP($A765,'[1]ma sp 02'!$A$5:$BD$1101,W$1,0)</f>
        <v>0</v>
      </c>
      <c r="X765" s="50"/>
      <c r="Y765" s="62"/>
      <c r="Z765" s="62"/>
      <c r="AA765" s="62"/>
      <c r="AB765" s="62"/>
      <c r="AC765" s="62"/>
      <c r="AD765" s="62"/>
      <c r="AE765" s="62" t="s">
        <v>842</v>
      </c>
      <c r="AF765" s="62"/>
      <c r="AG765" s="180">
        <f t="shared" si="31"/>
        <v>6.4195000000000002E-2</v>
      </c>
      <c r="AH765" s="155">
        <f t="shared" si="32"/>
        <v>2.4333333333333336</v>
      </c>
      <c r="AI765" s="9"/>
      <c r="AJ765" s="56">
        <v>9530</v>
      </c>
      <c r="AK765" s="9"/>
      <c r="AL765" s="9">
        <v>5.0000000000000001E-3</v>
      </c>
      <c r="AM765" s="61" t="s">
        <v>1575</v>
      </c>
      <c r="AN765" s="62"/>
      <c r="AO765" s="61" t="s">
        <v>2450</v>
      </c>
      <c r="AP765" s="59" t="str">
        <f>IFERROR(VLOOKUP($A765,[2]Mssp!$A$5:$BE$1463,AP$4+1,0),0)</f>
        <v>X109688-1</v>
      </c>
      <c r="AQ765" s="59" t="str">
        <f>IFERROR(VLOOKUP($A765,[2]Mssp!$A$5:$BE$1463,AQ$4+1,0),0)</f>
        <v>X109684-2</v>
      </c>
      <c r="AR765" s="59" t="str">
        <f>IFERROR(VLOOKUP($A765,[2]Mssp!$A$5:$BE$1463,AR$4+1,0),0)</f>
        <v>X109684-3</v>
      </c>
      <c r="AS765" s="59" t="str">
        <f>IFERROR(VLOOKUP($A765,[2]Mssp!$A$5:$BE$1463,AS$4+1,0),0)</f>
        <v>X109684-4</v>
      </c>
      <c r="AT765" s="59">
        <f>IFERROR(VLOOKUP($A765,[2]Mssp!$A$5:$BE$1463,AT$4+1,0),0)</f>
        <v>0</v>
      </c>
      <c r="AU765" s="59">
        <f>IFERROR(VLOOKUP($A765,[2]Mssp!$A$5:$BE$1463,AU$4+1,0),0)</f>
        <v>0</v>
      </c>
      <c r="AV765" s="59">
        <f>IFERROR(VLOOKUP($A765,[2]Mssp!$A$5:$BE$1463,AV$4+1,0),0)</f>
        <v>0</v>
      </c>
      <c r="AW765" s="59">
        <f>IFERROR(VLOOKUP($A765,[2]Mssp!$A$5:$BE$1463,AW$4+1,0),0)</f>
        <v>0</v>
      </c>
      <c r="AX765" s="59">
        <f>IFERROR(VLOOKUP($A765,[2]Mssp!$A$5:$BE$1463,AX$4+1,0),0)</f>
        <v>0</v>
      </c>
      <c r="AY765" s="59" t="str">
        <f>IFERROR(VLOOKUP($A765,[2]Mssp!$A$5:$BE$1463,AY$4+2,0),0)</f>
        <v>462x870</v>
      </c>
      <c r="AZ765" s="59">
        <f>IFERROR(VLOOKUP($A765,[2]Mssp!$A$5:$BE$1463,AZ$4+2,0),0)</f>
        <v>0</v>
      </c>
      <c r="BA765" s="141"/>
      <c r="BB765" s="61"/>
      <c r="BC765" s="165"/>
      <c r="BD765" s="166"/>
      <c r="BE765" s="167"/>
      <c r="BF765" s="168"/>
      <c r="BG765" s="167"/>
      <c r="BH765" s="168"/>
      <c r="BI765" s="169"/>
      <c r="BJ765" s="168"/>
      <c r="BK765" s="134"/>
      <c r="BL765" s="168"/>
      <c r="BM765" s="167"/>
      <c r="BN765" s="168"/>
      <c r="BO765" s="62"/>
      <c r="BP765" s="168"/>
      <c r="BQ765" s="168"/>
      <c r="BR765" s="168"/>
      <c r="BS765" s="135"/>
      <c r="BT765" s="176"/>
      <c r="BU765" s="167"/>
      <c r="BV765" s="168"/>
      <c r="BW765" s="167"/>
      <c r="BX765" s="168"/>
      <c r="BY765" s="167"/>
      <c r="BZ765" s="176"/>
      <c r="CA765" s="167"/>
      <c r="CB765" s="168"/>
      <c r="CC765" s="167"/>
      <c r="CD765" s="168"/>
      <c r="CE765" s="62"/>
      <c r="CF765" s="62"/>
      <c r="CG765" s="9"/>
      <c r="CH765" s="9"/>
      <c r="CI765" s="9"/>
      <c r="CJ765" s="9"/>
      <c r="CK765" s="9"/>
      <c r="CL765" s="9"/>
      <c r="CM765" s="9"/>
      <c r="CN765" s="9"/>
      <c r="CO765" s="9"/>
      <c r="CP765" s="9"/>
    </row>
    <row r="766" spans="1:94" ht="30" x14ac:dyDescent="0.25">
      <c r="A766" s="127" t="s">
        <v>2459</v>
      </c>
      <c r="B766" s="51" t="s">
        <v>2460</v>
      </c>
      <c r="C766" s="62"/>
      <c r="D766" s="84">
        <v>11</v>
      </c>
      <c r="E766" s="62" t="s">
        <v>2449</v>
      </c>
      <c r="F766" s="62">
        <v>4</v>
      </c>
      <c r="G766" s="62"/>
      <c r="H766" s="50">
        <f>VLOOKUP($A766,'[1]ma sp 02'!$A$5:$BD$1101,H$1,0)</f>
        <v>0.01</v>
      </c>
      <c r="I766" s="50">
        <f>VLOOKUP($A766,'[1]ma sp 02'!$A$5:$BD$1101,I$1,0)</f>
        <v>0</v>
      </c>
      <c r="J766" s="50">
        <f>VLOOKUP($A766,'[1]ma sp 02'!$A$5:$BD$1101,J$1,0)</f>
        <v>0</v>
      </c>
      <c r="K766" s="50">
        <f>VLOOKUP($A766,'[1]ma sp 02'!$A$5:$BD$1101,K$1,0)</f>
        <v>0.35399999999999998</v>
      </c>
      <c r="L766" s="50">
        <f>VLOOKUP($A766,'[1]ma sp 02'!$A$5:$BD$1101,L$1,0)</f>
        <v>0</v>
      </c>
      <c r="M766" s="50">
        <f>VLOOKUP($A766,'[1]ma sp 02'!$A$5:$BD$1101,M$1,0)</f>
        <v>12.6</v>
      </c>
      <c r="N766" s="50">
        <f>VLOOKUP($A766,'[1]ma sp 02'!$A$5:$BD$1101,N$1,0)</f>
        <v>0</v>
      </c>
      <c r="O766" s="50">
        <f>VLOOKUP($A766,'[1]ma sp 02'!$A$5:$BD$1101,O$1,0)</f>
        <v>0.53</v>
      </c>
      <c r="P766" s="50">
        <f>VLOOKUP($A766,'[1]ma sp 02'!$A$5:$BD$1101,P$1,0)</f>
        <v>3.36</v>
      </c>
      <c r="Q766" s="50">
        <f>VLOOKUP($A766,'[1]ma sp 02'!$A$5:$BD$1101,Q$1,0)</f>
        <v>0</v>
      </c>
      <c r="R766" s="50">
        <f>VLOOKUP($A766,'[1]ma sp 02'!$A$5:$BD$1101,R$1,0)</f>
        <v>0</v>
      </c>
      <c r="S766" s="50">
        <f>VLOOKUP($A766,'[1]ma sp 02'!$A$5:$BD$1101,S$1,0)</f>
        <v>0</v>
      </c>
      <c r="T766" s="50">
        <f>VLOOKUP($A766,'[1]ma sp 02'!$A$5:$BD$1101,T$1,0)</f>
        <v>0</v>
      </c>
      <c r="U766" s="50">
        <f>VLOOKUP($A766,'[1]ma sp 02'!$A$5:$BD$1101,U$1,0)</f>
        <v>0</v>
      </c>
      <c r="V766" s="50">
        <f>VLOOKUP($A766,'[1]ma sp 02'!$A$5:$BD$1101,V$1,0)</f>
        <v>0</v>
      </c>
      <c r="W766" s="50">
        <f>VLOOKUP($A766,'[1]ma sp 02'!$A$5:$BD$1101,W$1,0)</f>
        <v>0</v>
      </c>
      <c r="X766" s="50"/>
      <c r="Y766" s="62"/>
      <c r="Z766" s="62"/>
      <c r="AA766" s="62"/>
      <c r="AB766" s="62"/>
      <c r="AC766" s="62"/>
      <c r="AD766" s="62"/>
      <c r="AE766" s="62" t="s">
        <v>842</v>
      </c>
      <c r="AF766" s="62"/>
      <c r="AG766" s="180">
        <f t="shared" si="31"/>
        <v>6.4195000000000002E-2</v>
      </c>
      <c r="AH766" s="155">
        <f t="shared" si="32"/>
        <v>2.4333333333333336</v>
      </c>
      <c r="AI766" s="9"/>
      <c r="AJ766" s="56">
        <v>9530</v>
      </c>
      <c r="AK766" s="9"/>
      <c r="AL766" s="9">
        <v>5.0000000000000001E-3</v>
      </c>
      <c r="AM766" s="61" t="s">
        <v>1575</v>
      </c>
      <c r="AN766" s="62"/>
      <c r="AO766" s="61" t="s">
        <v>2450</v>
      </c>
      <c r="AP766" s="59" t="str">
        <f>IFERROR(VLOOKUP($A766,[2]Mssp!$A$5:$BE$1463,AP$4+1,0),0)</f>
        <v>X109689-1</v>
      </c>
      <c r="AQ766" s="59" t="str">
        <f>IFERROR(VLOOKUP($A766,[2]Mssp!$A$5:$BE$1463,AQ$4+1,0),0)</f>
        <v>X109684-2</v>
      </c>
      <c r="AR766" s="59" t="str">
        <f>IFERROR(VLOOKUP($A766,[2]Mssp!$A$5:$BE$1463,AR$4+1,0),0)</f>
        <v>X109684-3</v>
      </c>
      <c r="AS766" s="59" t="str">
        <f>IFERROR(VLOOKUP($A766,[2]Mssp!$A$5:$BE$1463,AS$4+1,0),0)</f>
        <v>X109684-4</v>
      </c>
      <c r="AT766" s="59">
        <f>IFERROR(VLOOKUP($A766,[2]Mssp!$A$5:$BE$1463,AT$4+1,0),0)</f>
        <v>0</v>
      </c>
      <c r="AU766" s="59">
        <f>IFERROR(VLOOKUP($A766,[2]Mssp!$A$5:$BE$1463,AU$4+1,0),0)</f>
        <v>0</v>
      </c>
      <c r="AV766" s="59">
        <f>IFERROR(VLOOKUP($A766,[2]Mssp!$A$5:$BE$1463,AV$4+1,0),0)</f>
        <v>0</v>
      </c>
      <c r="AW766" s="59">
        <f>IFERROR(VLOOKUP($A766,[2]Mssp!$A$5:$BE$1463,AW$4+1,0),0)</f>
        <v>0</v>
      </c>
      <c r="AX766" s="59">
        <f>IFERROR(VLOOKUP($A766,[2]Mssp!$A$5:$BE$1463,AX$4+1,0),0)</f>
        <v>0</v>
      </c>
      <c r="AY766" s="59" t="str">
        <f>IFERROR(VLOOKUP($A766,[2]Mssp!$A$5:$BE$1463,AY$4+2,0),0)</f>
        <v>462x870</v>
      </c>
      <c r="AZ766" s="59">
        <f>IFERROR(VLOOKUP($A766,[2]Mssp!$A$5:$BE$1463,AZ$4+2,0),0)</f>
        <v>0</v>
      </c>
      <c r="BA766" s="141"/>
      <c r="BB766" s="61"/>
      <c r="BC766" s="165"/>
      <c r="BD766" s="166"/>
      <c r="BE766" s="167"/>
      <c r="BF766" s="168"/>
      <c r="BG766" s="167"/>
      <c r="BH766" s="168"/>
      <c r="BI766" s="169"/>
      <c r="BJ766" s="168"/>
      <c r="BK766" s="134"/>
      <c r="BL766" s="168"/>
      <c r="BM766" s="167"/>
      <c r="BN766" s="168"/>
      <c r="BO766" s="62"/>
      <c r="BP766" s="168"/>
      <c r="BQ766" s="168"/>
      <c r="BR766" s="168"/>
      <c r="BS766" s="135"/>
      <c r="BT766" s="176"/>
      <c r="BU766" s="167"/>
      <c r="BV766" s="168"/>
      <c r="BW766" s="167"/>
      <c r="BX766" s="168"/>
      <c r="BY766" s="167"/>
      <c r="BZ766" s="176"/>
      <c r="CA766" s="167"/>
      <c r="CB766" s="168"/>
      <c r="CC766" s="167"/>
      <c r="CD766" s="168"/>
      <c r="CE766" s="62"/>
      <c r="CF766" s="62"/>
      <c r="CG766" s="9"/>
      <c r="CH766" s="9"/>
      <c r="CI766" s="9"/>
      <c r="CJ766" s="9"/>
      <c r="CK766" s="9"/>
      <c r="CL766" s="9"/>
      <c r="CM766" s="9"/>
      <c r="CN766" s="9"/>
      <c r="CO766" s="9"/>
      <c r="CP766" s="9"/>
    </row>
    <row r="767" spans="1:94" ht="30" x14ac:dyDescent="0.25">
      <c r="A767" s="127" t="s">
        <v>2461</v>
      </c>
      <c r="B767" s="51" t="s">
        <v>2462</v>
      </c>
      <c r="C767" s="62"/>
      <c r="D767" s="84">
        <v>11</v>
      </c>
      <c r="E767" s="62" t="s">
        <v>2449</v>
      </c>
      <c r="F767" s="62">
        <v>4</v>
      </c>
      <c r="G767" s="62"/>
      <c r="H767" s="50">
        <f>VLOOKUP($A767,'[1]ma sp 02'!$A$5:$BD$1101,H$1,0)</f>
        <v>0.17499999999999999</v>
      </c>
      <c r="I767" s="50">
        <f>VLOOKUP($A767,'[1]ma sp 02'!$A$5:$BD$1101,I$1,0)</f>
        <v>0</v>
      </c>
      <c r="J767" s="50">
        <f>VLOOKUP($A767,'[1]ma sp 02'!$A$5:$BD$1101,J$1,0)</f>
        <v>0</v>
      </c>
      <c r="K767" s="50">
        <f>VLOOKUP($A767,'[1]ma sp 02'!$A$5:$BD$1101,K$1,0)</f>
        <v>0</v>
      </c>
      <c r="L767" s="50">
        <f>VLOOKUP($A767,'[1]ma sp 02'!$A$5:$BD$1101,L$1,0)</f>
        <v>0.70199999999999996</v>
      </c>
      <c r="M767" s="50">
        <f>VLOOKUP($A767,'[1]ma sp 02'!$A$5:$BD$1101,M$1,0)</f>
        <v>1.75</v>
      </c>
      <c r="N767" s="50">
        <f>VLOOKUP($A767,'[1]ma sp 02'!$A$5:$BD$1101,N$1,0)</f>
        <v>0</v>
      </c>
      <c r="O767" s="50">
        <f>VLOOKUP($A767,'[1]ma sp 02'!$A$5:$BD$1101,O$1,0)</f>
        <v>0.35099999999999998</v>
      </c>
      <c r="P767" s="50">
        <f>VLOOKUP($A767,'[1]ma sp 02'!$A$5:$BD$1101,P$1,0)</f>
        <v>0.01</v>
      </c>
      <c r="Q767" s="50">
        <f>VLOOKUP($A767,'[1]ma sp 02'!$A$5:$BD$1101,Q$1,0)</f>
        <v>0</v>
      </c>
      <c r="R767" s="50">
        <f>VLOOKUP($A767,'[1]ma sp 02'!$A$5:$BD$1101,R$1,0)</f>
        <v>0</v>
      </c>
      <c r="S767" s="50">
        <f>VLOOKUP($A767,'[1]ma sp 02'!$A$5:$BD$1101,S$1,0)</f>
        <v>0</v>
      </c>
      <c r="T767" s="50">
        <f>VLOOKUP($A767,'[1]ma sp 02'!$A$5:$BD$1101,T$1,0)</f>
        <v>0</v>
      </c>
      <c r="U767" s="50">
        <f>VLOOKUP($A767,'[1]ma sp 02'!$A$5:$BD$1101,U$1,0)</f>
        <v>0</v>
      </c>
      <c r="V767" s="50">
        <f>VLOOKUP($A767,'[1]ma sp 02'!$A$5:$BD$1101,V$1,0)</f>
        <v>0</v>
      </c>
      <c r="W767" s="50">
        <f>VLOOKUP($A767,'[1]ma sp 02'!$A$5:$BD$1101,W$1,0)</f>
        <v>0</v>
      </c>
      <c r="X767" s="50"/>
      <c r="Y767" s="62"/>
      <c r="Z767" s="62"/>
      <c r="AA767" s="62"/>
      <c r="AB767" s="62"/>
      <c r="AC767" s="62"/>
      <c r="AD767" s="62"/>
      <c r="AE767" s="62" t="s">
        <v>842</v>
      </c>
      <c r="AF767" s="62"/>
      <c r="AG767" s="180">
        <f t="shared" si="31"/>
        <v>6.4195000000000002E-2</v>
      </c>
      <c r="AH767" s="155">
        <f t="shared" si="32"/>
        <v>2.4333333333333336</v>
      </c>
      <c r="AI767" s="9"/>
      <c r="AJ767" s="56">
        <v>9530</v>
      </c>
      <c r="AK767" s="9"/>
      <c r="AL767" s="9">
        <v>5.0000000000000001E-3</v>
      </c>
      <c r="AM767" s="61" t="s">
        <v>1575</v>
      </c>
      <c r="AN767" s="62"/>
      <c r="AO767" s="61" t="s">
        <v>2450</v>
      </c>
      <c r="AP767" s="59" t="str">
        <f>IFERROR(VLOOKUP($A767,[2]Mssp!$A$5:$BE$1463,AP$4+1,0),0)</f>
        <v>X109690-1</v>
      </c>
      <c r="AQ767" s="59" t="str">
        <f>IFERROR(VLOOKUP($A767,[2]Mssp!$A$5:$BE$1463,AQ$4+1,0),0)</f>
        <v>X109684-2</v>
      </c>
      <c r="AR767" s="59" t="str">
        <f>IFERROR(VLOOKUP($A767,[2]Mssp!$A$5:$BE$1463,AR$4+1,0),0)</f>
        <v>X109684-3</v>
      </c>
      <c r="AS767" s="59" t="str">
        <f>IFERROR(VLOOKUP($A767,[2]Mssp!$A$5:$BE$1463,AS$4+1,0),0)</f>
        <v>X109684-4</v>
      </c>
      <c r="AT767" s="59">
        <f>IFERROR(VLOOKUP($A767,[2]Mssp!$A$5:$BE$1463,AT$4+1,0),0)</f>
        <v>0</v>
      </c>
      <c r="AU767" s="59">
        <f>IFERROR(VLOOKUP($A767,[2]Mssp!$A$5:$BE$1463,AU$4+1,0),0)</f>
        <v>0</v>
      </c>
      <c r="AV767" s="59">
        <f>IFERROR(VLOOKUP($A767,[2]Mssp!$A$5:$BE$1463,AV$4+1,0),0)</f>
        <v>0</v>
      </c>
      <c r="AW767" s="59">
        <f>IFERROR(VLOOKUP($A767,[2]Mssp!$A$5:$BE$1463,AW$4+1,0),0)</f>
        <v>0</v>
      </c>
      <c r="AX767" s="59">
        <f>IFERROR(VLOOKUP($A767,[2]Mssp!$A$5:$BE$1463,AX$4+1,0),0)</f>
        <v>0</v>
      </c>
      <c r="AY767" s="59" t="str">
        <f>IFERROR(VLOOKUP($A767,[2]Mssp!$A$5:$BE$1463,AY$4+2,0),0)</f>
        <v>462x870</v>
      </c>
      <c r="AZ767" s="59">
        <f>IFERROR(VLOOKUP($A767,[2]Mssp!$A$5:$BE$1463,AZ$4+2,0),0)</f>
        <v>0</v>
      </c>
      <c r="BA767" s="141"/>
      <c r="BB767" s="61"/>
      <c r="BC767" s="165"/>
      <c r="BD767" s="166"/>
      <c r="BE767" s="167"/>
      <c r="BF767" s="168"/>
      <c r="BG767" s="167"/>
      <c r="BH767" s="168"/>
      <c r="BI767" s="169"/>
      <c r="BJ767" s="168"/>
      <c r="BK767" s="134"/>
      <c r="BL767" s="168"/>
      <c r="BM767" s="167"/>
      <c r="BN767" s="168"/>
      <c r="BO767" s="62"/>
      <c r="BP767" s="168"/>
      <c r="BQ767" s="168"/>
      <c r="BR767" s="168"/>
      <c r="BS767" s="135"/>
      <c r="BT767" s="176"/>
      <c r="BU767" s="167"/>
      <c r="BV767" s="168"/>
      <c r="BW767" s="167"/>
      <c r="BX767" s="168"/>
      <c r="BY767" s="167"/>
      <c r="BZ767" s="176"/>
      <c r="CA767" s="167"/>
      <c r="CB767" s="168"/>
      <c r="CC767" s="167"/>
      <c r="CD767" s="168"/>
      <c r="CE767" s="62"/>
      <c r="CF767" s="62"/>
      <c r="CG767" s="9"/>
      <c r="CH767" s="9"/>
      <c r="CI767" s="9"/>
      <c r="CJ767" s="9"/>
      <c r="CK767" s="9"/>
      <c r="CL767" s="9"/>
      <c r="CM767" s="9"/>
      <c r="CN767" s="9"/>
      <c r="CO767" s="9"/>
      <c r="CP767" s="9"/>
    </row>
    <row r="768" spans="1:94" ht="30" x14ac:dyDescent="0.25">
      <c r="A768" s="127" t="s">
        <v>2463</v>
      </c>
      <c r="B768" s="51" t="s">
        <v>2464</v>
      </c>
      <c r="C768" s="62"/>
      <c r="D768" s="84">
        <v>11</v>
      </c>
      <c r="E768" s="62" t="s">
        <v>2449</v>
      </c>
      <c r="F768" s="62">
        <v>4</v>
      </c>
      <c r="G768" s="62"/>
      <c r="H768" s="50">
        <f>VLOOKUP($A768,'[1]ma sp 02'!$A$5:$BD$1101,H$1,0)</f>
        <v>0.52</v>
      </c>
      <c r="I768" s="50">
        <f>VLOOKUP($A768,'[1]ma sp 02'!$A$5:$BD$1101,I$1,0)</f>
        <v>0</v>
      </c>
      <c r="J768" s="50">
        <f>VLOOKUP($A768,'[1]ma sp 02'!$A$5:$BD$1101,J$1,0)</f>
        <v>0</v>
      </c>
      <c r="K768" s="50">
        <f>VLOOKUP($A768,'[1]ma sp 02'!$A$5:$BD$1101,K$1,0)</f>
        <v>0</v>
      </c>
      <c r="L768" s="50">
        <f>VLOOKUP($A768,'[1]ma sp 02'!$A$5:$BD$1101,L$1,0)</f>
        <v>0</v>
      </c>
      <c r="M768" s="50">
        <f>VLOOKUP($A768,'[1]ma sp 02'!$A$5:$BD$1101,M$1,0)</f>
        <v>2.08</v>
      </c>
      <c r="N768" s="50">
        <f>VLOOKUP($A768,'[1]ma sp 02'!$A$5:$BD$1101,N$1,0)</f>
        <v>0</v>
      </c>
      <c r="O768" s="50">
        <f>VLOOKUP($A768,'[1]ma sp 02'!$A$5:$BD$1101,O$1,0)</f>
        <v>0.52</v>
      </c>
      <c r="P768" s="50">
        <f>VLOOKUP($A768,'[1]ma sp 02'!$A$5:$BD$1101,P$1,0)</f>
        <v>0.17299999999999999</v>
      </c>
      <c r="Q768" s="50">
        <f>VLOOKUP($A768,'[1]ma sp 02'!$A$5:$BD$1101,Q$1,0)</f>
        <v>0</v>
      </c>
      <c r="R768" s="50">
        <f>VLOOKUP($A768,'[1]ma sp 02'!$A$5:$BD$1101,R$1,0)</f>
        <v>2.42</v>
      </c>
      <c r="S768" s="50">
        <f>VLOOKUP($A768,'[1]ma sp 02'!$A$5:$BD$1101,S$1,0)</f>
        <v>0</v>
      </c>
      <c r="T768" s="50">
        <f>VLOOKUP($A768,'[1]ma sp 02'!$A$5:$BD$1101,T$1,0)</f>
        <v>0</v>
      </c>
      <c r="U768" s="50">
        <f>VLOOKUP($A768,'[1]ma sp 02'!$A$5:$BD$1101,U$1,0)</f>
        <v>0</v>
      </c>
      <c r="V768" s="50">
        <f>VLOOKUP($A768,'[1]ma sp 02'!$A$5:$BD$1101,V$1,0)</f>
        <v>0</v>
      </c>
      <c r="W768" s="50">
        <f>VLOOKUP($A768,'[1]ma sp 02'!$A$5:$BD$1101,W$1,0)</f>
        <v>0</v>
      </c>
      <c r="X768" s="50"/>
      <c r="Y768" s="62"/>
      <c r="Z768" s="62"/>
      <c r="AA768" s="62"/>
      <c r="AB768" s="62"/>
      <c r="AC768" s="62"/>
      <c r="AD768" s="62"/>
      <c r="AE768" s="62" t="s">
        <v>842</v>
      </c>
      <c r="AF768" s="62"/>
      <c r="AG768" s="180">
        <f t="shared" si="31"/>
        <v>6.4195000000000002E-2</v>
      </c>
      <c r="AH768" s="155">
        <f t="shared" si="32"/>
        <v>2.4333333333333336</v>
      </c>
      <c r="AI768" s="9"/>
      <c r="AJ768" s="56">
        <v>9530</v>
      </c>
      <c r="AK768" s="9"/>
      <c r="AL768" s="9">
        <v>5.0000000000000001E-3</v>
      </c>
      <c r="AM768" s="61" t="s">
        <v>1575</v>
      </c>
      <c r="AN768" s="62"/>
      <c r="AO768" s="61" t="s">
        <v>2450</v>
      </c>
      <c r="AP768" s="59" t="str">
        <f>IFERROR(VLOOKUP($A768,[2]Mssp!$A$5:$BE$1463,AP$4+1,0),0)</f>
        <v>X109691-1</v>
      </c>
      <c r="AQ768" s="59" t="str">
        <f>IFERROR(VLOOKUP($A768,[2]Mssp!$A$5:$BE$1463,AQ$4+1,0),0)</f>
        <v>X109684-2</v>
      </c>
      <c r="AR768" s="59" t="str">
        <f>IFERROR(VLOOKUP($A768,[2]Mssp!$A$5:$BE$1463,AR$4+1,0),0)</f>
        <v>X109684-3</v>
      </c>
      <c r="AS768" s="59" t="str">
        <f>IFERROR(VLOOKUP($A768,[2]Mssp!$A$5:$BE$1463,AS$4+1,0),0)</f>
        <v>X109684-4</v>
      </c>
      <c r="AT768" s="59">
        <f>IFERROR(VLOOKUP($A768,[2]Mssp!$A$5:$BE$1463,AT$4+1,0),0)</f>
        <v>0</v>
      </c>
      <c r="AU768" s="59">
        <f>IFERROR(VLOOKUP($A768,[2]Mssp!$A$5:$BE$1463,AU$4+1,0),0)</f>
        <v>0</v>
      </c>
      <c r="AV768" s="59">
        <f>IFERROR(VLOOKUP($A768,[2]Mssp!$A$5:$BE$1463,AV$4+1,0),0)</f>
        <v>0</v>
      </c>
      <c r="AW768" s="59">
        <f>IFERROR(VLOOKUP($A768,[2]Mssp!$A$5:$BE$1463,AW$4+1,0),0)</f>
        <v>0</v>
      </c>
      <c r="AX768" s="59">
        <f>IFERROR(VLOOKUP($A768,[2]Mssp!$A$5:$BE$1463,AX$4+1,0),0)</f>
        <v>0</v>
      </c>
      <c r="AY768" s="59" t="str">
        <f>IFERROR(VLOOKUP($A768,[2]Mssp!$A$5:$BE$1463,AY$4+2,0),0)</f>
        <v>462x870</v>
      </c>
      <c r="AZ768" s="59">
        <f>IFERROR(VLOOKUP($A768,[2]Mssp!$A$5:$BE$1463,AZ$4+2,0),0)</f>
        <v>0</v>
      </c>
      <c r="BA768" s="141"/>
      <c r="BB768" s="61"/>
      <c r="BC768" s="165"/>
      <c r="BD768" s="166"/>
      <c r="BE768" s="167"/>
      <c r="BF768" s="168"/>
      <c r="BG768" s="167"/>
      <c r="BH768" s="168"/>
      <c r="BI768" s="169"/>
      <c r="BJ768" s="168"/>
      <c r="BK768" s="134"/>
      <c r="BL768" s="168"/>
      <c r="BM768" s="167"/>
      <c r="BN768" s="168"/>
      <c r="BO768" s="62"/>
      <c r="BP768" s="168"/>
      <c r="BQ768" s="168"/>
      <c r="BR768" s="168"/>
      <c r="BS768" s="135"/>
      <c r="BT768" s="176"/>
      <c r="BU768" s="167"/>
      <c r="BV768" s="168"/>
      <c r="BW768" s="167"/>
      <c r="BX768" s="168"/>
      <c r="BY768" s="167"/>
      <c r="BZ768" s="176"/>
      <c r="CA768" s="167"/>
      <c r="CB768" s="168"/>
      <c r="CC768" s="167"/>
      <c r="CD768" s="168"/>
      <c r="CE768" s="62"/>
      <c r="CF768" s="62"/>
      <c r="CG768" s="9"/>
      <c r="CH768" s="9"/>
      <c r="CI768" s="9"/>
      <c r="CJ768" s="9"/>
      <c r="CK768" s="9"/>
      <c r="CL768" s="9"/>
      <c r="CM768" s="9"/>
      <c r="CN768" s="9"/>
      <c r="CO768" s="9"/>
      <c r="CP768" s="9"/>
    </row>
    <row r="769" spans="1:94" ht="30" x14ac:dyDescent="0.25">
      <c r="A769" s="127" t="s">
        <v>2465</v>
      </c>
      <c r="B769" s="51" t="s">
        <v>2466</v>
      </c>
      <c r="C769" s="62"/>
      <c r="D769" s="84">
        <v>11</v>
      </c>
      <c r="E769" s="62" t="s">
        <v>2449</v>
      </c>
      <c r="F769" s="62">
        <v>4</v>
      </c>
      <c r="G769" s="62"/>
      <c r="H769" s="50">
        <f>VLOOKUP($A769,'[1]ma sp 02'!$A$5:$BD$1101,H$1,0)</f>
        <v>0.182</v>
      </c>
      <c r="I769" s="50">
        <f>VLOOKUP($A769,'[1]ma sp 02'!$A$5:$BD$1101,I$1,0)</f>
        <v>8.3800000000000008</v>
      </c>
      <c r="J769" s="50">
        <f>VLOOKUP($A769,'[1]ma sp 02'!$A$5:$BD$1101,J$1,0)</f>
        <v>0.72</v>
      </c>
      <c r="K769" s="50">
        <f>VLOOKUP($A769,'[1]ma sp 02'!$A$5:$BD$1101,K$1,0)</f>
        <v>1.0900000000000001</v>
      </c>
      <c r="L769" s="50">
        <f>VLOOKUP($A769,'[1]ma sp 02'!$A$5:$BD$1101,L$1,0)</f>
        <v>0</v>
      </c>
      <c r="M769" s="50">
        <f>VLOOKUP($A769,'[1]ma sp 02'!$A$5:$BD$1101,M$1,0)</f>
        <v>5.83</v>
      </c>
      <c r="N769" s="50">
        <f>VLOOKUP($A769,'[1]ma sp 02'!$A$5:$BD$1101,N$1,0)</f>
        <v>0</v>
      </c>
      <c r="O769" s="50">
        <f>VLOOKUP($A769,'[1]ma sp 02'!$A$5:$BD$1101,O$1,0)</f>
        <v>0.01</v>
      </c>
      <c r="P769" s="50">
        <f>VLOOKUP($A769,'[1]ma sp 02'!$A$5:$BD$1101,P$1,0)</f>
        <v>0.182</v>
      </c>
      <c r="Q769" s="50">
        <f>VLOOKUP($A769,'[1]ma sp 02'!$A$5:$BD$1101,Q$1,0)</f>
        <v>0</v>
      </c>
      <c r="R769" s="50">
        <f>VLOOKUP($A769,'[1]ma sp 02'!$A$5:$BD$1101,R$1,0)</f>
        <v>0.01</v>
      </c>
      <c r="S769" s="50">
        <f>VLOOKUP($A769,'[1]ma sp 02'!$A$5:$BD$1101,S$1,0)</f>
        <v>0</v>
      </c>
      <c r="T769" s="50">
        <f>VLOOKUP($A769,'[1]ma sp 02'!$A$5:$BD$1101,T$1,0)</f>
        <v>0</v>
      </c>
      <c r="U769" s="50">
        <f>VLOOKUP($A769,'[1]ma sp 02'!$A$5:$BD$1101,U$1,0)</f>
        <v>0</v>
      </c>
      <c r="V769" s="50">
        <f>VLOOKUP($A769,'[1]ma sp 02'!$A$5:$BD$1101,V$1,0)</f>
        <v>0</v>
      </c>
      <c r="W769" s="50">
        <f>VLOOKUP($A769,'[1]ma sp 02'!$A$5:$BD$1101,W$1,0)</f>
        <v>0</v>
      </c>
      <c r="X769" s="50"/>
      <c r="Y769" s="62"/>
      <c r="Z769" s="62"/>
      <c r="AA769" s="62"/>
      <c r="AB769" s="62"/>
      <c r="AC769" s="62"/>
      <c r="AD769" s="62"/>
      <c r="AE769" s="62" t="s">
        <v>842</v>
      </c>
      <c r="AF769" s="62"/>
      <c r="AG769" s="180">
        <f t="shared" si="31"/>
        <v>6.4195000000000002E-2</v>
      </c>
      <c r="AH769" s="155">
        <f t="shared" si="32"/>
        <v>2.4333333333333336</v>
      </c>
      <c r="AI769" s="9"/>
      <c r="AJ769" s="56">
        <v>9530</v>
      </c>
      <c r="AK769" s="9"/>
      <c r="AL769" s="9">
        <v>5.0000000000000001E-3</v>
      </c>
      <c r="AM769" s="61" t="s">
        <v>1575</v>
      </c>
      <c r="AN769" s="62"/>
      <c r="AO769" s="61" t="s">
        <v>2450</v>
      </c>
      <c r="AP769" s="59" t="str">
        <f>IFERROR(VLOOKUP($A769,[2]Mssp!$A$5:$BE$1463,AP$4+1,0),0)</f>
        <v>X109692-1</v>
      </c>
      <c r="AQ769" s="59" t="str">
        <f>IFERROR(VLOOKUP($A769,[2]Mssp!$A$5:$BE$1463,AQ$4+1,0),0)</f>
        <v>X109684-2</v>
      </c>
      <c r="AR769" s="59" t="str">
        <f>IFERROR(VLOOKUP($A769,[2]Mssp!$A$5:$BE$1463,AR$4+1,0),0)</f>
        <v>X109684-3</v>
      </c>
      <c r="AS769" s="59" t="str">
        <f>IFERROR(VLOOKUP($A769,[2]Mssp!$A$5:$BE$1463,AS$4+1,0),0)</f>
        <v>X109684-4</v>
      </c>
      <c r="AT769" s="59">
        <f>IFERROR(VLOOKUP($A769,[2]Mssp!$A$5:$BE$1463,AT$4+1,0),0)</f>
        <v>0</v>
      </c>
      <c r="AU769" s="59">
        <f>IFERROR(VLOOKUP($A769,[2]Mssp!$A$5:$BE$1463,AU$4+1,0),0)</f>
        <v>0</v>
      </c>
      <c r="AV769" s="59">
        <f>IFERROR(VLOOKUP($A769,[2]Mssp!$A$5:$BE$1463,AV$4+1,0),0)</f>
        <v>0</v>
      </c>
      <c r="AW769" s="59">
        <f>IFERROR(VLOOKUP($A769,[2]Mssp!$A$5:$BE$1463,AW$4+1,0),0)</f>
        <v>0</v>
      </c>
      <c r="AX769" s="59">
        <f>IFERROR(VLOOKUP($A769,[2]Mssp!$A$5:$BE$1463,AX$4+1,0),0)</f>
        <v>0</v>
      </c>
      <c r="AY769" s="59" t="str">
        <f>IFERROR(VLOOKUP($A769,[2]Mssp!$A$5:$BE$1463,AY$4+2,0),0)</f>
        <v>462x870</v>
      </c>
      <c r="AZ769" s="59">
        <f>IFERROR(VLOOKUP($A769,[2]Mssp!$A$5:$BE$1463,AZ$4+2,0),0)</f>
        <v>0</v>
      </c>
      <c r="BA769" s="141"/>
      <c r="BB769" s="61"/>
      <c r="BC769" s="165"/>
      <c r="BD769" s="166"/>
      <c r="BE769" s="167"/>
      <c r="BF769" s="168"/>
      <c r="BG769" s="167"/>
      <c r="BH769" s="168"/>
      <c r="BI769" s="169"/>
      <c r="BJ769" s="168"/>
      <c r="BK769" s="134"/>
      <c r="BL769" s="168"/>
      <c r="BM769" s="167"/>
      <c r="BN769" s="168"/>
      <c r="BO769" s="62"/>
      <c r="BP769" s="168"/>
      <c r="BQ769" s="168"/>
      <c r="BR769" s="168"/>
      <c r="BS769" s="135"/>
      <c r="BT769" s="176"/>
      <c r="BU769" s="167"/>
      <c r="BV769" s="168"/>
      <c r="BW769" s="167"/>
      <c r="BX769" s="168"/>
      <c r="BY769" s="167"/>
      <c r="BZ769" s="176"/>
      <c r="CA769" s="167"/>
      <c r="CB769" s="168"/>
      <c r="CC769" s="167"/>
      <c r="CD769" s="168"/>
      <c r="CE769" s="62"/>
      <c r="CF769" s="62"/>
      <c r="CG769" s="9"/>
      <c r="CH769" s="9"/>
      <c r="CI769" s="9"/>
      <c r="CJ769" s="9"/>
      <c r="CK769" s="9"/>
      <c r="CL769" s="9"/>
      <c r="CM769" s="9"/>
      <c r="CN769" s="9"/>
      <c r="CO769" s="9"/>
      <c r="CP769" s="9"/>
    </row>
    <row r="770" spans="1:94" ht="45" x14ac:dyDescent="0.25">
      <c r="A770" s="127" t="s">
        <v>2467</v>
      </c>
      <c r="B770" s="51" t="s">
        <v>2468</v>
      </c>
      <c r="C770" s="62"/>
      <c r="D770" s="84">
        <v>1</v>
      </c>
      <c r="E770" s="62" t="s">
        <v>2469</v>
      </c>
      <c r="F770" s="62">
        <v>8</v>
      </c>
      <c r="G770" s="62"/>
      <c r="H770" s="50">
        <f>VLOOKUP($A770,'[1]ma sp 02'!$A$5:$BD$1101,H$1,0)</f>
        <v>0.318</v>
      </c>
      <c r="I770" s="50">
        <f>VLOOKUP($A770,'[1]ma sp 02'!$A$5:$BD$1101,I$1,0)</f>
        <v>3</v>
      </c>
      <c r="J770" s="50">
        <f>VLOOKUP($A770,'[1]ma sp 02'!$A$5:$BD$1101,J$1,0)</f>
        <v>0.318</v>
      </c>
      <c r="K770" s="50">
        <f>VLOOKUP($A770,'[1]ma sp 02'!$A$5:$BD$1101,K$1,0)</f>
        <v>0.47799999999999998</v>
      </c>
      <c r="L770" s="50">
        <f>VLOOKUP($A770,'[1]ma sp 02'!$A$5:$BD$1101,L$1,0)</f>
        <v>1.4330000000000001</v>
      </c>
      <c r="M770" s="50">
        <f>VLOOKUP($A770,'[1]ma sp 02'!$A$5:$BD$1101,M$1,0)</f>
        <v>1.5920000000000001</v>
      </c>
      <c r="N770" s="50">
        <f>VLOOKUP($A770,'[1]ma sp 02'!$A$5:$BD$1101,N$1,0)</f>
        <v>0</v>
      </c>
      <c r="O770" s="50">
        <f>VLOOKUP($A770,'[1]ma sp 02'!$A$5:$BD$1101,O$1,0)</f>
        <v>0.79600000000000004</v>
      </c>
      <c r="P770" s="50">
        <f>VLOOKUP($A770,'[1]ma sp 02'!$A$5:$BD$1101,P$1,0)</f>
        <v>0.01</v>
      </c>
      <c r="Q770" s="50">
        <f>VLOOKUP($A770,'[1]ma sp 02'!$A$5:$BD$1101,Q$1,0)</f>
        <v>0.63700000000000001</v>
      </c>
      <c r="R770" s="50">
        <f>VLOOKUP($A770,'[1]ma sp 02'!$A$5:$BD$1101,R$1,0)</f>
        <v>0</v>
      </c>
      <c r="S770" s="50">
        <f>VLOOKUP($A770,'[1]ma sp 02'!$A$5:$BD$1101,S$1,0)</f>
        <v>0</v>
      </c>
      <c r="T770" s="50">
        <f>VLOOKUP($A770,'[1]ma sp 02'!$A$5:$BD$1101,T$1,0)</f>
        <v>0.159</v>
      </c>
      <c r="U770" s="50">
        <f>VLOOKUP($A770,'[1]ma sp 02'!$A$5:$BD$1101,U$1,0)</f>
        <v>0</v>
      </c>
      <c r="V770" s="50">
        <f>VLOOKUP($A770,'[1]ma sp 02'!$A$5:$BD$1101,V$1,0)</f>
        <v>0</v>
      </c>
      <c r="W770" s="50">
        <f>VLOOKUP($A770,'[1]ma sp 02'!$A$5:$BD$1101,W$1,0)</f>
        <v>0</v>
      </c>
      <c r="X770" s="50"/>
      <c r="Y770" s="62"/>
      <c r="Z770" s="62"/>
      <c r="AA770" s="62"/>
      <c r="AB770" s="62"/>
      <c r="AC770" s="62"/>
      <c r="AD770" s="62"/>
      <c r="AE770" s="62" t="s">
        <v>2179</v>
      </c>
      <c r="AF770" s="62" t="s">
        <v>1460</v>
      </c>
      <c r="AG770" s="180">
        <f>(0.02*0.91+0.015*0.91+0.09*0.925)*0.54</f>
        <v>6.2154000000000008E-2</v>
      </c>
      <c r="AH770" s="155">
        <f t="shared" ref="AH770:AI772" si="33">(3/0.75/2)*0.53</f>
        <v>1.06</v>
      </c>
      <c r="AI770" s="155">
        <f t="shared" si="33"/>
        <v>1.06</v>
      </c>
      <c r="AJ770" s="9">
        <v>9530</v>
      </c>
      <c r="AK770" s="9">
        <v>9530</v>
      </c>
      <c r="AL770" s="9" t="s">
        <v>2023</v>
      </c>
      <c r="AM770" s="61" t="s">
        <v>2470</v>
      </c>
      <c r="AN770" s="62">
        <v>150</v>
      </c>
      <c r="AO770" s="61" t="s">
        <v>2450</v>
      </c>
      <c r="AP770" s="59" t="str">
        <f>IFERROR(VLOOKUP($A770,[2]Mssp!$A$5:$BE$1463,AP$4+1,0),0)</f>
        <v>X109701-1</v>
      </c>
      <c r="AQ770" s="59" t="str">
        <f>IFERROR(VLOOKUP($A770,[2]Mssp!$A$5:$BE$1463,AQ$4+1,0),0)</f>
        <v>X109701-2</v>
      </c>
      <c r="AR770" s="59" t="str">
        <f>IFERROR(VLOOKUP($A770,[2]Mssp!$A$5:$BE$1463,AR$4+1,0),0)</f>
        <v>X109701-3</v>
      </c>
      <c r="AS770" s="59" t="str">
        <f>IFERROR(VLOOKUP($A770,[2]Mssp!$A$5:$BE$1463,AS$4+1,0),0)</f>
        <v>X109701-4</v>
      </c>
      <c r="AT770" s="59" t="str">
        <f>IFERROR(VLOOKUP($A770,[2]Mssp!$A$5:$BE$1463,AT$4+1,0),0)</f>
        <v>X109701-5</v>
      </c>
      <c r="AU770" s="59" t="str">
        <f>IFERROR(VLOOKUP($A770,[2]Mssp!$A$5:$BE$1463,AU$4+1,0),0)</f>
        <v>X109701-6</v>
      </c>
      <c r="AV770" s="59" t="str">
        <f>IFERROR(VLOOKUP($A770,[2]Mssp!$A$5:$BE$1463,AV$4+1,0),0)</f>
        <v>X109701-7</v>
      </c>
      <c r="AW770" s="59" t="str">
        <f>IFERROR(VLOOKUP($A770,[2]Mssp!$A$5:$BE$1463,AW$4+1,0),0)</f>
        <v>X109701-8</v>
      </c>
      <c r="AX770" s="59">
        <f>IFERROR(VLOOKUP($A770,[2]Mssp!$A$5:$BE$1463,AX$4+1,0),0)</f>
        <v>0</v>
      </c>
      <c r="AY770" s="59" t="str">
        <f>IFERROR(VLOOKUP($A770,[2]Mssp!$A$5:$BE$1463,AY$4+2,0),0)</f>
        <v>450x870</v>
      </c>
      <c r="AZ770" s="59">
        <f>IFERROR(VLOOKUP($A770,[2]Mssp!$A$5:$BE$1463,AZ$4+2,0),0)</f>
        <v>0</v>
      </c>
      <c r="BA770" s="141"/>
      <c r="BB770" s="61"/>
      <c r="BC770" s="165"/>
      <c r="BD770" s="166"/>
      <c r="BE770" s="167"/>
      <c r="BF770" s="168"/>
      <c r="BG770" s="167"/>
      <c r="BH770" s="168"/>
      <c r="BI770" s="169"/>
      <c r="BJ770" s="168"/>
      <c r="BK770" s="134"/>
      <c r="BL770" s="168"/>
      <c r="BM770" s="167"/>
      <c r="BN770" s="168"/>
      <c r="BO770" s="62"/>
      <c r="BP770" s="168"/>
      <c r="BQ770" s="168"/>
      <c r="BR770" s="168"/>
      <c r="BS770" s="135"/>
      <c r="BT770" s="176"/>
      <c r="BU770" s="167"/>
      <c r="BV770" s="168"/>
      <c r="BW770" s="167"/>
      <c r="BX770" s="168"/>
      <c r="BY770" s="167"/>
      <c r="BZ770" s="176"/>
      <c r="CA770" s="167"/>
      <c r="CB770" s="168"/>
      <c r="CC770" s="167"/>
      <c r="CD770" s="168"/>
      <c r="CE770" s="62"/>
      <c r="CF770" s="62"/>
      <c r="CG770" s="9"/>
      <c r="CH770" s="9"/>
      <c r="CI770" s="9"/>
      <c r="CJ770" s="9"/>
      <c r="CK770" s="9"/>
      <c r="CL770" s="9"/>
      <c r="CM770" s="9"/>
      <c r="CN770" s="9"/>
      <c r="CO770" s="9"/>
      <c r="CP770" s="9"/>
    </row>
    <row r="771" spans="1:94" ht="45" x14ac:dyDescent="0.25">
      <c r="A771" s="127" t="s">
        <v>2471</v>
      </c>
      <c r="B771" s="51" t="s">
        <v>2472</v>
      </c>
      <c r="C771" s="62"/>
      <c r="D771" s="84">
        <v>1</v>
      </c>
      <c r="E771" s="62" t="s">
        <v>2469</v>
      </c>
      <c r="F771" s="62">
        <v>7</v>
      </c>
      <c r="G771" s="62"/>
      <c r="H771" s="50">
        <f>VLOOKUP($A771,'[1]ma sp 02'!$A$5:$BD$1101,H$1,0)</f>
        <v>0</v>
      </c>
      <c r="I771" s="50">
        <f>VLOOKUP($A771,'[1]ma sp 02'!$A$5:$BD$1101,I$1,0)</f>
        <v>3</v>
      </c>
      <c r="J771" s="50">
        <f>VLOOKUP($A771,'[1]ma sp 02'!$A$5:$BD$1101,J$1,0)</f>
        <v>1.9430000000000001</v>
      </c>
      <c r="K771" s="50">
        <f>VLOOKUP($A771,'[1]ma sp 02'!$A$5:$BD$1101,K$1,0)</f>
        <v>0.32400000000000001</v>
      </c>
      <c r="L771" s="50">
        <f>VLOOKUP($A771,'[1]ma sp 02'!$A$5:$BD$1101,L$1,0)</f>
        <v>1.9430000000000001</v>
      </c>
      <c r="M771" s="50">
        <f>VLOOKUP($A771,'[1]ma sp 02'!$A$5:$BD$1101,M$1,0)</f>
        <v>1.619</v>
      </c>
      <c r="N771" s="50">
        <f>VLOOKUP($A771,'[1]ma sp 02'!$A$5:$BD$1101,N$1,0)</f>
        <v>0</v>
      </c>
      <c r="O771" s="50">
        <f>VLOOKUP($A771,'[1]ma sp 02'!$A$5:$BD$1101,O$1,0)</f>
        <v>0.01</v>
      </c>
      <c r="P771" s="50">
        <f>VLOOKUP($A771,'[1]ma sp 02'!$A$5:$BD$1101,P$1,0)</f>
        <v>0.48599999999999999</v>
      </c>
      <c r="Q771" s="50">
        <f>VLOOKUP($A771,'[1]ma sp 02'!$A$5:$BD$1101,Q$1,0)</f>
        <v>0.32400000000000001</v>
      </c>
      <c r="R771" s="50">
        <f>VLOOKUP($A771,'[1]ma sp 02'!$A$5:$BD$1101,R$1,0)</f>
        <v>0</v>
      </c>
      <c r="S771" s="50">
        <f>VLOOKUP($A771,'[1]ma sp 02'!$A$5:$BD$1101,S$1,0)</f>
        <v>0</v>
      </c>
      <c r="T771" s="50">
        <f>VLOOKUP($A771,'[1]ma sp 02'!$A$5:$BD$1101,T$1,0)</f>
        <v>0</v>
      </c>
      <c r="U771" s="50">
        <f>VLOOKUP($A771,'[1]ma sp 02'!$A$5:$BD$1101,U$1,0)</f>
        <v>0</v>
      </c>
      <c r="V771" s="50">
        <f>VLOOKUP($A771,'[1]ma sp 02'!$A$5:$BD$1101,V$1,0)</f>
        <v>0</v>
      </c>
      <c r="W771" s="50">
        <f>VLOOKUP($A771,'[1]ma sp 02'!$A$5:$BD$1101,W$1,0)</f>
        <v>0</v>
      </c>
      <c r="X771" s="50"/>
      <c r="Y771" s="62"/>
      <c r="Z771" s="62"/>
      <c r="AA771" s="62"/>
      <c r="AB771" s="62"/>
      <c r="AC771" s="62"/>
      <c r="AD771" s="62"/>
      <c r="AE771" s="62" t="s">
        <v>2179</v>
      </c>
      <c r="AF771" s="62" t="s">
        <v>1460</v>
      </c>
      <c r="AG771" s="180">
        <f>(0.02*0.91+0.015*0.91+0.09*0.925)*0.54</f>
        <v>6.2154000000000008E-2</v>
      </c>
      <c r="AH771" s="155">
        <f t="shared" si="33"/>
        <v>1.06</v>
      </c>
      <c r="AI771" s="155">
        <f t="shared" si="33"/>
        <v>1.06</v>
      </c>
      <c r="AJ771" s="9">
        <v>9530</v>
      </c>
      <c r="AK771" s="9">
        <v>9530</v>
      </c>
      <c r="AL771" s="9" t="s">
        <v>2023</v>
      </c>
      <c r="AM771" s="61" t="s">
        <v>2470</v>
      </c>
      <c r="AN771" s="62">
        <v>150</v>
      </c>
      <c r="AO771" s="61" t="s">
        <v>2450</v>
      </c>
      <c r="AP771" s="59" t="str">
        <f>IFERROR(VLOOKUP($A771,[2]Mssp!$A$5:$BE$1463,AP$4+1,0),0)</f>
        <v>X109702-1</v>
      </c>
      <c r="AQ771" s="59" t="str">
        <f>IFERROR(VLOOKUP($A771,[2]Mssp!$A$5:$BE$1463,AQ$4+1,0),0)</f>
        <v>X109701-2</v>
      </c>
      <c r="AR771" s="59" t="str">
        <f>IFERROR(VLOOKUP($A771,[2]Mssp!$A$5:$BE$1463,AR$4+1,0),0)</f>
        <v>X109702-3</v>
      </c>
      <c r="AS771" s="59" t="str">
        <f>IFERROR(VLOOKUP($A771,[2]Mssp!$A$5:$BE$1463,AS$4+1,0),0)</f>
        <v>X109702-4</v>
      </c>
      <c r="AT771" s="59" t="str">
        <f>IFERROR(VLOOKUP($A771,[2]Mssp!$A$5:$BE$1463,AT$4+1,0),0)</f>
        <v>X109702-5</v>
      </c>
      <c r="AU771" s="59" t="str">
        <f>IFERROR(VLOOKUP($A771,[2]Mssp!$A$5:$BE$1463,AU$4+1,0),0)</f>
        <v>X109702-6</v>
      </c>
      <c r="AV771" s="59" t="str">
        <f>IFERROR(VLOOKUP($A771,[2]Mssp!$A$5:$BE$1463,AV$4+1,0),0)</f>
        <v>X109701-8</v>
      </c>
      <c r="AW771" s="59">
        <f>IFERROR(VLOOKUP($A771,[2]Mssp!$A$5:$BE$1463,AW$4+1,0),0)</f>
        <v>0</v>
      </c>
      <c r="AX771" s="59">
        <f>IFERROR(VLOOKUP($A771,[2]Mssp!$A$5:$BE$1463,AX$4+1,0),0)</f>
        <v>0</v>
      </c>
      <c r="AY771" s="59" t="str">
        <f>IFERROR(VLOOKUP($A771,[2]Mssp!$A$5:$BE$1463,AY$4+2,0),0)</f>
        <v>450x870</v>
      </c>
      <c r="AZ771" s="59">
        <f>IFERROR(VLOOKUP($A771,[2]Mssp!$A$5:$BE$1463,AZ$4+2,0),0)</f>
        <v>0</v>
      </c>
      <c r="BA771" s="141"/>
      <c r="BB771" s="61"/>
      <c r="BC771" s="165"/>
      <c r="BD771" s="166"/>
      <c r="BE771" s="167"/>
      <c r="BF771" s="168"/>
      <c r="BG771" s="167"/>
      <c r="BH771" s="168"/>
      <c r="BI771" s="169"/>
      <c r="BJ771" s="168"/>
      <c r="BK771" s="134"/>
      <c r="BL771" s="168"/>
      <c r="BM771" s="167"/>
      <c r="BN771" s="168"/>
      <c r="BO771" s="62"/>
      <c r="BP771" s="168"/>
      <c r="BQ771" s="168"/>
      <c r="BR771" s="168"/>
      <c r="BS771" s="135"/>
      <c r="BT771" s="176"/>
      <c r="BU771" s="167"/>
      <c r="BV771" s="168"/>
      <c r="BW771" s="167"/>
      <c r="BX771" s="168"/>
      <c r="BY771" s="167"/>
      <c r="BZ771" s="176"/>
      <c r="CA771" s="167"/>
      <c r="CB771" s="168"/>
      <c r="CC771" s="167"/>
      <c r="CD771" s="168"/>
      <c r="CE771" s="62"/>
      <c r="CF771" s="62"/>
      <c r="CG771" s="9"/>
      <c r="CH771" s="9"/>
      <c r="CI771" s="9"/>
      <c r="CJ771" s="9"/>
      <c r="CK771" s="9"/>
      <c r="CL771" s="9"/>
      <c r="CM771" s="9"/>
      <c r="CN771" s="9"/>
      <c r="CO771" s="9"/>
      <c r="CP771" s="9"/>
    </row>
    <row r="772" spans="1:94" ht="45" x14ac:dyDescent="0.25">
      <c r="A772" s="127" t="s">
        <v>2473</v>
      </c>
      <c r="B772" s="51" t="s">
        <v>2474</v>
      </c>
      <c r="C772" s="62"/>
      <c r="D772" s="84">
        <v>1</v>
      </c>
      <c r="E772" s="62" t="s">
        <v>2469</v>
      </c>
      <c r="F772" s="62">
        <v>8</v>
      </c>
      <c r="G772" s="62"/>
      <c r="H772" s="50">
        <f>VLOOKUP($A772,'[1]ma sp 02'!$A$5:$BD$1101,H$1,0)</f>
        <v>0.14899999999999999</v>
      </c>
      <c r="I772" s="50">
        <f>VLOOKUP($A772,'[1]ma sp 02'!$A$5:$BD$1101,I$1,0)</f>
        <v>3</v>
      </c>
      <c r="J772" s="50">
        <f>VLOOKUP($A772,'[1]ma sp 02'!$A$5:$BD$1101,J$1,0)</f>
        <v>0.44600000000000001</v>
      </c>
      <c r="K772" s="50">
        <f>VLOOKUP($A772,'[1]ma sp 02'!$A$5:$BD$1101,K$1,0)</f>
        <v>0.44600000000000001</v>
      </c>
      <c r="L772" s="50">
        <f>VLOOKUP($A772,'[1]ma sp 02'!$A$5:$BD$1101,L$1,0)</f>
        <v>0.01</v>
      </c>
      <c r="M772" s="50">
        <f>VLOOKUP($A772,'[1]ma sp 02'!$A$5:$BD$1101,M$1,0)</f>
        <v>0</v>
      </c>
      <c r="N772" s="50">
        <f>VLOOKUP($A772,'[1]ma sp 02'!$A$5:$BD$1101,N$1,0)</f>
        <v>0</v>
      </c>
      <c r="O772" s="50">
        <f>VLOOKUP($A772,'[1]ma sp 02'!$A$5:$BD$1101,O$1,0)</f>
        <v>0.29799999999999999</v>
      </c>
      <c r="P772" s="50">
        <f>VLOOKUP($A772,'[1]ma sp 02'!$A$5:$BD$1101,P$1,0)</f>
        <v>0.29799999999999999</v>
      </c>
      <c r="Q772" s="50">
        <f>VLOOKUP($A772,'[1]ma sp 02'!$A$5:$BD$1101,Q$1,0)</f>
        <v>0</v>
      </c>
      <c r="R772" s="50">
        <f>VLOOKUP($A772,'[1]ma sp 02'!$A$5:$BD$1101,R$1,0)</f>
        <v>0</v>
      </c>
      <c r="S772" s="50">
        <f>VLOOKUP($A772,'[1]ma sp 02'!$A$5:$BD$1101,S$1,0)</f>
        <v>0</v>
      </c>
      <c r="T772" s="50">
        <f>VLOOKUP($A772,'[1]ma sp 02'!$A$5:$BD$1101,T$1,0)</f>
        <v>0.44600000000000001</v>
      </c>
      <c r="U772" s="50">
        <f>VLOOKUP($A772,'[1]ma sp 02'!$A$5:$BD$1101,U$1,0)</f>
        <v>0</v>
      </c>
      <c r="V772" s="50">
        <f>VLOOKUP($A772,'[1]ma sp 02'!$A$5:$BD$1101,V$1,0)</f>
        <v>0</v>
      </c>
      <c r="W772" s="50">
        <f>VLOOKUP($A772,'[1]ma sp 02'!$A$5:$BD$1101,W$1,0)</f>
        <v>0</v>
      </c>
      <c r="X772" s="50"/>
      <c r="Y772" s="62"/>
      <c r="Z772" s="62"/>
      <c r="AA772" s="62"/>
      <c r="AB772" s="62"/>
      <c r="AC772" s="62"/>
      <c r="AD772" s="62"/>
      <c r="AE772" s="62" t="s">
        <v>2179</v>
      </c>
      <c r="AF772" s="62" t="s">
        <v>1460</v>
      </c>
      <c r="AG772" s="180">
        <f>(0.02*0.91+0.015*0.91+0.09*0.925)*0.54</f>
        <v>6.2154000000000008E-2</v>
      </c>
      <c r="AH772" s="155">
        <f t="shared" si="33"/>
        <v>1.06</v>
      </c>
      <c r="AI772" s="155">
        <f t="shared" si="33"/>
        <v>1.06</v>
      </c>
      <c r="AJ772" s="9">
        <v>9530</v>
      </c>
      <c r="AK772" s="9">
        <v>9530</v>
      </c>
      <c r="AL772" s="9" t="s">
        <v>2023</v>
      </c>
      <c r="AM772" s="61" t="s">
        <v>2470</v>
      </c>
      <c r="AN772" s="62">
        <v>150</v>
      </c>
      <c r="AO772" s="61" t="s">
        <v>2450</v>
      </c>
      <c r="AP772" s="59" t="str">
        <f>IFERROR(VLOOKUP($A772,[2]Mssp!$A$5:$BE$1463,AP$4+1,0),0)</f>
        <v>X109701-1</v>
      </c>
      <c r="AQ772" s="59" t="str">
        <f>IFERROR(VLOOKUP($A772,[2]Mssp!$A$5:$BE$1463,AQ$4+1,0),0)</f>
        <v>X109704-2</v>
      </c>
      <c r="AR772" s="59" t="str">
        <f>IFERROR(VLOOKUP($A772,[2]Mssp!$A$5:$BE$1463,AR$4+1,0),0)</f>
        <v>X109701-3</v>
      </c>
      <c r="AS772" s="59" t="str">
        <f>IFERROR(VLOOKUP($A772,[2]Mssp!$A$5:$BE$1463,AS$4+1,0),0)</f>
        <v>X109704--4</v>
      </c>
      <c r="AT772" s="59" t="str">
        <f>IFERROR(VLOOKUP($A772,[2]Mssp!$A$5:$BE$1463,AT$4+1,0),0)</f>
        <v>X109704--5</v>
      </c>
      <c r="AU772" s="59" t="str">
        <f>IFERROR(VLOOKUP($A772,[2]Mssp!$A$5:$BE$1463,AU$4+1,0),0)</f>
        <v>X109704--6</v>
      </c>
      <c r="AV772" s="59" t="str">
        <f>IFERROR(VLOOKUP($A772,[2]Mssp!$A$5:$BE$1463,AV$4+1,0),0)</f>
        <v>X109704--7</v>
      </c>
      <c r="AW772" s="59" t="str">
        <f>IFERROR(VLOOKUP($A772,[2]Mssp!$A$5:$BE$1463,AW$4+1,0),0)</f>
        <v>X109701-8</v>
      </c>
      <c r="AX772" s="59">
        <f>IFERROR(VLOOKUP($A772,[2]Mssp!$A$5:$BE$1463,AX$4+1,0),0)</f>
        <v>0</v>
      </c>
      <c r="AY772" s="59" t="str">
        <f>IFERROR(VLOOKUP($A772,[2]Mssp!$A$5:$BE$1463,AY$4+2,0),0)</f>
        <v>450x870</v>
      </c>
      <c r="AZ772" s="59">
        <f>IFERROR(VLOOKUP($A772,[2]Mssp!$A$5:$BE$1463,AZ$4+2,0),0)</f>
        <v>0</v>
      </c>
      <c r="BA772" s="141"/>
      <c r="BB772" s="61"/>
      <c r="BC772" s="165"/>
      <c r="BD772" s="166"/>
      <c r="BE772" s="167"/>
      <c r="BF772" s="168"/>
      <c r="BG772" s="167"/>
      <c r="BH772" s="168"/>
      <c r="BI772" s="169"/>
      <c r="BJ772" s="168"/>
      <c r="BK772" s="134"/>
      <c r="BL772" s="168"/>
      <c r="BM772" s="167"/>
      <c r="BN772" s="168"/>
      <c r="BO772" s="62"/>
      <c r="BP772" s="168"/>
      <c r="BQ772" s="168"/>
      <c r="BR772" s="168"/>
      <c r="BS772" s="135"/>
      <c r="BT772" s="176"/>
      <c r="BU772" s="167"/>
      <c r="BV772" s="168"/>
      <c r="BW772" s="167"/>
      <c r="BX772" s="168"/>
      <c r="BY772" s="167"/>
      <c r="BZ772" s="176"/>
      <c r="CA772" s="167"/>
      <c r="CB772" s="168"/>
      <c r="CC772" s="167"/>
      <c r="CD772" s="168"/>
      <c r="CE772" s="62"/>
      <c r="CF772" s="62"/>
      <c r="CG772" s="9"/>
      <c r="CH772" s="9"/>
      <c r="CI772" s="9"/>
      <c r="CJ772" s="9"/>
      <c r="CK772" s="9"/>
      <c r="CL772" s="9"/>
      <c r="CM772" s="9"/>
      <c r="CN772" s="9"/>
      <c r="CO772" s="9"/>
      <c r="CP772" s="9"/>
    </row>
    <row r="773" spans="1:94" ht="30" x14ac:dyDescent="0.25">
      <c r="A773" s="127" t="s">
        <v>2475</v>
      </c>
      <c r="B773" s="51" t="s">
        <v>2476</v>
      </c>
      <c r="C773" s="62"/>
      <c r="D773" s="84">
        <v>3</v>
      </c>
      <c r="E773" s="62" t="s">
        <v>2477</v>
      </c>
      <c r="F773" s="62">
        <v>7</v>
      </c>
      <c r="G773" s="62" t="s">
        <v>184</v>
      </c>
      <c r="H773" s="50">
        <f>VLOOKUP($A773,'[1]ma sp 02'!$A$5:$BD$1101,H$1,0)</f>
        <v>0.01</v>
      </c>
      <c r="I773" s="50">
        <f>VLOOKUP($A773,'[1]ma sp 02'!$A$5:$BD$1101,I$1,0)</f>
        <v>0.245</v>
      </c>
      <c r="J773" s="50">
        <f>VLOOKUP($A773,'[1]ma sp 02'!$A$5:$BD$1101,J$1,0)</f>
        <v>0.245</v>
      </c>
      <c r="K773" s="50">
        <f>VLOOKUP($A773,'[1]ma sp 02'!$A$5:$BD$1101,K$1,0)</f>
        <v>8.2000000000000003E-2</v>
      </c>
      <c r="L773" s="50">
        <f>VLOOKUP($A773,'[1]ma sp 02'!$A$5:$BD$1101,L$1,0)</f>
        <v>0.32700000000000001</v>
      </c>
      <c r="M773" s="50">
        <f>VLOOKUP($A773,'[1]ma sp 02'!$A$5:$BD$1101,M$1,0)</f>
        <v>3.59</v>
      </c>
      <c r="N773" s="50">
        <f>VLOOKUP($A773,'[1]ma sp 02'!$A$5:$BD$1101,N$1,0)</f>
        <v>0</v>
      </c>
      <c r="O773" s="50">
        <f>VLOOKUP($A773,'[1]ma sp 02'!$A$5:$BD$1101,O$1,0)</f>
        <v>0</v>
      </c>
      <c r="P773" s="50">
        <f>VLOOKUP($A773,'[1]ma sp 02'!$A$5:$BD$1101,P$1,0)</f>
        <v>1.145</v>
      </c>
      <c r="Q773" s="50">
        <f>VLOOKUP($A773,'[1]ma sp 02'!$A$5:$BD$1101,Q$1,0)</f>
        <v>0.16400000000000001</v>
      </c>
      <c r="R773" s="50">
        <f>VLOOKUP($A773,'[1]ma sp 02'!$A$5:$BD$1101,R$1,0)</f>
        <v>0</v>
      </c>
      <c r="S773" s="50">
        <f>VLOOKUP($A773,'[1]ma sp 02'!$A$5:$BD$1101,S$1,0)</f>
        <v>0</v>
      </c>
      <c r="T773" s="50">
        <f>VLOOKUP($A773,'[1]ma sp 02'!$A$5:$BD$1101,T$1,0)</f>
        <v>0</v>
      </c>
      <c r="U773" s="50">
        <f>VLOOKUP($A773,'[1]ma sp 02'!$A$5:$BD$1101,U$1,0)</f>
        <v>0</v>
      </c>
      <c r="V773" s="50">
        <f>VLOOKUP($A773,'[1]ma sp 02'!$A$5:$BD$1101,V$1,0)</f>
        <v>0</v>
      </c>
      <c r="W773" s="50">
        <f>VLOOKUP($A773,'[1]ma sp 02'!$A$5:$BD$1101,W$1,0)</f>
        <v>0</v>
      </c>
      <c r="X773" s="50"/>
      <c r="Y773" s="62"/>
      <c r="Z773" s="62"/>
      <c r="AA773" s="62"/>
      <c r="AB773" s="62"/>
      <c r="AC773" s="62"/>
      <c r="AD773" s="62"/>
      <c r="AE773" s="62" t="s">
        <v>2478</v>
      </c>
      <c r="AF773" s="62"/>
      <c r="AG773" s="180">
        <f>(0.02*0.91+0.045*0.925)*0.7</f>
        <v>4.1877499999999998E-2</v>
      </c>
      <c r="AH773" s="155">
        <f>(2.3/0.75/2)*0.694</f>
        <v>1.0641333333333332</v>
      </c>
      <c r="AI773" s="9"/>
      <c r="AJ773" s="9">
        <v>9530</v>
      </c>
      <c r="AK773" s="9"/>
      <c r="AL773" s="9">
        <v>2.3E-3</v>
      </c>
      <c r="AM773" s="61" t="s">
        <v>74</v>
      </c>
      <c r="AN773" s="62"/>
      <c r="AO773" s="61" t="s">
        <v>2479</v>
      </c>
      <c r="AP773" s="59" t="str">
        <f>IFERROR(VLOOKUP($A773,[2]Mssp!$A$5:$BE$1463,AP$4+1,0),0)</f>
        <v>1803797-1</v>
      </c>
      <c r="AQ773" s="59" t="str">
        <f>IFERROR(VLOOKUP($A773,[2]Mssp!$A$5:$BE$1463,AQ$4+1,0),0)</f>
        <v>1803797-2</v>
      </c>
      <c r="AR773" s="59" t="str">
        <f>IFERROR(VLOOKUP($A773,[2]Mssp!$A$5:$BE$1463,AR$4+1,0),0)</f>
        <v>1803797-3</v>
      </c>
      <c r="AS773" s="59" t="str">
        <f>IFERROR(VLOOKUP($A773,[2]Mssp!$A$5:$BE$1463,AS$4+1,0),0)</f>
        <v>1803797-4</v>
      </c>
      <c r="AT773" s="59" t="str">
        <f>IFERROR(VLOOKUP($A773,[2]Mssp!$A$5:$BE$1463,AT$4+1,0),0)</f>
        <v>1803797-5</v>
      </c>
      <c r="AU773" s="59" t="str">
        <f>IFERROR(VLOOKUP($A773,[2]Mssp!$A$5:$BE$1463,AU$4+1,0),0)</f>
        <v>1803797-6</v>
      </c>
      <c r="AV773" s="59" t="str">
        <f>IFERROR(VLOOKUP($A773,[2]Mssp!$A$5:$BE$1463,AV$4+1,0),0)</f>
        <v>1803797-7</v>
      </c>
      <c r="AW773" s="59">
        <f>IFERROR(VLOOKUP($A773,[2]Mssp!$A$5:$BE$1463,AW$4+1,0),0)</f>
        <v>0</v>
      </c>
      <c r="AX773" s="59">
        <f>IFERROR(VLOOKUP($A773,[2]Mssp!$A$5:$BE$1463,AX$4+1,0),0)</f>
        <v>0</v>
      </c>
      <c r="AY773" s="59" t="str">
        <f>IFERROR(VLOOKUP($A773,[2]Mssp!$A$5:$BE$1463,AY$4+2,0),0)</f>
        <v>477x770</v>
      </c>
      <c r="AZ773" s="59">
        <f>IFERROR(VLOOKUP($A773,[2]Mssp!$A$5:$BE$1463,AZ$4+2,0),0)</f>
        <v>0</v>
      </c>
      <c r="BA773" s="141"/>
      <c r="BB773" s="61" t="s">
        <v>1894</v>
      </c>
      <c r="BC773" s="165"/>
      <c r="BD773" s="166"/>
      <c r="BE773" s="167"/>
      <c r="BF773" s="168"/>
      <c r="BG773" s="167"/>
      <c r="BH773" s="168"/>
      <c r="BI773" s="169"/>
      <c r="BJ773" s="168"/>
      <c r="BK773" s="134"/>
      <c r="BL773" s="168"/>
      <c r="BM773" s="167"/>
      <c r="BN773" s="168"/>
      <c r="BO773" s="62"/>
      <c r="BP773" s="168"/>
      <c r="BQ773" s="168"/>
      <c r="BR773" s="168"/>
      <c r="BS773" s="135"/>
      <c r="BT773" s="176"/>
      <c r="BU773" s="167"/>
      <c r="BV773" s="168"/>
      <c r="BW773" s="167"/>
      <c r="BX773" s="168"/>
      <c r="BY773" s="167"/>
      <c r="BZ773" s="176"/>
      <c r="CA773" s="167"/>
      <c r="CB773" s="168"/>
      <c r="CC773" s="167"/>
      <c r="CD773" s="168"/>
      <c r="CE773" s="62"/>
      <c r="CF773" s="62"/>
      <c r="CG773" s="9"/>
      <c r="CH773" s="9"/>
      <c r="CI773" s="9"/>
      <c r="CJ773" s="9"/>
      <c r="CK773" s="9"/>
      <c r="CL773" s="9"/>
      <c r="CM773" s="9"/>
      <c r="CN773" s="9"/>
      <c r="CO773" s="9"/>
      <c r="CP773" s="9"/>
    </row>
    <row r="774" spans="1:94" ht="30" x14ac:dyDescent="0.25">
      <c r="A774" s="127" t="s">
        <v>2480</v>
      </c>
      <c r="B774" s="51" t="s">
        <v>2481</v>
      </c>
      <c r="C774" s="62"/>
      <c r="D774" s="84">
        <v>1</v>
      </c>
      <c r="E774" s="62" t="s">
        <v>2482</v>
      </c>
      <c r="F774" s="62">
        <v>2</v>
      </c>
      <c r="G774" s="62"/>
      <c r="H774" s="50">
        <f>VLOOKUP($A774,'[1]ma sp 02'!$A$5:$BD$1101,H$1,0)</f>
        <v>0</v>
      </c>
      <c r="I774" s="50">
        <f>VLOOKUP($A774,'[1]ma sp 02'!$A$5:$BD$1101,I$1,0)</f>
        <v>0</v>
      </c>
      <c r="J774" s="50">
        <f>VLOOKUP($A774,'[1]ma sp 02'!$A$5:$BD$1101,J$1,0)</f>
        <v>3.6999999999999998E-2</v>
      </c>
      <c r="K774" s="50">
        <f>VLOOKUP($A774,'[1]ma sp 02'!$A$5:$BD$1101,K$1,0)</f>
        <v>0.58399999999999996</v>
      </c>
      <c r="L774" s="50">
        <f>VLOOKUP($A774,'[1]ma sp 02'!$A$5:$BD$1101,L$1,0)</f>
        <v>0</v>
      </c>
      <c r="M774" s="50">
        <f>VLOOKUP($A774,'[1]ma sp 02'!$A$5:$BD$1101,M$1,0)</f>
        <v>0</v>
      </c>
      <c r="N774" s="50">
        <f>VLOOKUP($A774,'[1]ma sp 02'!$A$5:$BD$1101,N$1,0)</f>
        <v>0</v>
      </c>
      <c r="O774" s="50">
        <f>VLOOKUP($A774,'[1]ma sp 02'!$A$5:$BD$1101,O$1,0)</f>
        <v>0</v>
      </c>
      <c r="P774" s="50">
        <f>VLOOKUP($A774,'[1]ma sp 02'!$A$5:$BD$1101,P$1,0)</f>
        <v>0.01</v>
      </c>
      <c r="Q774" s="50">
        <f>VLOOKUP($A774,'[1]ma sp 02'!$A$5:$BD$1101,Q$1,0)</f>
        <v>0</v>
      </c>
      <c r="R774" s="50">
        <f>VLOOKUP($A774,'[1]ma sp 02'!$A$5:$BD$1101,R$1,0)</f>
        <v>0.219</v>
      </c>
      <c r="S774" s="50">
        <f>VLOOKUP($A774,'[1]ma sp 02'!$A$5:$BD$1101,S$1,0)</f>
        <v>0</v>
      </c>
      <c r="T774" s="50">
        <f>VLOOKUP($A774,'[1]ma sp 02'!$A$5:$BD$1101,T$1,0)</f>
        <v>0</v>
      </c>
      <c r="U774" s="50">
        <f>VLOOKUP($A774,'[1]ma sp 02'!$A$5:$BD$1101,U$1,0)</f>
        <v>0</v>
      </c>
      <c r="V774" s="50">
        <f>VLOOKUP($A774,'[1]ma sp 02'!$A$5:$BD$1101,V$1,0)</f>
        <v>0</v>
      </c>
      <c r="W774" s="50">
        <f>VLOOKUP($A774,'[1]ma sp 02'!$A$5:$BD$1101,W$1,0)</f>
        <v>0</v>
      </c>
      <c r="X774" s="50"/>
      <c r="Y774" s="62"/>
      <c r="Z774" s="62"/>
      <c r="AA774" s="62"/>
      <c r="AB774" s="62"/>
      <c r="AC774" s="62"/>
      <c r="AD774" s="62"/>
      <c r="AE774" s="62" t="s">
        <v>2483</v>
      </c>
      <c r="AF774" s="62"/>
      <c r="AG774" s="180">
        <f>(0.04*0.94+0.02*0.925)*1.285</f>
        <v>7.20885E-2</v>
      </c>
      <c r="AH774" s="155">
        <f>(2/0.75/2)*1.275</f>
        <v>1.6999999999999997</v>
      </c>
      <c r="AI774" s="9"/>
      <c r="AJ774" s="9">
        <v>9530</v>
      </c>
      <c r="AK774" s="9"/>
      <c r="AL774" s="9">
        <v>2E-3</v>
      </c>
      <c r="AM774" s="61" t="s">
        <v>1489</v>
      </c>
      <c r="AN774" s="62"/>
      <c r="AO774" s="61" t="s">
        <v>2150</v>
      </c>
      <c r="AP774" s="59">
        <f>IFERROR(VLOOKUP($A774,[2]Mssp!$A$5:$BE$1463,AP$4+1,0),0)</f>
        <v>0</v>
      </c>
      <c r="AQ774" s="59">
        <f>IFERROR(VLOOKUP($A774,[2]Mssp!$A$5:$BE$1463,AQ$4+1,0),0)</f>
        <v>0</v>
      </c>
      <c r="AR774" s="59">
        <f>IFERROR(VLOOKUP($A774,[2]Mssp!$A$5:$BE$1463,AR$4+1,0),0)</f>
        <v>0</v>
      </c>
      <c r="AS774" s="59">
        <f>IFERROR(VLOOKUP($A774,[2]Mssp!$A$5:$BE$1463,AS$4+1,0),0)</f>
        <v>0</v>
      </c>
      <c r="AT774" s="59">
        <f>IFERROR(VLOOKUP($A774,[2]Mssp!$A$5:$BE$1463,AT$4+1,0),0)</f>
        <v>0</v>
      </c>
      <c r="AU774" s="59">
        <f>IFERROR(VLOOKUP($A774,[2]Mssp!$A$5:$BE$1463,AU$4+1,0),0)</f>
        <v>0</v>
      </c>
      <c r="AV774" s="59">
        <f>IFERROR(VLOOKUP($A774,[2]Mssp!$A$5:$BE$1463,AV$4+1,0),0)</f>
        <v>0</v>
      </c>
      <c r="AW774" s="59">
        <f>IFERROR(VLOOKUP($A774,[2]Mssp!$A$5:$BE$1463,AW$4+1,0),0)</f>
        <v>0</v>
      </c>
      <c r="AX774" s="59">
        <f>IFERROR(VLOOKUP($A774,[2]Mssp!$A$5:$BE$1463,AX$4+1,0),0)</f>
        <v>0</v>
      </c>
      <c r="AY774" s="59">
        <f>IFERROR(VLOOKUP($A774,[2]Mssp!$A$5:$BE$1463,AY$4+2,0),0)</f>
        <v>0</v>
      </c>
      <c r="AZ774" s="59">
        <f>IFERROR(VLOOKUP($A774,[2]Mssp!$A$5:$BE$1463,AZ$4+2,0),0)</f>
        <v>0</v>
      </c>
      <c r="BA774" s="141">
        <v>2030</v>
      </c>
      <c r="BB774" s="61" t="s">
        <v>952</v>
      </c>
      <c r="BC774" s="165"/>
      <c r="BD774" s="166"/>
      <c r="BE774" s="167"/>
      <c r="BF774" s="168"/>
      <c r="BG774" s="167"/>
      <c r="BH774" s="168"/>
      <c r="BI774" s="169"/>
      <c r="BJ774" s="168"/>
      <c r="BK774" s="134"/>
      <c r="BL774" s="168"/>
      <c r="BM774" s="167"/>
      <c r="BN774" s="168"/>
      <c r="BO774" s="62"/>
      <c r="BP774" s="168"/>
      <c r="BQ774" s="168"/>
      <c r="BR774" s="168"/>
      <c r="BS774" s="135"/>
      <c r="BT774" s="176"/>
      <c r="BU774" s="167"/>
      <c r="BV774" s="168"/>
      <c r="BW774" s="167"/>
      <c r="BX774" s="168"/>
      <c r="BY774" s="167"/>
      <c r="BZ774" s="176"/>
      <c r="CA774" s="167"/>
      <c r="CB774" s="168"/>
      <c r="CC774" s="167"/>
      <c r="CD774" s="168"/>
      <c r="CE774" s="62"/>
      <c r="CF774" s="62"/>
      <c r="CG774" s="9"/>
      <c r="CH774" s="9"/>
      <c r="CI774" s="9"/>
      <c r="CJ774" s="9"/>
      <c r="CK774" s="9"/>
      <c r="CL774" s="9"/>
      <c r="CM774" s="9"/>
      <c r="CN774" s="9"/>
      <c r="CO774" s="9"/>
      <c r="CP774" s="9"/>
    </row>
    <row r="775" spans="1:94" ht="30" x14ac:dyDescent="0.25">
      <c r="A775" s="127" t="s">
        <v>2484</v>
      </c>
      <c r="B775" s="51" t="s">
        <v>2485</v>
      </c>
      <c r="C775" s="62"/>
      <c r="D775" s="84">
        <v>8</v>
      </c>
      <c r="E775" s="62" t="s">
        <v>2486</v>
      </c>
      <c r="F775" s="62">
        <v>3</v>
      </c>
      <c r="G775" s="62"/>
      <c r="H775" s="50">
        <f>VLOOKUP($A775,'[1]ma sp 02'!$A$5:$BD$1101,H$1,0)</f>
        <v>0.01</v>
      </c>
      <c r="I775" s="50">
        <f>VLOOKUP($A775,'[1]ma sp 02'!$A$5:$BD$1101,I$1,0)</f>
        <v>2.9540000000000002</v>
      </c>
      <c r="J775" s="50">
        <f>VLOOKUP($A775,'[1]ma sp 02'!$A$5:$BD$1101,J$1,0)</f>
        <v>0</v>
      </c>
      <c r="K775" s="50">
        <f>VLOOKUP($A775,'[1]ma sp 02'!$A$5:$BD$1101,K$1,0)</f>
        <v>0</v>
      </c>
      <c r="L775" s="50">
        <f>VLOOKUP($A775,'[1]ma sp 02'!$A$5:$BD$1101,L$1,0)</f>
        <v>0</v>
      </c>
      <c r="M775" s="50">
        <f>VLOOKUP($A775,'[1]ma sp 02'!$A$5:$BD$1101,M$1,0)</f>
        <v>2.5499999999999998</v>
      </c>
      <c r="N775" s="50">
        <f>VLOOKUP($A775,'[1]ma sp 02'!$A$5:$BD$1101,N$1,0)</f>
        <v>0</v>
      </c>
      <c r="O775" s="50">
        <f>VLOOKUP($A775,'[1]ma sp 02'!$A$5:$BD$1101,O$1,0)</f>
        <v>0</v>
      </c>
      <c r="P775" s="50">
        <f>VLOOKUP($A775,'[1]ma sp 02'!$A$5:$BD$1101,P$1,0)</f>
        <v>0.01</v>
      </c>
      <c r="Q775" s="50">
        <f>VLOOKUP($A775,'[1]ma sp 02'!$A$5:$BD$1101,Q$1,0)</f>
        <v>0.63900000000000001</v>
      </c>
      <c r="R775" s="50">
        <f>VLOOKUP($A775,'[1]ma sp 02'!$A$5:$BD$1101,R$1,0)</f>
        <v>0</v>
      </c>
      <c r="S775" s="50">
        <f>VLOOKUP($A775,'[1]ma sp 02'!$A$5:$BD$1101,S$1,0)</f>
        <v>0</v>
      </c>
      <c r="T775" s="50">
        <f>VLOOKUP($A775,'[1]ma sp 02'!$A$5:$BD$1101,T$1,0)</f>
        <v>0</v>
      </c>
      <c r="U775" s="50">
        <f>VLOOKUP($A775,'[1]ma sp 02'!$A$5:$BD$1101,U$1,0)</f>
        <v>0</v>
      </c>
      <c r="V775" s="50">
        <f>VLOOKUP($A775,'[1]ma sp 02'!$A$5:$BD$1101,V$1,0)</f>
        <v>0</v>
      </c>
      <c r="W775" s="50">
        <f>VLOOKUP($A775,'[1]ma sp 02'!$A$5:$BD$1101,W$1,0)</f>
        <v>0</v>
      </c>
      <c r="X775" s="50"/>
      <c r="Y775" s="62"/>
      <c r="Z775" s="62"/>
      <c r="AA775" s="62"/>
      <c r="AB775" s="62"/>
      <c r="AC775" s="62"/>
      <c r="AD775" s="62"/>
      <c r="AE775" s="62" t="s">
        <v>113</v>
      </c>
      <c r="AF775" s="62"/>
      <c r="AG775" s="53">
        <f>(0.012*1.4+0.02*0.91)*0.74</f>
        <v>2.5900000000000003E-2</v>
      </c>
      <c r="AH775" s="155">
        <f>(2/0.75/2)*0.73</f>
        <v>0.97333333333333327</v>
      </c>
      <c r="AI775" s="9"/>
      <c r="AJ775" s="9">
        <v>9530</v>
      </c>
      <c r="AK775" s="9"/>
      <c r="AL775" s="9">
        <v>2E-3</v>
      </c>
      <c r="AM775" s="61" t="s">
        <v>1489</v>
      </c>
      <c r="AN775" s="62">
        <v>65</v>
      </c>
      <c r="AO775" s="61" t="s">
        <v>2487</v>
      </c>
      <c r="AP775" s="59" t="str">
        <f>IFERROR(VLOOKUP($A775,[2]Mssp!$A$5:$BE$1463,AP$4+1,0),0)</f>
        <v>20091119-1</v>
      </c>
      <c r="AQ775" s="59" t="str">
        <f>IFERROR(VLOOKUP($A775,[2]Mssp!$A$5:$BE$1463,AQ$4+1,0),0)</f>
        <v>20091119-2</v>
      </c>
      <c r="AR775" s="59" t="str">
        <f>IFERROR(VLOOKUP($A775,[2]Mssp!$A$5:$BE$1463,AR$4+1,0),0)</f>
        <v>20091119-3</v>
      </c>
      <c r="AS775" s="59">
        <f>IFERROR(VLOOKUP($A775,[2]Mssp!$A$5:$BE$1463,AS$4+1,0),0)</f>
        <v>0</v>
      </c>
      <c r="AT775" s="59">
        <f>IFERROR(VLOOKUP($A775,[2]Mssp!$A$5:$BE$1463,AT$4+1,0),0)</f>
        <v>0</v>
      </c>
      <c r="AU775" s="59">
        <f>IFERROR(VLOOKUP($A775,[2]Mssp!$A$5:$BE$1463,AU$4+1,0),0)</f>
        <v>0</v>
      </c>
      <c r="AV775" s="59">
        <f>IFERROR(VLOOKUP($A775,[2]Mssp!$A$5:$BE$1463,AV$4+1,0),0)</f>
        <v>0</v>
      </c>
      <c r="AW775" s="59">
        <f>IFERROR(VLOOKUP($A775,[2]Mssp!$A$5:$BE$1463,AW$4+1,0),0)</f>
        <v>0</v>
      </c>
      <c r="AX775" s="59">
        <f>IFERROR(VLOOKUP($A775,[2]Mssp!$A$5:$BE$1463,AX$4+1,0),0)</f>
        <v>0</v>
      </c>
      <c r="AY775" s="59" t="str">
        <f>IFERROR(VLOOKUP($A775,[2]Mssp!$A$5:$BE$1463,AY$4+2,0),0)</f>
        <v>455x850</v>
      </c>
      <c r="AZ775" s="59">
        <f>IFERROR(VLOOKUP($A775,[2]Mssp!$A$5:$BE$1463,AZ$4+2,0),0)</f>
        <v>0</v>
      </c>
      <c r="BA775" s="141"/>
      <c r="BB775" s="61" t="s">
        <v>952</v>
      </c>
      <c r="BC775" s="165"/>
      <c r="BD775" s="166"/>
      <c r="BE775" s="167"/>
      <c r="BF775" s="168"/>
      <c r="BG775" s="167"/>
      <c r="BH775" s="168"/>
      <c r="BI775" s="169"/>
      <c r="BJ775" s="168"/>
      <c r="BK775" s="134"/>
      <c r="BL775" s="168"/>
      <c r="BM775" s="167"/>
      <c r="BN775" s="168"/>
      <c r="BO775" s="62"/>
      <c r="BP775" s="168"/>
      <c r="BQ775" s="168"/>
      <c r="BR775" s="168"/>
      <c r="BS775" s="135"/>
      <c r="BT775" s="176"/>
      <c r="BU775" s="167"/>
      <c r="BV775" s="168"/>
      <c r="BW775" s="167"/>
      <c r="BX775" s="168"/>
      <c r="BY775" s="167"/>
      <c r="BZ775" s="176"/>
      <c r="CA775" s="167"/>
      <c r="CB775" s="168"/>
      <c r="CC775" s="167"/>
      <c r="CD775" s="168"/>
      <c r="CE775" s="62"/>
      <c r="CF775" s="62"/>
      <c r="CG775" s="9"/>
      <c r="CH775" s="9"/>
      <c r="CI775" s="9"/>
      <c r="CJ775" s="9"/>
      <c r="CK775" s="9"/>
      <c r="CL775" s="9"/>
      <c r="CM775" s="9"/>
      <c r="CN775" s="9"/>
      <c r="CO775" s="9"/>
      <c r="CP775" s="9"/>
    </row>
    <row r="776" spans="1:94" ht="30" x14ac:dyDescent="0.25">
      <c r="A776" s="127" t="s">
        <v>2488</v>
      </c>
      <c r="B776" s="51" t="s">
        <v>2489</v>
      </c>
      <c r="C776" s="62"/>
      <c r="D776" s="84">
        <v>3</v>
      </c>
      <c r="E776" s="62" t="s">
        <v>351</v>
      </c>
      <c r="F776" s="62">
        <v>6</v>
      </c>
      <c r="G776" s="62"/>
      <c r="H776" s="50">
        <f>VLOOKUP($A776,'[1]ma sp 02'!$A$5:$BD$1101,H$1,0)</f>
        <v>0</v>
      </c>
      <c r="I776" s="50">
        <f>VLOOKUP($A776,'[1]ma sp 02'!$A$5:$BD$1101,I$1,0)</f>
        <v>1.58</v>
      </c>
      <c r="J776" s="50">
        <f>VLOOKUP($A776,'[1]ma sp 02'!$A$5:$BD$1101,J$1,0)</f>
        <v>0.19800000000000001</v>
      </c>
      <c r="K776" s="50">
        <f>VLOOKUP($A776,'[1]ma sp 02'!$A$5:$BD$1101,K$1,0)</f>
        <v>9.9000000000000005E-2</v>
      </c>
      <c r="L776" s="50">
        <f>VLOOKUP($A776,'[1]ma sp 02'!$A$5:$BD$1101,L$1,0)</f>
        <v>0.59299999999999997</v>
      </c>
      <c r="M776" s="50">
        <f>VLOOKUP($A776,'[1]ma sp 02'!$A$5:$BD$1101,M$1,0)</f>
        <v>1.58</v>
      </c>
      <c r="N776" s="50">
        <f>VLOOKUP($A776,'[1]ma sp 02'!$A$5:$BD$1101,N$1,0)</f>
        <v>0</v>
      </c>
      <c r="O776" s="50">
        <f>VLOOKUP($A776,'[1]ma sp 02'!$A$5:$BD$1101,O$1,0)</f>
        <v>0</v>
      </c>
      <c r="P776" s="50">
        <f>VLOOKUP($A776,'[1]ma sp 02'!$A$5:$BD$1101,P$1,0)</f>
        <v>9.9000000000000005E-2</v>
      </c>
      <c r="Q776" s="50">
        <f>VLOOKUP($A776,'[1]ma sp 02'!$A$5:$BD$1101,Q$1,0)</f>
        <v>0</v>
      </c>
      <c r="R776" s="50">
        <f>VLOOKUP($A776,'[1]ma sp 02'!$A$5:$BD$1101,R$1,0)</f>
        <v>0</v>
      </c>
      <c r="S776" s="50">
        <f>VLOOKUP($A776,'[1]ma sp 02'!$A$5:$BD$1101,S$1,0)</f>
        <v>0</v>
      </c>
      <c r="T776" s="50">
        <f>VLOOKUP($A776,'[1]ma sp 02'!$A$5:$BD$1101,T$1,0)</f>
        <v>0</v>
      </c>
      <c r="U776" s="50">
        <f>VLOOKUP($A776,'[1]ma sp 02'!$A$5:$BD$1101,U$1,0)</f>
        <v>0</v>
      </c>
      <c r="V776" s="50">
        <f>VLOOKUP($A776,'[1]ma sp 02'!$A$5:$BD$1101,V$1,0)</f>
        <v>0</v>
      </c>
      <c r="W776" s="50">
        <f>VLOOKUP($A776,'[1]ma sp 02'!$A$5:$BD$1101,W$1,0)</f>
        <v>0</v>
      </c>
      <c r="X776" s="50"/>
      <c r="Y776" s="62"/>
      <c r="Z776" s="62"/>
      <c r="AA776" s="62"/>
      <c r="AB776" s="62"/>
      <c r="AC776" s="62"/>
      <c r="AD776" s="62"/>
      <c r="AE776" s="62" t="s">
        <v>352</v>
      </c>
      <c r="AF776" s="62" t="s">
        <v>2425</v>
      </c>
      <c r="AG776" s="180">
        <f>(0.012*1.4+0.012*1.4+0.1*0.925)*0.8</f>
        <v>0.10088000000000003</v>
      </c>
      <c r="AH776" s="155">
        <f>(2.3/0.75/2)*0.79</f>
        <v>1.2113333333333334</v>
      </c>
      <c r="AI776" s="155">
        <f>(2.3/0.75/2)*0.79</f>
        <v>1.2113333333333334</v>
      </c>
      <c r="AJ776" s="9">
        <v>9530</v>
      </c>
      <c r="AK776" s="9">
        <v>9530</v>
      </c>
      <c r="AL776" s="9" t="s">
        <v>1590</v>
      </c>
      <c r="AM776" s="61" t="s">
        <v>1489</v>
      </c>
      <c r="AN776" s="62">
        <v>190</v>
      </c>
      <c r="AO776" s="61" t="s">
        <v>2427</v>
      </c>
      <c r="AP776" s="59" t="str">
        <f>IFERROR(VLOOKUP($A776,[2]Mssp!$A$5:$BE$1463,AP$4+1,0),0)</f>
        <v>20090095-1</v>
      </c>
      <c r="AQ776" s="59" t="str">
        <f>IFERROR(VLOOKUP($A776,[2]Mssp!$A$5:$BE$1463,AQ$4+1,0),0)</f>
        <v>20090095-2</v>
      </c>
      <c r="AR776" s="59" t="str">
        <f>IFERROR(VLOOKUP($A776,[2]Mssp!$A$5:$BE$1463,AR$4+1,0),0)</f>
        <v>20090095-3</v>
      </c>
      <c r="AS776" s="59" t="str">
        <f>IFERROR(VLOOKUP($A776,[2]Mssp!$A$5:$BE$1463,AS$4+1,0),0)</f>
        <v>20090095-4</v>
      </c>
      <c r="AT776" s="59" t="str">
        <f>IFERROR(VLOOKUP($A776,[2]Mssp!$A$5:$BE$1463,AT$4+1,0),0)</f>
        <v>20090095-5</v>
      </c>
      <c r="AU776" s="59" t="str">
        <f>IFERROR(VLOOKUP($A776,[2]Mssp!$A$5:$BE$1463,AU$4+1,0),0)</f>
        <v>20081014-6</v>
      </c>
      <c r="AV776" s="59">
        <f>IFERROR(VLOOKUP($A776,[2]Mssp!$A$5:$BE$1463,AV$4+1,0),0)</f>
        <v>0</v>
      </c>
      <c r="AW776" s="59">
        <f>IFERROR(VLOOKUP($A776,[2]Mssp!$A$5:$BE$1463,AW$4+1,0),0)</f>
        <v>0</v>
      </c>
      <c r="AX776" s="59">
        <f>IFERROR(VLOOKUP($A776,[2]Mssp!$A$5:$BE$1463,AX$4+1,0),0)</f>
        <v>0</v>
      </c>
      <c r="AY776" s="59" t="str">
        <f>IFERROR(VLOOKUP($A776,[2]Mssp!$A$5:$BE$1463,AY$4+2,0),0)</f>
        <v>570x870</v>
      </c>
      <c r="AZ776" s="59">
        <f>IFERROR(VLOOKUP($A776,[2]Mssp!$A$5:$BE$1463,AZ$4+2,0),0)</f>
        <v>0</v>
      </c>
      <c r="BA776" s="141"/>
      <c r="BB776" s="61" t="s">
        <v>952</v>
      </c>
      <c r="BC776" s="165"/>
      <c r="BD776" s="166"/>
      <c r="BE776" s="167"/>
      <c r="BF776" s="168"/>
      <c r="BG776" s="167"/>
      <c r="BH776" s="168"/>
      <c r="BI776" s="169"/>
      <c r="BJ776" s="168"/>
      <c r="BK776" s="134"/>
      <c r="BL776" s="168"/>
      <c r="BM776" s="167"/>
      <c r="BN776" s="168"/>
      <c r="BO776" s="62"/>
      <c r="BP776" s="168"/>
      <c r="BQ776" s="168"/>
      <c r="BR776" s="168"/>
      <c r="BS776" s="135"/>
      <c r="BT776" s="176"/>
      <c r="BU776" s="167"/>
      <c r="BV776" s="168"/>
      <c r="BW776" s="167"/>
      <c r="BX776" s="168"/>
      <c r="BY776" s="167"/>
      <c r="BZ776" s="176"/>
      <c r="CA776" s="167"/>
      <c r="CB776" s="168"/>
      <c r="CC776" s="167"/>
      <c r="CD776" s="168"/>
      <c r="CE776" s="62"/>
      <c r="CF776" s="62"/>
      <c r="CG776" s="9"/>
      <c r="CH776" s="9"/>
      <c r="CI776" s="9"/>
      <c r="CJ776" s="9"/>
      <c r="CK776" s="9"/>
      <c r="CL776" s="9"/>
      <c r="CM776" s="9"/>
      <c r="CN776" s="9"/>
      <c r="CO776" s="9"/>
      <c r="CP776" s="9"/>
    </row>
    <row r="777" spans="1:94" ht="30" x14ac:dyDescent="0.25">
      <c r="A777" s="127" t="s">
        <v>2490</v>
      </c>
      <c r="B777" s="51" t="s">
        <v>2491</v>
      </c>
      <c r="C777" s="62"/>
      <c r="D777" s="84">
        <v>3</v>
      </c>
      <c r="E777" s="62" t="s">
        <v>351</v>
      </c>
      <c r="F777" s="62">
        <v>6</v>
      </c>
      <c r="G777" s="62"/>
      <c r="H777" s="50">
        <f>VLOOKUP($A777,'[1]ma sp 02'!$A$5:$BD$1101,H$1,0)</f>
        <v>0.105</v>
      </c>
      <c r="I777" s="50">
        <f>VLOOKUP($A777,'[1]ma sp 02'!$A$5:$BD$1101,I$1,0)</f>
        <v>0</v>
      </c>
      <c r="J777" s="50">
        <f>VLOOKUP($A777,'[1]ma sp 02'!$A$5:$BD$1101,J$1,0)</f>
        <v>0.21</v>
      </c>
      <c r="K777" s="50">
        <f>VLOOKUP($A777,'[1]ma sp 02'!$A$5:$BD$1101,K$1,0)</f>
        <v>0.316</v>
      </c>
      <c r="L777" s="50">
        <f>VLOOKUP($A777,'[1]ma sp 02'!$A$5:$BD$1101,L$1,0)</f>
        <v>0</v>
      </c>
      <c r="M777" s="50">
        <f>VLOOKUP($A777,'[1]ma sp 02'!$A$5:$BD$1101,M$1,0)</f>
        <v>0</v>
      </c>
      <c r="N777" s="50">
        <f>VLOOKUP($A777,'[1]ma sp 02'!$A$5:$BD$1101,N$1,0)</f>
        <v>0</v>
      </c>
      <c r="O777" s="50">
        <f>VLOOKUP($A777,'[1]ma sp 02'!$A$5:$BD$1101,O$1,0)</f>
        <v>0</v>
      </c>
      <c r="P777" s="50">
        <f>VLOOKUP($A777,'[1]ma sp 02'!$A$5:$BD$1101,P$1,0)</f>
        <v>0.01</v>
      </c>
      <c r="Q777" s="50">
        <f>VLOOKUP($A777,'[1]ma sp 02'!$A$5:$BD$1101,Q$1,0)</f>
        <v>0</v>
      </c>
      <c r="R777" s="50">
        <f>VLOOKUP($A777,'[1]ma sp 02'!$A$5:$BD$1101,R$1,0)</f>
        <v>0</v>
      </c>
      <c r="S777" s="50">
        <f>VLOOKUP($A777,'[1]ma sp 02'!$A$5:$BD$1101,S$1,0)</f>
        <v>0</v>
      </c>
      <c r="T777" s="50">
        <f>VLOOKUP($A777,'[1]ma sp 02'!$A$5:$BD$1101,T$1,0)</f>
        <v>0</v>
      </c>
      <c r="U777" s="50">
        <f>VLOOKUP($A777,'[1]ma sp 02'!$A$5:$BD$1101,U$1,0)</f>
        <v>0</v>
      </c>
      <c r="V777" s="50">
        <f>VLOOKUP($A777,'[1]ma sp 02'!$A$5:$BD$1101,V$1,0)</f>
        <v>0</v>
      </c>
      <c r="W777" s="50">
        <f>VLOOKUP($A777,'[1]ma sp 02'!$A$5:$BD$1101,W$1,0)</f>
        <v>0</v>
      </c>
      <c r="X777" s="50"/>
      <c r="Y777" s="62"/>
      <c r="Z777" s="62"/>
      <c r="AA777" s="62"/>
      <c r="AB777" s="62"/>
      <c r="AC777" s="62"/>
      <c r="AD777" s="62"/>
      <c r="AE777" s="62" t="s">
        <v>352</v>
      </c>
      <c r="AF777" s="62" t="s">
        <v>2425</v>
      </c>
      <c r="AG777" s="180">
        <f>(0.012*1.4+0.012*1.4+0.1*0.925)*0.8</f>
        <v>0.10088000000000003</v>
      </c>
      <c r="AH777" s="155">
        <f>(2.3/0.75/2)*0.79</f>
        <v>1.2113333333333334</v>
      </c>
      <c r="AI777" s="155">
        <f>(2.3/0.75/2)*0.79</f>
        <v>1.2113333333333334</v>
      </c>
      <c r="AJ777" s="9">
        <v>9530</v>
      </c>
      <c r="AK777" s="9">
        <v>9530</v>
      </c>
      <c r="AL777" s="9" t="s">
        <v>1590</v>
      </c>
      <c r="AM777" s="61" t="s">
        <v>1489</v>
      </c>
      <c r="AN777" s="62">
        <v>190</v>
      </c>
      <c r="AO777" s="61" t="s">
        <v>2427</v>
      </c>
      <c r="AP777" s="59" t="str">
        <f>IFERROR(VLOOKUP($A777,[2]Mssp!$A$5:$BE$1463,AP$4+1,0),0)</f>
        <v>21070327-1</v>
      </c>
      <c r="AQ777" s="59" t="str">
        <f>IFERROR(VLOOKUP($A777,[2]Mssp!$A$5:$BE$1463,AQ$4+1,0),0)</f>
        <v>21070327-2</v>
      </c>
      <c r="AR777" s="59" t="str">
        <f>IFERROR(VLOOKUP($A777,[2]Mssp!$A$5:$BE$1463,AR$4+1,0),0)</f>
        <v>21070327-3</v>
      </c>
      <c r="AS777" s="59" t="str">
        <f>IFERROR(VLOOKUP($A777,[2]Mssp!$A$5:$BE$1463,AS$4+1,0),0)</f>
        <v>21070327-4</v>
      </c>
      <c r="AT777" s="59" t="str">
        <f>IFERROR(VLOOKUP($A777,[2]Mssp!$A$5:$BE$1463,AT$4+1,0),0)</f>
        <v>21070327-5</v>
      </c>
      <c r="AU777" s="59" t="str">
        <f>IFERROR(VLOOKUP($A777,[2]Mssp!$A$5:$BE$1463,AU$4+1,0),0)</f>
        <v>20081014-6</v>
      </c>
      <c r="AV777" s="59">
        <f>IFERROR(VLOOKUP($A777,[2]Mssp!$A$5:$BE$1463,AV$4+1,0),0)</f>
        <v>0</v>
      </c>
      <c r="AW777" s="59">
        <f>IFERROR(VLOOKUP($A777,[2]Mssp!$A$5:$BE$1463,AW$4+1,0),0)</f>
        <v>0</v>
      </c>
      <c r="AX777" s="59">
        <f>IFERROR(VLOOKUP($A777,[2]Mssp!$A$5:$BE$1463,AX$4+1,0),0)</f>
        <v>0</v>
      </c>
      <c r="AY777" s="59" t="str">
        <f>IFERROR(VLOOKUP($A777,[2]Mssp!$A$5:$BE$1463,AY$4+2,0),0)</f>
        <v>570x870</v>
      </c>
      <c r="AZ777" s="59">
        <f>IFERROR(VLOOKUP($A777,[2]Mssp!$A$5:$BE$1463,AZ$4+2,0),0)</f>
        <v>0</v>
      </c>
      <c r="BA777" s="141"/>
      <c r="BB777" s="61"/>
      <c r="BC777" s="165"/>
      <c r="BD777" s="166"/>
      <c r="BE777" s="167"/>
      <c r="BF777" s="168"/>
      <c r="BG777" s="167"/>
      <c r="BH777" s="168"/>
      <c r="BI777" s="169"/>
      <c r="BJ777" s="168"/>
      <c r="BK777" s="134"/>
      <c r="BL777" s="168"/>
      <c r="BM777" s="167"/>
      <c r="BN777" s="168"/>
      <c r="BO777" s="62"/>
      <c r="BP777" s="168"/>
      <c r="BQ777" s="168"/>
      <c r="BR777" s="168"/>
      <c r="BS777" s="135"/>
      <c r="BT777" s="176"/>
      <c r="BU777" s="167"/>
      <c r="BV777" s="168"/>
      <c r="BW777" s="167"/>
      <c r="BX777" s="168"/>
      <c r="BY777" s="167"/>
      <c r="BZ777" s="176"/>
      <c r="CA777" s="167"/>
      <c r="CB777" s="168"/>
      <c r="CC777" s="167"/>
      <c r="CD777" s="168"/>
      <c r="CE777" s="62"/>
      <c r="CF777" s="62"/>
      <c r="CG777" s="9"/>
      <c r="CH777" s="9"/>
      <c r="CI777" s="9"/>
      <c r="CJ777" s="9"/>
      <c r="CK777" s="9"/>
      <c r="CL777" s="9"/>
      <c r="CM777" s="9"/>
      <c r="CN777" s="9"/>
      <c r="CO777" s="9"/>
      <c r="CP777" s="9"/>
    </row>
    <row r="778" spans="1:94" ht="45" x14ac:dyDescent="0.25">
      <c r="A778" s="127" t="s">
        <v>2492</v>
      </c>
      <c r="B778" s="51" t="s">
        <v>2493</v>
      </c>
      <c r="C778" s="62"/>
      <c r="D778" s="84">
        <v>3</v>
      </c>
      <c r="E778" s="62" t="s">
        <v>2494</v>
      </c>
      <c r="F778" s="62"/>
      <c r="G778" s="62"/>
      <c r="H778" s="50">
        <f>VLOOKUP($A778,'[1]ma sp 02'!$A$5:$BD$1101,H$1,0)</f>
        <v>0</v>
      </c>
      <c r="I778" s="50">
        <f>VLOOKUP($A778,'[1]ma sp 02'!$A$5:$BD$1101,I$1,0)</f>
        <v>0</v>
      </c>
      <c r="J778" s="50">
        <f>VLOOKUP($A778,'[1]ma sp 02'!$A$5:$BD$1101,J$1,0)</f>
        <v>0</v>
      </c>
      <c r="K778" s="50">
        <f>VLOOKUP($A778,'[1]ma sp 02'!$A$5:$BD$1101,K$1,0)</f>
        <v>0</v>
      </c>
      <c r="L778" s="50">
        <f>VLOOKUP($A778,'[1]ma sp 02'!$A$5:$BD$1101,L$1,0)</f>
        <v>0</v>
      </c>
      <c r="M778" s="50">
        <f>VLOOKUP($A778,'[1]ma sp 02'!$A$5:$BD$1101,M$1,0)</f>
        <v>0</v>
      </c>
      <c r="N778" s="50">
        <f>VLOOKUP($A778,'[1]ma sp 02'!$A$5:$BD$1101,N$1,0)</f>
        <v>0</v>
      </c>
      <c r="O778" s="50">
        <f>VLOOKUP($A778,'[1]ma sp 02'!$A$5:$BD$1101,O$1,0)</f>
        <v>0</v>
      </c>
      <c r="P778" s="50">
        <f>VLOOKUP($A778,'[1]ma sp 02'!$A$5:$BD$1101,P$1,0)</f>
        <v>0</v>
      </c>
      <c r="Q778" s="50">
        <f>VLOOKUP($A778,'[1]ma sp 02'!$A$5:$BD$1101,Q$1,0)</f>
        <v>0</v>
      </c>
      <c r="R778" s="50">
        <f>VLOOKUP($A778,'[1]ma sp 02'!$A$5:$BD$1101,R$1,0)</f>
        <v>0</v>
      </c>
      <c r="S778" s="50">
        <f>VLOOKUP($A778,'[1]ma sp 02'!$A$5:$BD$1101,S$1,0)</f>
        <v>0</v>
      </c>
      <c r="T778" s="50">
        <f>VLOOKUP($A778,'[1]ma sp 02'!$A$5:$BD$1101,T$1,0)</f>
        <v>0</v>
      </c>
      <c r="U778" s="50">
        <f>VLOOKUP($A778,'[1]ma sp 02'!$A$5:$BD$1101,U$1,0)</f>
        <v>0</v>
      </c>
      <c r="V778" s="50">
        <f>VLOOKUP($A778,'[1]ma sp 02'!$A$5:$BD$1101,V$1,0)</f>
        <v>0</v>
      </c>
      <c r="W778" s="50">
        <f>VLOOKUP($A778,'[1]ma sp 02'!$A$5:$BD$1101,W$1,0)</f>
        <v>0</v>
      </c>
      <c r="X778" s="50"/>
      <c r="Y778" s="62"/>
      <c r="Z778" s="62"/>
      <c r="AA778" s="62"/>
      <c r="AB778" s="62"/>
      <c r="AC778" s="62"/>
      <c r="AD778" s="62"/>
      <c r="AE778" s="62" t="s">
        <v>2495</v>
      </c>
      <c r="AF778" s="62" t="s">
        <v>2496</v>
      </c>
      <c r="AG778" s="53">
        <f>(0.012*1.4+0.006*2.71+0.07*0.925)*0.84</f>
        <v>8.2160400000000008E-2</v>
      </c>
      <c r="AH778" s="54">
        <f>(2.3/0.75/2)*0.83</f>
        <v>1.2726666666666666</v>
      </c>
      <c r="AI778" s="54">
        <f>(2.3/0.75/2)*0.83</f>
        <v>1.2726666666666666</v>
      </c>
      <c r="AJ778" s="9">
        <v>9530</v>
      </c>
      <c r="AK778" s="9">
        <v>9530</v>
      </c>
      <c r="AL778" s="9" t="s">
        <v>1590</v>
      </c>
      <c r="AM778" s="61" t="s">
        <v>1893</v>
      </c>
      <c r="AN778" s="62">
        <v>205</v>
      </c>
      <c r="AO778" s="61" t="s">
        <v>2497</v>
      </c>
      <c r="AP778" s="59">
        <f>IFERROR(VLOOKUP($A778,[2]Mssp!$A$5:$BE$1463,AP$4+1,0),0)</f>
        <v>0</v>
      </c>
      <c r="AQ778" s="59">
        <f>IFERROR(VLOOKUP($A778,[2]Mssp!$A$5:$BE$1463,AQ$4+1,0),0)</f>
        <v>0</v>
      </c>
      <c r="AR778" s="59">
        <f>IFERROR(VLOOKUP($A778,[2]Mssp!$A$5:$BE$1463,AR$4+1,0),0)</f>
        <v>0</v>
      </c>
      <c r="AS778" s="59">
        <f>IFERROR(VLOOKUP($A778,[2]Mssp!$A$5:$BE$1463,AS$4+1,0),0)</f>
        <v>0</v>
      </c>
      <c r="AT778" s="59">
        <f>IFERROR(VLOOKUP($A778,[2]Mssp!$A$5:$BE$1463,AT$4+1,0),0)</f>
        <v>0</v>
      </c>
      <c r="AU778" s="59">
        <f>IFERROR(VLOOKUP($A778,[2]Mssp!$A$5:$BE$1463,AU$4+1,0),0)</f>
        <v>0</v>
      </c>
      <c r="AV778" s="59">
        <f>IFERROR(VLOOKUP($A778,[2]Mssp!$A$5:$BE$1463,AV$4+1,0),0)</f>
        <v>0</v>
      </c>
      <c r="AW778" s="59">
        <f>IFERROR(VLOOKUP($A778,[2]Mssp!$A$5:$BE$1463,AW$4+1,0),0)</f>
        <v>0</v>
      </c>
      <c r="AX778" s="59">
        <f>IFERROR(VLOOKUP($A778,[2]Mssp!$A$5:$BE$1463,AX$4+1,0),0)</f>
        <v>0</v>
      </c>
      <c r="AY778" s="59">
        <f>IFERROR(VLOOKUP($A778,[2]Mssp!$A$5:$BE$1463,AY$4+2,0),0)</f>
        <v>0</v>
      </c>
      <c r="AZ778" s="59">
        <f>IFERROR(VLOOKUP($A778,[2]Mssp!$A$5:$BE$1463,AZ$4+2,0),0)</f>
        <v>0</v>
      </c>
      <c r="BA778" s="141"/>
      <c r="BB778" s="61" t="s">
        <v>1894</v>
      </c>
      <c r="BC778" s="165"/>
      <c r="BD778" s="166"/>
      <c r="BE778" s="167"/>
      <c r="BF778" s="168"/>
      <c r="BG778" s="167"/>
      <c r="BH778" s="168"/>
      <c r="BI778" s="169"/>
      <c r="BJ778" s="168"/>
      <c r="BK778" s="134"/>
      <c r="BL778" s="168"/>
      <c r="BM778" s="167"/>
      <c r="BN778" s="168"/>
      <c r="BO778" s="62"/>
      <c r="BP778" s="168"/>
      <c r="BQ778" s="168"/>
      <c r="BR778" s="168"/>
      <c r="BS778" s="135"/>
      <c r="BT778" s="176"/>
      <c r="BU778" s="167"/>
      <c r="BV778" s="168"/>
      <c r="BW778" s="167"/>
      <c r="BX778" s="168"/>
      <c r="BY778" s="167"/>
      <c r="BZ778" s="176"/>
      <c r="CA778" s="167"/>
      <c r="CB778" s="168"/>
      <c r="CC778" s="167"/>
      <c r="CD778" s="168"/>
      <c r="CE778" s="62"/>
      <c r="CF778" s="62"/>
      <c r="CG778" s="9"/>
      <c r="CH778" s="9"/>
      <c r="CI778" s="9"/>
      <c r="CJ778" s="9"/>
      <c r="CK778" s="9"/>
      <c r="CL778" s="9"/>
      <c r="CM778" s="9"/>
      <c r="CN778" s="9"/>
      <c r="CO778" s="9"/>
      <c r="CP778" s="9"/>
    </row>
    <row r="779" spans="1:94" ht="45" x14ac:dyDescent="0.25">
      <c r="A779" s="127" t="s">
        <v>2498</v>
      </c>
      <c r="B779" s="51" t="s">
        <v>2499</v>
      </c>
      <c r="C779" s="62"/>
      <c r="D779" s="84">
        <v>3</v>
      </c>
      <c r="E779" s="62" t="s">
        <v>547</v>
      </c>
      <c r="F779" s="62"/>
      <c r="G779" s="62"/>
      <c r="H779" s="50">
        <f>VLOOKUP($A779,'[1]ma sp 02'!$A$5:$BD$1101,H$1,0)</f>
        <v>0</v>
      </c>
      <c r="I779" s="50">
        <f>VLOOKUP($A779,'[1]ma sp 02'!$A$5:$BD$1101,I$1,0)</f>
        <v>0</v>
      </c>
      <c r="J779" s="50">
        <f>VLOOKUP($A779,'[1]ma sp 02'!$A$5:$BD$1101,J$1,0)</f>
        <v>0</v>
      </c>
      <c r="K779" s="50">
        <f>VLOOKUP($A779,'[1]ma sp 02'!$A$5:$BD$1101,K$1,0)</f>
        <v>0</v>
      </c>
      <c r="L779" s="50">
        <f>VLOOKUP($A779,'[1]ma sp 02'!$A$5:$BD$1101,L$1,0)</f>
        <v>0</v>
      </c>
      <c r="M779" s="50">
        <f>VLOOKUP($A779,'[1]ma sp 02'!$A$5:$BD$1101,M$1,0)</f>
        <v>0</v>
      </c>
      <c r="N779" s="50">
        <f>VLOOKUP($A779,'[1]ma sp 02'!$A$5:$BD$1101,N$1,0)</f>
        <v>0</v>
      </c>
      <c r="O779" s="50">
        <f>VLOOKUP($A779,'[1]ma sp 02'!$A$5:$BD$1101,O$1,0)</f>
        <v>0</v>
      </c>
      <c r="P779" s="50">
        <f>VLOOKUP($A779,'[1]ma sp 02'!$A$5:$BD$1101,P$1,0)</f>
        <v>0</v>
      </c>
      <c r="Q779" s="50">
        <f>VLOOKUP($A779,'[1]ma sp 02'!$A$5:$BD$1101,Q$1,0)</f>
        <v>0</v>
      </c>
      <c r="R779" s="50">
        <f>VLOOKUP($A779,'[1]ma sp 02'!$A$5:$BD$1101,R$1,0)</f>
        <v>0</v>
      </c>
      <c r="S779" s="50">
        <f>VLOOKUP($A779,'[1]ma sp 02'!$A$5:$BD$1101,S$1,0)</f>
        <v>0</v>
      </c>
      <c r="T779" s="50">
        <f>VLOOKUP($A779,'[1]ma sp 02'!$A$5:$BD$1101,T$1,0)</f>
        <v>0</v>
      </c>
      <c r="U779" s="50">
        <f>VLOOKUP($A779,'[1]ma sp 02'!$A$5:$BD$1101,U$1,0)</f>
        <v>0</v>
      </c>
      <c r="V779" s="50">
        <f>VLOOKUP($A779,'[1]ma sp 02'!$A$5:$BD$1101,V$1,0)</f>
        <v>0</v>
      </c>
      <c r="W779" s="50">
        <f>VLOOKUP($A779,'[1]ma sp 02'!$A$5:$BD$1101,W$1,0)</f>
        <v>0</v>
      </c>
      <c r="X779" s="50"/>
      <c r="Y779" s="62"/>
      <c r="Z779" s="62"/>
      <c r="AA779" s="62"/>
      <c r="AB779" s="62"/>
      <c r="AC779" s="62"/>
      <c r="AD779" s="62"/>
      <c r="AE779" s="62" t="s">
        <v>2500</v>
      </c>
      <c r="AF779" s="62" t="s">
        <v>2501</v>
      </c>
      <c r="AG779" s="53">
        <f>(0.012*1.4+0.006*2.71+0.07*0.925)*0.71</f>
        <v>6.9445099999999996E-2</v>
      </c>
      <c r="AH779" s="54">
        <f>(2.3/0.75/2)*0.7</f>
        <v>1.0733333333333333</v>
      </c>
      <c r="AI779" s="54">
        <f>(2.3/0.75/2)*0.7</f>
        <v>1.0733333333333333</v>
      </c>
      <c r="AJ779" s="9">
        <v>9530</v>
      </c>
      <c r="AK779" s="9">
        <v>9530</v>
      </c>
      <c r="AL779" s="9" t="s">
        <v>1590</v>
      </c>
      <c r="AM779" s="61" t="s">
        <v>1893</v>
      </c>
      <c r="AN779" s="62">
        <v>160</v>
      </c>
      <c r="AO779" s="61" t="s">
        <v>2497</v>
      </c>
      <c r="AP779" s="59">
        <f>IFERROR(VLOOKUP($A779,[2]Mssp!$A$5:$BE$1463,AP$4+1,0),0)</f>
        <v>0</v>
      </c>
      <c r="AQ779" s="59">
        <f>IFERROR(VLOOKUP($A779,[2]Mssp!$A$5:$BE$1463,AQ$4+1,0),0)</f>
        <v>0</v>
      </c>
      <c r="AR779" s="59">
        <f>IFERROR(VLOOKUP($A779,[2]Mssp!$A$5:$BE$1463,AR$4+1,0),0)</f>
        <v>0</v>
      </c>
      <c r="AS779" s="59">
        <f>IFERROR(VLOOKUP($A779,[2]Mssp!$A$5:$BE$1463,AS$4+1,0),0)</f>
        <v>0</v>
      </c>
      <c r="AT779" s="59">
        <f>IFERROR(VLOOKUP($A779,[2]Mssp!$A$5:$BE$1463,AT$4+1,0),0)</f>
        <v>0</v>
      </c>
      <c r="AU779" s="59">
        <f>IFERROR(VLOOKUP($A779,[2]Mssp!$A$5:$BE$1463,AU$4+1,0),0)</f>
        <v>0</v>
      </c>
      <c r="AV779" s="59">
        <f>IFERROR(VLOOKUP($A779,[2]Mssp!$A$5:$BE$1463,AV$4+1,0),0)</f>
        <v>0</v>
      </c>
      <c r="AW779" s="59">
        <f>IFERROR(VLOOKUP($A779,[2]Mssp!$A$5:$BE$1463,AW$4+1,0),0)</f>
        <v>0</v>
      </c>
      <c r="AX779" s="59">
        <f>IFERROR(VLOOKUP($A779,[2]Mssp!$A$5:$BE$1463,AX$4+1,0),0)</f>
        <v>0</v>
      </c>
      <c r="AY779" s="59">
        <f>IFERROR(VLOOKUP($A779,[2]Mssp!$A$5:$BE$1463,AY$4+2,0),0)</f>
        <v>0</v>
      </c>
      <c r="AZ779" s="59">
        <f>IFERROR(VLOOKUP($A779,[2]Mssp!$A$5:$BE$1463,AZ$4+2,0),0)</f>
        <v>0</v>
      </c>
      <c r="BA779" s="141"/>
      <c r="BB779" s="61" t="s">
        <v>1894</v>
      </c>
      <c r="BC779" s="165"/>
      <c r="BD779" s="166"/>
      <c r="BE779" s="167"/>
      <c r="BF779" s="168"/>
      <c r="BG779" s="167"/>
      <c r="BH779" s="168"/>
      <c r="BI779" s="169"/>
      <c r="BJ779" s="168"/>
      <c r="BK779" s="134"/>
      <c r="BL779" s="168"/>
      <c r="BM779" s="167"/>
      <c r="BN779" s="168"/>
      <c r="BO779" s="62"/>
      <c r="BP779" s="168"/>
      <c r="BQ779" s="168"/>
      <c r="BR779" s="168"/>
      <c r="BS779" s="135"/>
      <c r="BT779" s="176"/>
      <c r="BU779" s="167"/>
      <c r="BV779" s="168"/>
      <c r="BW779" s="167"/>
      <c r="BX779" s="168"/>
      <c r="BY779" s="167"/>
      <c r="BZ779" s="176"/>
      <c r="CA779" s="167"/>
      <c r="CB779" s="168"/>
      <c r="CC779" s="167"/>
      <c r="CD779" s="168"/>
      <c r="CE779" s="62"/>
      <c r="CF779" s="62"/>
      <c r="CG779" s="9"/>
      <c r="CH779" s="9"/>
      <c r="CI779" s="9"/>
      <c r="CJ779" s="9"/>
      <c r="CK779" s="9"/>
      <c r="CL779" s="9"/>
      <c r="CM779" s="9"/>
      <c r="CN779" s="9"/>
      <c r="CO779" s="9"/>
      <c r="CP779" s="9"/>
    </row>
    <row r="780" spans="1:94" ht="30" x14ac:dyDescent="0.25">
      <c r="A780" s="127" t="s">
        <v>2502</v>
      </c>
      <c r="B780" s="51" t="s">
        <v>2503</v>
      </c>
      <c r="C780" s="62"/>
      <c r="D780" s="84">
        <v>3</v>
      </c>
      <c r="E780" s="62" t="s">
        <v>212</v>
      </c>
      <c r="F780" s="62">
        <v>1</v>
      </c>
      <c r="G780" s="62"/>
      <c r="H780" s="50">
        <f>VLOOKUP($A780,'[1]ma sp 02'!$A$5:$BD$1101,H$1,0)</f>
        <v>0</v>
      </c>
      <c r="I780" s="50">
        <f>VLOOKUP($A780,'[1]ma sp 02'!$A$5:$BD$1101,I$1,0)</f>
        <v>0</v>
      </c>
      <c r="J780" s="50">
        <f>VLOOKUP($A780,'[1]ma sp 02'!$A$5:$BD$1101,J$1,0)</f>
        <v>1.1240000000000001</v>
      </c>
      <c r="K780" s="50">
        <f>VLOOKUP($A780,'[1]ma sp 02'!$A$5:$BD$1101,K$1,0)</f>
        <v>0</v>
      </c>
      <c r="L780" s="50">
        <f>VLOOKUP($A780,'[1]ma sp 02'!$A$5:$BD$1101,L$1,0)</f>
        <v>3.09</v>
      </c>
      <c r="M780" s="50">
        <f>VLOOKUP($A780,'[1]ma sp 02'!$A$5:$BD$1101,M$1,0)</f>
        <v>0</v>
      </c>
      <c r="N780" s="50">
        <f>VLOOKUP($A780,'[1]ma sp 02'!$A$5:$BD$1101,N$1,0)</f>
        <v>0</v>
      </c>
      <c r="O780" s="50">
        <f>VLOOKUP($A780,'[1]ma sp 02'!$A$5:$BD$1101,O$1,0)</f>
        <v>0.01</v>
      </c>
      <c r="P780" s="50">
        <f>VLOOKUP($A780,'[1]ma sp 02'!$A$5:$BD$1101,P$1,0)</f>
        <v>0</v>
      </c>
      <c r="Q780" s="50">
        <f>VLOOKUP($A780,'[1]ma sp 02'!$A$5:$BD$1101,Q$1,0)</f>
        <v>0</v>
      </c>
      <c r="R780" s="50">
        <f>VLOOKUP($A780,'[1]ma sp 02'!$A$5:$BD$1101,R$1,0)</f>
        <v>0</v>
      </c>
      <c r="S780" s="50">
        <f>VLOOKUP($A780,'[1]ma sp 02'!$A$5:$BD$1101,S$1,0)</f>
        <v>0</v>
      </c>
      <c r="T780" s="50">
        <f>VLOOKUP($A780,'[1]ma sp 02'!$A$5:$BD$1101,T$1,0)</f>
        <v>0</v>
      </c>
      <c r="U780" s="50">
        <f>VLOOKUP($A780,'[1]ma sp 02'!$A$5:$BD$1101,U$1,0)</f>
        <v>0</v>
      </c>
      <c r="V780" s="50">
        <f>VLOOKUP($A780,'[1]ma sp 02'!$A$5:$BD$1101,V$1,0)</f>
        <v>0</v>
      </c>
      <c r="W780" s="50">
        <f>VLOOKUP($A780,'[1]ma sp 02'!$A$5:$BD$1101,W$1,0)</f>
        <v>0</v>
      </c>
      <c r="X780" s="50"/>
      <c r="Y780" s="62"/>
      <c r="Z780" s="62"/>
      <c r="AA780" s="62"/>
      <c r="AB780" s="62"/>
      <c r="AC780" s="62"/>
      <c r="AD780" s="62"/>
      <c r="AE780" s="62" t="s">
        <v>1721</v>
      </c>
      <c r="AF780" s="62" t="s">
        <v>2504</v>
      </c>
      <c r="AG780" s="53">
        <f>(0.02*0.91+0.006*2.71+0.055*0.925)*0.62</f>
        <v>5.2907700000000002E-2</v>
      </c>
      <c r="AH780" s="54">
        <f>(2.5/0.75/2)*0.61</f>
        <v>1.0166666666666666</v>
      </c>
      <c r="AI780" s="54">
        <f>(2.5/0.75/2)*0.61</f>
        <v>1.0166666666666666</v>
      </c>
      <c r="AJ780" s="9">
        <v>9530</v>
      </c>
      <c r="AK780" s="9">
        <v>9530</v>
      </c>
      <c r="AL780" s="9" t="s">
        <v>1901</v>
      </c>
      <c r="AM780" s="61" t="s">
        <v>1893</v>
      </c>
      <c r="AN780" s="62">
        <v>160</v>
      </c>
      <c r="AO780" s="61" t="s">
        <v>1959</v>
      </c>
      <c r="AP780" s="59" t="str">
        <f>IFERROR(VLOOKUP($A780,[2]Mssp!$A$5:$BE$1463,AP$4+1,0),0)</f>
        <v>20090313-1</v>
      </c>
      <c r="AQ780" s="59">
        <f>IFERROR(VLOOKUP($A780,[2]Mssp!$A$5:$BE$1463,AQ$4+1,0),0)</f>
        <v>0</v>
      </c>
      <c r="AR780" s="59">
        <f>IFERROR(VLOOKUP($A780,[2]Mssp!$A$5:$BE$1463,AR$4+1,0),0)</f>
        <v>0</v>
      </c>
      <c r="AS780" s="59">
        <f>IFERROR(VLOOKUP($A780,[2]Mssp!$A$5:$BE$1463,AS$4+1,0),0)</f>
        <v>0</v>
      </c>
      <c r="AT780" s="59">
        <f>IFERROR(VLOOKUP($A780,[2]Mssp!$A$5:$BE$1463,AT$4+1,0),0)</f>
        <v>0</v>
      </c>
      <c r="AU780" s="59">
        <f>IFERROR(VLOOKUP($A780,[2]Mssp!$A$5:$BE$1463,AU$4+1,0),0)</f>
        <v>0</v>
      </c>
      <c r="AV780" s="59">
        <f>IFERROR(VLOOKUP($A780,[2]Mssp!$A$5:$BE$1463,AV$4+1,0),0)</f>
        <v>0</v>
      </c>
      <c r="AW780" s="59">
        <f>IFERROR(VLOOKUP($A780,[2]Mssp!$A$5:$BE$1463,AW$4+1,0),0)</f>
        <v>0</v>
      </c>
      <c r="AX780" s="59">
        <f>IFERROR(VLOOKUP($A780,[2]Mssp!$A$5:$BE$1463,AX$4+1,0),0)</f>
        <v>0</v>
      </c>
      <c r="AY780" s="59" t="str">
        <f>IFERROR(VLOOKUP($A780,[2]Mssp!$A$5:$BE$1463,AY$4+2,0),0)</f>
        <v>480x870</v>
      </c>
      <c r="AZ780" s="59">
        <f>IFERROR(VLOOKUP($A780,[2]Mssp!$A$5:$BE$1463,AZ$4+2,0),0)</f>
        <v>0</v>
      </c>
      <c r="BA780" s="141"/>
      <c r="BB780" s="61" t="s">
        <v>1894</v>
      </c>
      <c r="BC780" s="165"/>
      <c r="BD780" s="166"/>
      <c r="BE780" s="167"/>
      <c r="BF780" s="168"/>
      <c r="BG780" s="167"/>
      <c r="BH780" s="168"/>
      <c r="BI780" s="169"/>
      <c r="BJ780" s="168"/>
      <c r="BK780" s="134"/>
      <c r="BL780" s="168"/>
      <c r="BM780" s="167"/>
      <c r="BN780" s="168"/>
      <c r="BO780" s="62"/>
      <c r="BP780" s="168"/>
      <c r="BQ780" s="168"/>
      <c r="BR780" s="168"/>
      <c r="BS780" s="135"/>
      <c r="BT780" s="176"/>
      <c r="BU780" s="167"/>
      <c r="BV780" s="168"/>
      <c r="BW780" s="167"/>
      <c r="BX780" s="168"/>
      <c r="BY780" s="167"/>
      <c r="BZ780" s="176"/>
      <c r="CA780" s="167"/>
      <c r="CB780" s="168"/>
      <c r="CC780" s="167"/>
      <c r="CD780" s="168"/>
      <c r="CE780" s="62"/>
      <c r="CF780" s="62"/>
      <c r="CG780" s="9"/>
      <c r="CH780" s="9"/>
      <c r="CI780" s="9"/>
      <c r="CJ780" s="9"/>
      <c r="CK780" s="9"/>
      <c r="CL780" s="9"/>
      <c r="CM780" s="9"/>
      <c r="CN780" s="9"/>
      <c r="CO780" s="9"/>
      <c r="CP780" s="9"/>
    </row>
    <row r="781" spans="1:94" ht="45" x14ac:dyDescent="0.25">
      <c r="A781" s="127" t="s">
        <v>2505</v>
      </c>
      <c r="B781" s="51" t="s">
        <v>2506</v>
      </c>
      <c r="C781" s="62"/>
      <c r="D781" s="84">
        <v>1</v>
      </c>
      <c r="E781" s="62" t="s">
        <v>82</v>
      </c>
      <c r="F781" s="62">
        <v>8</v>
      </c>
      <c r="G781" s="62"/>
      <c r="H781" s="50">
        <f>VLOOKUP($A781,'[1]ma sp 02'!$A$5:$BD$1101,H$1,0)</f>
        <v>0</v>
      </c>
      <c r="I781" s="50">
        <f>VLOOKUP($A781,'[1]ma sp 02'!$A$5:$BD$1101,I$1,0)</f>
        <v>0</v>
      </c>
      <c r="J781" s="50">
        <f>VLOOKUP($A781,'[1]ma sp 02'!$A$5:$BD$1101,J$1,0)</f>
        <v>0</v>
      </c>
      <c r="K781" s="50">
        <f>VLOOKUP($A781,'[1]ma sp 02'!$A$5:$BD$1101,K$1,0)</f>
        <v>0</v>
      </c>
      <c r="L781" s="50">
        <f>VLOOKUP($A781,'[1]ma sp 02'!$A$5:$BD$1101,L$1,0)</f>
        <v>0</v>
      </c>
      <c r="M781" s="50">
        <f>VLOOKUP($A781,'[1]ma sp 02'!$A$5:$BD$1101,M$1,0)</f>
        <v>0</v>
      </c>
      <c r="N781" s="50">
        <f>VLOOKUP($A781,'[1]ma sp 02'!$A$5:$BD$1101,N$1,0)</f>
        <v>0</v>
      </c>
      <c r="O781" s="50">
        <f>VLOOKUP($A781,'[1]ma sp 02'!$A$5:$BD$1101,O$1,0)</f>
        <v>0</v>
      </c>
      <c r="P781" s="50">
        <f>VLOOKUP($A781,'[1]ma sp 02'!$A$5:$BD$1101,P$1,0)</f>
        <v>0</v>
      </c>
      <c r="Q781" s="50">
        <f>VLOOKUP($A781,'[1]ma sp 02'!$A$5:$BD$1101,Q$1,0)</f>
        <v>0</v>
      </c>
      <c r="R781" s="50">
        <f>VLOOKUP($A781,'[1]ma sp 02'!$A$5:$BD$1101,R$1,0)</f>
        <v>0</v>
      </c>
      <c r="S781" s="50">
        <f>VLOOKUP($A781,'[1]ma sp 02'!$A$5:$BD$1101,S$1,0)</f>
        <v>0</v>
      </c>
      <c r="T781" s="50">
        <f>VLOOKUP($A781,'[1]ma sp 02'!$A$5:$BD$1101,T$1,0)</f>
        <v>0</v>
      </c>
      <c r="U781" s="50">
        <f>VLOOKUP($A781,'[1]ma sp 02'!$A$5:$BD$1101,U$1,0)</f>
        <v>0</v>
      </c>
      <c r="V781" s="50">
        <f>VLOOKUP($A781,'[1]ma sp 02'!$A$5:$BD$1101,V$1,0)</f>
        <v>0</v>
      </c>
      <c r="W781" s="50">
        <f>VLOOKUP($A781,'[1]ma sp 02'!$A$5:$BD$1101,W$1,0)</f>
        <v>0</v>
      </c>
      <c r="X781" s="50"/>
      <c r="Y781" s="62"/>
      <c r="Z781" s="62"/>
      <c r="AA781" s="62"/>
      <c r="AB781" s="62"/>
      <c r="AC781" s="62"/>
      <c r="AD781" s="62"/>
      <c r="AE781" s="62" t="s">
        <v>2507</v>
      </c>
      <c r="AF781" s="62"/>
      <c r="AG781" s="53">
        <f>(0.012*1.4+0.11*0.925)*0.67</f>
        <v>7.9428500000000013E-2</v>
      </c>
      <c r="AH781" s="54">
        <f>(3/0.75/2)*0.66</f>
        <v>1.32</v>
      </c>
      <c r="AI781" s="9"/>
      <c r="AJ781" s="9">
        <v>9530</v>
      </c>
      <c r="AK781" s="9"/>
      <c r="AL781" s="9">
        <v>3.0000000000000001E-3</v>
      </c>
      <c r="AM781" s="61" t="s">
        <v>2508</v>
      </c>
      <c r="AN781" s="62">
        <v>190</v>
      </c>
      <c r="AO781" s="61" t="s">
        <v>2487</v>
      </c>
      <c r="AP781" s="59">
        <f>IFERROR(VLOOKUP($A781,[2]Mssp!$A$5:$BE$1463,AP$4+1,0),0)</f>
        <v>0</v>
      </c>
      <c r="AQ781" s="59">
        <f>IFERROR(VLOOKUP($A781,[2]Mssp!$A$5:$BE$1463,AQ$4+1,0),0)</f>
        <v>0</v>
      </c>
      <c r="AR781" s="59">
        <f>IFERROR(VLOOKUP($A781,[2]Mssp!$A$5:$BE$1463,AR$4+1,0),0)</f>
        <v>0</v>
      </c>
      <c r="AS781" s="59">
        <f>IFERROR(VLOOKUP($A781,[2]Mssp!$A$5:$BE$1463,AS$4+1,0),0)</f>
        <v>0</v>
      </c>
      <c r="AT781" s="59">
        <f>IFERROR(VLOOKUP($A781,[2]Mssp!$A$5:$BE$1463,AT$4+1,0),0)</f>
        <v>0</v>
      </c>
      <c r="AU781" s="59">
        <f>IFERROR(VLOOKUP($A781,[2]Mssp!$A$5:$BE$1463,AU$4+1,0),0)</f>
        <v>0</v>
      </c>
      <c r="AV781" s="59">
        <f>IFERROR(VLOOKUP($A781,[2]Mssp!$A$5:$BE$1463,AV$4+1,0),0)</f>
        <v>0</v>
      </c>
      <c r="AW781" s="59">
        <f>IFERROR(VLOOKUP($A781,[2]Mssp!$A$5:$BE$1463,AW$4+1,0),0)</f>
        <v>0</v>
      </c>
      <c r="AX781" s="59">
        <f>IFERROR(VLOOKUP($A781,[2]Mssp!$A$5:$BE$1463,AX$4+1,0),0)</f>
        <v>0</v>
      </c>
      <c r="AY781" s="59">
        <f>IFERROR(VLOOKUP($A781,[2]Mssp!$A$5:$BE$1463,AY$4+2,0),0)</f>
        <v>0</v>
      </c>
      <c r="AZ781" s="59">
        <f>IFERROR(VLOOKUP($A781,[2]Mssp!$A$5:$BE$1463,AZ$4+2,0),0)</f>
        <v>0</v>
      </c>
      <c r="BA781" s="141"/>
      <c r="BB781" s="61" t="s">
        <v>1894</v>
      </c>
      <c r="BC781" s="165"/>
      <c r="BD781" s="166"/>
      <c r="BE781" s="167"/>
      <c r="BF781" s="168"/>
      <c r="BG781" s="167"/>
      <c r="BH781" s="168"/>
      <c r="BI781" s="169"/>
      <c r="BJ781" s="168"/>
      <c r="BK781" s="134"/>
      <c r="BL781" s="168"/>
      <c r="BM781" s="167"/>
      <c r="BN781" s="168"/>
      <c r="BO781" s="62"/>
      <c r="BP781" s="168"/>
      <c r="BQ781" s="168"/>
      <c r="BR781" s="168"/>
      <c r="BS781" s="135"/>
      <c r="BT781" s="176"/>
      <c r="BU781" s="167"/>
      <c r="BV781" s="168"/>
      <c r="BW781" s="167"/>
      <c r="BX781" s="168"/>
      <c r="BY781" s="167"/>
      <c r="BZ781" s="176"/>
      <c r="CA781" s="167"/>
      <c r="CB781" s="168"/>
      <c r="CC781" s="167"/>
      <c r="CD781" s="168"/>
      <c r="CE781" s="62"/>
      <c r="CF781" s="62"/>
      <c r="CG781" s="9"/>
      <c r="CH781" s="9"/>
      <c r="CI781" s="9"/>
      <c r="CJ781" s="9"/>
      <c r="CK781" s="9"/>
      <c r="CL781" s="9"/>
      <c r="CM781" s="9"/>
      <c r="CN781" s="9"/>
      <c r="CO781" s="9"/>
      <c r="CP781" s="9"/>
    </row>
    <row r="782" spans="1:94" ht="45" x14ac:dyDescent="0.25">
      <c r="A782" s="127" t="s">
        <v>2509</v>
      </c>
      <c r="B782" s="51" t="s">
        <v>2510</v>
      </c>
      <c r="C782" s="62"/>
      <c r="D782" s="84">
        <v>1</v>
      </c>
      <c r="E782" s="62" t="s">
        <v>393</v>
      </c>
      <c r="F782" s="62">
        <v>8</v>
      </c>
      <c r="G782" s="62"/>
      <c r="H782" s="50">
        <f>VLOOKUP($A782,'[1]ma sp 02'!$A$5:$BD$1101,H$1,0)</f>
        <v>0</v>
      </c>
      <c r="I782" s="50">
        <f>VLOOKUP($A782,'[1]ma sp 02'!$A$5:$BD$1101,I$1,0)</f>
        <v>0</v>
      </c>
      <c r="J782" s="50">
        <f>VLOOKUP($A782,'[1]ma sp 02'!$A$5:$BD$1101,J$1,0)</f>
        <v>0</v>
      </c>
      <c r="K782" s="50">
        <f>VLOOKUP($A782,'[1]ma sp 02'!$A$5:$BD$1101,K$1,0)</f>
        <v>0</v>
      </c>
      <c r="L782" s="50">
        <f>VLOOKUP($A782,'[1]ma sp 02'!$A$5:$BD$1101,L$1,0)</f>
        <v>0</v>
      </c>
      <c r="M782" s="50">
        <f>VLOOKUP($A782,'[1]ma sp 02'!$A$5:$BD$1101,M$1,0)</f>
        <v>0</v>
      </c>
      <c r="N782" s="50">
        <f>VLOOKUP($A782,'[1]ma sp 02'!$A$5:$BD$1101,N$1,0)</f>
        <v>0</v>
      </c>
      <c r="O782" s="50">
        <f>VLOOKUP($A782,'[1]ma sp 02'!$A$5:$BD$1101,O$1,0)</f>
        <v>0</v>
      </c>
      <c r="P782" s="50">
        <f>VLOOKUP($A782,'[1]ma sp 02'!$A$5:$BD$1101,P$1,0)</f>
        <v>0</v>
      </c>
      <c r="Q782" s="50">
        <f>VLOOKUP($A782,'[1]ma sp 02'!$A$5:$BD$1101,Q$1,0)</f>
        <v>0</v>
      </c>
      <c r="R782" s="50">
        <f>VLOOKUP($A782,'[1]ma sp 02'!$A$5:$BD$1101,R$1,0)</f>
        <v>0</v>
      </c>
      <c r="S782" s="50">
        <f>VLOOKUP($A782,'[1]ma sp 02'!$A$5:$BD$1101,S$1,0)</f>
        <v>0</v>
      </c>
      <c r="T782" s="50">
        <f>VLOOKUP($A782,'[1]ma sp 02'!$A$5:$BD$1101,T$1,0)</f>
        <v>0</v>
      </c>
      <c r="U782" s="50">
        <f>VLOOKUP($A782,'[1]ma sp 02'!$A$5:$BD$1101,U$1,0)</f>
        <v>0</v>
      </c>
      <c r="V782" s="50">
        <f>VLOOKUP($A782,'[1]ma sp 02'!$A$5:$BD$1101,V$1,0)</f>
        <v>0</v>
      </c>
      <c r="W782" s="50">
        <f>VLOOKUP($A782,'[1]ma sp 02'!$A$5:$BD$1101,W$1,0)</f>
        <v>0</v>
      </c>
      <c r="X782" s="50"/>
      <c r="Y782" s="62"/>
      <c r="Z782" s="62"/>
      <c r="AA782" s="62"/>
      <c r="AB782" s="62"/>
      <c r="AC782" s="62"/>
      <c r="AD782" s="62"/>
      <c r="AE782" s="62" t="s">
        <v>2511</v>
      </c>
      <c r="AF782" s="62"/>
      <c r="AG782" s="53">
        <f>(0.012*1.4+0.11*0.925)*0.67</f>
        <v>7.9428500000000013E-2</v>
      </c>
      <c r="AH782" s="54">
        <f>(3/0.75/2)*0.66</f>
        <v>1.32</v>
      </c>
      <c r="AI782" s="9"/>
      <c r="AJ782" s="9">
        <v>9530</v>
      </c>
      <c r="AK782" s="9"/>
      <c r="AL782" s="9">
        <v>3.0000000000000001E-3</v>
      </c>
      <c r="AM782" s="61" t="s">
        <v>2508</v>
      </c>
      <c r="AN782" s="62">
        <v>190</v>
      </c>
      <c r="AO782" s="61" t="s">
        <v>2487</v>
      </c>
      <c r="AP782" s="59">
        <f>IFERROR(VLOOKUP($A782,[2]Mssp!$A$5:$BE$1463,AP$4+1,0),0)</f>
        <v>0</v>
      </c>
      <c r="AQ782" s="59">
        <f>IFERROR(VLOOKUP($A782,[2]Mssp!$A$5:$BE$1463,AQ$4+1,0),0)</f>
        <v>0</v>
      </c>
      <c r="AR782" s="59">
        <f>IFERROR(VLOOKUP($A782,[2]Mssp!$A$5:$BE$1463,AR$4+1,0),0)</f>
        <v>0</v>
      </c>
      <c r="AS782" s="59">
        <f>IFERROR(VLOOKUP($A782,[2]Mssp!$A$5:$BE$1463,AS$4+1,0),0)</f>
        <v>0</v>
      </c>
      <c r="AT782" s="59">
        <f>IFERROR(VLOOKUP($A782,[2]Mssp!$A$5:$BE$1463,AT$4+1,0),0)</f>
        <v>0</v>
      </c>
      <c r="AU782" s="59">
        <f>IFERROR(VLOOKUP($A782,[2]Mssp!$A$5:$BE$1463,AU$4+1,0),0)</f>
        <v>0</v>
      </c>
      <c r="AV782" s="59">
        <f>IFERROR(VLOOKUP($A782,[2]Mssp!$A$5:$BE$1463,AV$4+1,0),0)</f>
        <v>0</v>
      </c>
      <c r="AW782" s="59">
        <f>IFERROR(VLOOKUP($A782,[2]Mssp!$A$5:$BE$1463,AW$4+1,0),0)</f>
        <v>0</v>
      </c>
      <c r="AX782" s="59">
        <f>IFERROR(VLOOKUP($A782,[2]Mssp!$A$5:$BE$1463,AX$4+1,0),0)</f>
        <v>0</v>
      </c>
      <c r="AY782" s="59">
        <f>IFERROR(VLOOKUP($A782,[2]Mssp!$A$5:$BE$1463,AY$4+2,0),0)</f>
        <v>0</v>
      </c>
      <c r="AZ782" s="59">
        <f>IFERROR(VLOOKUP($A782,[2]Mssp!$A$5:$BE$1463,AZ$4+2,0),0)</f>
        <v>0</v>
      </c>
      <c r="BA782" s="141"/>
      <c r="BB782" s="61" t="s">
        <v>1894</v>
      </c>
      <c r="BC782" s="165"/>
      <c r="BD782" s="166"/>
      <c r="BE782" s="167"/>
      <c r="BF782" s="168"/>
      <c r="BG782" s="167"/>
      <c r="BH782" s="168"/>
      <c r="BI782" s="169"/>
      <c r="BJ782" s="168"/>
      <c r="BK782" s="134"/>
      <c r="BL782" s="168"/>
      <c r="BM782" s="167"/>
      <c r="BN782" s="168"/>
      <c r="BO782" s="62"/>
      <c r="BP782" s="168"/>
      <c r="BQ782" s="168"/>
      <c r="BR782" s="168"/>
      <c r="BS782" s="135"/>
      <c r="BT782" s="176"/>
      <c r="BU782" s="167"/>
      <c r="BV782" s="168"/>
      <c r="BW782" s="167"/>
      <c r="BX782" s="168"/>
      <c r="BY782" s="167"/>
      <c r="BZ782" s="176"/>
      <c r="CA782" s="167"/>
      <c r="CB782" s="168"/>
      <c r="CC782" s="167"/>
      <c r="CD782" s="168"/>
      <c r="CE782" s="62"/>
      <c r="CF782" s="62"/>
      <c r="CG782" s="9"/>
      <c r="CH782" s="9"/>
      <c r="CI782" s="9"/>
      <c r="CJ782" s="9"/>
      <c r="CK782" s="9"/>
      <c r="CL782" s="9"/>
      <c r="CM782" s="9"/>
      <c r="CN782" s="9"/>
      <c r="CO782" s="9"/>
      <c r="CP782" s="9"/>
    </row>
    <row r="783" spans="1:94" ht="30" x14ac:dyDescent="0.25">
      <c r="A783" s="127" t="s">
        <v>2512</v>
      </c>
      <c r="B783" s="51" t="s">
        <v>2513</v>
      </c>
      <c r="C783" s="62"/>
      <c r="D783" s="84">
        <v>3</v>
      </c>
      <c r="E783" s="62" t="s">
        <v>841</v>
      </c>
      <c r="F783" s="62">
        <v>5</v>
      </c>
      <c r="G783" s="62" t="s">
        <v>184</v>
      </c>
      <c r="H783" s="50">
        <f>VLOOKUP($A783,'[1]ma sp 02'!$A$5:$BD$1101,H$1,0)</f>
        <v>4.3999999999999997E-2</v>
      </c>
      <c r="I783" s="50">
        <f>VLOOKUP($A783,'[1]ma sp 02'!$A$5:$BD$1101,I$1,0)</f>
        <v>3.0510000000000002</v>
      </c>
      <c r="J783" s="50">
        <f>VLOOKUP($A783,'[1]ma sp 02'!$A$5:$BD$1101,J$1,0)</f>
        <v>0.01</v>
      </c>
      <c r="K783" s="50">
        <f>VLOOKUP($A783,'[1]ma sp 02'!$A$5:$BD$1101,K$1,0)</f>
        <v>0.01</v>
      </c>
      <c r="L783" s="50">
        <f>VLOOKUP($A783,'[1]ma sp 02'!$A$5:$BD$1101,L$1,0)</f>
        <v>0.65400000000000003</v>
      </c>
      <c r="M783" s="50">
        <f>VLOOKUP($A783,'[1]ma sp 02'!$A$5:$BD$1101,M$1,0)</f>
        <v>1.9179999999999999</v>
      </c>
      <c r="N783" s="50">
        <f>VLOOKUP($A783,'[1]ma sp 02'!$A$5:$BD$1101,N$1,0)</f>
        <v>0</v>
      </c>
      <c r="O783" s="50">
        <f>VLOOKUP($A783,'[1]ma sp 02'!$A$5:$BD$1101,O$1,0)</f>
        <v>0</v>
      </c>
      <c r="P783" s="50">
        <f>VLOOKUP($A783,'[1]ma sp 02'!$A$5:$BD$1101,P$1,0)</f>
        <v>0</v>
      </c>
      <c r="Q783" s="50">
        <f>VLOOKUP($A783,'[1]ma sp 02'!$A$5:$BD$1101,Q$1,0)</f>
        <v>0.26200000000000001</v>
      </c>
      <c r="R783" s="50">
        <f>VLOOKUP($A783,'[1]ma sp 02'!$A$5:$BD$1101,R$1,0)</f>
        <v>0</v>
      </c>
      <c r="S783" s="50">
        <f>VLOOKUP($A783,'[1]ma sp 02'!$A$5:$BD$1101,S$1,0)</f>
        <v>0</v>
      </c>
      <c r="T783" s="50">
        <f>VLOOKUP($A783,'[1]ma sp 02'!$A$5:$BD$1101,T$1,0)</f>
        <v>0</v>
      </c>
      <c r="U783" s="50">
        <f>VLOOKUP($A783,'[1]ma sp 02'!$A$5:$BD$1101,U$1,0)</f>
        <v>0</v>
      </c>
      <c r="V783" s="50">
        <f>VLOOKUP($A783,'[1]ma sp 02'!$A$5:$BD$1101,V$1,0)</f>
        <v>0</v>
      </c>
      <c r="W783" s="50">
        <f>VLOOKUP($A783,'[1]ma sp 02'!$A$5:$BD$1101,W$1,0)</f>
        <v>0</v>
      </c>
      <c r="X783" s="50"/>
      <c r="Y783" s="62"/>
      <c r="Z783" s="62"/>
      <c r="AA783" s="62"/>
      <c r="AB783" s="62"/>
      <c r="AC783" s="62"/>
      <c r="AD783" s="62"/>
      <c r="AE783" s="62" t="s">
        <v>115</v>
      </c>
      <c r="AF783" s="62" t="s">
        <v>321</v>
      </c>
      <c r="AG783" s="53">
        <f>(0.03*0.91+0.012*1.4+0.075*0.925)*0.74</f>
        <v>8.3971500000000004E-2</v>
      </c>
      <c r="AH783" s="54">
        <f>(2.3/0.75/2)*0.73</f>
        <v>1.1193333333333333</v>
      </c>
      <c r="AI783" s="54">
        <f>(2.3/0.75/2)*0.73</f>
        <v>1.1193333333333333</v>
      </c>
      <c r="AJ783" s="62">
        <v>9530</v>
      </c>
      <c r="AK783" s="62">
        <v>9530</v>
      </c>
      <c r="AL783" s="9" t="s">
        <v>1682</v>
      </c>
      <c r="AM783" s="61" t="s">
        <v>74</v>
      </c>
      <c r="AN783" s="62">
        <v>180</v>
      </c>
      <c r="AO783" s="61" t="s">
        <v>2514</v>
      </c>
      <c r="AP783" s="59" t="str">
        <f>IFERROR(VLOOKUP($A783,[2]Mssp!$A$5:$BE$1463,AP$4+1,0),0)</f>
        <v>19061016-1</v>
      </c>
      <c r="AQ783" s="59" t="str">
        <f>IFERROR(VLOOKUP($A783,[2]Mssp!$A$5:$BE$1463,AQ$4+1,0),0)</f>
        <v>19061016-2</v>
      </c>
      <c r="AR783" s="59" t="str">
        <f>IFERROR(VLOOKUP($A783,[2]Mssp!$A$5:$BE$1463,AR$4+1,0),0)</f>
        <v>19061016-3</v>
      </c>
      <c r="AS783" s="59" t="str">
        <f>IFERROR(VLOOKUP($A783,[2]Mssp!$A$5:$BE$1463,AS$4+1,0),0)</f>
        <v>19061016-4</v>
      </c>
      <c r="AT783" s="59" t="str">
        <f>IFERROR(VLOOKUP($A783,[2]Mssp!$A$5:$BE$1463,AT$4+1,0),0)</f>
        <v>19061016-5</v>
      </c>
      <c r="AU783" s="59">
        <f>IFERROR(VLOOKUP($A783,[2]Mssp!$A$5:$BE$1463,AU$4+1,0),0)</f>
        <v>0</v>
      </c>
      <c r="AV783" s="59">
        <f>IFERROR(VLOOKUP($A783,[2]Mssp!$A$5:$BE$1463,AV$4+1,0),0)</f>
        <v>0</v>
      </c>
      <c r="AW783" s="59">
        <f>IFERROR(VLOOKUP($A783,[2]Mssp!$A$5:$BE$1463,AW$4+1,0),0)</f>
        <v>0</v>
      </c>
      <c r="AX783" s="59">
        <f>IFERROR(VLOOKUP($A783,[2]Mssp!$A$5:$BE$1463,AX$4+1,0),0)</f>
        <v>0</v>
      </c>
      <c r="AY783" s="59" t="str">
        <f>IFERROR(VLOOKUP($A783,[2]Mssp!$A$5:$BE$1463,AY$4+2,0),0)</f>
        <v>720x800</v>
      </c>
      <c r="AZ783" s="59">
        <f>IFERROR(VLOOKUP($A783,[2]Mssp!$A$5:$BE$1463,AZ$4+2,0),0)</f>
        <v>0</v>
      </c>
      <c r="BA783" s="141"/>
      <c r="BB783" s="61" t="s">
        <v>1894</v>
      </c>
      <c r="BC783" s="165"/>
      <c r="BD783" s="166"/>
      <c r="BE783" s="167"/>
      <c r="BF783" s="168"/>
      <c r="BG783" s="167"/>
      <c r="BH783" s="168"/>
      <c r="BI783" s="169"/>
      <c r="BJ783" s="168"/>
      <c r="BK783" s="134"/>
      <c r="BL783" s="168"/>
      <c r="BM783" s="167"/>
      <c r="BN783" s="168"/>
      <c r="BO783" s="62"/>
      <c r="BP783" s="168"/>
      <c r="BQ783" s="168"/>
      <c r="BR783" s="168"/>
      <c r="BS783" s="135"/>
      <c r="BT783" s="176"/>
      <c r="BU783" s="167"/>
      <c r="BV783" s="168"/>
      <c r="BW783" s="167"/>
      <c r="BX783" s="168"/>
      <c r="BY783" s="167"/>
      <c r="BZ783" s="176"/>
      <c r="CA783" s="167"/>
      <c r="CB783" s="168"/>
      <c r="CC783" s="167"/>
      <c r="CD783" s="168"/>
      <c r="CE783" s="62"/>
      <c r="CF783" s="62"/>
      <c r="CG783" s="9"/>
      <c r="CH783" s="9"/>
      <c r="CI783" s="9"/>
      <c r="CJ783" s="9"/>
      <c r="CK783" s="9"/>
      <c r="CL783" s="9"/>
      <c r="CM783" s="9"/>
      <c r="CN783" s="9"/>
      <c r="CO783" s="9"/>
      <c r="CP783" s="9"/>
    </row>
    <row r="784" spans="1:94" ht="45" x14ac:dyDescent="0.25">
      <c r="A784" s="127" t="s">
        <v>2515</v>
      </c>
      <c r="B784" s="51" t="s">
        <v>2516</v>
      </c>
      <c r="C784" s="62"/>
      <c r="D784" s="84">
        <v>3</v>
      </c>
      <c r="E784" s="62" t="s">
        <v>2517</v>
      </c>
      <c r="F784" s="62"/>
      <c r="G784" s="62"/>
      <c r="H784" s="50">
        <f>VLOOKUP($A784,'[1]ma sp 02'!$A$5:$BD$1101,H$1,0)</f>
        <v>0</v>
      </c>
      <c r="I784" s="50">
        <f>VLOOKUP($A784,'[1]ma sp 02'!$A$5:$BD$1101,I$1,0)</f>
        <v>0</v>
      </c>
      <c r="J784" s="50">
        <f>VLOOKUP($A784,'[1]ma sp 02'!$A$5:$BD$1101,J$1,0)</f>
        <v>0</v>
      </c>
      <c r="K784" s="50">
        <f>VLOOKUP($A784,'[1]ma sp 02'!$A$5:$BD$1101,K$1,0)</f>
        <v>0</v>
      </c>
      <c r="L784" s="50">
        <f>VLOOKUP($A784,'[1]ma sp 02'!$A$5:$BD$1101,L$1,0)</f>
        <v>0</v>
      </c>
      <c r="M784" s="50">
        <f>VLOOKUP($A784,'[1]ma sp 02'!$A$5:$BD$1101,M$1,0)</f>
        <v>0</v>
      </c>
      <c r="N784" s="50">
        <f>VLOOKUP($A784,'[1]ma sp 02'!$A$5:$BD$1101,N$1,0)</f>
        <v>0</v>
      </c>
      <c r="O784" s="50">
        <f>VLOOKUP($A784,'[1]ma sp 02'!$A$5:$BD$1101,O$1,0)</f>
        <v>0</v>
      </c>
      <c r="P784" s="50">
        <f>VLOOKUP($A784,'[1]ma sp 02'!$A$5:$BD$1101,P$1,0)</f>
        <v>0</v>
      </c>
      <c r="Q784" s="50">
        <f>VLOOKUP($A784,'[1]ma sp 02'!$A$5:$BD$1101,Q$1,0)</f>
        <v>0</v>
      </c>
      <c r="R784" s="50">
        <f>VLOOKUP($A784,'[1]ma sp 02'!$A$5:$BD$1101,R$1,0)</f>
        <v>0</v>
      </c>
      <c r="S784" s="50">
        <f>VLOOKUP($A784,'[1]ma sp 02'!$A$5:$BD$1101,S$1,0)</f>
        <v>0</v>
      </c>
      <c r="T784" s="50">
        <f>VLOOKUP($A784,'[1]ma sp 02'!$A$5:$BD$1101,T$1,0)</f>
        <v>0</v>
      </c>
      <c r="U784" s="50">
        <f>VLOOKUP($A784,'[1]ma sp 02'!$A$5:$BD$1101,U$1,0)</f>
        <v>0</v>
      </c>
      <c r="V784" s="50">
        <f>VLOOKUP($A784,'[1]ma sp 02'!$A$5:$BD$1101,V$1,0)</f>
        <v>0</v>
      </c>
      <c r="W784" s="50">
        <f>VLOOKUP($A784,'[1]ma sp 02'!$A$5:$BD$1101,W$1,0)</f>
        <v>0</v>
      </c>
      <c r="X784" s="50"/>
      <c r="Y784" s="62"/>
      <c r="Z784" s="62"/>
      <c r="AA784" s="62"/>
      <c r="AB784" s="62"/>
      <c r="AC784" s="62"/>
      <c r="AD784" s="62"/>
      <c r="AE784" s="62" t="s">
        <v>2518</v>
      </c>
      <c r="AF784" s="62"/>
      <c r="AG784" s="53">
        <f>(0.02*0.91+0.03*0.925)*1.06</f>
        <v>4.8707000000000007E-2</v>
      </c>
      <c r="AH784" s="54">
        <f>(2.3/0.75/2)*1.05</f>
        <v>1.6099999999999999</v>
      </c>
      <c r="AI784" s="54"/>
      <c r="AJ784" s="62">
        <v>9530</v>
      </c>
      <c r="AK784" s="62"/>
      <c r="AL784" s="9">
        <v>2.3E-3</v>
      </c>
      <c r="AM784" s="61" t="s">
        <v>1489</v>
      </c>
      <c r="AN784" s="62">
        <v>170</v>
      </c>
      <c r="AO784" s="61" t="s">
        <v>2519</v>
      </c>
      <c r="AP784" s="59">
        <f>IFERROR(VLOOKUP($A784,[2]Mssp!$A$5:$BE$1463,AP$4+1,0),0)</f>
        <v>0</v>
      </c>
      <c r="AQ784" s="59">
        <f>IFERROR(VLOOKUP($A784,[2]Mssp!$A$5:$BE$1463,AQ$4+1,0),0)</f>
        <v>0</v>
      </c>
      <c r="AR784" s="59">
        <f>IFERROR(VLOOKUP($A784,[2]Mssp!$A$5:$BE$1463,AR$4+1,0),0)</f>
        <v>0</v>
      </c>
      <c r="AS784" s="59">
        <f>IFERROR(VLOOKUP($A784,[2]Mssp!$A$5:$BE$1463,AS$4+1,0),0)</f>
        <v>0</v>
      </c>
      <c r="AT784" s="59">
        <f>IFERROR(VLOOKUP($A784,[2]Mssp!$A$5:$BE$1463,AT$4+1,0),0)</f>
        <v>0</v>
      </c>
      <c r="AU784" s="59">
        <f>IFERROR(VLOOKUP($A784,[2]Mssp!$A$5:$BE$1463,AU$4+1,0),0)</f>
        <v>0</v>
      </c>
      <c r="AV784" s="59">
        <f>IFERROR(VLOOKUP($A784,[2]Mssp!$A$5:$BE$1463,AV$4+1,0),0)</f>
        <v>0</v>
      </c>
      <c r="AW784" s="59">
        <f>IFERROR(VLOOKUP($A784,[2]Mssp!$A$5:$BE$1463,AW$4+1,0),0)</f>
        <v>0</v>
      </c>
      <c r="AX784" s="59">
        <f>IFERROR(VLOOKUP($A784,[2]Mssp!$A$5:$BE$1463,AX$4+1,0),0)</f>
        <v>0</v>
      </c>
      <c r="AY784" s="59">
        <f>IFERROR(VLOOKUP($A784,[2]Mssp!$A$5:$BE$1463,AY$4+2,0),0)</f>
        <v>0</v>
      </c>
      <c r="AZ784" s="59">
        <f>IFERROR(VLOOKUP($A784,[2]Mssp!$A$5:$BE$1463,AZ$4+2,0),0)</f>
        <v>0</v>
      </c>
      <c r="BA784" s="141" t="s">
        <v>2000</v>
      </c>
      <c r="BB784" s="61" t="s">
        <v>952</v>
      </c>
      <c r="BC784" s="165"/>
      <c r="BD784" s="166"/>
      <c r="BE784" s="167"/>
      <c r="BF784" s="168"/>
      <c r="BG784" s="167"/>
      <c r="BH784" s="168"/>
      <c r="BI784" s="169"/>
      <c r="BJ784" s="168"/>
      <c r="BK784" s="134"/>
      <c r="BL784" s="168"/>
      <c r="BM784" s="167"/>
      <c r="BN784" s="168"/>
      <c r="BO784" s="62"/>
      <c r="BP784" s="168"/>
      <c r="BQ784" s="168"/>
      <c r="BR784" s="168"/>
      <c r="BS784" s="135"/>
      <c r="BT784" s="176"/>
      <c r="BU784" s="167"/>
      <c r="BV784" s="168"/>
      <c r="BW784" s="167"/>
      <c r="BX784" s="168"/>
      <c r="BY784" s="167"/>
      <c r="BZ784" s="176"/>
      <c r="CA784" s="167"/>
      <c r="CB784" s="168"/>
      <c r="CC784" s="167"/>
      <c r="CD784" s="168"/>
      <c r="CE784" s="62"/>
      <c r="CF784" s="62"/>
      <c r="CG784" s="9"/>
      <c r="CH784" s="9"/>
      <c r="CI784" s="9"/>
      <c r="CJ784" s="9"/>
      <c r="CK784" s="9"/>
      <c r="CL784" s="9"/>
      <c r="CM784" s="9"/>
      <c r="CN784" s="9"/>
      <c r="CO784" s="9"/>
      <c r="CP784" s="9"/>
    </row>
    <row r="785" spans="1:94" ht="30" x14ac:dyDescent="0.25">
      <c r="A785" s="127" t="s">
        <v>2520</v>
      </c>
      <c r="B785" s="51" t="s">
        <v>2521</v>
      </c>
      <c r="C785" s="62"/>
      <c r="D785" s="84">
        <v>2</v>
      </c>
      <c r="E785" s="62" t="s">
        <v>2522</v>
      </c>
      <c r="F785" s="62">
        <v>6</v>
      </c>
      <c r="G785" s="62"/>
      <c r="H785" s="50">
        <f>VLOOKUP($A785,'[1]ma sp 02'!$A$5:$BD$1101,H$1,0)</f>
        <v>5.0999999999999997E-2</v>
      </c>
      <c r="I785" s="50">
        <f>VLOOKUP($A785,'[1]ma sp 02'!$A$5:$BD$1101,I$1,0)</f>
        <v>2.6360000000000001</v>
      </c>
      <c r="J785" s="50">
        <f>VLOOKUP($A785,'[1]ma sp 02'!$A$5:$BD$1101,J$1,0)</f>
        <v>0.41699999999999998</v>
      </c>
      <c r="K785" s="50">
        <f>VLOOKUP($A785,'[1]ma sp 02'!$A$5:$BD$1101,K$1,0)</f>
        <v>0.112</v>
      </c>
      <c r="L785" s="50">
        <f>VLOOKUP($A785,'[1]ma sp 02'!$A$5:$BD$1101,L$1,0)</f>
        <v>2.4729999999999999</v>
      </c>
      <c r="M785" s="50">
        <f>VLOOKUP($A785,'[1]ma sp 02'!$A$5:$BD$1101,M$1,0)</f>
        <v>0.85499999999999998</v>
      </c>
      <c r="N785" s="50">
        <f>VLOOKUP($A785,'[1]ma sp 02'!$A$5:$BD$1101,N$1,0)</f>
        <v>0</v>
      </c>
      <c r="O785" s="50">
        <f>VLOOKUP($A785,'[1]ma sp 02'!$A$5:$BD$1101,O$1,0)</f>
        <v>0.26500000000000001</v>
      </c>
      <c r="P785" s="50">
        <f>VLOOKUP($A785,'[1]ma sp 02'!$A$5:$BD$1101,P$1,0)</f>
        <v>0</v>
      </c>
      <c r="Q785" s="50">
        <f>VLOOKUP($A785,'[1]ma sp 02'!$A$5:$BD$1101,Q$1,0)</f>
        <v>0.02</v>
      </c>
      <c r="R785" s="50">
        <f>VLOOKUP($A785,'[1]ma sp 02'!$A$5:$BD$1101,R$1,0)</f>
        <v>0</v>
      </c>
      <c r="S785" s="50">
        <f>VLOOKUP($A785,'[1]ma sp 02'!$A$5:$BD$1101,S$1,0)</f>
        <v>0</v>
      </c>
      <c r="T785" s="50">
        <f>VLOOKUP($A785,'[1]ma sp 02'!$A$5:$BD$1101,T$1,0)</f>
        <v>0</v>
      </c>
      <c r="U785" s="50">
        <f>VLOOKUP($A785,'[1]ma sp 02'!$A$5:$BD$1101,U$1,0)</f>
        <v>0</v>
      </c>
      <c r="V785" s="50">
        <f>VLOOKUP($A785,'[1]ma sp 02'!$A$5:$BD$1101,V$1,0)</f>
        <v>0</v>
      </c>
      <c r="W785" s="50">
        <f>VLOOKUP($A785,'[1]ma sp 02'!$A$5:$BD$1101,W$1,0)</f>
        <v>0</v>
      </c>
      <c r="X785" s="50"/>
      <c r="Y785" s="62"/>
      <c r="Z785" s="62"/>
      <c r="AA785" s="62"/>
      <c r="AB785" s="62"/>
      <c r="AC785" s="62"/>
      <c r="AD785" s="62"/>
      <c r="AE785" s="62" t="s">
        <v>2523</v>
      </c>
      <c r="AF785" s="62"/>
      <c r="AG785" s="53">
        <f>(0.03*0.91+0.035*0.925)*1.08</f>
        <v>6.4449000000000006E-2</v>
      </c>
      <c r="AH785" s="54">
        <f>(3/0.75/2)*1.07</f>
        <v>2.14</v>
      </c>
      <c r="AI785" s="54"/>
      <c r="AJ785" s="62">
        <v>9530</v>
      </c>
      <c r="AK785" s="62"/>
      <c r="AL785" s="9">
        <v>2.3E-3</v>
      </c>
      <c r="AM785" s="61" t="s">
        <v>128</v>
      </c>
      <c r="AN785" s="62">
        <v>356</v>
      </c>
      <c r="AO785" s="61" t="s">
        <v>169</v>
      </c>
      <c r="AP785" s="59" t="str">
        <f>IFERROR(VLOOKUP($A785,[2]Mssp!$A$5:$BE$1463,AP$4+1,0),0)</f>
        <v>20090977-1</v>
      </c>
      <c r="AQ785" s="59" t="str">
        <f>IFERROR(VLOOKUP($A785,[2]Mssp!$A$5:$BE$1463,AQ$4+1,0),0)</f>
        <v>20090977-2</v>
      </c>
      <c r="AR785" s="59" t="str">
        <f>IFERROR(VLOOKUP($A785,[2]Mssp!$A$5:$BE$1463,AR$4+1,0),0)</f>
        <v>20090977-3</v>
      </c>
      <c r="AS785" s="59" t="str">
        <f>IFERROR(VLOOKUP($A785,[2]Mssp!$A$5:$BE$1463,AS$4+1,0),0)</f>
        <v>20090977-4</v>
      </c>
      <c r="AT785" s="59" t="str">
        <f>IFERROR(VLOOKUP($A785,[2]Mssp!$A$5:$BE$1463,AT$4+1,0),0)</f>
        <v>20090977-5</v>
      </c>
      <c r="AU785" s="59" t="str">
        <f>IFERROR(VLOOKUP($A785,[2]Mssp!$A$5:$BE$1463,AU$4+1,0),0)</f>
        <v>20090977-6</v>
      </c>
      <c r="AV785" s="59">
        <f>IFERROR(VLOOKUP($A785,[2]Mssp!$A$5:$BE$1463,AV$4+1,0),0)</f>
        <v>0</v>
      </c>
      <c r="AW785" s="59">
        <f>IFERROR(VLOOKUP($A785,[2]Mssp!$A$5:$BE$1463,AW$4+1,0),0)</f>
        <v>0</v>
      </c>
      <c r="AX785" s="59">
        <f>IFERROR(VLOOKUP($A785,[2]Mssp!$A$5:$BE$1463,AX$4+1,0),0)</f>
        <v>0</v>
      </c>
      <c r="AY785" s="59" t="str">
        <f>IFERROR(VLOOKUP($A785,[2]Mssp!$A$5:$BE$1463,AY$4+2,0),0)</f>
        <v>712x1200</v>
      </c>
      <c r="AZ785" s="59">
        <f>IFERROR(VLOOKUP($A785,[2]Mssp!$A$5:$BE$1463,AZ$4+2,0),0)</f>
        <v>0</v>
      </c>
      <c r="BA785" s="141"/>
      <c r="BB785" s="61"/>
      <c r="BC785" s="165"/>
      <c r="BD785" s="166"/>
      <c r="BE785" s="167"/>
      <c r="BF785" s="168"/>
      <c r="BG785" s="167"/>
      <c r="BH785" s="168"/>
      <c r="BI785" s="169"/>
      <c r="BJ785" s="168"/>
      <c r="BK785" s="134"/>
      <c r="BL785" s="168"/>
      <c r="BM785" s="167"/>
      <c r="BN785" s="168"/>
      <c r="BO785" s="62"/>
      <c r="BP785" s="168"/>
      <c r="BQ785" s="168"/>
      <c r="BR785" s="168"/>
      <c r="BS785" s="135"/>
      <c r="BT785" s="176"/>
      <c r="BU785" s="167"/>
      <c r="BV785" s="168"/>
      <c r="BW785" s="167"/>
      <c r="BX785" s="168"/>
      <c r="BY785" s="167"/>
      <c r="BZ785" s="176"/>
      <c r="CA785" s="167"/>
      <c r="CB785" s="168"/>
      <c r="CC785" s="167"/>
      <c r="CD785" s="168"/>
      <c r="CE785" s="62"/>
      <c r="CF785" s="62"/>
      <c r="CG785" s="9"/>
      <c r="CH785" s="9"/>
      <c r="CI785" s="9"/>
      <c r="CJ785" s="9"/>
      <c r="CK785" s="9"/>
      <c r="CL785" s="9"/>
      <c r="CM785" s="9"/>
      <c r="CN785" s="9"/>
      <c r="CO785" s="9"/>
      <c r="CP785" s="9"/>
    </row>
    <row r="786" spans="1:94" ht="30" x14ac:dyDescent="0.25">
      <c r="A786" s="127" t="s">
        <v>2524</v>
      </c>
      <c r="B786" s="51" t="s">
        <v>2525</v>
      </c>
      <c r="C786" s="62"/>
      <c r="D786" s="84">
        <v>2</v>
      </c>
      <c r="E786" s="62" t="s">
        <v>2522</v>
      </c>
      <c r="F786" s="62">
        <v>6</v>
      </c>
      <c r="G786" s="62"/>
      <c r="H786" s="50">
        <f>VLOOKUP($A786,'[1]ma sp 02'!$A$5:$BD$1101,H$1,0)</f>
        <v>0.27100000000000002</v>
      </c>
      <c r="I786" s="50">
        <f>VLOOKUP($A786,'[1]ma sp 02'!$A$5:$BD$1101,I$1,0)</f>
        <v>4.7270000000000003</v>
      </c>
      <c r="J786" s="50">
        <f>VLOOKUP($A786,'[1]ma sp 02'!$A$5:$BD$1101,J$1,0)</f>
        <v>7.6999999999999999E-2</v>
      </c>
      <c r="K786" s="50">
        <f>VLOOKUP($A786,'[1]ma sp 02'!$A$5:$BD$1101,K$1,0)</f>
        <v>0.01</v>
      </c>
      <c r="L786" s="50">
        <f>VLOOKUP($A786,'[1]ma sp 02'!$A$5:$BD$1101,L$1,0)</f>
        <v>1.9370000000000001</v>
      </c>
      <c r="M786" s="50">
        <f>VLOOKUP($A786,'[1]ma sp 02'!$A$5:$BD$1101,M$1,0)</f>
        <v>0.23200000000000001</v>
      </c>
      <c r="N786" s="50">
        <f>VLOOKUP($A786,'[1]ma sp 02'!$A$5:$BD$1101,N$1,0)</f>
        <v>0</v>
      </c>
      <c r="O786" s="50">
        <f>VLOOKUP($A786,'[1]ma sp 02'!$A$5:$BD$1101,O$1,0)</f>
        <v>0</v>
      </c>
      <c r="P786" s="50">
        <f>VLOOKUP($A786,'[1]ma sp 02'!$A$5:$BD$1101,P$1,0)</f>
        <v>7.6999999999999999E-2</v>
      </c>
      <c r="Q786" s="50">
        <f>VLOOKUP($A786,'[1]ma sp 02'!$A$5:$BD$1101,Q$1,0)</f>
        <v>0</v>
      </c>
      <c r="R786" s="50">
        <f>VLOOKUP($A786,'[1]ma sp 02'!$A$5:$BD$1101,R$1,0)</f>
        <v>0</v>
      </c>
      <c r="S786" s="50">
        <f>VLOOKUP($A786,'[1]ma sp 02'!$A$5:$BD$1101,S$1,0)</f>
        <v>0</v>
      </c>
      <c r="T786" s="50">
        <f>VLOOKUP($A786,'[1]ma sp 02'!$A$5:$BD$1101,T$1,0)</f>
        <v>0</v>
      </c>
      <c r="U786" s="50">
        <f>VLOOKUP($A786,'[1]ma sp 02'!$A$5:$BD$1101,U$1,0)</f>
        <v>0</v>
      </c>
      <c r="V786" s="50">
        <f>VLOOKUP($A786,'[1]ma sp 02'!$A$5:$BD$1101,V$1,0)</f>
        <v>0</v>
      </c>
      <c r="W786" s="50">
        <f>VLOOKUP($A786,'[1]ma sp 02'!$A$5:$BD$1101,W$1,0)</f>
        <v>0</v>
      </c>
      <c r="X786" s="50"/>
      <c r="Y786" s="62"/>
      <c r="Z786" s="62"/>
      <c r="AA786" s="62"/>
      <c r="AB786" s="62"/>
      <c r="AC786" s="62"/>
      <c r="AD786" s="62"/>
      <c r="AE786" s="62" t="s">
        <v>2523</v>
      </c>
      <c r="AF786" s="62"/>
      <c r="AG786" s="53">
        <f>(0.03*0.91+0.035*0.925)*1.08</f>
        <v>6.4449000000000006E-2</v>
      </c>
      <c r="AH786" s="54">
        <f>(3/0.75/2)*1.07</f>
        <v>2.14</v>
      </c>
      <c r="AI786" s="54"/>
      <c r="AJ786" s="62">
        <v>9530</v>
      </c>
      <c r="AK786" s="62"/>
      <c r="AL786" s="9">
        <v>2.3E-3</v>
      </c>
      <c r="AM786" s="61" t="s">
        <v>128</v>
      </c>
      <c r="AN786" s="62">
        <v>356</v>
      </c>
      <c r="AO786" s="61" t="s">
        <v>169</v>
      </c>
      <c r="AP786" s="59" t="str">
        <f>IFERROR(VLOOKUP($A786,[2]Mssp!$A$5:$BE$1463,AP$4+1,0),0)</f>
        <v>20090976-1</v>
      </c>
      <c r="AQ786" s="59" t="str">
        <f>IFERROR(VLOOKUP($A786,[2]Mssp!$A$5:$BE$1463,AQ$4+1,0),0)</f>
        <v>20090976-2</v>
      </c>
      <c r="AR786" s="59" t="str">
        <f>IFERROR(VLOOKUP($A786,[2]Mssp!$A$5:$BE$1463,AR$4+1,0),0)</f>
        <v>20090976-3</v>
      </c>
      <c r="AS786" s="59" t="str">
        <f>IFERROR(VLOOKUP($A786,[2]Mssp!$A$5:$BE$1463,AS$4+1,0),0)</f>
        <v>20090976-4</v>
      </c>
      <c r="AT786" s="59" t="str">
        <f>IFERROR(VLOOKUP($A786,[2]Mssp!$A$5:$BE$1463,AT$4+1,0),0)</f>
        <v>20090976-5</v>
      </c>
      <c r="AU786" s="59" t="str">
        <f>IFERROR(VLOOKUP($A786,[2]Mssp!$A$5:$BE$1463,AU$4+1,0),0)</f>
        <v>20100259-6</v>
      </c>
      <c r="AV786" s="59">
        <f>IFERROR(VLOOKUP($A786,[2]Mssp!$A$5:$BE$1463,AV$4+1,0),0)</f>
        <v>0</v>
      </c>
      <c r="AW786" s="59">
        <f>IFERROR(VLOOKUP($A786,[2]Mssp!$A$5:$BE$1463,AW$4+1,0),0)</f>
        <v>0</v>
      </c>
      <c r="AX786" s="59">
        <f>IFERROR(VLOOKUP($A786,[2]Mssp!$A$5:$BE$1463,AX$4+1,0),0)</f>
        <v>0</v>
      </c>
      <c r="AY786" s="59" t="str">
        <f>IFERROR(VLOOKUP($A786,[2]Mssp!$A$5:$BE$1463,AY$4+2,0),0)</f>
        <v>712x1200</v>
      </c>
      <c r="AZ786" s="59">
        <f>IFERROR(VLOOKUP($A786,[2]Mssp!$A$5:$BE$1463,AZ$4+2,0),0)</f>
        <v>0</v>
      </c>
      <c r="BA786" s="141"/>
      <c r="BB786" s="61"/>
      <c r="BC786" s="165"/>
      <c r="BD786" s="166"/>
      <c r="BE786" s="167"/>
      <c r="BF786" s="168"/>
      <c r="BG786" s="167"/>
      <c r="BH786" s="168"/>
      <c r="BI786" s="169"/>
      <c r="BJ786" s="168"/>
      <c r="BK786" s="134"/>
      <c r="BL786" s="168"/>
      <c r="BM786" s="167"/>
      <c r="BN786" s="168"/>
      <c r="BO786" s="62"/>
      <c r="BP786" s="168"/>
      <c r="BQ786" s="168"/>
      <c r="BR786" s="168"/>
      <c r="BS786" s="135"/>
      <c r="BT786" s="176"/>
      <c r="BU786" s="167"/>
      <c r="BV786" s="168"/>
      <c r="BW786" s="167"/>
      <c r="BX786" s="168"/>
      <c r="BY786" s="167"/>
      <c r="BZ786" s="176"/>
      <c r="CA786" s="167"/>
      <c r="CB786" s="168"/>
      <c r="CC786" s="167"/>
      <c r="CD786" s="168"/>
      <c r="CE786" s="62"/>
      <c r="CF786" s="62"/>
      <c r="CG786" s="9"/>
      <c r="CH786" s="9"/>
      <c r="CI786" s="9"/>
      <c r="CJ786" s="9"/>
      <c r="CK786" s="9"/>
      <c r="CL786" s="9"/>
      <c r="CM786" s="9"/>
      <c r="CN786" s="9"/>
      <c r="CO786" s="9"/>
      <c r="CP786" s="9"/>
    </row>
    <row r="787" spans="1:94" ht="30" x14ac:dyDescent="0.25">
      <c r="A787" s="127" t="s">
        <v>2526</v>
      </c>
      <c r="B787" s="51" t="s">
        <v>2527</v>
      </c>
      <c r="C787" s="62"/>
      <c r="D787" s="84">
        <v>1</v>
      </c>
      <c r="E787" s="62" t="s">
        <v>2337</v>
      </c>
      <c r="F787" s="62">
        <v>3</v>
      </c>
      <c r="G787" s="62" t="s">
        <v>184</v>
      </c>
      <c r="H787" s="50">
        <f>VLOOKUP($A787,'[1]ma sp 02'!$A$5:$BD$1101,H$1,0)</f>
        <v>0</v>
      </c>
      <c r="I787" s="50">
        <f>VLOOKUP($A787,'[1]ma sp 02'!$A$5:$BD$1101,I$1,0)</f>
        <v>1.6459999999999999</v>
      </c>
      <c r="J787" s="50">
        <f>VLOOKUP($A787,'[1]ma sp 02'!$A$5:$BD$1101,J$1,0)</f>
        <v>4.3890000000000002</v>
      </c>
      <c r="K787" s="50">
        <f>VLOOKUP($A787,'[1]ma sp 02'!$A$5:$BD$1101,K$1,0)</f>
        <v>0</v>
      </c>
      <c r="L787" s="50">
        <f>VLOOKUP($A787,'[1]ma sp 02'!$A$5:$BD$1101,L$1,0)</f>
        <v>0</v>
      </c>
      <c r="M787" s="50">
        <f>VLOOKUP($A787,'[1]ma sp 02'!$A$5:$BD$1101,M$1,0)</f>
        <v>0</v>
      </c>
      <c r="N787" s="50">
        <f>VLOOKUP($A787,'[1]ma sp 02'!$A$5:$BD$1101,N$1,0)</f>
        <v>0</v>
      </c>
      <c r="O787" s="50">
        <f>VLOOKUP($A787,'[1]ma sp 02'!$A$5:$BD$1101,O$1,0)</f>
        <v>1.92</v>
      </c>
      <c r="P787" s="50">
        <f>VLOOKUP($A787,'[1]ma sp 02'!$A$5:$BD$1101,P$1,0)</f>
        <v>0.54900000000000004</v>
      </c>
      <c r="Q787" s="50">
        <f>VLOOKUP($A787,'[1]ma sp 02'!$A$5:$BD$1101,Q$1,0)</f>
        <v>0.01</v>
      </c>
      <c r="R787" s="50">
        <f>VLOOKUP($A787,'[1]ma sp 02'!$A$5:$BD$1101,R$1,0)</f>
        <v>0.54900000000000004</v>
      </c>
      <c r="S787" s="50">
        <f>VLOOKUP($A787,'[1]ma sp 02'!$A$5:$BD$1101,S$1,0)</f>
        <v>0</v>
      </c>
      <c r="T787" s="50">
        <f>VLOOKUP($A787,'[1]ma sp 02'!$A$5:$BD$1101,T$1,0)</f>
        <v>0</v>
      </c>
      <c r="U787" s="50">
        <f>VLOOKUP($A787,'[1]ma sp 02'!$A$5:$BD$1101,U$1,0)</f>
        <v>0</v>
      </c>
      <c r="V787" s="50">
        <f>VLOOKUP($A787,'[1]ma sp 02'!$A$5:$BD$1101,V$1,0)</f>
        <v>0</v>
      </c>
      <c r="W787" s="50">
        <f>VLOOKUP($A787,'[1]ma sp 02'!$A$5:$BD$1101,W$1,0)</f>
        <v>0</v>
      </c>
      <c r="X787" s="50"/>
      <c r="Y787" s="62"/>
      <c r="Z787" s="62"/>
      <c r="AA787" s="62"/>
      <c r="AB787" s="62"/>
      <c r="AC787" s="62"/>
      <c r="AD787" s="62"/>
      <c r="AE787" s="62" t="s">
        <v>2337</v>
      </c>
      <c r="AF787" s="62"/>
      <c r="AG787" s="53">
        <f>(0.025*0.925+0.025*0.925)*1.19</f>
        <v>5.5037500000000003E-2</v>
      </c>
      <c r="AH787" s="54">
        <f>(2/0.75/2)*1.21</f>
        <v>1.6133333333333333</v>
      </c>
      <c r="AI787" s="54"/>
      <c r="AJ787" s="62">
        <v>9530</v>
      </c>
      <c r="AK787" s="62"/>
      <c r="AL787" s="9">
        <v>2E-3</v>
      </c>
      <c r="AM787" s="61" t="s">
        <v>1489</v>
      </c>
      <c r="AN787" s="62">
        <v>630</v>
      </c>
      <c r="AO787" s="61" t="s">
        <v>959</v>
      </c>
      <c r="AP787" s="59">
        <f>IFERROR(VLOOKUP($A787,[2]Mssp!$A$5:$BE$1463,AP$4+1,0),0)</f>
        <v>0</v>
      </c>
      <c r="AQ787" s="59">
        <f>IFERROR(VLOOKUP($A787,[2]Mssp!$A$5:$BE$1463,AQ$4+1,0),0)</f>
        <v>0</v>
      </c>
      <c r="AR787" s="59">
        <f>IFERROR(VLOOKUP($A787,[2]Mssp!$A$5:$BE$1463,AR$4+1,0),0)</f>
        <v>0</v>
      </c>
      <c r="AS787" s="59">
        <f>IFERROR(VLOOKUP($A787,[2]Mssp!$A$5:$BE$1463,AS$4+1,0),0)</f>
        <v>0</v>
      </c>
      <c r="AT787" s="59">
        <f>IFERROR(VLOOKUP($A787,[2]Mssp!$A$5:$BE$1463,AT$4+1,0),0)</f>
        <v>0</v>
      </c>
      <c r="AU787" s="59">
        <f>IFERROR(VLOOKUP($A787,[2]Mssp!$A$5:$BE$1463,AU$4+1,0),0)</f>
        <v>0</v>
      </c>
      <c r="AV787" s="59">
        <f>IFERROR(VLOOKUP($A787,[2]Mssp!$A$5:$BE$1463,AV$4+1,0),0)</f>
        <v>0</v>
      </c>
      <c r="AW787" s="59">
        <f>IFERROR(VLOOKUP($A787,[2]Mssp!$A$5:$BE$1463,AW$4+1,0),0)</f>
        <v>0</v>
      </c>
      <c r="AX787" s="59">
        <f>IFERROR(VLOOKUP($A787,[2]Mssp!$A$5:$BE$1463,AX$4+1,0),0)</f>
        <v>0</v>
      </c>
      <c r="AY787" s="59">
        <f>IFERROR(VLOOKUP($A787,[2]Mssp!$A$5:$BE$1463,AY$4+2,0),0)</f>
        <v>0</v>
      </c>
      <c r="AZ787" s="59">
        <f>IFERROR(VLOOKUP($A787,[2]Mssp!$A$5:$BE$1463,AZ$4+2,0),0)</f>
        <v>0</v>
      </c>
      <c r="BA787" s="141" t="s">
        <v>1936</v>
      </c>
      <c r="BB787" s="61" t="s">
        <v>952</v>
      </c>
      <c r="BC787" s="165"/>
      <c r="BD787" s="166"/>
      <c r="BE787" s="167"/>
      <c r="BF787" s="168"/>
      <c r="BG787" s="167"/>
      <c r="BH787" s="168"/>
      <c r="BI787" s="169"/>
      <c r="BJ787" s="168"/>
      <c r="BK787" s="134"/>
      <c r="BL787" s="168"/>
      <c r="BM787" s="167"/>
      <c r="BN787" s="168"/>
      <c r="BO787" s="62"/>
      <c r="BP787" s="168"/>
      <c r="BQ787" s="168"/>
      <c r="BR787" s="168"/>
      <c r="BS787" s="135"/>
      <c r="BT787" s="176"/>
      <c r="BU787" s="167"/>
      <c r="BV787" s="168"/>
      <c r="BW787" s="167"/>
      <c r="BX787" s="168"/>
      <c r="BY787" s="167"/>
      <c r="BZ787" s="176"/>
      <c r="CA787" s="167"/>
      <c r="CB787" s="168"/>
      <c r="CC787" s="167"/>
      <c r="CD787" s="168"/>
      <c r="CE787" s="62"/>
      <c r="CF787" s="62"/>
      <c r="CG787" s="9"/>
      <c r="CH787" s="9"/>
      <c r="CI787" s="9"/>
      <c r="CJ787" s="9"/>
      <c r="CK787" s="9"/>
      <c r="CL787" s="9"/>
      <c r="CM787" s="9"/>
      <c r="CN787" s="9"/>
      <c r="CO787" s="9"/>
      <c r="CP787" s="9"/>
    </row>
    <row r="788" spans="1:94" x14ac:dyDescent="0.25">
      <c r="A788" s="127" t="s">
        <v>2528</v>
      </c>
      <c r="B788" s="51" t="s">
        <v>2529</v>
      </c>
      <c r="C788" s="62"/>
      <c r="D788" s="84">
        <v>6</v>
      </c>
      <c r="E788" s="62" t="s">
        <v>299</v>
      </c>
      <c r="F788" s="62">
        <v>8</v>
      </c>
      <c r="G788" s="62" t="s">
        <v>184</v>
      </c>
      <c r="H788" s="50">
        <f>VLOOKUP($A788,'[1]ma sp 02'!$A$5:$BD$1101,H$1,0)</f>
        <v>0.313</v>
      </c>
      <c r="I788" s="50">
        <f>VLOOKUP($A788,'[1]ma sp 02'!$A$5:$BD$1101,I$1,0)</f>
        <v>4.2300000000000004</v>
      </c>
      <c r="J788" s="50">
        <f>VLOOKUP($A788,'[1]ma sp 02'!$A$5:$BD$1101,J$1,0)</f>
        <v>3.9E-2</v>
      </c>
      <c r="K788" s="50">
        <f>VLOOKUP($A788,'[1]ma sp 02'!$A$5:$BD$1101,K$1,0)</f>
        <v>0.01</v>
      </c>
      <c r="L788" s="50">
        <f>VLOOKUP($A788,'[1]ma sp 02'!$A$5:$BD$1101,L$1,0)</f>
        <v>1.1299999999999999</v>
      </c>
      <c r="M788" s="50">
        <f>VLOOKUP($A788,'[1]ma sp 02'!$A$5:$BD$1101,M$1,0)</f>
        <v>0.54800000000000004</v>
      </c>
      <c r="N788" s="50">
        <f>VLOOKUP($A788,'[1]ma sp 02'!$A$5:$BD$1101,N$1,0)</f>
        <v>0.43</v>
      </c>
      <c r="O788" s="50">
        <f>VLOOKUP($A788,'[1]ma sp 02'!$A$5:$BD$1101,O$1,0)</f>
        <v>3.9E-2</v>
      </c>
      <c r="P788" s="50">
        <f>VLOOKUP($A788,'[1]ma sp 02'!$A$5:$BD$1101,P$1,0)</f>
        <v>0.39</v>
      </c>
      <c r="Q788" s="50">
        <f>VLOOKUP($A788,'[1]ma sp 02'!$A$5:$BD$1101,Q$1,0)</f>
        <v>0</v>
      </c>
      <c r="R788" s="50">
        <f>VLOOKUP($A788,'[1]ma sp 02'!$A$5:$BD$1101,R$1,0)</f>
        <v>0</v>
      </c>
      <c r="S788" s="50">
        <f>VLOOKUP($A788,'[1]ma sp 02'!$A$5:$BD$1101,S$1,0)</f>
        <v>0</v>
      </c>
      <c r="T788" s="50">
        <f>VLOOKUP($A788,'[1]ma sp 02'!$A$5:$BD$1101,T$1,0)</f>
        <v>0.11799999999999999</v>
      </c>
      <c r="U788" s="50">
        <f>VLOOKUP($A788,'[1]ma sp 02'!$A$5:$BD$1101,U$1,0)</f>
        <v>0</v>
      </c>
      <c r="V788" s="50">
        <f>VLOOKUP($A788,'[1]ma sp 02'!$A$5:$BD$1101,V$1,0)</f>
        <v>0</v>
      </c>
      <c r="W788" s="50">
        <f>VLOOKUP($A788,'[1]ma sp 02'!$A$5:$BD$1101,W$1,0)</f>
        <v>0</v>
      </c>
      <c r="X788" s="50"/>
      <c r="Y788" s="62"/>
      <c r="Z788" s="62"/>
      <c r="AA788" s="62"/>
      <c r="AB788" s="62"/>
      <c r="AC788" s="62"/>
      <c r="AD788" s="62"/>
      <c r="AE788" s="62" t="s">
        <v>2530</v>
      </c>
      <c r="AF788" s="62"/>
      <c r="AG788" s="53">
        <f>(0.02*0.91+0.025*0.91)*0.82</f>
        <v>3.3578999999999998E-2</v>
      </c>
      <c r="AH788" s="54">
        <f>(2.3/0.75/2)*0.81</f>
        <v>1.242</v>
      </c>
      <c r="AI788" s="54"/>
      <c r="AJ788" s="62">
        <v>9530</v>
      </c>
      <c r="AK788" s="62"/>
      <c r="AL788" s="9">
        <v>2.3E-3</v>
      </c>
      <c r="AM788" s="61" t="s">
        <v>1489</v>
      </c>
      <c r="AN788" s="62">
        <v>103</v>
      </c>
      <c r="AO788" s="61" t="s">
        <v>169</v>
      </c>
      <c r="AP788" s="59" t="str">
        <f>IFERROR(VLOOKUP($A788,[2]Mssp!$A$5:$BE$1463,AP$4+1,0),0)</f>
        <v>F126903-1</v>
      </c>
      <c r="AQ788" s="59" t="str">
        <f>IFERROR(VLOOKUP($A788,[2]Mssp!$A$5:$BE$1463,AQ$4+1,0),0)</f>
        <v>F126903-2</v>
      </c>
      <c r="AR788" s="59" t="str">
        <f>IFERROR(VLOOKUP($A788,[2]Mssp!$A$5:$BE$1463,AR$4+1,0),0)</f>
        <v>F126903-3</v>
      </c>
      <c r="AS788" s="59" t="str">
        <f>IFERROR(VLOOKUP($A788,[2]Mssp!$A$5:$BE$1463,AS$4+1,0),0)</f>
        <v>F126903-4</v>
      </c>
      <c r="AT788" s="59" t="str">
        <f>IFERROR(VLOOKUP($A788,[2]Mssp!$A$5:$BE$1463,AT$4+1,0),0)</f>
        <v>F126903-5</v>
      </c>
      <c r="AU788" s="59" t="str">
        <f>IFERROR(VLOOKUP($A788,[2]Mssp!$A$5:$BE$1463,AU$4+1,0),0)</f>
        <v>F126903-6</v>
      </c>
      <c r="AV788" s="59" t="str">
        <f>IFERROR(VLOOKUP($A788,[2]Mssp!$A$5:$BE$1463,AV$4+1,0),0)</f>
        <v>F126903-7</v>
      </c>
      <c r="AW788" s="59" t="str">
        <f>IFERROR(VLOOKUP($A788,[2]Mssp!$A$5:$BE$1463,AW$4+1,0),0)</f>
        <v>F126903-8</v>
      </c>
      <c r="AX788" s="59">
        <f>IFERROR(VLOOKUP($A788,[2]Mssp!$A$5:$BE$1463,AX$4+1,0),0)</f>
        <v>0</v>
      </c>
      <c r="AY788" s="59" t="str">
        <f>IFERROR(VLOOKUP($A788,[2]Mssp!$A$5:$BE$1463,AY$4+2,0),0)</f>
        <v>515x870</v>
      </c>
      <c r="AZ788" s="59">
        <f>IFERROR(VLOOKUP($A788,[2]Mssp!$A$5:$BE$1463,AZ$4+2,0),0)</f>
        <v>0</v>
      </c>
      <c r="BA788" s="141"/>
      <c r="BB788" s="61"/>
      <c r="BC788" s="165"/>
      <c r="BD788" s="166"/>
      <c r="BE788" s="167"/>
      <c r="BF788" s="168"/>
      <c r="BG788" s="167"/>
      <c r="BH788" s="168"/>
      <c r="BI788" s="169"/>
      <c r="BJ788" s="168"/>
      <c r="BK788" s="134"/>
      <c r="BL788" s="168"/>
      <c r="BM788" s="167"/>
      <c r="BN788" s="168"/>
      <c r="BO788" s="62"/>
      <c r="BP788" s="168"/>
      <c r="BQ788" s="168"/>
      <c r="BR788" s="168"/>
      <c r="BS788" s="135"/>
      <c r="BT788" s="176"/>
      <c r="BU788" s="167"/>
      <c r="BV788" s="168"/>
      <c r="BW788" s="167"/>
      <c r="BX788" s="168"/>
      <c r="BY788" s="167"/>
      <c r="BZ788" s="176"/>
      <c r="CA788" s="167"/>
      <c r="CB788" s="168"/>
      <c r="CC788" s="167"/>
      <c r="CD788" s="168"/>
      <c r="CE788" s="62"/>
      <c r="CF788" s="62"/>
      <c r="CG788" s="9"/>
      <c r="CH788" s="9"/>
      <c r="CI788" s="9"/>
      <c r="CJ788" s="9"/>
      <c r="CK788" s="9"/>
      <c r="CL788" s="9"/>
      <c r="CM788" s="9"/>
      <c r="CN788" s="9"/>
      <c r="CO788" s="9"/>
      <c r="CP788" s="9"/>
    </row>
    <row r="789" spans="1:94" ht="30" x14ac:dyDescent="0.25">
      <c r="A789" s="127" t="s">
        <v>2531</v>
      </c>
      <c r="B789" s="51" t="s">
        <v>2532</v>
      </c>
      <c r="C789" s="62"/>
      <c r="D789" s="84">
        <v>3</v>
      </c>
      <c r="E789" s="62" t="s">
        <v>351</v>
      </c>
      <c r="F789" s="62">
        <v>6</v>
      </c>
      <c r="G789" s="62" t="s">
        <v>530</v>
      </c>
      <c r="H789" s="50">
        <f>VLOOKUP($A789,'[1]ma sp 02'!$A$5:$BD$1101,H$1,0)</f>
        <v>0.19</v>
      </c>
      <c r="I789" s="50">
        <f>VLOOKUP($A789,'[1]ma sp 02'!$A$5:$BD$1101,I$1,0)</f>
        <v>2.6890000000000001</v>
      </c>
      <c r="J789" s="50">
        <f>VLOOKUP($A789,'[1]ma sp 02'!$A$5:$BD$1101,J$1,0)</f>
        <v>0.01</v>
      </c>
      <c r="K789" s="50">
        <f>VLOOKUP($A789,'[1]ma sp 02'!$A$5:$BD$1101,K$1,0)</f>
        <v>9.6000000000000002E-2</v>
      </c>
      <c r="L789" s="50">
        <f>VLOOKUP($A789,'[1]ma sp 02'!$A$5:$BD$1101,L$1,0)</f>
        <v>0.01</v>
      </c>
      <c r="M789" s="50">
        <f>VLOOKUP($A789,'[1]ma sp 02'!$A$5:$BD$1101,M$1,0)</f>
        <v>2.4900000000000002</v>
      </c>
      <c r="N789" s="50">
        <f>VLOOKUP($A789,'[1]ma sp 02'!$A$5:$BD$1101,N$1,0)</f>
        <v>0</v>
      </c>
      <c r="O789" s="50">
        <f>VLOOKUP($A789,'[1]ma sp 02'!$A$5:$BD$1101,O$1,0)</f>
        <v>0</v>
      </c>
      <c r="P789" s="50">
        <f>VLOOKUP($A789,'[1]ma sp 02'!$A$5:$BD$1101,P$1,0)</f>
        <v>0</v>
      </c>
      <c r="Q789" s="50">
        <f>VLOOKUP($A789,'[1]ma sp 02'!$A$5:$BD$1101,Q$1,0)</f>
        <v>0</v>
      </c>
      <c r="R789" s="50">
        <f>VLOOKUP($A789,'[1]ma sp 02'!$A$5:$BD$1101,R$1,0)</f>
        <v>0</v>
      </c>
      <c r="S789" s="50">
        <f>VLOOKUP($A789,'[1]ma sp 02'!$A$5:$BD$1101,S$1,0)</f>
        <v>0</v>
      </c>
      <c r="T789" s="50">
        <f>VLOOKUP($A789,'[1]ma sp 02'!$A$5:$BD$1101,T$1,0)</f>
        <v>0</v>
      </c>
      <c r="U789" s="50">
        <f>VLOOKUP($A789,'[1]ma sp 02'!$A$5:$BD$1101,U$1,0)</f>
        <v>0</v>
      </c>
      <c r="V789" s="50">
        <f>VLOOKUP($A789,'[1]ma sp 02'!$A$5:$BD$1101,V$1,0)</f>
        <v>0</v>
      </c>
      <c r="W789" s="50">
        <f>VLOOKUP($A789,'[1]ma sp 02'!$A$5:$BD$1101,W$1,0)</f>
        <v>0</v>
      </c>
      <c r="X789" s="50"/>
      <c r="Y789" s="62"/>
      <c r="Z789" s="62"/>
      <c r="AA789" s="62"/>
      <c r="AB789" s="62"/>
      <c r="AC789" s="62"/>
      <c r="AD789" s="62"/>
      <c r="AE789" s="62" t="s">
        <v>352</v>
      </c>
      <c r="AF789" s="62" t="s">
        <v>2425</v>
      </c>
      <c r="AG789" s="53">
        <f>(0.012*1.4+0.012*1.4+0.1*0.925)*0.8</f>
        <v>0.10088000000000003</v>
      </c>
      <c r="AH789" s="54">
        <f>(2.3/0.75/2)*0.79</f>
        <v>1.2113333333333334</v>
      </c>
      <c r="AI789" s="54">
        <f>(2.3/0.75/2)*0.79</f>
        <v>1.2113333333333334</v>
      </c>
      <c r="AJ789" s="56">
        <v>9530</v>
      </c>
      <c r="AK789" s="56">
        <v>9530</v>
      </c>
      <c r="AL789" s="9" t="s">
        <v>1590</v>
      </c>
      <c r="AM789" s="61" t="s">
        <v>1489</v>
      </c>
      <c r="AN789" s="62">
        <v>190</v>
      </c>
      <c r="AO789" s="61" t="s">
        <v>2427</v>
      </c>
      <c r="AP789" s="59" t="str">
        <f>IFERROR(VLOOKUP($A789,[2]Mssp!$A$5:$BE$1463,AP$4+1,0),0)</f>
        <v>20090847-1</v>
      </c>
      <c r="AQ789" s="59" t="str">
        <f>IFERROR(VLOOKUP($A789,[2]Mssp!$A$5:$BE$1463,AQ$4+1,0),0)</f>
        <v>20090847-2</v>
      </c>
      <c r="AR789" s="59" t="str">
        <f>IFERROR(VLOOKUP($A789,[2]Mssp!$A$5:$BE$1463,AR$4+1,0),0)</f>
        <v>20090847-3</v>
      </c>
      <c r="AS789" s="59" t="str">
        <f>IFERROR(VLOOKUP($A789,[2]Mssp!$A$5:$BE$1463,AS$4+1,0),0)</f>
        <v>20090847-4</v>
      </c>
      <c r="AT789" s="59" t="str">
        <f>IFERROR(VLOOKUP($A789,[2]Mssp!$A$5:$BE$1463,AT$4+1,0),0)</f>
        <v>20090847-5</v>
      </c>
      <c r="AU789" s="59" t="str">
        <f>IFERROR(VLOOKUP($A789,[2]Mssp!$A$5:$BE$1463,AU$4+1,0),0)</f>
        <v>20081014-6</v>
      </c>
      <c r="AV789" s="59">
        <f>IFERROR(VLOOKUP($A789,[2]Mssp!$A$5:$BE$1463,AV$4+1,0),0)</f>
        <v>0</v>
      </c>
      <c r="AW789" s="59">
        <f>IFERROR(VLOOKUP($A789,[2]Mssp!$A$5:$BE$1463,AW$4+1,0),0)</f>
        <v>0</v>
      </c>
      <c r="AX789" s="59">
        <f>IFERROR(VLOOKUP($A789,[2]Mssp!$A$5:$BE$1463,AX$4+1,0),0)</f>
        <v>0</v>
      </c>
      <c r="AY789" s="59" t="str">
        <f>IFERROR(VLOOKUP($A789,[2]Mssp!$A$5:$BE$1463,AY$4+2,0),0)</f>
        <v>570x870</v>
      </c>
      <c r="AZ789" s="59">
        <f>IFERROR(VLOOKUP($A789,[2]Mssp!$A$5:$BE$1463,AZ$4+2,0),0)</f>
        <v>0</v>
      </c>
      <c r="BA789" s="141" t="s">
        <v>2000</v>
      </c>
      <c r="BB789" s="61" t="s">
        <v>952</v>
      </c>
      <c r="BC789" s="165"/>
      <c r="BD789" s="166"/>
      <c r="BE789" s="167"/>
      <c r="BF789" s="168"/>
      <c r="BG789" s="167"/>
      <c r="BH789" s="168"/>
      <c r="BI789" s="169"/>
      <c r="BJ789" s="168"/>
      <c r="BK789" s="134"/>
      <c r="BL789" s="168"/>
      <c r="BM789" s="167"/>
      <c r="BN789" s="168"/>
      <c r="BO789" s="62"/>
      <c r="BP789" s="168"/>
      <c r="BQ789" s="168"/>
      <c r="BR789" s="168"/>
      <c r="BS789" s="135"/>
      <c r="BT789" s="176"/>
      <c r="BU789" s="167"/>
      <c r="BV789" s="168"/>
      <c r="BW789" s="167"/>
      <c r="BX789" s="168"/>
      <c r="BY789" s="167"/>
      <c r="BZ789" s="176"/>
      <c r="CA789" s="167"/>
      <c r="CB789" s="168"/>
      <c r="CC789" s="167"/>
      <c r="CD789" s="168"/>
      <c r="CE789" s="62"/>
      <c r="CF789" s="62"/>
      <c r="CG789" s="9"/>
      <c r="CH789" s="9"/>
      <c r="CI789" s="9"/>
      <c r="CJ789" s="9"/>
      <c r="CK789" s="9"/>
      <c r="CL789" s="9"/>
      <c r="CM789" s="9"/>
      <c r="CN789" s="9"/>
      <c r="CO789" s="9"/>
      <c r="CP789" s="9"/>
    </row>
    <row r="790" spans="1:94" ht="30" x14ac:dyDescent="0.25">
      <c r="A790" s="127" t="s">
        <v>2533</v>
      </c>
      <c r="B790" s="51" t="s">
        <v>2534</v>
      </c>
      <c r="C790" s="62"/>
      <c r="D790" s="84">
        <v>3</v>
      </c>
      <c r="E790" s="62" t="s">
        <v>351</v>
      </c>
      <c r="F790" s="62">
        <v>6</v>
      </c>
      <c r="G790" s="62" t="s">
        <v>530</v>
      </c>
      <c r="H790" s="50">
        <f>VLOOKUP($A790,'[1]ma sp 02'!$A$5:$BD$1101,H$1,0)</f>
        <v>0.01</v>
      </c>
      <c r="I790" s="50">
        <f>VLOOKUP($A790,'[1]ma sp 02'!$A$5:$BD$1101,I$1,0)</f>
        <v>2.68</v>
      </c>
      <c r="J790" s="50">
        <f>VLOOKUP($A790,'[1]ma sp 02'!$A$5:$BD$1101,J$1,0)</f>
        <v>0</v>
      </c>
      <c r="K790" s="50">
        <f>VLOOKUP($A790,'[1]ma sp 02'!$A$5:$BD$1101,K$1,0)</f>
        <v>0.82499999999999996</v>
      </c>
      <c r="L790" s="50">
        <f>VLOOKUP($A790,'[1]ma sp 02'!$A$5:$BD$1101,L$1,0)</f>
        <v>2.4700000000000002</v>
      </c>
      <c r="M790" s="50">
        <f>VLOOKUP($A790,'[1]ma sp 02'!$A$5:$BD$1101,M$1,0)</f>
        <v>0</v>
      </c>
      <c r="N790" s="50">
        <f>VLOOKUP($A790,'[1]ma sp 02'!$A$5:$BD$1101,N$1,0)</f>
        <v>0</v>
      </c>
      <c r="O790" s="50">
        <f>VLOOKUP($A790,'[1]ma sp 02'!$A$5:$BD$1101,O$1,0)</f>
        <v>0</v>
      </c>
      <c r="P790" s="50">
        <f>VLOOKUP($A790,'[1]ma sp 02'!$A$5:$BD$1101,P$1,0)</f>
        <v>0.2</v>
      </c>
      <c r="Q790" s="50">
        <f>VLOOKUP($A790,'[1]ma sp 02'!$A$5:$BD$1101,Q$1,0)</f>
        <v>0</v>
      </c>
      <c r="R790" s="50">
        <f>VLOOKUP($A790,'[1]ma sp 02'!$A$5:$BD$1101,R$1,0)</f>
        <v>0</v>
      </c>
      <c r="S790" s="50">
        <f>VLOOKUP($A790,'[1]ma sp 02'!$A$5:$BD$1101,S$1,0)</f>
        <v>0</v>
      </c>
      <c r="T790" s="50">
        <f>VLOOKUP($A790,'[1]ma sp 02'!$A$5:$BD$1101,T$1,0)</f>
        <v>0</v>
      </c>
      <c r="U790" s="50">
        <f>VLOOKUP($A790,'[1]ma sp 02'!$A$5:$BD$1101,U$1,0)</f>
        <v>0</v>
      </c>
      <c r="V790" s="50">
        <f>VLOOKUP($A790,'[1]ma sp 02'!$A$5:$BD$1101,V$1,0)</f>
        <v>0</v>
      </c>
      <c r="W790" s="50">
        <f>VLOOKUP($A790,'[1]ma sp 02'!$A$5:$BD$1101,W$1,0)</f>
        <v>0</v>
      </c>
      <c r="X790" s="50"/>
      <c r="Y790" s="62"/>
      <c r="Z790" s="62"/>
      <c r="AA790" s="62"/>
      <c r="AB790" s="62"/>
      <c r="AC790" s="62"/>
      <c r="AD790" s="62"/>
      <c r="AE790" s="62" t="s">
        <v>352</v>
      </c>
      <c r="AF790" s="62" t="s">
        <v>2425</v>
      </c>
      <c r="AG790" s="53">
        <f>(0.012*1.4+0.012*1.4+0.1*0.925)*0.8</f>
        <v>0.10088000000000003</v>
      </c>
      <c r="AH790" s="54">
        <f>(2.3/0.75/2)*0.79</f>
        <v>1.2113333333333334</v>
      </c>
      <c r="AI790" s="54">
        <f>(2.3/0.75/2)*0.79</f>
        <v>1.2113333333333334</v>
      </c>
      <c r="AJ790" s="56">
        <v>9530</v>
      </c>
      <c r="AK790" s="56">
        <v>9530</v>
      </c>
      <c r="AL790" s="9" t="s">
        <v>1590</v>
      </c>
      <c r="AM790" s="61" t="s">
        <v>1489</v>
      </c>
      <c r="AN790" s="62">
        <v>190</v>
      </c>
      <c r="AO790" s="61" t="s">
        <v>2427</v>
      </c>
      <c r="AP790" s="59" t="str">
        <f>IFERROR(VLOOKUP($A790,[2]Mssp!$A$5:$BE$1463,AP$4+1,0),0)</f>
        <v>21070442-1</v>
      </c>
      <c r="AQ790" s="59" t="str">
        <f>IFERROR(VLOOKUP($A790,[2]Mssp!$A$5:$BE$1463,AQ$4+1,0),0)</f>
        <v>21070442-2</v>
      </c>
      <c r="AR790" s="59" t="str">
        <f>IFERROR(VLOOKUP($A790,[2]Mssp!$A$5:$BE$1463,AR$4+1,0),0)</f>
        <v>21070442-3</v>
      </c>
      <c r="AS790" s="59" t="str">
        <f>IFERROR(VLOOKUP($A790,[2]Mssp!$A$5:$BE$1463,AS$4+1,0),0)</f>
        <v>21070442-4</v>
      </c>
      <c r="AT790" s="59" t="str">
        <f>IFERROR(VLOOKUP($A790,[2]Mssp!$A$5:$BE$1463,AT$4+1,0),0)</f>
        <v>21070442-5</v>
      </c>
      <c r="AU790" s="59" t="str">
        <f>IFERROR(VLOOKUP($A790,[2]Mssp!$A$5:$BE$1463,AU$4+1,0),0)</f>
        <v>20081014-6</v>
      </c>
      <c r="AV790" s="59">
        <f>IFERROR(VLOOKUP($A790,[2]Mssp!$A$5:$BE$1463,AV$4+1,0),0)</f>
        <v>0</v>
      </c>
      <c r="AW790" s="59">
        <f>IFERROR(VLOOKUP($A790,[2]Mssp!$A$5:$BE$1463,AW$4+1,0),0)</f>
        <v>0</v>
      </c>
      <c r="AX790" s="59">
        <f>IFERROR(VLOOKUP($A790,[2]Mssp!$A$5:$BE$1463,AX$4+1,0),0)</f>
        <v>0</v>
      </c>
      <c r="AY790" s="59" t="str">
        <f>IFERROR(VLOOKUP($A790,[2]Mssp!$A$5:$BE$1463,AY$4+2,0),0)</f>
        <v>570x870</v>
      </c>
      <c r="AZ790" s="59">
        <f>IFERROR(VLOOKUP($A790,[2]Mssp!$A$5:$BE$1463,AZ$4+2,0),0)</f>
        <v>0</v>
      </c>
      <c r="BA790" s="141"/>
      <c r="BB790" s="61"/>
      <c r="BC790" s="165"/>
      <c r="BD790" s="166"/>
      <c r="BE790" s="167"/>
      <c r="BF790" s="168"/>
      <c r="BG790" s="167"/>
      <c r="BH790" s="168"/>
      <c r="BI790" s="169"/>
      <c r="BJ790" s="168"/>
      <c r="BK790" s="134"/>
      <c r="BL790" s="168"/>
      <c r="BM790" s="167"/>
      <c r="BN790" s="168"/>
      <c r="BO790" s="62"/>
      <c r="BP790" s="168"/>
      <c r="BQ790" s="168"/>
      <c r="BR790" s="168"/>
      <c r="BS790" s="135"/>
      <c r="BT790" s="176"/>
      <c r="BU790" s="167"/>
      <c r="BV790" s="168"/>
      <c r="BW790" s="167"/>
      <c r="BX790" s="168"/>
      <c r="BY790" s="167"/>
      <c r="BZ790" s="176"/>
      <c r="CA790" s="167"/>
      <c r="CB790" s="168"/>
      <c r="CC790" s="167"/>
      <c r="CD790" s="168"/>
      <c r="CE790" s="62"/>
      <c r="CF790" s="62"/>
      <c r="CG790" s="9"/>
      <c r="CH790" s="9"/>
      <c r="CI790" s="9"/>
      <c r="CJ790" s="9"/>
      <c r="CK790" s="9"/>
      <c r="CL790" s="9"/>
      <c r="CM790" s="9"/>
      <c r="CN790" s="9"/>
      <c r="CO790" s="9"/>
      <c r="CP790" s="9"/>
    </row>
    <row r="791" spans="1:94" ht="45" x14ac:dyDescent="0.25">
      <c r="A791" s="191" t="s">
        <v>2535</v>
      </c>
      <c r="B791" s="51" t="s">
        <v>2536</v>
      </c>
      <c r="C791" s="62"/>
      <c r="D791" s="84">
        <v>1</v>
      </c>
      <c r="E791" s="62" t="s">
        <v>1023</v>
      </c>
      <c r="F791" s="62">
        <v>3</v>
      </c>
      <c r="G791" s="62"/>
      <c r="H791" s="50">
        <f>VLOOKUP($A791,'[1]ma sp 02'!$A$5:$BD$1101,H$1,0)</f>
        <v>0.52800000000000002</v>
      </c>
      <c r="I791" s="50">
        <f>VLOOKUP($A791,'[1]ma sp 02'!$A$5:$BD$1101,I$1,0)</f>
        <v>0.95</v>
      </c>
      <c r="J791" s="50">
        <f>VLOOKUP($A791,'[1]ma sp 02'!$A$5:$BD$1101,J$1,0)</f>
        <v>0.21099999999999999</v>
      </c>
      <c r="K791" s="50">
        <f>VLOOKUP($A791,'[1]ma sp 02'!$A$5:$BD$1101,K$1,0)</f>
        <v>0</v>
      </c>
      <c r="L791" s="50">
        <f>VLOOKUP($A791,'[1]ma sp 02'!$A$5:$BD$1101,L$1,0)</f>
        <v>1.478</v>
      </c>
      <c r="M791" s="50">
        <f>VLOOKUP($A791,'[1]ma sp 02'!$A$5:$BD$1101,M$1,0)</f>
        <v>0</v>
      </c>
      <c r="N791" s="50">
        <f>VLOOKUP($A791,'[1]ma sp 02'!$A$5:$BD$1101,N$1,0)</f>
        <v>0</v>
      </c>
      <c r="O791" s="50">
        <f>VLOOKUP($A791,'[1]ma sp 02'!$A$5:$BD$1101,O$1,0)</f>
        <v>0.01</v>
      </c>
      <c r="P791" s="50">
        <f>VLOOKUP($A791,'[1]ma sp 02'!$A$5:$BD$1101,P$1,0)</f>
        <v>0</v>
      </c>
      <c r="Q791" s="50">
        <f>VLOOKUP($A791,'[1]ma sp 02'!$A$5:$BD$1101,Q$1,0)</f>
        <v>0</v>
      </c>
      <c r="R791" s="50">
        <f>VLOOKUP($A791,'[1]ma sp 02'!$A$5:$BD$1101,R$1,0)</f>
        <v>0</v>
      </c>
      <c r="S791" s="50">
        <f>VLOOKUP($A791,'[1]ma sp 02'!$A$5:$BD$1101,S$1,0)</f>
        <v>0</v>
      </c>
      <c r="T791" s="50">
        <f>VLOOKUP($A791,'[1]ma sp 02'!$A$5:$BD$1101,T$1,0)</f>
        <v>0</v>
      </c>
      <c r="U791" s="50">
        <f>VLOOKUP($A791,'[1]ma sp 02'!$A$5:$BD$1101,U$1,0)</f>
        <v>0</v>
      </c>
      <c r="V791" s="50">
        <f>VLOOKUP($A791,'[1]ma sp 02'!$A$5:$BD$1101,V$1,0)</f>
        <v>0</v>
      </c>
      <c r="W791" s="50">
        <f>VLOOKUP($A791,'[1]ma sp 02'!$A$5:$BD$1101,W$1,0)</f>
        <v>0</v>
      </c>
      <c r="X791" s="50"/>
      <c r="Y791" s="62"/>
      <c r="Z791" s="62"/>
      <c r="AA791" s="62"/>
      <c r="AB791" s="62"/>
      <c r="AC791" s="62"/>
      <c r="AD791" s="62"/>
      <c r="AE791" s="62" t="s">
        <v>1797</v>
      </c>
      <c r="AF791" s="62" t="s">
        <v>2022</v>
      </c>
      <c r="AG791" s="53">
        <f>(0.03*0.91+0.006*2.71+0.12*0.925)*0.8</f>
        <v>0.12364800000000001</v>
      </c>
      <c r="AH791" s="54">
        <f>(2.5/0.75/2)*0.79</f>
        <v>1.3166666666666669</v>
      </c>
      <c r="AI791" s="54">
        <f>(3/0.75/2)*0.79</f>
        <v>1.58</v>
      </c>
      <c r="AJ791" s="9">
        <v>9530</v>
      </c>
      <c r="AK791" s="9">
        <v>9530</v>
      </c>
      <c r="AL791" s="9" t="s">
        <v>2537</v>
      </c>
      <c r="AM791" s="61" t="s">
        <v>1033</v>
      </c>
      <c r="AN791" s="62">
        <v>240</v>
      </c>
      <c r="AO791" s="61" t="s">
        <v>1902</v>
      </c>
      <c r="AP791" s="59" t="str">
        <f>IFERROR(VLOOKUP($A791,[2]Mssp!$A$5:$BE$1463,AP$4+1,0),0)</f>
        <v>20091059-1</v>
      </c>
      <c r="AQ791" s="59" t="str">
        <f>IFERROR(VLOOKUP($A791,[2]Mssp!$A$5:$BE$1463,AQ$4+1,0),0)</f>
        <v>20091059-2</v>
      </c>
      <c r="AR791" s="59" t="str">
        <f>IFERROR(VLOOKUP($A791,[2]Mssp!$A$5:$BE$1463,AR$4+1,0),0)</f>
        <v>20091059-3</v>
      </c>
      <c r="AS791" s="59">
        <f>IFERROR(VLOOKUP($A791,[2]Mssp!$A$5:$BE$1463,AS$4+1,0),0)</f>
        <v>0</v>
      </c>
      <c r="AT791" s="59">
        <f>IFERROR(VLOOKUP($A791,[2]Mssp!$A$5:$BE$1463,AT$4+1,0),0)</f>
        <v>0</v>
      </c>
      <c r="AU791" s="59">
        <f>IFERROR(VLOOKUP($A791,[2]Mssp!$A$5:$BE$1463,AU$4+1,0),0)</f>
        <v>0</v>
      </c>
      <c r="AV791" s="59">
        <f>IFERROR(VLOOKUP($A791,[2]Mssp!$A$5:$BE$1463,AV$4+1,0),0)</f>
        <v>0</v>
      </c>
      <c r="AW791" s="59">
        <f>IFERROR(VLOOKUP($A791,[2]Mssp!$A$5:$BE$1463,AW$4+1,0),0)</f>
        <v>0</v>
      </c>
      <c r="AX791" s="59">
        <f>IFERROR(VLOOKUP($A791,[2]Mssp!$A$5:$BE$1463,AX$4+1,0),0)</f>
        <v>0</v>
      </c>
      <c r="AY791" s="59" t="str">
        <f>IFERROR(VLOOKUP($A791,[2]Mssp!$A$5:$BE$1463,AY$4+2,0),0)</f>
        <v>480x870</v>
      </c>
      <c r="AZ791" s="59">
        <f>IFERROR(VLOOKUP($A791,[2]Mssp!$A$5:$BE$1463,AZ$4+2,0),0)</f>
        <v>0</v>
      </c>
      <c r="BA791" s="141"/>
      <c r="BB791" s="61" t="s">
        <v>1894</v>
      </c>
      <c r="BC791" s="165"/>
      <c r="BD791" s="166"/>
      <c r="BE791" s="167"/>
      <c r="BF791" s="168"/>
      <c r="BG791" s="167"/>
      <c r="BH791" s="168"/>
      <c r="BI791" s="169"/>
      <c r="BJ791" s="168"/>
      <c r="BK791" s="134"/>
      <c r="BL791" s="168"/>
      <c r="BM791" s="167"/>
      <c r="BN791" s="168"/>
      <c r="BO791" s="62"/>
      <c r="BP791" s="168"/>
      <c r="BQ791" s="168"/>
      <c r="BR791" s="168"/>
      <c r="BS791" s="135"/>
      <c r="BT791" s="176"/>
      <c r="BU791" s="167"/>
      <c r="BV791" s="168"/>
      <c r="BW791" s="167"/>
      <c r="BX791" s="168"/>
      <c r="BY791" s="167"/>
      <c r="BZ791" s="176"/>
      <c r="CA791" s="167"/>
      <c r="CB791" s="168"/>
      <c r="CC791" s="167"/>
      <c r="CD791" s="168"/>
      <c r="CE791" s="62"/>
      <c r="CF791" s="62"/>
      <c r="CG791" s="9"/>
      <c r="CH791" s="9"/>
      <c r="CI791" s="9"/>
      <c r="CJ791" s="9"/>
      <c r="CK791" s="9"/>
      <c r="CL791" s="9"/>
      <c r="CM791" s="9"/>
      <c r="CN791" s="9"/>
      <c r="CO791" s="9"/>
      <c r="CP791" s="9"/>
    </row>
    <row r="792" spans="1:94" ht="30" x14ac:dyDescent="0.25">
      <c r="A792" s="127" t="s">
        <v>2538</v>
      </c>
      <c r="B792" s="51" t="s">
        <v>2539</v>
      </c>
      <c r="C792" s="62"/>
      <c r="D792" s="84">
        <v>1</v>
      </c>
      <c r="E792" s="62" t="s">
        <v>2540</v>
      </c>
      <c r="F792" s="62">
        <v>2</v>
      </c>
      <c r="G792" s="62" t="s">
        <v>184</v>
      </c>
      <c r="H792" s="50">
        <f>VLOOKUP($A792,'[1]ma sp 02'!$A$5:$BD$1101,H$1,0)</f>
        <v>0.44</v>
      </c>
      <c r="I792" s="50">
        <f>VLOOKUP($A792,'[1]ma sp 02'!$A$5:$BD$1101,I$1,0)</f>
        <v>0</v>
      </c>
      <c r="J792" s="50">
        <f>VLOOKUP($A792,'[1]ma sp 02'!$A$5:$BD$1101,J$1,0)</f>
        <v>2.0129999999999999</v>
      </c>
      <c r="K792" s="50">
        <f>VLOOKUP($A792,'[1]ma sp 02'!$A$5:$BD$1101,K$1,0)</f>
        <v>0.44</v>
      </c>
      <c r="L792" s="50">
        <f>VLOOKUP($A792,'[1]ma sp 02'!$A$5:$BD$1101,L$1,0)</f>
        <v>2.68</v>
      </c>
      <c r="M792" s="50">
        <f>VLOOKUP($A792,'[1]ma sp 02'!$A$5:$BD$1101,M$1,0)</f>
        <v>0</v>
      </c>
      <c r="N792" s="50">
        <f>VLOOKUP($A792,'[1]ma sp 02'!$A$5:$BD$1101,N$1,0)</f>
        <v>0</v>
      </c>
      <c r="O792" s="50">
        <f>VLOOKUP($A792,'[1]ma sp 02'!$A$5:$BD$1101,O$1,0)</f>
        <v>0</v>
      </c>
      <c r="P792" s="50">
        <f>VLOOKUP($A792,'[1]ma sp 02'!$A$5:$BD$1101,P$1,0)</f>
        <v>0</v>
      </c>
      <c r="Q792" s="50">
        <f>VLOOKUP($A792,'[1]ma sp 02'!$A$5:$BD$1101,Q$1,0)</f>
        <v>0.01</v>
      </c>
      <c r="R792" s="50">
        <f>VLOOKUP($A792,'[1]ma sp 02'!$A$5:$BD$1101,R$1,0)</f>
        <v>0.01</v>
      </c>
      <c r="S792" s="50">
        <f>VLOOKUP($A792,'[1]ma sp 02'!$A$5:$BD$1101,S$1,0)</f>
        <v>0</v>
      </c>
      <c r="T792" s="50">
        <f>VLOOKUP($A792,'[1]ma sp 02'!$A$5:$BD$1101,T$1,0)</f>
        <v>2.23</v>
      </c>
      <c r="U792" s="50">
        <f>VLOOKUP($A792,'[1]ma sp 02'!$A$5:$BD$1101,U$1,0)</f>
        <v>0</v>
      </c>
      <c r="V792" s="50">
        <f>VLOOKUP($A792,'[1]ma sp 02'!$A$5:$BD$1101,V$1,0)</f>
        <v>0</v>
      </c>
      <c r="W792" s="50">
        <f>VLOOKUP($A792,'[1]ma sp 02'!$A$5:$BD$1101,W$1,0)</f>
        <v>0</v>
      </c>
      <c r="X792" s="50"/>
      <c r="Y792" s="62"/>
      <c r="Z792" s="62"/>
      <c r="AA792" s="62"/>
      <c r="AB792" s="62"/>
      <c r="AC792" s="62"/>
      <c r="AD792" s="62"/>
      <c r="AE792" s="62" t="s">
        <v>2540</v>
      </c>
      <c r="AF792" s="62"/>
      <c r="AG792" s="53">
        <f>(0.025*0.925+0.025*0.925)*1.19</f>
        <v>5.5037500000000003E-2</v>
      </c>
      <c r="AH792" s="54">
        <f>(2/0.75/2)*1.21</f>
        <v>1.6133333333333333</v>
      </c>
      <c r="AI792" s="54"/>
      <c r="AJ792" s="62">
        <v>9530</v>
      </c>
      <c r="AK792" s="62"/>
      <c r="AL792" s="9">
        <v>2E-3</v>
      </c>
      <c r="AM792" s="61" t="s">
        <v>1489</v>
      </c>
      <c r="AN792" s="62">
        <v>630</v>
      </c>
      <c r="AO792" s="61" t="s">
        <v>959</v>
      </c>
      <c r="AP792" s="59">
        <f>IFERROR(VLOOKUP($A792,[2]Mssp!$A$5:$BE$1463,AP$4+1,0),0)</f>
        <v>0</v>
      </c>
      <c r="AQ792" s="59">
        <f>IFERROR(VLOOKUP($A792,[2]Mssp!$A$5:$BE$1463,AQ$4+1,0),0)</f>
        <v>0</v>
      </c>
      <c r="AR792" s="59">
        <f>IFERROR(VLOOKUP($A792,[2]Mssp!$A$5:$BE$1463,AR$4+1,0),0)</f>
        <v>0</v>
      </c>
      <c r="AS792" s="59">
        <f>IFERROR(VLOOKUP($A792,[2]Mssp!$A$5:$BE$1463,AS$4+1,0),0)</f>
        <v>0</v>
      </c>
      <c r="AT792" s="59">
        <f>IFERROR(VLOOKUP($A792,[2]Mssp!$A$5:$BE$1463,AT$4+1,0),0)</f>
        <v>0</v>
      </c>
      <c r="AU792" s="59">
        <f>IFERROR(VLOOKUP($A792,[2]Mssp!$A$5:$BE$1463,AU$4+1,0),0)</f>
        <v>0</v>
      </c>
      <c r="AV792" s="59">
        <f>IFERROR(VLOOKUP($A792,[2]Mssp!$A$5:$BE$1463,AV$4+1,0),0)</f>
        <v>0</v>
      </c>
      <c r="AW792" s="59">
        <f>IFERROR(VLOOKUP($A792,[2]Mssp!$A$5:$BE$1463,AW$4+1,0),0)</f>
        <v>0</v>
      </c>
      <c r="AX792" s="59">
        <f>IFERROR(VLOOKUP($A792,[2]Mssp!$A$5:$BE$1463,AX$4+1,0),0)</f>
        <v>0</v>
      </c>
      <c r="AY792" s="59">
        <f>IFERROR(VLOOKUP($A792,[2]Mssp!$A$5:$BE$1463,AY$4+2,0),0)</f>
        <v>0</v>
      </c>
      <c r="AZ792" s="59">
        <f>IFERROR(VLOOKUP($A792,[2]Mssp!$A$5:$BE$1463,AZ$4+2,0),0)</f>
        <v>0</v>
      </c>
      <c r="BA792" s="141" t="s">
        <v>1936</v>
      </c>
      <c r="BB792" s="61" t="s">
        <v>952</v>
      </c>
      <c r="BC792" s="165"/>
      <c r="BD792" s="166"/>
      <c r="BE792" s="167"/>
      <c r="BF792" s="168"/>
      <c r="BG792" s="167"/>
      <c r="BH792" s="168"/>
      <c r="BI792" s="169"/>
      <c r="BJ792" s="168"/>
      <c r="BK792" s="134"/>
      <c r="BL792" s="168"/>
      <c r="BM792" s="167"/>
      <c r="BN792" s="168"/>
      <c r="BO792" s="62"/>
      <c r="BP792" s="168"/>
      <c r="BQ792" s="168"/>
      <c r="BR792" s="168"/>
      <c r="BS792" s="135"/>
      <c r="BT792" s="176"/>
      <c r="BU792" s="167"/>
      <c r="BV792" s="168"/>
      <c r="BW792" s="167"/>
      <c r="BX792" s="168"/>
      <c r="BY792" s="167"/>
      <c r="BZ792" s="176"/>
      <c r="CA792" s="167"/>
      <c r="CB792" s="168"/>
      <c r="CC792" s="167"/>
      <c r="CD792" s="168"/>
      <c r="CE792" s="62"/>
      <c r="CF792" s="62"/>
      <c r="CG792" s="9"/>
      <c r="CH792" s="9"/>
      <c r="CI792" s="9"/>
      <c r="CJ792" s="9"/>
      <c r="CK792" s="9"/>
      <c r="CL792" s="9"/>
      <c r="CM792" s="9"/>
      <c r="CN792" s="9"/>
      <c r="CO792" s="9"/>
      <c r="CP792" s="9"/>
    </row>
    <row r="793" spans="1:94" ht="60" x14ac:dyDescent="0.25">
      <c r="A793" s="127" t="s">
        <v>2541</v>
      </c>
      <c r="B793" s="51" t="s">
        <v>2542</v>
      </c>
      <c r="C793" s="62"/>
      <c r="D793" s="84">
        <v>1</v>
      </c>
      <c r="E793" s="62" t="s">
        <v>315</v>
      </c>
      <c r="F793" s="62">
        <v>8</v>
      </c>
      <c r="G793" s="62" t="s">
        <v>530</v>
      </c>
      <c r="H793" s="50">
        <f>VLOOKUP($A793,'[1]ma sp 02'!$A$5:$BD$1101,H$1,0)</f>
        <v>4.8000000000000001E-2</v>
      </c>
      <c r="I793" s="50">
        <f>VLOOKUP($A793,'[1]ma sp 02'!$A$5:$BD$1101,I$1,0)</f>
        <v>0.38700000000000001</v>
      </c>
      <c r="J793" s="50">
        <f>VLOOKUP($A793,'[1]ma sp 02'!$A$5:$BD$1101,J$1,0)</f>
        <v>0.58099999999999996</v>
      </c>
      <c r="K793" s="50">
        <f>VLOOKUP($A793,'[1]ma sp 02'!$A$5:$BD$1101,K$1,0)</f>
        <v>1.45</v>
      </c>
      <c r="L793" s="50">
        <f>VLOOKUP($A793,'[1]ma sp 02'!$A$5:$BD$1101,L$1,0)</f>
        <v>0.24</v>
      </c>
      <c r="M793" s="50">
        <f>VLOOKUP($A793,'[1]ma sp 02'!$A$5:$BD$1101,M$1,0)</f>
        <v>9.7000000000000003E-2</v>
      </c>
      <c r="N793" s="50">
        <f>VLOOKUP($A793,'[1]ma sp 02'!$A$5:$BD$1101,N$1,0)</f>
        <v>0.629</v>
      </c>
      <c r="O793" s="50">
        <f>VLOOKUP($A793,'[1]ma sp 02'!$A$5:$BD$1101,O$1,0)</f>
        <v>0</v>
      </c>
      <c r="P793" s="50">
        <f>VLOOKUP($A793,'[1]ma sp 02'!$A$5:$BD$1101,P$1,0)</f>
        <v>0</v>
      </c>
      <c r="Q793" s="50">
        <f>VLOOKUP($A793,'[1]ma sp 02'!$A$5:$BD$1101,Q$1,0)</f>
        <v>0</v>
      </c>
      <c r="R793" s="50">
        <f>VLOOKUP($A793,'[1]ma sp 02'!$A$5:$BD$1101,R$1,0)</f>
        <v>4.8000000000000001E-2</v>
      </c>
      <c r="S793" s="50">
        <f>VLOOKUP($A793,'[1]ma sp 02'!$A$5:$BD$1101,S$1,0)</f>
        <v>0</v>
      </c>
      <c r="T793" s="50">
        <f>VLOOKUP($A793,'[1]ma sp 02'!$A$5:$BD$1101,T$1,0)</f>
        <v>0</v>
      </c>
      <c r="U793" s="50">
        <f>VLOOKUP($A793,'[1]ma sp 02'!$A$5:$BD$1101,U$1,0)</f>
        <v>0</v>
      </c>
      <c r="V793" s="50">
        <f>VLOOKUP($A793,'[1]ma sp 02'!$A$5:$BD$1101,V$1,0)</f>
        <v>0</v>
      </c>
      <c r="W793" s="50">
        <f>VLOOKUP($A793,'[1]ma sp 02'!$A$5:$BD$1101,W$1,0)</f>
        <v>0</v>
      </c>
      <c r="X793" s="50"/>
      <c r="Y793" s="62"/>
      <c r="Z793" s="62"/>
      <c r="AA793" s="62"/>
      <c r="AB793" s="62"/>
      <c r="AC793" s="62"/>
      <c r="AD793" s="62"/>
      <c r="AE793" s="62" t="s">
        <v>525</v>
      </c>
      <c r="AF793" s="62" t="s">
        <v>2543</v>
      </c>
      <c r="AG793" s="53">
        <f>(0.012*1.4+0.012*1.4+0.17*0.925)*0.82</f>
        <v>0.156497</v>
      </c>
      <c r="AH793" s="54">
        <f>(3/0.75/2)*0.81</f>
        <v>1.62</v>
      </c>
      <c r="AI793" s="54">
        <f>(3.5/0.75/2)*0.81</f>
        <v>1.8900000000000003</v>
      </c>
      <c r="AJ793" s="9">
        <v>9530</v>
      </c>
      <c r="AK793" s="9">
        <v>6260</v>
      </c>
      <c r="AL793" s="9" t="s">
        <v>2544</v>
      </c>
      <c r="AM793" s="61" t="s">
        <v>2545</v>
      </c>
      <c r="AN793" s="62">
        <v>229</v>
      </c>
      <c r="AO793" s="61" t="s">
        <v>2546</v>
      </c>
      <c r="AP793" s="59" t="str">
        <f>IFERROR(VLOOKUP($A793,[2]Mssp!$A$5:$BE$1463,AP$4+1,0),0)</f>
        <v>F126819-1</v>
      </c>
      <c r="AQ793" s="59" t="str">
        <f>IFERROR(VLOOKUP($A793,[2]Mssp!$A$5:$BE$1463,AQ$4+1,0),0)</f>
        <v>F126819-2</v>
      </c>
      <c r="AR793" s="59" t="str">
        <f>IFERROR(VLOOKUP($A793,[2]Mssp!$A$5:$BE$1463,AR$4+1,0),0)</f>
        <v>F126819-3</v>
      </c>
      <c r="AS793" s="59" t="str">
        <f>IFERROR(VLOOKUP($A793,[2]Mssp!$A$5:$BE$1463,AS$4+1,0),0)</f>
        <v>F126819-4</v>
      </c>
      <c r="AT793" s="59" t="str">
        <f>IFERROR(VLOOKUP($A793,[2]Mssp!$A$5:$BE$1463,AT$4+1,0),0)</f>
        <v>F126819-5</v>
      </c>
      <c r="AU793" s="59" t="str">
        <f>IFERROR(VLOOKUP($A793,[2]Mssp!$A$5:$BE$1463,AU$4+1,0),0)</f>
        <v>F126819-6</v>
      </c>
      <c r="AV793" s="59" t="str">
        <f>IFERROR(VLOOKUP($A793,[2]Mssp!$A$5:$BE$1463,AV$4+1,0),0)</f>
        <v>F126819-7</v>
      </c>
      <c r="AW793" s="59" t="str">
        <f>IFERROR(VLOOKUP($A793,[2]Mssp!$A$5:$BE$1463,AW$4+1,0),0)</f>
        <v>F126819-8</v>
      </c>
      <c r="AX793" s="59">
        <f>IFERROR(VLOOKUP($A793,[2]Mssp!$A$5:$BE$1463,AX$4+1,0),0)</f>
        <v>0</v>
      </c>
      <c r="AY793" s="59" t="str">
        <f>IFERROR(VLOOKUP($A793,[2]Mssp!$A$5:$BE$1463,AY$4+2,0),0)</f>
        <v>458x880</v>
      </c>
      <c r="AZ793" s="59">
        <f>IFERROR(VLOOKUP($A793,[2]Mssp!$A$5:$BE$1463,AZ$4+2,0),0)</f>
        <v>0</v>
      </c>
      <c r="BA793" s="141"/>
      <c r="BB793" s="61"/>
      <c r="BC793" s="165"/>
      <c r="BD793" s="166"/>
      <c r="BE793" s="167"/>
      <c r="BF793" s="168"/>
      <c r="BG793" s="167"/>
      <c r="BH793" s="168"/>
      <c r="BI793" s="169"/>
      <c r="BJ793" s="168"/>
      <c r="BK793" s="134"/>
      <c r="BL793" s="168"/>
      <c r="BM793" s="167"/>
      <c r="BN793" s="168"/>
      <c r="BO793" s="62"/>
      <c r="BP793" s="168"/>
      <c r="BQ793" s="168"/>
      <c r="BR793" s="168"/>
      <c r="BS793" s="135"/>
      <c r="BT793" s="176"/>
      <c r="BU793" s="167"/>
      <c r="BV793" s="168"/>
      <c r="BW793" s="167"/>
      <c r="BX793" s="168"/>
      <c r="BY793" s="167"/>
      <c r="BZ793" s="176"/>
      <c r="CA793" s="167"/>
      <c r="CB793" s="168"/>
      <c r="CC793" s="167"/>
      <c r="CD793" s="168"/>
      <c r="CE793" s="62"/>
      <c r="CF793" s="62"/>
      <c r="CG793" s="9"/>
      <c r="CH793" s="9"/>
      <c r="CI793" s="9"/>
      <c r="CJ793" s="9"/>
      <c r="CK793" s="9"/>
      <c r="CL793" s="9"/>
      <c r="CM793" s="9"/>
      <c r="CN793" s="9"/>
      <c r="CO793" s="9"/>
      <c r="CP793" s="9"/>
    </row>
    <row r="794" spans="1:94" ht="30" x14ac:dyDescent="0.25">
      <c r="A794" s="127" t="s">
        <v>2547</v>
      </c>
      <c r="B794" s="51" t="s">
        <v>2548</v>
      </c>
      <c r="C794" s="62"/>
      <c r="D794" s="84">
        <v>3</v>
      </c>
      <c r="E794" s="62" t="s">
        <v>1023</v>
      </c>
      <c r="F794" s="62">
        <v>2</v>
      </c>
      <c r="G794" s="62"/>
      <c r="H794" s="50">
        <f>VLOOKUP($A794,'[1]ma sp 02'!$A$5:$BD$1101,H$1,0)</f>
        <v>0</v>
      </c>
      <c r="I794" s="50">
        <f>VLOOKUP($A794,'[1]ma sp 02'!$A$5:$BD$1101,I$1,0)</f>
        <v>0</v>
      </c>
      <c r="J794" s="50">
        <f>VLOOKUP($A794,'[1]ma sp 02'!$A$5:$BD$1101,J$1,0)</f>
        <v>0.216</v>
      </c>
      <c r="K794" s="50">
        <f>VLOOKUP($A794,'[1]ma sp 02'!$A$5:$BD$1101,K$1,0)</f>
        <v>0.01</v>
      </c>
      <c r="L794" s="50">
        <f>VLOOKUP($A794,'[1]ma sp 02'!$A$5:$BD$1101,L$1,0)</f>
        <v>2.8079999999999998</v>
      </c>
      <c r="M794" s="50">
        <f>VLOOKUP($A794,'[1]ma sp 02'!$A$5:$BD$1101,M$1,0)</f>
        <v>1.728</v>
      </c>
      <c r="N794" s="50">
        <f>VLOOKUP($A794,'[1]ma sp 02'!$A$5:$BD$1101,N$1,0)</f>
        <v>0</v>
      </c>
      <c r="O794" s="50">
        <f>VLOOKUP($A794,'[1]ma sp 02'!$A$5:$BD$1101,O$1,0)</f>
        <v>0</v>
      </c>
      <c r="P794" s="50">
        <f>VLOOKUP($A794,'[1]ma sp 02'!$A$5:$BD$1101,P$1,0)</f>
        <v>0</v>
      </c>
      <c r="Q794" s="50">
        <f>VLOOKUP($A794,'[1]ma sp 02'!$A$5:$BD$1101,Q$1,0)</f>
        <v>0</v>
      </c>
      <c r="R794" s="50">
        <f>VLOOKUP($A794,'[1]ma sp 02'!$A$5:$BD$1101,R$1,0)</f>
        <v>0</v>
      </c>
      <c r="S794" s="50">
        <f>VLOOKUP($A794,'[1]ma sp 02'!$A$5:$BD$1101,S$1,0)</f>
        <v>0</v>
      </c>
      <c r="T794" s="50">
        <f>VLOOKUP($A794,'[1]ma sp 02'!$A$5:$BD$1101,T$1,0)</f>
        <v>0</v>
      </c>
      <c r="U794" s="50">
        <f>VLOOKUP($A794,'[1]ma sp 02'!$A$5:$BD$1101,U$1,0)</f>
        <v>0</v>
      </c>
      <c r="V794" s="50">
        <f>VLOOKUP($A794,'[1]ma sp 02'!$A$5:$BD$1101,V$1,0)</f>
        <v>0</v>
      </c>
      <c r="W794" s="50">
        <f>VLOOKUP($A794,'[1]ma sp 02'!$A$5:$BD$1101,W$1,0)</f>
        <v>0</v>
      </c>
      <c r="X794" s="50"/>
      <c r="Y794" s="62"/>
      <c r="Z794" s="62"/>
      <c r="AA794" s="62"/>
      <c r="AB794" s="62"/>
      <c r="AC794" s="62"/>
      <c r="AD794" s="62"/>
      <c r="AE794" s="62" t="s">
        <v>2408</v>
      </c>
      <c r="AF794" s="62"/>
      <c r="AG794" s="53">
        <f>(0.03*0.91+0.035*0.925)*0.8</f>
        <v>4.7740000000000005E-2</v>
      </c>
      <c r="AH794" s="54">
        <f>(2.3/0.75/2)*0.79</f>
        <v>1.2113333333333334</v>
      </c>
      <c r="AI794" s="54"/>
      <c r="AJ794" s="9">
        <v>9530</v>
      </c>
      <c r="AK794" s="62"/>
      <c r="AL794" s="9">
        <v>2.3E-3</v>
      </c>
      <c r="AM794" s="61" t="s">
        <v>1489</v>
      </c>
      <c r="AN794" s="62">
        <v>170</v>
      </c>
      <c r="AO794" s="61" t="s">
        <v>209</v>
      </c>
      <c r="AP794" s="59" t="str">
        <f>IFERROR(VLOOKUP($A794,[2]Mssp!$A$5:$BE$1463,AP$4+1,0),0)</f>
        <v>20100218-1</v>
      </c>
      <c r="AQ794" s="59" t="str">
        <f>IFERROR(VLOOKUP($A794,[2]Mssp!$A$5:$BE$1463,AQ$4+1,0),0)</f>
        <v>20100218-2</v>
      </c>
      <c r="AR794" s="59">
        <f>IFERROR(VLOOKUP($A794,[2]Mssp!$A$5:$BE$1463,AR$4+1,0),0)</f>
        <v>0</v>
      </c>
      <c r="AS794" s="59">
        <f>IFERROR(VLOOKUP($A794,[2]Mssp!$A$5:$BE$1463,AS$4+1,0),0)</f>
        <v>0</v>
      </c>
      <c r="AT794" s="59">
        <f>IFERROR(VLOOKUP($A794,[2]Mssp!$A$5:$BE$1463,AT$4+1,0),0)</f>
        <v>0</v>
      </c>
      <c r="AU794" s="59">
        <f>IFERROR(VLOOKUP($A794,[2]Mssp!$A$5:$BE$1463,AU$4+1,0),0)</f>
        <v>0</v>
      </c>
      <c r="AV794" s="59">
        <f>IFERROR(VLOOKUP($A794,[2]Mssp!$A$5:$BE$1463,AV$4+1,0),0)</f>
        <v>0</v>
      </c>
      <c r="AW794" s="59">
        <f>IFERROR(VLOOKUP($A794,[2]Mssp!$A$5:$BE$1463,AW$4+1,0),0)</f>
        <v>0</v>
      </c>
      <c r="AX794" s="59">
        <f>IFERROR(VLOOKUP($A794,[2]Mssp!$A$5:$BE$1463,AX$4+1,0),0)</f>
        <v>0</v>
      </c>
      <c r="AY794" s="59">
        <f>IFERROR(VLOOKUP($A794,[2]Mssp!$A$5:$BE$1463,AY$4+2,0),0)</f>
        <v>0</v>
      </c>
      <c r="AZ794" s="59">
        <f>IFERROR(VLOOKUP($A794,[2]Mssp!$A$5:$BE$1463,AZ$4+2,0),0)</f>
        <v>0</v>
      </c>
      <c r="BA794" s="141"/>
      <c r="BB794" s="61"/>
      <c r="BC794" s="165"/>
      <c r="BD794" s="166"/>
      <c r="BE794" s="167"/>
      <c r="BF794" s="168"/>
      <c r="BG794" s="167"/>
      <c r="BH794" s="168"/>
      <c r="BI794" s="169"/>
      <c r="BJ794" s="168"/>
      <c r="BK794" s="134"/>
      <c r="BL794" s="168"/>
      <c r="BM794" s="167"/>
      <c r="BN794" s="168"/>
      <c r="BO794" s="62"/>
      <c r="BP794" s="168"/>
      <c r="BQ794" s="168"/>
      <c r="BR794" s="168"/>
      <c r="BS794" s="135"/>
      <c r="BT794" s="176"/>
      <c r="BU794" s="167"/>
      <c r="BV794" s="168"/>
      <c r="BW794" s="167"/>
      <c r="BX794" s="168"/>
      <c r="BY794" s="167"/>
      <c r="BZ794" s="176"/>
      <c r="CA794" s="167"/>
      <c r="CB794" s="168"/>
      <c r="CC794" s="167"/>
      <c r="CD794" s="168"/>
      <c r="CE794" s="62"/>
      <c r="CF794" s="62"/>
      <c r="CG794" s="9"/>
      <c r="CH794" s="9"/>
      <c r="CI794" s="9"/>
      <c r="CJ794" s="9"/>
      <c r="CK794" s="9"/>
      <c r="CL794" s="9"/>
      <c r="CM794" s="9"/>
      <c r="CN794" s="9"/>
      <c r="CO794" s="9"/>
      <c r="CP794" s="9"/>
    </row>
    <row r="795" spans="1:94" ht="30" x14ac:dyDescent="0.25">
      <c r="A795" s="127" t="s">
        <v>2549</v>
      </c>
      <c r="B795" s="51" t="s">
        <v>2550</v>
      </c>
      <c r="C795" s="62"/>
      <c r="D795" s="84">
        <v>4</v>
      </c>
      <c r="E795" s="62" t="s">
        <v>192</v>
      </c>
      <c r="F795" s="62">
        <v>6</v>
      </c>
      <c r="G795" s="62" t="s">
        <v>184</v>
      </c>
      <c r="H795" s="50">
        <f>VLOOKUP($A795,'[1]ma sp 02'!$A$5:$BD$1101,H$1,0)</f>
        <v>0.216</v>
      </c>
      <c r="I795" s="50">
        <f>VLOOKUP($A795,'[1]ma sp 02'!$A$5:$BD$1101,I$1,0)</f>
        <v>6.63</v>
      </c>
      <c r="J795" s="50">
        <f>VLOOKUP($A795,'[1]ma sp 02'!$A$5:$BD$1101,J$1,0)</f>
        <v>0.216</v>
      </c>
      <c r="K795" s="50">
        <f>VLOOKUP($A795,'[1]ma sp 02'!$A$5:$BD$1101,K$1,0)</f>
        <v>7.1999999999999995E-2</v>
      </c>
      <c r="L795" s="50">
        <f>VLOOKUP($A795,'[1]ma sp 02'!$A$5:$BD$1101,L$1,0)</f>
        <v>3.53</v>
      </c>
      <c r="M795" s="50">
        <f>VLOOKUP($A795,'[1]ma sp 02'!$A$5:$BD$1101,M$1,0)</f>
        <v>0</v>
      </c>
      <c r="N795" s="50">
        <f>VLOOKUP($A795,'[1]ma sp 02'!$A$5:$BD$1101,N$1,0)</f>
        <v>0</v>
      </c>
      <c r="O795" s="50">
        <f>VLOOKUP($A795,'[1]ma sp 02'!$A$5:$BD$1101,O$1,0)</f>
        <v>0.01</v>
      </c>
      <c r="P795" s="50">
        <f>VLOOKUP($A795,'[1]ma sp 02'!$A$5:$BD$1101,P$1,0)</f>
        <v>0</v>
      </c>
      <c r="Q795" s="50">
        <f>VLOOKUP($A795,'[1]ma sp 02'!$A$5:$BD$1101,Q$1,0)</f>
        <v>0</v>
      </c>
      <c r="R795" s="50">
        <f>VLOOKUP($A795,'[1]ma sp 02'!$A$5:$BD$1101,R$1,0)</f>
        <v>0</v>
      </c>
      <c r="S795" s="50">
        <f>VLOOKUP($A795,'[1]ma sp 02'!$A$5:$BD$1101,S$1,0)</f>
        <v>0</v>
      </c>
      <c r="T795" s="50">
        <f>VLOOKUP($A795,'[1]ma sp 02'!$A$5:$BD$1101,T$1,0)</f>
        <v>0</v>
      </c>
      <c r="U795" s="50">
        <f>VLOOKUP($A795,'[1]ma sp 02'!$A$5:$BD$1101,U$1,0)</f>
        <v>0</v>
      </c>
      <c r="V795" s="50">
        <f>VLOOKUP($A795,'[1]ma sp 02'!$A$5:$BD$1101,V$1,0)</f>
        <v>0</v>
      </c>
      <c r="W795" s="50">
        <f>VLOOKUP($A795,'[1]ma sp 02'!$A$5:$BD$1101,W$1,0)</f>
        <v>0</v>
      </c>
      <c r="X795" s="50"/>
      <c r="Y795" s="62"/>
      <c r="Z795" s="62"/>
      <c r="AA795" s="62"/>
      <c r="AB795" s="62"/>
      <c r="AC795" s="62"/>
      <c r="AD795" s="62"/>
      <c r="AE795" s="62" t="s">
        <v>193</v>
      </c>
      <c r="AF795" s="62"/>
      <c r="AG795" s="53">
        <f>(0.02*0.91+0.035*0.91)*0.64</f>
        <v>3.2032000000000005E-2</v>
      </c>
      <c r="AH795" s="54">
        <f>(2.3/0.75/2)*0.63</f>
        <v>0.96599999999999997</v>
      </c>
      <c r="AI795" s="54"/>
      <c r="AJ795" s="9">
        <v>9530</v>
      </c>
      <c r="AK795" s="62"/>
      <c r="AL795" s="9">
        <v>2.3E-3</v>
      </c>
      <c r="AM795" s="61" t="s">
        <v>1489</v>
      </c>
      <c r="AN795" s="62">
        <v>66</v>
      </c>
      <c r="AO795" s="61" t="s">
        <v>195</v>
      </c>
      <c r="AP795" s="59" t="str">
        <f>IFERROR(VLOOKUP($A795,[2]Mssp!$A$5:$BE$1463,AP$4+1,0),0)</f>
        <v>F127056-1</v>
      </c>
      <c r="AQ795" s="59" t="str">
        <f>IFERROR(VLOOKUP($A795,[2]Mssp!$A$5:$BE$1463,AQ$4+1,0),0)</f>
        <v>F127056-2</v>
      </c>
      <c r="AR795" s="59" t="str">
        <f>IFERROR(VLOOKUP($A795,[2]Mssp!$A$5:$BE$1463,AR$4+1,0),0)</f>
        <v>F127056-3</v>
      </c>
      <c r="AS795" s="59" t="str">
        <f>IFERROR(VLOOKUP($A795,[2]Mssp!$A$5:$BE$1463,AS$4+1,0),0)</f>
        <v>F127056-4</v>
      </c>
      <c r="AT795" s="59" t="str">
        <f>IFERROR(VLOOKUP($A795,[2]Mssp!$A$5:$BE$1463,AT$4+1,0),0)</f>
        <v>F127056-5</v>
      </c>
      <c r="AU795" s="59" t="str">
        <f>IFERROR(VLOOKUP($A795,[2]Mssp!$A$5:$BE$1463,AU$4+1,0),0)</f>
        <v>F127056-6</v>
      </c>
      <c r="AV795" s="59">
        <f>IFERROR(VLOOKUP($A795,[2]Mssp!$A$5:$BE$1463,AV$4+1,0),0)</f>
        <v>0</v>
      </c>
      <c r="AW795" s="59">
        <f>IFERROR(VLOOKUP($A795,[2]Mssp!$A$5:$BE$1463,AW$4+1,0),0)</f>
        <v>0</v>
      </c>
      <c r="AX795" s="59">
        <f>IFERROR(VLOOKUP($A795,[2]Mssp!$A$5:$BE$1463,AX$4+1,0),0)</f>
        <v>0</v>
      </c>
      <c r="AY795" s="59" t="str">
        <f>IFERROR(VLOOKUP($A795,[2]Mssp!$A$5:$BE$1463,AY$4+2,0),0)</f>
        <v>462x870</v>
      </c>
      <c r="AZ795" s="59">
        <f>IFERROR(VLOOKUP($A795,[2]Mssp!$A$5:$BE$1463,AZ$4+2,0),0)</f>
        <v>0</v>
      </c>
      <c r="BA795" s="141"/>
      <c r="BB795" s="61" t="s">
        <v>952</v>
      </c>
      <c r="BC795" s="165"/>
      <c r="BD795" s="166"/>
      <c r="BE795" s="167"/>
      <c r="BF795" s="168"/>
      <c r="BG795" s="167"/>
      <c r="BH795" s="168"/>
      <c r="BI795" s="169"/>
      <c r="BJ795" s="168"/>
      <c r="BK795" s="134"/>
      <c r="BL795" s="168"/>
      <c r="BM795" s="167"/>
      <c r="BN795" s="168"/>
      <c r="BO795" s="62"/>
      <c r="BP795" s="168"/>
      <c r="BQ795" s="168"/>
      <c r="BR795" s="168"/>
      <c r="BS795" s="135"/>
      <c r="BT795" s="176"/>
      <c r="BU795" s="167"/>
      <c r="BV795" s="168"/>
      <c r="BW795" s="167"/>
      <c r="BX795" s="168"/>
      <c r="BY795" s="167"/>
      <c r="BZ795" s="176"/>
      <c r="CA795" s="167"/>
      <c r="CB795" s="168"/>
      <c r="CC795" s="167"/>
      <c r="CD795" s="168"/>
      <c r="CE795" s="62"/>
      <c r="CF795" s="62"/>
      <c r="CG795" s="9"/>
      <c r="CH795" s="9"/>
      <c r="CI795" s="9"/>
      <c r="CJ795" s="9"/>
      <c r="CK795" s="9"/>
      <c r="CL795" s="9"/>
      <c r="CM795" s="9"/>
      <c r="CN795" s="9"/>
      <c r="CO795" s="9"/>
      <c r="CP795" s="9"/>
    </row>
    <row r="796" spans="1:94" ht="30" x14ac:dyDescent="0.25">
      <c r="A796" s="127" t="s">
        <v>2551</v>
      </c>
      <c r="B796" s="51" t="s">
        <v>2552</v>
      </c>
      <c r="C796" s="62"/>
      <c r="D796" s="84">
        <v>4</v>
      </c>
      <c r="E796" s="62" t="s">
        <v>192</v>
      </c>
      <c r="F796" s="62">
        <v>6</v>
      </c>
      <c r="G796" s="62" t="s">
        <v>184</v>
      </c>
      <c r="H796" s="50">
        <f>VLOOKUP($A796,'[1]ma sp 02'!$A$5:$BD$1101,H$1,0)</f>
        <v>0.14399999999999999</v>
      </c>
      <c r="I796" s="50">
        <f>VLOOKUP($A796,'[1]ma sp 02'!$A$5:$BD$1101,I$1,0)</f>
        <v>4.6120000000000001</v>
      </c>
      <c r="J796" s="50">
        <f>VLOOKUP($A796,'[1]ma sp 02'!$A$5:$BD$1101,J$1,0)</f>
        <v>0.36</v>
      </c>
      <c r="K796" s="50">
        <f>VLOOKUP($A796,'[1]ma sp 02'!$A$5:$BD$1101,K$1,0)</f>
        <v>0.28799999999999998</v>
      </c>
      <c r="L796" s="50">
        <f>VLOOKUP($A796,'[1]ma sp 02'!$A$5:$BD$1101,L$1,0)</f>
        <v>2.66</v>
      </c>
      <c r="M796" s="50">
        <f>VLOOKUP($A796,'[1]ma sp 02'!$A$5:$BD$1101,M$1,0)</f>
        <v>0.432</v>
      </c>
      <c r="N796" s="50">
        <f>VLOOKUP($A796,'[1]ma sp 02'!$A$5:$BD$1101,N$1,0)</f>
        <v>0</v>
      </c>
      <c r="O796" s="50">
        <f>VLOOKUP($A796,'[1]ma sp 02'!$A$5:$BD$1101,O$1,0)</f>
        <v>0</v>
      </c>
      <c r="P796" s="50">
        <f>VLOOKUP($A796,'[1]ma sp 02'!$A$5:$BD$1101,P$1,0)</f>
        <v>0.14399999999999999</v>
      </c>
      <c r="Q796" s="50">
        <f>VLOOKUP($A796,'[1]ma sp 02'!$A$5:$BD$1101,Q$1,0)</f>
        <v>0</v>
      </c>
      <c r="R796" s="50">
        <f>VLOOKUP($A796,'[1]ma sp 02'!$A$5:$BD$1101,R$1,0)</f>
        <v>0</v>
      </c>
      <c r="S796" s="50">
        <f>VLOOKUP($A796,'[1]ma sp 02'!$A$5:$BD$1101,S$1,0)</f>
        <v>0</v>
      </c>
      <c r="T796" s="50">
        <f>VLOOKUP($A796,'[1]ma sp 02'!$A$5:$BD$1101,T$1,0)</f>
        <v>0</v>
      </c>
      <c r="U796" s="50">
        <f>VLOOKUP($A796,'[1]ma sp 02'!$A$5:$BD$1101,U$1,0)</f>
        <v>0</v>
      </c>
      <c r="V796" s="50">
        <f>VLOOKUP($A796,'[1]ma sp 02'!$A$5:$BD$1101,V$1,0)</f>
        <v>0</v>
      </c>
      <c r="W796" s="50">
        <f>VLOOKUP($A796,'[1]ma sp 02'!$A$5:$BD$1101,W$1,0)</f>
        <v>0</v>
      </c>
      <c r="X796" s="50"/>
      <c r="Y796" s="62"/>
      <c r="Z796" s="62"/>
      <c r="AA796" s="62"/>
      <c r="AB796" s="62"/>
      <c r="AC796" s="62"/>
      <c r="AD796" s="62"/>
      <c r="AE796" s="62" t="s">
        <v>193</v>
      </c>
      <c r="AF796" s="62"/>
      <c r="AG796" s="53">
        <f t="shared" ref="AG796:AG798" si="34">(0.02*0.91+0.035*0.91)*0.64</f>
        <v>3.2032000000000005E-2</v>
      </c>
      <c r="AH796" s="54">
        <f t="shared" ref="AH796:AH798" si="35">(2.3/0.75/2)*0.63</f>
        <v>0.96599999999999997</v>
      </c>
      <c r="AI796" s="54"/>
      <c r="AJ796" s="9">
        <v>9530</v>
      </c>
      <c r="AK796" s="62"/>
      <c r="AL796" s="9">
        <v>2.3E-3</v>
      </c>
      <c r="AM796" s="61" t="s">
        <v>1489</v>
      </c>
      <c r="AN796" s="62">
        <v>66</v>
      </c>
      <c r="AO796" s="61" t="s">
        <v>195</v>
      </c>
      <c r="AP796" s="59" t="str">
        <f>IFERROR(VLOOKUP($A796,[2]Mssp!$A$5:$BE$1463,AP$4+1,0),0)</f>
        <v>F127058-1</v>
      </c>
      <c r="AQ796" s="59" t="str">
        <f>IFERROR(VLOOKUP($A796,[2]Mssp!$A$5:$BE$1463,AQ$4+1,0),0)</f>
        <v>F127058-2</v>
      </c>
      <c r="AR796" s="59" t="str">
        <f>IFERROR(VLOOKUP($A796,[2]Mssp!$A$5:$BE$1463,AR$4+1,0),0)</f>
        <v>F127058-3</v>
      </c>
      <c r="AS796" s="59" t="str">
        <f>IFERROR(VLOOKUP($A796,[2]Mssp!$A$5:$BE$1463,AS$4+1,0),0)</f>
        <v>F127058-4</v>
      </c>
      <c r="AT796" s="59" t="str">
        <f>IFERROR(VLOOKUP($A796,[2]Mssp!$A$5:$BE$1463,AT$4+1,0),0)</f>
        <v>F127058-5</v>
      </c>
      <c r="AU796" s="59" t="str">
        <f>IFERROR(VLOOKUP($A796,[2]Mssp!$A$5:$BE$1463,AU$4+1,0),0)</f>
        <v>F127056-6</v>
      </c>
      <c r="AV796" s="59">
        <f>IFERROR(VLOOKUP($A796,[2]Mssp!$A$5:$BE$1463,AV$4+1,0),0)</f>
        <v>0</v>
      </c>
      <c r="AW796" s="59">
        <f>IFERROR(VLOOKUP($A796,[2]Mssp!$A$5:$BE$1463,AW$4+1,0),0)</f>
        <v>0</v>
      </c>
      <c r="AX796" s="59">
        <f>IFERROR(VLOOKUP($A796,[2]Mssp!$A$5:$BE$1463,AX$4+1,0),0)</f>
        <v>0</v>
      </c>
      <c r="AY796" s="59" t="str">
        <f>IFERROR(VLOOKUP($A796,[2]Mssp!$A$5:$BE$1463,AY$4+2,0),0)</f>
        <v>462x870</v>
      </c>
      <c r="AZ796" s="59">
        <f>IFERROR(VLOOKUP($A796,[2]Mssp!$A$5:$BE$1463,AZ$4+2,0),0)</f>
        <v>0</v>
      </c>
      <c r="BA796" s="141"/>
      <c r="BB796" s="61"/>
      <c r="BC796" s="165"/>
      <c r="BD796" s="166"/>
      <c r="BE796" s="167"/>
      <c r="BF796" s="168"/>
      <c r="BG796" s="167"/>
      <c r="BH796" s="168"/>
      <c r="BI796" s="169"/>
      <c r="BJ796" s="168"/>
      <c r="BK796" s="134"/>
      <c r="BL796" s="168"/>
      <c r="BM796" s="167"/>
      <c r="BN796" s="168"/>
      <c r="BO796" s="62"/>
      <c r="BP796" s="168"/>
      <c r="BQ796" s="168"/>
      <c r="BR796" s="168"/>
      <c r="BS796" s="135"/>
      <c r="BT796" s="176"/>
      <c r="BU796" s="167"/>
      <c r="BV796" s="168"/>
      <c r="BW796" s="167"/>
      <c r="BX796" s="168"/>
      <c r="BY796" s="167"/>
      <c r="BZ796" s="176"/>
      <c r="CA796" s="167"/>
      <c r="CB796" s="168"/>
      <c r="CC796" s="167"/>
      <c r="CD796" s="168"/>
      <c r="CE796" s="62"/>
      <c r="CF796" s="62"/>
      <c r="CG796" s="9"/>
      <c r="CH796" s="9"/>
      <c r="CI796" s="9"/>
      <c r="CJ796" s="9"/>
      <c r="CK796" s="9"/>
      <c r="CL796" s="9"/>
      <c r="CM796" s="9"/>
      <c r="CN796" s="9"/>
      <c r="CO796" s="9"/>
      <c r="CP796" s="9"/>
    </row>
    <row r="797" spans="1:94" ht="30" x14ac:dyDescent="0.25">
      <c r="A797" s="127" t="s">
        <v>2553</v>
      </c>
      <c r="B797" s="51" t="s">
        <v>2554</v>
      </c>
      <c r="C797" s="62"/>
      <c r="D797" s="84">
        <v>4</v>
      </c>
      <c r="E797" s="62" t="s">
        <v>192</v>
      </c>
      <c r="F797" s="62">
        <v>6</v>
      </c>
      <c r="G797" s="62" t="s">
        <v>184</v>
      </c>
      <c r="H797" s="50">
        <f>VLOOKUP($A797,'[1]ma sp 02'!$A$5:$BD$1101,H$1,0)</f>
        <v>0.504</v>
      </c>
      <c r="I797" s="50">
        <f>VLOOKUP($A797,'[1]ma sp 02'!$A$5:$BD$1101,I$1,0)</f>
        <v>5.47</v>
      </c>
      <c r="J797" s="50">
        <f>VLOOKUP($A797,'[1]ma sp 02'!$A$5:$BD$1101,J$1,0)</f>
        <v>0.216</v>
      </c>
      <c r="K797" s="50">
        <f>VLOOKUP($A797,'[1]ma sp 02'!$A$5:$BD$1101,K$1,0)</f>
        <v>7.1999999999999995E-2</v>
      </c>
      <c r="L797" s="50">
        <f>VLOOKUP($A797,'[1]ma sp 02'!$A$5:$BD$1101,L$1,0)</f>
        <v>2.5939999999999999</v>
      </c>
      <c r="M797" s="50">
        <f>VLOOKUP($A797,'[1]ma sp 02'!$A$5:$BD$1101,M$1,0)</f>
        <v>0</v>
      </c>
      <c r="N797" s="50">
        <f>VLOOKUP($A797,'[1]ma sp 02'!$A$5:$BD$1101,N$1,0)</f>
        <v>0</v>
      </c>
      <c r="O797" s="50">
        <f>VLOOKUP($A797,'[1]ma sp 02'!$A$5:$BD$1101,O$1,0)</f>
        <v>0</v>
      </c>
      <c r="P797" s="50">
        <f>VLOOKUP($A797,'[1]ma sp 02'!$A$5:$BD$1101,P$1,0)</f>
        <v>0</v>
      </c>
      <c r="Q797" s="50">
        <f>VLOOKUP($A797,'[1]ma sp 02'!$A$5:$BD$1101,Q$1,0)</f>
        <v>0</v>
      </c>
      <c r="R797" s="50">
        <f>VLOOKUP($A797,'[1]ma sp 02'!$A$5:$BD$1101,R$1,0)</f>
        <v>0</v>
      </c>
      <c r="S797" s="50">
        <f>VLOOKUP($A797,'[1]ma sp 02'!$A$5:$BD$1101,S$1,0)</f>
        <v>0</v>
      </c>
      <c r="T797" s="50">
        <f>VLOOKUP($A797,'[1]ma sp 02'!$A$5:$BD$1101,T$1,0)</f>
        <v>0</v>
      </c>
      <c r="U797" s="50">
        <f>VLOOKUP($A797,'[1]ma sp 02'!$A$5:$BD$1101,U$1,0)</f>
        <v>0</v>
      </c>
      <c r="V797" s="50">
        <f>VLOOKUP($A797,'[1]ma sp 02'!$A$5:$BD$1101,V$1,0)</f>
        <v>0</v>
      </c>
      <c r="W797" s="50">
        <f>VLOOKUP($A797,'[1]ma sp 02'!$A$5:$BD$1101,W$1,0)</f>
        <v>0</v>
      </c>
      <c r="X797" s="50"/>
      <c r="Y797" s="62"/>
      <c r="Z797" s="62"/>
      <c r="AA797" s="62"/>
      <c r="AB797" s="62"/>
      <c r="AC797" s="62"/>
      <c r="AD797" s="62"/>
      <c r="AE797" s="62" t="s">
        <v>193</v>
      </c>
      <c r="AF797" s="62"/>
      <c r="AG797" s="53">
        <f t="shared" si="34"/>
        <v>3.2032000000000005E-2</v>
      </c>
      <c r="AH797" s="54">
        <f t="shared" si="35"/>
        <v>0.96599999999999997</v>
      </c>
      <c r="AI797" s="54"/>
      <c r="AJ797" s="9">
        <v>9530</v>
      </c>
      <c r="AK797" s="62"/>
      <c r="AL797" s="9">
        <v>2.3E-3</v>
      </c>
      <c r="AM797" s="61" t="s">
        <v>1489</v>
      </c>
      <c r="AN797" s="62">
        <v>66</v>
      </c>
      <c r="AO797" s="61" t="s">
        <v>195</v>
      </c>
      <c r="AP797" s="59" t="str">
        <f>IFERROR(VLOOKUP($A797,[2]Mssp!$A$5:$BE$1463,AP$4+1,0),0)</f>
        <v>F127059-1</v>
      </c>
      <c r="AQ797" s="59" t="str">
        <f>IFERROR(VLOOKUP($A797,[2]Mssp!$A$5:$BE$1463,AQ$4+1,0),0)</f>
        <v>F127059-2</v>
      </c>
      <c r="AR797" s="59" t="str">
        <f>IFERROR(VLOOKUP($A797,[2]Mssp!$A$5:$BE$1463,AR$4+1,0),0)</f>
        <v>F127059-3</v>
      </c>
      <c r="AS797" s="59" t="str">
        <f>IFERROR(VLOOKUP($A797,[2]Mssp!$A$5:$BE$1463,AS$4+1,0),0)</f>
        <v>F127059-4</v>
      </c>
      <c r="AT797" s="59" t="str">
        <f>IFERROR(VLOOKUP($A797,[2]Mssp!$A$5:$BE$1463,AT$4+1,0),0)</f>
        <v>F127059-5</v>
      </c>
      <c r="AU797" s="59" t="str">
        <f>IFERROR(VLOOKUP($A797,[2]Mssp!$A$5:$BE$1463,AU$4+1,0),0)</f>
        <v>F127056-6</v>
      </c>
      <c r="AV797" s="59">
        <f>IFERROR(VLOOKUP($A797,[2]Mssp!$A$5:$BE$1463,AV$4+1,0),0)</f>
        <v>0</v>
      </c>
      <c r="AW797" s="59">
        <f>IFERROR(VLOOKUP($A797,[2]Mssp!$A$5:$BE$1463,AW$4+1,0),0)</f>
        <v>0</v>
      </c>
      <c r="AX797" s="59">
        <f>IFERROR(VLOOKUP($A797,[2]Mssp!$A$5:$BE$1463,AX$4+1,0),0)</f>
        <v>0</v>
      </c>
      <c r="AY797" s="59" t="str">
        <f>IFERROR(VLOOKUP($A797,[2]Mssp!$A$5:$BE$1463,AY$4+2,0),0)</f>
        <v>462x870</v>
      </c>
      <c r="AZ797" s="59">
        <f>IFERROR(VLOOKUP($A797,[2]Mssp!$A$5:$BE$1463,AZ$4+2,0),0)</f>
        <v>0</v>
      </c>
      <c r="BA797" s="141"/>
      <c r="BB797" s="61"/>
      <c r="BC797" s="165"/>
      <c r="BD797" s="166"/>
      <c r="BE797" s="167"/>
      <c r="BF797" s="168"/>
      <c r="BG797" s="167"/>
      <c r="BH797" s="168"/>
      <c r="BI797" s="169"/>
      <c r="BJ797" s="168"/>
      <c r="BK797" s="134"/>
      <c r="BL797" s="168"/>
      <c r="BM797" s="167"/>
      <c r="BN797" s="168"/>
      <c r="BO797" s="62"/>
      <c r="BP797" s="168"/>
      <c r="BQ797" s="168"/>
      <c r="BR797" s="168"/>
      <c r="BS797" s="135"/>
      <c r="BT797" s="176"/>
      <c r="BU797" s="167"/>
      <c r="BV797" s="168"/>
      <c r="BW797" s="167"/>
      <c r="BX797" s="168"/>
      <c r="BY797" s="167"/>
      <c r="BZ797" s="176"/>
      <c r="CA797" s="167"/>
      <c r="CB797" s="168"/>
      <c r="CC797" s="167"/>
      <c r="CD797" s="168"/>
      <c r="CE797" s="62"/>
      <c r="CF797" s="62"/>
      <c r="CG797" s="9"/>
      <c r="CH797" s="9"/>
      <c r="CI797" s="9"/>
      <c r="CJ797" s="9"/>
      <c r="CK797" s="9"/>
      <c r="CL797" s="9"/>
      <c r="CM797" s="9"/>
      <c r="CN797" s="9"/>
      <c r="CO797" s="9"/>
      <c r="CP797" s="9"/>
    </row>
    <row r="798" spans="1:94" ht="30" x14ac:dyDescent="0.25">
      <c r="A798" s="127" t="s">
        <v>2555</v>
      </c>
      <c r="B798" s="51" t="s">
        <v>2556</v>
      </c>
      <c r="C798" s="62"/>
      <c r="D798" s="84">
        <v>4</v>
      </c>
      <c r="E798" s="62" t="s">
        <v>192</v>
      </c>
      <c r="F798" s="62">
        <v>6</v>
      </c>
      <c r="G798" s="62" t="s">
        <v>184</v>
      </c>
      <c r="H798" s="50">
        <f>VLOOKUP($A798,'[1]ma sp 02'!$A$5:$BD$1101,H$1,0)</f>
        <v>0.72</v>
      </c>
      <c r="I798" s="50">
        <f>VLOOKUP($A798,'[1]ma sp 02'!$A$5:$BD$1101,I$1,0)</f>
        <v>5.39</v>
      </c>
      <c r="J798" s="50">
        <f>VLOOKUP($A798,'[1]ma sp 02'!$A$5:$BD$1101,J$1,0)</f>
        <v>1.94</v>
      </c>
      <c r="K798" s="50">
        <f>VLOOKUP($A798,'[1]ma sp 02'!$A$5:$BD$1101,K$1,0)</f>
        <v>0</v>
      </c>
      <c r="L798" s="50">
        <f>VLOOKUP($A798,'[1]ma sp 02'!$A$5:$BD$1101,L$1,0)</f>
        <v>2.2999999999999998</v>
      </c>
      <c r="M798" s="50">
        <f>VLOOKUP($A798,'[1]ma sp 02'!$A$5:$BD$1101,M$1,0)</f>
        <v>0</v>
      </c>
      <c r="N798" s="50">
        <f>VLOOKUP($A798,'[1]ma sp 02'!$A$5:$BD$1101,N$1,0)</f>
        <v>0</v>
      </c>
      <c r="O798" s="50">
        <f>VLOOKUP($A798,'[1]ma sp 02'!$A$5:$BD$1101,O$1,0)</f>
        <v>1.512</v>
      </c>
      <c r="P798" s="50">
        <f>VLOOKUP($A798,'[1]ma sp 02'!$A$5:$BD$1101,P$1,0)</f>
        <v>0</v>
      </c>
      <c r="Q798" s="50">
        <f>VLOOKUP($A798,'[1]ma sp 02'!$A$5:$BD$1101,Q$1,0)</f>
        <v>0</v>
      </c>
      <c r="R798" s="50">
        <f>VLOOKUP($A798,'[1]ma sp 02'!$A$5:$BD$1101,R$1,0)</f>
        <v>0</v>
      </c>
      <c r="S798" s="50">
        <f>VLOOKUP($A798,'[1]ma sp 02'!$A$5:$BD$1101,S$1,0)</f>
        <v>0</v>
      </c>
      <c r="T798" s="50">
        <f>VLOOKUP($A798,'[1]ma sp 02'!$A$5:$BD$1101,T$1,0)</f>
        <v>0</v>
      </c>
      <c r="U798" s="50">
        <f>VLOOKUP($A798,'[1]ma sp 02'!$A$5:$BD$1101,U$1,0)</f>
        <v>0</v>
      </c>
      <c r="V798" s="50">
        <f>VLOOKUP($A798,'[1]ma sp 02'!$A$5:$BD$1101,V$1,0)</f>
        <v>0</v>
      </c>
      <c r="W798" s="50">
        <f>VLOOKUP($A798,'[1]ma sp 02'!$A$5:$BD$1101,W$1,0)</f>
        <v>0</v>
      </c>
      <c r="X798" s="50"/>
      <c r="Y798" s="62"/>
      <c r="Z798" s="62"/>
      <c r="AA798" s="62"/>
      <c r="AB798" s="62"/>
      <c r="AC798" s="62"/>
      <c r="AD798" s="62"/>
      <c r="AE798" s="62" t="s">
        <v>193</v>
      </c>
      <c r="AF798" s="62"/>
      <c r="AG798" s="53">
        <f t="shared" si="34"/>
        <v>3.2032000000000005E-2</v>
      </c>
      <c r="AH798" s="54">
        <f t="shared" si="35"/>
        <v>0.96599999999999997</v>
      </c>
      <c r="AI798" s="54"/>
      <c r="AJ798" s="9">
        <v>9530</v>
      </c>
      <c r="AK798" s="62"/>
      <c r="AL798" s="9">
        <v>2.3E-3</v>
      </c>
      <c r="AM798" s="61" t="s">
        <v>1489</v>
      </c>
      <c r="AN798" s="62">
        <v>66</v>
      </c>
      <c r="AO798" s="61" t="s">
        <v>195</v>
      </c>
      <c r="AP798" s="59" t="str">
        <f>IFERROR(VLOOKUP($A798,[2]Mssp!$A$5:$BE$1463,AP$4+1,0),0)</f>
        <v>F127061-1</v>
      </c>
      <c r="AQ798" s="59" t="str">
        <f>IFERROR(VLOOKUP($A798,[2]Mssp!$A$5:$BE$1463,AQ$4+1,0),0)</f>
        <v>F127061-2</v>
      </c>
      <c r="AR798" s="59" t="str">
        <f>IFERROR(VLOOKUP($A798,[2]Mssp!$A$5:$BE$1463,AR$4+1,0),0)</f>
        <v>F127061-3</v>
      </c>
      <c r="AS798" s="59" t="str">
        <f>IFERROR(VLOOKUP($A798,[2]Mssp!$A$5:$BE$1463,AS$4+1,0),0)</f>
        <v>F127061-4</v>
      </c>
      <c r="AT798" s="59" t="str">
        <f>IFERROR(VLOOKUP($A798,[2]Mssp!$A$5:$BE$1463,AT$4+1,0),0)</f>
        <v>F127061-5</v>
      </c>
      <c r="AU798" s="59" t="str">
        <f>IFERROR(VLOOKUP($A798,[2]Mssp!$A$5:$BE$1463,AU$4+1,0),0)</f>
        <v>F127056-6</v>
      </c>
      <c r="AV798" s="59">
        <f>IFERROR(VLOOKUP($A798,[2]Mssp!$A$5:$BE$1463,AV$4+1,0),0)</f>
        <v>0</v>
      </c>
      <c r="AW798" s="59">
        <f>IFERROR(VLOOKUP($A798,[2]Mssp!$A$5:$BE$1463,AW$4+1,0),0)</f>
        <v>0</v>
      </c>
      <c r="AX798" s="59">
        <f>IFERROR(VLOOKUP($A798,[2]Mssp!$A$5:$BE$1463,AX$4+1,0),0)</f>
        <v>0</v>
      </c>
      <c r="AY798" s="59" t="str">
        <f>IFERROR(VLOOKUP($A798,[2]Mssp!$A$5:$BE$1463,AY$4+2,0),0)</f>
        <v>462x870</v>
      </c>
      <c r="AZ798" s="59">
        <f>IFERROR(VLOOKUP($A798,[2]Mssp!$A$5:$BE$1463,AZ$4+2,0),0)</f>
        <v>0</v>
      </c>
      <c r="BA798" s="141"/>
      <c r="BB798" s="61"/>
      <c r="BC798" s="165"/>
      <c r="BD798" s="166"/>
      <c r="BE798" s="167"/>
      <c r="BF798" s="168"/>
      <c r="BG798" s="167"/>
      <c r="BH798" s="168"/>
      <c r="BI798" s="169"/>
      <c r="BJ798" s="168"/>
      <c r="BK798" s="134"/>
      <c r="BL798" s="168"/>
      <c r="BM798" s="167"/>
      <c r="BN798" s="168"/>
      <c r="BO798" s="62"/>
      <c r="BP798" s="168"/>
      <c r="BQ798" s="168"/>
      <c r="BR798" s="168"/>
      <c r="BS798" s="135"/>
      <c r="BT798" s="176"/>
      <c r="BU798" s="167"/>
      <c r="BV798" s="168"/>
      <c r="BW798" s="167"/>
      <c r="BX798" s="168"/>
      <c r="BY798" s="167"/>
      <c r="BZ798" s="176"/>
      <c r="CA798" s="167"/>
      <c r="CB798" s="168"/>
      <c r="CC798" s="167"/>
      <c r="CD798" s="168"/>
      <c r="CE798" s="62"/>
      <c r="CF798" s="62"/>
      <c r="CG798" s="9"/>
      <c r="CH798" s="9"/>
      <c r="CI798" s="9"/>
      <c r="CJ798" s="9"/>
      <c r="CK798" s="9"/>
      <c r="CL798" s="9"/>
      <c r="CM798" s="9"/>
      <c r="CN798" s="9"/>
      <c r="CO798" s="9"/>
      <c r="CP798" s="9"/>
    </row>
    <row r="799" spans="1:94" ht="30" x14ac:dyDescent="0.25">
      <c r="A799" s="127" t="s">
        <v>2557</v>
      </c>
      <c r="B799" s="9" t="s">
        <v>2558</v>
      </c>
      <c r="C799" s="62"/>
      <c r="D799" s="84">
        <v>2</v>
      </c>
      <c r="E799" s="62" t="s">
        <v>1734</v>
      </c>
      <c r="F799" s="62">
        <v>8</v>
      </c>
      <c r="G799" s="62"/>
      <c r="H799" s="50">
        <f>VLOOKUP($A799,'[1]ma sp 02'!$A$5:$BD$1101,H$1,0)</f>
        <v>0.873</v>
      </c>
      <c r="I799" s="50">
        <f>VLOOKUP($A799,'[1]ma sp 02'!$A$5:$BD$1101,I$1,0)</f>
        <v>2.3279999999999998</v>
      </c>
      <c r="J799" s="50">
        <f>VLOOKUP($A799,'[1]ma sp 02'!$A$5:$BD$1101,J$1,0)</f>
        <v>0.01</v>
      </c>
      <c r="K799" s="50">
        <f>VLOOKUP($A799,'[1]ma sp 02'!$A$5:$BD$1101,K$1,0)</f>
        <v>0.873</v>
      </c>
      <c r="L799" s="50">
        <f>VLOOKUP($A799,'[1]ma sp 02'!$A$5:$BD$1101,L$1,0)</f>
        <v>3.1040000000000001</v>
      </c>
      <c r="M799" s="50">
        <f>VLOOKUP($A799,'[1]ma sp 02'!$A$5:$BD$1101,M$1,0)</f>
        <v>2.5219999999999998</v>
      </c>
      <c r="N799" s="50">
        <f>VLOOKUP($A799,'[1]ma sp 02'!$A$5:$BD$1101,N$1,0)</f>
        <v>0</v>
      </c>
      <c r="O799" s="50">
        <f>VLOOKUP($A799,'[1]ma sp 02'!$A$5:$BD$1101,O$1,0)</f>
        <v>0</v>
      </c>
      <c r="P799" s="50">
        <f>VLOOKUP($A799,'[1]ma sp 02'!$A$5:$BD$1101,P$1,0)</f>
        <v>0.48499999999999999</v>
      </c>
      <c r="Q799" s="50">
        <f>VLOOKUP($A799,'[1]ma sp 02'!$A$5:$BD$1101,Q$1,0)</f>
        <v>0.19400000000000001</v>
      </c>
      <c r="R799" s="50">
        <f>VLOOKUP($A799,'[1]ma sp 02'!$A$5:$BD$1101,R$1,0)</f>
        <v>0</v>
      </c>
      <c r="S799" s="50">
        <f>VLOOKUP($A799,'[1]ma sp 02'!$A$5:$BD$1101,S$1,0)</f>
        <v>0</v>
      </c>
      <c r="T799" s="50">
        <f>VLOOKUP($A799,'[1]ma sp 02'!$A$5:$BD$1101,T$1,0)</f>
        <v>0.01</v>
      </c>
      <c r="U799" s="50">
        <f>VLOOKUP($A799,'[1]ma sp 02'!$A$5:$BD$1101,U$1,0)</f>
        <v>0</v>
      </c>
      <c r="V799" s="50">
        <f>VLOOKUP($A799,'[1]ma sp 02'!$A$5:$BD$1101,V$1,0)</f>
        <v>0</v>
      </c>
      <c r="W799" s="50">
        <f>VLOOKUP($A799,'[1]ma sp 02'!$A$5:$BD$1101,W$1,0)</f>
        <v>0</v>
      </c>
      <c r="X799" s="50"/>
      <c r="Y799" s="62"/>
      <c r="Z799" s="62"/>
      <c r="AA799" s="62"/>
      <c r="AB799" s="62"/>
      <c r="AC799" s="62"/>
      <c r="AD799" s="62"/>
      <c r="AE799" s="62" t="s">
        <v>2559</v>
      </c>
      <c r="AF799" s="62"/>
      <c r="AG799" s="53">
        <f>(0.02*0.91+0.035*0.91)*0.79</f>
        <v>3.9539500000000005E-2</v>
      </c>
      <c r="AH799" s="54">
        <f>(2.3/0.75/2)*0.78</f>
        <v>1.196</v>
      </c>
      <c r="AI799" s="54"/>
      <c r="AJ799" s="9">
        <v>9530</v>
      </c>
      <c r="AK799" s="62"/>
      <c r="AL799" s="9">
        <v>2.3E-3</v>
      </c>
      <c r="AM799" s="61" t="s">
        <v>74</v>
      </c>
      <c r="AN799" s="62">
        <v>270</v>
      </c>
      <c r="AO799" s="61" t="s">
        <v>1736</v>
      </c>
      <c r="AP799" s="59" t="str">
        <f>IFERROR(VLOOKUP($A799,[2]Mssp!$A$5:$BE$1463,AP$4+1,0),0)</f>
        <v>F127089-1</v>
      </c>
      <c r="AQ799" s="59" t="str">
        <f>IFERROR(VLOOKUP($A799,[2]Mssp!$A$5:$BE$1463,AQ$4+1,0),0)</f>
        <v>F127089-2</v>
      </c>
      <c r="AR799" s="59" t="str">
        <f>IFERROR(VLOOKUP($A799,[2]Mssp!$A$5:$BE$1463,AR$4+1,0),0)</f>
        <v>F127089-3</v>
      </c>
      <c r="AS799" s="59" t="str">
        <f>IFERROR(VLOOKUP($A799,[2]Mssp!$A$5:$BE$1463,AS$4+1,0),0)</f>
        <v>F127089-4</v>
      </c>
      <c r="AT799" s="59" t="str">
        <f>IFERROR(VLOOKUP($A799,[2]Mssp!$A$5:$BE$1463,AT$4+1,0),0)</f>
        <v>F127089-5</v>
      </c>
      <c r="AU799" s="59" t="str">
        <f>IFERROR(VLOOKUP($A799,[2]Mssp!$A$5:$BE$1463,AU$4+1,0),0)</f>
        <v>F127089-6</v>
      </c>
      <c r="AV799" s="59" t="str">
        <f>IFERROR(VLOOKUP($A799,[2]Mssp!$A$5:$BE$1463,AV$4+1,0),0)</f>
        <v>F127089-7</v>
      </c>
      <c r="AW799" s="59" t="str">
        <f>IFERROR(VLOOKUP($A799,[2]Mssp!$A$5:$BE$1463,AW$4+1,0),0)</f>
        <v>F127089-8</v>
      </c>
      <c r="AX799" s="59">
        <f>IFERROR(VLOOKUP($A799,[2]Mssp!$A$5:$BE$1463,AX$4+1,0),0)</f>
        <v>0</v>
      </c>
      <c r="AY799" s="59" t="str">
        <f>IFERROR(VLOOKUP($A799,[2]Mssp!$A$5:$BE$1463,AY$4+2,0),0)</f>
        <v>540x860</v>
      </c>
      <c r="AZ799" s="59">
        <f>IFERROR(VLOOKUP($A799,[2]Mssp!$A$5:$BE$1463,AZ$4+2,0),0)</f>
        <v>0</v>
      </c>
      <c r="BA799" s="141"/>
      <c r="BB799" s="61" t="s">
        <v>1894</v>
      </c>
      <c r="BC799" s="165"/>
      <c r="BD799" s="166"/>
      <c r="BE799" s="167"/>
      <c r="BF799" s="168"/>
      <c r="BG799" s="167"/>
      <c r="BH799" s="168"/>
      <c r="BI799" s="169"/>
      <c r="BJ799" s="168"/>
      <c r="BK799" s="134"/>
      <c r="BL799" s="168"/>
      <c r="BM799" s="167"/>
      <c r="BN799" s="168"/>
      <c r="BO799" s="62"/>
      <c r="BP799" s="168"/>
      <c r="BQ799" s="168"/>
      <c r="BR799" s="168"/>
      <c r="BS799" s="135"/>
      <c r="BT799" s="176"/>
      <c r="BU799" s="167"/>
      <c r="BV799" s="168"/>
      <c r="BW799" s="167"/>
      <c r="BX799" s="168"/>
      <c r="BY799" s="167"/>
      <c r="BZ799" s="176"/>
      <c r="CA799" s="167"/>
      <c r="CB799" s="168"/>
      <c r="CC799" s="167"/>
      <c r="CD799" s="168"/>
      <c r="CE799" s="62"/>
      <c r="CF799" s="62"/>
      <c r="CG799" s="9"/>
      <c r="CH799" s="9"/>
      <c r="CI799" s="9"/>
      <c r="CJ799" s="9"/>
      <c r="CK799" s="9"/>
      <c r="CL799" s="9"/>
      <c r="CM799" s="9"/>
      <c r="CN799" s="9"/>
      <c r="CO799" s="9"/>
      <c r="CP799" s="9"/>
    </row>
    <row r="800" spans="1:94" ht="30" x14ac:dyDescent="0.25">
      <c r="A800" s="127" t="s">
        <v>2560</v>
      </c>
      <c r="B800" s="51" t="s">
        <v>2561</v>
      </c>
      <c r="C800" s="62"/>
      <c r="D800" s="84">
        <v>3</v>
      </c>
      <c r="E800" s="62" t="s">
        <v>841</v>
      </c>
      <c r="F800" s="62">
        <v>5</v>
      </c>
      <c r="G800" s="62"/>
      <c r="H800" s="50">
        <f>VLOOKUP($A800,'[1]ma sp 02'!$A$5:$BD$1101,H$1,0)</f>
        <v>0.31</v>
      </c>
      <c r="I800" s="50">
        <f>VLOOKUP($A800,'[1]ma sp 02'!$A$5:$BD$1101,I$1,0)</f>
        <v>3.839</v>
      </c>
      <c r="J800" s="50">
        <f>VLOOKUP($A800,'[1]ma sp 02'!$A$5:$BD$1101,J$1,0)</f>
        <v>0.42699999999999999</v>
      </c>
      <c r="K800" s="50">
        <f>VLOOKUP($A800,'[1]ma sp 02'!$A$5:$BD$1101,K$1,0)</f>
        <v>0.31</v>
      </c>
      <c r="L800" s="50">
        <f>VLOOKUP($A800,'[1]ma sp 02'!$A$5:$BD$1101,L$1,0)</f>
        <v>1.59</v>
      </c>
      <c r="M800" s="50">
        <f>VLOOKUP($A800,'[1]ma sp 02'!$A$5:$BD$1101,M$1,0)</f>
        <v>1.163</v>
      </c>
      <c r="N800" s="50">
        <f>VLOOKUP($A800,'[1]ma sp 02'!$A$5:$BD$1101,N$1,0)</f>
        <v>0</v>
      </c>
      <c r="O800" s="50">
        <f>VLOOKUP($A800,'[1]ma sp 02'!$A$5:$BD$1101,O$1,0)</f>
        <v>0</v>
      </c>
      <c r="P800" s="50">
        <f>VLOOKUP($A800,'[1]ma sp 02'!$A$5:$BD$1101,P$1,0)</f>
        <v>0</v>
      </c>
      <c r="Q800" s="50">
        <f>VLOOKUP($A800,'[1]ma sp 02'!$A$5:$BD$1101,Q$1,0)</f>
        <v>0.19400000000000001</v>
      </c>
      <c r="R800" s="50">
        <f>VLOOKUP($A800,'[1]ma sp 02'!$A$5:$BD$1101,R$1,0)</f>
        <v>0</v>
      </c>
      <c r="S800" s="50">
        <f>VLOOKUP($A800,'[1]ma sp 02'!$A$5:$BD$1101,S$1,0)</f>
        <v>0</v>
      </c>
      <c r="T800" s="50">
        <f>VLOOKUP($A800,'[1]ma sp 02'!$A$5:$BD$1101,T$1,0)</f>
        <v>0</v>
      </c>
      <c r="U800" s="50">
        <f>VLOOKUP($A800,'[1]ma sp 02'!$A$5:$BD$1101,U$1,0)</f>
        <v>0</v>
      </c>
      <c r="V800" s="50">
        <f>VLOOKUP($A800,'[1]ma sp 02'!$A$5:$BD$1101,V$1,0)</f>
        <v>0</v>
      </c>
      <c r="W800" s="50">
        <f>VLOOKUP($A800,'[1]ma sp 02'!$A$5:$BD$1101,W$1,0)</f>
        <v>0</v>
      </c>
      <c r="X800" s="50"/>
      <c r="Y800" s="62"/>
      <c r="Z800" s="62"/>
      <c r="AA800" s="62"/>
      <c r="AB800" s="62"/>
      <c r="AC800" s="62"/>
      <c r="AD800" s="62"/>
      <c r="AE800" s="62" t="s">
        <v>115</v>
      </c>
      <c r="AF800" s="62" t="s">
        <v>321</v>
      </c>
      <c r="AG800" s="53">
        <f>(0.03*0.91+0.012*1.4+0.075*0.925)*0.74</f>
        <v>8.3971500000000004E-2</v>
      </c>
      <c r="AH800" s="54">
        <f>(2.3/0.75/2)*0.73</f>
        <v>1.1193333333333333</v>
      </c>
      <c r="AI800" s="54">
        <f>(2.3/0.75/2)*0.73</f>
        <v>1.1193333333333333</v>
      </c>
      <c r="AJ800" s="62">
        <v>9530</v>
      </c>
      <c r="AK800" s="62">
        <v>9530</v>
      </c>
      <c r="AL800" s="9" t="s">
        <v>1682</v>
      </c>
      <c r="AM800" s="61" t="s">
        <v>74</v>
      </c>
      <c r="AN800" s="62">
        <v>180</v>
      </c>
      <c r="AO800" s="61" t="s">
        <v>2514</v>
      </c>
      <c r="AP800" s="59" t="str">
        <f>IFERROR(VLOOKUP($A800,[2]Mssp!$A$5:$BE$1463,AP$4+1,0),0)</f>
        <v>19071143-1</v>
      </c>
      <c r="AQ800" s="59" t="str">
        <f>IFERROR(VLOOKUP($A800,[2]Mssp!$A$5:$BE$1463,AQ$4+1,0),0)</f>
        <v>19071143-2</v>
      </c>
      <c r="AR800" s="59" t="str">
        <f>IFERROR(VLOOKUP($A800,[2]Mssp!$A$5:$BE$1463,AR$4+1,0),0)</f>
        <v>19071143-3</v>
      </c>
      <c r="AS800" s="59" t="str">
        <f>IFERROR(VLOOKUP($A800,[2]Mssp!$A$5:$BE$1463,AS$4+1,0),0)</f>
        <v>19071143-4</v>
      </c>
      <c r="AT800" s="59" t="str">
        <f>IFERROR(VLOOKUP($A800,[2]Mssp!$A$5:$BE$1463,AT$4+1,0),0)</f>
        <v>19071143-5</v>
      </c>
      <c r="AU800" s="59">
        <f>IFERROR(VLOOKUP($A800,[2]Mssp!$A$5:$BE$1463,AU$4+1,0),0)</f>
        <v>0</v>
      </c>
      <c r="AV800" s="59">
        <f>IFERROR(VLOOKUP($A800,[2]Mssp!$A$5:$BE$1463,AV$4+1,0),0)</f>
        <v>0</v>
      </c>
      <c r="AW800" s="59">
        <f>IFERROR(VLOOKUP($A800,[2]Mssp!$A$5:$BE$1463,AW$4+1,0),0)</f>
        <v>0</v>
      </c>
      <c r="AX800" s="59">
        <f>IFERROR(VLOOKUP($A800,[2]Mssp!$A$5:$BE$1463,AX$4+1,0),0)</f>
        <v>0</v>
      </c>
      <c r="AY800" s="59" t="str">
        <f>IFERROR(VLOOKUP($A800,[2]Mssp!$A$5:$BE$1463,AY$4+2,0),0)</f>
        <v>720x800</v>
      </c>
      <c r="AZ800" s="59">
        <f>IFERROR(VLOOKUP($A800,[2]Mssp!$A$5:$BE$1463,AZ$4+2,0),0)</f>
        <v>0</v>
      </c>
      <c r="BA800" s="141"/>
      <c r="BB800" s="61" t="s">
        <v>1894</v>
      </c>
      <c r="BC800" s="165"/>
      <c r="BD800" s="166"/>
      <c r="BE800" s="167"/>
      <c r="BF800" s="168"/>
      <c r="BG800" s="167"/>
      <c r="BH800" s="168"/>
      <c r="BI800" s="169"/>
      <c r="BJ800" s="168"/>
      <c r="BK800" s="134"/>
      <c r="BL800" s="168"/>
      <c r="BM800" s="167"/>
      <c r="BN800" s="168"/>
      <c r="BO800" s="62"/>
      <c r="BP800" s="168"/>
      <c r="BQ800" s="168"/>
      <c r="BR800" s="168"/>
      <c r="BS800" s="135"/>
      <c r="BT800" s="176"/>
      <c r="BU800" s="167"/>
      <c r="BV800" s="168"/>
      <c r="BW800" s="167"/>
      <c r="BX800" s="168"/>
      <c r="BY800" s="167"/>
      <c r="BZ800" s="176"/>
      <c r="CA800" s="167"/>
      <c r="CB800" s="168"/>
      <c r="CC800" s="167"/>
      <c r="CD800" s="168"/>
      <c r="CE800" s="62"/>
      <c r="CF800" s="62"/>
      <c r="CG800" s="9"/>
      <c r="CH800" s="9"/>
      <c r="CI800" s="9"/>
      <c r="CJ800" s="9"/>
      <c r="CK800" s="9"/>
      <c r="CL800" s="9"/>
      <c r="CM800" s="9"/>
      <c r="CN800" s="9"/>
      <c r="CO800" s="9"/>
      <c r="CP800" s="9"/>
    </row>
    <row r="801" spans="1:94" ht="60" x14ac:dyDescent="0.25">
      <c r="A801" s="127" t="s">
        <v>2562</v>
      </c>
      <c r="B801" s="51" t="s">
        <v>2563</v>
      </c>
      <c r="C801" s="62"/>
      <c r="D801" s="84">
        <v>3</v>
      </c>
      <c r="E801" s="62" t="s">
        <v>1036</v>
      </c>
      <c r="F801" s="62"/>
      <c r="G801" s="62"/>
      <c r="H801" s="50">
        <f>VLOOKUP($A801,'[1]ma sp 02'!$A$5:$BD$1101,H$1,0)</f>
        <v>0</v>
      </c>
      <c r="I801" s="50">
        <f>VLOOKUP($A801,'[1]ma sp 02'!$A$5:$BD$1101,I$1,0)</f>
        <v>0</v>
      </c>
      <c r="J801" s="50">
        <f>VLOOKUP($A801,'[1]ma sp 02'!$A$5:$BD$1101,J$1,0)</f>
        <v>0</v>
      </c>
      <c r="K801" s="50">
        <f>VLOOKUP($A801,'[1]ma sp 02'!$A$5:$BD$1101,K$1,0)</f>
        <v>0</v>
      </c>
      <c r="L801" s="50">
        <f>VLOOKUP($A801,'[1]ma sp 02'!$A$5:$BD$1101,L$1,0)</f>
        <v>0</v>
      </c>
      <c r="M801" s="50">
        <f>VLOOKUP($A801,'[1]ma sp 02'!$A$5:$BD$1101,M$1,0)</f>
        <v>0</v>
      </c>
      <c r="N801" s="50">
        <f>VLOOKUP($A801,'[1]ma sp 02'!$A$5:$BD$1101,N$1,0)</f>
        <v>0</v>
      </c>
      <c r="O801" s="50">
        <f>VLOOKUP($A801,'[1]ma sp 02'!$A$5:$BD$1101,O$1,0)</f>
        <v>0</v>
      </c>
      <c r="P801" s="50">
        <f>VLOOKUP($A801,'[1]ma sp 02'!$A$5:$BD$1101,P$1,0)</f>
        <v>0</v>
      </c>
      <c r="Q801" s="50">
        <f>VLOOKUP($A801,'[1]ma sp 02'!$A$5:$BD$1101,Q$1,0)</f>
        <v>0</v>
      </c>
      <c r="R801" s="50">
        <f>VLOOKUP($A801,'[1]ma sp 02'!$A$5:$BD$1101,R$1,0)</f>
        <v>0</v>
      </c>
      <c r="S801" s="50">
        <f>VLOOKUP($A801,'[1]ma sp 02'!$A$5:$BD$1101,S$1,0)</f>
        <v>0</v>
      </c>
      <c r="T801" s="50">
        <f>VLOOKUP($A801,'[1]ma sp 02'!$A$5:$BD$1101,T$1,0)</f>
        <v>0</v>
      </c>
      <c r="U801" s="50">
        <f>VLOOKUP($A801,'[1]ma sp 02'!$A$5:$BD$1101,U$1,0)</f>
        <v>0</v>
      </c>
      <c r="V801" s="50">
        <f>VLOOKUP($A801,'[1]ma sp 02'!$A$5:$BD$1101,V$1,0)</f>
        <v>0</v>
      </c>
      <c r="W801" s="50">
        <f>VLOOKUP($A801,'[1]ma sp 02'!$A$5:$BD$1101,W$1,0)</f>
        <v>0</v>
      </c>
      <c r="X801" s="50"/>
      <c r="Y801" s="62"/>
      <c r="Z801" s="62"/>
      <c r="AA801" s="62"/>
      <c r="AB801" s="62"/>
      <c r="AC801" s="62"/>
      <c r="AD801" s="62"/>
      <c r="AE801" s="62" t="s">
        <v>1047</v>
      </c>
      <c r="AF801" s="62"/>
      <c r="AG801" s="53">
        <f>(0.015*1.15+0.06*0.925)*1</f>
        <v>7.2749999999999995E-2</v>
      </c>
      <c r="AH801" s="54">
        <f>(2/0.75/2)*0.99</f>
        <v>1.3199999999999998</v>
      </c>
      <c r="AI801" s="54"/>
      <c r="AJ801" s="62">
        <v>9530</v>
      </c>
      <c r="AK801" s="62"/>
      <c r="AL801" s="9">
        <v>2E-3</v>
      </c>
      <c r="AM801" s="61" t="s">
        <v>74</v>
      </c>
      <c r="AN801" s="62">
        <v>250</v>
      </c>
      <c r="AO801" s="61" t="s">
        <v>2446</v>
      </c>
      <c r="AP801" s="59">
        <f>IFERROR(VLOOKUP($A801,[2]Mssp!$A$5:$BE$1463,AP$4+1,0),0)</f>
        <v>0</v>
      </c>
      <c r="AQ801" s="59">
        <f>IFERROR(VLOOKUP($A801,[2]Mssp!$A$5:$BE$1463,AQ$4+1,0),0)</f>
        <v>0</v>
      </c>
      <c r="AR801" s="59">
        <f>IFERROR(VLOOKUP($A801,[2]Mssp!$A$5:$BE$1463,AR$4+1,0),0)</f>
        <v>0</v>
      </c>
      <c r="AS801" s="59">
        <f>IFERROR(VLOOKUP($A801,[2]Mssp!$A$5:$BE$1463,AS$4+1,0),0)</f>
        <v>0</v>
      </c>
      <c r="AT801" s="59">
        <f>IFERROR(VLOOKUP($A801,[2]Mssp!$A$5:$BE$1463,AT$4+1,0),0)</f>
        <v>0</v>
      </c>
      <c r="AU801" s="59">
        <f>IFERROR(VLOOKUP($A801,[2]Mssp!$A$5:$BE$1463,AU$4+1,0),0)</f>
        <v>0</v>
      </c>
      <c r="AV801" s="59">
        <f>IFERROR(VLOOKUP($A801,[2]Mssp!$A$5:$BE$1463,AV$4+1,0),0)</f>
        <v>0</v>
      </c>
      <c r="AW801" s="59">
        <f>IFERROR(VLOOKUP($A801,[2]Mssp!$A$5:$BE$1463,AW$4+1,0),0)</f>
        <v>0</v>
      </c>
      <c r="AX801" s="59">
        <f>IFERROR(VLOOKUP($A801,[2]Mssp!$A$5:$BE$1463,AX$4+1,0),0)</f>
        <v>0</v>
      </c>
      <c r="AY801" s="59">
        <f>IFERROR(VLOOKUP($A801,[2]Mssp!$A$5:$BE$1463,AY$4+2,0),0)</f>
        <v>0</v>
      </c>
      <c r="AZ801" s="59">
        <f>IFERROR(VLOOKUP($A801,[2]Mssp!$A$5:$BE$1463,AZ$4+2,0),0)</f>
        <v>0</v>
      </c>
      <c r="BA801" s="141"/>
      <c r="BB801" s="61" t="s">
        <v>1894</v>
      </c>
      <c r="BC801" s="165"/>
      <c r="BD801" s="166"/>
      <c r="BE801" s="167"/>
      <c r="BF801" s="168"/>
      <c r="BG801" s="167"/>
      <c r="BH801" s="168"/>
      <c r="BI801" s="169"/>
      <c r="BJ801" s="168"/>
      <c r="BK801" s="134"/>
      <c r="BL801" s="168"/>
      <c r="BM801" s="167"/>
      <c r="BN801" s="168"/>
      <c r="BO801" s="62"/>
      <c r="BP801" s="168"/>
      <c r="BQ801" s="168"/>
      <c r="BR801" s="168"/>
      <c r="BS801" s="135"/>
      <c r="BT801" s="176"/>
      <c r="BU801" s="167"/>
      <c r="BV801" s="168"/>
      <c r="BW801" s="167"/>
      <c r="BX801" s="168"/>
      <c r="BY801" s="167"/>
      <c r="BZ801" s="176"/>
      <c r="CA801" s="167"/>
      <c r="CB801" s="168"/>
      <c r="CC801" s="167"/>
      <c r="CD801" s="168"/>
      <c r="CE801" s="62"/>
      <c r="CF801" s="62"/>
      <c r="CG801" s="9"/>
      <c r="CH801" s="9"/>
      <c r="CI801" s="9"/>
      <c r="CJ801" s="9"/>
      <c r="CK801" s="9"/>
      <c r="CL801" s="9"/>
      <c r="CM801" s="9"/>
      <c r="CN801" s="9"/>
      <c r="CO801" s="9"/>
      <c r="CP801" s="9"/>
    </row>
    <row r="802" spans="1:94" ht="30" x14ac:dyDescent="0.25">
      <c r="A802" s="127" t="s">
        <v>2564</v>
      </c>
      <c r="B802" s="51" t="s">
        <v>2565</v>
      </c>
      <c r="C802" s="62"/>
      <c r="D802" s="84">
        <v>2</v>
      </c>
      <c r="E802" s="62" t="s">
        <v>178</v>
      </c>
      <c r="F802" s="62"/>
      <c r="G802" s="62"/>
      <c r="H802" s="50">
        <f>VLOOKUP($A802,'[1]ma sp 02'!$A$5:$BD$1101,H$1,0)</f>
        <v>0</v>
      </c>
      <c r="I802" s="50">
        <f>VLOOKUP($A802,'[1]ma sp 02'!$A$5:$BD$1101,I$1,0)</f>
        <v>0</v>
      </c>
      <c r="J802" s="50">
        <f>VLOOKUP($A802,'[1]ma sp 02'!$A$5:$BD$1101,J$1,0)</f>
        <v>0</v>
      </c>
      <c r="K802" s="50">
        <f>VLOOKUP($A802,'[1]ma sp 02'!$A$5:$BD$1101,K$1,0)</f>
        <v>0</v>
      </c>
      <c r="L802" s="50">
        <f>VLOOKUP($A802,'[1]ma sp 02'!$A$5:$BD$1101,L$1,0)</f>
        <v>0</v>
      </c>
      <c r="M802" s="50">
        <f>VLOOKUP($A802,'[1]ma sp 02'!$A$5:$BD$1101,M$1,0)</f>
        <v>0</v>
      </c>
      <c r="N802" s="50">
        <f>VLOOKUP($A802,'[1]ma sp 02'!$A$5:$BD$1101,N$1,0)</f>
        <v>0</v>
      </c>
      <c r="O802" s="50">
        <f>VLOOKUP($A802,'[1]ma sp 02'!$A$5:$BD$1101,O$1,0)</f>
        <v>0</v>
      </c>
      <c r="P802" s="50">
        <f>VLOOKUP($A802,'[1]ma sp 02'!$A$5:$BD$1101,P$1,0)</f>
        <v>0</v>
      </c>
      <c r="Q802" s="50">
        <f>VLOOKUP($A802,'[1]ma sp 02'!$A$5:$BD$1101,Q$1,0)</f>
        <v>0</v>
      </c>
      <c r="R802" s="50">
        <f>VLOOKUP($A802,'[1]ma sp 02'!$A$5:$BD$1101,R$1,0)</f>
        <v>0</v>
      </c>
      <c r="S802" s="50">
        <f>VLOOKUP($A802,'[1]ma sp 02'!$A$5:$BD$1101,S$1,0)</f>
        <v>0</v>
      </c>
      <c r="T802" s="50">
        <f>VLOOKUP($A802,'[1]ma sp 02'!$A$5:$BD$1101,T$1,0)</f>
        <v>0</v>
      </c>
      <c r="U802" s="50">
        <f>VLOOKUP($A802,'[1]ma sp 02'!$A$5:$BD$1101,U$1,0)</f>
        <v>0</v>
      </c>
      <c r="V802" s="50">
        <f>VLOOKUP($A802,'[1]ma sp 02'!$A$5:$BD$1101,V$1,0)</f>
        <v>0</v>
      </c>
      <c r="W802" s="50">
        <f>VLOOKUP($A802,'[1]ma sp 02'!$A$5:$BD$1101,W$1,0)</f>
        <v>0</v>
      </c>
      <c r="X802" s="50"/>
      <c r="Y802" s="62"/>
      <c r="Z802" s="62"/>
      <c r="AA802" s="62"/>
      <c r="AB802" s="62"/>
      <c r="AC802" s="62"/>
      <c r="AD802" s="62"/>
      <c r="AE802" s="62" t="s">
        <v>179</v>
      </c>
      <c r="AF802" s="62"/>
      <c r="AG802" s="53">
        <f>(0.02*0.91+0.055*0.925)*0.73</f>
        <v>5.0424749999999997E-2</v>
      </c>
      <c r="AH802" s="54">
        <f>(2.3/0.75/2)*0.72</f>
        <v>1.1039999999999999</v>
      </c>
      <c r="AI802" s="54"/>
      <c r="AJ802" s="62">
        <v>9530</v>
      </c>
      <c r="AK802" s="62"/>
      <c r="AL802" s="9">
        <v>2.3E-3</v>
      </c>
      <c r="AM802" s="61" t="s">
        <v>1489</v>
      </c>
      <c r="AN802" s="62"/>
      <c r="AO802" s="61" t="s">
        <v>180</v>
      </c>
      <c r="AP802" s="59">
        <f>IFERROR(VLOOKUP($A802,[2]Mssp!$A$5:$BE$1463,AP$4+1,0),0)</f>
        <v>0</v>
      </c>
      <c r="AQ802" s="59">
        <f>IFERROR(VLOOKUP($A802,[2]Mssp!$A$5:$BE$1463,AQ$4+1,0),0)</f>
        <v>0</v>
      </c>
      <c r="AR802" s="59">
        <f>IFERROR(VLOOKUP($A802,[2]Mssp!$A$5:$BE$1463,AR$4+1,0),0)</f>
        <v>0</v>
      </c>
      <c r="AS802" s="59">
        <f>IFERROR(VLOOKUP($A802,[2]Mssp!$A$5:$BE$1463,AS$4+1,0),0)</f>
        <v>0</v>
      </c>
      <c r="AT802" s="59">
        <f>IFERROR(VLOOKUP($A802,[2]Mssp!$A$5:$BE$1463,AT$4+1,0),0)</f>
        <v>0</v>
      </c>
      <c r="AU802" s="59">
        <f>IFERROR(VLOOKUP($A802,[2]Mssp!$A$5:$BE$1463,AU$4+1,0),0)</f>
        <v>0</v>
      </c>
      <c r="AV802" s="59">
        <f>IFERROR(VLOOKUP($A802,[2]Mssp!$A$5:$BE$1463,AV$4+1,0),0)</f>
        <v>0</v>
      </c>
      <c r="AW802" s="59">
        <f>IFERROR(VLOOKUP($A802,[2]Mssp!$A$5:$BE$1463,AW$4+1,0),0)</f>
        <v>0</v>
      </c>
      <c r="AX802" s="59">
        <f>IFERROR(VLOOKUP($A802,[2]Mssp!$A$5:$BE$1463,AX$4+1,0),0)</f>
        <v>0</v>
      </c>
      <c r="AY802" s="59">
        <f>IFERROR(VLOOKUP($A802,[2]Mssp!$A$5:$BE$1463,AY$4+2,0),0)</f>
        <v>0</v>
      </c>
      <c r="AZ802" s="59">
        <f>IFERROR(VLOOKUP($A802,[2]Mssp!$A$5:$BE$1463,AZ$4+2,0),0)</f>
        <v>0</v>
      </c>
      <c r="BA802" s="141"/>
      <c r="BB802" s="61" t="s">
        <v>952</v>
      </c>
      <c r="BC802" s="165"/>
      <c r="BD802" s="166"/>
      <c r="BE802" s="167"/>
      <c r="BF802" s="168"/>
      <c r="BG802" s="167"/>
      <c r="BH802" s="168"/>
      <c r="BI802" s="169"/>
      <c r="BJ802" s="168"/>
      <c r="BK802" s="134"/>
      <c r="BL802" s="168"/>
      <c r="BM802" s="167"/>
      <c r="BN802" s="168"/>
      <c r="BO802" s="62"/>
      <c r="BP802" s="168"/>
      <c r="BQ802" s="168"/>
      <c r="BR802" s="168"/>
      <c r="BS802" s="135"/>
      <c r="BT802" s="176"/>
      <c r="BU802" s="167"/>
      <c r="BV802" s="168"/>
      <c r="BW802" s="167"/>
      <c r="BX802" s="168"/>
      <c r="BY802" s="167"/>
      <c r="BZ802" s="176"/>
      <c r="CA802" s="167"/>
      <c r="CB802" s="168"/>
      <c r="CC802" s="167"/>
      <c r="CD802" s="168"/>
      <c r="CE802" s="62"/>
      <c r="CF802" s="62"/>
      <c r="CG802" s="9"/>
      <c r="CH802" s="9"/>
      <c r="CI802" s="9"/>
      <c r="CJ802" s="9"/>
      <c r="CK802" s="9"/>
      <c r="CL802" s="9"/>
      <c r="CM802" s="9"/>
      <c r="CN802" s="9"/>
      <c r="CO802" s="9"/>
      <c r="CP802" s="9"/>
    </row>
    <row r="803" spans="1:94" ht="45" x14ac:dyDescent="0.25">
      <c r="A803" s="127" t="s">
        <v>2566</v>
      </c>
      <c r="B803" s="51" t="s">
        <v>2567</v>
      </c>
      <c r="C803" s="62"/>
      <c r="D803" s="84">
        <v>3</v>
      </c>
      <c r="E803" s="62" t="s">
        <v>2568</v>
      </c>
      <c r="F803" s="62">
        <v>1</v>
      </c>
      <c r="G803" s="62" t="s">
        <v>184</v>
      </c>
      <c r="H803" s="50">
        <f>VLOOKUP($A803,'[1]ma sp 02'!$A$5:$BD$1101,H$1,0)</f>
        <v>0</v>
      </c>
      <c r="I803" s="50">
        <f>VLOOKUP($A803,'[1]ma sp 02'!$A$5:$BD$1101,I$1,0)</f>
        <v>0</v>
      </c>
      <c r="J803" s="50">
        <f>VLOOKUP($A803,'[1]ma sp 02'!$A$5:$BD$1101,J$1,0)</f>
        <v>1.544</v>
      </c>
      <c r="K803" s="50">
        <f>VLOOKUP($A803,'[1]ma sp 02'!$A$5:$BD$1101,K$1,0)</f>
        <v>0</v>
      </c>
      <c r="L803" s="50">
        <f>VLOOKUP($A803,'[1]ma sp 02'!$A$5:$BD$1101,L$1,0)</f>
        <v>1.716</v>
      </c>
      <c r="M803" s="50">
        <f>VLOOKUP($A803,'[1]ma sp 02'!$A$5:$BD$1101,M$1,0)</f>
        <v>0</v>
      </c>
      <c r="N803" s="50">
        <f>VLOOKUP($A803,'[1]ma sp 02'!$A$5:$BD$1101,N$1,0)</f>
        <v>0</v>
      </c>
      <c r="O803" s="50">
        <f>VLOOKUP($A803,'[1]ma sp 02'!$A$5:$BD$1101,O$1,0)</f>
        <v>0.01</v>
      </c>
      <c r="P803" s="50">
        <f>VLOOKUP($A803,'[1]ma sp 02'!$A$5:$BD$1101,P$1,0)</f>
        <v>0</v>
      </c>
      <c r="Q803" s="50">
        <f>VLOOKUP($A803,'[1]ma sp 02'!$A$5:$BD$1101,Q$1,0)</f>
        <v>0</v>
      </c>
      <c r="R803" s="50">
        <f>VLOOKUP($A803,'[1]ma sp 02'!$A$5:$BD$1101,R$1,0)</f>
        <v>0</v>
      </c>
      <c r="S803" s="50">
        <f>VLOOKUP($A803,'[1]ma sp 02'!$A$5:$BD$1101,S$1,0)</f>
        <v>0</v>
      </c>
      <c r="T803" s="50">
        <f>VLOOKUP($A803,'[1]ma sp 02'!$A$5:$BD$1101,T$1,0)</f>
        <v>0</v>
      </c>
      <c r="U803" s="50">
        <f>VLOOKUP($A803,'[1]ma sp 02'!$A$5:$BD$1101,U$1,0)</f>
        <v>0</v>
      </c>
      <c r="V803" s="50">
        <f>VLOOKUP($A803,'[1]ma sp 02'!$A$5:$BD$1101,V$1,0)</f>
        <v>0</v>
      </c>
      <c r="W803" s="50">
        <f>VLOOKUP($A803,'[1]ma sp 02'!$A$5:$BD$1101,W$1,0)</f>
        <v>0</v>
      </c>
      <c r="X803" s="50"/>
      <c r="Y803" s="62"/>
      <c r="Z803" s="62"/>
      <c r="AA803" s="62"/>
      <c r="AB803" s="62"/>
      <c r="AC803" s="62"/>
      <c r="AD803" s="62"/>
      <c r="AE803" s="62" t="s">
        <v>2569</v>
      </c>
      <c r="AF803" s="62"/>
      <c r="AG803" s="53">
        <f>(0.02*0.91+0.05*0.925)*0.77</f>
        <v>4.9626500000000004E-2</v>
      </c>
      <c r="AH803" s="54">
        <f>(2.3/0.75/2)*0.76</f>
        <v>1.1653333333333333</v>
      </c>
      <c r="AI803" s="54"/>
      <c r="AJ803" s="62">
        <v>9530</v>
      </c>
      <c r="AK803" s="62"/>
      <c r="AL803" s="9">
        <v>2.3E-3</v>
      </c>
      <c r="AM803" s="61" t="s">
        <v>1893</v>
      </c>
      <c r="AN803" s="62">
        <v>180</v>
      </c>
      <c r="AO803" s="61" t="s">
        <v>2301</v>
      </c>
      <c r="AP803" s="59" t="str">
        <f>IFERROR(VLOOKUP($A803,[2]Mssp!$A$5:$BE$1463,AP$4+1,0),0)</f>
        <v>X110029-1</v>
      </c>
      <c r="AQ803" s="59">
        <f>IFERROR(VLOOKUP($A803,[2]Mssp!$A$5:$BE$1463,AQ$4+1,0),0)</f>
        <v>0</v>
      </c>
      <c r="AR803" s="59">
        <f>IFERROR(VLOOKUP($A803,[2]Mssp!$A$5:$BE$1463,AR$4+1,0),0)</f>
        <v>0</v>
      </c>
      <c r="AS803" s="59">
        <f>IFERROR(VLOOKUP($A803,[2]Mssp!$A$5:$BE$1463,AS$4+1,0),0)</f>
        <v>0</v>
      </c>
      <c r="AT803" s="59">
        <f>IFERROR(VLOOKUP($A803,[2]Mssp!$A$5:$BE$1463,AT$4+1,0),0)</f>
        <v>0</v>
      </c>
      <c r="AU803" s="59">
        <f>IFERROR(VLOOKUP($A803,[2]Mssp!$A$5:$BE$1463,AU$4+1,0),0)</f>
        <v>0</v>
      </c>
      <c r="AV803" s="59">
        <f>IFERROR(VLOOKUP($A803,[2]Mssp!$A$5:$BE$1463,AV$4+1,0),0)</f>
        <v>0</v>
      </c>
      <c r="AW803" s="59">
        <f>IFERROR(VLOOKUP($A803,[2]Mssp!$A$5:$BE$1463,AW$4+1,0),0)</f>
        <v>0</v>
      </c>
      <c r="AX803" s="59">
        <f>IFERROR(VLOOKUP($A803,[2]Mssp!$A$5:$BE$1463,AX$4+1,0),0)</f>
        <v>0</v>
      </c>
      <c r="AY803" s="59" t="str">
        <f>IFERROR(VLOOKUP($A803,[2]Mssp!$A$5:$BE$1463,AY$4+2,0),0)</f>
        <v>540x870</v>
      </c>
      <c r="AZ803" s="59">
        <f>IFERROR(VLOOKUP($A803,[2]Mssp!$A$5:$BE$1463,AZ$4+2,0),0)</f>
        <v>0</v>
      </c>
      <c r="BA803" s="141"/>
      <c r="BB803" s="61" t="s">
        <v>1894</v>
      </c>
      <c r="BC803" s="165"/>
      <c r="BD803" s="166"/>
      <c r="BE803" s="167"/>
      <c r="BF803" s="168"/>
      <c r="BG803" s="167"/>
      <c r="BH803" s="168"/>
      <c r="BI803" s="169"/>
      <c r="BJ803" s="168"/>
      <c r="BK803" s="134"/>
      <c r="BL803" s="168"/>
      <c r="BM803" s="167"/>
      <c r="BN803" s="168"/>
      <c r="BO803" s="62"/>
      <c r="BP803" s="168"/>
      <c r="BQ803" s="168"/>
      <c r="BR803" s="168"/>
      <c r="BS803" s="135"/>
      <c r="BT803" s="176"/>
      <c r="BU803" s="167"/>
      <c r="BV803" s="168"/>
      <c r="BW803" s="167"/>
      <c r="BX803" s="168"/>
      <c r="BY803" s="167"/>
      <c r="BZ803" s="176"/>
      <c r="CA803" s="167"/>
      <c r="CB803" s="168"/>
      <c r="CC803" s="167"/>
      <c r="CD803" s="168"/>
      <c r="CE803" s="62"/>
      <c r="CF803" s="62"/>
      <c r="CG803" s="9"/>
      <c r="CH803" s="9"/>
      <c r="CI803" s="9"/>
      <c r="CJ803" s="9"/>
      <c r="CK803" s="9"/>
      <c r="CL803" s="9"/>
      <c r="CM803" s="9"/>
      <c r="CN803" s="9"/>
      <c r="CO803" s="9"/>
      <c r="CP803" s="9"/>
    </row>
    <row r="804" spans="1:94" ht="60" x14ac:dyDescent="0.25">
      <c r="A804" s="127" t="s">
        <v>2570</v>
      </c>
      <c r="B804" s="51" t="s">
        <v>2571</v>
      </c>
      <c r="C804" s="62"/>
      <c r="D804" s="84">
        <v>1</v>
      </c>
      <c r="E804" s="62" t="s">
        <v>2572</v>
      </c>
      <c r="F804" s="62">
        <v>7</v>
      </c>
      <c r="G804" s="62" t="s">
        <v>530</v>
      </c>
      <c r="H804" s="50">
        <f>VLOOKUP($A804,'[1]ma sp 02'!$A$5:$BD$1101,H$1,0)</f>
        <v>0.223</v>
      </c>
      <c r="I804" s="50">
        <f>VLOOKUP($A804,'[1]ma sp 02'!$A$5:$BD$1101,I$1,0)</f>
        <v>3.12</v>
      </c>
      <c r="J804" s="50">
        <f>VLOOKUP($A804,'[1]ma sp 02'!$A$5:$BD$1101,J$1,0)</f>
        <v>1.56</v>
      </c>
      <c r="K804" s="50">
        <f>VLOOKUP($A804,'[1]ma sp 02'!$A$5:$BD$1101,K$1,0)</f>
        <v>0.33400000000000002</v>
      </c>
      <c r="L804" s="50">
        <f>VLOOKUP($A804,'[1]ma sp 02'!$A$5:$BD$1101,L$1,0)</f>
        <v>0.223</v>
      </c>
      <c r="M804" s="50">
        <f>VLOOKUP($A804,'[1]ma sp 02'!$A$5:$BD$1101,M$1,0)</f>
        <v>0</v>
      </c>
      <c r="N804" s="50">
        <f>VLOOKUP($A804,'[1]ma sp 02'!$A$5:$BD$1101,N$1,0)</f>
        <v>0.33400000000000002</v>
      </c>
      <c r="O804" s="50">
        <f>VLOOKUP($A804,'[1]ma sp 02'!$A$5:$BD$1101,O$1,0)</f>
        <v>0</v>
      </c>
      <c r="P804" s="50">
        <f>VLOOKUP($A804,'[1]ma sp 02'!$A$5:$BD$1101,P$1,0)</f>
        <v>0</v>
      </c>
      <c r="Q804" s="50">
        <f>VLOOKUP($A804,'[1]ma sp 02'!$A$5:$BD$1101,Q$1,0)</f>
        <v>0</v>
      </c>
      <c r="R804" s="50">
        <f>VLOOKUP($A804,'[1]ma sp 02'!$A$5:$BD$1101,R$1,0)</f>
        <v>1.115</v>
      </c>
      <c r="S804" s="50">
        <f>VLOOKUP($A804,'[1]ma sp 02'!$A$5:$BD$1101,S$1,0)</f>
        <v>0</v>
      </c>
      <c r="T804" s="50">
        <f>VLOOKUP($A804,'[1]ma sp 02'!$A$5:$BD$1101,T$1,0)</f>
        <v>0</v>
      </c>
      <c r="U804" s="50">
        <f>VLOOKUP($A804,'[1]ma sp 02'!$A$5:$BD$1101,U$1,0)</f>
        <v>0</v>
      </c>
      <c r="V804" s="50">
        <f>VLOOKUP($A804,'[1]ma sp 02'!$A$5:$BD$1101,V$1,0)</f>
        <v>0</v>
      </c>
      <c r="W804" s="50">
        <f>VLOOKUP($A804,'[1]ma sp 02'!$A$5:$BD$1101,W$1,0)</f>
        <v>0</v>
      </c>
      <c r="X804" s="50"/>
      <c r="Y804" s="62"/>
      <c r="Z804" s="62"/>
      <c r="AA804" s="62"/>
      <c r="AB804" s="62"/>
      <c r="AC804" s="62"/>
      <c r="AD804" s="62"/>
      <c r="AE804" s="62" t="s">
        <v>2573</v>
      </c>
      <c r="AF804" s="61" t="s">
        <v>2574</v>
      </c>
      <c r="AG804" s="53">
        <f>(0.012*1.4+0.012*1.4+0.015*1.15+0.17*0.925)*0.89</f>
        <v>0.18520900000000001</v>
      </c>
      <c r="AH804" s="54">
        <f>(3/0.75/2)*0.88</f>
        <v>1.76</v>
      </c>
      <c r="AI804" s="54">
        <f>(3/0.75/2)*0.88</f>
        <v>1.76</v>
      </c>
      <c r="AJ804" s="9">
        <v>9530</v>
      </c>
      <c r="AK804" s="62">
        <v>6260</v>
      </c>
      <c r="AL804" s="9" t="s">
        <v>2544</v>
      </c>
      <c r="AM804" s="61" t="s">
        <v>542</v>
      </c>
      <c r="AN804" s="62">
        <v>270</v>
      </c>
      <c r="AO804" s="61" t="s">
        <v>2546</v>
      </c>
      <c r="AP804" s="59" t="str">
        <f>IFERROR(VLOOKUP($A804,[2]Mssp!$A$5:$BE$1463,AP$4+1,0),0)</f>
        <v>F127181-1</v>
      </c>
      <c r="AQ804" s="59" t="str">
        <f>IFERROR(VLOOKUP($A804,[2]Mssp!$A$5:$BE$1463,AQ$4+1,0),0)</f>
        <v>F127181-2</v>
      </c>
      <c r="AR804" s="59" t="str">
        <f>IFERROR(VLOOKUP($A804,[2]Mssp!$A$5:$BE$1463,AR$4+1,0),0)</f>
        <v>F127181-3</v>
      </c>
      <c r="AS804" s="59" t="str">
        <f>IFERROR(VLOOKUP($A804,[2]Mssp!$A$5:$BE$1463,AS$4+1,0),0)</f>
        <v>F127181-4</v>
      </c>
      <c r="AT804" s="59" t="str">
        <f>IFERROR(VLOOKUP($A804,[2]Mssp!$A$5:$BE$1463,AT$4+1,0),0)</f>
        <v>F127181-5</v>
      </c>
      <c r="AU804" s="59" t="str">
        <f>IFERROR(VLOOKUP($A804,[2]Mssp!$A$5:$BE$1463,AU$4+1,0),0)</f>
        <v>F127181-6</v>
      </c>
      <c r="AV804" s="59" t="str">
        <f>IFERROR(VLOOKUP($A804,[2]Mssp!$A$5:$BE$1463,AV$4+1,0),0)</f>
        <v>F127181-7</v>
      </c>
      <c r="AW804" s="59">
        <f>IFERROR(VLOOKUP($A804,[2]Mssp!$A$5:$BE$1463,AW$4+1,0),0)</f>
        <v>0</v>
      </c>
      <c r="AX804" s="59">
        <f>IFERROR(VLOOKUP($A804,[2]Mssp!$A$5:$BE$1463,AX$4+1,0),0)</f>
        <v>0</v>
      </c>
      <c r="AY804" s="59" t="str">
        <f>IFERROR(VLOOKUP($A804,[2]Mssp!$A$5:$BE$1463,AY$4+2,0),0)</f>
        <v>540x1100</v>
      </c>
      <c r="AZ804" s="59">
        <f>IFERROR(VLOOKUP($A804,[2]Mssp!$A$5:$BE$1463,AZ$4+2,0),0)</f>
        <v>0</v>
      </c>
      <c r="BA804" s="141"/>
      <c r="BB804" s="61" t="s">
        <v>1894</v>
      </c>
      <c r="BC804" s="165"/>
      <c r="BD804" s="166"/>
      <c r="BE804" s="167"/>
      <c r="BF804" s="168"/>
      <c r="BG804" s="167"/>
      <c r="BH804" s="168"/>
      <c r="BI804" s="169"/>
      <c r="BJ804" s="168"/>
      <c r="BK804" s="134"/>
      <c r="BL804" s="168"/>
      <c r="BM804" s="167"/>
      <c r="BN804" s="168"/>
      <c r="BO804" s="62"/>
      <c r="BP804" s="168"/>
      <c r="BQ804" s="168"/>
      <c r="BR804" s="168"/>
      <c r="BS804" s="135"/>
      <c r="BT804" s="176"/>
      <c r="BU804" s="167"/>
      <c r="BV804" s="168"/>
      <c r="BW804" s="167"/>
      <c r="BX804" s="168"/>
      <c r="BY804" s="167"/>
      <c r="BZ804" s="176"/>
      <c r="CA804" s="167"/>
      <c r="CB804" s="168"/>
      <c r="CC804" s="167"/>
      <c r="CD804" s="168"/>
      <c r="CE804" s="62"/>
      <c r="CF804" s="62"/>
      <c r="CG804" s="9"/>
      <c r="CH804" s="9"/>
      <c r="CI804" s="9"/>
      <c r="CJ804" s="9"/>
      <c r="CK804" s="9"/>
      <c r="CL804" s="9"/>
      <c r="CM804" s="9"/>
      <c r="CN804" s="9"/>
      <c r="CO804" s="9"/>
      <c r="CP804" s="9"/>
    </row>
    <row r="805" spans="1:94" ht="60" x14ac:dyDescent="0.25">
      <c r="A805" s="127" t="s">
        <v>2575</v>
      </c>
      <c r="B805" s="51" t="s">
        <v>2576</v>
      </c>
      <c r="C805" s="62"/>
      <c r="D805" s="84">
        <v>1</v>
      </c>
      <c r="E805" s="62" t="s">
        <v>2572</v>
      </c>
      <c r="F805" s="62">
        <v>7</v>
      </c>
      <c r="G805" s="62" t="s">
        <v>530</v>
      </c>
      <c r="H805" s="50">
        <f>VLOOKUP($A805,'[1]ma sp 02'!$A$5:$BD$1101,H$1,0)</f>
        <v>0</v>
      </c>
      <c r="I805" s="50">
        <f>VLOOKUP($A805,'[1]ma sp 02'!$A$5:$BD$1101,I$1,0)</f>
        <v>4.8079999999999998</v>
      </c>
      <c r="J805" s="50">
        <f>VLOOKUP($A805,'[1]ma sp 02'!$A$5:$BD$1101,J$1,0)</f>
        <v>0.32</v>
      </c>
      <c r="K805" s="50">
        <f>VLOOKUP($A805,'[1]ma sp 02'!$A$5:$BD$1101,K$1,0)</f>
        <v>0.96199999999999997</v>
      </c>
      <c r="L805" s="50">
        <f>VLOOKUP($A805,'[1]ma sp 02'!$A$5:$BD$1101,L$1,0)</f>
        <v>0.107</v>
      </c>
      <c r="M805" s="50">
        <f>VLOOKUP($A805,'[1]ma sp 02'!$A$5:$BD$1101,M$1,0)</f>
        <v>0.64100000000000001</v>
      </c>
      <c r="N805" s="50">
        <f>VLOOKUP($A805,'[1]ma sp 02'!$A$5:$BD$1101,N$1,0)</f>
        <v>0.42699999999999999</v>
      </c>
      <c r="O805" s="50">
        <f>VLOOKUP($A805,'[1]ma sp 02'!$A$5:$BD$1101,O$1,0)</f>
        <v>0</v>
      </c>
      <c r="P805" s="50">
        <f>VLOOKUP($A805,'[1]ma sp 02'!$A$5:$BD$1101,P$1,0)</f>
        <v>0.107</v>
      </c>
      <c r="Q805" s="50">
        <f>VLOOKUP($A805,'[1]ma sp 02'!$A$5:$BD$1101,Q$1,0)</f>
        <v>0</v>
      </c>
      <c r="R805" s="50">
        <f>VLOOKUP($A805,'[1]ma sp 02'!$A$5:$BD$1101,R$1,0)</f>
        <v>0.01</v>
      </c>
      <c r="S805" s="50">
        <f>VLOOKUP($A805,'[1]ma sp 02'!$A$5:$BD$1101,S$1,0)</f>
        <v>0</v>
      </c>
      <c r="T805" s="50">
        <f>VLOOKUP($A805,'[1]ma sp 02'!$A$5:$BD$1101,T$1,0)</f>
        <v>0</v>
      </c>
      <c r="U805" s="50">
        <f>VLOOKUP($A805,'[1]ma sp 02'!$A$5:$BD$1101,U$1,0)</f>
        <v>0</v>
      </c>
      <c r="V805" s="50">
        <f>VLOOKUP($A805,'[1]ma sp 02'!$A$5:$BD$1101,V$1,0)</f>
        <v>0</v>
      </c>
      <c r="W805" s="50">
        <f>VLOOKUP($A805,'[1]ma sp 02'!$A$5:$BD$1101,W$1,0)</f>
        <v>0</v>
      </c>
      <c r="X805" s="50"/>
      <c r="Y805" s="62"/>
      <c r="Z805" s="62"/>
      <c r="AA805" s="62"/>
      <c r="AB805" s="62"/>
      <c r="AC805" s="62"/>
      <c r="AD805" s="62"/>
      <c r="AE805" s="62" t="s">
        <v>2573</v>
      </c>
      <c r="AF805" s="61" t="s">
        <v>2574</v>
      </c>
      <c r="AG805" s="53">
        <f>(0.012*1.4+0.012*1.4+0.015*1.15+0.17*0.925)*0.89</f>
        <v>0.18520900000000001</v>
      </c>
      <c r="AH805" s="54">
        <f>(3/0.75/2)*0.88</f>
        <v>1.76</v>
      </c>
      <c r="AI805" s="54">
        <f>(3/0.75/2)*0.88</f>
        <v>1.76</v>
      </c>
      <c r="AJ805" s="9">
        <v>9530</v>
      </c>
      <c r="AK805" s="62">
        <v>6260</v>
      </c>
      <c r="AL805" s="9" t="s">
        <v>2544</v>
      </c>
      <c r="AM805" s="61" t="s">
        <v>542</v>
      </c>
      <c r="AN805" s="62">
        <v>270</v>
      </c>
      <c r="AO805" s="61" t="s">
        <v>2546</v>
      </c>
      <c r="AP805" s="59" t="str">
        <f>IFERROR(VLOOKUP($A805,[2]Mssp!$A$5:$BE$1463,AP$4+1,0),0)</f>
        <v>F127181-1</v>
      </c>
      <c r="AQ805" s="59" t="str">
        <f>IFERROR(VLOOKUP($A805,[2]Mssp!$A$5:$BE$1463,AQ$4+1,0),0)</f>
        <v>F127181-2</v>
      </c>
      <c r="AR805" s="59" t="str">
        <f>IFERROR(VLOOKUP($A805,[2]Mssp!$A$5:$BE$1463,AR$4+1,0),0)</f>
        <v>F127181-3</v>
      </c>
      <c r="AS805" s="59" t="str">
        <f>IFERROR(VLOOKUP($A805,[2]Mssp!$A$5:$BE$1463,AS$4+1,0),0)</f>
        <v>F127181-4</v>
      </c>
      <c r="AT805" s="59" t="str">
        <f>IFERROR(VLOOKUP($A805,[2]Mssp!$A$5:$BE$1463,AT$4+1,0),0)</f>
        <v>F127181-5</v>
      </c>
      <c r="AU805" s="59" t="str">
        <f>IFERROR(VLOOKUP($A805,[2]Mssp!$A$5:$BE$1463,AU$4+1,0),0)</f>
        <v>F127181-6</v>
      </c>
      <c r="AV805" s="59" t="str">
        <f>IFERROR(VLOOKUP($A805,[2]Mssp!$A$5:$BE$1463,AV$4+1,0),0)</f>
        <v>F127181-7</v>
      </c>
      <c r="AW805" s="59">
        <f>IFERROR(VLOOKUP($A805,[2]Mssp!$A$5:$BE$1463,AW$4+1,0),0)</f>
        <v>0</v>
      </c>
      <c r="AX805" s="59">
        <f>IFERROR(VLOOKUP($A805,[2]Mssp!$A$5:$BE$1463,AX$4+1,0),0)</f>
        <v>0</v>
      </c>
      <c r="AY805" s="59" t="str">
        <f>IFERROR(VLOOKUP($A805,[2]Mssp!$A$5:$BE$1463,AY$4+2,0),0)</f>
        <v>540x1100</v>
      </c>
      <c r="AZ805" s="59">
        <f>IFERROR(VLOOKUP($A805,[2]Mssp!$A$5:$BE$1463,AZ$4+2,0),0)</f>
        <v>0</v>
      </c>
      <c r="BA805" s="141"/>
      <c r="BB805" s="61" t="s">
        <v>1894</v>
      </c>
      <c r="BC805" s="165"/>
      <c r="BD805" s="166"/>
      <c r="BE805" s="167"/>
      <c r="BF805" s="168"/>
      <c r="BG805" s="167"/>
      <c r="BH805" s="168"/>
      <c r="BI805" s="169"/>
      <c r="BJ805" s="168"/>
      <c r="BK805" s="134"/>
      <c r="BL805" s="168"/>
      <c r="BM805" s="167"/>
      <c r="BN805" s="168"/>
      <c r="BO805" s="62"/>
      <c r="BP805" s="168"/>
      <c r="BQ805" s="168"/>
      <c r="BR805" s="168"/>
      <c r="BS805" s="135"/>
      <c r="BT805" s="176"/>
      <c r="BU805" s="167"/>
      <c r="BV805" s="168"/>
      <c r="BW805" s="167"/>
      <c r="BX805" s="168"/>
      <c r="BY805" s="167"/>
      <c r="BZ805" s="176"/>
      <c r="CA805" s="167"/>
      <c r="CB805" s="168"/>
      <c r="CC805" s="167"/>
      <c r="CD805" s="168"/>
      <c r="CE805" s="62"/>
      <c r="CF805" s="62"/>
      <c r="CG805" s="9"/>
      <c r="CH805" s="9"/>
      <c r="CI805" s="9"/>
      <c r="CJ805" s="9"/>
      <c r="CK805" s="9"/>
      <c r="CL805" s="9"/>
      <c r="CM805" s="9"/>
      <c r="CN805" s="9"/>
      <c r="CO805" s="9"/>
      <c r="CP805" s="9"/>
    </row>
    <row r="806" spans="1:94" ht="30" x14ac:dyDescent="0.25">
      <c r="A806" s="127" t="s">
        <v>2577</v>
      </c>
      <c r="B806" s="51" t="s">
        <v>2578</v>
      </c>
      <c r="C806" s="62"/>
      <c r="D806" s="84">
        <v>3</v>
      </c>
      <c r="E806" s="62" t="s">
        <v>641</v>
      </c>
      <c r="F806" s="62">
        <v>7</v>
      </c>
      <c r="G806" s="62" t="s">
        <v>184</v>
      </c>
      <c r="H806" s="50">
        <f>VLOOKUP($A806,'[1]ma sp 02'!$A$5:$BD$1101,H$1,0)</f>
        <v>0.01</v>
      </c>
      <c r="I806" s="50">
        <f>VLOOKUP($A806,'[1]ma sp 02'!$A$5:$BD$1101,I$1,0)</f>
        <v>4.1219999999999999</v>
      </c>
      <c r="J806" s="50">
        <f>VLOOKUP($A806,'[1]ma sp 02'!$A$5:$BD$1101,J$1,0)</f>
        <v>0.34300000000000003</v>
      </c>
      <c r="K806" s="50">
        <f>VLOOKUP($A806,'[1]ma sp 02'!$A$5:$BD$1101,K$1,0)</f>
        <v>0.63</v>
      </c>
      <c r="L806" s="50">
        <f>VLOOKUP($A806,'[1]ma sp 02'!$A$5:$BD$1101,L$1,0)</f>
        <v>2.7480000000000002</v>
      </c>
      <c r="M806" s="50">
        <f>VLOOKUP($A806,'[1]ma sp 02'!$A$5:$BD$1101,M$1,0)</f>
        <v>0.91600000000000004</v>
      </c>
      <c r="N806" s="50">
        <f>VLOOKUP($A806,'[1]ma sp 02'!$A$5:$BD$1101,N$1,0)</f>
        <v>0</v>
      </c>
      <c r="O806" s="50">
        <f>VLOOKUP($A806,'[1]ma sp 02'!$A$5:$BD$1101,O$1,0)</f>
        <v>0</v>
      </c>
      <c r="P806" s="50">
        <f>VLOOKUP($A806,'[1]ma sp 02'!$A$5:$BD$1101,P$1,0)</f>
        <v>0</v>
      </c>
      <c r="Q806" s="50">
        <f>VLOOKUP($A806,'[1]ma sp 02'!$A$5:$BD$1101,Q$1,0)</f>
        <v>0</v>
      </c>
      <c r="R806" s="50">
        <f>VLOOKUP($A806,'[1]ma sp 02'!$A$5:$BD$1101,R$1,0)</f>
        <v>0</v>
      </c>
      <c r="S806" s="50">
        <f>VLOOKUP($A806,'[1]ma sp 02'!$A$5:$BD$1101,S$1,0)</f>
        <v>5.7000000000000002E-2</v>
      </c>
      <c r="T806" s="50">
        <f>VLOOKUP($A806,'[1]ma sp 02'!$A$5:$BD$1101,T$1,0)</f>
        <v>0</v>
      </c>
      <c r="U806" s="50">
        <f>VLOOKUP($A806,'[1]ma sp 02'!$A$5:$BD$1101,U$1,0)</f>
        <v>0</v>
      </c>
      <c r="V806" s="50">
        <f>VLOOKUP($A806,'[1]ma sp 02'!$A$5:$BD$1101,V$1,0)</f>
        <v>0</v>
      </c>
      <c r="W806" s="50">
        <f>VLOOKUP($A806,'[1]ma sp 02'!$A$5:$BD$1101,W$1,0)</f>
        <v>0</v>
      </c>
      <c r="X806" s="50"/>
      <c r="Y806" s="62"/>
      <c r="Z806" s="62"/>
      <c r="AA806" s="62"/>
      <c r="AB806" s="62"/>
      <c r="AC806" s="62"/>
      <c r="AD806" s="62"/>
      <c r="AE806" s="62" t="s">
        <v>115</v>
      </c>
      <c r="AF806" s="62" t="s">
        <v>642</v>
      </c>
      <c r="AG806" s="53">
        <f>(0.02*0.91+0.012*1.4+0.07*0.925)*0.74</f>
        <v>7.3815000000000019E-2</v>
      </c>
      <c r="AH806" s="54">
        <f>(2.3/0.75/2)*0.73</f>
        <v>1.1193333333333333</v>
      </c>
      <c r="AI806" s="54">
        <f>(3/0.75/2)*0.73</f>
        <v>1.46</v>
      </c>
      <c r="AJ806" s="9">
        <v>9530</v>
      </c>
      <c r="AK806" s="62">
        <v>9530</v>
      </c>
      <c r="AL806" s="9" t="s">
        <v>2579</v>
      </c>
      <c r="AM806" s="61" t="s">
        <v>1893</v>
      </c>
      <c r="AN806" s="62">
        <v>270</v>
      </c>
      <c r="AO806" s="61" t="s">
        <v>332</v>
      </c>
      <c r="AP806" s="59" t="str">
        <f>IFERROR(VLOOKUP($A806,[2]Mssp!$A$5:$BE$1463,AP$4+1,0),0)</f>
        <v>20101231-1</v>
      </c>
      <c r="AQ806" s="59" t="str">
        <f>IFERROR(VLOOKUP($A806,[2]Mssp!$A$5:$BE$1463,AQ$4+1,0),0)</f>
        <v>20101231-2</v>
      </c>
      <c r="AR806" s="59" t="str">
        <f>IFERROR(VLOOKUP($A806,[2]Mssp!$A$5:$BE$1463,AR$4+1,0),0)</f>
        <v>20101231-3</v>
      </c>
      <c r="AS806" s="59" t="str">
        <f>IFERROR(VLOOKUP($A806,[2]Mssp!$A$5:$BE$1463,AS$4+1,0),0)</f>
        <v>20101231-4</v>
      </c>
      <c r="AT806" s="59" t="str">
        <f>IFERROR(VLOOKUP($A806,[2]Mssp!$A$5:$BE$1463,AT$4+1,0),0)</f>
        <v>20101231-5</v>
      </c>
      <c r="AU806" s="59" t="str">
        <f>IFERROR(VLOOKUP($A806,[2]Mssp!$A$5:$BE$1463,AU$4+1,0),0)</f>
        <v>20101231-6</v>
      </c>
      <c r="AV806" s="59" t="str">
        <f>IFERROR(VLOOKUP($A806,[2]Mssp!$A$5:$BE$1463,AV$4+1,0),0)</f>
        <v>1607495-7</v>
      </c>
      <c r="AW806" s="59">
        <f>IFERROR(VLOOKUP($A806,[2]Mssp!$A$5:$BE$1463,AW$4+1,0),0)</f>
        <v>0</v>
      </c>
      <c r="AX806" s="59">
        <f>IFERROR(VLOOKUP($A806,[2]Mssp!$A$5:$BE$1463,AX$4+1,0),0)</f>
        <v>0</v>
      </c>
      <c r="AY806" s="59" t="str">
        <f>IFERROR(VLOOKUP($A806,[2]Mssp!$A$5:$BE$1463,AY$4+2,0),0)</f>
        <v>540x850</v>
      </c>
      <c r="AZ806" s="59">
        <f>IFERROR(VLOOKUP($A806,[2]Mssp!$A$5:$BE$1463,AZ$4+2,0),0)</f>
        <v>0</v>
      </c>
      <c r="BA806" s="141">
        <v>3500</v>
      </c>
      <c r="BB806" s="61" t="s">
        <v>1894</v>
      </c>
      <c r="BC806" s="165"/>
      <c r="BD806" s="166"/>
      <c r="BE806" s="167"/>
      <c r="BF806" s="168"/>
      <c r="BG806" s="167"/>
      <c r="BH806" s="168"/>
      <c r="BI806" s="169"/>
      <c r="BJ806" s="168"/>
      <c r="BK806" s="134"/>
      <c r="BL806" s="168"/>
      <c r="BM806" s="167"/>
      <c r="BN806" s="168"/>
      <c r="BO806" s="62"/>
      <c r="BP806" s="168"/>
      <c r="BQ806" s="168"/>
      <c r="BR806" s="168"/>
      <c r="BS806" s="135"/>
      <c r="BT806" s="176"/>
      <c r="BU806" s="167"/>
      <c r="BV806" s="168"/>
      <c r="BW806" s="167"/>
      <c r="BX806" s="168"/>
      <c r="BY806" s="167"/>
      <c r="BZ806" s="176"/>
      <c r="CA806" s="167"/>
      <c r="CB806" s="168"/>
      <c r="CC806" s="167"/>
      <c r="CD806" s="168"/>
      <c r="CE806" s="62"/>
      <c r="CF806" s="62"/>
      <c r="CG806" s="9"/>
      <c r="CH806" s="9"/>
      <c r="CI806" s="9"/>
      <c r="CJ806" s="9"/>
      <c r="CK806" s="9"/>
      <c r="CL806" s="9"/>
      <c r="CM806" s="9"/>
      <c r="CN806" s="9"/>
      <c r="CO806" s="9"/>
      <c r="CP806" s="9"/>
    </row>
    <row r="807" spans="1:94" ht="30" x14ac:dyDescent="0.25">
      <c r="A807" s="127" t="s">
        <v>2580</v>
      </c>
      <c r="B807" s="51" t="s">
        <v>2581</v>
      </c>
      <c r="C807" s="62"/>
      <c r="D807" s="84">
        <v>2</v>
      </c>
      <c r="E807" s="62" t="s">
        <v>178</v>
      </c>
      <c r="F807" s="62">
        <v>6</v>
      </c>
      <c r="G807" s="62" t="s">
        <v>184</v>
      </c>
      <c r="H807" s="50">
        <f>VLOOKUP($A807,'[1]ma sp 02'!$A$5:$BD$1101,H$1,0)</f>
        <v>0.46700000000000003</v>
      </c>
      <c r="I807" s="50">
        <f>VLOOKUP($A807,'[1]ma sp 02'!$A$5:$BD$1101,I$1,0)</f>
        <v>4.5579999999999998</v>
      </c>
      <c r="J807" s="50">
        <f>VLOOKUP($A807,'[1]ma sp 02'!$A$5:$BD$1101,J$1,0)</f>
        <v>0.93500000000000005</v>
      </c>
      <c r="K807" s="50">
        <f>VLOOKUP($A807,'[1]ma sp 02'!$A$5:$BD$1101,K$1,0)</f>
        <v>0.01</v>
      </c>
      <c r="L807" s="50">
        <f>VLOOKUP($A807,'[1]ma sp 02'!$A$5:$BD$1101,L$1,0)</f>
        <v>1.6359999999999999</v>
      </c>
      <c r="M807" s="50">
        <f>VLOOKUP($A807,'[1]ma sp 02'!$A$5:$BD$1101,M$1,0)</f>
        <v>0.46700000000000003</v>
      </c>
      <c r="N807" s="50">
        <f>VLOOKUP($A807,'[1]ma sp 02'!$A$5:$BD$1101,N$1,0)</f>
        <v>0</v>
      </c>
      <c r="O807" s="50">
        <f>VLOOKUP($A807,'[1]ma sp 02'!$A$5:$BD$1101,O$1,0)</f>
        <v>0.58399999999999996</v>
      </c>
      <c r="P807" s="50">
        <f>VLOOKUP($A807,'[1]ma sp 02'!$A$5:$BD$1101,P$1,0)</f>
        <v>0</v>
      </c>
      <c r="Q807" s="50">
        <f>VLOOKUP($A807,'[1]ma sp 02'!$A$5:$BD$1101,Q$1,0)</f>
        <v>0</v>
      </c>
      <c r="R807" s="50">
        <f>VLOOKUP($A807,'[1]ma sp 02'!$A$5:$BD$1101,R$1,0)</f>
        <v>0</v>
      </c>
      <c r="S807" s="50">
        <f>VLOOKUP($A807,'[1]ma sp 02'!$A$5:$BD$1101,S$1,0)</f>
        <v>0</v>
      </c>
      <c r="T807" s="50">
        <f>VLOOKUP($A807,'[1]ma sp 02'!$A$5:$BD$1101,T$1,0)</f>
        <v>0</v>
      </c>
      <c r="U807" s="50">
        <f>VLOOKUP($A807,'[1]ma sp 02'!$A$5:$BD$1101,U$1,0)</f>
        <v>0</v>
      </c>
      <c r="V807" s="50">
        <f>VLOOKUP($A807,'[1]ma sp 02'!$A$5:$BD$1101,V$1,0)</f>
        <v>0</v>
      </c>
      <c r="W807" s="50">
        <f>VLOOKUP($A807,'[1]ma sp 02'!$A$5:$BD$1101,W$1,0)</f>
        <v>0</v>
      </c>
      <c r="X807" s="50"/>
      <c r="Y807" s="62"/>
      <c r="Z807" s="62"/>
      <c r="AA807" s="62"/>
      <c r="AB807" s="62"/>
      <c r="AC807" s="62"/>
      <c r="AD807" s="62"/>
      <c r="AE807" s="62" t="s">
        <v>179</v>
      </c>
      <c r="AF807" s="62"/>
      <c r="AG807" s="53">
        <f>(0.02*0.91+0.055*0.925)*0.73</f>
        <v>5.0424749999999997E-2</v>
      </c>
      <c r="AH807" s="54">
        <f>(2.3/0.75/2)*0.72</f>
        <v>1.1039999999999999</v>
      </c>
      <c r="AI807" s="54"/>
      <c r="AJ807" s="9">
        <v>9530</v>
      </c>
      <c r="AK807" s="62"/>
      <c r="AL807" s="9">
        <v>2.3E-3</v>
      </c>
      <c r="AM807" s="61" t="s">
        <v>1489</v>
      </c>
      <c r="AN807" s="62">
        <v>266</v>
      </c>
      <c r="AO807" s="61" t="s">
        <v>180</v>
      </c>
      <c r="AP807" s="59" t="str">
        <f>IFERROR(VLOOKUP($A807,[2]Mssp!$A$5:$BE$1463,AP$4+1,0),0)</f>
        <v>20110326-1</v>
      </c>
      <c r="AQ807" s="59" t="str">
        <f>IFERROR(VLOOKUP($A807,[2]Mssp!$A$5:$BE$1463,AQ$4+1,0),0)</f>
        <v>20110326-2</v>
      </c>
      <c r="AR807" s="59" t="str">
        <f>IFERROR(VLOOKUP($A807,[2]Mssp!$A$5:$BE$1463,AR$4+1,0),0)</f>
        <v>20110326-3</v>
      </c>
      <c r="AS807" s="59" t="str">
        <f>IFERROR(VLOOKUP($A807,[2]Mssp!$A$5:$BE$1463,AS$4+1,0),0)</f>
        <v>20110326-4</v>
      </c>
      <c r="AT807" s="59" t="str">
        <f>IFERROR(VLOOKUP($A807,[2]Mssp!$A$5:$BE$1463,AT$4+1,0),0)</f>
        <v>20110326-5</v>
      </c>
      <c r="AU807" s="59" t="str">
        <f>IFERROR(VLOOKUP($A807,[2]Mssp!$A$5:$BE$1463,AU$4+1,0),0)</f>
        <v>20110326-6</v>
      </c>
      <c r="AV807" s="59">
        <f>IFERROR(VLOOKUP($A807,[2]Mssp!$A$5:$BE$1463,AV$4+1,0),0)</f>
        <v>0</v>
      </c>
      <c r="AW807" s="59">
        <f>IFERROR(VLOOKUP($A807,[2]Mssp!$A$5:$BE$1463,AW$4+1,0),0)</f>
        <v>0</v>
      </c>
      <c r="AX807" s="59">
        <f>IFERROR(VLOOKUP($A807,[2]Mssp!$A$5:$BE$1463,AX$4+1,0),0)</f>
        <v>0</v>
      </c>
      <c r="AY807" s="59" t="str">
        <f>IFERROR(VLOOKUP($A807,[2]Mssp!$A$5:$BE$1463,AY$4+2,0),0)</f>
        <v>532x870</v>
      </c>
      <c r="AZ807" s="59">
        <f>IFERROR(VLOOKUP($A807,[2]Mssp!$A$5:$BE$1463,AZ$4+2,0),0)</f>
        <v>0</v>
      </c>
      <c r="BA807" s="141" t="s">
        <v>1936</v>
      </c>
      <c r="BB807" s="61" t="s">
        <v>952</v>
      </c>
      <c r="BC807" s="165"/>
      <c r="BD807" s="166"/>
      <c r="BE807" s="167"/>
      <c r="BF807" s="168"/>
      <c r="BG807" s="167"/>
      <c r="BH807" s="168"/>
      <c r="BI807" s="169"/>
      <c r="BJ807" s="168"/>
      <c r="BK807" s="134"/>
      <c r="BL807" s="168"/>
      <c r="BM807" s="167"/>
      <c r="BN807" s="168"/>
      <c r="BO807" s="62"/>
      <c r="BP807" s="168"/>
      <c r="BQ807" s="168"/>
      <c r="BR807" s="168"/>
      <c r="BS807" s="135"/>
      <c r="BT807" s="176"/>
      <c r="BU807" s="167"/>
      <c r="BV807" s="168"/>
      <c r="BW807" s="167"/>
      <c r="BX807" s="168"/>
      <c r="BY807" s="167"/>
      <c r="BZ807" s="176"/>
      <c r="CA807" s="167"/>
      <c r="CB807" s="168"/>
      <c r="CC807" s="167"/>
      <c r="CD807" s="168"/>
      <c r="CE807" s="62"/>
      <c r="CF807" s="62"/>
      <c r="CG807" s="9"/>
      <c r="CH807" s="9"/>
      <c r="CI807" s="9"/>
      <c r="CJ807" s="9"/>
      <c r="CK807" s="9"/>
      <c r="CL807" s="9"/>
      <c r="CM807" s="9"/>
      <c r="CN807" s="9"/>
      <c r="CO807" s="9"/>
      <c r="CP807" s="9"/>
    </row>
    <row r="808" spans="1:94" ht="45" x14ac:dyDescent="0.25">
      <c r="A808" s="127" t="s">
        <v>2582</v>
      </c>
      <c r="B808" s="51" t="s">
        <v>2583</v>
      </c>
      <c r="C808" s="62"/>
      <c r="D808" s="84">
        <v>4</v>
      </c>
      <c r="E808" s="62" t="s">
        <v>113</v>
      </c>
      <c r="F808" s="62"/>
      <c r="G808" s="62"/>
      <c r="H808" s="50">
        <f>VLOOKUP($A808,'[1]ma sp 02'!$A$5:$BD$1101,H$1,0)</f>
        <v>0</v>
      </c>
      <c r="I808" s="50">
        <f>VLOOKUP($A808,'[1]ma sp 02'!$A$5:$BD$1101,I$1,0)</f>
        <v>0</v>
      </c>
      <c r="J808" s="50">
        <f>VLOOKUP($A808,'[1]ma sp 02'!$A$5:$BD$1101,J$1,0)</f>
        <v>0</v>
      </c>
      <c r="K808" s="50">
        <f>VLOOKUP($A808,'[1]ma sp 02'!$A$5:$BD$1101,K$1,0)</f>
        <v>0</v>
      </c>
      <c r="L808" s="50">
        <f>VLOOKUP($A808,'[1]ma sp 02'!$A$5:$BD$1101,L$1,0)</f>
        <v>0</v>
      </c>
      <c r="M808" s="50">
        <f>VLOOKUP($A808,'[1]ma sp 02'!$A$5:$BD$1101,M$1,0)</f>
        <v>0</v>
      </c>
      <c r="N808" s="50">
        <f>VLOOKUP($A808,'[1]ma sp 02'!$A$5:$BD$1101,N$1,0)</f>
        <v>0</v>
      </c>
      <c r="O808" s="50">
        <f>VLOOKUP($A808,'[1]ma sp 02'!$A$5:$BD$1101,O$1,0)</f>
        <v>0</v>
      </c>
      <c r="P808" s="50">
        <f>VLOOKUP($A808,'[1]ma sp 02'!$A$5:$BD$1101,P$1,0)</f>
        <v>0</v>
      </c>
      <c r="Q808" s="50">
        <f>VLOOKUP($A808,'[1]ma sp 02'!$A$5:$BD$1101,Q$1,0)</f>
        <v>0</v>
      </c>
      <c r="R808" s="50">
        <f>VLOOKUP($A808,'[1]ma sp 02'!$A$5:$BD$1101,R$1,0)</f>
        <v>0</v>
      </c>
      <c r="S808" s="50">
        <f>VLOOKUP($A808,'[1]ma sp 02'!$A$5:$BD$1101,S$1,0)</f>
        <v>0</v>
      </c>
      <c r="T808" s="50">
        <f>VLOOKUP($A808,'[1]ma sp 02'!$A$5:$BD$1101,T$1,0)</f>
        <v>0</v>
      </c>
      <c r="U808" s="50">
        <f>VLOOKUP($A808,'[1]ma sp 02'!$A$5:$BD$1101,U$1,0)</f>
        <v>0</v>
      </c>
      <c r="V808" s="50">
        <f>VLOOKUP($A808,'[1]ma sp 02'!$A$5:$BD$1101,V$1,0)</f>
        <v>0</v>
      </c>
      <c r="W808" s="50">
        <f>VLOOKUP($A808,'[1]ma sp 02'!$A$5:$BD$1101,W$1,0)</f>
        <v>0</v>
      </c>
      <c r="X808" s="50"/>
      <c r="Y808" s="62"/>
      <c r="Z808" s="62"/>
      <c r="AA808" s="62"/>
      <c r="AB808" s="62"/>
      <c r="AC808" s="62"/>
      <c r="AD808" s="62"/>
      <c r="AE808" s="62" t="s">
        <v>628</v>
      </c>
      <c r="AF808" s="62" t="s">
        <v>2584</v>
      </c>
      <c r="AG808" s="53">
        <f>(0.012*1.4+0.006*2.71+0.7*0.925)*0.74</f>
        <v>0.50361439999999991</v>
      </c>
      <c r="AH808" s="54">
        <f>(2.3/0.75/2)*0.73</f>
        <v>1.1193333333333333</v>
      </c>
      <c r="AI808" s="54">
        <f>(2.3/0.75/2)*0.73</f>
        <v>1.1193333333333333</v>
      </c>
      <c r="AJ808" s="9">
        <v>9530</v>
      </c>
      <c r="AK808" s="62">
        <v>9530</v>
      </c>
      <c r="AL808" s="9" t="s">
        <v>1590</v>
      </c>
      <c r="AM808" s="61" t="s">
        <v>386</v>
      </c>
      <c r="AN808" s="62">
        <v>165</v>
      </c>
      <c r="AO808" s="61" t="s">
        <v>2585</v>
      </c>
      <c r="AP808" s="59">
        <f>IFERROR(VLOOKUP($A808,[2]Mssp!$A$5:$BE$1463,AP$4+1,0),0)</f>
        <v>0</v>
      </c>
      <c r="AQ808" s="59">
        <f>IFERROR(VLOOKUP($A808,[2]Mssp!$A$5:$BE$1463,AQ$4+1,0),0)</f>
        <v>0</v>
      </c>
      <c r="AR808" s="59">
        <f>IFERROR(VLOOKUP($A808,[2]Mssp!$A$5:$BE$1463,AR$4+1,0),0)</f>
        <v>0</v>
      </c>
      <c r="AS808" s="59">
        <f>IFERROR(VLOOKUP($A808,[2]Mssp!$A$5:$BE$1463,AS$4+1,0),0)</f>
        <v>0</v>
      </c>
      <c r="AT808" s="59">
        <f>IFERROR(VLOOKUP($A808,[2]Mssp!$A$5:$BE$1463,AT$4+1,0),0)</f>
        <v>0</v>
      </c>
      <c r="AU808" s="59">
        <f>IFERROR(VLOOKUP($A808,[2]Mssp!$A$5:$BE$1463,AU$4+1,0),0)</f>
        <v>0</v>
      </c>
      <c r="AV808" s="59">
        <f>IFERROR(VLOOKUP($A808,[2]Mssp!$A$5:$BE$1463,AV$4+1,0),0)</f>
        <v>0</v>
      </c>
      <c r="AW808" s="59">
        <f>IFERROR(VLOOKUP($A808,[2]Mssp!$A$5:$BE$1463,AW$4+1,0),0)</f>
        <v>0</v>
      </c>
      <c r="AX808" s="59">
        <f>IFERROR(VLOOKUP($A808,[2]Mssp!$A$5:$BE$1463,AX$4+1,0),0)</f>
        <v>0</v>
      </c>
      <c r="AY808" s="59">
        <f>IFERROR(VLOOKUP($A808,[2]Mssp!$A$5:$BE$1463,AY$4+2,0),0)</f>
        <v>0</v>
      </c>
      <c r="AZ808" s="59">
        <f>IFERROR(VLOOKUP($A808,[2]Mssp!$A$5:$BE$1463,AZ$4+2,0),0)</f>
        <v>0</v>
      </c>
      <c r="BA808" s="141"/>
      <c r="BB808" s="61" t="s">
        <v>1894</v>
      </c>
      <c r="BC808" s="165"/>
      <c r="BD808" s="166"/>
      <c r="BE808" s="167"/>
      <c r="BF808" s="168"/>
      <c r="BG808" s="167"/>
      <c r="BH808" s="168"/>
      <c r="BI808" s="169"/>
      <c r="BJ808" s="168"/>
      <c r="BK808" s="134"/>
      <c r="BL808" s="168"/>
      <c r="BM808" s="167"/>
      <c r="BN808" s="168"/>
      <c r="BO808" s="62"/>
      <c r="BP808" s="168"/>
      <c r="BQ808" s="168"/>
      <c r="BR808" s="168"/>
      <c r="BS808" s="135"/>
      <c r="BT808" s="176"/>
      <c r="BU808" s="167"/>
      <c r="BV808" s="168"/>
      <c r="BW808" s="167"/>
      <c r="BX808" s="168"/>
      <c r="BY808" s="167"/>
      <c r="BZ808" s="176"/>
      <c r="CA808" s="167"/>
      <c r="CB808" s="168"/>
      <c r="CC808" s="167"/>
      <c r="CD808" s="168"/>
      <c r="CE808" s="62"/>
      <c r="CF808" s="62"/>
      <c r="CG808" s="9"/>
      <c r="CH808" s="9"/>
      <c r="CI808" s="9"/>
      <c r="CJ808" s="9"/>
      <c r="CK808" s="9"/>
      <c r="CL808" s="9"/>
      <c r="CM808" s="9"/>
      <c r="CN808" s="9"/>
      <c r="CO808" s="9"/>
      <c r="CP808" s="9"/>
    </row>
    <row r="809" spans="1:94" ht="30" x14ac:dyDescent="0.25">
      <c r="A809" s="127" t="s">
        <v>2586</v>
      </c>
      <c r="B809" s="51" t="s">
        <v>2587</v>
      </c>
      <c r="C809" s="62"/>
      <c r="D809" s="84"/>
      <c r="E809" s="62" t="s">
        <v>973</v>
      </c>
      <c r="F809" s="62"/>
      <c r="G809" s="62"/>
      <c r="H809" s="50">
        <f>VLOOKUP($A809,'[1]ma sp 02'!$A$5:$BD$1101,H$1,0)</f>
        <v>0</v>
      </c>
      <c r="I809" s="50">
        <f>VLOOKUP($A809,'[1]ma sp 02'!$A$5:$BD$1101,I$1,0)</f>
        <v>0</v>
      </c>
      <c r="J809" s="50">
        <f>VLOOKUP($A809,'[1]ma sp 02'!$A$5:$BD$1101,J$1,0)</f>
        <v>0</v>
      </c>
      <c r="K809" s="50">
        <f>VLOOKUP($A809,'[1]ma sp 02'!$A$5:$BD$1101,K$1,0)</f>
        <v>0</v>
      </c>
      <c r="L809" s="50">
        <f>VLOOKUP($A809,'[1]ma sp 02'!$A$5:$BD$1101,L$1,0)</f>
        <v>0</v>
      </c>
      <c r="M809" s="50">
        <f>VLOOKUP($A809,'[1]ma sp 02'!$A$5:$BD$1101,M$1,0)</f>
        <v>0</v>
      </c>
      <c r="N809" s="50">
        <f>VLOOKUP($A809,'[1]ma sp 02'!$A$5:$BD$1101,N$1,0)</f>
        <v>0</v>
      </c>
      <c r="O809" s="50">
        <f>VLOOKUP($A809,'[1]ma sp 02'!$A$5:$BD$1101,O$1,0)</f>
        <v>0</v>
      </c>
      <c r="P809" s="50">
        <f>VLOOKUP($A809,'[1]ma sp 02'!$A$5:$BD$1101,P$1,0)</f>
        <v>0</v>
      </c>
      <c r="Q809" s="50">
        <f>VLOOKUP($A809,'[1]ma sp 02'!$A$5:$BD$1101,Q$1,0)</f>
        <v>0</v>
      </c>
      <c r="R809" s="50">
        <f>VLOOKUP($A809,'[1]ma sp 02'!$A$5:$BD$1101,R$1,0)</f>
        <v>0</v>
      </c>
      <c r="S809" s="50">
        <f>VLOOKUP($A809,'[1]ma sp 02'!$A$5:$BD$1101,S$1,0)</f>
        <v>0</v>
      </c>
      <c r="T809" s="50">
        <f>VLOOKUP($A809,'[1]ma sp 02'!$A$5:$BD$1101,T$1,0)</f>
        <v>0</v>
      </c>
      <c r="U809" s="50">
        <f>VLOOKUP($A809,'[1]ma sp 02'!$A$5:$BD$1101,U$1,0)</f>
        <v>0</v>
      </c>
      <c r="V809" s="50">
        <f>VLOOKUP($A809,'[1]ma sp 02'!$A$5:$BD$1101,V$1,0)</f>
        <v>0</v>
      </c>
      <c r="W809" s="50">
        <f>VLOOKUP($A809,'[1]ma sp 02'!$A$5:$BD$1101,W$1,0)</f>
        <v>0</v>
      </c>
      <c r="X809" s="50"/>
      <c r="Y809" s="62"/>
      <c r="Z809" s="62"/>
      <c r="AA809" s="62"/>
      <c r="AB809" s="62"/>
      <c r="AC809" s="62"/>
      <c r="AD809" s="62"/>
      <c r="AE809" s="62" t="s">
        <v>2588</v>
      </c>
      <c r="AF809" s="62"/>
      <c r="AG809" s="53">
        <f>(0.015*1.15+0.65*0.925)*0.8</f>
        <v>0.49480000000000007</v>
      </c>
      <c r="AH809" s="54">
        <f>(1.5/0.75/2)*0.79</f>
        <v>0.79</v>
      </c>
      <c r="AI809" s="54"/>
      <c r="AJ809" s="9"/>
      <c r="AK809" s="62" t="s">
        <v>1881</v>
      </c>
      <c r="AL809" s="9">
        <v>1.5E-3</v>
      </c>
      <c r="AM809" s="61" t="s">
        <v>74</v>
      </c>
      <c r="AN809" s="62">
        <v>300</v>
      </c>
      <c r="AO809" s="61" t="s">
        <v>2589</v>
      </c>
      <c r="AP809" s="59">
        <f>IFERROR(VLOOKUP($A809,[2]Mssp!$A$5:$BE$1463,AP$4+1,0),0)</f>
        <v>0</v>
      </c>
      <c r="AQ809" s="59">
        <f>IFERROR(VLOOKUP($A809,[2]Mssp!$A$5:$BE$1463,AQ$4+1,0),0)</f>
        <v>0</v>
      </c>
      <c r="AR809" s="59">
        <f>IFERROR(VLOOKUP($A809,[2]Mssp!$A$5:$BE$1463,AR$4+1,0),0)</f>
        <v>0</v>
      </c>
      <c r="AS809" s="59">
        <f>IFERROR(VLOOKUP($A809,[2]Mssp!$A$5:$BE$1463,AS$4+1,0),0)</f>
        <v>0</v>
      </c>
      <c r="AT809" s="59">
        <f>IFERROR(VLOOKUP($A809,[2]Mssp!$A$5:$BE$1463,AT$4+1,0),0)</f>
        <v>0</v>
      </c>
      <c r="AU809" s="59">
        <f>IFERROR(VLOOKUP($A809,[2]Mssp!$A$5:$BE$1463,AU$4+1,0),0)</f>
        <v>0</v>
      </c>
      <c r="AV809" s="59">
        <f>IFERROR(VLOOKUP($A809,[2]Mssp!$A$5:$BE$1463,AV$4+1,0),0)</f>
        <v>0</v>
      </c>
      <c r="AW809" s="59">
        <f>IFERROR(VLOOKUP($A809,[2]Mssp!$A$5:$BE$1463,AW$4+1,0),0)</f>
        <v>0</v>
      </c>
      <c r="AX809" s="59">
        <f>IFERROR(VLOOKUP($A809,[2]Mssp!$A$5:$BE$1463,AX$4+1,0),0)</f>
        <v>0</v>
      </c>
      <c r="AY809" s="59">
        <f>IFERROR(VLOOKUP($A809,[2]Mssp!$A$5:$BE$1463,AY$4+2,0),0)</f>
        <v>0</v>
      </c>
      <c r="AZ809" s="59">
        <f>IFERROR(VLOOKUP($A809,[2]Mssp!$A$5:$BE$1463,AZ$4+2,0),0)</f>
        <v>0</v>
      </c>
      <c r="BA809" s="141" t="s">
        <v>2590</v>
      </c>
      <c r="BB809" s="61" t="s">
        <v>1894</v>
      </c>
      <c r="BC809" s="165"/>
      <c r="BD809" s="166"/>
      <c r="BE809" s="167"/>
      <c r="BF809" s="168"/>
      <c r="BG809" s="167"/>
      <c r="BH809" s="168"/>
      <c r="BI809" s="169"/>
      <c r="BJ809" s="168"/>
      <c r="BK809" s="134"/>
      <c r="BL809" s="168"/>
      <c r="BM809" s="167"/>
      <c r="BN809" s="168"/>
      <c r="BO809" s="62"/>
      <c r="BP809" s="168"/>
      <c r="BQ809" s="168"/>
      <c r="BR809" s="168"/>
      <c r="BS809" s="135"/>
      <c r="BT809" s="176"/>
      <c r="BU809" s="167"/>
      <c r="BV809" s="168"/>
      <c r="BW809" s="167"/>
      <c r="BX809" s="168"/>
      <c r="BY809" s="167"/>
      <c r="BZ809" s="176"/>
      <c r="CA809" s="167"/>
      <c r="CB809" s="168"/>
      <c r="CC809" s="167"/>
      <c r="CD809" s="168"/>
      <c r="CE809" s="62"/>
      <c r="CF809" s="62"/>
      <c r="CG809" s="9"/>
      <c r="CH809" s="9"/>
      <c r="CI809" s="9"/>
      <c r="CJ809" s="9"/>
      <c r="CK809" s="9"/>
      <c r="CL809" s="9"/>
      <c r="CM809" s="9"/>
      <c r="CN809" s="9"/>
      <c r="CO809" s="9"/>
      <c r="CP809" s="9"/>
    </row>
    <row r="810" spans="1:94" ht="30" x14ac:dyDescent="0.25">
      <c r="A810" s="127" t="s">
        <v>2591</v>
      </c>
      <c r="B810" s="51" t="s">
        <v>2592</v>
      </c>
      <c r="C810" s="62"/>
      <c r="D810" s="84">
        <v>2</v>
      </c>
      <c r="E810" s="62" t="s">
        <v>131</v>
      </c>
      <c r="F810" s="62">
        <v>7</v>
      </c>
      <c r="G810" s="62"/>
      <c r="H810" s="50">
        <f>VLOOKUP($A810,'[1]ma sp 02'!$A$5:$BD$1101,H$1,0)</f>
        <v>0</v>
      </c>
      <c r="I810" s="50">
        <f>VLOOKUP($A810,'[1]ma sp 02'!$A$5:$BD$1101,I$1,0)</f>
        <v>5.8319999999999999</v>
      </c>
      <c r="J810" s="50">
        <f>VLOOKUP($A810,'[1]ma sp 02'!$A$5:$BD$1101,J$1,0)</f>
        <v>0.41699999999999998</v>
      </c>
      <c r="K810" s="50">
        <f>VLOOKUP($A810,'[1]ma sp 02'!$A$5:$BD$1101,K$1,0)</f>
        <v>0.13900000000000001</v>
      </c>
      <c r="L810" s="50">
        <f>VLOOKUP($A810,'[1]ma sp 02'!$A$5:$BD$1101,L$1,0)</f>
        <v>2.222</v>
      </c>
      <c r="M810" s="50">
        <f>VLOOKUP($A810,'[1]ma sp 02'!$A$5:$BD$1101,M$1,0)</f>
        <v>0</v>
      </c>
      <c r="N810" s="50">
        <f>VLOOKUP($A810,'[1]ma sp 02'!$A$5:$BD$1101,N$1,0)</f>
        <v>0</v>
      </c>
      <c r="O810" s="50">
        <f>VLOOKUP($A810,'[1]ma sp 02'!$A$5:$BD$1101,O$1,0)</f>
        <v>0</v>
      </c>
      <c r="P810" s="50">
        <f>VLOOKUP($A810,'[1]ma sp 02'!$A$5:$BD$1101,P$1,0)</f>
        <v>2.0830000000000002</v>
      </c>
      <c r="Q810" s="50">
        <f>VLOOKUP($A810,'[1]ma sp 02'!$A$5:$BD$1101,Q$1,0)</f>
        <v>0</v>
      </c>
      <c r="R810" s="50">
        <f>VLOOKUP($A810,'[1]ma sp 02'!$A$5:$BD$1101,R$1,0)</f>
        <v>0</v>
      </c>
      <c r="S810" s="50">
        <f>VLOOKUP($A810,'[1]ma sp 02'!$A$5:$BD$1101,S$1,0)</f>
        <v>0</v>
      </c>
      <c r="T810" s="50">
        <f>VLOOKUP($A810,'[1]ma sp 02'!$A$5:$BD$1101,T$1,0)</f>
        <v>0</v>
      </c>
      <c r="U810" s="50">
        <f>VLOOKUP($A810,'[1]ma sp 02'!$A$5:$BD$1101,U$1,0)</f>
        <v>0</v>
      </c>
      <c r="V810" s="50">
        <f>VLOOKUP($A810,'[1]ma sp 02'!$A$5:$BD$1101,V$1,0)</f>
        <v>0</v>
      </c>
      <c r="W810" s="50">
        <f>VLOOKUP($A810,'[1]ma sp 02'!$A$5:$BD$1101,W$1,0)</f>
        <v>0</v>
      </c>
      <c r="X810" s="50"/>
      <c r="Y810" s="62"/>
      <c r="Z810" s="62"/>
      <c r="AA810" s="62"/>
      <c r="AB810" s="62"/>
      <c r="AC810" s="62"/>
      <c r="AD810" s="62"/>
      <c r="AE810" s="62" t="s">
        <v>78</v>
      </c>
      <c r="AF810" s="62" t="s">
        <v>324</v>
      </c>
      <c r="AG810" s="53">
        <f>(0.012*1.4+0.012*1.4+0.075*0.925)*0.62</f>
        <v>6.3844500000000012E-2</v>
      </c>
      <c r="AH810" s="54">
        <f>(2.3/0.75/2)*0.61</f>
        <v>0.93533333333333324</v>
      </c>
      <c r="AI810" s="54">
        <f>(3/0.75/2)*0.61</f>
        <v>1.22</v>
      </c>
      <c r="AJ810" s="9">
        <v>9530</v>
      </c>
      <c r="AK810" s="62">
        <v>9530</v>
      </c>
      <c r="AL810" s="9" t="s">
        <v>2579</v>
      </c>
      <c r="AM810" s="61" t="s">
        <v>1893</v>
      </c>
      <c r="AN810" s="62">
        <v>340</v>
      </c>
      <c r="AO810" s="61" t="s">
        <v>332</v>
      </c>
      <c r="AP810" s="59" t="str">
        <f>IFERROR(VLOOKUP($A810,[2]Mssp!$A$5:$BE$1463,AP$4+1,0),0)</f>
        <v>HD32011018-1</v>
      </c>
      <c r="AQ810" s="59" t="str">
        <f>IFERROR(VLOOKUP($A810,[2]Mssp!$A$5:$BE$1463,AQ$4+1,0),0)</f>
        <v>HD32011018-2</v>
      </c>
      <c r="AR810" s="59" t="str">
        <f>IFERROR(VLOOKUP($A810,[2]Mssp!$A$5:$BE$1463,AR$4+1,0),0)</f>
        <v>HD32011018-3</v>
      </c>
      <c r="AS810" s="59" t="str">
        <f>IFERROR(VLOOKUP($A810,[2]Mssp!$A$5:$BE$1463,AS$4+1,0),0)</f>
        <v>HD32011018-4</v>
      </c>
      <c r="AT810" s="59" t="str">
        <f>IFERROR(VLOOKUP($A810,[2]Mssp!$A$5:$BE$1463,AT$4+1,0),0)</f>
        <v>HD32011018-5</v>
      </c>
      <c r="AU810" s="59" t="str">
        <f>IFERROR(VLOOKUP($A810,[2]Mssp!$A$5:$BE$1463,AU$4+1,0),0)</f>
        <v>HD32011018-6</v>
      </c>
      <c r="AV810" s="59" t="str">
        <f>IFERROR(VLOOKUP($A810,[2]Mssp!$A$5:$BE$1463,AV$4+1,0),0)</f>
        <v>HD32011018-7</v>
      </c>
      <c r="AW810" s="59">
        <f>IFERROR(VLOOKUP($A810,[2]Mssp!$A$5:$BE$1463,AW$4+1,0),0)</f>
        <v>0</v>
      </c>
      <c r="AX810" s="59">
        <f>IFERROR(VLOOKUP($A810,[2]Mssp!$A$5:$BE$1463,AX$4+1,0),0)</f>
        <v>0</v>
      </c>
      <c r="AY810" s="59" t="str">
        <f>IFERROR(VLOOKUP($A810,[2]Mssp!$A$5:$BE$1463,AY$4+2,0),0)</f>
        <v>680x870</v>
      </c>
      <c r="AZ810" s="59">
        <f>IFERROR(VLOOKUP($A810,[2]Mssp!$A$5:$BE$1463,AZ$4+2,0),0)</f>
        <v>0</v>
      </c>
      <c r="BA810" s="141">
        <v>2500</v>
      </c>
      <c r="BB810" s="61" t="s">
        <v>1894</v>
      </c>
      <c r="BC810" s="165"/>
      <c r="BD810" s="166"/>
      <c r="BE810" s="167"/>
      <c r="BF810" s="168"/>
      <c r="BG810" s="167"/>
      <c r="BH810" s="168"/>
      <c r="BI810" s="169"/>
      <c r="BJ810" s="168"/>
      <c r="BK810" s="134"/>
      <c r="BL810" s="168"/>
      <c r="BM810" s="167"/>
      <c r="BN810" s="168"/>
      <c r="BO810" s="62"/>
      <c r="BP810" s="168"/>
      <c r="BQ810" s="168"/>
      <c r="BR810" s="168"/>
      <c r="BS810" s="135"/>
      <c r="BT810" s="176"/>
      <c r="BU810" s="167"/>
      <c r="BV810" s="168"/>
      <c r="BW810" s="167"/>
      <c r="BX810" s="168"/>
      <c r="BY810" s="167"/>
      <c r="BZ810" s="176"/>
      <c r="CA810" s="167"/>
      <c r="CB810" s="168"/>
      <c r="CC810" s="167"/>
      <c r="CD810" s="168"/>
      <c r="CE810" s="62"/>
      <c r="CF810" s="62"/>
      <c r="CG810" s="9"/>
      <c r="CH810" s="9"/>
      <c r="CI810" s="9"/>
      <c r="CJ810" s="9"/>
      <c r="CK810" s="9"/>
      <c r="CL810" s="9"/>
      <c r="CM810" s="9"/>
      <c r="CN810" s="9"/>
      <c r="CO810" s="9"/>
      <c r="CP810" s="9"/>
    </row>
    <row r="811" spans="1:94" ht="30" x14ac:dyDescent="0.25">
      <c r="A811" s="127" t="s">
        <v>2593</v>
      </c>
      <c r="B811" s="51" t="s">
        <v>2594</v>
      </c>
      <c r="C811" s="62"/>
      <c r="D811" s="84">
        <v>2</v>
      </c>
      <c r="E811" s="62" t="s">
        <v>131</v>
      </c>
      <c r="F811" s="62">
        <v>7</v>
      </c>
      <c r="G811" s="62"/>
      <c r="H811" s="50">
        <f>VLOOKUP($A811,'[1]ma sp 02'!$A$5:$BD$1101,H$1,0)</f>
        <v>0.01</v>
      </c>
      <c r="I811" s="50">
        <f>VLOOKUP($A811,'[1]ma sp 02'!$A$5:$BD$1101,I$1,0)</f>
        <v>0.27400000000000002</v>
      </c>
      <c r="J811" s="50">
        <f>VLOOKUP($A811,'[1]ma sp 02'!$A$5:$BD$1101,J$1,0)</f>
        <v>1.915</v>
      </c>
      <c r="K811" s="50">
        <f>VLOOKUP($A811,'[1]ma sp 02'!$A$5:$BD$1101,K$1,0)</f>
        <v>0.27400000000000002</v>
      </c>
      <c r="L811" s="50">
        <f>VLOOKUP($A811,'[1]ma sp 02'!$A$5:$BD$1101,L$1,0)</f>
        <v>3.556</v>
      </c>
      <c r="M811" s="50">
        <f>VLOOKUP($A811,'[1]ma sp 02'!$A$5:$BD$1101,M$1,0)</f>
        <v>0</v>
      </c>
      <c r="N811" s="50">
        <f>VLOOKUP($A811,'[1]ma sp 02'!$A$5:$BD$1101,N$1,0)</f>
        <v>0</v>
      </c>
      <c r="O811" s="50">
        <f>VLOOKUP($A811,'[1]ma sp 02'!$A$5:$BD$1101,O$1,0)</f>
        <v>0</v>
      </c>
      <c r="P811" s="50">
        <f>VLOOKUP($A811,'[1]ma sp 02'!$A$5:$BD$1101,P$1,0)</f>
        <v>1.3680000000000001</v>
      </c>
      <c r="Q811" s="50">
        <f>VLOOKUP($A811,'[1]ma sp 02'!$A$5:$BD$1101,Q$1,0)</f>
        <v>0</v>
      </c>
      <c r="R811" s="50">
        <f>VLOOKUP($A811,'[1]ma sp 02'!$A$5:$BD$1101,R$1,0)</f>
        <v>0</v>
      </c>
      <c r="S811" s="50">
        <f>VLOOKUP($A811,'[1]ma sp 02'!$A$5:$BD$1101,S$1,0)</f>
        <v>0</v>
      </c>
      <c r="T811" s="50">
        <f>VLOOKUP($A811,'[1]ma sp 02'!$A$5:$BD$1101,T$1,0)</f>
        <v>0</v>
      </c>
      <c r="U811" s="50">
        <f>VLOOKUP($A811,'[1]ma sp 02'!$A$5:$BD$1101,U$1,0)</f>
        <v>0</v>
      </c>
      <c r="V811" s="50">
        <f>VLOOKUP($A811,'[1]ma sp 02'!$A$5:$BD$1101,V$1,0)</f>
        <v>0</v>
      </c>
      <c r="W811" s="50">
        <f>VLOOKUP($A811,'[1]ma sp 02'!$A$5:$BD$1101,W$1,0)</f>
        <v>0</v>
      </c>
      <c r="X811" s="50"/>
      <c r="Y811" s="62"/>
      <c r="Z811" s="62"/>
      <c r="AA811" s="62"/>
      <c r="AB811" s="62"/>
      <c r="AC811" s="62"/>
      <c r="AD811" s="62"/>
      <c r="AE811" s="62" t="s">
        <v>78</v>
      </c>
      <c r="AF811" s="62" t="s">
        <v>324</v>
      </c>
      <c r="AG811" s="53">
        <f>(0.012*1.4+0.012*1.4+0.075*0.925)*0.62</f>
        <v>6.3844500000000012E-2</v>
      </c>
      <c r="AH811" s="54">
        <f>(2.3/0.75/2)*0.61</f>
        <v>0.93533333333333324</v>
      </c>
      <c r="AI811" s="54">
        <f>(3/0.75/2)*0.61</f>
        <v>1.22</v>
      </c>
      <c r="AJ811" s="9">
        <v>9530</v>
      </c>
      <c r="AK811" s="62">
        <v>9530</v>
      </c>
      <c r="AL811" s="9" t="s">
        <v>2579</v>
      </c>
      <c r="AM811" s="61" t="s">
        <v>1893</v>
      </c>
      <c r="AN811" s="62">
        <v>340</v>
      </c>
      <c r="AO811" s="61" t="s">
        <v>332</v>
      </c>
      <c r="AP811" s="59" t="str">
        <f>IFERROR(VLOOKUP($A811,[2]Mssp!$A$5:$BE$1463,AP$4+1,0),0)</f>
        <v>HD32011018-1</v>
      </c>
      <c r="AQ811" s="59" t="str">
        <f>IFERROR(VLOOKUP($A811,[2]Mssp!$A$5:$BE$1463,AQ$4+1,0),0)</f>
        <v>HD32011018-2</v>
      </c>
      <c r="AR811" s="59" t="str">
        <f>IFERROR(VLOOKUP($A811,[2]Mssp!$A$5:$BE$1463,AR$4+1,0),0)</f>
        <v>HD32011018J1-3</v>
      </c>
      <c r="AS811" s="59" t="str">
        <f>IFERROR(VLOOKUP($A811,[2]Mssp!$A$5:$BE$1463,AS$4+1,0),0)</f>
        <v>HD32011018-4</v>
      </c>
      <c r="AT811" s="59" t="str">
        <f>IFERROR(VLOOKUP($A811,[2]Mssp!$A$5:$BE$1463,AT$4+1,0),0)</f>
        <v>HD32011018-5</v>
      </c>
      <c r="AU811" s="59" t="str">
        <f>IFERROR(VLOOKUP($A811,[2]Mssp!$A$5:$BE$1463,AU$4+1,0),0)</f>
        <v>HD32011018-6</v>
      </c>
      <c r="AV811" s="59" t="str">
        <f>IFERROR(VLOOKUP($A811,[2]Mssp!$A$5:$BE$1463,AV$4+1,0),0)</f>
        <v>HD32011018-7</v>
      </c>
      <c r="AW811" s="59">
        <f>IFERROR(VLOOKUP($A811,[2]Mssp!$A$5:$BE$1463,AW$4+1,0),0)</f>
        <v>0</v>
      </c>
      <c r="AX811" s="59">
        <f>IFERROR(VLOOKUP($A811,[2]Mssp!$A$5:$BE$1463,AX$4+1,0),0)</f>
        <v>0</v>
      </c>
      <c r="AY811" s="59" t="str">
        <f>IFERROR(VLOOKUP($A811,[2]Mssp!$A$5:$BE$1463,AY$4+2,0),0)</f>
        <v>680x870</v>
      </c>
      <c r="AZ811" s="59">
        <f>IFERROR(VLOOKUP($A811,[2]Mssp!$A$5:$BE$1463,AZ$4+2,0),0)</f>
        <v>0</v>
      </c>
      <c r="BA811" s="141">
        <v>25000</v>
      </c>
      <c r="BB811" s="61" t="s">
        <v>1894</v>
      </c>
      <c r="BC811" s="165"/>
      <c r="BD811" s="166"/>
      <c r="BE811" s="167"/>
      <c r="BF811" s="168"/>
      <c r="BG811" s="167"/>
      <c r="BH811" s="168"/>
      <c r="BI811" s="169"/>
      <c r="BJ811" s="168"/>
      <c r="BK811" s="134"/>
      <c r="BL811" s="168"/>
      <c r="BM811" s="167"/>
      <c r="BN811" s="168"/>
      <c r="BO811" s="62"/>
      <c r="BP811" s="168"/>
      <c r="BQ811" s="168"/>
      <c r="BR811" s="168"/>
      <c r="BS811" s="135"/>
      <c r="BT811" s="176"/>
      <c r="BU811" s="167"/>
      <c r="BV811" s="168"/>
      <c r="BW811" s="167"/>
      <c r="BX811" s="168"/>
      <c r="BY811" s="167"/>
      <c r="BZ811" s="176"/>
      <c r="CA811" s="167"/>
      <c r="CB811" s="168"/>
      <c r="CC811" s="167"/>
      <c r="CD811" s="168"/>
      <c r="CE811" s="62"/>
      <c r="CF811" s="62"/>
      <c r="CG811" s="9"/>
      <c r="CH811" s="9"/>
      <c r="CI811" s="9"/>
      <c r="CJ811" s="9"/>
      <c r="CK811" s="9"/>
      <c r="CL811" s="9"/>
      <c r="CM811" s="9"/>
      <c r="CN811" s="9"/>
      <c r="CO811" s="9"/>
      <c r="CP811" s="9"/>
    </row>
    <row r="812" spans="1:94" ht="30" x14ac:dyDescent="0.25">
      <c r="A812" s="127" t="s">
        <v>2595</v>
      </c>
      <c r="B812" s="51" t="s">
        <v>2596</v>
      </c>
      <c r="C812" s="62"/>
      <c r="D812" s="84">
        <v>2</v>
      </c>
      <c r="E812" s="62" t="s">
        <v>484</v>
      </c>
      <c r="F812" s="62">
        <v>7</v>
      </c>
      <c r="G812" s="62"/>
      <c r="H812" s="50">
        <f>VLOOKUP($A812,'[1]ma sp 02'!$A$5:$BD$1101,H$1,0)</f>
        <v>0.35199999999999998</v>
      </c>
      <c r="I812" s="50">
        <f>VLOOKUP($A812,'[1]ma sp 02'!$A$5:$BD$1101,I$1,0)</f>
        <v>0.23499999999999999</v>
      </c>
      <c r="J812" s="50">
        <f>VLOOKUP($A812,'[1]ma sp 02'!$A$5:$BD$1101,J$1,0)</f>
        <v>1.056</v>
      </c>
      <c r="K812" s="50">
        <f>VLOOKUP($A812,'[1]ma sp 02'!$A$5:$BD$1101,K$1,0)</f>
        <v>0.93899999999999995</v>
      </c>
      <c r="L812" s="50">
        <f>VLOOKUP($A812,'[1]ma sp 02'!$A$5:$BD$1101,L$1,0)</f>
        <v>3.52</v>
      </c>
      <c r="M812" s="50">
        <f>VLOOKUP($A812,'[1]ma sp 02'!$A$5:$BD$1101,M$1,0)</f>
        <v>0</v>
      </c>
      <c r="N812" s="50">
        <f>VLOOKUP($A812,'[1]ma sp 02'!$A$5:$BD$1101,N$1,0)</f>
        <v>0</v>
      </c>
      <c r="O812" s="50">
        <f>VLOOKUP($A812,'[1]ma sp 02'!$A$5:$BD$1101,O$1,0)</f>
        <v>0</v>
      </c>
      <c r="P812" s="50">
        <f>VLOOKUP($A812,'[1]ma sp 02'!$A$5:$BD$1101,P$1,0)</f>
        <v>0.11700000000000001</v>
      </c>
      <c r="Q812" s="50">
        <f>VLOOKUP($A812,'[1]ma sp 02'!$A$5:$BD$1101,Q$1,0)</f>
        <v>0</v>
      </c>
      <c r="R812" s="50">
        <f>VLOOKUP($A812,'[1]ma sp 02'!$A$5:$BD$1101,R$1,0)</f>
        <v>0</v>
      </c>
      <c r="S812" s="50">
        <f>VLOOKUP($A812,'[1]ma sp 02'!$A$5:$BD$1101,S$1,0)</f>
        <v>0</v>
      </c>
      <c r="T812" s="50">
        <f>VLOOKUP($A812,'[1]ma sp 02'!$A$5:$BD$1101,T$1,0)</f>
        <v>0</v>
      </c>
      <c r="U812" s="50">
        <f>VLOOKUP($A812,'[1]ma sp 02'!$A$5:$BD$1101,U$1,0)</f>
        <v>0</v>
      </c>
      <c r="V812" s="50">
        <f>VLOOKUP($A812,'[1]ma sp 02'!$A$5:$BD$1101,V$1,0)</f>
        <v>0</v>
      </c>
      <c r="W812" s="50">
        <f>VLOOKUP($A812,'[1]ma sp 02'!$A$5:$BD$1101,W$1,0)</f>
        <v>0</v>
      </c>
      <c r="X812" s="50"/>
      <c r="Y812" s="62"/>
      <c r="Z812" s="62"/>
      <c r="AA812" s="62"/>
      <c r="AB812" s="62"/>
      <c r="AC812" s="62"/>
      <c r="AD812" s="62"/>
      <c r="AE812" s="62" t="s">
        <v>485</v>
      </c>
      <c r="AF812" s="62" t="s">
        <v>486</v>
      </c>
      <c r="AG812" s="53">
        <f>(0.012*1.4+0.012*1.4+0.075*0.925)*0.76</f>
        <v>7.8261000000000011E-2</v>
      </c>
      <c r="AH812" s="54">
        <f>(2.3/0.75/2)*0.75</f>
        <v>1.1499999999999999</v>
      </c>
      <c r="AI812" s="54">
        <f>(3/0.75/2)*0.75</f>
        <v>1.5</v>
      </c>
      <c r="AJ812" s="9">
        <v>9530</v>
      </c>
      <c r="AK812" s="62">
        <v>9530</v>
      </c>
      <c r="AL812" s="9" t="s">
        <v>2579</v>
      </c>
      <c r="AM812" s="61" t="s">
        <v>1893</v>
      </c>
      <c r="AN812" s="62">
        <v>420</v>
      </c>
      <c r="AO812" s="61" t="s">
        <v>332</v>
      </c>
      <c r="AP812" s="59" t="str">
        <f>IFERROR(VLOOKUP($A812,[2]Mssp!$A$5:$BE$1463,AP$4+1,0),0)</f>
        <v>HD32011019-1</v>
      </c>
      <c r="AQ812" s="59" t="str">
        <f>IFERROR(VLOOKUP($A812,[2]Mssp!$A$5:$BE$1463,AQ$4+1,0),0)</f>
        <v>HD32011019-2</v>
      </c>
      <c r="AR812" s="59" t="str">
        <f>IFERROR(VLOOKUP($A812,[2]Mssp!$A$5:$BE$1463,AR$4+1,0),0)</f>
        <v>HD32011019-3</v>
      </c>
      <c r="AS812" s="59" t="str">
        <f>IFERROR(VLOOKUP($A812,[2]Mssp!$A$5:$BE$1463,AS$4+1,0),0)</f>
        <v>HD32011019-4</v>
      </c>
      <c r="AT812" s="59" t="str">
        <f>IFERROR(VLOOKUP($A812,[2]Mssp!$A$5:$BE$1463,AT$4+1,0),0)</f>
        <v>HD32011019-5</v>
      </c>
      <c r="AU812" s="59" t="str">
        <f>IFERROR(VLOOKUP($A812,[2]Mssp!$A$5:$BE$1463,AU$4+1,0),0)</f>
        <v>HD32011019-6</v>
      </c>
      <c r="AV812" s="59" t="str">
        <f>IFERROR(VLOOKUP($A812,[2]Mssp!$A$5:$BE$1463,AV$4+1,0),0)</f>
        <v>HD32011019-7</v>
      </c>
      <c r="AW812" s="59">
        <f>IFERROR(VLOOKUP($A812,[2]Mssp!$A$5:$BE$1463,AW$4+1,0),0)</f>
        <v>0</v>
      </c>
      <c r="AX812" s="59">
        <f>IFERROR(VLOOKUP($A812,[2]Mssp!$A$5:$BE$1463,AX$4+1,0),0)</f>
        <v>0</v>
      </c>
      <c r="AY812" s="59" t="str">
        <f>IFERROR(VLOOKUP($A812,[2]Mssp!$A$5:$BE$1463,AY$4+2,0),0)</f>
        <v>420x870</v>
      </c>
      <c r="AZ812" s="59">
        <f>IFERROR(VLOOKUP($A812,[2]Mssp!$A$5:$BE$1463,AZ$4+2,0),0)</f>
        <v>0</v>
      </c>
      <c r="BA812" s="141">
        <v>1500</v>
      </c>
      <c r="BB812" s="61" t="s">
        <v>1894</v>
      </c>
      <c r="BC812" s="165"/>
      <c r="BD812" s="166"/>
      <c r="BE812" s="167"/>
      <c r="BF812" s="168"/>
      <c r="BG812" s="167"/>
      <c r="BH812" s="168"/>
      <c r="BI812" s="169"/>
      <c r="BJ812" s="168"/>
      <c r="BK812" s="134"/>
      <c r="BL812" s="168"/>
      <c r="BM812" s="167"/>
      <c r="BN812" s="168"/>
      <c r="BO812" s="62"/>
      <c r="BP812" s="168"/>
      <c r="BQ812" s="168"/>
      <c r="BR812" s="168"/>
      <c r="BS812" s="135"/>
      <c r="BT812" s="176"/>
      <c r="BU812" s="167"/>
      <c r="BV812" s="168"/>
      <c r="BW812" s="167"/>
      <c r="BX812" s="168"/>
      <c r="BY812" s="167"/>
      <c r="BZ812" s="176"/>
      <c r="CA812" s="167"/>
      <c r="CB812" s="168"/>
      <c r="CC812" s="167"/>
      <c r="CD812" s="168"/>
      <c r="CE812" s="62"/>
      <c r="CF812" s="62"/>
      <c r="CG812" s="9"/>
      <c r="CH812" s="9"/>
      <c r="CI812" s="9"/>
      <c r="CJ812" s="9"/>
      <c r="CK812" s="9"/>
      <c r="CL812" s="9"/>
      <c r="CM812" s="9"/>
      <c r="CN812" s="9"/>
      <c r="CO812" s="9"/>
      <c r="CP812" s="9"/>
    </row>
    <row r="813" spans="1:94" ht="30" x14ac:dyDescent="0.25">
      <c r="A813" s="127" t="s">
        <v>2597</v>
      </c>
      <c r="B813" s="51" t="s">
        <v>2598</v>
      </c>
      <c r="C813" s="62"/>
      <c r="D813" s="84">
        <v>2</v>
      </c>
      <c r="E813" s="62" t="s">
        <v>484</v>
      </c>
      <c r="F813" s="62">
        <v>7</v>
      </c>
      <c r="G813" s="62"/>
      <c r="H813" s="50">
        <f>VLOOKUP($A813,'[1]ma sp 02'!$A$5:$BD$1101,H$1,0)</f>
        <v>0.22700000000000001</v>
      </c>
      <c r="I813" s="50">
        <f>VLOOKUP($A813,'[1]ma sp 02'!$A$5:$BD$1101,I$1,0)</f>
        <v>3.4049999999999998</v>
      </c>
      <c r="J813" s="50">
        <f>VLOOKUP($A813,'[1]ma sp 02'!$A$5:$BD$1101,J$1,0)</f>
        <v>0.01</v>
      </c>
      <c r="K813" s="50">
        <f>VLOOKUP($A813,'[1]ma sp 02'!$A$5:$BD$1101,K$1,0)</f>
        <v>0.114</v>
      </c>
      <c r="L813" s="50">
        <f>VLOOKUP($A813,'[1]ma sp 02'!$A$5:$BD$1101,L$1,0)</f>
        <v>1.589</v>
      </c>
      <c r="M813" s="50">
        <f>VLOOKUP($A813,'[1]ma sp 02'!$A$5:$BD$1101,M$1,0)</f>
        <v>1.36</v>
      </c>
      <c r="N813" s="50">
        <f>VLOOKUP($A813,'[1]ma sp 02'!$A$5:$BD$1101,N$1,0)</f>
        <v>0</v>
      </c>
      <c r="O813" s="50">
        <f>VLOOKUP($A813,'[1]ma sp 02'!$A$5:$BD$1101,O$1,0)</f>
        <v>0</v>
      </c>
      <c r="P813" s="50">
        <f>VLOOKUP($A813,'[1]ma sp 02'!$A$5:$BD$1101,P$1,0)</f>
        <v>0.34100000000000003</v>
      </c>
      <c r="Q813" s="50">
        <f>VLOOKUP($A813,'[1]ma sp 02'!$A$5:$BD$1101,Q$1,0)</f>
        <v>0</v>
      </c>
      <c r="R813" s="50">
        <f>VLOOKUP($A813,'[1]ma sp 02'!$A$5:$BD$1101,R$1,0)</f>
        <v>0</v>
      </c>
      <c r="S813" s="50">
        <f>VLOOKUP($A813,'[1]ma sp 02'!$A$5:$BD$1101,S$1,0)</f>
        <v>0</v>
      </c>
      <c r="T813" s="50">
        <f>VLOOKUP($A813,'[1]ma sp 02'!$A$5:$BD$1101,T$1,0)</f>
        <v>0</v>
      </c>
      <c r="U813" s="50">
        <f>VLOOKUP($A813,'[1]ma sp 02'!$A$5:$BD$1101,U$1,0)</f>
        <v>0</v>
      </c>
      <c r="V813" s="50">
        <f>VLOOKUP($A813,'[1]ma sp 02'!$A$5:$BD$1101,V$1,0)</f>
        <v>0</v>
      </c>
      <c r="W813" s="50">
        <f>VLOOKUP($A813,'[1]ma sp 02'!$A$5:$BD$1101,W$1,0)</f>
        <v>0</v>
      </c>
      <c r="X813" s="50"/>
      <c r="Y813" s="62"/>
      <c r="Z813" s="62"/>
      <c r="AA813" s="62"/>
      <c r="AB813" s="62"/>
      <c r="AC813" s="62"/>
      <c r="AD813" s="62"/>
      <c r="AE813" s="62" t="s">
        <v>485</v>
      </c>
      <c r="AF813" s="62" t="s">
        <v>486</v>
      </c>
      <c r="AG813" s="53">
        <f>(0.012*1.4+0.012*1.4+0.075*0.925)*0.76</f>
        <v>7.8261000000000011E-2</v>
      </c>
      <c r="AH813" s="54">
        <f>(2.3/0.75/2)*0.75</f>
        <v>1.1499999999999999</v>
      </c>
      <c r="AI813" s="54">
        <f>(3/0.75/2)*0.75</f>
        <v>1.5</v>
      </c>
      <c r="AJ813" s="9">
        <v>9530</v>
      </c>
      <c r="AK813" s="62">
        <v>9530</v>
      </c>
      <c r="AL813" s="9" t="s">
        <v>2579</v>
      </c>
      <c r="AM813" s="61" t="s">
        <v>1893</v>
      </c>
      <c r="AN813" s="62">
        <v>420</v>
      </c>
      <c r="AO813" s="61" t="s">
        <v>332</v>
      </c>
      <c r="AP813" s="59" t="str">
        <f>IFERROR(VLOOKUP($A813,[2]Mssp!$A$5:$BE$1463,AP$4+1,0),0)</f>
        <v>HD32011019-1</v>
      </c>
      <c r="AQ813" s="59" t="str">
        <f>IFERROR(VLOOKUP($A813,[2]Mssp!$A$5:$BE$1463,AQ$4+1,0),0)</f>
        <v>HD32011019-2</v>
      </c>
      <c r="AR813" s="59" t="str">
        <f>IFERROR(VLOOKUP($A813,[2]Mssp!$A$5:$BE$1463,AR$4+1,0),0)</f>
        <v>HD32011019J1-3</v>
      </c>
      <c r="AS813" s="59" t="str">
        <f>IFERROR(VLOOKUP($A813,[2]Mssp!$A$5:$BE$1463,AS$4+1,0),0)</f>
        <v>HD32011019-4</v>
      </c>
      <c r="AT813" s="59" t="str">
        <f>IFERROR(VLOOKUP($A813,[2]Mssp!$A$5:$BE$1463,AT$4+1,0),0)</f>
        <v>HD32011019-5</v>
      </c>
      <c r="AU813" s="59" t="str">
        <f>IFERROR(VLOOKUP($A813,[2]Mssp!$A$5:$BE$1463,AU$4+1,0),0)</f>
        <v>HD32011019-6</v>
      </c>
      <c r="AV813" s="59" t="str">
        <f>IFERROR(VLOOKUP($A813,[2]Mssp!$A$5:$BE$1463,AV$4+1,0),0)</f>
        <v>HD32011019-7</v>
      </c>
      <c r="AW813" s="59">
        <f>IFERROR(VLOOKUP($A813,[2]Mssp!$A$5:$BE$1463,AW$4+1,0),0)</f>
        <v>0</v>
      </c>
      <c r="AX813" s="59">
        <f>IFERROR(VLOOKUP($A813,[2]Mssp!$A$5:$BE$1463,AX$4+1,0),0)</f>
        <v>0</v>
      </c>
      <c r="AY813" s="59" t="str">
        <f>IFERROR(VLOOKUP($A813,[2]Mssp!$A$5:$BE$1463,AY$4+2,0),0)</f>
        <v>420x870</v>
      </c>
      <c r="AZ813" s="59">
        <f>IFERROR(VLOOKUP($A813,[2]Mssp!$A$5:$BE$1463,AZ$4+2,0),0)</f>
        <v>0</v>
      </c>
      <c r="BA813" s="141">
        <v>1500</v>
      </c>
      <c r="BB813" s="61" t="s">
        <v>1894</v>
      </c>
      <c r="BC813" s="165"/>
      <c r="BD813" s="166"/>
      <c r="BE813" s="167"/>
      <c r="BF813" s="168"/>
      <c r="BG813" s="167"/>
      <c r="BH813" s="168"/>
      <c r="BI813" s="169"/>
      <c r="BJ813" s="168"/>
      <c r="BK813" s="134"/>
      <c r="BL813" s="168"/>
      <c r="BM813" s="167"/>
      <c r="BN813" s="168"/>
      <c r="BO813" s="62"/>
      <c r="BP813" s="168"/>
      <c r="BQ813" s="168"/>
      <c r="BR813" s="168"/>
      <c r="BS813" s="135"/>
      <c r="BT813" s="176"/>
      <c r="BU813" s="167"/>
      <c r="BV813" s="168"/>
      <c r="BW813" s="167"/>
      <c r="BX813" s="168"/>
      <c r="BY813" s="167"/>
      <c r="BZ813" s="176"/>
      <c r="CA813" s="167"/>
      <c r="CB813" s="168"/>
      <c r="CC813" s="167"/>
      <c r="CD813" s="168"/>
      <c r="CE813" s="62"/>
      <c r="CF813" s="62"/>
      <c r="CG813" s="9"/>
      <c r="CH813" s="9"/>
      <c r="CI813" s="9"/>
      <c r="CJ813" s="9"/>
      <c r="CK813" s="9"/>
      <c r="CL813" s="9"/>
      <c r="CM813" s="9"/>
      <c r="CN813" s="9"/>
      <c r="CO813" s="9"/>
      <c r="CP813" s="9"/>
    </row>
    <row r="814" spans="1:94" ht="30" x14ac:dyDescent="0.25">
      <c r="A814" s="127" t="s">
        <v>2599</v>
      </c>
      <c r="B814" s="72" t="s">
        <v>2600</v>
      </c>
      <c r="C814" s="62"/>
      <c r="D814" s="84">
        <v>5</v>
      </c>
      <c r="E814" s="62" t="s">
        <v>1884</v>
      </c>
      <c r="F814" s="62">
        <v>2</v>
      </c>
      <c r="G814" s="62"/>
      <c r="H814" s="50">
        <f>VLOOKUP($A814,'[1]ma sp 02'!$A$5:$BD$1101,H$1,0)</f>
        <v>0</v>
      </c>
      <c r="I814" s="50">
        <f>VLOOKUP($A814,'[1]ma sp 02'!$A$5:$BD$1101,I$1,0)</f>
        <v>0</v>
      </c>
      <c r="J814" s="50">
        <f>VLOOKUP($A814,'[1]ma sp 02'!$A$5:$BD$1101,J$1,0)</f>
        <v>0</v>
      </c>
      <c r="K814" s="50">
        <f>VLOOKUP($A814,'[1]ma sp 02'!$A$5:$BD$1101,K$1,0)</f>
        <v>0</v>
      </c>
      <c r="L814" s="50">
        <f>VLOOKUP($A814,'[1]ma sp 02'!$A$5:$BD$1101,L$1,0)</f>
        <v>0.55000000000000004</v>
      </c>
      <c r="M814" s="50">
        <f>VLOOKUP($A814,'[1]ma sp 02'!$A$5:$BD$1101,M$1,0)</f>
        <v>5.56</v>
      </c>
      <c r="N814" s="50">
        <f>VLOOKUP($A814,'[1]ma sp 02'!$A$5:$BD$1101,N$1,0)</f>
        <v>0</v>
      </c>
      <c r="O814" s="50">
        <f>VLOOKUP($A814,'[1]ma sp 02'!$A$5:$BD$1101,O$1,0)</f>
        <v>0</v>
      </c>
      <c r="P814" s="50">
        <f>VLOOKUP($A814,'[1]ma sp 02'!$A$5:$BD$1101,P$1,0)</f>
        <v>0.01</v>
      </c>
      <c r="Q814" s="50">
        <f>VLOOKUP($A814,'[1]ma sp 02'!$A$5:$BD$1101,Q$1,0)</f>
        <v>0.77</v>
      </c>
      <c r="R814" s="50">
        <f>VLOOKUP($A814,'[1]ma sp 02'!$A$5:$BD$1101,R$1,0)</f>
        <v>0</v>
      </c>
      <c r="S814" s="50">
        <f>VLOOKUP($A814,'[1]ma sp 02'!$A$5:$BD$1101,S$1,0)</f>
        <v>0</v>
      </c>
      <c r="T814" s="50">
        <f>VLOOKUP($A814,'[1]ma sp 02'!$A$5:$BD$1101,T$1,0)</f>
        <v>0</v>
      </c>
      <c r="U814" s="50">
        <f>VLOOKUP($A814,'[1]ma sp 02'!$A$5:$BD$1101,U$1,0)</f>
        <v>0</v>
      </c>
      <c r="V814" s="50">
        <f>VLOOKUP($A814,'[1]ma sp 02'!$A$5:$BD$1101,V$1,0)</f>
        <v>0</v>
      </c>
      <c r="W814" s="50">
        <f>VLOOKUP($A814,'[1]ma sp 02'!$A$5:$BD$1101,W$1,0)</f>
        <v>0</v>
      </c>
      <c r="X814" s="50"/>
      <c r="Y814" s="62"/>
      <c r="Z814" s="62"/>
      <c r="AA814" s="62"/>
      <c r="AB814" s="62"/>
      <c r="AC814" s="62"/>
      <c r="AD814" s="62"/>
      <c r="AE814" s="62" t="s">
        <v>1885</v>
      </c>
      <c r="AF814" s="62"/>
      <c r="AG814" s="53">
        <f>(0.02*0.91+0.025*0.925)*0.91</f>
        <v>3.760575E-2</v>
      </c>
      <c r="AH814" s="54">
        <f>(2/0.75/2)*0.9</f>
        <v>1.2</v>
      </c>
      <c r="AI814" s="54"/>
      <c r="AJ814" s="9">
        <v>9530</v>
      </c>
      <c r="AK814" s="62"/>
      <c r="AL814" s="9">
        <v>2E-3</v>
      </c>
      <c r="AM814" s="61" t="s">
        <v>1489</v>
      </c>
      <c r="AN814" s="62">
        <v>155</v>
      </c>
      <c r="AO814" s="61" t="s">
        <v>2601</v>
      </c>
      <c r="AP814" s="59" t="str">
        <f>IFERROR(VLOOKUP($A814,[2]Mssp!$A$5:$BE$1463,AP$4+1,0),0)</f>
        <v>F127211-1</v>
      </c>
      <c r="AQ814" s="59" t="str">
        <f>IFERROR(VLOOKUP($A814,[2]Mssp!$A$5:$BE$1463,AQ$4+1,0),0)</f>
        <v>F127211-2</v>
      </c>
      <c r="AR814" s="59">
        <f>IFERROR(VLOOKUP($A814,[2]Mssp!$A$5:$BE$1463,AR$4+1,0),0)</f>
        <v>0</v>
      </c>
      <c r="AS814" s="59">
        <f>IFERROR(VLOOKUP($A814,[2]Mssp!$A$5:$BE$1463,AS$4+1,0),0)</f>
        <v>0</v>
      </c>
      <c r="AT814" s="59">
        <f>IFERROR(VLOOKUP($A814,[2]Mssp!$A$5:$BE$1463,AT$4+1,0),0)</f>
        <v>0</v>
      </c>
      <c r="AU814" s="59">
        <f>IFERROR(VLOOKUP($A814,[2]Mssp!$A$5:$BE$1463,AU$4+1,0),0)</f>
        <v>0</v>
      </c>
      <c r="AV814" s="59">
        <f>IFERROR(VLOOKUP($A814,[2]Mssp!$A$5:$BE$1463,AV$4+1,0),0)</f>
        <v>0</v>
      </c>
      <c r="AW814" s="59">
        <f>IFERROR(VLOOKUP($A814,[2]Mssp!$A$5:$BE$1463,AW$4+1,0),0)</f>
        <v>0</v>
      </c>
      <c r="AX814" s="59">
        <f>IFERROR(VLOOKUP($A814,[2]Mssp!$A$5:$BE$1463,AX$4+1,0),0)</f>
        <v>0</v>
      </c>
      <c r="AY814" s="59" t="str">
        <f>IFERROR(VLOOKUP($A814,[2]Mssp!$A$5:$BE$1463,AY$4+2,0),0)</f>
        <v>465x1100</v>
      </c>
      <c r="AZ814" s="59">
        <f>IFERROR(VLOOKUP($A814,[2]Mssp!$A$5:$BE$1463,AZ$4+2,0),0)</f>
        <v>0</v>
      </c>
      <c r="BA814" s="141" t="s">
        <v>1886</v>
      </c>
      <c r="BB814" s="61" t="s">
        <v>2602</v>
      </c>
      <c r="BC814" s="165"/>
      <c r="BD814" s="166"/>
      <c r="BE814" s="167"/>
      <c r="BF814" s="168"/>
      <c r="BG814" s="167"/>
      <c r="BH814" s="168"/>
      <c r="BI814" s="169"/>
      <c r="BJ814" s="168"/>
      <c r="BK814" s="134"/>
      <c r="BL814" s="168"/>
      <c r="BM814" s="167"/>
      <c r="BN814" s="168"/>
      <c r="BO814" s="62"/>
      <c r="BP814" s="168"/>
      <c r="BQ814" s="168"/>
      <c r="BR814" s="168"/>
      <c r="BS814" s="135"/>
      <c r="BT814" s="176"/>
      <c r="BU814" s="167"/>
      <c r="BV814" s="168"/>
      <c r="BW814" s="167"/>
      <c r="BX814" s="168"/>
      <c r="BY814" s="167"/>
      <c r="BZ814" s="176"/>
      <c r="CA814" s="167"/>
      <c r="CB814" s="168"/>
      <c r="CC814" s="167"/>
      <c r="CD814" s="168"/>
      <c r="CE814" s="62"/>
      <c r="CF814" s="62"/>
      <c r="CG814" s="9"/>
      <c r="CH814" s="9"/>
      <c r="CI814" s="9"/>
      <c r="CJ814" s="9"/>
      <c r="CK814" s="9"/>
      <c r="CL814" s="9"/>
      <c r="CM814" s="9"/>
      <c r="CN814" s="9"/>
      <c r="CO814" s="9"/>
      <c r="CP814" s="9"/>
    </row>
    <row r="815" spans="1:94" ht="45" x14ac:dyDescent="0.25">
      <c r="A815" s="127" t="s">
        <v>2603</v>
      </c>
      <c r="B815" s="51" t="s">
        <v>2604</v>
      </c>
      <c r="C815" s="62"/>
      <c r="D815" s="84">
        <v>2</v>
      </c>
      <c r="E815" s="62" t="s">
        <v>910</v>
      </c>
      <c r="F815" s="62">
        <v>4</v>
      </c>
      <c r="G815" s="62"/>
      <c r="H815" s="50">
        <f>VLOOKUP($A815,'[1]ma sp 02'!$A$5:$BD$1101,H$1,0)</f>
        <v>0</v>
      </c>
      <c r="I815" s="50">
        <f>VLOOKUP($A815,'[1]ma sp 02'!$A$5:$BD$1101,I$1,0)</f>
        <v>3.77</v>
      </c>
      <c r="J815" s="50">
        <f>VLOOKUP($A815,'[1]ma sp 02'!$A$5:$BD$1101,J$1,0)</f>
        <v>0</v>
      </c>
      <c r="K815" s="50">
        <f>VLOOKUP($A815,'[1]ma sp 02'!$A$5:$BD$1101,K$1,0)</f>
        <v>0</v>
      </c>
      <c r="L815" s="50">
        <f>VLOOKUP($A815,'[1]ma sp 02'!$A$5:$BD$1101,L$1,0)</f>
        <v>0.503</v>
      </c>
      <c r="M815" s="50">
        <f>VLOOKUP($A815,'[1]ma sp 02'!$A$5:$BD$1101,M$1,0)</f>
        <v>0</v>
      </c>
      <c r="N815" s="50">
        <f>VLOOKUP($A815,'[1]ma sp 02'!$A$5:$BD$1101,N$1,0)</f>
        <v>0</v>
      </c>
      <c r="O815" s="50">
        <f>VLOOKUP($A815,'[1]ma sp 02'!$A$5:$BD$1101,O$1,0)</f>
        <v>0</v>
      </c>
      <c r="P815" s="50">
        <f>VLOOKUP($A815,'[1]ma sp 02'!$A$5:$BD$1101,P$1,0)</f>
        <v>0.88100000000000001</v>
      </c>
      <c r="Q815" s="50">
        <f>VLOOKUP($A815,'[1]ma sp 02'!$A$5:$BD$1101,Q$1,0)</f>
        <v>0.503</v>
      </c>
      <c r="R815" s="50">
        <f>VLOOKUP($A815,'[1]ma sp 02'!$A$5:$BD$1101,R$1,0)</f>
        <v>0</v>
      </c>
      <c r="S815" s="50">
        <f>VLOOKUP($A815,'[1]ma sp 02'!$A$5:$BD$1101,S$1,0)</f>
        <v>0</v>
      </c>
      <c r="T815" s="50">
        <f>VLOOKUP($A815,'[1]ma sp 02'!$A$5:$BD$1101,T$1,0)</f>
        <v>0.01</v>
      </c>
      <c r="U815" s="50">
        <f>VLOOKUP($A815,'[1]ma sp 02'!$A$5:$BD$1101,U$1,0)</f>
        <v>0</v>
      </c>
      <c r="V815" s="50">
        <f>VLOOKUP($A815,'[1]ma sp 02'!$A$5:$BD$1101,V$1,0)</f>
        <v>0</v>
      </c>
      <c r="W815" s="50">
        <f>VLOOKUP($A815,'[1]ma sp 02'!$A$5:$BD$1101,W$1,0)</f>
        <v>0</v>
      </c>
      <c r="X815" s="50"/>
      <c r="Y815" s="62"/>
      <c r="Z815" s="62"/>
      <c r="AA815" s="62"/>
      <c r="AB815" s="62"/>
      <c r="AC815" s="62"/>
      <c r="AD815" s="62"/>
      <c r="AE815" s="62" t="s">
        <v>2605</v>
      </c>
      <c r="AF815" s="62"/>
      <c r="AG815" s="53">
        <f>(0.02*0.91+0.06*0.925)*0.9</f>
        <v>6.633E-2</v>
      </c>
      <c r="AH815" s="54">
        <f>(2.3/0.75/2)*0.89</f>
        <v>1.3646666666666665</v>
      </c>
      <c r="AI815" s="54"/>
      <c r="AJ815" s="9">
        <v>9530</v>
      </c>
      <c r="AK815" s="62"/>
      <c r="AL815" s="9">
        <v>2.3E-3</v>
      </c>
      <c r="AM815" s="61" t="s">
        <v>74</v>
      </c>
      <c r="AN815" s="62">
        <v>280</v>
      </c>
      <c r="AO815" s="61" t="s">
        <v>2606</v>
      </c>
      <c r="AP815" s="59" t="str">
        <f>IFERROR(VLOOKUP($A815,[2]Mssp!$A$5:$BE$1463,AP$4+1,0),0)</f>
        <v>X110189-1</v>
      </c>
      <c r="AQ815" s="59" t="str">
        <f>IFERROR(VLOOKUP($A815,[2]Mssp!$A$5:$BE$1463,AQ$4+1,0),0)</f>
        <v>X110189-2</v>
      </c>
      <c r="AR815" s="59" t="str">
        <f>IFERROR(VLOOKUP($A815,[2]Mssp!$A$5:$BE$1463,AR$4+1,0),0)</f>
        <v>X110189-3</v>
      </c>
      <c r="AS815" s="59" t="str">
        <f>IFERROR(VLOOKUP($A815,[2]Mssp!$A$5:$BE$1463,AS$4+1,0),0)</f>
        <v>X110189-4</v>
      </c>
      <c r="AT815" s="59">
        <f>IFERROR(VLOOKUP($A815,[2]Mssp!$A$5:$BE$1463,AT$4+1,0),0)</f>
        <v>0</v>
      </c>
      <c r="AU815" s="59">
        <f>IFERROR(VLOOKUP($A815,[2]Mssp!$A$5:$BE$1463,AU$4+1,0),0)</f>
        <v>0</v>
      </c>
      <c r="AV815" s="59">
        <f>IFERROR(VLOOKUP($A815,[2]Mssp!$A$5:$BE$1463,AV$4+1,0),0)</f>
        <v>0</v>
      </c>
      <c r="AW815" s="59">
        <f>IFERROR(VLOOKUP($A815,[2]Mssp!$A$5:$BE$1463,AW$4+1,0),0)</f>
        <v>0</v>
      </c>
      <c r="AX815" s="59">
        <f>IFERROR(VLOOKUP($A815,[2]Mssp!$A$5:$BE$1463,AX$4+1,0),0)</f>
        <v>0</v>
      </c>
      <c r="AY815" s="59" t="str">
        <f>IFERROR(VLOOKUP($A815,[2]Mssp!$A$5:$BE$1463,AY$4+2,0),0)</f>
        <v>560x1100</v>
      </c>
      <c r="AZ815" s="59">
        <f>IFERROR(VLOOKUP($A815,[2]Mssp!$A$5:$BE$1463,AZ$4+2,0),0)</f>
        <v>0</v>
      </c>
      <c r="BA815" s="141"/>
      <c r="BB815" s="61" t="s">
        <v>1894</v>
      </c>
      <c r="BC815" s="165"/>
      <c r="BD815" s="166"/>
      <c r="BE815" s="167"/>
      <c r="BF815" s="168"/>
      <c r="BG815" s="167"/>
      <c r="BH815" s="168"/>
      <c r="BI815" s="169"/>
      <c r="BJ815" s="168"/>
      <c r="BK815" s="134"/>
      <c r="BL815" s="168"/>
      <c r="BM815" s="167"/>
      <c r="BN815" s="168"/>
      <c r="BO815" s="62"/>
      <c r="BP815" s="168"/>
      <c r="BQ815" s="168"/>
      <c r="BR815" s="168"/>
      <c r="BS815" s="135"/>
      <c r="BT815" s="176"/>
      <c r="BU815" s="167"/>
      <c r="BV815" s="168"/>
      <c r="BW815" s="167"/>
      <c r="BX815" s="168"/>
      <c r="BY815" s="167"/>
      <c r="BZ815" s="176"/>
      <c r="CA815" s="167"/>
      <c r="CB815" s="168"/>
      <c r="CC815" s="167"/>
      <c r="CD815" s="168"/>
      <c r="CE815" s="62"/>
      <c r="CF815" s="62"/>
      <c r="CG815" s="9"/>
      <c r="CH815" s="9"/>
      <c r="CI815" s="9"/>
      <c r="CJ815" s="9"/>
      <c r="CK815" s="9"/>
      <c r="CL815" s="9"/>
      <c r="CM815" s="9"/>
      <c r="CN815" s="9"/>
      <c r="CO815" s="9"/>
      <c r="CP815" s="9"/>
    </row>
    <row r="816" spans="1:94" ht="45" x14ac:dyDescent="0.25">
      <c r="A816" s="127" t="s">
        <v>2607</v>
      </c>
      <c r="B816" s="51" t="s">
        <v>2608</v>
      </c>
      <c r="C816" s="62"/>
      <c r="D816" s="84">
        <v>1</v>
      </c>
      <c r="E816" s="62" t="s">
        <v>877</v>
      </c>
      <c r="F816" s="62">
        <v>3</v>
      </c>
      <c r="G816" s="62"/>
      <c r="H816" s="50">
        <f>VLOOKUP($A816,'[1]ma sp 02'!$A$5:$BD$1101,H$1,0)</f>
        <v>0</v>
      </c>
      <c r="I816" s="50">
        <f>VLOOKUP($A816,'[1]ma sp 02'!$A$5:$BD$1101,I$1,0)</f>
        <v>0</v>
      </c>
      <c r="J816" s="50">
        <f>VLOOKUP($A816,'[1]ma sp 02'!$A$5:$BD$1101,J$1,0)</f>
        <v>0.30299999999999999</v>
      </c>
      <c r="K816" s="50">
        <f>VLOOKUP($A816,'[1]ma sp 02'!$A$5:$BD$1101,K$1,0)</f>
        <v>0.30299999999999999</v>
      </c>
      <c r="L816" s="50">
        <f>VLOOKUP($A816,'[1]ma sp 02'!$A$5:$BD$1101,L$1,0)</f>
        <v>0</v>
      </c>
      <c r="M816" s="50">
        <f>VLOOKUP($A816,'[1]ma sp 02'!$A$5:$BD$1101,M$1,0)</f>
        <v>0</v>
      </c>
      <c r="N816" s="50">
        <f>VLOOKUP($A816,'[1]ma sp 02'!$A$5:$BD$1101,N$1,0)</f>
        <v>0</v>
      </c>
      <c r="O816" s="50">
        <f>VLOOKUP($A816,'[1]ma sp 02'!$A$5:$BD$1101,O$1,0)</f>
        <v>0</v>
      </c>
      <c r="P816" s="50">
        <f>VLOOKUP($A816,'[1]ma sp 02'!$A$5:$BD$1101,P$1,0)</f>
        <v>0.75700000000000001</v>
      </c>
      <c r="Q816" s="50">
        <f>VLOOKUP($A816,'[1]ma sp 02'!$A$5:$BD$1101,Q$1,0)</f>
        <v>0</v>
      </c>
      <c r="R816" s="50">
        <f>VLOOKUP($A816,'[1]ma sp 02'!$A$5:$BD$1101,R$1,0)</f>
        <v>0</v>
      </c>
      <c r="S816" s="50">
        <f>VLOOKUP($A816,'[1]ma sp 02'!$A$5:$BD$1101,S$1,0)</f>
        <v>0</v>
      </c>
      <c r="T816" s="50">
        <f>VLOOKUP($A816,'[1]ma sp 02'!$A$5:$BD$1101,T$1,0)</f>
        <v>0</v>
      </c>
      <c r="U816" s="50">
        <f>VLOOKUP($A816,'[1]ma sp 02'!$A$5:$BD$1101,U$1,0)</f>
        <v>0</v>
      </c>
      <c r="V816" s="50">
        <f>VLOOKUP($A816,'[1]ma sp 02'!$A$5:$BD$1101,V$1,0)</f>
        <v>0</v>
      </c>
      <c r="W816" s="50">
        <f>VLOOKUP($A816,'[1]ma sp 02'!$A$5:$BD$1101,W$1,0)</f>
        <v>0</v>
      </c>
      <c r="X816" s="50"/>
      <c r="Y816" s="62"/>
      <c r="Z816" s="62"/>
      <c r="AA816" s="62"/>
      <c r="AB816" s="62"/>
      <c r="AC816" s="62"/>
      <c r="AD816" s="62"/>
      <c r="AE816" s="62" t="s">
        <v>2609</v>
      </c>
      <c r="AF816" s="62"/>
      <c r="AG816" s="53">
        <f>(0.015*1.15+0.1*0.94)*0.56</f>
        <v>6.2300000000000008E-2</v>
      </c>
      <c r="AH816" s="54">
        <f>(3.5/0.75/2)*0.55</f>
        <v>1.2833333333333334</v>
      </c>
      <c r="AI816" s="54"/>
      <c r="AJ816" s="9">
        <v>9530</v>
      </c>
      <c r="AK816" s="62"/>
      <c r="AL816" s="9">
        <v>3.5000000000000001E-3</v>
      </c>
      <c r="AM816" s="61" t="s">
        <v>1033</v>
      </c>
      <c r="AN816" s="62">
        <v>136</v>
      </c>
      <c r="AO816" s="61" t="s">
        <v>2610</v>
      </c>
      <c r="AP816" s="59" t="str">
        <f>IFERROR(VLOOKUP($A816,[2]Mssp!$A$5:$BE$1463,AP$4+1,0),0)</f>
        <v>20110654-1</v>
      </c>
      <c r="AQ816" s="59" t="str">
        <f>IFERROR(VLOOKUP($A816,[2]Mssp!$A$5:$BE$1463,AQ$4+1,0),0)</f>
        <v>20110654-2</v>
      </c>
      <c r="AR816" s="59" t="str">
        <f>IFERROR(VLOOKUP($A816,[2]Mssp!$A$5:$BE$1463,AR$4+1,0),0)</f>
        <v>20110654-3</v>
      </c>
      <c r="AS816" s="59">
        <f>IFERROR(VLOOKUP($A816,[2]Mssp!$A$5:$BE$1463,AS$4+1,0),0)</f>
        <v>0</v>
      </c>
      <c r="AT816" s="59">
        <f>IFERROR(VLOOKUP($A816,[2]Mssp!$A$5:$BE$1463,AT$4+1,0),0)</f>
        <v>0</v>
      </c>
      <c r="AU816" s="59">
        <f>IFERROR(VLOOKUP($A816,[2]Mssp!$A$5:$BE$1463,AU$4+1,0),0)</f>
        <v>0</v>
      </c>
      <c r="AV816" s="59">
        <f>IFERROR(VLOOKUP($A816,[2]Mssp!$A$5:$BE$1463,AV$4+1,0),0)</f>
        <v>0</v>
      </c>
      <c r="AW816" s="59">
        <f>IFERROR(VLOOKUP($A816,[2]Mssp!$A$5:$BE$1463,AW$4+1,0),0)</f>
        <v>0</v>
      </c>
      <c r="AX816" s="59">
        <f>IFERROR(VLOOKUP($A816,[2]Mssp!$A$5:$BE$1463,AX$4+1,0),0)</f>
        <v>0</v>
      </c>
      <c r="AY816" s="59" t="str">
        <f>IFERROR(VLOOKUP($A816,[2]Mssp!$A$5:$BE$1463,AY$4+2,0),0)</f>
        <v>420x870</v>
      </c>
      <c r="AZ816" s="59">
        <f>IFERROR(VLOOKUP($A816,[2]Mssp!$A$5:$BE$1463,AZ$4+2,0),0)</f>
        <v>0</v>
      </c>
      <c r="BA816" s="141"/>
      <c r="BB816" s="61" t="s">
        <v>1894</v>
      </c>
      <c r="BC816" s="165"/>
      <c r="BD816" s="166"/>
      <c r="BE816" s="167"/>
      <c r="BF816" s="168"/>
      <c r="BG816" s="167"/>
      <c r="BH816" s="168"/>
      <c r="BI816" s="169"/>
      <c r="BJ816" s="168"/>
      <c r="BK816" s="134"/>
      <c r="BL816" s="168"/>
      <c r="BM816" s="167"/>
      <c r="BN816" s="168"/>
      <c r="BO816" s="62"/>
      <c r="BP816" s="168"/>
      <c r="BQ816" s="168"/>
      <c r="BR816" s="168"/>
      <c r="BS816" s="135"/>
      <c r="BT816" s="176"/>
      <c r="BU816" s="167"/>
      <c r="BV816" s="168"/>
      <c r="BW816" s="167"/>
      <c r="BX816" s="168"/>
      <c r="BY816" s="167"/>
      <c r="BZ816" s="176"/>
      <c r="CA816" s="167"/>
      <c r="CB816" s="168"/>
      <c r="CC816" s="167"/>
      <c r="CD816" s="168"/>
      <c r="CE816" s="62"/>
      <c r="CF816" s="62"/>
      <c r="CG816" s="9"/>
      <c r="CH816" s="9"/>
      <c r="CI816" s="9"/>
      <c r="CJ816" s="9"/>
      <c r="CK816" s="9"/>
      <c r="CL816" s="9"/>
      <c r="CM816" s="9"/>
      <c r="CN816" s="9"/>
      <c r="CO816" s="9"/>
      <c r="CP816" s="9"/>
    </row>
    <row r="817" spans="1:94" ht="30" x14ac:dyDescent="0.25">
      <c r="A817" s="127" t="s">
        <v>2611</v>
      </c>
      <c r="B817" s="51" t="s">
        <v>2612</v>
      </c>
      <c r="C817" s="62"/>
      <c r="D817" s="84">
        <v>3</v>
      </c>
      <c r="E817" s="62" t="s">
        <v>1985</v>
      </c>
      <c r="F817" s="62">
        <v>6</v>
      </c>
      <c r="G817" s="62"/>
      <c r="H817" s="50">
        <f>VLOOKUP($A817,'[1]ma sp 02'!$A$5:$BD$1101,H$1,0)</f>
        <v>0.155</v>
      </c>
      <c r="I817" s="50">
        <f>VLOOKUP($A817,'[1]ma sp 02'!$A$5:$BD$1101,I$1,0)</f>
        <v>6.0469999999999997</v>
      </c>
      <c r="J817" s="50">
        <f>VLOOKUP($A817,'[1]ma sp 02'!$A$5:$BD$1101,J$1,0)</f>
        <v>0.155</v>
      </c>
      <c r="K817" s="50">
        <f>VLOOKUP($A817,'[1]ma sp 02'!$A$5:$BD$1101,K$1,0)</f>
        <v>1.085</v>
      </c>
      <c r="L817" s="50">
        <f>VLOOKUP($A817,'[1]ma sp 02'!$A$5:$BD$1101,L$1,0)</f>
        <v>3.5659999999999998</v>
      </c>
      <c r="M817" s="50">
        <f>VLOOKUP($A817,'[1]ma sp 02'!$A$5:$BD$1101,M$1,0)</f>
        <v>0.62</v>
      </c>
      <c r="N817" s="50">
        <f>VLOOKUP($A817,'[1]ma sp 02'!$A$5:$BD$1101,N$1,0)</f>
        <v>0</v>
      </c>
      <c r="O817" s="50">
        <f>VLOOKUP($A817,'[1]ma sp 02'!$A$5:$BD$1101,O$1,0)</f>
        <v>0.155</v>
      </c>
      <c r="P817" s="50">
        <f>VLOOKUP($A817,'[1]ma sp 02'!$A$5:$BD$1101,P$1,0)</f>
        <v>0</v>
      </c>
      <c r="Q817" s="50">
        <f>VLOOKUP($A817,'[1]ma sp 02'!$A$5:$BD$1101,Q$1,0)</f>
        <v>0</v>
      </c>
      <c r="R817" s="50">
        <f>VLOOKUP($A817,'[1]ma sp 02'!$A$5:$BD$1101,R$1,0)</f>
        <v>0</v>
      </c>
      <c r="S817" s="50">
        <f>VLOOKUP($A817,'[1]ma sp 02'!$A$5:$BD$1101,S$1,0)</f>
        <v>0</v>
      </c>
      <c r="T817" s="50">
        <f>VLOOKUP($A817,'[1]ma sp 02'!$A$5:$BD$1101,T$1,0)</f>
        <v>0</v>
      </c>
      <c r="U817" s="50">
        <f>VLOOKUP($A817,'[1]ma sp 02'!$A$5:$BD$1101,U$1,0)</f>
        <v>0</v>
      </c>
      <c r="V817" s="50">
        <f>VLOOKUP($A817,'[1]ma sp 02'!$A$5:$BD$1101,V$1,0)</f>
        <v>0</v>
      </c>
      <c r="W817" s="50">
        <f>VLOOKUP($A817,'[1]ma sp 02'!$A$5:$BD$1101,W$1,0)</f>
        <v>0</v>
      </c>
      <c r="X817" s="50"/>
      <c r="Y817" s="62"/>
      <c r="Z817" s="62"/>
      <c r="AA817" s="62"/>
      <c r="AB817" s="62"/>
      <c r="AC817" s="62"/>
      <c r="AD817" s="62"/>
      <c r="AE817" s="62" t="s">
        <v>456</v>
      </c>
      <c r="AF817" s="62" t="s">
        <v>1986</v>
      </c>
      <c r="AG817" s="53">
        <f>(0.03*0.91+0.0012*1.4+0.035*0.925)*0.77</f>
        <v>4.7243350000000003E-2</v>
      </c>
      <c r="AH817" s="54">
        <f t="shared" ref="AH817:AI824" si="36">(2.3/0.75/2)*0.76</f>
        <v>1.1653333333333333</v>
      </c>
      <c r="AI817" s="54">
        <f t="shared" si="36"/>
        <v>1.1653333333333333</v>
      </c>
      <c r="AJ817" s="9">
        <v>9530</v>
      </c>
      <c r="AK817" s="62">
        <v>9530</v>
      </c>
      <c r="AL817" s="9" t="s">
        <v>1590</v>
      </c>
      <c r="AM817" s="61" t="s">
        <v>1489</v>
      </c>
      <c r="AN817" s="62">
        <v>165</v>
      </c>
      <c r="AO817" s="61" t="s">
        <v>1902</v>
      </c>
      <c r="AP817" s="59" t="str">
        <f>IFERROR(VLOOKUP($A817,[2]Mssp!$A$5:$BE$1463,AP$4+1,0),0)</f>
        <v>20110917-1</v>
      </c>
      <c r="AQ817" s="59" t="str">
        <f>IFERROR(VLOOKUP($A817,[2]Mssp!$A$5:$BE$1463,AQ$4+1,0),0)</f>
        <v>20110917-2</v>
      </c>
      <c r="AR817" s="59" t="str">
        <f>IFERROR(VLOOKUP($A817,[2]Mssp!$A$5:$BE$1463,AR$4+1,0),0)</f>
        <v>20110917-3</v>
      </c>
      <c r="AS817" s="59" t="str">
        <f>IFERROR(VLOOKUP($A817,[2]Mssp!$A$5:$BE$1463,AS$4+1,0),0)</f>
        <v>20110917-4</v>
      </c>
      <c r="AT817" s="59" t="str">
        <f>IFERROR(VLOOKUP($A817,[2]Mssp!$A$5:$BE$1463,AT$4+1,0),0)</f>
        <v>20110917-5</v>
      </c>
      <c r="AU817" s="59" t="str">
        <f>IFERROR(VLOOKUP($A817,[2]Mssp!$A$5:$BE$1463,AU$4+1,0),0)</f>
        <v>20110917-6</v>
      </c>
      <c r="AV817" s="59">
        <f>IFERROR(VLOOKUP($A817,[2]Mssp!$A$5:$BE$1463,AV$4+1,0),0)</f>
        <v>0</v>
      </c>
      <c r="AW817" s="59">
        <f>IFERROR(VLOOKUP($A817,[2]Mssp!$A$5:$BE$1463,AW$4+1,0),0)</f>
        <v>0</v>
      </c>
      <c r="AX817" s="59">
        <f>IFERROR(VLOOKUP($A817,[2]Mssp!$A$5:$BE$1463,AX$4+1,0),0)</f>
        <v>0</v>
      </c>
      <c r="AY817" s="59" t="str">
        <f>IFERROR(VLOOKUP($A817,[2]Mssp!$A$5:$BE$1463,AY$4+2,0),0)</f>
        <v>495x870</v>
      </c>
      <c r="AZ817" s="59">
        <f>IFERROR(VLOOKUP($A817,[2]Mssp!$A$5:$BE$1463,AZ$4+2,0),0)</f>
        <v>0</v>
      </c>
      <c r="BA817" s="141"/>
      <c r="BB817" s="61" t="s">
        <v>952</v>
      </c>
      <c r="BC817" s="165"/>
      <c r="BD817" s="166"/>
      <c r="BE817" s="167"/>
      <c r="BF817" s="168"/>
      <c r="BG817" s="167"/>
      <c r="BH817" s="168"/>
      <c r="BI817" s="169"/>
      <c r="BJ817" s="168"/>
      <c r="BK817" s="134"/>
      <c r="BL817" s="168"/>
      <c r="BM817" s="167"/>
      <c r="BN817" s="168"/>
      <c r="BO817" s="62"/>
      <c r="BP817" s="168"/>
      <c r="BQ817" s="168"/>
      <c r="BR817" s="168"/>
      <c r="BS817" s="135"/>
      <c r="BT817" s="176"/>
      <c r="BU817" s="167"/>
      <c r="BV817" s="168"/>
      <c r="BW817" s="167"/>
      <c r="BX817" s="168"/>
      <c r="BY817" s="167"/>
      <c r="BZ817" s="176"/>
      <c r="CA817" s="167"/>
      <c r="CB817" s="168"/>
      <c r="CC817" s="167"/>
      <c r="CD817" s="168"/>
      <c r="CE817" s="62"/>
      <c r="CF817" s="62"/>
      <c r="CG817" s="9"/>
      <c r="CH817" s="9"/>
      <c r="CI817" s="9"/>
      <c r="CJ817" s="9"/>
      <c r="CK817" s="9"/>
      <c r="CL817" s="9"/>
      <c r="CM817" s="9"/>
      <c r="CN817" s="9"/>
      <c r="CO817" s="9"/>
      <c r="CP817" s="9"/>
    </row>
    <row r="818" spans="1:94" ht="30" x14ac:dyDescent="0.25">
      <c r="A818" s="127" t="s">
        <v>2613</v>
      </c>
      <c r="B818" s="51" t="s">
        <v>2614</v>
      </c>
      <c r="C818" s="62"/>
      <c r="D818" s="84">
        <v>3</v>
      </c>
      <c r="E818" s="62" t="s">
        <v>1985</v>
      </c>
      <c r="F818" s="62">
        <v>6</v>
      </c>
      <c r="G818" s="62"/>
      <c r="H818" s="50">
        <f>VLOOKUP($A818,'[1]ma sp 02'!$A$5:$BD$1101,H$1,0)</f>
        <v>0.189</v>
      </c>
      <c r="I818" s="50">
        <f>VLOOKUP($A818,'[1]ma sp 02'!$A$5:$BD$1101,I$1,0)</f>
        <v>9.6259999999999994</v>
      </c>
      <c r="J818" s="50">
        <f>VLOOKUP($A818,'[1]ma sp 02'!$A$5:$BD$1101,J$1,0)</f>
        <v>1.88</v>
      </c>
      <c r="K818" s="50">
        <f>VLOOKUP($A818,'[1]ma sp 02'!$A$5:$BD$1101,K$1,0)</f>
        <v>3.5859999999999999</v>
      </c>
      <c r="L818" s="50">
        <f>VLOOKUP($A818,'[1]ma sp 02'!$A$5:$BD$1101,L$1,0)</f>
        <v>3.5859999999999999</v>
      </c>
      <c r="M818" s="50">
        <f>VLOOKUP($A818,'[1]ma sp 02'!$A$5:$BD$1101,M$1,0)</f>
        <v>0</v>
      </c>
      <c r="N818" s="50">
        <f>VLOOKUP($A818,'[1]ma sp 02'!$A$5:$BD$1101,N$1,0)</f>
        <v>0</v>
      </c>
      <c r="O818" s="50">
        <f>VLOOKUP($A818,'[1]ma sp 02'!$A$5:$BD$1101,O$1,0)</f>
        <v>0</v>
      </c>
      <c r="P818" s="50">
        <f>VLOOKUP($A818,'[1]ma sp 02'!$A$5:$BD$1101,P$1,0)</f>
        <v>0</v>
      </c>
      <c r="Q818" s="50">
        <f>VLOOKUP($A818,'[1]ma sp 02'!$A$5:$BD$1101,Q$1,0)</f>
        <v>0.01</v>
      </c>
      <c r="R818" s="50">
        <f>VLOOKUP($A818,'[1]ma sp 02'!$A$5:$BD$1101,R$1,0)</f>
        <v>0</v>
      </c>
      <c r="S818" s="50">
        <f>VLOOKUP($A818,'[1]ma sp 02'!$A$5:$BD$1101,S$1,0)</f>
        <v>0</v>
      </c>
      <c r="T818" s="50">
        <f>VLOOKUP($A818,'[1]ma sp 02'!$A$5:$BD$1101,T$1,0)</f>
        <v>0</v>
      </c>
      <c r="U818" s="50">
        <f>VLOOKUP($A818,'[1]ma sp 02'!$A$5:$BD$1101,U$1,0)</f>
        <v>0</v>
      </c>
      <c r="V818" s="50">
        <f>VLOOKUP($A818,'[1]ma sp 02'!$A$5:$BD$1101,V$1,0)</f>
        <v>0</v>
      </c>
      <c r="W818" s="50">
        <f>VLOOKUP($A818,'[1]ma sp 02'!$A$5:$BD$1101,W$1,0)</f>
        <v>0</v>
      </c>
      <c r="X818" s="50"/>
      <c r="Y818" s="62"/>
      <c r="Z818" s="62"/>
      <c r="AA818" s="62"/>
      <c r="AB818" s="62"/>
      <c r="AC818" s="62"/>
      <c r="AD818" s="62"/>
      <c r="AE818" s="62" t="s">
        <v>456</v>
      </c>
      <c r="AF818" s="62" t="s">
        <v>1986</v>
      </c>
      <c r="AG818" s="53">
        <f>(0.03*0.91+0.0012*1.4+0.035*0.925)*0.77</f>
        <v>4.7243350000000003E-2</v>
      </c>
      <c r="AH818" s="54">
        <f t="shared" si="36"/>
        <v>1.1653333333333333</v>
      </c>
      <c r="AI818" s="54">
        <f t="shared" si="36"/>
        <v>1.1653333333333333</v>
      </c>
      <c r="AJ818" s="9">
        <v>9530</v>
      </c>
      <c r="AK818" s="62">
        <v>9530</v>
      </c>
      <c r="AL818" s="9" t="s">
        <v>1590</v>
      </c>
      <c r="AM818" s="61" t="s">
        <v>1489</v>
      </c>
      <c r="AN818" s="62">
        <v>165</v>
      </c>
      <c r="AO818" s="61" t="s">
        <v>1902</v>
      </c>
      <c r="AP818" s="59" t="str">
        <f>IFERROR(VLOOKUP($A818,[2]Mssp!$A$5:$BE$1463,AP$4+1,0),0)</f>
        <v>20110920-1</v>
      </c>
      <c r="AQ818" s="59" t="str">
        <f>IFERROR(VLOOKUP($A818,[2]Mssp!$A$5:$BE$1463,AQ$4+1,0),0)</f>
        <v>20110920-2</v>
      </c>
      <c r="AR818" s="59" t="str">
        <f>IFERROR(VLOOKUP($A818,[2]Mssp!$A$5:$BE$1463,AR$4+1,0),0)</f>
        <v>20110920-3</v>
      </c>
      <c r="AS818" s="59" t="str">
        <f>IFERROR(VLOOKUP($A818,[2]Mssp!$A$5:$BE$1463,AS$4+1,0),0)</f>
        <v>20110920-4</v>
      </c>
      <c r="AT818" s="59" t="str">
        <f>IFERROR(VLOOKUP($A818,[2]Mssp!$A$5:$BE$1463,AT$4+1,0),0)</f>
        <v>20110920-5</v>
      </c>
      <c r="AU818" s="59" t="str">
        <f>IFERROR(VLOOKUP($A818,[2]Mssp!$A$5:$BE$1463,AU$4+1,0),0)</f>
        <v>20110917-6</v>
      </c>
      <c r="AV818" s="59">
        <f>IFERROR(VLOOKUP($A818,[2]Mssp!$A$5:$BE$1463,AV$4+1,0),0)</f>
        <v>0</v>
      </c>
      <c r="AW818" s="59">
        <f>IFERROR(VLOOKUP($A818,[2]Mssp!$A$5:$BE$1463,AW$4+1,0),0)</f>
        <v>0</v>
      </c>
      <c r="AX818" s="59">
        <f>IFERROR(VLOOKUP($A818,[2]Mssp!$A$5:$BE$1463,AX$4+1,0),0)</f>
        <v>0</v>
      </c>
      <c r="AY818" s="59" t="str">
        <f>IFERROR(VLOOKUP($A818,[2]Mssp!$A$5:$BE$1463,AY$4+2,0),0)</f>
        <v>495x870</v>
      </c>
      <c r="AZ818" s="59">
        <f>IFERROR(VLOOKUP($A818,[2]Mssp!$A$5:$BE$1463,AZ$4+2,0),0)</f>
        <v>0</v>
      </c>
      <c r="BA818" s="141"/>
      <c r="BB818" s="61" t="s">
        <v>952</v>
      </c>
      <c r="BC818" s="165"/>
      <c r="BD818" s="166"/>
      <c r="BE818" s="167"/>
      <c r="BF818" s="168"/>
      <c r="BG818" s="167"/>
      <c r="BH818" s="168"/>
      <c r="BI818" s="169"/>
      <c r="BJ818" s="168"/>
      <c r="BK818" s="134"/>
      <c r="BL818" s="168"/>
      <c r="BM818" s="167"/>
      <c r="BN818" s="168"/>
      <c r="BO818" s="62"/>
      <c r="BP818" s="168"/>
      <c r="BQ818" s="168"/>
      <c r="BR818" s="168"/>
      <c r="BS818" s="135"/>
      <c r="BT818" s="176"/>
      <c r="BU818" s="167"/>
      <c r="BV818" s="168"/>
      <c r="BW818" s="167"/>
      <c r="BX818" s="168"/>
      <c r="BY818" s="167"/>
      <c r="BZ818" s="176"/>
      <c r="CA818" s="167"/>
      <c r="CB818" s="168"/>
      <c r="CC818" s="167"/>
      <c r="CD818" s="168"/>
      <c r="CE818" s="62"/>
      <c r="CF818" s="62"/>
      <c r="CG818" s="9"/>
      <c r="CH818" s="9"/>
      <c r="CI818" s="9"/>
      <c r="CJ818" s="9"/>
      <c r="CK818" s="9"/>
      <c r="CL818" s="9"/>
      <c r="CM818" s="9"/>
      <c r="CN818" s="9"/>
      <c r="CO818" s="9"/>
      <c r="CP818" s="9"/>
    </row>
    <row r="819" spans="1:94" ht="30" x14ac:dyDescent="0.25">
      <c r="A819" s="127" t="s">
        <v>2615</v>
      </c>
      <c r="B819" s="51" t="s">
        <v>2616</v>
      </c>
      <c r="C819" s="62"/>
      <c r="D819" s="84">
        <v>3</v>
      </c>
      <c r="E819" s="62" t="s">
        <v>1985</v>
      </c>
      <c r="F819" s="62">
        <v>5</v>
      </c>
      <c r="G819" s="62"/>
      <c r="H819" s="50">
        <f>VLOOKUP($A819,'[1]ma sp 02'!$A$5:$BD$1101,H$1,0)</f>
        <v>0.496</v>
      </c>
      <c r="I819" s="50">
        <f>VLOOKUP($A819,'[1]ma sp 02'!$A$5:$BD$1101,I$1,0)</f>
        <v>6.6070000000000002</v>
      </c>
      <c r="J819" s="50">
        <f>VLOOKUP($A819,'[1]ma sp 02'!$A$5:$BD$1101,J$1,0)</f>
        <v>0</v>
      </c>
      <c r="K819" s="50">
        <f>VLOOKUP($A819,'[1]ma sp 02'!$A$5:$BD$1101,K$1,0)</f>
        <v>0.66100000000000003</v>
      </c>
      <c r="L819" s="50">
        <f>VLOOKUP($A819,'[1]ma sp 02'!$A$5:$BD$1101,L$1,0)</f>
        <v>0</v>
      </c>
      <c r="M819" s="50">
        <f>VLOOKUP($A819,'[1]ma sp 02'!$A$5:$BD$1101,M$1,0)</f>
        <v>0</v>
      </c>
      <c r="N819" s="50">
        <f>VLOOKUP($A819,'[1]ma sp 02'!$A$5:$BD$1101,N$1,0)</f>
        <v>0</v>
      </c>
      <c r="O819" s="50">
        <f>VLOOKUP($A819,'[1]ma sp 02'!$A$5:$BD$1101,O$1,0)</f>
        <v>0.66100000000000003</v>
      </c>
      <c r="P819" s="50">
        <f>VLOOKUP($A819,'[1]ma sp 02'!$A$5:$BD$1101,P$1,0)</f>
        <v>0</v>
      </c>
      <c r="Q819" s="50">
        <f>VLOOKUP($A819,'[1]ma sp 02'!$A$5:$BD$1101,Q$1,0)</f>
        <v>0</v>
      </c>
      <c r="R819" s="50">
        <f>VLOOKUP($A819,'[1]ma sp 02'!$A$5:$BD$1101,R$1,0)</f>
        <v>0.99099999999999999</v>
      </c>
      <c r="S819" s="50">
        <f>VLOOKUP($A819,'[1]ma sp 02'!$A$5:$BD$1101,S$1,0)</f>
        <v>0</v>
      </c>
      <c r="T819" s="50">
        <f>VLOOKUP($A819,'[1]ma sp 02'!$A$5:$BD$1101,T$1,0)</f>
        <v>0</v>
      </c>
      <c r="U819" s="50">
        <f>VLOOKUP($A819,'[1]ma sp 02'!$A$5:$BD$1101,U$1,0)</f>
        <v>0</v>
      </c>
      <c r="V819" s="50">
        <f>VLOOKUP($A819,'[1]ma sp 02'!$A$5:$BD$1101,V$1,0)</f>
        <v>0</v>
      </c>
      <c r="W819" s="50">
        <f>VLOOKUP($A819,'[1]ma sp 02'!$A$5:$BD$1101,W$1,0)</f>
        <v>0</v>
      </c>
      <c r="X819" s="50"/>
      <c r="Y819" s="62"/>
      <c r="Z819" s="62"/>
      <c r="AA819" s="62"/>
      <c r="AB819" s="62"/>
      <c r="AC819" s="62"/>
      <c r="AD819" s="62"/>
      <c r="AE819" s="62" t="s">
        <v>456</v>
      </c>
      <c r="AF819" s="62" t="s">
        <v>1986</v>
      </c>
      <c r="AG819" s="53">
        <f>(0.03*0.91+0.0012*1.4+0.035*0.925)*0.77</f>
        <v>4.7243350000000003E-2</v>
      </c>
      <c r="AH819" s="54">
        <f t="shared" si="36"/>
        <v>1.1653333333333333</v>
      </c>
      <c r="AI819" s="54">
        <f t="shared" si="36"/>
        <v>1.1653333333333333</v>
      </c>
      <c r="AJ819" s="9">
        <v>9530</v>
      </c>
      <c r="AK819" s="62">
        <v>9530</v>
      </c>
      <c r="AL819" s="9" t="s">
        <v>1590</v>
      </c>
      <c r="AM819" s="61" t="s">
        <v>1489</v>
      </c>
      <c r="AN819" s="62">
        <v>165</v>
      </c>
      <c r="AO819" s="61" t="s">
        <v>1902</v>
      </c>
      <c r="AP819" s="59" t="str">
        <f>IFERROR(VLOOKUP($A819,[2]Mssp!$A$5:$BE$1463,AP$4+1,0),0)</f>
        <v>20110919-1</v>
      </c>
      <c r="AQ819" s="59" t="str">
        <f>IFERROR(VLOOKUP($A819,[2]Mssp!$A$5:$BE$1463,AQ$4+1,0),0)</f>
        <v>20110917-2</v>
      </c>
      <c r="AR819" s="59" t="str">
        <f>IFERROR(VLOOKUP($A819,[2]Mssp!$A$5:$BE$1463,AR$4+1,0),0)</f>
        <v>20110919-3</v>
      </c>
      <c r="AS819" s="59">
        <f>IFERROR(VLOOKUP($A819,[2]Mssp!$A$5:$BE$1463,AS$4+1,0),0)</f>
        <v>0</v>
      </c>
      <c r="AT819" s="59">
        <f>IFERROR(VLOOKUP($A819,[2]Mssp!$A$5:$BE$1463,AT$4+1,0),0)</f>
        <v>0</v>
      </c>
      <c r="AU819" s="59" t="str">
        <f>IFERROR(VLOOKUP($A819,[2]Mssp!$A$5:$BE$1463,AU$4+1,0),0)</f>
        <v>20110717-6</v>
      </c>
      <c r="AV819" s="59">
        <f>IFERROR(VLOOKUP($A819,[2]Mssp!$A$5:$BE$1463,AV$4+1,0),0)</f>
        <v>0</v>
      </c>
      <c r="AW819" s="59">
        <f>IFERROR(VLOOKUP($A819,[2]Mssp!$A$5:$BE$1463,AW$4+1,0),0)</f>
        <v>0</v>
      </c>
      <c r="AX819" s="59">
        <f>IFERROR(VLOOKUP($A819,[2]Mssp!$A$5:$BE$1463,AX$4+1,0),0)</f>
        <v>0</v>
      </c>
      <c r="AY819" s="59" t="str">
        <f>IFERROR(VLOOKUP($A819,[2]Mssp!$A$5:$BE$1463,AY$4+2,0),0)</f>
        <v>495x870</v>
      </c>
      <c r="AZ819" s="59">
        <f>IFERROR(VLOOKUP($A819,[2]Mssp!$A$5:$BE$1463,AZ$4+2,0),0)</f>
        <v>0</v>
      </c>
      <c r="BA819" s="141"/>
      <c r="BB819" s="61" t="s">
        <v>952</v>
      </c>
      <c r="BC819" s="165"/>
      <c r="BD819" s="166"/>
      <c r="BE819" s="167"/>
      <c r="BF819" s="168"/>
      <c r="BG819" s="167"/>
      <c r="BH819" s="168"/>
      <c r="BI819" s="169"/>
      <c r="BJ819" s="168"/>
      <c r="BK819" s="134"/>
      <c r="BL819" s="168"/>
      <c r="BM819" s="167"/>
      <c r="BN819" s="168"/>
      <c r="BO819" s="62"/>
      <c r="BP819" s="168"/>
      <c r="BQ819" s="168"/>
      <c r="BR819" s="168"/>
      <c r="BS819" s="135"/>
      <c r="BT819" s="176"/>
      <c r="BU819" s="167"/>
      <c r="BV819" s="168"/>
      <c r="BW819" s="167"/>
      <c r="BX819" s="168"/>
      <c r="BY819" s="167"/>
      <c r="BZ819" s="176"/>
      <c r="CA819" s="167"/>
      <c r="CB819" s="168"/>
      <c r="CC819" s="167"/>
      <c r="CD819" s="168"/>
      <c r="CE819" s="62"/>
      <c r="CF819" s="62"/>
      <c r="CG819" s="9"/>
      <c r="CH819" s="9"/>
      <c r="CI819" s="9"/>
      <c r="CJ819" s="9"/>
      <c r="CK819" s="9"/>
      <c r="CL819" s="9"/>
      <c r="CM819" s="9"/>
      <c r="CN819" s="9"/>
      <c r="CO819" s="9"/>
      <c r="CP819" s="9"/>
    </row>
    <row r="820" spans="1:94" ht="30" x14ac:dyDescent="0.25">
      <c r="A820" s="127" t="s">
        <v>2617</v>
      </c>
      <c r="B820" s="51" t="s">
        <v>2618</v>
      </c>
      <c r="C820" s="62"/>
      <c r="D820" s="84">
        <v>3</v>
      </c>
      <c r="E820" s="62" t="s">
        <v>1985</v>
      </c>
      <c r="F820" s="62">
        <v>6</v>
      </c>
      <c r="G820" s="62"/>
      <c r="H820" s="50">
        <f>VLOOKUP($A820,'[1]ma sp 02'!$A$5:$BD$1101,H$1,0)</f>
        <v>0.17199999999999999</v>
      </c>
      <c r="I820" s="50">
        <f>VLOOKUP($A820,'[1]ma sp 02'!$A$5:$BD$1101,I$1,0)</f>
        <v>5.5010000000000003</v>
      </c>
      <c r="J820" s="50">
        <f>VLOOKUP($A820,'[1]ma sp 02'!$A$5:$BD$1101,J$1,0)</f>
        <v>0</v>
      </c>
      <c r="K820" s="50">
        <f>VLOOKUP($A820,'[1]ma sp 02'!$A$5:$BD$1101,K$1,0)</f>
        <v>0</v>
      </c>
      <c r="L820" s="50">
        <f>VLOOKUP($A820,'[1]ma sp 02'!$A$5:$BD$1101,L$1,0)</f>
        <v>0</v>
      </c>
      <c r="M820" s="50">
        <f>VLOOKUP($A820,'[1]ma sp 02'!$A$5:$BD$1101,M$1,0)</f>
        <v>0</v>
      </c>
      <c r="N820" s="50">
        <f>VLOOKUP($A820,'[1]ma sp 02'!$A$5:$BD$1101,N$1,0)</f>
        <v>0</v>
      </c>
      <c r="O820" s="50">
        <f>VLOOKUP($A820,'[1]ma sp 02'!$A$5:$BD$1101,O$1,0)</f>
        <v>0.17199999999999999</v>
      </c>
      <c r="P820" s="50">
        <f>VLOOKUP($A820,'[1]ma sp 02'!$A$5:$BD$1101,P$1,0)</f>
        <v>0</v>
      </c>
      <c r="Q820" s="50">
        <f>VLOOKUP($A820,'[1]ma sp 02'!$A$5:$BD$1101,Q$1,0)</f>
        <v>0</v>
      </c>
      <c r="R820" s="50">
        <f>VLOOKUP($A820,'[1]ma sp 02'!$A$5:$BD$1101,R$1,0)</f>
        <v>0.52</v>
      </c>
      <c r="S820" s="50">
        <f>VLOOKUP($A820,'[1]ma sp 02'!$A$5:$BD$1101,S$1,0)</f>
        <v>0</v>
      </c>
      <c r="T820" s="50">
        <f>VLOOKUP($A820,'[1]ma sp 02'!$A$5:$BD$1101,T$1,0)</f>
        <v>0.01</v>
      </c>
      <c r="U820" s="50">
        <f>VLOOKUP($A820,'[1]ma sp 02'!$A$5:$BD$1101,U$1,0)</f>
        <v>0</v>
      </c>
      <c r="V820" s="50">
        <f>VLOOKUP($A820,'[1]ma sp 02'!$A$5:$BD$1101,V$1,0)</f>
        <v>0</v>
      </c>
      <c r="W820" s="50">
        <f>VLOOKUP($A820,'[1]ma sp 02'!$A$5:$BD$1101,W$1,0)</f>
        <v>0</v>
      </c>
      <c r="X820" s="50"/>
      <c r="Y820" s="62"/>
      <c r="Z820" s="62"/>
      <c r="AA820" s="62"/>
      <c r="AB820" s="62"/>
      <c r="AC820" s="62"/>
      <c r="AD820" s="62"/>
      <c r="AE820" s="62" t="s">
        <v>456</v>
      </c>
      <c r="AF820" s="62" t="s">
        <v>1986</v>
      </c>
      <c r="AG820" s="53">
        <f>(0.03*0.91+0.0012*1.4+0.035*0.925)*0.77</f>
        <v>4.7243350000000003E-2</v>
      </c>
      <c r="AH820" s="54">
        <f>(2.3/0.75/2)*0.76</f>
        <v>1.1653333333333333</v>
      </c>
      <c r="AI820" s="54">
        <f t="shared" si="36"/>
        <v>1.1653333333333333</v>
      </c>
      <c r="AJ820" s="9">
        <v>9530</v>
      </c>
      <c r="AK820" s="62">
        <v>9530</v>
      </c>
      <c r="AL820" s="9" t="s">
        <v>1590</v>
      </c>
      <c r="AM820" s="61" t="s">
        <v>1489</v>
      </c>
      <c r="AN820" s="62">
        <v>165</v>
      </c>
      <c r="AO820" s="61" t="s">
        <v>1902</v>
      </c>
      <c r="AP820" s="59" t="str">
        <f>IFERROR(VLOOKUP($A820,[2]Mssp!$A$5:$BE$1463,AP$4+1,0),0)</f>
        <v>20110918-1</v>
      </c>
      <c r="AQ820" s="59" t="str">
        <f>IFERROR(VLOOKUP($A820,[2]Mssp!$A$5:$BE$1463,AQ$4+1,0),0)</f>
        <v>20110918-2</v>
      </c>
      <c r="AR820" s="59" t="str">
        <f>IFERROR(VLOOKUP($A820,[2]Mssp!$A$5:$BE$1463,AR$4+1,0),0)</f>
        <v>20110918-3</v>
      </c>
      <c r="AS820" s="59">
        <f>IFERROR(VLOOKUP($A820,[2]Mssp!$A$5:$BE$1463,AS$4+1,0),0)</f>
        <v>0</v>
      </c>
      <c r="AT820" s="59">
        <f>IFERROR(VLOOKUP($A820,[2]Mssp!$A$5:$BE$1463,AT$4+1,0),0)</f>
        <v>0</v>
      </c>
      <c r="AU820" s="59" t="str">
        <f>IFERROR(VLOOKUP($A820,[2]Mssp!$A$5:$BE$1463,AU$4+1,0),0)</f>
        <v>20110717-6</v>
      </c>
      <c r="AV820" s="59">
        <f>IFERROR(VLOOKUP($A820,[2]Mssp!$A$5:$BE$1463,AV$4+1,0),0)</f>
        <v>0</v>
      </c>
      <c r="AW820" s="59">
        <f>IFERROR(VLOOKUP($A820,[2]Mssp!$A$5:$BE$1463,AW$4+1,0),0)</f>
        <v>0</v>
      </c>
      <c r="AX820" s="59">
        <f>IFERROR(VLOOKUP($A820,[2]Mssp!$A$5:$BE$1463,AX$4+1,0),0)</f>
        <v>0</v>
      </c>
      <c r="AY820" s="59" t="str">
        <f>IFERROR(VLOOKUP($A820,[2]Mssp!$A$5:$BE$1463,AY$4+2,0),0)</f>
        <v>495x870</v>
      </c>
      <c r="AZ820" s="59">
        <f>IFERROR(VLOOKUP($A820,[2]Mssp!$A$5:$BE$1463,AZ$4+2,0),0)</f>
        <v>0</v>
      </c>
      <c r="BA820" s="141"/>
      <c r="BB820" s="61" t="s">
        <v>952</v>
      </c>
      <c r="BC820" s="165"/>
      <c r="BD820" s="166"/>
      <c r="BE820" s="167"/>
      <c r="BF820" s="168"/>
      <c r="BG820" s="167"/>
      <c r="BH820" s="168"/>
      <c r="BI820" s="169"/>
      <c r="BJ820" s="168"/>
      <c r="BK820" s="134"/>
      <c r="BL820" s="168"/>
      <c r="BM820" s="167"/>
      <c r="BN820" s="168"/>
      <c r="BO820" s="62"/>
      <c r="BP820" s="168"/>
      <c r="BQ820" s="168"/>
      <c r="BR820" s="168"/>
      <c r="BS820" s="135"/>
      <c r="BT820" s="176"/>
      <c r="BU820" s="167"/>
      <c r="BV820" s="168"/>
      <c r="BW820" s="167"/>
      <c r="BX820" s="168"/>
      <c r="BY820" s="167"/>
      <c r="BZ820" s="176"/>
      <c r="CA820" s="167"/>
      <c r="CB820" s="168"/>
      <c r="CC820" s="167"/>
      <c r="CD820" s="168"/>
      <c r="CE820" s="62"/>
      <c r="CF820" s="62"/>
      <c r="CG820" s="9"/>
      <c r="CH820" s="9"/>
      <c r="CI820" s="9"/>
      <c r="CJ820" s="9"/>
      <c r="CK820" s="9"/>
      <c r="CL820" s="9"/>
      <c r="CM820" s="9"/>
      <c r="CN820" s="9"/>
      <c r="CO820" s="9"/>
      <c r="CP820" s="9"/>
    </row>
    <row r="821" spans="1:94" ht="30" x14ac:dyDescent="0.25">
      <c r="A821" s="127" t="s">
        <v>2619</v>
      </c>
      <c r="B821" s="51" t="s">
        <v>2620</v>
      </c>
      <c r="C821" s="62"/>
      <c r="D821" s="84">
        <v>3</v>
      </c>
      <c r="E821" s="62" t="s">
        <v>351</v>
      </c>
      <c r="F821" s="62">
        <v>5</v>
      </c>
      <c r="G821" s="62"/>
      <c r="H821" s="50">
        <f>VLOOKUP($A821,'[1]ma sp 02'!$A$5:$BD$1101,H$1,0)</f>
        <v>0.33100000000000002</v>
      </c>
      <c r="I821" s="50">
        <f>VLOOKUP($A821,'[1]ma sp 02'!$A$5:$BD$1101,I$1,0)</f>
        <v>3.2040000000000002</v>
      </c>
      <c r="J821" s="50">
        <f>VLOOKUP($A821,'[1]ma sp 02'!$A$5:$BD$1101,J$1,0)</f>
        <v>0.01</v>
      </c>
      <c r="K821" s="50">
        <f>VLOOKUP($A821,'[1]ma sp 02'!$A$5:$BD$1101,K$1,0)</f>
        <v>0.11</v>
      </c>
      <c r="L821" s="50">
        <f>VLOOKUP($A821,'[1]ma sp 02'!$A$5:$BD$1101,L$1,0)</f>
        <v>0.88400000000000001</v>
      </c>
      <c r="M821" s="50">
        <f>VLOOKUP($A821,'[1]ma sp 02'!$A$5:$BD$1101,M$1,0)</f>
        <v>2.431</v>
      </c>
      <c r="N821" s="50">
        <f>VLOOKUP($A821,'[1]ma sp 02'!$A$5:$BD$1101,N$1,0)</f>
        <v>0</v>
      </c>
      <c r="O821" s="50">
        <f>VLOOKUP($A821,'[1]ma sp 02'!$A$5:$BD$1101,O$1,0)</f>
        <v>0</v>
      </c>
      <c r="P821" s="50">
        <f>VLOOKUP($A821,'[1]ma sp 02'!$A$5:$BD$1101,P$1,0)</f>
        <v>0</v>
      </c>
      <c r="Q821" s="50">
        <f>VLOOKUP($A821,'[1]ma sp 02'!$A$5:$BD$1101,Q$1,0)</f>
        <v>0</v>
      </c>
      <c r="R821" s="50">
        <f>VLOOKUP($A821,'[1]ma sp 02'!$A$5:$BD$1101,R$1,0)</f>
        <v>0</v>
      </c>
      <c r="S821" s="50">
        <f>VLOOKUP($A821,'[1]ma sp 02'!$A$5:$BD$1101,S$1,0)</f>
        <v>0</v>
      </c>
      <c r="T821" s="50">
        <f>VLOOKUP($A821,'[1]ma sp 02'!$A$5:$BD$1101,T$1,0)</f>
        <v>0</v>
      </c>
      <c r="U821" s="50">
        <f>VLOOKUP($A821,'[1]ma sp 02'!$A$5:$BD$1101,U$1,0)</f>
        <v>0</v>
      </c>
      <c r="V821" s="50">
        <f>VLOOKUP($A821,'[1]ma sp 02'!$A$5:$BD$1101,V$1,0)</f>
        <v>0</v>
      </c>
      <c r="W821" s="50">
        <f>VLOOKUP($A821,'[1]ma sp 02'!$A$5:$BD$1101,W$1,0)</f>
        <v>0</v>
      </c>
      <c r="X821" s="50"/>
      <c r="Y821" s="62"/>
      <c r="Z821" s="62"/>
      <c r="AA821" s="62"/>
      <c r="AB821" s="62"/>
      <c r="AC821" s="62"/>
      <c r="AD821" s="62"/>
      <c r="AE821" s="62" t="s">
        <v>352</v>
      </c>
      <c r="AF821" s="62" t="s">
        <v>2425</v>
      </c>
      <c r="AG821" s="53">
        <f>(0.012*1.4+0.0012*1.4+0.1*0.925)*0.8</f>
        <v>8.8784000000000016E-2</v>
      </c>
      <c r="AH821" s="54">
        <f>(2.5/0.75/2)*0.79</f>
        <v>1.3166666666666669</v>
      </c>
      <c r="AI821" s="54">
        <f>(2.5/0.75/2)*0.79</f>
        <v>1.3166666666666669</v>
      </c>
      <c r="AJ821" s="9">
        <v>9530</v>
      </c>
      <c r="AK821" s="62">
        <v>9530</v>
      </c>
      <c r="AL821" s="9" t="s">
        <v>1901</v>
      </c>
      <c r="AM821" s="61" t="s">
        <v>1489</v>
      </c>
      <c r="AN821" s="62">
        <v>190</v>
      </c>
      <c r="AO821" s="61" t="s">
        <v>2621</v>
      </c>
      <c r="AP821" s="59" t="str">
        <f>IFERROR(VLOOKUP($A821,[2]Mssp!$A$5:$BE$1463,AP$4+1,0),0)</f>
        <v>20120379-1</v>
      </c>
      <c r="AQ821" s="59" t="str">
        <f>IFERROR(VLOOKUP($A821,[2]Mssp!$A$5:$BE$1463,AQ$4+1,0),0)</f>
        <v>20120379-2</v>
      </c>
      <c r="AR821" s="59" t="str">
        <f>IFERROR(VLOOKUP($A821,[2]Mssp!$A$5:$BE$1463,AR$4+1,0),0)</f>
        <v>20120379-3</v>
      </c>
      <c r="AS821" s="59" t="str">
        <f>IFERROR(VLOOKUP($A821,[2]Mssp!$A$5:$BE$1463,AS$4+1,0),0)</f>
        <v>20120379-4</v>
      </c>
      <c r="AT821" s="59" t="str">
        <f>IFERROR(VLOOKUP($A821,[2]Mssp!$A$5:$BE$1463,AT$4+1,0),0)</f>
        <v>20120064-5</v>
      </c>
      <c r="AU821" s="59">
        <f>IFERROR(VLOOKUP($A821,[2]Mssp!$A$5:$BE$1463,AU$4+1,0),0)</f>
        <v>0</v>
      </c>
      <c r="AV821" s="59">
        <f>IFERROR(VLOOKUP($A821,[2]Mssp!$A$5:$BE$1463,AV$4+1,0),0)</f>
        <v>0</v>
      </c>
      <c r="AW821" s="59">
        <f>IFERROR(VLOOKUP($A821,[2]Mssp!$A$5:$BE$1463,AW$4+1,0),0)</f>
        <v>0</v>
      </c>
      <c r="AX821" s="59">
        <f>IFERROR(VLOOKUP($A821,[2]Mssp!$A$5:$BE$1463,AX$4+1,0),0)</f>
        <v>0</v>
      </c>
      <c r="AY821" s="59" t="str">
        <f>IFERROR(VLOOKUP($A821,[2]Mssp!$A$5:$BE$1463,AY$4+2,0),0)</f>
        <v>570x870</v>
      </c>
      <c r="AZ821" s="59">
        <f>IFERROR(VLOOKUP($A821,[2]Mssp!$A$5:$BE$1463,AZ$4+2,0),0)</f>
        <v>0</v>
      </c>
      <c r="BA821" s="141"/>
      <c r="BB821" s="61" t="s">
        <v>952</v>
      </c>
      <c r="BC821" s="165"/>
      <c r="BD821" s="166"/>
      <c r="BE821" s="167"/>
      <c r="BF821" s="168"/>
      <c r="BG821" s="167"/>
      <c r="BH821" s="168"/>
      <c r="BI821" s="169"/>
      <c r="BJ821" s="168"/>
      <c r="BK821" s="134"/>
      <c r="BL821" s="168"/>
      <c r="BM821" s="167"/>
      <c r="BN821" s="168"/>
      <c r="BO821" s="62"/>
      <c r="BP821" s="168"/>
      <c r="BQ821" s="168"/>
      <c r="BR821" s="168"/>
      <c r="BS821" s="135"/>
      <c r="BT821" s="176"/>
      <c r="BU821" s="167"/>
      <c r="BV821" s="168"/>
      <c r="BW821" s="167"/>
      <c r="BX821" s="168"/>
      <c r="BY821" s="167"/>
      <c r="BZ821" s="176"/>
      <c r="CA821" s="167"/>
      <c r="CB821" s="168"/>
      <c r="CC821" s="167"/>
      <c r="CD821" s="168"/>
      <c r="CE821" s="62"/>
      <c r="CF821" s="62"/>
      <c r="CG821" s="9"/>
      <c r="CH821" s="9"/>
      <c r="CI821" s="9"/>
      <c r="CJ821" s="9"/>
      <c r="CK821" s="9"/>
      <c r="CL821" s="9"/>
      <c r="CM821" s="9"/>
      <c r="CN821" s="9"/>
      <c r="CO821" s="9"/>
      <c r="CP821" s="9"/>
    </row>
    <row r="822" spans="1:94" ht="30" x14ac:dyDescent="0.25">
      <c r="A822" s="127" t="s">
        <v>2622</v>
      </c>
      <c r="B822" s="51" t="s">
        <v>2623</v>
      </c>
      <c r="C822" s="62"/>
      <c r="D822" s="84">
        <v>3</v>
      </c>
      <c r="E822" s="62" t="s">
        <v>1985</v>
      </c>
      <c r="F822" s="62">
        <v>6</v>
      </c>
      <c r="G822" s="62"/>
      <c r="H822" s="50">
        <f>VLOOKUP($A822,'[1]ma sp 02'!$A$5:$BD$1101,H$1,0)</f>
        <v>0.45500000000000002</v>
      </c>
      <c r="I822" s="50">
        <f>VLOOKUP($A822,'[1]ma sp 02'!$A$5:$BD$1101,I$1,0)</f>
        <v>4.8899999999999997</v>
      </c>
      <c r="J822" s="50">
        <f>VLOOKUP($A822,'[1]ma sp 02'!$A$5:$BD$1101,J$1,0)</f>
        <v>0.22700000000000001</v>
      </c>
      <c r="K822" s="50">
        <f>VLOOKUP($A822,'[1]ma sp 02'!$A$5:$BD$1101,K$1,0)</f>
        <v>0.22700000000000001</v>
      </c>
      <c r="L822" s="50">
        <f>VLOOKUP($A822,'[1]ma sp 02'!$A$5:$BD$1101,L$1,0)</f>
        <v>2.0470000000000002</v>
      </c>
      <c r="M822" s="50">
        <f>VLOOKUP($A822,'[1]ma sp 02'!$A$5:$BD$1101,M$1,0)</f>
        <v>1.82</v>
      </c>
      <c r="N822" s="50">
        <f>VLOOKUP($A822,'[1]ma sp 02'!$A$5:$BD$1101,N$1,0)</f>
        <v>0</v>
      </c>
      <c r="O822" s="50">
        <f>VLOOKUP($A822,'[1]ma sp 02'!$A$5:$BD$1101,O$1,0)</f>
        <v>0.56899999999999995</v>
      </c>
      <c r="P822" s="50">
        <f>VLOOKUP($A822,'[1]ma sp 02'!$A$5:$BD$1101,P$1,0)</f>
        <v>0</v>
      </c>
      <c r="Q822" s="50">
        <f>VLOOKUP($A822,'[1]ma sp 02'!$A$5:$BD$1101,Q$1,0)</f>
        <v>0</v>
      </c>
      <c r="R822" s="50">
        <f>VLOOKUP($A822,'[1]ma sp 02'!$A$5:$BD$1101,R$1,0)</f>
        <v>0</v>
      </c>
      <c r="S822" s="50">
        <f>VLOOKUP($A822,'[1]ma sp 02'!$A$5:$BD$1101,S$1,0)</f>
        <v>0</v>
      </c>
      <c r="T822" s="50">
        <f>VLOOKUP($A822,'[1]ma sp 02'!$A$5:$BD$1101,T$1,0)</f>
        <v>0</v>
      </c>
      <c r="U822" s="50">
        <f>VLOOKUP($A822,'[1]ma sp 02'!$A$5:$BD$1101,U$1,0)</f>
        <v>0</v>
      </c>
      <c r="V822" s="50">
        <f>VLOOKUP($A822,'[1]ma sp 02'!$A$5:$BD$1101,V$1,0)</f>
        <v>0</v>
      </c>
      <c r="W822" s="50">
        <f>VLOOKUP($A822,'[1]ma sp 02'!$A$5:$BD$1101,W$1,0)</f>
        <v>0</v>
      </c>
      <c r="X822" s="50"/>
      <c r="Y822" s="62"/>
      <c r="Z822" s="62"/>
      <c r="AA822" s="62"/>
      <c r="AB822" s="62"/>
      <c r="AC822" s="62"/>
      <c r="AD822" s="62"/>
      <c r="AE822" s="62" t="s">
        <v>2624</v>
      </c>
      <c r="AF822" s="62" t="s">
        <v>2625</v>
      </c>
      <c r="AG822" s="53">
        <f>(0.012*1.4+0.006*2.7+0.1*0.925)*0.77</f>
        <v>9.6634999999999999E-2</v>
      </c>
      <c r="AH822" s="54">
        <f>(2.3/0.75/2)*0.76</f>
        <v>1.1653333333333333</v>
      </c>
      <c r="AI822" s="54">
        <f t="shared" si="36"/>
        <v>1.1653333333333333</v>
      </c>
      <c r="AJ822" s="9">
        <v>9530</v>
      </c>
      <c r="AK822" s="62">
        <v>9530</v>
      </c>
      <c r="AL822" s="9" t="s">
        <v>1590</v>
      </c>
      <c r="AM822" s="61" t="s">
        <v>74</v>
      </c>
      <c r="AN822" s="62">
        <v>180</v>
      </c>
      <c r="AO822" s="61" t="s">
        <v>2626</v>
      </c>
      <c r="AP822" s="59" t="str">
        <f>IFERROR(VLOOKUP($A822,[2]Mssp!$A$5:$BE$1463,AP$4+1,0),0)</f>
        <v>20110976-1</v>
      </c>
      <c r="AQ822" s="59" t="str">
        <f>IFERROR(VLOOKUP($A822,[2]Mssp!$A$5:$BE$1463,AQ$4+1,0),0)</f>
        <v>20110976-2</v>
      </c>
      <c r="AR822" s="59" t="str">
        <f>IFERROR(VLOOKUP($A822,[2]Mssp!$A$5:$BE$1463,AR$4+1,0),0)</f>
        <v>20110976-3</v>
      </c>
      <c r="AS822" s="59" t="str">
        <f>IFERROR(VLOOKUP($A822,[2]Mssp!$A$5:$BE$1463,AS$4+1,0),0)</f>
        <v>20110976-4</v>
      </c>
      <c r="AT822" s="59" t="str">
        <f>IFERROR(VLOOKUP($A822,[2]Mssp!$A$5:$BE$1463,AT$4+1,0),0)</f>
        <v>20110976-5</v>
      </c>
      <c r="AU822" s="59" t="str">
        <f>IFERROR(VLOOKUP($A822,[2]Mssp!$A$5:$BE$1463,AU$4+1,0),0)</f>
        <v>20110976-6</v>
      </c>
      <c r="AV822" s="59">
        <f>IFERROR(VLOOKUP($A822,[2]Mssp!$A$5:$BE$1463,AV$4+1,0),0)</f>
        <v>0</v>
      </c>
      <c r="AW822" s="59">
        <f>IFERROR(VLOOKUP($A822,[2]Mssp!$A$5:$BE$1463,AW$4+1,0),0)</f>
        <v>0</v>
      </c>
      <c r="AX822" s="59">
        <f>IFERROR(VLOOKUP($A822,[2]Mssp!$A$5:$BE$1463,AX$4+1,0),0)</f>
        <v>0</v>
      </c>
      <c r="AY822" s="59" t="str">
        <f>IFERROR(VLOOKUP($A822,[2]Mssp!$A$5:$BE$1463,AY$4+2,0),0)</f>
        <v>540x870</v>
      </c>
      <c r="AZ822" s="59">
        <f>IFERROR(VLOOKUP($A822,[2]Mssp!$A$5:$BE$1463,AZ$4+2,0),0)</f>
        <v>0</v>
      </c>
      <c r="BA822" s="141"/>
      <c r="BB822" s="61" t="s">
        <v>1894</v>
      </c>
      <c r="BC822" s="165"/>
      <c r="BD822" s="166"/>
      <c r="BE822" s="167"/>
      <c r="BF822" s="168"/>
      <c r="BG822" s="167"/>
      <c r="BH822" s="168"/>
      <c r="BI822" s="169"/>
      <c r="BJ822" s="168"/>
      <c r="BK822" s="134"/>
      <c r="BL822" s="168"/>
      <c r="BM822" s="167"/>
      <c r="BN822" s="168"/>
      <c r="BO822" s="62"/>
      <c r="BP822" s="168"/>
      <c r="BQ822" s="168"/>
      <c r="BR822" s="168"/>
      <c r="BS822" s="135"/>
      <c r="BT822" s="176"/>
      <c r="BU822" s="167"/>
      <c r="BV822" s="168"/>
      <c r="BW822" s="167"/>
      <c r="BX822" s="168"/>
      <c r="BY822" s="167"/>
      <c r="BZ822" s="176"/>
      <c r="CA822" s="167"/>
      <c r="CB822" s="168"/>
      <c r="CC822" s="167"/>
      <c r="CD822" s="168"/>
      <c r="CE822" s="62"/>
      <c r="CF822" s="62"/>
      <c r="CG822" s="9"/>
      <c r="CH822" s="9"/>
      <c r="CI822" s="9"/>
      <c r="CJ822" s="9"/>
      <c r="CK822" s="9"/>
      <c r="CL822" s="9"/>
      <c r="CM822" s="9"/>
      <c r="CN822" s="9"/>
      <c r="CO822" s="9"/>
      <c r="CP822" s="9"/>
    </row>
    <row r="823" spans="1:94" ht="30" x14ac:dyDescent="0.25">
      <c r="A823" s="127" t="s">
        <v>2627</v>
      </c>
      <c r="B823" s="51" t="s">
        <v>2628</v>
      </c>
      <c r="C823" s="62"/>
      <c r="D823" s="84">
        <v>3</v>
      </c>
      <c r="E823" s="62" t="s">
        <v>1985</v>
      </c>
      <c r="F823" s="62">
        <v>6</v>
      </c>
      <c r="G823" s="62"/>
      <c r="H823" s="50">
        <f>VLOOKUP($A823,'[1]ma sp 02'!$A$5:$BD$1101,H$1,0)</f>
        <v>0.221</v>
      </c>
      <c r="I823" s="50">
        <f>VLOOKUP($A823,'[1]ma sp 02'!$A$5:$BD$1101,I$1,0)</f>
        <v>0.996</v>
      </c>
      <c r="J823" s="50">
        <f>VLOOKUP($A823,'[1]ma sp 02'!$A$5:$BD$1101,J$1,0)</f>
        <v>0.111</v>
      </c>
      <c r="K823" s="50">
        <f>VLOOKUP($A823,'[1]ma sp 02'!$A$5:$BD$1101,K$1,0)</f>
        <v>0.221</v>
      </c>
      <c r="L823" s="50">
        <f>VLOOKUP($A823,'[1]ma sp 02'!$A$5:$BD$1101,L$1,0)</f>
        <v>0.111</v>
      </c>
      <c r="M823" s="50">
        <f>VLOOKUP($A823,'[1]ma sp 02'!$A$5:$BD$1101,M$1,0)</f>
        <v>1.3280000000000001</v>
      </c>
      <c r="N823" s="50">
        <f>VLOOKUP($A823,'[1]ma sp 02'!$A$5:$BD$1101,N$1,0)</f>
        <v>0</v>
      </c>
      <c r="O823" s="50">
        <f>VLOOKUP($A823,'[1]ma sp 02'!$A$5:$BD$1101,O$1,0)</f>
        <v>0.111</v>
      </c>
      <c r="P823" s="50">
        <f>VLOOKUP($A823,'[1]ma sp 02'!$A$5:$BD$1101,P$1,0)</f>
        <v>0</v>
      </c>
      <c r="Q823" s="50">
        <f>VLOOKUP($A823,'[1]ma sp 02'!$A$5:$BD$1101,Q$1,0)</f>
        <v>0</v>
      </c>
      <c r="R823" s="50">
        <f>VLOOKUP($A823,'[1]ma sp 02'!$A$5:$BD$1101,R$1,0)</f>
        <v>0</v>
      </c>
      <c r="S823" s="50">
        <f>VLOOKUP($A823,'[1]ma sp 02'!$A$5:$BD$1101,S$1,0)</f>
        <v>0</v>
      </c>
      <c r="T823" s="50">
        <f>VLOOKUP($A823,'[1]ma sp 02'!$A$5:$BD$1101,T$1,0)</f>
        <v>0</v>
      </c>
      <c r="U823" s="50">
        <f>VLOOKUP($A823,'[1]ma sp 02'!$A$5:$BD$1101,U$1,0)</f>
        <v>0</v>
      </c>
      <c r="V823" s="50">
        <f>VLOOKUP($A823,'[1]ma sp 02'!$A$5:$BD$1101,V$1,0)</f>
        <v>0</v>
      </c>
      <c r="W823" s="50">
        <f>VLOOKUP($A823,'[1]ma sp 02'!$A$5:$BD$1101,W$1,0)</f>
        <v>0</v>
      </c>
      <c r="X823" s="50"/>
      <c r="Y823" s="62"/>
      <c r="Z823" s="62"/>
      <c r="AA823" s="62"/>
      <c r="AB823" s="62"/>
      <c r="AC823" s="62"/>
      <c r="AD823" s="62"/>
      <c r="AE823" s="62" t="s">
        <v>2624</v>
      </c>
      <c r="AF823" s="62" t="s">
        <v>2625</v>
      </c>
      <c r="AG823" s="53">
        <f>(0.012*1.4+0.006*2.7+0.1*0.925)*0.77</f>
        <v>9.6634999999999999E-2</v>
      </c>
      <c r="AH823" s="54">
        <f>(2.3/0.75/2)*0.76</f>
        <v>1.1653333333333333</v>
      </c>
      <c r="AI823" s="54">
        <f t="shared" si="36"/>
        <v>1.1653333333333333</v>
      </c>
      <c r="AJ823" s="9">
        <v>9530</v>
      </c>
      <c r="AK823" s="62">
        <v>9530</v>
      </c>
      <c r="AL823" s="9" t="s">
        <v>1590</v>
      </c>
      <c r="AM823" s="61" t="s">
        <v>74</v>
      </c>
      <c r="AN823" s="62">
        <v>180</v>
      </c>
      <c r="AO823" s="61" t="s">
        <v>2626</v>
      </c>
      <c r="AP823" s="59" t="str">
        <f>IFERROR(VLOOKUP($A823,[2]Mssp!$A$5:$BE$1463,AP$4+1,0),0)</f>
        <v>20110982-1</v>
      </c>
      <c r="AQ823" s="59" t="str">
        <f>IFERROR(VLOOKUP($A823,[2]Mssp!$A$5:$BE$1463,AQ$4+1,0),0)</f>
        <v>20110982-2</v>
      </c>
      <c r="AR823" s="59" t="str">
        <f>IFERROR(VLOOKUP($A823,[2]Mssp!$A$5:$BE$1463,AR$4+1,0),0)</f>
        <v>20110982-3</v>
      </c>
      <c r="AS823" s="59" t="str">
        <f>IFERROR(VLOOKUP($A823,[2]Mssp!$A$5:$BE$1463,AS$4+1,0),0)</f>
        <v>20110982-4</v>
      </c>
      <c r="AT823" s="59" t="str">
        <f>IFERROR(VLOOKUP($A823,[2]Mssp!$A$5:$BE$1463,AT$4+1,0),0)</f>
        <v>20110982-5</v>
      </c>
      <c r="AU823" s="59" t="str">
        <f>IFERROR(VLOOKUP($A823,[2]Mssp!$A$5:$BE$1463,AU$4+1,0),0)</f>
        <v>20110982-6</v>
      </c>
      <c r="AV823" s="59">
        <f>IFERROR(VLOOKUP($A823,[2]Mssp!$A$5:$BE$1463,AV$4+1,0),0)</f>
        <v>0</v>
      </c>
      <c r="AW823" s="59">
        <f>IFERROR(VLOOKUP($A823,[2]Mssp!$A$5:$BE$1463,AW$4+1,0),0)</f>
        <v>0</v>
      </c>
      <c r="AX823" s="59">
        <f>IFERROR(VLOOKUP($A823,[2]Mssp!$A$5:$BE$1463,AX$4+1,0),0)</f>
        <v>0</v>
      </c>
      <c r="AY823" s="59" t="str">
        <f>IFERROR(VLOOKUP($A823,[2]Mssp!$A$5:$BE$1463,AY$4+2,0),0)</f>
        <v>540x870</v>
      </c>
      <c r="AZ823" s="59">
        <f>IFERROR(VLOOKUP($A823,[2]Mssp!$A$5:$BE$1463,AZ$4+2,0),0)</f>
        <v>0</v>
      </c>
      <c r="BA823" s="141"/>
      <c r="BB823" s="61"/>
      <c r="BC823" s="165"/>
      <c r="BD823" s="166"/>
      <c r="BE823" s="167"/>
      <c r="BF823" s="168"/>
      <c r="BG823" s="167"/>
      <c r="BH823" s="168"/>
      <c r="BI823" s="169"/>
      <c r="BJ823" s="168"/>
      <c r="BK823" s="134"/>
      <c r="BL823" s="168"/>
      <c r="BM823" s="167"/>
      <c r="BN823" s="168"/>
      <c r="BO823" s="62"/>
      <c r="BP823" s="168"/>
      <c r="BQ823" s="168"/>
      <c r="BR823" s="168"/>
      <c r="BS823" s="135"/>
      <c r="BT823" s="176"/>
      <c r="BU823" s="167"/>
      <c r="BV823" s="168"/>
      <c r="BW823" s="167"/>
      <c r="BX823" s="168"/>
      <c r="BY823" s="167"/>
      <c r="BZ823" s="176"/>
      <c r="CA823" s="167"/>
      <c r="CB823" s="168"/>
      <c r="CC823" s="167"/>
      <c r="CD823" s="168"/>
      <c r="CE823" s="62"/>
      <c r="CF823" s="62"/>
      <c r="CG823" s="9"/>
      <c r="CH823" s="9"/>
      <c r="CI823" s="9"/>
      <c r="CJ823" s="9"/>
      <c r="CK823" s="9"/>
      <c r="CL823" s="9"/>
      <c r="CM823" s="9"/>
      <c r="CN823" s="9"/>
      <c r="CO823" s="9"/>
      <c r="CP823" s="9"/>
    </row>
    <row r="824" spans="1:94" ht="30" x14ac:dyDescent="0.25">
      <c r="A824" s="127" t="s">
        <v>2629</v>
      </c>
      <c r="B824" s="51" t="s">
        <v>2630</v>
      </c>
      <c r="C824" s="62"/>
      <c r="D824" s="84">
        <v>3</v>
      </c>
      <c r="E824" s="62" t="s">
        <v>1985</v>
      </c>
      <c r="F824" s="62">
        <v>6</v>
      </c>
      <c r="G824" s="62"/>
      <c r="H824" s="50">
        <f>VLOOKUP($A824,'[1]ma sp 02'!$A$5:$BD$1101,H$1,0)</f>
        <v>0.01</v>
      </c>
      <c r="I824" s="50">
        <f>VLOOKUP($A824,'[1]ma sp 02'!$A$5:$BD$1101,I$1,0)</f>
        <v>5.6429999999999998</v>
      </c>
      <c r="J824" s="50">
        <f>VLOOKUP($A824,'[1]ma sp 02'!$A$5:$BD$1101,J$1,0)</f>
        <v>0.33200000000000002</v>
      </c>
      <c r="K824" s="50">
        <f>VLOOKUP($A824,'[1]ma sp 02'!$A$5:$BD$1101,K$1,0)</f>
        <v>0.83</v>
      </c>
      <c r="L824" s="50">
        <f>VLOOKUP($A824,'[1]ma sp 02'!$A$5:$BD$1101,L$1,0)</f>
        <v>1.66</v>
      </c>
      <c r="M824" s="50">
        <f>VLOOKUP($A824,'[1]ma sp 02'!$A$5:$BD$1101,M$1,0)</f>
        <v>0.66400000000000003</v>
      </c>
      <c r="N824" s="50">
        <f>VLOOKUP($A824,'[1]ma sp 02'!$A$5:$BD$1101,N$1,0)</f>
        <v>0</v>
      </c>
      <c r="O824" s="50">
        <f>VLOOKUP($A824,'[1]ma sp 02'!$A$5:$BD$1101,O$1,0)</f>
        <v>0.01</v>
      </c>
      <c r="P824" s="50">
        <f>VLOOKUP($A824,'[1]ma sp 02'!$A$5:$BD$1101,P$1,0)</f>
        <v>0</v>
      </c>
      <c r="Q824" s="50">
        <f>VLOOKUP($A824,'[1]ma sp 02'!$A$5:$BD$1101,Q$1,0)</f>
        <v>0</v>
      </c>
      <c r="R824" s="50">
        <f>VLOOKUP($A824,'[1]ma sp 02'!$A$5:$BD$1101,R$1,0)</f>
        <v>0</v>
      </c>
      <c r="S824" s="50">
        <f>VLOOKUP($A824,'[1]ma sp 02'!$A$5:$BD$1101,S$1,0)</f>
        <v>0</v>
      </c>
      <c r="T824" s="50">
        <f>VLOOKUP($A824,'[1]ma sp 02'!$A$5:$BD$1101,T$1,0)</f>
        <v>0</v>
      </c>
      <c r="U824" s="50">
        <f>VLOOKUP($A824,'[1]ma sp 02'!$A$5:$BD$1101,U$1,0)</f>
        <v>0</v>
      </c>
      <c r="V824" s="50">
        <f>VLOOKUP($A824,'[1]ma sp 02'!$A$5:$BD$1101,V$1,0)</f>
        <v>0</v>
      </c>
      <c r="W824" s="50">
        <f>VLOOKUP($A824,'[1]ma sp 02'!$A$5:$BD$1101,W$1,0)</f>
        <v>0</v>
      </c>
      <c r="X824" s="50"/>
      <c r="Y824" s="62"/>
      <c r="Z824" s="62"/>
      <c r="AA824" s="62"/>
      <c r="AB824" s="62"/>
      <c r="AC824" s="62"/>
      <c r="AD824" s="62"/>
      <c r="AE824" s="62" t="s">
        <v>456</v>
      </c>
      <c r="AF824" s="62" t="s">
        <v>1986</v>
      </c>
      <c r="AG824" s="53">
        <f>(0.03*0.91+0.0012*1.4+0.035*0.925)*0.77</f>
        <v>4.7243350000000003E-2</v>
      </c>
      <c r="AH824" s="54">
        <f>(2.3/0.75/2)*0.76</f>
        <v>1.1653333333333333</v>
      </c>
      <c r="AI824" s="54">
        <f t="shared" si="36"/>
        <v>1.1653333333333333</v>
      </c>
      <c r="AJ824" s="9">
        <v>9530</v>
      </c>
      <c r="AK824" s="62">
        <v>9530</v>
      </c>
      <c r="AL824" s="9" t="s">
        <v>1590</v>
      </c>
      <c r="AM824" s="61" t="s">
        <v>1489</v>
      </c>
      <c r="AN824" s="62">
        <v>165</v>
      </c>
      <c r="AO824" s="61" t="s">
        <v>1902</v>
      </c>
      <c r="AP824" s="59" t="str">
        <f>IFERROR(VLOOKUP($A824,[2]Mssp!$A$5:$BE$1463,AP$4+1,0),0)</f>
        <v>20111151-1</v>
      </c>
      <c r="AQ824" s="59" t="str">
        <f>IFERROR(VLOOKUP($A824,[2]Mssp!$A$5:$BE$1463,AQ$4+1,0),0)</f>
        <v>20111151-2</v>
      </c>
      <c r="AR824" s="59" t="str">
        <f>IFERROR(VLOOKUP($A824,[2]Mssp!$A$5:$BE$1463,AR$4+1,0),0)</f>
        <v>20111151-3</v>
      </c>
      <c r="AS824" s="59" t="str">
        <f>IFERROR(VLOOKUP($A824,[2]Mssp!$A$5:$BE$1463,AS$4+1,0),0)</f>
        <v>20111151-4</v>
      </c>
      <c r="AT824" s="59" t="str">
        <f>IFERROR(VLOOKUP($A824,[2]Mssp!$A$5:$BE$1463,AT$4+1,0),0)</f>
        <v>20110917-2</v>
      </c>
      <c r="AU824" s="59" t="str">
        <f>IFERROR(VLOOKUP($A824,[2]Mssp!$A$5:$BE$1463,AU$4+1,0),0)</f>
        <v>20110717-6</v>
      </c>
      <c r="AV824" s="59">
        <f>IFERROR(VLOOKUP($A824,[2]Mssp!$A$5:$BE$1463,AV$4+1,0),0)</f>
        <v>0</v>
      </c>
      <c r="AW824" s="59">
        <f>IFERROR(VLOOKUP($A824,[2]Mssp!$A$5:$BE$1463,AW$4+1,0),0)</f>
        <v>0</v>
      </c>
      <c r="AX824" s="59">
        <f>IFERROR(VLOOKUP($A824,[2]Mssp!$A$5:$BE$1463,AX$4+1,0),0)</f>
        <v>0</v>
      </c>
      <c r="AY824" s="59" t="str">
        <f>IFERROR(VLOOKUP($A824,[2]Mssp!$A$5:$BE$1463,AY$4+2,0),0)</f>
        <v>495x870</v>
      </c>
      <c r="AZ824" s="59">
        <f>IFERROR(VLOOKUP($A824,[2]Mssp!$A$5:$BE$1463,AZ$4+2,0),0)</f>
        <v>0</v>
      </c>
      <c r="BA824" s="141"/>
      <c r="BB824" s="61" t="s">
        <v>952</v>
      </c>
      <c r="BC824" s="165"/>
      <c r="BD824" s="166"/>
      <c r="BE824" s="167"/>
      <c r="BF824" s="168"/>
      <c r="BG824" s="167"/>
      <c r="BH824" s="168"/>
      <c r="BI824" s="169"/>
      <c r="BJ824" s="168"/>
      <c r="BK824" s="134"/>
      <c r="BL824" s="168"/>
      <c r="BM824" s="167"/>
      <c r="BN824" s="168"/>
      <c r="BO824" s="62"/>
      <c r="BP824" s="168"/>
      <c r="BQ824" s="168"/>
      <c r="BR824" s="168"/>
      <c r="BS824" s="135"/>
      <c r="BT824" s="176"/>
      <c r="BU824" s="167"/>
      <c r="BV824" s="168"/>
      <c r="BW824" s="167"/>
      <c r="BX824" s="168"/>
      <c r="BY824" s="167"/>
      <c r="BZ824" s="176"/>
      <c r="CA824" s="167"/>
      <c r="CB824" s="168"/>
      <c r="CC824" s="167"/>
      <c r="CD824" s="168"/>
      <c r="CE824" s="62"/>
      <c r="CF824" s="62"/>
      <c r="CG824" s="9"/>
      <c r="CH824" s="9"/>
      <c r="CI824" s="9"/>
      <c r="CJ824" s="9"/>
      <c r="CK824" s="9"/>
      <c r="CL824" s="9"/>
      <c r="CM824" s="9"/>
      <c r="CN824" s="9"/>
      <c r="CO824" s="9"/>
      <c r="CP824" s="9"/>
    </row>
    <row r="825" spans="1:94" ht="30" x14ac:dyDescent="0.25">
      <c r="A825" s="127" t="s">
        <v>2631</v>
      </c>
      <c r="B825" s="51" t="s">
        <v>2632</v>
      </c>
      <c r="C825" s="62"/>
      <c r="D825" s="84">
        <v>2</v>
      </c>
      <c r="E825" s="62" t="s">
        <v>1422</v>
      </c>
      <c r="F825" s="62">
        <v>6</v>
      </c>
      <c r="G825" s="62"/>
      <c r="H825" s="50">
        <f>VLOOKUP($A825,'[1]ma sp 02'!$A$5:$BD$1101,H$1,0)</f>
        <v>0.01</v>
      </c>
      <c r="I825" s="50">
        <f>VLOOKUP($A825,'[1]ma sp 02'!$A$5:$BD$1101,I$1,0)</f>
        <v>2.16</v>
      </c>
      <c r="J825" s="50">
        <f>VLOOKUP($A825,'[1]ma sp 02'!$A$5:$BD$1101,J$1,0)</f>
        <v>0.72099999999999997</v>
      </c>
      <c r="K825" s="50">
        <f>VLOOKUP($A825,'[1]ma sp 02'!$A$5:$BD$1101,K$1,0)</f>
        <v>1.0089999999999999</v>
      </c>
      <c r="L825" s="50">
        <f>VLOOKUP($A825,'[1]ma sp 02'!$A$5:$BD$1101,L$1,0)</f>
        <v>5.9080000000000004</v>
      </c>
      <c r="M825" s="50">
        <f>VLOOKUP($A825,'[1]ma sp 02'!$A$5:$BD$1101,M$1,0)</f>
        <v>1.7290000000000001</v>
      </c>
      <c r="N825" s="50">
        <f>VLOOKUP($A825,'[1]ma sp 02'!$A$5:$BD$1101,N$1,0)</f>
        <v>0</v>
      </c>
      <c r="O825" s="50">
        <f>VLOOKUP($A825,'[1]ma sp 02'!$A$5:$BD$1101,O$1,0)</f>
        <v>0</v>
      </c>
      <c r="P825" s="50">
        <f>VLOOKUP($A825,'[1]ma sp 02'!$A$5:$BD$1101,P$1,0)</f>
        <v>0.01</v>
      </c>
      <c r="Q825" s="50">
        <f>VLOOKUP($A825,'[1]ma sp 02'!$A$5:$BD$1101,Q$1,0)</f>
        <v>0</v>
      </c>
      <c r="R825" s="50">
        <f>VLOOKUP($A825,'[1]ma sp 02'!$A$5:$BD$1101,R$1,0)</f>
        <v>0</v>
      </c>
      <c r="S825" s="50">
        <f>VLOOKUP($A825,'[1]ma sp 02'!$A$5:$BD$1101,S$1,0)</f>
        <v>0</v>
      </c>
      <c r="T825" s="50">
        <f>VLOOKUP($A825,'[1]ma sp 02'!$A$5:$BD$1101,T$1,0)</f>
        <v>0</v>
      </c>
      <c r="U825" s="50">
        <f>VLOOKUP($A825,'[1]ma sp 02'!$A$5:$BD$1101,U$1,0)</f>
        <v>0</v>
      </c>
      <c r="V825" s="50">
        <f>VLOOKUP($A825,'[1]ma sp 02'!$A$5:$BD$1101,V$1,0)</f>
        <v>0</v>
      </c>
      <c r="W825" s="50">
        <f>VLOOKUP($A825,'[1]ma sp 02'!$A$5:$BD$1101,W$1,0)</f>
        <v>0</v>
      </c>
      <c r="X825" s="50"/>
      <c r="Y825" s="62"/>
      <c r="Z825" s="62"/>
      <c r="AA825" s="62"/>
      <c r="AB825" s="62"/>
      <c r="AC825" s="62"/>
      <c r="AD825" s="62"/>
      <c r="AE825" s="62" t="s">
        <v>78</v>
      </c>
      <c r="AF825" s="62" t="s">
        <v>1827</v>
      </c>
      <c r="AG825" s="53">
        <f>(0.02*1.4+0.012*1.4+0.07*0.925)*0.62</f>
        <v>6.7921000000000009E-2</v>
      </c>
      <c r="AH825" s="54">
        <f>(2.3/0.75/2)*0.61</f>
        <v>0.93533333333333324</v>
      </c>
      <c r="AI825" s="54">
        <f>(3/0.75/2)*0.61</f>
        <v>1.22</v>
      </c>
      <c r="AJ825" s="9">
        <v>9530</v>
      </c>
      <c r="AK825" s="62">
        <v>9530</v>
      </c>
      <c r="AL825" s="9" t="s">
        <v>2579</v>
      </c>
      <c r="AM825" s="61" t="s">
        <v>1893</v>
      </c>
      <c r="AN825" s="62">
        <v>340</v>
      </c>
      <c r="AO825" s="61" t="s">
        <v>332</v>
      </c>
      <c r="AP825" s="59">
        <f>IFERROR(VLOOKUP($A825,[2]Mssp!$A$5:$BE$1463,AP$4+1,0),0)</f>
        <v>0</v>
      </c>
      <c r="AQ825" s="59">
        <f>IFERROR(VLOOKUP($A825,[2]Mssp!$A$5:$BE$1463,AQ$4+1,0),0)</f>
        <v>0</v>
      </c>
      <c r="AR825" s="59">
        <f>IFERROR(VLOOKUP($A825,[2]Mssp!$A$5:$BE$1463,AR$4+1,0),0)</f>
        <v>0</v>
      </c>
      <c r="AS825" s="59">
        <f>IFERROR(VLOOKUP($A825,[2]Mssp!$A$5:$BE$1463,AS$4+1,0),0)</f>
        <v>0</v>
      </c>
      <c r="AT825" s="59">
        <f>IFERROR(VLOOKUP($A825,[2]Mssp!$A$5:$BE$1463,AT$4+1,0),0)</f>
        <v>0</v>
      </c>
      <c r="AU825" s="59">
        <f>IFERROR(VLOOKUP($A825,[2]Mssp!$A$5:$BE$1463,AU$4+1,0),0)</f>
        <v>0</v>
      </c>
      <c r="AV825" s="59">
        <f>IFERROR(VLOOKUP($A825,[2]Mssp!$A$5:$BE$1463,AV$4+1,0),0)</f>
        <v>0</v>
      </c>
      <c r="AW825" s="59">
        <f>IFERROR(VLOOKUP($A825,[2]Mssp!$A$5:$BE$1463,AW$4+1,0),0)</f>
        <v>0</v>
      </c>
      <c r="AX825" s="59">
        <f>IFERROR(VLOOKUP($A825,[2]Mssp!$A$5:$BE$1463,AX$4+1,0),0)</f>
        <v>0</v>
      </c>
      <c r="AY825" s="59">
        <f>IFERROR(VLOOKUP($A825,[2]Mssp!$A$5:$BE$1463,AY$4+2,0),0)</f>
        <v>0</v>
      </c>
      <c r="AZ825" s="59">
        <f>IFERROR(VLOOKUP($A825,[2]Mssp!$A$5:$BE$1463,AZ$4+2,0),0)</f>
        <v>0</v>
      </c>
      <c r="BA825" s="141"/>
      <c r="BB825" s="61" t="s">
        <v>1894</v>
      </c>
      <c r="BC825" s="165"/>
      <c r="BD825" s="166"/>
      <c r="BE825" s="167"/>
      <c r="BF825" s="168"/>
      <c r="BG825" s="167"/>
      <c r="BH825" s="168"/>
      <c r="BI825" s="169"/>
      <c r="BJ825" s="168"/>
      <c r="BK825" s="134"/>
      <c r="BL825" s="168"/>
      <c r="BM825" s="167"/>
      <c r="BN825" s="168"/>
      <c r="BO825" s="62"/>
      <c r="BP825" s="168"/>
      <c r="BQ825" s="168"/>
      <c r="BR825" s="168"/>
      <c r="BS825" s="135"/>
      <c r="BT825" s="176"/>
      <c r="BU825" s="167"/>
      <c r="BV825" s="168"/>
      <c r="BW825" s="167"/>
      <c r="BX825" s="168"/>
      <c r="BY825" s="167"/>
      <c r="BZ825" s="176"/>
      <c r="CA825" s="167"/>
      <c r="CB825" s="168"/>
      <c r="CC825" s="167"/>
      <c r="CD825" s="168"/>
      <c r="CE825" s="62"/>
      <c r="CF825" s="62"/>
      <c r="CG825" s="9"/>
      <c r="CH825" s="9"/>
      <c r="CI825" s="9"/>
      <c r="CJ825" s="9"/>
      <c r="CK825" s="9"/>
      <c r="CL825" s="9"/>
      <c r="CM825" s="9"/>
      <c r="CN825" s="9"/>
      <c r="CO825" s="9"/>
      <c r="CP825" s="9"/>
    </row>
    <row r="826" spans="1:94" ht="30" x14ac:dyDescent="0.25">
      <c r="A826" s="127" t="s">
        <v>2633</v>
      </c>
      <c r="B826" s="51" t="s">
        <v>2634</v>
      </c>
      <c r="C826" s="62"/>
      <c r="D826" s="84">
        <v>2</v>
      </c>
      <c r="E826" s="62" t="s">
        <v>1422</v>
      </c>
      <c r="F826" s="62">
        <v>6</v>
      </c>
      <c r="G826" s="62"/>
      <c r="H826" s="50">
        <f>VLOOKUP($A826,'[1]ma sp 02'!$A$5:$BD$1101,H$1,0)</f>
        <v>0.27700000000000002</v>
      </c>
      <c r="I826" s="50">
        <f>VLOOKUP($A826,'[1]ma sp 02'!$A$5:$BD$1101,I$1,0)</f>
        <v>0.83</v>
      </c>
      <c r="J826" s="50">
        <f>VLOOKUP($A826,'[1]ma sp 02'!$A$5:$BD$1101,J$1,0)</f>
        <v>0.41499999999999998</v>
      </c>
      <c r="K826" s="50">
        <f>VLOOKUP($A826,'[1]ma sp 02'!$A$5:$BD$1101,K$1,0)</f>
        <v>0</v>
      </c>
      <c r="L826" s="50">
        <f>VLOOKUP($A826,'[1]ma sp 02'!$A$5:$BD$1101,L$1,0)</f>
        <v>0</v>
      </c>
      <c r="M826" s="50">
        <f>VLOOKUP($A826,'[1]ma sp 02'!$A$5:$BD$1101,M$1,0)</f>
        <v>2.12</v>
      </c>
      <c r="N826" s="50">
        <f>VLOOKUP($A826,'[1]ma sp 02'!$A$5:$BD$1101,N$1,0)</f>
        <v>0</v>
      </c>
      <c r="O826" s="50">
        <f>VLOOKUP($A826,'[1]ma sp 02'!$A$5:$BD$1101,O$1,0)</f>
        <v>0</v>
      </c>
      <c r="P826" s="50">
        <f>VLOOKUP($A826,'[1]ma sp 02'!$A$5:$BD$1101,P$1,0)</f>
        <v>0</v>
      </c>
      <c r="Q826" s="50">
        <f>VLOOKUP($A826,'[1]ma sp 02'!$A$5:$BD$1101,Q$1,0)</f>
        <v>0</v>
      </c>
      <c r="R826" s="50">
        <f>VLOOKUP($A826,'[1]ma sp 02'!$A$5:$BD$1101,R$1,0)</f>
        <v>0</v>
      </c>
      <c r="S826" s="50">
        <f>VLOOKUP($A826,'[1]ma sp 02'!$A$5:$BD$1101,S$1,0)</f>
        <v>0</v>
      </c>
      <c r="T826" s="50">
        <f>VLOOKUP($A826,'[1]ma sp 02'!$A$5:$BD$1101,T$1,0)</f>
        <v>0</v>
      </c>
      <c r="U826" s="50">
        <f>VLOOKUP($A826,'[1]ma sp 02'!$A$5:$BD$1101,U$1,0)</f>
        <v>0</v>
      </c>
      <c r="V826" s="50">
        <f>VLOOKUP($A826,'[1]ma sp 02'!$A$5:$BD$1101,V$1,0)</f>
        <v>0</v>
      </c>
      <c r="W826" s="50">
        <f>VLOOKUP($A826,'[1]ma sp 02'!$A$5:$BD$1101,W$1,0)</f>
        <v>0</v>
      </c>
      <c r="X826" s="50"/>
      <c r="Y826" s="62"/>
      <c r="Z826" s="62"/>
      <c r="AA826" s="62"/>
      <c r="AB826" s="62"/>
      <c r="AC826" s="62"/>
      <c r="AD826" s="62"/>
      <c r="AE826" s="62" t="s">
        <v>78</v>
      </c>
      <c r="AF826" s="62" t="s">
        <v>1827</v>
      </c>
      <c r="AG826" s="53">
        <f>(0.02*1.4+0.012*1.4+0.07*0.925)*0.62</f>
        <v>6.7921000000000009E-2</v>
      </c>
      <c r="AH826" s="54">
        <f>(2.3/0.75/2)*0.61</f>
        <v>0.93533333333333324</v>
      </c>
      <c r="AI826" s="54">
        <f>(3/0.75/2)*0.61</f>
        <v>1.22</v>
      </c>
      <c r="AJ826" s="9">
        <v>9530</v>
      </c>
      <c r="AK826" s="62">
        <v>9530</v>
      </c>
      <c r="AL826" s="9" t="s">
        <v>2579</v>
      </c>
      <c r="AM826" s="61" t="s">
        <v>1893</v>
      </c>
      <c r="AN826" s="62">
        <v>340</v>
      </c>
      <c r="AO826" s="61" t="s">
        <v>332</v>
      </c>
      <c r="AP826" s="59">
        <f>IFERROR(VLOOKUP($A826,[2]Mssp!$A$5:$BE$1463,AP$4+1,0),0)</f>
        <v>0</v>
      </c>
      <c r="AQ826" s="59">
        <f>IFERROR(VLOOKUP($A826,[2]Mssp!$A$5:$BE$1463,AQ$4+1,0),0)</f>
        <v>0</v>
      </c>
      <c r="AR826" s="59">
        <f>IFERROR(VLOOKUP($A826,[2]Mssp!$A$5:$BE$1463,AR$4+1,0),0)</f>
        <v>0</v>
      </c>
      <c r="AS826" s="59">
        <f>IFERROR(VLOOKUP($A826,[2]Mssp!$A$5:$BE$1463,AS$4+1,0),0)</f>
        <v>0</v>
      </c>
      <c r="AT826" s="59">
        <f>IFERROR(VLOOKUP($A826,[2]Mssp!$A$5:$BE$1463,AT$4+1,0),0)</f>
        <v>0</v>
      </c>
      <c r="AU826" s="59">
        <f>IFERROR(VLOOKUP($A826,[2]Mssp!$A$5:$BE$1463,AU$4+1,0),0)</f>
        <v>0</v>
      </c>
      <c r="AV826" s="59">
        <f>IFERROR(VLOOKUP($A826,[2]Mssp!$A$5:$BE$1463,AV$4+1,0),0)</f>
        <v>0</v>
      </c>
      <c r="AW826" s="59">
        <f>IFERROR(VLOOKUP($A826,[2]Mssp!$A$5:$BE$1463,AW$4+1,0),0)</f>
        <v>0</v>
      </c>
      <c r="AX826" s="59">
        <f>IFERROR(VLOOKUP($A826,[2]Mssp!$A$5:$BE$1463,AX$4+1,0),0)</f>
        <v>0</v>
      </c>
      <c r="AY826" s="59">
        <f>IFERROR(VLOOKUP($A826,[2]Mssp!$A$5:$BE$1463,AY$4+2,0),0)</f>
        <v>0</v>
      </c>
      <c r="AZ826" s="59">
        <f>IFERROR(VLOOKUP($A826,[2]Mssp!$A$5:$BE$1463,AZ$4+2,0),0)</f>
        <v>0</v>
      </c>
      <c r="BA826" s="141"/>
      <c r="BB826" s="61"/>
      <c r="BC826" s="165"/>
      <c r="BD826" s="166"/>
      <c r="BE826" s="167"/>
      <c r="BF826" s="168"/>
      <c r="BG826" s="167"/>
      <c r="BH826" s="168"/>
      <c r="BI826" s="169"/>
      <c r="BJ826" s="168"/>
      <c r="BK826" s="134"/>
      <c r="BL826" s="168"/>
      <c r="BM826" s="167"/>
      <c r="BN826" s="168"/>
      <c r="BO826" s="62"/>
      <c r="BP826" s="168"/>
      <c r="BQ826" s="168"/>
      <c r="BR826" s="168"/>
      <c r="BS826" s="135"/>
      <c r="BT826" s="176"/>
      <c r="BU826" s="167"/>
      <c r="BV826" s="168"/>
      <c r="BW826" s="167"/>
      <c r="BX826" s="168"/>
      <c r="BY826" s="167"/>
      <c r="BZ826" s="176"/>
      <c r="CA826" s="167"/>
      <c r="CB826" s="168"/>
      <c r="CC826" s="167"/>
      <c r="CD826" s="168"/>
      <c r="CE826" s="62"/>
      <c r="CF826" s="62"/>
      <c r="CG826" s="9"/>
      <c r="CH826" s="9"/>
      <c r="CI826" s="9"/>
      <c r="CJ826" s="9"/>
      <c r="CK826" s="9"/>
      <c r="CL826" s="9"/>
      <c r="CM826" s="9"/>
      <c r="CN826" s="9"/>
      <c r="CO826" s="9"/>
      <c r="CP826" s="9"/>
    </row>
    <row r="827" spans="1:94" ht="30" x14ac:dyDescent="0.25">
      <c r="A827" s="127" t="s">
        <v>2635</v>
      </c>
      <c r="B827" s="51" t="s">
        <v>2636</v>
      </c>
      <c r="C827" s="62"/>
      <c r="D827" s="84">
        <v>4</v>
      </c>
      <c r="E827" s="62" t="s">
        <v>2517</v>
      </c>
      <c r="F827" s="62">
        <v>1</v>
      </c>
      <c r="G827" s="62"/>
      <c r="H827" s="50">
        <f>VLOOKUP($A827,'[1]ma sp 02'!$A$5:$BD$1101,H$1,0)</f>
        <v>0</v>
      </c>
      <c r="I827" s="50">
        <f>VLOOKUP($A827,'[1]ma sp 02'!$A$5:$BD$1101,I$1,0)</f>
        <v>0.29899999999999999</v>
      </c>
      <c r="J827" s="50">
        <f>VLOOKUP($A827,'[1]ma sp 02'!$A$5:$BD$1101,J$1,0)</f>
        <v>0.12</v>
      </c>
      <c r="K827" s="50">
        <f>VLOOKUP($A827,'[1]ma sp 02'!$A$5:$BD$1101,K$1,0)</f>
        <v>0</v>
      </c>
      <c r="L827" s="50">
        <f>VLOOKUP($A827,'[1]ma sp 02'!$A$5:$BD$1101,L$1,0)</f>
        <v>0.12</v>
      </c>
      <c r="M827" s="50">
        <f>VLOOKUP($A827,'[1]ma sp 02'!$A$5:$BD$1101,M$1,0)</f>
        <v>0</v>
      </c>
      <c r="N827" s="50">
        <f>VLOOKUP($A827,'[1]ma sp 02'!$A$5:$BD$1101,N$1,0)</f>
        <v>0</v>
      </c>
      <c r="O827" s="50">
        <f>VLOOKUP($A827,'[1]ma sp 02'!$A$5:$BD$1101,O$1,0)</f>
        <v>0</v>
      </c>
      <c r="P827" s="50">
        <f>VLOOKUP($A827,'[1]ma sp 02'!$A$5:$BD$1101,P$1,0)</f>
        <v>0</v>
      </c>
      <c r="Q827" s="50">
        <f>VLOOKUP($A827,'[1]ma sp 02'!$A$5:$BD$1101,Q$1,0)</f>
        <v>0</v>
      </c>
      <c r="R827" s="50">
        <f>VLOOKUP($A827,'[1]ma sp 02'!$A$5:$BD$1101,R$1,0)</f>
        <v>0</v>
      </c>
      <c r="S827" s="50">
        <f>VLOOKUP($A827,'[1]ma sp 02'!$A$5:$BD$1101,S$1,0)</f>
        <v>0.01</v>
      </c>
      <c r="T827" s="50">
        <f>VLOOKUP($A827,'[1]ma sp 02'!$A$5:$BD$1101,T$1,0)</f>
        <v>0</v>
      </c>
      <c r="U827" s="50">
        <f>VLOOKUP($A827,'[1]ma sp 02'!$A$5:$BD$1101,U$1,0)</f>
        <v>0</v>
      </c>
      <c r="V827" s="50">
        <f>VLOOKUP($A827,'[1]ma sp 02'!$A$5:$BD$1101,V$1,0)</f>
        <v>0</v>
      </c>
      <c r="W827" s="50">
        <f>VLOOKUP($A827,'[1]ma sp 02'!$A$5:$BD$1101,W$1,0)</f>
        <v>0</v>
      </c>
      <c r="X827" s="50"/>
      <c r="Y827" s="62"/>
      <c r="Z827" s="62"/>
      <c r="AA827" s="62"/>
      <c r="AB827" s="62"/>
      <c r="AC827" s="62"/>
      <c r="AD827" s="62"/>
      <c r="AE827" s="62" t="s">
        <v>2637</v>
      </c>
      <c r="AF827" s="62"/>
      <c r="AG827" s="53">
        <f>(0.02*0.91+0.03*0.925)*1.06</f>
        <v>4.8707000000000007E-2</v>
      </c>
      <c r="AH827" s="54">
        <f>(2/0.75/2)*1.05</f>
        <v>1.4</v>
      </c>
      <c r="AI827" s="54"/>
      <c r="AJ827" s="9">
        <v>9530</v>
      </c>
      <c r="AK827" s="62"/>
      <c r="AL827" s="9">
        <v>2E-3</v>
      </c>
      <c r="AM827" s="61" t="s">
        <v>1489</v>
      </c>
      <c r="AN827" s="62">
        <v>175</v>
      </c>
      <c r="AO827" s="61" t="s">
        <v>2638</v>
      </c>
      <c r="AP827" s="59" t="str">
        <f>IFERROR(VLOOKUP($A827,[2]Mssp!$A$5:$BE$1463,AP$4+1,0),0)</f>
        <v>X110340-1</v>
      </c>
      <c r="AQ827" s="59">
        <f>IFERROR(VLOOKUP($A827,[2]Mssp!$A$5:$BE$1463,AQ$4+1,0),0)</f>
        <v>0</v>
      </c>
      <c r="AR827" s="59">
        <f>IFERROR(VLOOKUP($A827,[2]Mssp!$A$5:$BE$1463,AR$4+1,0),0)</f>
        <v>0</v>
      </c>
      <c r="AS827" s="59">
        <f>IFERROR(VLOOKUP($A827,[2]Mssp!$A$5:$BE$1463,AS$4+1,0),0)</f>
        <v>0</v>
      </c>
      <c r="AT827" s="59">
        <f>IFERROR(VLOOKUP($A827,[2]Mssp!$A$5:$BE$1463,AT$4+1,0),0)</f>
        <v>0</v>
      </c>
      <c r="AU827" s="59">
        <f>IFERROR(VLOOKUP($A827,[2]Mssp!$A$5:$BE$1463,AU$4+1,0),0)</f>
        <v>0</v>
      </c>
      <c r="AV827" s="59">
        <f>IFERROR(VLOOKUP($A827,[2]Mssp!$A$5:$BE$1463,AV$4+1,0),0)</f>
        <v>0</v>
      </c>
      <c r="AW827" s="59">
        <f>IFERROR(VLOOKUP($A827,[2]Mssp!$A$5:$BE$1463,AW$4+1,0),0)</f>
        <v>0</v>
      </c>
      <c r="AX827" s="59">
        <f>IFERROR(VLOOKUP($A827,[2]Mssp!$A$5:$BE$1463,AX$4+1,0),0)</f>
        <v>0</v>
      </c>
      <c r="AY827" s="59" t="str">
        <f>IFERROR(VLOOKUP($A827,[2]Mssp!$A$5:$BE$1463,AY$4+2,0),0)</f>
        <v>525x1150</v>
      </c>
      <c r="AZ827" s="59">
        <f>IFERROR(VLOOKUP($A827,[2]Mssp!$A$5:$BE$1463,AZ$4+2,0),0)</f>
        <v>0</v>
      </c>
      <c r="BA827" s="141"/>
      <c r="BB827" s="61"/>
      <c r="BC827" s="165"/>
      <c r="BD827" s="166"/>
      <c r="BE827" s="167"/>
      <c r="BF827" s="168"/>
      <c r="BG827" s="167"/>
      <c r="BH827" s="168"/>
      <c r="BI827" s="169"/>
      <c r="BJ827" s="168"/>
      <c r="BK827" s="134"/>
      <c r="BL827" s="168"/>
      <c r="BM827" s="167"/>
      <c r="BN827" s="168"/>
      <c r="BO827" s="62"/>
      <c r="BP827" s="168"/>
      <c r="BQ827" s="168"/>
      <c r="BR827" s="168"/>
      <c r="BS827" s="135"/>
      <c r="BT827" s="176"/>
      <c r="BU827" s="167"/>
      <c r="BV827" s="168"/>
      <c r="BW827" s="167"/>
      <c r="BX827" s="168"/>
      <c r="BY827" s="167"/>
      <c r="BZ827" s="176"/>
      <c r="CA827" s="167"/>
      <c r="CB827" s="168"/>
      <c r="CC827" s="167"/>
      <c r="CD827" s="168"/>
      <c r="CE827" s="62"/>
      <c r="CF827" s="62"/>
      <c r="CG827" s="9"/>
      <c r="CH827" s="9"/>
      <c r="CI827" s="9"/>
      <c r="CJ827" s="9"/>
      <c r="CK827" s="9"/>
      <c r="CL827" s="9"/>
      <c r="CM827" s="9"/>
      <c r="CN827" s="9"/>
      <c r="CO827" s="9"/>
      <c r="CP827" s="9"/>
    </row>
    <row r="828" spans="1:94" ht="45" x14ac:dyDescent="0.25">
      <c r="A828" s="127" t="s">
        <v>2639</v>
      </c>
      <c r="B828" s="51" t="s">
        <v>2640</v>
      </c>
      <c r="C828" s="62"/>
      <c r="D828" s="84">
        <v>1</v>
      </c>
      <c r="E828" s="62" t="s">
        <v>547</v>
      </c>
      <c r="F828" s="62">
        <v>6</v>
      </c>
      <c r="G828" s="62"/>
      <c r="H828" s="50">
        <f>VLOOKUP($A828,'[1]ma sp 02'!$A$5:$BD$1101,H$1,0)</f>
        <v>0.36199999999999999</v>
      </c>
      <c r="I828" s="50">
        <f>VLOOKUP($A828,'[1]ma sp 02'!$A$5:$BD$1101,I$1,0)</f>
        <v>0.48299999999999998</v>
      </c>
      <c r="J828" s="50">
        <f>VLOOKUP($A828,'[1]ma sp 02'!$A$5:$BD$1101,J$1,0)</f>
        <v>0.24199999999999999</v>
      </c>
      <c r="K828" s="50">
        <f>VLOOKUP($A828,'[1]ma sp 02'!$A$5:$BD$1101,K$1,0)</f>
        <v>2.2949999999999999</v>
      </c>
      <c r="L828" s="50">
        <f>VLOOKUP($A828,'[1]ma sp 02'!$A$5:$BD$1101,L$1,0)</f>
        <v>0.12</v>
      </c>
      <c r="M828" s="50">
        <f>VLOOKUP($A828,'[1]ma sp 02'!$A$5:$BD$1101,M$1,0)</f>
        <v>0</v>
      </c>
      <c r="N828" s="50">
        <f>VLOOKUP($A828,'[1]ma sp 02'!$A$5:$BD$1101,N$1,0)</f>
        <v>0</v>
      </c>
      <c r="O828" s="50">
        <f>VLOOKUP($A828,'[1]ma sp 02'!$A$5:$BD$1101,O$1,0)</f>
        <v>0</v>
      </c>
      <c r="P828" s="50">
        <f>VLOOKUP($A828,'[1]ma sp 02'!$A$5:$BD$1101,P$1,0)</f>
        <v>0</v>
      </c>
      <c r="Q828" s="50">
        <f>VLOOKUP($A828,'[1]ma sp 02'!$A$5:$BD$1101,Q$1,0)</f>
        <v>0</v>
      </c>
      <c r="R828" s="50">
        <f>VLOOKUP($A828,'[1]ma sp 02'!$A$5:$BD$1101,R$1,0)</f>
        <v>0</v>
      </c>
      <c r="S828" s="50">
        <f>VLOOKUP($A828,'[1]ma sp 02'!$A$5:$BD$1101,S$1,0)</f>
        <v>0</v>
      </c>
      <c r="T828" s="50">
        <f>VLOOKUP($A828,'[1]ma sp 02'!$A$5:$BD$1101,T$1,0)</f>
        <v>0</v>
      </c>
      <c r="U828" s="50">
        <f>VLOOKUP($A828,'[1]ma sp 02'!$A$5:$BD$1101,U$1,0)</f>
        <v>0</v>
      </c>
      <c r="V828" s="50">
        <f>VLOOKUP($A828,'[1]ma sp 02'!$A$5:$BD$1101,V$1,0)</f>
        <v>0</v>
      </c>
      <c r="W828" s="50">
        <f>VLOOKUP($A828,'[1]ma sp 02'!$A$5:$BD$1101,W$1,0)</f>
        <v>0</v>
      </c>
      <c r="X828" s="50"/>
      <c r="Y828" s="62"/>
      <c r="Z828" s="62"/>
      <c r="AA828" s="62"/>
      <c r="AB828" s="62"/>
      <c r="AC828" s="62"/>
      <c r="AD828" s="62"/>
      <c r="AE828" s="62" t="s">
        <v>2641</v>
      </c>
      <c r="AF828" s="62" t="s">
        <v>2642</v>
      </c>
      <c r="AG828" s="53">
        <f>(0.012*1.4+0.015*2.71+0.15*0.94)*0.71</f>
        <v>0.14089949999999998</v>
      </c>
      <c r="AH828" s="54">
        <f>(3/0.75/2)*0.7</f>
        <v>1.4</v>
      </c>
      <c r="AI828" s="54">
        <f>(3.5/0.75/2)*0.7</f>
        <v>1.6333333333333333</v>
      </c>
      <c r="AJ828" s="9">
        <v>9530</v>
      </c>
      <c r="AK828" s="62">
        <v>6260</v>
      </c>
      <c r="AL828" s="9" t="s">
        <v>2537</v>
      </c>
      <c r="AM828" s="61" t="s">
        <v>1033</v>
      </c>
      <c r="AN828" s="62">
        <v>210</v>
      </c>
      <c r="AO828" s="61" t="s">
        <v>2643</v>
      </c>
      <c r="AP828" s="59" t="str">
        <f>IFERROR(VLOOKUP($A828,[2]Mssp!$A$5:$BE$1463,AP$4+1,0),0)</f>
        <v>X110367-1</v>
      </c>
      <c r="AQ828" s="59" t="str">
        <f>IFERROR(VLOOKUP($A828,[2]Mssp!$A$5:$BE$1463,AQ$4+1,0),0)</f>
        <v>X110367-2</v>
      </c>
      <c r="AR828" s="59" t="str">
        <f>IFERROR(VLOOKUP($A828,[2]Mssp!$A$5:$BE$1463,AR$4+1,0),0)</f>
        <v>X110367-3</v>
      </c>
      <c r="AS828" s="59" t="str">
        <f>IFERROR(VLOOKUP($A828,[2]Mssp!$A$5:$BE$1463,AS$4+1,0),0)</f>
        <v>X110367-4</v>
      </c>
      <c r="AT828" s="59" t="str">
        <f>IFERROR(VLOOKUP($A828,[2]Mssp!$A$5:$BE$1463,AT$4+1,0),0)</f>
        <v>X110367-5</v>
      </c>
      <c r="AU828" s="59" t="str">
        <f>IFERROR(VLOOKUP($A828,[2]Mssp!$A$5:$BE$1463,AU$4+1,0),0)</f>
        <v>X110367-6</v>
      </c>
      <c r="AV828" s="59">
        <f>IFERROR(VLOOKUP($A828,[2]Mssp!$A$5:$BE$1463,AV$4+1,0),0)</f>
        <v>0</v>
      </c>
      <c r="AW828" s="59">
        <f>IFERROR(VLOOKUP($A828,[2]Mssp!$A$5:$BE$1463,AW$4+1,0),0)</f>
        <v>0</v>
      </c>
      <c r="AX828" s="59">
        <f>IFERROR(VLOOKUP($A828,[2]Mssp!$A$5:$BE$1463,AX$4+1,0),0)</f>
        <v>0</v>
      </c>
      <c r="AY828" s="59" t="str">
        <f>IFERROR(VLOOKUP($A828,[2]Mssp!$A$5:$BE$1463,AY$4+2,0),0)</f>
        <v>420x870</v>
      </c>
      <c r="AZ828" s="59">
        <f>IFERROR(VLOOKUP($A828,[2]Mssp!$A$5:$BE$1463,AZ$4+2,0),0)</f>
        <v>0</v>
      </c>
      <c r="BA828" s="141"/>
      <c r="BB828" s="61" t="s">
        <v>1894</v>
      </c>
      <c r="BC828" s="165"/>
      <c r="BD828" s="166"/>
      <c r="BE828" s="167"/>
      <c r="BF828" s="168"/>
      <c r="BG828" s="167"/>
      <c r="BH828" s="168"/>
      <c r="BI828" s="169"/>
      <c r="BJ828" s="168"/>
      <c r="BK828" s="134"/>
      <c r="BL828" s="168"/>
      <c r="BM828" s="167"/>
      <c r="BN828" s="168"/>
      <c r="BO828" s="62"/>
      <c r="BP828" s="168"/>
      <c r="BQ828" s="168"/>
      <c r="BR828" s="168"/>
      <c r="BS828" s="135"/>
      <c r="BT828" s="176"/>
      <c r="BU828" s="167"/>
      <c r="BV828" s="168"/>
      <c r="BW828" s="167"/>
      <c r="BX828" s="168"/>
      <c r="BY828" s="167"/>
      <c r="BZ828" s="176"/>
      <c r="CA828" s="167"/>
      <c r="CB828" s="168"/>
      <c r="CC828" s="167"/>
      <c r="CD828" s="168"/>
      <c r="CE828" s="62"/>
      <c r="CF828" s="62"/>
      <c r="CG828" s="9"/>
      <c r="CH828" s="9"/>
      <c r="CI828" s="9"/>
      <c r="CJ828" s="9"/>
      <c r="CK828" s="9"/>
      <c r="CL828" s="9"/>
      <c r="CM828" s="9"/>
      <c r="CN828" s="9"/>
      <c r="CO828" s="9"/>
      <c r="CP828" s="9"/>
    </row>
    <row r="829" spans="1:94" x14ac:dyDescent="0.25">
      <c r="A829" s="127" t="s">
        <v>2644</v>
      </c>
      <c r="B829" s="51" t="s">
        <v>2645</v>
      </c>
      <c r="C829" s="62"/>
      <c r="D829" s="84">
        <v>2</v>
      </c>
      <c r="E829" s="62" t="s">
        <v>1768</v>
      </c>
      <c r="F829" s="62">
        <v>6</v>
      </c>
      <c r="G829" s="62"/>
      <c r="H829" s="50">
        <f>VLOOKUP($A829,'[1]ma sp 02'!$A$5:$BD$1101,H$1,0)</f>
        <v>0.01</v>
      </c>
      <c r="I829" s="50">
        <f>VLOOKUP($A829,'[1]ma sp 02'!$A$5:$BD$1101,I$1,0)</f>
        <v>7.16</v>
      </c>
      <c r="J829" s="50">
        <f>VLOOKUP($A829,'[1]ma sp 02'!$A$5:$BD$1101,J$1,0)</f>
        <v>0.251</v>
      </c>
      <c r="K829" s="50">
        <f>VLOOKUP($A829,'[1]ma sp 02'!$A$5:$BD$1101,K$1,0)</f>
        <v>0.60099999999999998</v>
      </c>
      <c r="L829" s="50">
        <f>VLOOKUP($A829,'[1]ma sp 02'!$A$5:$BD$1101,L$1,0)</f>
        <v>0.40100000000000002</v>
      </c>
      <c r="M829" s="50">
        <f>VLOOKUP($A829,'[1]ma sp 02'!$A$5:$BD$1101,M$1,0)</f>
        <v>0.90200000000000002</v>
      </c>
      <c r="N829" s="50">
        <f>VLOOKUP($A829,'[1]ma sp 02'!$A$5:$BD$1101,N$1,0)</f>
        <v>0</v>
      </c>
      <c r="O829" s="50">
        <f>VLOOKUP($A829,'[1]ma sp 02'!$A$5:$BD$1101,O$1,0)</f>
        <v>0</v>
      </c>
      <c r="P829" s="50">
        <f>VLOOKUP($A829,'[1]ma sp 02'!$A$5:$BD$1101,P$1,0)</f>
        <v>0.25</v>
      </c>
      <c r="Q829" s="50">
        <f>VLOOKUP($A829,'[1]ma sp 02'!$A$5:$BD$1101,Q$1,0)</f>
        <v>0</v>
      </c>
      <c r="R829" s="50">
        <f>VLOOKUP($A829,'[1]ma sp 02'!$A$5:$BD$1101,R$1,0)</f>
        <v>0</v>
      </c>
      <c r="S829" s="50">
        <f>VLOOKUP($A829,'[1]ma sp 02'!$A$5:$BD$1101,S$1,0)</f>
        <v>0</v>
      </c>
      <c r="T829" s="50">
        <f>VLOOKUP($A829,'[1]ma sp 02'!$A$5:$BD$1101,T$1,0)</f>
        <v>0</v>
      </c>
      <c r="U829" s="50">
        <f>VLOOKUP($A829,'[1]ma sp 02'!$A$5:$BD$1101,U$1,0)</f>
        <v>0</v>
      </c>
      <c r="V829" s="50">
        <f>VLOOKUP($A829,'[1]ma sp 02'!$A$5:$BD$1101,V$1,0)</f>
        <v>0</v>
      </c>
      <c r="W829" s="50">
        <f>VLOOKUP($A829,'[1]ma sp 02'!$A$5:$BD$1101,W$1,0)</f>
        <v>0</v>
      </c>
      <c r="X829" s="50"/>
      <c r="Y829" s="62"/>
      <c r="Z829" s="62"/>
      <c r="AA829" s="62"/>
      <c r="AB829" s="62"/>
      <c r="AC829" s="62"/>
      <c r="AD829" s="62"/>
      <c r="AE829" s="62" t="s">
        <v>2646</v>
      </c>
      <c r="AF829" s="62"/>
      <c r="AG829" s="53">
        <f>(0.02*0.91+0.055*0.925)*0.86</f>
        <v>5.9404499999999999E-2</v>
      </c>
      <c r="AH829" s="54">
        <f>(2.3/0.75/2)*0.85</f>
        <v>1.3033333333333332</v>
      </c>
      <c r="AI829" s="54"/>
      <c r="AJ829" s="9">
        <v>9530</v>
      </c>
      <c r="AK829" s="62"/>
      <c r="AL829" s="9">
        <v>2.3E-3</v>
      </c>
      <c r="AM829" s="61" t="s">
        <v>1489</v>
      </c>
      <c r="AN829" s="62">
        <v>237</v>
      </c>
      <c r="AO829" s="61" t="s">
        <v>180</v>
      </c>
      <c r="AP829" s="59" t="str">
        <f>IFERROR(VLOOKUP($A829,[2]Mssp!$A$5:$BE$1463,AP$4+1,0),0)</f>
        <v>F127418-1</v>
      </c>
      <c r="AQ829" s="59" t="str">
        <f>IFERROR(VLOOKUP($A829,[2]Mssp!$A$5:$BE$1463,AQ$4+1,0),0)</f>
        <v>F127418-2</v>
      </c>
      <c r="AR829" s="59" t="str">
        <f>IFERROR(VLOOKUP($A829,[2]Mssp!$A$5:$BE$1463,AR$4+1,0),0)</f>
        <v>F127418-3</v>
      </c>
      <c r="AS829" s="59" t="str">
        <f>IFERROR(VLOOKUP($A829,[2]Mssp!$A$5:$BE$1463,AS$4+1,0),0)</f>
        <v>F127418-4</v>
      </c>
      <c r="AT829" s="59" t="str">
        <f>IFERROR(VLOOKUP($A829,[2]Mssp!$A$5:$BE$1463,AT$4+1,0),0)</f>
        <v>F127418-5</v>
      </c>
      <c r="AU829" s="59" t="str">
        <f>IFERROR(VLOOKUP($A829,[2]Mssp!$A$5:$BE$1463,AU$4+1,0),0)</f>
        <v>F127418-6</v>
      </c>
      <c r="AV829" s="59">
        <f>IFERROR(VLOOKUP($A829,[2]Mssp!$A$5:$BE$1463,AV$4+1,0),0)</f>
        <v>0</v>
      </c>
      <c r="AW829" s="59">
        <f>IFERROR(VLOOKUP($A829,[2]Mssp!$A$5:$BE$1463,AW$4+1,0),0)</f>
        <v>0</v>
      </c>
      <c r="AX829" s="59">
        <f>IFERROR(VLOOKUP($A829,[2]Mssp!$A$5:$BE$1463,AX$4+1,0),0)</f>
        <v>0</v>
      </c>
      <c r="AY829" s="59" t="str">
        <f>IFERROR(VLOOKUP($A829,[2]Mssp!$A$5:$BE$1463,AY$4+2,0),0)</f>
        <v>474x1100</v>
      </c>
      <c r="AZ829" s="59">
        <f>IFERROR(VLOOKUP($A829,[2]Mssp!$A$5:$BE$1463,AZ$4+2,0),0)</f>
        <v>0</v>
      </c>
      <c r="BA829" s="141"/>
      <c r="BB829" s="61"/>
      <c r="BC829" s="165"/>
      <c r="BD829" s="166"/>
      <c r="BE829" s="167"/>
      <c r="BF829" s="168"/>
      <c r="BG829" s="167"/>
      <c r="BH829" s="168"/>
      <c r="BI829" s="169"/>
      <c r="BJ829" s="168"/>
      <c r="BK829" s="134"/>
      <c r="BL829" s="168"/>
      <c r="BM829" s="167"/>
      <c r="BN829" s="168"/>
      <c r="BO829" s="62"/>
      <c r="BP829" s="168"/>
      <c r="BQ829" s="168"/>
      <c r="BR829" s="168"/>
      <c r="BS829" s="135"/>
      <c r="BT829" s="176"/>
      <c r="BU829" s="167"/>
      <c r="BV829" s="168"/>
      <c r="BW829" s="167"/>
      <c r="BX829" s="168"/>
      <c r="BY829" s="167"/>
      <c r="BZ829" s="176"/>
      <c r="CA829" s="167"/>
      <c r="CB829" s="168"/>
      <c r="CC829" s="167"/>
      <c r="CD829" s="168"/>
      <c r="CE829" s="62"/>
      <c r="CF829" s="62"/>
      <c r="CG829" s="9"/>
      <c r="CH829" s="9"/>
      <c r="CI829" s="9"/>
      <c r="CJ829" s="9"/>
      <c r="CK829" s="9"/>
      <c r="CL829" s="9"/>
      <c r="CM829" s="9"/>
      <c r="CN829" s="9"/>
      <c r="CO829" s="9"/>
      <c r="CP829" s="9"/>
    </row>
    <row r="830" spans="1:94" ht="30" x14ac:dyDescent="0.25">
      <c r="A830" s="127" t="s">
        <v>2647</v>
      </c>
      <c r="B830" s="51" t="s">
        <v>2648</v>
      </c>
      <c r="C830" s="62"/>
      <c r="D830" s="84">
        <v>3</v>
      </c>
      <c r="E830" s="62" t="s">
        <v>351</v>
      </c>
      <c r="F830" s="62">
        <v>5</v>
      </c>
      <c r="G830" s="62" t="s">
        <v>530</v>
      </c>
      <c r="H830" s="50">
        <f>VLOOKUP($A830,'[1]ma sp 02'!$A$5:$BD$1101,H$1,0)</f>
        <v>0</v>
      </c>
      <c r="I830" s="50">
        <f>VLOOKUP($A830,'[1]ma sp 02'!$A$5:$BD$1101,I$1,0)</f>
        <v>0.214</v>
      </c>
      <c r="J830" s="50">
        <f>VLOOKUP($A830,'[1]ma sp 02'!$A$5:$BD$1101,J$1,0)</f>
        <v>0.01</v>
      </c>
      <c r="K830" s="50">
        <f>VLOOKUP($A830,'[1]ma sp 02'!$A$5:$BD$1101,K$1,0)</f>
        <v>1.0680000000000001</v>
      </c>
      <c r="L830" s="50">
        <f>VLOOKUP($A830,'[1]ma sp 02'!$A$5:$BD$1101,L$1,0)</f>
        <v>0.107</v>
      </c>
      <c r="M830" s="50">
        <f>VLOOKUP($A830,'[1]ma sp 02'!$A$5:$BD$1101,M$1,0)</f>
        <v>2.5619999999999998</v>
      </c>
      <c r="N830" s="50">
        <f>VLOOKUP($A830,'[1]ma sp 02'!$A$5:$BD$1101,N$1,0)</f>
        <v>0</v>
      </c>
      <c r="O830" s="50">
        <f>VLOOKUP($A830,'[1]ma sp 02'!$A$5:$BD$1101,O$1,0)</f>
        <v>0</v>
      </c>
      <c r="P830" s="50">
        <f>VLOOKUP($A830,'[1]ma sp 02'!$A$5:$BD$1101,P$1,0)</f>
        <v>0</v>
      </c>
      <c r="Q830" s="50">
        <f>VLOOKUP($A830,'[1]ma sp 02'!$A$5:$BD$1101,Q$1,0)</f>
        <v>0</v>
      </c>
      <c r="R830" s="50">
        <f>VLOOKUP($A830,'[1]ma sp 02'!$A$5:$BD$1101,R$1,0)</f>
        <v>0</v>
      </c>
      <c r="S830" s="50">
        <f>VLOOKUP($A830,'[1]ma sp 02'!$A$5:$BD$1101,S$1,0)</f>
        <v>0</v>
      </c>
      <c r="T830" s="50">
        <f>VLOOKUP($A830,'[1]ma sp 02'!$A$5:$BD$1101,T$1,0)</f>
        <v>0</v>
      </c>
      <c r="U830" s="50">
        <f>VLOOKUP($A830,'[1]ma sp 02'!$A$5:$BD$1101,U$1,0)</f>
        <v>0</v>
      </c>
      <c r="V830" s="50">
        <f>VLOOKUP($A830,'[1]ma sp 02'!$A$5:$BD$1101,V$1,0)</f>
        <v>0</v>
      </c>
      <c r="W830" s="50">
        <f>VLOOKUP($A830,'[1]ma sp 02'!$A$5:$BD$1101,W$1,0)</f>
        <v>0</v>
      </c>
      <c r="X830" s="50"/>
      <c r="Y830" s="62"/>
      <c r="Z830" s="62"/>
      <c r="AA830" s="62"/>
      <c r="AB830" s="62"/>
      <c r="AC830" s="62"/>
      <c r="AD830" s="62"/>
      <c r="AE830" s="62" t="s">
        <v>352</v>
      </c>
      <c r="AF830" s="62" t="s">
        <v>2425</v>
      </c>
      <c r="AG830" s="53">
        <f>(0.012*1.4+0.012*1.4+0.1*0.925)*0.8</f>
        <v>0.10088000000000003</v>
      </c>
      <c r="AH830" s="54">
        <f>(2.3/0.75/2)*0.79</f>
        <v>1.2113333333333334</v>
      </c>
      <c r="AI830" s="54">
        <f>(3/0.75/2)*0.79</f>
        <v>1.58</v>
      </c>
      <c r="AJ830" s="54">
        <f>(3/0.75/2)*0.79</f>
        <v>1.58</v>
      </c>
      <c r="AK830" s="62">
        <v>9530</v>
      </c>
      <c r="AL830" s="62" t="s">
        <v>1704</v>
      </c>
      <c r="AM830" s="61" t="s">
        <v>1489</v>
      </c>
      <c r="AN830" s="62">
        <v>190</v>
      </c>
      <c r="AO830" s="61" t="s">
        <v>2621</v>
      </c>
      <c r="AP830" s="59" t="str">
        <f>IFERROR(VLOOKUP($A830,[2]Mssp!$A$5:$BE$1463,AP$4+1,0),0)</f>
        <v>20120064-1</v>
      </c>
      <c r="AQ830" s="59" t="str">
        <f>IFERROR(VLOOKUP($A830,[2]Mssp!$A$5:$BE$1463,AQ$4+1,0),0)</f>
        <v>20120064-2</v>
      </c>
      <c r="AR830" s="59" t="str">
        <f>IFERROR(VLOOKUP($A830,[2]Mssp!$A$5:$BE$1463,AR$4+1,0),0)</f>
        <v>20120064-3</v>
      </c>
      <c r="AS830" s="59" t="str">
        <f>IFERROR(VLOOKUP($A830,[2]Mssp!$A$5:$BE$1463,AS$4+1,0),0)</f>
        <v>20120064-4</v>
      </c>
      <c r="AT830" s="59" t="str">
        <f>IFERROR(VLOOKUP($A830,[2]Mssp!$A$5:$BE$1463,AT$4+1,0),0)</f>
        <v>20120064-5</v>
      </c>
      <c r="AU830" s="59">
        <f>IFERROR(VLOOKUP($A830,[2]Mssp!$A$5:$BE$1463,AU$4+1,0),0)</f>
        <v>0</v>
      </c>
      <c r="AV830" s="59">
        <f>IFERROR(VLOOKUP($A830,[2]Mssp!$A$5:$BE$1463,AV$4+1,0),0)</f>
        <v>0</v>
      </c>
      <c r="AW830" s="59">
        <f>IFERROR(VLOOKUP($A830,[2]Mssp!$A$5:$BE$1463,AW$4+1,0),0)</f>
        <v>0</v>
      </c>
      <c r="AX830" s="59">
        <f>IFERROR(VLOOKUP($A830,[2]Mssp!$A$5:$BE$1463,AX$4+1,0),0)</f>
        <v>0</v>
      </c>
      <c r="AY830" s="59" t="str">
        <f>IFERROR(VLOOKUP($A830,[2]Mssp!$A$5:$BE$1463,AY$4+2,0),0)</f>
        <v>570x870</v>
      </c>
      <c r="AZ830" s="59">
        <f>IFERROR(VLOOKUP($A830,[2]Mssp!$A$5:$BE$1463,AZ$4+2,0),0)</f>
        <v>0</v>
      </c>
      <c r="BA830" s="141"/>
      <c r="BB830" s="61"/>
      <c r="BC830" s="165"/>
      <c r="BD830" s="166"/>
      <c r="BE830" s="167"/>
      <c r="BF830" s="168"/>
      <c r="BG830" s="167"/>
      <c r="BH830" s="168"/>
      <c r="BI830" s="169"/>
      <c r="BJ830" s="168"/>
      <c r="BK830" s="134"/>
      <c r="BL830" s="168"/>
      <c r="BM830" s="167"/>
      <c r="BN830" s="168"/>
      <c r="BO830" s="62"/>
      <c r="BP830" s="168"/>
      <c r="BQ830" s="168"/>
      <c r="BR830" s="168"/>
      <c r="BS830" s="135"/>
      <c r="BT830" s="176"/>
      <c r="BU830" s="167"/>
      <c r="BV830" s="168"/>
      <c r="BW830" s="167"/>
      <c r="BX830" s="168"/>
      <c r="BY830" s="167"/>
      <c r="BZ830" s="176"/>
      <c r="CA830" s="167"/>
      <c r="CB830" s="168"/>
      <c r="CC830" s="167"/>
      <c r="CD830" s="168"/>
      <c r="CE830" s="62"/>
      <c r="CF830" s="62"/>
      <c r="CG830" s="9"/>
      <c r="CH830" s="9"/>
      <c r="CI830" s="9"/>
      <c r="CJ830" s="9"/>
      <c r="CK830" s="9"/>
      <c r="CL830" s="9"/>
      <c r="CM830" s="9"/>
      <c r="CN830" s="9"/>
      <c r="CO830" s="9"/>
      <c r="CP830" s="9"/>
    </row>
    <row r="831" spans="1:94" ht="30" x14ac:dyDescent="0.25">
      <c r="A831" s="127" t="s">
        <v>2649</v>
      </c>
      <c r="B831" s="51" t="s">
        <v>2650</v>
      </c>
      <c r="C831" s="62"/>
      <c r="D831" s="84">
        <v>3</v>
      </c>
      <c r="E831" s="62" t="s">
        <v>351</v>
      </c>
      <c r="F831" s="62">
        <v>5</v>
      </c>
      <c r="G831" s="62" t="s">
        <v>530</v>
      </c>
      <c r="H831" s="50">
        <f>VLOOKUP($A831,'[1]ma sp 02'!$A$5:$BD$1101,H$1,0)</f>
        <v>0.32600000000000001</v>
      </c>
      <c r="I831" s="50">
        <f>VLOOKUP($A831,'[1]ma sp 02'!$A$5:$BD$1101,I$1,0)</f>
        <v>0.434</v>
      </c>
      <c r="J831" s="50">
        <f>VLOOKUP($A831,'[1]ma sp 02'!$A$5:$BD$1101,J$1,0)</f>
        <v>0.32600000000000001</v>
      </c>
      <c r="K831" s="50">
        <f>VLOOKUP($A831,'[1]ma sp 02'!$A$5:$BD$1101,K$1,0)</f>
        <v>0.109</v>
      </c>
      <c r="L831" s="50">
        <f>VLOOKUP($A831,'[1]ma sp 02'!$A$5:$BD$1101,L$1,0)</f>
        <v>1.1950000000000001</v>
      </c>
      <c r="M831" s="50">
        <f>VLOOKUP($A831,'[1]ma sp 02'!$A$5:$BD$1101,M$1,0)</f>
        <v>0</v>
      </c>
      <c r="N831" s="50">
        <f>VLOOKUP($A831,'[1]ma sp 02'!$A$5:$BD$1101,N$1,0)</f>
        <v>0</v>
      </c>
      <c r="O831" s="50">
        <f>VLOOKUP($A831,'[1]ma sp 02'!$A$5:$BD$1101,O$1,0)</f>
        <v>0</v>
      </c>
      <c r="P831" s="50">
        <f>VLOOKUP($A831,'[1]ma sp 02'!$A$5:$BD$1101,P$1,0)</f>
        <v>0</v>
      </c>
      <c r="Q831" s="50">
        <f>VLOOKUP($A831,'[1]ma sp 02'!$A$5:$BD$1101,Q$1,0)</f>
        <v>0</v>
      </c>
      <c r="R831" s="50">
        <f>VLOOKUP($A831,'[1]ma sp 02'!$A$5:$BD$1101,R$1,0)</f>
        <v>0</v>
      </c>
      <c r="S831" s="50">
        <f>VLOOKUP($A831,'[1]ma sp 02'!$A$5:$BD$1101,S$1,0)</f>
        <v>0</v>
      </c>
      <c r="T831" s="50">
        <f>VLOOKUP($A831,'[1]ma sp 02'!$A$5:$BD$1101,T$1,0)</f>
        <v>0</v>
      </c>
      <c r="U831" s="50">
        <f>VLOOKUP($A831,'[1]ma sp 02'!$A$5:$BD$1101,U$1,0)</f>
        <v>0</v>
      </c>
      <c r="V831" s="50">
        <f>VLOOKUP($A831,'[1]ma sp 02'!$A$5:$BD$1101,V$1,0)</f>
        <v>0</v>
      </c>
      <c r="W831" s="50">
        <f>VLOOKUP($A831,'[1]ma sp 02'!$A$5:$BD$1101,W$1,0)</f>
        <v>0</v>
      </c>
      <c r="X831" s="50"/>
      <c r="Y831" s="62"/>
      <c r="Z831" s="62"/>
      <c r="AA831" s="62"/>
      <c r="AB831" s="62"/>
      <c r="AC831" s="62"/>
      <c r="AD831" s="62"/>
      <c r="AE831" s="62" t="s">
        <v>352</v>
      </c>
      <c r="AF831" s="62" t="s">
        <v>2425</v>
      </c>
      <c r="AG831" s="53">
        <f>(0.012*1.4+0.012*1.4+0.1*0.925)*0.8</f>
        <v>0.10088000000000003</v>
      </c>
      <c r="AH831" s="54">
        <f>(2.3/0.75/2)*0.79</f>
        <v>1.2113333333333334</v>
      </c>
      <c r="AI831" s="54">
        <f>(3/0.75/2)*0.79</f>
        <v>1.58</v>
      </c>
      <c r="AJ831" s="54">
        <f>(3/0.75/2)*0.79</f>
        <v>1.58</v>
      </c>
      <c r="AK831" s="62">
        <v>9530</v>
      </c>
      <c r="AL831" s="62" t="s">
        <v>1704</v>
      </c>
      <c r="AM831" s="61" t="s">
        <v>1489</v>
      </c>
      <c r="AN831" s="62">
        <v>190</v>
      </c>
      <c r="AO831" s="61" t="s">
        <v>2621</v>
      </c>
      <c r="AP831" s="59" t="str">
        <f>IFERROR(VLOOKUP($A831,[2]Mssp!$A$5:$BE$1463,AP$4+1,0),0)</f>
        <v>20120065-1</v>
      </c>
      <c r="AQ831" s="59" t="str">
        <f>IFERROR(VLOOKUP($A831,[2]Mssp!$A$5:$BE$1463,AQ$4+1,0),0)</f>
        <v>20120065-2</v>
      </c>
      <c r="AR831" s="59" t="str">
        <f>IFERROR(VLOOKUP($A831,[2]Mssp!$A$5:$BE$1463,AR$4+1,0),0)</f>
        <v>20120065-3</v>
      </c>
      <c r="AS831" s="59" t="str">
        <f>IFERROR(VLOOKUP($A831,[2]Mssp!$A$5:$BE$1463,AS$4+1,0),0)</f>
        <v>20120065-4</v>
      </c>
      <c r="AT831" s="59" t="str">
        <f>IFERROR(VLOOKUP($A831,[2]Mssp!$A$5:$BE$1463,AT$4+1,0),0)</f>
        <v>20120064-5</v>
      </c>
      <c r="AU831" s="59">
        <f>IFERROR(VLOOKUP($A831,[2]Mssp!$A$5:$BE$1463,AU$4+1,0),0)</f>
        <v>0</v>
      </c>
      <c r="AV831" s="59">
        <f>IFERROR(VLOOKUP($A831,[2]Mssp!$A$5:$BE$1463,AV$4+1,0),0)</f>
        <v>0</v>
      </c>
      <c r="AW831" s="59">
        <f>IFERROR(VLOOKUP($A831,[2]Mssp!$A$5:$BE$1463,AW$4+1,0),0)</f>
        <v>0</v>
      </c>
      <c r="AX831" s="59">
        <f>IFERROR(VLOOKUP($A831,[2]Mssp!$A$5:$BE$1463,AX$4+1,0),0)</f>
        <v>0</v>
      </c>
      <c r="AY831" s="59" t="str">
        <f>IFERROR(VLOOKUP($A831,[2]Mssp!$A$5:$BE$1463,AY$4+2,0),0)</f>
        <v>570x870</v>
      </c>
      <c r="AZ831" s="59">
        <f>IFERROR(VLOOKUP($A831,[2]Mssp!$A$5:$BE$1463,AZ$4+2,0),0)</f>
        <v>0</v>
      </c>
      <c r="BA831" s="141"/>
      <c r="BB831" s="61" t="s">
        <v>952</v>
      </c>
      <c r="BC831" s="165"/>
      <c r="BD831" s="166"/>
      <c r="BE831" s="167"/>
      <c r="BF831" s="168"/>
      <c r="BG831" s="167"/>
      <c r="BH831" s="168"/>
      <c r="BI831" s="169"/>
      <c r="BJ831" s="168"/>
      <c r="BK831" s="134"/>
      <c r="BL831" s="168"/>
      <c r="BM831" s="167"/>
      <c r="BN831" s="168"/>
      <c r="BO831" s="62"/>
      <c r="BP831" s="168"/>
      <c r="BQ831" s="168"/>
      <c r="BR831" s="168"/>
      <c r="BS831" s="135"/>
      <c r="BT831" s="176"/>
      <c r="BU831" s="167"/>
      <c r="BV831" s="168"/>
      <c r="BW831" s="167"/>
      <c r="BX831" s="168"/>
      <c r="BY831" s="167"/>
      <c r="BZ831" s="176"/>
      <c r="CA831" s="167"/>
      <c r="CB831" s="168"/>
      <c r="CC831" s="167"/>
      <c r="CD831" s="168"/>
      <c r="CE831" s="62"/>
      <c r="CF831" s="62"/>
      <c r="CG831" s="9"/>
      <c r="CH831" s="9"/>
      <c r="CI831" s="9"/>
      <c r="CJ831" s="9"/>
      <c r="CK831" s="9"/>
      <c r="CL831" s="9"/>
      <c r="CM831" s="9"/>
      <c r="CN831" s="9"/>
      <c r="CO831" s="9"/>
      <c r="CP831" s="9"/>
    </row>
    <row r="832" spans="1:94" ht="75" x14ac:dyDescent="0.25">
      <c r="A832" s="127" t="s">
        <v>2651</v>
      </c>
      <c r="B832" s="51" t="s">
        <v>2652</v>
      </c>
      <c r="C832" s="62"/>
      <c r="D832" s="84">
        <v>2</v>
      </c>
      <c r="E832" s="62" t="s">
        <v>1436</v>
      </c>
      <c r="F832" s="62"/>
      <c r="G832" s="62"/>
      <c r="H832" s="50">
        <f>VLOOKUP($A832,'[1]ma sp 02'!$A$5:$BD$1101,H$1,0)</f>
        <v>0</v>
      </c>
      <c r="I832" s="50">
        <f>VLOOKUP($A832,'[1]ma sp 02'!$A$5:$BD$1101,I$1,0)</f>
        <v>0</v>
      </c>
      <c r="J832" s="50">
        <f>VLOOKUP($A832,'[1]ma sp 02'!$A$5:$BD$1101,J$1,0)</f>
        <v>0</v>
      </c>
      <c r="K832" s="50">
        <f>VLOOKUP($A832,'[1]ma sp 02'!$A$5:$BD$1101,K$1,0)</f>
        <v>0</v>
      </c>
      <c r="L832" s="50">
        <f>VLOOKUP($A832,'[1]ma sp 02'!$A$5:$BD$1101,L$1,0)</f>
        <v>0</v>
      </c>
      <c r="M832" s="50">
        <f>VLOOKUP($A832,'[1]ma sp 02'!$A$5:$BD$1101,M$1,0)</f>
        <v>0</v>
      </c>
      <c r="N832" s="50">
        <f>VLOOKUP($A832,'[1]ma sp 02'!$A$5:$BD$1101,N$1,0)</f>
        <v>0</v>
      </c>
      <c r="O832" s="50">
        <f>VLOOKUP($A832,'[1]ma sp 02'!$A$5:$BD$1101,O$1,0)</f>
        <v>0</v>
      </c>
      <c r="P832" s="50">
        <f>VLOOKUP($A832,'[1]ma sp 02'!$A$5:$BD$1101,P$1,0)</f>
        <v>0</v>
      </c>
      <c r="Q832" s="50">
        <f>VLOOKUP($A832,'[1]ma sp 02'!$A$5:$BD$1101,Q$1,0)</f>
        <v>0</v>
      </c>
      <c r="R832" s="50">
        <f>VLOOKUP($A832,'[1]ma sp 02'!$A$5:$BD$1101,R$1,0)</f>
        <v>0</v>
      </c>
      <c r="S832" s="50">
        <f>VLOOKUP($A832,'[1]ma sp 02'!$A$5:$BD$1101,S$1,0)</f>
        <v>0</v>
      </c>
      <c r="T832" s="50">
        <f>VLOOKUP($A832,'[1]ma sp 02'!$A$5:$BD$1101,T$1,0)</f>
        <v>0</v>
      </c>
      <c r="U832" s="50">
        <f>VLOOKUP($A832,'[1]ma sp 02'!$A$5:$BD$1101,U$1,0)</f>
        <v>0</v>
      </c>
      <c r="V832" s="50">
        <f>VLOOKUP($A832,'[1]ma sp 02'!$A$5:$BD$1101,V$1,0)</f>
        <v>0</v>
      </c>
      <c r="W832" s="50">
        <f>VLOOKUP($A832,'[1]ma sp 02'!$A$5:$BD$1101,W$1,0)</f>
        <v>0</v>
      </c>
      <c r="X832" s="50"/>
      <c r="Y832" s="62"/>
      <c r="Z832" s="62"/>
      <c r="AA832" s="62"/>
      <c r="AB832" s="62"/>
      <c r="AC832" s="62"/>
      <c r="AD832" s="62"/>
      <c r="AE832" s="62" t="s">
        <v>2653</v>
      </c>
      <c r="AF832" s="62" t="s">
        <v>2654</v>
      </c>
      <c r="AG832" s="53">
        <f>(0.012*1.4+0.012*1.4+0.095*0.925)*0.72</f>
        <v>8.7461999999999998E-2</v>
      </c>
      <c r="AH832" s="54">
        <f>(2.5/0.75/2)*0.71</f>
        <v>1.1833333333333333</v>
      </c>
      <c r="AI832" s="54">
        <f>(3/0.75/2)*0.71</f>
        <v>1.42</v>
      </c>
      <c r="AJ832" s="54"/>
      <c r="AK832" s="62">
        <v>9530</v>
      </c>
      <c r="AL832" s="62" t="s">
        <v>2655</v>
      </c>
      <c r="AM832" s="61" t="s">
        <v>2656</v>
      </c>
      <c r="AN832" s="62">
        <v>380</v>
      </c>
      <c r="AO832" s="61" t="s">
        <v>195</v>
      </c>
      <c r="AP832" s="59">
        <f>IFERROR(VLOOKUP($A832,[2]Mssp!$A$5:$BE$1463,AP$4+1,0),0)</f>
        <v>0</v>
      </c>
      <c r="AQ832" s="59">
        <f>IFERROR(VLOOKUP($A832,[2]Mssp!$A$5:$BE$1463,AQ$4+1,0),0)</f>
        <v>0</v>
      </c>
      <c r="AR832" s="59">
        <f>IFERROR(VLOOKUP($A832,[2]Mssp!$A$5:$BE$1463,AR$4+1,0),0)</f>
        <v>0</v>
      </c>
      <c r="AS832" s="59">
        <f>IFERROR(VLOOKUP($A832,[2]Mssp!$A$5:$BE$1463,AS$4+1,0),0)</f>
        <v>0</v>
      </c>
      <c r="AT832" s="59">
        <f>IFERROR(VLOOKUP($A832,[2]Mssp!$A$5:$BE$1463,AT$4+1,0),0)</f>
        <v>0</v>
      </c>
      <c r="AU832" s="59">
        <f>IFERROR(VLOOKUP($A832,[2]Mssp!$A$5:$BE$1463,AU$4+1,0),0)</f>
        <v>0</v>
      </c>
      <c r="AV832" s="59">
        <f>IFERROR(VLOOKUP($A832,[2]Mssp!$A$5:$BE$1463,AV$4+1,0),0)</f>
        <v>0</v>
      </c>
      <c r="AW832" s="59">
        <f>IFERROR(VLOOKUP($A832,[2]Mssp!$A$5:$BE$1463,AW$4+1,0),0)</f>
        <v>0</v>
      </c>
      <c r="AX832" s="59">
        <f>IFERROR(VLOOKUP($A832,[2]Mssp!$A$5:$BE$1463,AX$4+1,0),0)</f>
        <v>0</v>
      </c>
      <c r="AY832" s="59">
        <f>IFERROR(VLOOKUP($A832,[2]Mssp!$A$5:$BE$1463,AY$4+2,0),0)</f>
        <v>0</v>
      </c>
      <c r="AZ832" s="59">
        <f>IFERROR(VLOOKUP($A832,[2]Mssp!$A$5:$BE$1463,AZ$4+2,0),0)</f>
        <v>0</v>
      </c>
      <c r="BA832" s="141"/>
      <c r="BB832" s="61"/>
      <c r="BC832" s="165"/>
      <c r="BD832" s="166"/>
      <c r="BE832" s="167"/>
      <c r="BF832" s="168"/>
      <c r="BG832" s="167"/>
      <c r="BH832" s="168"/>
      <c r="BI832" s="169"/>
      <c r="BJ832" s="168"/>
      <c r="BK832" s="134"/>
      <c r="BL832" s="168"/>
      <c r="BM832" s="167"/>
      <c r="BN832" s="168"/>
      <c r="BO832" s="62"/>
      <c r="BP832" s="168"/>
      <c r="BQ832" s="168"/>
      <c r="BR832" s="168"/>
      <c r="BS832" s="135"/>
      <c r="BT832" s="176"/>
      <c r="BU832" s="167"/>
      <c r="BV832" s="168"/>
      <c r="BW832" s="167"/>
      <c r="BX832" s="168"/>
      <c r="BY832" s="167"/>
      <c r="BZ832" s="176"/>
      <c r="CA832" s="167"/>
      <c r="CB832" s="168"/>
      <c r="CC832" s="167"/>
      <c r="CD832" s="168"/>
      <c r="CE832" s="62"/>
      <c r="CF832" s="62"/>
      <c r="CG832" s="9"/>
      <c r="CH832" s="9"/>
      <c r="CI832" s="9"/>
      <c r="CJ832" s="9"/>
      <c r="CK832" s="9"/>
      <c r="CL832" s="9"/>
      <c r="CM832" s="9"/>
      <c r="CN832" s="9"/>
      <c r="CO832" s="9"/>
      <c r="CP832" s="9"/>
    </row>
    <row r="833" spans="1:94" ht="30" x14ac:dyDescent="0.25">
      <c r="A833" s="127" t="s">
        <v>2657</v>
      </c>
      <c r="B833" s="51" t="s">
        <v>2658</v>
      </c>
      <c r="C833" s="62"/>
      <c r="D833" s="84">
        <v>5</v>
      </c>
      <c r="E833" s="62" t="s">
        <v>2659</v>
      </c>
      <c r="F833" s="62">
        <v>3</v>
      </c>
      <c r="G833" s="62"/>
      <c r="H833" s="50">
        <f>VLOOKUP($A833,'[1]ma sp 02'!$A$5:$BD$1101,H$1,0)</f>
        <v>0.01</v>
      </c>
      <c r="I833" s="50">
        <f>VLOOKUP($A833,'[1]ma sp 02'!$A$5:$BD$1101,I$1,0)</f>
        <v>0</v>
      </c>
      <c r="J833" s="50">
        <f>VLOOKUP($A833,'[1]ma sp 02'!$A$5:$BD$1101,J$1,0)</f>
        <v>0</v>
      </c>
      <c r="K833" s="50">
        <f>VLOOKUP($A833,'[1]ma sp 02'!$A$5:$BD$1101,K$1,0)</f>
        <v>0</v>
      </c>
      <c r="L833" s="50">
        <f>VLOOKUP($A833,'[1]ma sp 02'!$A$5:$BD$1101,L$1,0)</f>
        <v>2.1749999999999998</v>
      </c>
      <c r="M833" s="50">
        <f>VLOOKUP($A833,'[1]ma sp 02'!$A$5:$BD$1101,M$1,0)</f>
        <v>1.8169999999999999</v>
      </c>
      <c r="N833" s="50">
        <f>VLOOKUP($A833,'[1]ma sp 02'!$A$5:$BD$1101,N$1,0)</f>
        <v>0</v>
      </c>
      <c r="O833" s="50">
        <f>VLOOKUP($A833,'[1]ma sp 02'!$A$5:$BD$1101,O$1,0)</f>
        <v>0</v>
      </c>
      <c r="P833" s="50">
        <f>VLOOKUP($A833,'[1]ma sp 02'!$A$5:$BD$1101,P$1,0)</f>
        <v>0</v>
      </c>
      <c r="Q833" s="50">
        <f>VLOOKUP($A833,'[1]ma sp 02'!$A$5:$BD$1101,Q$1,0)</f>
        <v>8.3000000000000004E-2</v>
      </c>
      <c r="R833" s="50">
        <f>VLOOKUP($A833,'[1]ma sp 02'!$A$5:$BD$1101,R$1,0)</f>
        <v>0</v>
      </c>
      <c r="S833" s="50">
        <f>VLOOKUP($A833,'[1]ma sp 02'!$A$5:$BD$1101,S$1,0)</f>
        <v>0</v>
      </c>
      <c r="T833" s="50">
        <f>VLOOKUP($A833,'[1]ma sp 02'!$A$5:$BD$1101,T$1,0)</f>
        <v>0</v>
      </c>
      <c r="U833" s="50">
        <f>VLOOKUP($A833,'[1]ma sp 02'!$A$5:$BD$1101,U$1,0)</f>
        <v>0</v>
      </c>
      <c r="V833" s="50">
        <f>VLOOKUP($A833,'[1]ma sp 02'!$A$5:$BD$1101,V$1,0)</f>
        <v>0</v>
      </c>
      <c r="W833" s="50">
        <f>VLOOKUP($A833,'[1]ma sp 02'!$A$5:$BD$1101,W$1,0)</f>
        <v>0</v>
      </c>
      <c r="X833" s="50"/>
      <c r="Y833" s="62"/>
      <c r="Z833" s="62"/>
      <c r="AA833" s="62"/>
      <c r="AB833" s="62"/>
      <c r="AC833" s="62"/>
      <c r="AD833" s="62"/>
      <c r="AE833" s="62" t="s">
        <v>2660</v>
      </c>
      <c r="AF833" s="62"/>
      <c r="AG833" s="53">
        <f>(0.02*0.91+0.025*0.925)*0.92</f>
        <v>3.8019000000000004E-2</v>
      </c>
      <c r="AH833" s="54">
        <f>(2/0.75/2)*0.91</f>
        <v>1.2133333333333334</v>
      </c>
      <c r="AI833" s="54"/>
      <c r="AJ833" s="62">
        <v>9530</v>
      </c>
      <c r="AK833" s="62"/>
      <c r="AL833" s="62">
        <v>2E-3</v>
      </c>
      <c r="AM833" s="61" t="s">
        <v>1489</v>
      </c>
      <c r="AN833" s="62">
        <v>170</v>
      </c>
      <c r="AO833" s="61" t="s">
        <v>1736</v>
      </c>
      <c r="AP833" s="59" t="str">
        <f>IFERROR(VLOOKUP($A833,[2]Mssp!$A$5:$BE$1463,AP$4+1,0),0)</f>
        <v>F127406-1</v>
      </c>
      <c r="AQ833" s="59" t="str">
        <f>IFERROR(VLOOKUP($A833,[2]Mssp!$A$5:$BE$1463,AQ$4+1,0),0)</f>
        <v>F127406-2</v>
      </c>
      <c r="AR833" s="59" t="str">
        <f>IFERROR(VLOOKUP($A833,[2]Mssp!$A$5:$BE$1463,AR$4+1,0),0)</f>
        <v>F127406-3</v>
      </c>
      <c r="AS833" s="59">
        <f>IFERROR(VLOOKUP($A833,[2]Mssp!$A$5:$BE$1463,AS$4+1,0),0)</f>
        <v>0</v>
      </c>
      <c r="AT833" s="59">
        <f>IFERROR(VLOOKUP($A833,[2]Mssp!$A$5:$BE$1463,AT$4+1,0),0)</f>
        <v>0</v>
      </c>
      <c r="AU833" s="59">
        <f>IFERROR(VLOOKUP($A833,[2]Mssp!$A$5:$BE$1463,AU$4+1,0),0)</f>
        <v>0</v>
      </c>
      <c r="AV833" s="59">
        <f>IFERROR(VLOOKUP($A833,[2]Mssp!$A$5:$BE$1463,AV$4+1,0),0)</f>
        <v>0</v>
      </c>
      <c r="AW833" s="59">
        <f>IFERROR(VLOOKUP($A833,[2]Mssp!$A$5:$BE$1463,AW$4+1,0),0)</f>
        <v>0</v>
      </c>
      <c r="AX833" s="59">
        <f>IFERROR(VLOOKUP($A833,[2]Mssp!$A$5:$BE$1463,AX$4+1,0),0)</f>
        <v>0</v>
      </c>
      <c r="AY833" s="59" t="str">
        <f>IFERROR(VLOOKUP($A833,[2]Mssp!$A$5:$BE$1463,AY$4+2,0),0)</f>
        <v>510x1100</v>
      </c>
      <c r="AZ833" s="59">
        <f>IFERROR(VLOOKUP($A833,[2]Mssp!$A$5:$BE$1463,AZ$4+2,0),0)</f>
        <v>0</v>
      </c>
      <c r="BA833" s="141"/>
      <c r="BB833" s="61" t="s">
        <v>952</v>
      </c>
      <c r="BC833" s="165"/>
      <c r="BD833" s="166"/>
      <c r="BE833" s="167"/>
      <c r="BF833" s="168"/>
      <c r="BG833" s="167"/>
      <c r="BH833" s="168"/>
      <c r="BI833" s="169"/>
      <c r="BJ833" s="168"/>
      <c r="BK833" s="134"/>
      <c r="BL833" s="168"/>
      <c r="BM833" s="167"/>
      <c r="BN833" s="168"/>
      <c r="BO833" s="62"/>
      <c r="BP833" s="168"/>
      <c r="BQ833" s="168"/>
      <c r="BR833" s="168"/>
      <c r="BS833" s="135"/>
      <c r="BT833" s="176"/>
      <c r="BU833" s="167"/>
      <c r="BV833" s="168"/>
      <c r="BW833" s="167"/>
      <c r="BX833" s="168"/>
      <c r="BY833" s="167"/>
      <c r="BZ833" s="176"/>
      <c r="CA833" s="167"/>
      <c r="CB833" s="168"/>
      <c r="CC833" s="167"/>
      <c r="CD833" s="168"/>
      <c r="CE833" s="62"/>
      <c r="CF833" s="62"/>
      <c r="CG833" s="9"/>
      <c r="CH833" s="9"/>
      <c r="CI833" s="9"/>
      <c r="CJ833" s="9"/>
      <c r="CK833" s="9"/>
      <c r="CL833" s="9"/>
      <c r="CM833" s="9"/>
      <c r="CN833" s="9"/>
      <c r="CO833" s="9"/>
      <c r="CP833" s="9"/>
    </row>
    <row r="834" spans="1:94" ht="45" x14ac:dyDescent="0.25">
      <c r="A834" s="127" t="s">
        <v>2661</v>
      </c>
      <c r="B834" s="51" t="s">
        <v>2662</v>
      </c>
      <c r="C834" s="62"/>
      <c r="D834" s="84">
        <v>4</v>
      </c>
      <c r="E834" s="62" t="s">
        <v>1422</v>
      </c>
      <c r="F834" s="62">
        <v>5</v>
      </c>
      <c r="G834" s="62"/>
      <c r="H834" s="50">
        <f>VLOOKUP($A834,'[1]ma sp 02'!$A$5:$BD$1101,H$1,0)</f>
        <v>0</v>
      </c>
      <c r="I834" s="50">
        <f>VLOOKUP($A834,'[1]ma sp 02'!$A$5:$BD$1101,I$1,0)</f>
        <v>11.565</v>
      </c>
      <c r="J834" s="50">
        <f>VLOOKUP($A834,'[1]ma sp 02'!$A$5:$BD$1101,J$1,0)</f>
        <v>0</v>
      </c>
      <c r="K834" s="50">
        <f>VLOOKUP($A834,'[1]ma sp 02'!$A$5:$BD$1101,K$1,0)</f>
        <v>0</v>
      </c>
      <c r="L834" s="50">
        <f>VLOOKUP($A834,'[1]ma sp 02'!$A$5:$BD$1101,L$1,0)</f>
        <v>0.55100000000000005</v>
      </c>
      <c r="M834" s="50">
        <f>VLOOKUP($A834,'[1]ma sp 02'!$A$5:$BD$1101,M$1,0)</f>
        <v>0</v>
      </c>
      <c r="N834" s="50">
        <f>VLOOKUP($A834,'[1]ma sp 02'!$A$5:$BD$1101,N$1,0)</f>
        <v>0</v>
      </c>
      <c r="O834" s="50">
        <f>VLOOKUP($A834,'[1]ma sp 02'!$A$5:$BD$1101,O$1,0)</f>
        <v>0</v>
      </c>
      <c r="P834" s="50">
        <f>VLOOKUP($A834,'[1]ma sp 02'!$A$5:$BD$1101,P$1,0)</f>
        <v>0.13800000000000001</v>
      </c>
      <c r="Q834" s="50">
        <f>VLOOKUP($A834,'[1]ma sp 02'!$A$5:$BD$1101,Q$1,0)</f>
        <v>0.55000000000000004</v>
      </c>
      <c r="R834" s="50">
        <f>VLOOKUP($A834,'[1]ma sp 02'!$A$5:$BD$1101,R$1,0)</f>
        <v>1.927</v>
      </c>
      <c r="S834" s="50">
        <f>VLOOKUP($A834,'[1]ma sp 02'!$A$5:$BD$1101,S$1,0)</f>
        <v>0</v>
      </c>
      <c r="T834" s="50">
        <f>VLOOKUP($A834,'[1]ma sp 02'!$A$5:$BD$1101,T$1,0)</f>
        <v>0</v>
      </c>
      <c r="U834" s="50">
        <f>VLOOKUP($A834,'[1]ma sp 02'!$A$5:$BD$1101,U$1,0)</f>
        <v>0</v>
      </c>
      <c r="V834" s="50">
        <f>VLOOKUP($A834,'[1]ma sp 02'!$A$5:$BD$1101,V$1,0)</f>
        <v>0.01</v>
      </c>
      <c r="W834" s="50">
        <f>VLOOKUP($A834,'[1]ma sp 02'!$A$5:$BD$1101,W$1,0)</f>
        <v>0</v>
      </c>
      <c r="X834" s="50"/>
      <c r="Y834" s="62"/>
      <c r="Z834" s="62"/>
      <c r="AA834" s="62"/>
      <c r="AB834" s="62"/>
      <c r="AC834" s="62"/>
      <c r="AD834" s="62"/>
      <c r="AE834" s="62" t="s">
        <v>1721</v>
      </c>
      <c r="AF834" s="62" t="s">
        <v>1003</v>
      </c>
      <c r="AG834" s="53">
        <f>(0.02*0.91+0.006*2.71+0.75*0.925)*0.62</f>
        <v>0.45149020000000006</v>
      </c>
      <c r="AH834" s="54">
        <f>(2.3/0.75/2)*0.62</f>
        <v>0.95066666666666655</v>
      </c>
      <c r="AI834" s="54">
        <f>(2.3/0.75/2)*0.62</f>
        <v>0.95066666666666655</v>
      </c>
      <c r="AJ834" s="192">
        <v>9530</v>
      </c>
      <c r="AK834" s="62">
        <v>9530</v>
      </c>
      <c r="AL834" s="62" t="s">
        <v>1590</v>
      </c>
      <c r="AM834" s="61" t="s">
        <v>74</v>
      </c>
      <c r="AN834" s="62">
        <v>55</v>
      </c>
      <c r="AO834" s="61" t="s">
        <v>2370</v>
      </c>
      <c r="AP834" s="59" t="str">
        <f>IFERROR(VLOOKUP($A834,[2]Mssp!$A$5:$BE$1463,AP$4+1,0),0)</f>
        <v>F127428-1</v>
      </c>
      <c r="AQ834" s="59" t="str">
        <f>IFERROR(VLOOKUP($A834,[2]Mssp!$A$5:$BE$1463,AQ$4+1,0),0)</f>
        <v>F127428G1-2</v>
      </c>
      <c r="AR834" s="59" t="str">
        <f>IFERROR(VLOOKUP($A834,[2]Mssp!$A$5:$BE$1463,AR$4+1,0),0)</f>
        <v>F127428G1-3</v>
      </c>
      <c r="AS834" s="59" t="str">
        <f>IFERROR(VLOOKUP($A834,[2]Mssp!$A$5:$BE$1463,AS$4+1,0),0)</f>
        <v>F127428-4</v>
      </c>
      <c r="AT834" s="59" t="str">
        <f>IFERROR(VLOOKUP($A834,[2]Mssp!$A$5:$BE$1463,AT$4+1,0),0)</f>
        <v>F127428-5</v>
      </c>
      <c r="AU834" s="59">
        <f>IFERROR(VLOOKUP($A834,[2]Mssp!$A$5:$BE$1463,AU$4+1,0),0)</f>
        <v>0</v>
      </c>
      <c r="AV834" s="59">
        <f>IFERROR(VLOOKUP($A834,[2]Mssp!$A$5:$BE$1463,AV$4+1,0),0)</f>
        <v>0</v>
      </c>
      <c r="AW834" s="59">
        <f>IFERROR(VLOOKUP($A834,[2]Mssp!$A$5:$BE$1463,AW$4+1,0),0)</f>
        <v>0</v>
      </c>
      <c r="AX834" s="59">
        <f>IFERROR(VLOOKUP($A834,[2]Mssp!$A$5:$BE$1463,AX$4+1,0),0)</f>
        <v>0</v>
      </c>
      <c r="AY834" s="59" t="str">
        <f>IFERROR(VLOOKUP($A834,[2]Mssp!$A$5:$BE$1463,AY$4+2,0),0)</f>
        <v>440x870</v>
      </c>
      <c r="AZ834" s="59">
        <f>IFERROR(VLOOKUP($A834,[2]Mssp!$A$5:$BE$1463,AZ$4+2,0),0)</f>
        <v>0</v>
      </c>
      <c r="BA834" s="141"/>
      <c r="BB834" s="61"/>
      <c r="BC834" s="165"/>
      <c r="BD834" s="166"/>
      <c r="BE834" s="167"/>
      <c r="BF834" s="168"/>
      <c r="BG834" s="167"/>
      <c r="BH834" s="168"/>
      <c r="BI834" s="169"/>
      <c r="BJ834" s="168"/>
      <c r="BK834" s="134"/>
      <c r="BL834" s="168"/>
      <c r="BM834" s="167"/>
      <c r="BN834" s="168"/>
      <c r="BO834" s="62"/>
      <c r="BP834" s="168"/>
      <c r="BQ834" s="168"/>
      <c r="BR834" s="168"/>
      <c r="BS834" s="135"/>
      <c r="BT834" s="176"/>
      <c r="BU834" s="167"/>
      <c r="BV834" s="168"/>
      <c r="BW834" s="167"/>
      <c r="BX834" s="168"/>
      <c r="BY834" s="167"/>
      <c r="BZ834" s="176"/>
      <c r="CA834" s="167"/>
      <c r="CB834" s="168"/>
      <c r="CC834" s="167"/>
      <c r="CD834" s="168"/>
      <c r="CE834" s="62"/>
      <c r="CF834" s="62"/>
      <c r="CG834" s="9"/>
      <c r="CH834" s="9"/>
      <c r="CI834" s="9"/>
      <c r="CJ834" s="9"/>
      <c r="CK834" s="9"/>
      <c r="CL834" s="9"/>
      <c r="CM834" s="9"/>
      <c r="CN834" s="9"/>
      <c r="CO834" s="9"/>
      <c r="CP834" s="9"/>
    </row>
    <row r="835" spans="1:94" ht="45" x14ac:dyDescent="0.25">
      <c r="A835" s="127" t="s">
        <v>2663</v>
      </c>
      <c r="B835" s="51" t="s">
        <v>2664</v>
      </c>
      <c r="C835" s="62"/>
      <c r="D835" s="84">
        <v>1</v>
      </c>
      <c r="E835" s="62" t="s">
        <v>2665</v>
      </c>
      <c r="F835" s="62">
        <v>5</v>
      </c>
      <c r="G835" s="62"/>
      <c r="H835" s="50">
        <f>VLOOKUP($A835,'[1]ma sp 02'!$A$5:$BD$1101,H$1,0)</f>
        <v>0</v>
      </c>
      <c r="I835" s="50">
        <f>VLOOKUP($A835,'[1]ma sp 02'!$A$5:$BD$1101,I$1,0)</f>
        <v>2.16</v>
      </c>
      <c r="J835" s="50">
        <f>VLOOKUP($A835,'[1]ma sp 02'!$A$5:$BD$1101,J$1,0)</f>
        <v>1.512</v>
      </c>
      <c r="K835" s="50">
        <f>VLOOKUP($A835,'[1]ma sp 02'!$A$5:$BD$1101,K$1,0)</f>
        <v>0.01</v>
      </c>
      <c r="L835" s="50">
        <f>VLOOKUP($A835,'[1]ma sp 02'!$A$5:$BD$1101,L$1,0)</f>
        <v>0.216</v>
      </c>
      <c r="M835" s="50">
        <f>VLOOKUP($A835,'[1]ma sp 02'!$A$5:$BD$1101,M$1,0)</f>
        <v>2.16</v>
      </c>
      <c r="N835" s="50">
        <f>VLOOKUP($A835,'[1]ma sp 02'!$A$5:$BD$1101,N$1,0)</f>
        <v>0</v>
      </c>
      <c r="O835" s="50">
        <f>VLOOKUP($A835,'[1]ma sp 02'!$A$5:$BD$1101,O$1,0)</f>
        <v>0</v>
      </c>
      <c r="P835" s="50">
        <f>VLOOKUP($A835,'[1]ma sp 02'!$A$5:$BD$1101,P$1,0)</f>
        <v>0.86399999999999999</v>
      </c>
      <c r="Q835" s="50">
        <f>VLOOKUP($A835,'[1]ma sp 02'!$A$5:$BD$1101,Q$1,0)</f>
        <v>0</v>
      </c>
      <c r="R835" s="50">
        <f>VLOOKUP($A835,'[1]ma sp 02'!$A$5:$BD$1101,R$1,0)</f>
        <v>0.216</v>
      </c>
      <c r="S835" s="50">
        <f>VLOOKUP($A835,'[1]ma sp 02'!$A$5:$BD$1101,S$1,0)</f>
        <v>0</v>
      </c>
      <c r="T835" s="50">
        <f>VLOOKUP($A835,'[1]ma sp 02'!$A$5:$BD$1101,T$1,0)</f>
        <v>0</v>
      </c>
      <c r="U835" s="50">
        <f>VLOOKUP($A835,'[1]ma sp 02'!$A$5:$BD$1101,U$1,0)</f>
        <v>0</v>
      </c>
      <c r="V835" s="50">
        <f>VLOOKUP($A835,'[1]ma sp 02'!$A$5:$BD$1101,V$1,0)</f>
        <v>0</v>
      </c>
      <c r="W835" s="50">
        <f>VLOOKUP($A835,'[1]ma sp 02'!$A$5:$BD$1101,W$1,0)</f>
        <v>0.01</v>
      </c>
      <c r="X835" s="50"/>
      <c r="Y835" s="62"/>
      <c r="Z835" s="62"/>
      <c r="AA835" s="62"/>
      <c r="AB835" s="62"/>
      <c r="AC835" s="62"/>
      <c r="AD835" s="62"/>
      <c r="AE835" s="62" t="s">
        <v>2666</v>
      </c>
      <c r="AF835" s="62" t="s">
        <v>2667</v>
      </c>
      <c r="AG835" s="53">
        <f>(0.012*1.4+0.015*1.15+0.17*0.94)*0.81</f>
        <v>0.15701850000000001</v>
      </c>
      <c r="AH835" s="54">
        <f>(3/0.75/2)*0.8</f>
        <v>1.6</v>
      </c>
      <c r="AI835" s="54">
        <f>(3.5/0.75/2)*0.8</f>
        <v>1.8666666666666669</v>
      </c>
      <c r="AJ835" s="192">
        <v>9530</v>
      </c>
      <c r="AK835" s="62">
        <v>6260</v>
      </c>
      <c r="AL835" s="62" t="s">
        <v>2668</v>
      </c>
      <c r="AM835" s="61" t="s">
        <v>1033</v>
      </c>
      <c r="AN835" s="62">
        <v>225</v>
      </c>
      <c r="AO835" s="61" t="s">
        <v>2669</v>
      </c>
      <c r="AP835" s="59" t="str">
        <f>IFERROR(VLOOKUP($A835,[2]Mssp!$A$5:$BE$1463,AP$4+1,0),0)</f>
        <v>20120903-1</v>
      </c>
      <c r="AQ835" s="59" t="str">
        <f>IFERROR(VLOOKUP($A835,[2]Mssp!$A$5:$BE$1463,AQ$4+1,0),0)</f>
        <v>20120903-2</v>
      </c>
      <c r="AR835" s="59" t="str">
        <f>IFERROR(VLOOKUP($A835,[2]Mssp!$A$5:$BE$1463,AR$4+1,0),0)</f>
        <v>20120903-3</v>
      </c>
      <c r="AS835" s="59" t="str">
        <f>IFERROR(VLOOKUP($A835,[2]Mssp!$A$5:$BE$1463,AS$4+1,0),0)</f>
        <v>20120903-4</v>
      </c>
      <c r="AT835" s="59" t="str">
        <f>IFERROR(VLOOKUP($A835,[2]Mssp!$A$5:$BE$1463,AT$4+1,0),0)</f>
        <v>20120903-5</v>
      </c>
      <c r="AU835" s="59">
        <f>IFERROR(VLOOKUP($A835,[2]Mssp!$A$5:$BE$1463,AU$4+1,0),0)</f>
        <v>0</v>
      </c>
      <c r="AV835" s="59">
        <f>IFERROR(VLOOKUP($A835,[2]Mssp!$A$5:$BE$1463,AV$4+1,0),0)</f>
        <v>0</v>
      </c>
      <c r="AW835" s="59">
        <f>IFERROR(VLOOKUP($A835,[2]Mssp!$A$5:$BE$1463,AW$4+1,0),0)</f>
        <v>0</v>
      </c>
      <c r="AX835" s="59">
        <f>IFERROR(VLOOKUP($A835,[2]Mssp!$A$5:$BE$1463,AX$4+1,0),0)</f>
        <v>0</v>
      </c>
      <c r="AY835" s="59" t="str">
        <f>IFERROR(VLOOKUP($A835,[2]Mssp!$A$5:$BE$1463,AY$4+2,0),0)</f>
        <v>450x870</v>
      </c>
      <c r="AZ835" s="59">
        <f>IFERROR(VLOOKUP($A835,[2]Mssp!$A$5:$BE$1463,AZ$4+2,0),0)</f>
        <v>0</v>
      </c>
      <c r="BA835" s="141"/>
      <c r="BB835" s="61" t="s">
        <v>1894</v>
      </c>
      <c r="BC835" s="165"/>
      <c r="BD835" s="166"/>
      <c r="BE835" s="167"/>
      <c r="BF835" s="168"/>
      <c r="BG835" s="167"/>
      <c r="BH835" s="168"/>
      <c r="BI835" s="169"/>
      <c r="BJ835" s="168"/>
      <c r="BK835" s="134"/>
      <c r="BL835" s="168"/>
      <c r="BM835" s="167"/>
      <c r="BN835" s="168"/>
      <c r="BO835" s="62"/>
      <c r="BP835" s="168"/>
      <c r="BQ835" s="168"/>
      <c r="BR835" s="168"/>
      <c r="BS835" s="135"/>
      <c r="BT835" s="176"/>
      <c r="BU835" s="167"/>
      <c r="BV835" s="168"/>
      <c r="BW835" s="167"/>
      <c r="BX835" s="168"/>
      <c r="BY835" s="167"/>
      <c r="BZ835" s="176"/>
      <c r="CA835" s="167"/>
      <c r="CB835" s="168"/>
      <c r="CC835" s="167"/>
      <c r="CD835" s="168"/>
      <c r="CE835" s="62"/>
      <c r="CF835" s="62"/>
      <c r="CG835" s="9"/>
      <c r="CH835" s="9"/>
      <c r="CI835" s="9"/>
      <c r="CJ835" s="9"/>
      <c r="CK835" s="9"/>
      <c r="CL835" s="9"/>
      <c r="CM835" s="9"/>
      <c r="CN835" s="9"/>
      <c r="CO835" s="9"/>
      <c r="CP835" s="9"/>
    </row>
    <row r="836" spans="1:94" ht="45" x14ac:dyDescent="0.25">
      <c r="A836" s="127" t="s">
        <v>2670</v>
      </c>
      <c r="B836" s="51" t="s">
        <v>2671</v>
      </c>
      <c r="C836" s="62"/>
      <c r="D836" s="84">
        <v>1</v>
      </c>
      <c r="E836" s="62" t="s">
        <v>2665</v>
      </c>
      <c r="F836" s="62">
        <v>5</v>
      </c>
      <c r="G836" s="62"/>
      <c r="H836" s="50">
        <f>VLOOKUP($A836,'[1]ma sp 02'!$A$5:$BD$1101,H$1,0)</f>
        <v>0</v>
      </c>
      <c r="I836" s="50">
        <f>VLOOKUP($A836,'[1]ma sp 02'!$A$5:$BD$1101,I$1,0)</f>
        <v>5.0519999999999996</v>
      </c>
      <c r="J836" s="50">
        <f>VLOOKUP($A836,'[1]ma sp 02'!$A$5:$BD$1101,J$1,0)</f>
        <v>0.63100000000000001</v>
      </c>
      <c r="K836" s="50">
        <f>VLOOKUP($A836,'[1]ma sp 02'!$A$5:$BD$1101,K$1,0)</f>
        <v>0.63100000000000001</v>
      </c>
      <c r="L836" s="50">
        <f>VLOOKUP($A836,'[1]ma sp 02'!$A$5:$BD$1101,L$1,0)</f>
        <v>0.21</v>
      </c>
      <c r="M836" s="50">
        <f>VLOOKUP($A836,'[1]ma sp 02'!$A$5:$BD$1101,M$1,0)</f>
        <v>0.84199999999999997</v>
      </c>
      <c r="N836" s="50">
        <f>VLOOKUP($A836,'[1]ma sp 02'!$A$5:$BD$1101,N$1,0)</f>
        <v>0</v>
      </c>
      <c r="O836" s="50">
        <f>VLOOKUP($A836,'[1]ma sp 02'!$A$5:$BD$1101,O$1,0)</f>
        <v>0</v>
      </c>
      <c r="P836" s="50">
        <f>VLOOKUP($A836,'[1]ma sp 02'!$A$5:$BD$1101,P$1,0)</f>
        <v>0</v>
      </c>
      <c r="Q836" s="50">
        <f>VLOOKUP($A836,'[1]ma sp 02'!$A$5:$BD$1101,Q$1,0)</f>
        <v>0</v>
      </c>
      <c r="R836" s="50">
        <f>VLOOKUP($A836,'[1]ma sp 02'!$A$5:$BD$1101,R$1,0)</f>
        <v>0</v>
      </c>
      <c r="S836" s="50">
        <f>VLOOKUP($A836,'[1]ma sp 02'!$A$5:$BD$1101,S$1,0)</f>
        <v>0</v>
      </c>
      <c r="T836" s="50">
        <f>VLOOKUP($A836,'[1]ma sp 02'!$A$5:$BD$1101,T$1,0)</f>
        <v>0</v>
      </c>
      <c r="U836" s="50">
        <f>VLOOKUP($A836,'[1]ma sp 02'!$A$5:$BD$1101,U$1,0)</f>
        <v>0</v>
      </c>
      <c r="V836" s="50">
        <f>VLOOKUP($A836,'[1]ma sp 02'!$A$5:$BD$1101,V$1,0)</f>
        <v>0</v>
      </c>
      <c r="W836" s="50">
        <f>VLOOKUP($A836,'[1]ma sp 02'!$A$5:$BD$1101,W$1,0)</f>
        <v>0</v>
      </c>
      <c r="X836" s="50"/>
      <c r="Y836" s="62"/>
      <c r="Z836" s="62"/>
      <c r="AA836" s="62"/>
      <c r="AB836" s="62"/>
      <c r="AC836" s="62"/>
      <c r="AD836" s="62"/>
      <c r="AE836" s="62" t="s">
        <v>2666</v>
      </c>
      <c r="AF836" s="62" t="s">
        <v>2667</v>
      </c>
      <c r="AG836" s="53">
        <f>(0.012*1.4+0.015*1.15+0.17*0.94)*0.81</f>
        <v>0.15701850000000001</v>
      </c>
      <c r="AH836" s="54">
        <f>(3/0.75/2)*0.8</f>
        <v>1.6</v>
      </c>
      <c r="AI836" s="54">
        <f>(3.5/0.75/2)*0.8</f>
        <v>1.8666666666666669</v>
      </c>
      <c r="AJ836" s="192">
        <v>9530</v>
      </c>
      <c r="AK836" s="62">
        <v>6260</v>
      </c>
      <c r="AL836" s="62" t="s">
        <v>2668</v>
      </c>
      <c r="AM836" s="61" t="s">
        <v>1033</v>
      </c>
      <c r="AN836" s="62">
        <v>225</v>
      </c>
      <c r="AO836" s="61" t="s">
        <v>2669</v>
      </c>
      <c r="AP836" s="59" t="str">
        <f>IFERROR(VLOOKUP($A836,[2]Mssp!$A$5:$BE$1463,AP$4+1,0),0)</f>
        <v>20120903-1</v>
      </c>
      <c r="AQ836" s="59" t="str">
        <f>IFERROR(VLOOKUP($A836,[2]Mssp!$A$5:$BE$1463,AQ$4+1,0),0)</f>
        <v>20120904-2</v>
      </c>
      <c r="AR836" s="59" t="str">
        <f>IFERROR(VLOOKUP($A836,[2]Mssp!$A$5:$BE$1463,AR$4+1,0),0)</f>
        <v>20120903-3</v>
      </c>
      <c r="AS836" s="59" t="str">
        <f>IFERROR(VLOOKUP($A836,[2]Mssp!$A$5:$BE$1463,AS$4+1,0),0)</f>
        <v>20120903-4</v>
      </c>
      <c r="AT836" s="59" t="str">
        <f>IFERROR(VLOOKUP($A836,[2]Mssp!$A$5:$BE$1463,AT$4+1,0),0)</f>
        <v>20120903-5</v>
      </c>
      <c r="AU836" s="59">
        <f>IFERROR(VLOOKUP($A836,[2]Mssp!$A$5:$BE$1463,AU$4+1,0),0)</f>
        <v>0</v>
      </c>
      <c r="AV836" s="59">
        <f>IFERROR(VLOOKUP($A836,[2]Mssp!$A$5:$BE$1463,AV$4+1,0),0)</f>
        <v>0</v>
      </c>
      <c r="AW836" s="59">
        <f>IFERROR(VLOOKUP($A836,[2]Mssp!$A$5:$BE$1463,AW$4+1,0),0)</f>
        <v>0</v>
      </c>
      <c r="AX836" s="59">
        <f>IFERROR(VLOOKUP($A836,[2]Mssp!$A$5:$BE$1463,AX$4+1,0),0)</f>
        <v>0</v>
      </c>
      <c r="AY836" s="59" t="str">
        <f>IFERROR(VLOOKUP($A836,[2]Mssp!$A$5:$BE$1463,AY$4+2,0),0)</f>
        <v>450x870</v>
      </c>
      <c r="AZ836" s="59">
        <f>IFERROR(VLOOKUP($A836,[2]Mssp!$A$5:$BE$1463,AZ$4+2,0),0)</f>
        <v>0</v>
      </c>
      <c r="BA836" s="141"/>
      <c r="BB836" s="61"/>
      <c r="BC836" s="165"/>
      <c r="BD836" s="166"/>
      <c r="BE836" s="167"/>
      <c r="BF836" s="168"/>
      <c r="BG836" s="167"/>
      <c r="BH836" s="168"/>
      <c r="BI836" s="169"/>
      <c r="BJ836" s="168"/>
      <c r="BK836" s="134"/>
      <c r="BL836" s="168"/>
      <c r="BM836" s="167"/>
      <c r="BN836" s="168"/>
      <c r="BO836" s="62"/>
      <c r="BP836" s="168"/>
      <c r="BQ836" s="168"/>
      <c r="BR836" s="168"/>
      <c r="BS836" s="135"/>
      <c r="BT836" s="176"/>
      <c r="BU836" s="167"/>
      <c r="BV836" s="168"/>
      <c r="BW836" s="167"/>
      <c r="BX836" s="168"/>
      <c r="BY836" s="167"/>
      <c r="BZ836" s="176"/>
      <c r="CA836" s="167"/>
      <c r="CB836" s="168"/>
      <c r="CC836" s="167"/>
      <c r="CD836" s="168"/>
      <c r="CE836" s="62"/>
      <c r="CF836" s="62"/>
      <c r="CG836" s="9"/>
      <c r="CH836" s="9"/>
      <c r="CI836" s="9"/>
      <c r="CJ836" s="9"/>
      <c r="CK836" s="9"/>
      <c r="CL836" s="9"/>
      <c r="CM836" s="9"/>
      <c r="CN836" s="9"/>
      <c r="CO836" s="9"/>
      <c r="CP836" s="9"/>
    </row>
    <row r="837" spans="1:94" ht="30" x14ac:dyDescent="0.25">
      <c r="A837" s="127" t="s">
        <v>2672</v>
      </c>
      <c r="B837" s="51" t="s">
        <v>2673</v>
      </c>
      <c r="C837" s="62"/>
      <c r="D837" s="84">
        <v>3</v>
      </c>
      <c r="E837" s="62" t="s">
        <v>841</v>
      </c>
      <c r="F837" s="62">
        <v>5</v>
      </c>
      <c r="G837" s="62"/>
      <c r="H837" s="50">
        <f>VLOOKUP($A837,'[1]ma sp 02'!$A$5:$BD$1101,H$1,0)</f>
        <v>7.6999999999999999E-2</v>
      </c>
      <c r="I837" s="50">
        <f>VLOOKUP($A837,'[1]ma sp 02'!$A$5:$BD$1101,I$1,0)</f>
        <v>4.29</v>
      </c>
      <c r="J837" s="50">
        <f>VLOOKUP($A837,'[1]ma sp 02'!$A$5:$BD$1101,J$1,0)</f>
        <v>0.61899999999999999</v>
      </c>
      <c r="K837" s="50">
        <f>VLOOKUP($A837,'[1]ma sp 02'!$A$5:$BD$1101,K$1,0)</f>
        <v>0.38700000000000001</v>
      </c>
      <c r="L837" s="50">
        <f>VLOOKUP($A837,'[1]ma sp 02'!$A$5:$BD$1101,L$1,0)</f>
        <v>0.503</v>
      </c>
      <c r="M837" s="50">
        <f>VLOOKUP($A837,'[1]ma sp 02'!$A$5:$BD$1101,M$1,0)</f>
        <v>0.92800000000000005</v>
      </c>
      <c r="N837" s="50">
        <f>VLOOKUP($A837,'[1]ma sp 02'!$A$5:$BD$1101,N$1,0)</f>
        <v>0</v>
      </c>
      <c r="O837" s="50">
        <f>VLOOKUP($A837,'[1]ma sp 02'!$A$5:$BD$1101,O$1,0)</f>
        <v>0</v>
      </c>
      <c r="P837" s="50">
        <f>VLOOKUP($A837,'[1]ma sp 02'!$A$5:$BD$1101,P$1,0)</f>
        <v>0</v>
      </c>
      <c r="Q837" s="50">
        <f>VLOOKUP($A837,'[1]ma sp 02'!$A$5:$BD$1101,Q$1,0)</f>
        <v>0</v>
      </c>
      <c r="R837" s="50">
        <f>VLOOKUP($A837,'[1]ma sp 02'!$A$5:$BD$1101,R$1,0)</f>
        <v>0</v>
      </c>
      <c r="S837" s="50">
        <f>VLOOKUP($A837,'[1]ma sp 02'!$A$5:$BD$1101,S$1,0)</f>
        <v>0</v>
      </c>
      <c r="T837" s="50">
        <f>VLOOKUP($A837,'[1]ma sp 02'!$A$5:$BD$1101,T$1,0)</f>
        <v>0</v>
      </c>
      <c r="U837" s="50">
        <f>VLOOKUP($A837,'[1]ma sp 02'!$A$5:$BD$1101,U$1,0)</f>
        <v>0</v>
      </c>
      <c r="V837" s="50">
        <f>VLOOKUP($A837,'[1]ma sp 02'!$A$5:$BD$1101,V$1,0)</f>
        <v>0</v>
      </c>
      <c r="W837" s="50">
        <f>VLOOKUP($A837,'[1]ma sp 02'!$A$5:$BD$1101,W$1,0)</f>
        <v>0</v>
      </c>
      <c r="X837" s="50"/>
      <c r="Y837" s="62"/>
      <c r="Z837" s="62"/>
      <c r="AA837" s="62"/>
      <c r="AB837" s="62"/>
      <c r="AC837" s="62"/>
      <c r="AD837" s="62"/>
      <c r="AE837" s="62" t="s">
        <v>115</v>
      </c>
      <c r="AF837" s="62" t="s">
        <v>321</v>
      </c>
      <c r="AG837" s="53">
        <f>(0.03*0.91+0.012*1.4+0.75*0.925)*0.74</f>
        <v>0.54600900000000008</v>
      </c>
      <c r="AH837" s="54">
        <f>(2.3/0.75/2)*0.74</f>
        <v>1.1346666666666665</v>
      </c>
      <c r="AI837" s="54">
        <f>(2.3/0.75/2)*0.74</f>
        <v>1.1346666666666665</v>
      </c>
      <c r="AJ837" s="192">
        <v>9530</v>
      </c>
      <c r="AK837" s="62">
        <v>9530</v>
      </c>
      <c r="AL837" s="62" t="s">
        <v>1590</v>
      </c>
      <c r="AM837" s="61" t="s">
        <v>74</v>
      </c>
      <c r="AN837" s="62">
        <v>170</v>
      </c>
      <c r="AO837" s="61" t="s">
        <v>2173</v>
      </c>
      <c r="AP837" s="59" t="str">
        <f>IFERROR(VLOOKUP($A837,[2]Mssp!$A$5:$BE$1463,AP$4+1,0),0)</f>
        <v>1903205-1</v>
      </c>
      <c r="AQ837" s="59" t="str">
        <f>IFERROR(VLOOKUP($A837,[2]Mssp!$A$5:$BE$1463,AQ$4+1,0),0)</f>
        <v>1903205-2</v>
      </c>
      <c r="AR837" s="59" t="str">
        <f>IFERROR(VLOOKUP($A837,[2]Mssp!$A$5:$BE$1463,AR$4+1,0),0)</f>
        <v>1903205-3</v>
      </c>
      <c r="AS837" s="59" t="str">
        <f>IFERROR(VLOOKUP($A837,[2]Mssp!$A$5:$BE$1463,AS$4+1,0),0)</f>
        <v>1903205-4</v>
      </c>
      <c r="AT837" s="59" t="str">
        <f>IFERROR(VLOOKUP($A837,[2]Mssp!$A$5:$BE$1463,AT$4+1,0),0)</f>
        <v>1903205-5</v>
      </c>
      <c r="AU837" s="59">
        <f>IFERROR(VLOOKUP($A837,[2]Mssp!$A$5:$BE$1463,AU$4+1,0),0)</f>
        <v>0</v>
      </c>
      <c r="AV837" s="59">
        <f>IFERROR(VLOOKUP($A837,[2]Mssp!$A$5:$BE$1463,AV$4+1,0),0)</f>
        <v>0</v>
      </c>
      <c r="AW837" s="59">
        <f>IFERROR(VLOOKUP($A837,[2]Mssp!$A$5:$BE$1463,AW$4+1,0),0)</f>
        <v>0</v>
      </c>
      <c r="AX837" s="59">
        <f>IFERROR(VLOOKUP($A837,[2]Mssp!$A$5:$BE$1463,AX$4+1,0),0)</f>
        <v>0</v>
      </c>
      <c r="AY837" s="59" t="str">
        <f>IFERROR(VLOOKUP($A837,[2]Mssp!$A$5:$BE$1463,AY$4+2,0),0)</f>
        <v>680x800</v>
      </c>
      <c r="AZ837" s="59">
        <f>IFERROR(VLOOKUP($A837,[2]Mssp!$A$5:$BE$1463,AZ$4+2,0),0)</f>
        <v>0</v>
      </c>
      <c r="BA837" s="141"/>
      <c r="BB837" s="61" t="s">
        <v>1894</v>
      </c>
      <c r="BC837" s="165"/>
      <c r="BD837" s="166"/>
      <c r="BE837" s="167"/>
      <c r="BF837" s="168"/>
      <c r="BG837" s="167"/>
      <c r="BH837" s="168"/>
      <c r="BI837" s="169"/>
      <c r="BJ837" s="168"/>
      <c r="BK837" s="134"/>
      <c r="BL837" s="168"/>
      <c r="BM837" s="167"/>
      <c r="BN837" s="168"/>
      <c r="BO837" s="62"/>
      <c r="BP837" s="168"/>
      <c r="BQ837" s="168"/>
      <c r="BR837" s="168"/>
      <c r="BS837" s="135"/>
      <c r="BT837" s="176"/>
      <c r="BU837" s="167"/>
      <c r="BV837" s="168"/>
      <c r="BW837" s="167"/>
      <c r="BX837" s="168"/>
      <c r="BY837" s="167"/>
      <c r="BZ837" s="176"/>
      <c r="CA837" s="167"/>
      <c r="CB837" s="168"/>
      <c r="CC837" s="167"/>
      <c r="CD837" s="168"/>
      <c r="CE837" s="62"/>
      <c r="CF837" s="62"/>
      <c r="CG837" s="9"/>
      <c r="CH837" s="9"/>
      <c r="CI837" s="9"/>
      <c r="CJ837" s="9"/>
      <c r="CK837" s="9"/>
      <c r="CL837" s="9"/>
      <c r="CM837" s="9"/>
      <c r="CN837" s="9"/>
      <c r="CO837" s="9"/>
      <c r="CP837" s="9"/>
    </row>
    <row r="838" spans="1:94" ht="45" x14ac:dyDescent="0.25">
      <c r="A838" s="127" t="s">
        <v>2674</v>
      </c>
      <c r="B838" s="51" t="s">
        <v>2675</v>
      </c>
      <c r="C838" s="62"/>
      <c r="D838" s="84">
        <v>2</v>
      </c>
      <c r="E838" s="62" t="s">
        <v>2156</v>
      </c>
      <c r="F838" s="62">
        <v>6</v>
      </c>
      <c r="G838" s="62"/>
      <c r="H838" s="50">
        <f>VLOOKUP($A838,'[1]ma sp 02'!$A$5:$BD$1101,H$1,0)</f>
        <v>0.60499999999999998</v>
      </c>
      <c r="I838" s="50">
        <f>VLOOKUP($A838,'[1]ma sp 02'!$A$5:$BD$1101,I$1,0)</f>
        <v>0.01</v>
      </c>
      <c r="J838" s="50">
        <f>VLOOKUP($A838,'[1]ma sp 02'!$A$5:$BD$1101,J$1,0)</f>
        <v>0</v>
      </c>
      <c r="K838" s="50">
        <f>VLOOKUP($A838,'[1]ma sp 02'!$A$5:$BD$1101,K$1,0)</f>
        <v>1.9350000000000001</v>
      </c>
      <c r="L838" s="50">
        <f>VLOOKUP($A838,'[1]ma sp 02'!$A$5:$BD$1101,L$1,0)</f>
        <v>1.2090000000000001</v>
      </c>
      <c r="M838" s="50">
        <f>VLOOKUP($A838,'[1]ma sp 02'!$A$5:$BD$1101,M$1,0)</f>
        <v>0</v>
      </c>
      <c r="N838" s="50">
        <f>VLOOKUP($A838,'[1]ma sp 02'!$A$5:$BD$1101,N$1,0)</f>
        <v>0</v>
      </c>
      <c r="O838" s="50">
        <f>VLOOKUP($A838,'[1]ma sp 02'!$A$5:$BD$1101,O$1,0)</f>
        <v>0</v>
      </c>
      <c r="P838" s="50">
        <f>VLOOKUP($A838,'[1]ma sp 02'!$A$5:$BD$1101,P$1,0)</f>
        <v>3.6269999999999998</v>
      </c>
      <c r="Q838" s="50">
        <f>VLOOKUP($A838,'[1]ma sp 02'!$A$5:$BD$1101,Q$1,0)</f>
        <v>0</v>
      </c>
      <c r="R838" s="50">
        <f>VLOOKUP($A838,'[1]ma sp 02'!$A$5:$BD$1101,R$1,0)</f>
        <v>0</v>
      </c>
      <c r="S838" s="50">
        <f>VLOOKUP($A838,'[1]ma sp 02'!$A$5:$BD$1101,S$1,0)</f>
        <v>0</v>
      </c>
      <c r="T838" s="50">
        <f>VLOOKUP($A838,'[1]ma sp 02'!$A$5:$BD$1101,T$1,0)</f>
        <v>0</v>
      </c>
      <c r="U838" s="50">
        <f>VLOOKUP($A838,'[1]ma sp 02'!$A$5:$BD$1101,U$1,0)</f>
        <v>0</v>
      </c>
      <c r="V838" s="50">
        <f>VLOOKUP($A838,'[1]ma sp 02'!$A$5:$BD$1101,V$1,0)</f>
        <v>0</v>
      </c>
      <c r="W838" s="50">
        <f>VLOOKUP($A838,'[1]ma sp 02'!$A$5:$BD$1101,W$1,0)</f>
        <v>0</v>
      </c>
      <c r="X838" s="50"/>
      <c r="Y838" s="62"/>
      <c r="Z838" s="62"/>
      <c r="AA838" s="62"/>
      <c r="AB838" s="62"/>
      <c r="AC838" s="62"/>
      <c r="AD838" s="62"/>
      <c r="AE838" s="62" t="s">
        <v>408</v>
      </c>
      <c r="AF838" s="62"/>
      <c r="AG838" s="53">
        <f>(0.015*1.15+0.045*0.925)*0.82</f>
        <v>4.8277499999999994E-2</v>
      </c>
      <c r="AH838" s="54">
        <f>(2/0.75/2)*0.81</f>
        <v>1.08</v>
      </c>
      <c r="AI838" s="54"/>
      <c r="AJ838" s="192">
        <v>9530</v>
      </c>
      <c r="AK838" s="62"/>
      <c r="AL838" s="62">
        <v>2.3E-3</v>
      </c>
      <c r="AM838" s="61" t="s">
        <v>74</v>
      </c>
      <c r="AN838" s="62">
        <v>235</v>
      </c>
      <c r="AO838" s="61" t="s">
        <v>2676</v>
      </c>
      <c r="AP838" s="59" t="str">
        <f>IFERROR(VLOOKUP($A838,[2]Mssp!$A$5:$BE$1463,AP$4+1,0),0)</f>
        <v>21020173-1</v>
      </c>
      <c r="AQ838" s="59" t="str">
        <f>IFERROR(VLOOKUP($A838,[2]Mssp!$A$5:$BE$1463,AQ$4+1,0),0)</f>
        <v>21020173-2</v>
      </c>
      <c r="AR838" s="59" t="str">
        <f>IFERROR(VLOOKUP($A838,[2]Mssp!$A$5:$BE$1463,AR$4+1,0),0)</f>
        <v>21020173-3</v>
      </c>
      <c r="AS838" s="59" t="str">
        <f>IFERROR(VLOOKUP($A838,[2]Mssp!$A$5:$BE$1463,AS$4+1,0),0)</f>
        <v>21020173-4</v>
      </c>
      <c r="AT838" s="59" t="str">
        <f>IFERROR(VLOOKUP($A838,[2]Mssp!$A$5:$BE$1463,AT$4+1,0),0)</f>
        <v>21020173-5</v>
      </c>
      <c r="AU838" s="59" t="str">
        <f>IFERROR(VLOOKUP($A838,[2]Mssp!$A$5:$BE$1463,AU$4+1,0),0)</f>
        <v>21020173-6</v>
      </c>
      <c r="AV838" s="59">
        <f>IFERROR(VLOOKUP($A838,[2]Mssp!$A$5:$BE$1463,AV$4+1,0),0)</f>
        <v>0</v>
      </c>
      <c r="AW838" s="59">
        <f>IFERROR(VLOOKUP($A838,[2]Mssp!$A$5:$BE$1463,AW$4+1,0),0)</f>
        <v>0</v>
      </c>
      <c r="AX838" s="59">
        <f>IFERROR(VLOOKUP($A838,[2]Mssp!$A$5:$BE$1463,AX$4+1,0),0)</f>
        <v>0</v>
      </c>
      <c r="AY838" s="59" t="str">
        <f>IFERROR(VLOOKUP($A838,[2]Mssp!$A$5:$BE$1463,AY$4+2,0),0)</f>
        <v>470x870</v>
      </c>
      <c r="AZ838" s="59">
        <f>IFERROR(VLOOKUP($A838,[2]Mssp!$A$5:$BE$1463,AZ$4+2,0),0)</f>
        <v>0</v>
      </c>
      <c r="BA838" s="141"/>
      <c r="BB838" s="61"/>
      <c r="BC838" s="165"/>
      <c r="BD838" s="166"/>
      <c r="BE838" s="167"/>
      <c r="BF838" s="168"/>
      <c r="BG838" s="167"/>
      <c r="BH838" s="168"/>
      <c r="BI838" s="169"/>
      <c r="BJ838" s="168"/>
      <c r="BK838" s="134"/>
      <c r="BL838" s="168"/>
      <c r="BM838" s="167"/>
      <c r="BN838" s="168"/>
      <c r="BO838" s="62"/>
      <c r="BP838" s="168"/>
      <c r="BQ838" s="168"/>
      <c r="BR838" s="168"/>
      <c r="BS838" s="135"/>
      <c r="BT838" s="176"/>
      <c r="BU838" s="167"/>
      <c r="BV838" s="168"/>
      <c r="BW838" s="167"/>
      <c r="BX838" s="168"/>
      <c r="BY838" s="167"/>
      <c r="BZ838" s="176"/>
      <c r="CA838" s="167"/>
      <c r="CB838" s="168"/>
      <c r="CC838" s="167"/>
      <c r="CD838" s="168"/>
      <c r="CE838" s="62"/>
      <c r="CF838" s="62"/>
      <c r="CG838" s="9"/>
      <c r="CH838" s="9"/>
      <c r="CI838" s="9"/>
      <c r="CJ838" s="9"/>
      <c r="CK838" s="9"/>
      <c r="CL838" s="9"/>
      <c r="CM838" s="9"/>
      <c r="CN838" s="9"/>
      <c r="CO838" s="9"/>
      <c r="CP838" s="9"/>
    </row>
    <row r="839" spans="1:94" ht="30" x14ac:dyDescent="0.25">
      <c r="A839" s="127" t="s">
        <v>2677</v>
      </c>
      <c r="B839" s="51" t="s">
        <v>2678</v>
      </c>
      <c r="C839" s="62"/>
      <c r="D839" s="84">
        <v>2</v>
      </c>
      <c r="E839" s="62" t="s">
        <v>131</v>
      </c>
      <c r="F839" s="62"/>
      <c r="G839" s="62"/>
      <c r="H839" s="50">
        <f>VLOOKUP($A839,'[1]ma sp 02'!$A$5:$BD$1101,H$1,0)</f>
        <v>0</v>
      </c>
      <c r="I839" s="50">
        <f>VLOOKUP($A839,'[1]ma sp 02'!$A$5:$BD$1101,I$1,0)</f>
        <v>0</v>
      </c>
      <c r="J839" s="50">
        <f>VLOOKUP($A839,'[1]ma sp 02'!$A$5:$BD$1101,J$1,0)</f>
        <v>0</v>
      </c>
      <c r="K839" s="50">
        <f>VLOOKUP($A839,'[1]ma sp 02'!$A$5:$BD$1101,K$1,0)</f>
        <v>0</v>
      </c>
      <c r="L839" s="50">
        <f>VLOOKUP($A839,'[1]ma sp 02'!$A$5:$BD$1101,L$1,0)</f>
        <v>0</v>
      </c>
      <c r="M839" s="50">
        <f>VLOOKUP($A839,'[1]ma sp 02'!$A$5:$BD$1101,M$1,0)</f>
        <v>0</v>
      </c>
      <c r="N839" s="50">
        <f>VLOOKUP($A839,'[1]ma sp 02'!$A$5:$BD$1101,N$1,0)</f>
        <v>0</v>
      </c>
      <c r="O839" s="50">
        <f>VLOOKUP($A839,'[1]ma sp 02'!$A$5:$BD$1101,O$1,0)</f>
        <v>0</v>
      </c>
      <c r="P839" s="50">
        <f>VLOOKUP($A839,'[1]ma sp 02'!$A$5:$BD$1101,P$1,0)</f>
        <v>0</v>
      </c>
      <c r="Q839" s="50">
        <f>VLOOKUP($A839,'[1]ma sp 02'!$A$5:$BD$1101,Q$1,0)</f>
        <v>0</v>
      </c>
      <c r="R839" s="50">
        <f>VLOOKUP($A839,'[1]ma sp 02'!$A$5:$BD$1101,R$1,0)</f>
        <v>0</v>
      </c>
      <c r="S839" s="50">
        <f>VLOOKUP($A839,'[1]ma sp 02'!$A$5:$BD$1101,S$1,0)</f>
        <v>0.01</v>
      </c>
      <c r="T839" s="50">
        <f>VLOOKUP($A839,'[1]ma sp 02'!$A$5:$BD$1101,T$1,0)</f>
        <v>0.01</v>
      </c>
      <c r="U839" s="50">
        <f>VLOOKUP($A839,'[1]ma sp 02'!$A$5:$BD$1101,U$1,0)</f>
        <v>0</v>
      </c>
      <c r="V839" s="50">
        <f>VLOOKUP($A839,'[1]ma sp 02'!$A$5:$BD$1101,V$1,0)</f>
        <v>0</v>
      </c>
      <c r="W839" s="50">
        <f>VLOOKUP($A839,'[1]ma sp 02'!$A$5:$BD$1101,W$1,0)</f>
        <v>0</v>
      </c>
      <c r="X839" s="50"/>
      <c r="Y839" s="62"/>
      <c r="Z839" s="62"/>
      <c r="AA839" s="62"/>
      <c r="AB839" s="62"/>
      <c r="AC839" s="62"/>
      <c r="AD839" s="62"/>
      <c r="AE839" s="62" t="s">
        <v>78</v>
      </c>
      <c r="AF839" s="62" t="s">
        <v>2679</v>
      </c>
      <c r="AG839" s="53">
        <f>(0.012*1.4+0.012*1.4+0.85*0.925)*0.62</f>
        <v>0.50830699999999995</v>
      </c>
      <c r="AH839" s="54">
        <f>(2.3/0.75/2)*0.61</f>
        <v>0.93533333333333324</v>
      </c>
      <c r="AI839" s="54">
        <f>(2.5/0.75/2)*0.61</f>
        <v>1.0166666666666666</v>
      </c>
      <c r="AJ839" s="192">
        <v>9530</v>
      </c>
      <c r="AK839" s="62">
        <v>9530</v>
      </c>
      <c r="AL839" s="62" t="s">
        <v>2680</v>
      </c>
      <c r="AM839" s="61" t="s">
        <v>74</v>
      </c>
      <c r="AN839" s="62">
        <v>240</v>
      </c>
      <c r="AO839" s="61" t="s">
        <v>2681</v>
      </c>
      <c r="AP839" s="59">
        <f>IFERROR(VLOOKUP($A839,[2]Mssp!$A$5:$BE$1463,AP$4+1,0),0)</f>
        <v>0</v>
      </c>
      <c r="AQ839" s="59">
        <f>IFERROR(VLOOKUP($A839,[2]Mssp!$A$5:$BE$1463,AQ$4+1,0),0)</f>
        <v>0</v>
      </c>
      <c r="AR839" s="59">
        <f>IFERROR(VLOOKUP($A839,[2]Mssp!$A$5:$BE$1463,AR$4+1,0),0)</f>
        <v>0</v>
      </c>
      <c r="AS839" s="59">
        <f>IFERROR(VLOOKUP($A839,[2]Mssp!$A$5:$BE$1463,AS$4+1,0),0)</f>
        <v>0</v>
      </c>
      <c r="AT839" s="59">
        <f>IFERROR(VLOOKUP($A839,[2]Mssp!$A$5:$BE$1463,AT$4+1,0),0)</f>
        <v>0</v>
      </c>
      <c r="AU839" s="59">
        <f>IFERROR(VLOOKUP($A839,[2]Mssp!$A$5:$BE$1463,AU$4+1,0),0)</f>
        <v>0</v>
      </c>
      <c r="AV839" s="59">
        <f>IFERROR(VLOOKUP($A839,[2]Mssp!$A$5:$BE$1463,AV$4+1,0),0)</f>
        <v>0</v>
      </c>
      <c r="AW839" s="59">
        <f>IFERROR(VLOOKUP($A839,[2]Mssp!$A$5:$BE$1463,AW$4+1,0),0)</f>
        <v>0</v>
      </c>
      <c r="AX839" s="59">
        <f>IFERROR(VLOOKUP($A839,[2]Mssp!$A$5:$BE$1463,AX$4+1,0),0)</f>
        <v>0</v>
      </c>
      <c r="AY839" s="59">
        <f>IFERROR(VLOOKUP($A839,[2]Mssp!$A$5:$BE$1463,AY$4+2,0),0)</f>
        <v>0</v>
      </c>
      <c r="AZ839" s="59">
        <f>IFERROR(VLOOKUP($A839,[2]Mssp!$A$5:$BE$1463,AZ$4+2,0),0)</f>
        <v>0</v>
      </c>
      <c r="BA839" s="141"/>
      <c r="BB839" s="61" t="s">
        <v>1894</v>
      </c>
      <c r="BC839" s="165"/>
      <c r="BD839" s="166"/>
      <c r="BE839" s="167"/>
      <c r="BF839" s="168"/>
      <c r="BG839" s="167"/>
      <c r="BH839" s="168"/>
      <c r="BI839" s="169"/>
      <c r="BJ839" s="168"/>
      <c r="BK839" s="134"/>
      <c r="BL839" s="168"/>
      <c r="BM839" s="167"/>
      <c r="BN839" s="168"/>
      <c r="BO839" s="62"/>
      <c r="BP839" s="168"/>
      <c r="BQ839" s="168"/>
      <c r="BR839" s="168"/>
      <c r="BS839" s="135"/>
      <c r="BT839" s="176"/>
      <c r="BU839" s="167"/>
      <c r="BV839" s="168"/>
      <c r="BW839" s="167"/>
      <c r="BX839" s="168"/>
      <c r="BY839" s="167"/>
      <c r="BZ839" s="176"/>
      <c r="CA839" s="167"/>
      <c r="CB839" s="168"/>
      <c r="CC839" s="167"/>
      <c r="CD839" s="168"/>
      <c r="CE839" s="62"/>
      <c r="CF839" s="62"/>
      <c r="CG839" s="9"/>
      <c r="CH839" s="9"/>
      <c r="CI839" s="9"/>
      <c r="CJ839" s="9"/>
      <c r="CK839" s="9"/>
      <c r="CL839" s="9"/>
      <c r="CM839" s="9"/>
      <c r="CN839" s="9"/>
      <c r="CO839" s="9"/>
      <c r="CP839" s="9"/>
    </row>
    <row r="840" spans="1:94" ht="30" x14ac:dyDescent="0.25">
      <c r="A840" s="127" t="s">
        <v>2682</v>
      </c>
      <c r="B840" s="51" t="s">
        <v>2683</v>
      </c>
      <c r="C840" s="62"/>
      <c r="D840" s="84">
        <v>6</v>
      </c>
      <c r="E840" s="62" t="s">
        <v>655</v>
      </c>
      <c r="F840" s="62">
        <v>3</v>
      </c>
      <c r="G840" s="62"/>
      <c r="H840" s="50">
        <f>VLOOKUP($A840,'[1]ma sp 02'!$A$5:$BD$1101,H$1,0)</f>
        <v>0.192</v>
      </c>
      <c r="I840" s="50">
        <f>VLOOKUP($A840,'[1]ma sp 02'!$A$5:$BD$1101,I$1,0)</f>
        <v>1.968</v>
      </c>
      <c r="J840" s="50">
        <f>VLOOKUP($A840,'[1]ma sp 02'!$A$5:$BD$1101,J$1,0)</f>
        <v>0</v>
      </c>
      <c r="K840" s="50">
        <f>VLOOKUP($A840,'[1]ma sp 02'!$A$5:$BD$1101,K$1,0)</f>
        <v>0</v>
      </c>
      <c r="L840" s="50">
        <f>VLOOKUP($A840,'[1]ma sp 02'!$A$5:$BD$1101,L$1,0)</f>
        <v>0</v>
      </c>
      <c r="M840" s="50">
        <f>VLOOKUP($A840,'[1]ma sp 02'!$A$5:$BD$1101,M$1,0)</f>
        <v>0.28799999999999998</v>
      </c>
      <c r="N840" s="50">
        <f>VLOOKUP($A840,'[1]ma sp 02'!$A$5:$BD$1101,N$1,0)</f>
        <v>0.76800000000000002</v>
      </c>
      <c r="O840" s="50">
        <f>VLOOKUP($A840,'[1]ma sp 02'!$A$5:$BD$1101,O$1,0)</f>
        <v>0</v>
      </c>
      <c r="P840" s="50">
        <f>VLOOKUP($A840,'[1]ma sp 02'!$A$5:$BD$1101,P$1,0)</f>
        <v>0</v>
      </c>
      <c r="Q840" s="50">
        <f>VLOOKUP($A840,'[1]ma sp 02'!$A$5:$BD$1101,Q$1,0)</f>
        <v>0</v>
      </c>
      <c r="R840" s="50">
        <f>VLOOKUP($A840,'[1]ma sp 02'!$A$5:$BD$1101,R$1,0)</f>
        <v>0.24</v>
      </c>
      <c r="S840" s="50">
        <f>VLOOKUP($A840,'[1]ma sp 02'!$A$5:$BD$1101,S$1,0)</f>
        <v>1.22</v>
      </c>
      <c r="T840" s="50">
        <f>VLOOKUP($A840,'[1]ma sp 02'!$A$5:$BD$1101,T$1,0)</f>
        <v>0</v>
      </c>
      <c r="U840" s="50">
        <f>VLOOKUP($A840,'[1]ma sp 02'!$A$5:$BD$1101,U$1,0)</f>
        <v>0</v>
      </c>
      <c r="V840" s="50">
        <f>VLOOKUP($A840,'[1]ma sp 02'!$A$5:$BD$1101,V$1,0)</f>
        <v>0</v>
      </c>
      <c r="W840" s="50">
        <f>VLOOKUP($A840,'[1]ma sp 02'!$A$5:$BD$1101,W$1,0)</f>
        <v>0</v>
      </c>
      <c r="X840" s="50"/>
      <c r="Y840" s="62"/>
      <c r="Z840" s="62"/>
      <c r="AA840" s="62"/>
      <c r="AB840" s="62"/>
      <c r="AC840" s="62"/>
      <c r="AD840" s="62"/>
      <c r="AE840" s="62" t="s">
        <v>317</v>
      </c>
      <c r="AF840" s="62"/>
      <c r="AG840" s="53">
        <f>(0.015*1.15+0.045*0.925)*0.82</f>
        <v>4.8277499999999994E-2</v>
      </c>
      <c r="AH840" s="54">
        <f>(2/0.75/2)*0.81</f>
        <v>1.08</v>
      </c>
      <c r="AI840" s="54"/>
      <c r="AJ840" s="62">
        <v>9530</v>
      </c>
      <c r="AK840" s="62"/>
      <c r="AL840" s="62">
        <v>2E-3</v>
      </c>
      <c r="AM840" s="61" t="s">
        <v>1489</v>
      </c>
      <c r="AN840" s="62">
        <v>145</v>
      </c>
      <c r="AO840" s="61" t="s">
        <v>2684</v>
      </c>
      <c r="AP840" s="59" t="str">
        <f>IFERROR(VLOOKUP($A840,[2]Mssp!$A$5:$BE$1463,AP$4+1,0),0)</f>
        <v>F127517-1</v>
      </c>
      <c r="AQ840" s="59" t="str">
        <f>IFERROR(VLOOKUP($A840,[2]Mssp!$A$5:$BE$1463,AQ$4+1,0),0)</f>
        <v>F127517-2</v>
      </c>
      <c r="AR840" s="59" t="str">
        <f>IFERROR(VLOOKUP($A840,[2]Mssp!$A$5:$BE$1463,AR$4+1,0),0)</f>
        <v>F127517-3</v>
      </c>
      <c r="AS840" s="59">
        <f>IFERROR(VLOOKUP($A840,[2]Mssp!$A$5:$BE$1463,AS$4+1,0),0)</f>
        <v>0</v>
      </c>
      <c r="AT840" s="59">
        <f>IFERROR(VLOOKUP($A840,[2]Mssp!$A$5:$BE$1463,AT$4+1,0),0)</f>
        <v>0</v>
      </c>
      <c r="AU840" s="59">
        <f>IFERROR(VLOOKUP($A840,[2]Mssp!$A$5:$BE$1463,AU$4+1,0),0)</f>
        <v>0</v>
      </c>
      <c r="AV840" s="59">
        <f>IFERROR(VLOOKUP($A840,[2]Mssp!$A$5:$BE$1463,AV$4+1,0),0)</f>
        <v>0</v>
      </c>
      <c r="AW840" s="59">
        <f>IFERROR(VLOOKUP($A840,[2]Mssp!$A$5:$BE$1463,AW$4+1,0),0)</f>
        <v>0</v>
      </c>
      <c r="AX840" s="59">
        <f>IFERROR(VLOOKUP($A840,[2]Mssp!$A$5:$BE$1463,AX$4+1,0),0)</f>
        <v>0</v>
      </c>
      <c r="AY840" s="59" t="str">
        <f>IFERROR(VLOOKUP($A840,[2]Mssp!$A$5:$BE$1463,AY$4+2,0),0)</f>
        <v>435x870</v>
      </c>
      <c r="AZ840" s="59">
        <f>IFERROR(VLOOKUP($A840,[2]Mssp!$A$5:$BE$1463,AZ$4+2,0),0)</f>
        <v>0</v>
      </c>
      <c r="BA840" s="141"/>
      <c r="BB840" s="61" t="s">
        <v>952</v>
      </c>
      <c r="BC840" s="165"/>
      <c r="BD840" s="166"/>
      <c r="BE840" s="167"/>
      <c r="BF840" s="168"/>
      <c r="BG840" s="167"/>
      <c r="BH840" s="168"/>
      <c r="BI840" s="169"/>
      <c r="BJ840" s="168"/>
      <c r="BK840" s="134"/>
      <c r="BL840" s="168"/>
      <c r="BM840" s="167"/>
      <c r="BN840" s="168"/>
      <c r="BO840" s="62"/>
      <c r="BP840" s="168"/>
      <c r="BQ840" s="168"/>
      <c r="BR840" s="168"/>
      <c r="BS840" s="135"/>
      <c r="BT840" s="176"/>
      <c r="BU840" s="167"/>
      <c r="BV840" s="168"/>
      <c r="BW840" s="167"/>
      <c r="BX840" s="168"/>
      <c r="BY840" s="167"/>
      <c r="BZ840" s="176"/>
      <c r="CA840" s="167"/>
      <c r="CB840" s="168"/>
      <c r="CC840" s="167"/>
      <c r="CD840" s="168"/>
      <c r="CE840" s="62"/>
      <c r="CF840" s="62"/>
      <c r="CG840" s="9"/>
      <c r="CH840" s="9"/>
      <c r="CI840" s="9"/>
      <c r="CJ840" s="9"/>
      <c r="CK840" s="9"/>
      <c r="CL840" s="9"/>
      <c r="CM840" s="9"/>
      <c r="CN840" s="9"/>
      <c r="CO840" s="9"/>
      <c r="CP840" s="9"/>
    </row>
    <row r="841" spans="1:94" ht="45" x14ac:dyDescent="0.25">
      <c r="A841" s="127" t="s">
        <v>2685</v>
      </c>
      <c r="B841" s="51" t="s">
        <v>2686</v>
      </c>
      <c r="C841" s="62"/>
      <c r="D841" s="84">
        <v>1</v>
      </c>
      <c r="E841" s="62" t="s">
        <v>2687</v>
      </c>
      <c r="F841" s="62">
        <v>6</v>
      </c>
      <c r="G841" s="62"/>
      <c r="H841" s="50">
        <f>VLOOKUP($A841,'[1]ma sp 02'!$A$5:$BD$1101,H$1,0)</f>
        <v>1.552</v>
      </c>
      <c r="I841" s="50">
        <f>VLOOKUP($A841,'[1]ma sp 02'!$A$5:$BD$1101,I$1,0)</f>
        <v>0.44</v>
      </c>
      <c r="J841" s="50">
        <f>VLOOKUP($A841,'[1]ma sp 02'!$A$5:$BD$1101,J$1,0)</f>
        <v>0.44</v>
      </c>
      <c r="K841" s="50">
        <f>VLOOKUP($A841,'[1]ma sp 02'!$A$5:$BD$1101,K$1,0)</f>
        <v>0</v>
      </c>
      <c r="L841" s="50">
        <f>VLOOKUP($A841,'[1]ma sp 02'!$A$5:$BD$1101,L$1,0)</f>
        <v>0</v>
      </c>
      <c r="M841" s="50">
        <f>VLOOKUP($A841,'[1]ma sp 02'!$A$5:$BD$1101,M$1,0)</f>
        <v>2.218</v>
      </c>
      <c r="N841" s="50">
        <f>VLOOKUP($A841,'[1]ma sp 02'!$A$5:$BD$1101,N$1,0)</f>
        <v>0</v>
      </c>
      <c r="O841" s="50">
        <f>VLOOKUP($A841,'[1]ma sp 02'!$A$5:$BD$1101,O$1,0)</f>
        <v>0</v>
      </c>
      <c r="P841" s="50">
        <f>VLOOKUP($A841,'[1]ma sp 02'!$A$5:$BD$1101,P$1,0)</f>
        <v>3.327</v>
      </c>
      <c r="Q841" s="50">
        <f>VLOOKUP($A841,'[1]ma sp 02'!$A$5:$BD$1101,Q$1,0)</f>
        <v>0</v>
      </c>
      <c r="R841" s="50">
        <f>VLOOKUP($A841,'[1]ma sp 02'!$A$5:$BD$1101,R$1,0)</f>
        <v>0</v>
      </c>
      <c r="S841" s="50">
        <f>VLOOKUP($A841,'[1]ma sp 02'!$A$5:$BD$1101,S$1,0)</f>
        <v>0</v>
      </c>
      <c r="T841" s="50">
        <f>VLOOKUP($A841,'[1]ma sp 02'!$A$5:$BD$1101,T$1,0)</f>
        <v>0</v>
      </c>
      <c r="U841" s="50">
        <f>VLOOKUP($A841,'[1]ma sp 02'!$A$5:$BD$1101,U$1,0)</f>
        <v>0</v>
      </c>
      <c r="V841" s="50">
        <f>VLOOKUP($A841,'[1]ma sp 02'!$A$5:$BD$1101,V$1,0)</f>
        <v>0</v>
      </c>
      <c r="W841" s="50">
        <f>VLOOKUP($A841,'[1]ma sp 02'!$A$5:$BD$1101,W$1,0)</f>
        <v>0</v>
      </c>
      <c r="X841" s="50"/>
      <c r="Y841" s="62"/>
      <c r="Z841" s="62"/>
      <c r="AA841" s="62"/>
      <c r="AB841" s="62"/>
      <c r="AC841" s="62"/>
      <c r="AD841" s="62"/>
      <c r="AE841" s="62" t="s">
        <v>2688</v>
      </c>
      <c r="AF841" s="62" t="s">
        <v>2689</v>
      </c>
      <c r="AG841" s="53">
        <f>(0.012*1.4+0.012*1.4+0.015*1.15+0.17*0.925)*0.89</f>
        <v>0.18520900000000001</v>
      </c>
      <c r="AH841" s="54">
        <f>(3/0.75/2)*0.78</f>
        <v>1.56</v>
      </c>
      <c r="AI841" s="54">
        <f>(3.5/0.75/2)*0.78</f>
        <v>1.8200000000000003</v>
      </c>
      <c r="AJ841" s="9">
        <v>728</v>
      </c>
      <c r="AK841" s="62">
        <v>6260</v>
      </c>
      <c r="AL841" s="9" t="s">
        <v>2690</v>
      </c>
      <c r="AM841" s="61" t="s">
        <v>542</v>
      </c>
      <c r="AN841" s="62">
        <v>225</v>
      </c>
      <c r="AO841" s="61" t="s">
        <v>2691</v>
      </c>
      <c r="AP841" s="59" t="str">
        <f>IFERROR(VLOOKUP($A841,[2]Mssp!$A$5:$BE$1463,AP$4+1,0),0)</f>
        <v>F127532-1</v>
      </c>
      <c r="AQ841" s="59" t="str">
        <f>IFERROR(VLOOKUP($A841,[2]Mssp!$A$5:$BE$1463,AQ$4+1,0),0)</f>
        <v>F127532-2</v>
      </c>
      <c r="AR841" s="59" t="str">
        <f>IFERROR(VLOOKUP($A841,[2]Mssp!$A$5:$BE$1463,AR$4+1,0),0)</f>
        <v>F127532-3</v>
      </c>
      <c r="AS841" s="59" t="str">
        <f>IFERROR(VLOOKUP($A841,[2]Mssp!$A$5:$BE$1463,AS$4+1,0),0)</f>
        <v>F127532-4</v>
      </c>
      <c r="AT841" s="59" t="str">
        <f>IFERROR(VLOOKUP($A841,[2]Mssp!$A$5:$BE$1463,AT$4+1,0),0)</f>
        <v>F127532-5</v>
      </c>
      <c r="AU841" s="59" t="str">
        <f>IFERROR(VLOOKUP($A841,[2]Mssp!$A$5:$BE$1463,AU$4+1,0),0)</f>
        <v>F127532-6</v>
      </c>
      <c r="AV841" s="59">
        <f>IFERROR(VLOOKUP($A841,[2]Mssp!$A$5:$BE$1463,AV$4+1,0),0)</f>
        <v>0</v>
      </c>
      <c r="AW841" s="59">
        <f>IFERROR(VLOOKUP($A841,[2]Mssp!$A$5:$BE$1463,AW$4+1,0),0)</f>
        <v>0</v>
      </c>
      <c r="AX841" s="59">
        <f>IFERROR(VLOOKUP($A841,[2]Mssp!$A$5:$BE$1463,AX$4+1,0),0)</f>
        <v>0</v>
      </c>
      <c r="AY841" s="59" t="str">
        <f>IFERROR(VLOOKUP($A841,[2]Mssp!$A$5:$BE$1463,AY$4+2,0),0)</f>
        <v>450x870</v>
      </c>
      <c r="AZ841" s="59">
        <f>IFERROR(VLOOKUP($A841,[2]Mssp!$A$5:$BE$1463,AZ$4+2,0),0)</f>
        <v>0</v>
      </c>
      <c r="BA841" s="141"/>
      <c r="BB841" s="61" t="s">
        <v>1894</v>
      </c>
      <c r="BC841" s="165"/>
      <c r="BD841" s="166"/>
      <c r="BE841" s="167"/>
      <c r="BF841" s="168"/>
      <c r="BG841" s="167"/>
      <c r="BH841" s="168"/>
      <c r="BI841" s="169"/>
      <c r="BJ841" s="168"/>
      <c r="BK841" s="134"/>
      <c r="BL841" s="168"/>
      <c r="BM841" s="167"/>
      <c r="BN841" s="168"/>
      <c r="BO841" s="62"/>
      <c r="BP841" s="168"/>
      <c r="BQ841" s="168"/>
      <c r="BR841" s="168"/>
      <c r="BS841" s="135"/>
      <c r="BT841" s="176"/>
      <c r="BU841" s="167"/>
      <c r="BV841" s="168"/>
      <c r="BW841" s="167"/>
      <c r="BX841" s="168"/>
      <c r="BY841" s="167"/>
      <c r="BZ841" s="176"/>
      <c r="CA841" s="167"/>
      <c r="CB841" s="168"/>
      <c r="CC841" s="167"/>
      <c r="CD841" s="168"/>
      <c r="CE841" s="62"/>
      <c r="CF841" s="62"/>
      <c r="CG841" s="9"/>
      <c r="CH841" s="9"/>
      <c r="CI841" s="9"/>
      <c r="CJ841" s="9"/>
      <c r="CK841" s="9"/>
      <c r="CL841" s="9"/>
      <c r="CM841" s="9"/>
      <c r="CN841" s="9"/>
      <c r="CO841" s="9"/>
      <c r="CP841" s="9"/>
    </row>
    <row r="842" spans="1:94" ht="30" x14ac:dyDescent="0.25">
      <c r="A842" s="127" t="s">
        <v>2692</v>
      </c>
      <c r="B842" s="51" t="s">
        <v>2693</v>
      </c>
      <c r="C842" s="62"/>
      <c r="D842" s="84">
        <v>3</v>
      </c>
      <c r="E842" s="62" t="s">
        <v>351</v>
      </c>
      <c r="F842" s="62">
        <v>5</v>
      </c>
      <c r="G842" s="62"/>
      <c r="H842" s="50">
        <f>VLOOKUP($A842,'[1]ma sp 02'!$A$5:$BD$1101,H$1,0)</f>
        <v>0.216</v>
      </c>
      <c r="I842" s="50">
        <f>VLOOKUP($A842,'[1]ma sp 02'!$A$5:$BD$1101,I$1,0)</f>
        <v>3.677</v>
      </c>
      <c r="J842" s="50">
        <f>VLOOKUP($A842,'[1]ma sp 02'!$A$5:$BD$1101,J$1,0)</f>
        <v>0.108</v>
      </c>
      <c r="K842" s="50">
        <f>VLOOKUP($A842,'[1]ma sp 02'!$A$5:$BD$1101,K$1,0)</f>
        <v>0</v>
      </c>
      <c r="L842" s="50">
        <f>VLOOKUP($A842,'[1]ma sp 02'!$A$5:$BD$1101,L$1,0)</f>
        <v>0.108</v>
      </c>
      <c r="M842" s="50">
        <f>VLOOKUP($A842,'[1]ma sp 02'!$A$5:$BD$1101,M$1,0)</f>
        <v>3.2450000000000001</v>
      </c>
      <c r="N842" s="50">
        <f>VLOOKUP($A842,'[1]ma sp 02'!$A$5:$BD$1101,N$1,0)</f>
        <v>0</v>
      </c>
      <c r="O842" s="50">
        <f>VLOOKUP($A842,'[1]ma sp 02'!$A$5:$BD$1101,O$1,0)</f>
        <v>0</v>
      </c>
      <c r="P842" s="50">
        <f>VLOOKUP($A842,'[1]ma sp 02'!$A$5:$BD$1101,P$1,0)</f>
        <v>0</v>
      </c>
      <c r="Q842" s="50">
        <f>VLOOKUP($A842,'[1]ma sp 02'!$A$5:$BD$1101,Q$1,0)</f>
        <v>0</v>
      </c>
      <c r="R842" s="50">
        <f>VLOOKUP($A842,'[1]ma sp 02'!$A$5:$BD$1101,R$1,0)</f>
        <v>0</v>
      </c>
      <c r="S842" s="50">
        <f>VLOOKUP($A842,'[1]ma sp 02'!$A$5:$BD$1101,S$1,0)</f>
        <v>0</v>
      </c>
      <c r="T842" s="50">
        <f>VLOOKUP($A842,'[1]ma sp 02'!$A$5:$BD$1101,T$1,0)</f>
        <v>0</v>
      </c>
      <c r="U842" s="50">
        <f>VLOOKUP($A842,'[1]ma sp 02'!$A$5:$BD$1101,U$1,0)</f>
        <v>0</v>
      </c>
      <c r="V842" s="50">
        <f>VLOOKUP($A842,'[1]ma sp 02'!$A$5:$BD$1101,V$1,0)</f>
        <v>0</v>
      </c>
      <c r="W842" s="50">
        <f>VLOOKUP($A842,'[1]ma sp 02'!$A$5:$BD$1101,W$1,0)</f>
        <v>0</v>
      </c>
      <c r="X842" s="50"/>
      <c r="Y842" s="62"/>
      <c r="Z842" s="62"/>
      <c r="AA842" s="62"/>
      <c r="AB842" s="62"/>
      <c r="AC842" s="62"/>
      <c r="AD842" s="62"/>
      <c r="AE842" s="62" t="s">
        <v>352</v>
      </c>
      <c r="AF842" s="62" t="s">
        <v>2425</v>
      </c>
      <c r="AG842" s="53">
        <f>(0.012*1.4+0.012*1.4+0.1*0.925)*0.8</f>
        <v>0.10088000000000003</v>
      </c>
      <c r="AH842" s="54">
        <f>(2.5/0.75/2)*0.79</f>
        <v>1.3166666666666669</v>
      </c>
      <c r="AI842" s="54">
        <f>(2.5/0.75/2)*0.79</f>
        <v>1.3166666666666669</v>
      </c>
      <c r="AJ842" s="192">
        <v>9530</v>
      </c>
      <c r="AK842" s="62">
        <v>9530</v>
      </c>
      <c r="AL842" s="62" t="s">
        <v>1901</v>
      </c>
      <c r="AM842" s="61" t="s">
        <v>1489</v>
      </c>
      <c r="AN842" s="62">
        <v>190</v>
      </c>
      <c r="AO842" s="61" t="s">
        <v>2621</v>
      </c>
      <c r="AP842" s="59" t="str">
        <f>IFERROR(VLOOKUP($A842,[2]Mssp!$A$5:$BE$1463,AP$4+1,0),0)</f>
        <v>21010139-1</v>
      </c>
      <c r="AQ842" s="59" t="str">
        <f>IFERROR(VLOOKUP($A842,[2]Mssp!$A$5:$BE$1463,AQ$4+1,0),0)</f>
        <v>21010139-2</v>
      </c>
      <c r="AR842" s="59" t="str">
        <f>IFERROR(VLOOKUP($A842,[2]Mssp!$A$5:$BE$1463,AR$4+1,0),0)</f>
        <v>21010139-3</v>
      </c>
      <c r="AS842" s="59" t="str">
        <f>IFERROR(VLOOKUP($A842,[2]Mssp!$A$5:$BE$1463,AS$4+1,0),0)</f>
        <v>21010139-4</v>
      </c>
      <c r="AT842" s="59" t="str">
        <f>IFERROR(VLOOKUP($A842,[2]Mssp!$A$5:$BE$1463,AT$4+1,0),0)</f>
        <v>20120064-5</v>
      </c>
      <c r="AU842" s="59">
        <f>IFERROR(VLOOKUP($A842,[2]Mssp!$A$5:$BE$1463,AU$4+1,0),0)</f>
        <v>0</v>
      </c>
      <c r="AV842" s="59">
        <f>IFERROR(VLOOKUP($A842,[2]Mssp!$A$5:$BE$1463,AV$4+1,0),0)</f>
        <v>0</v>
      </c>
      <c r="AW842" s="59">
        <f>IFERROR(VLOOKUP($A842,[2]Mssp!$A$5:$BE$1463,AW$4+1,0),0)</f>
        <v>0</v>
      </c>
      <c r="AX842" s="59">
        <f>IFERROR(VLOOKUP($A842,[2]Mssp!$A$5:$BE$1463,AX$4+1,0),0)</f>
        <v>0</v>
      </c>
      <c r="AY842" s="59" t="str">
        <f>IFERROR(VLOOKUP($A842,[2]Mssp!$A$5:$BE$1463,AY$4+2,0),0)</f>
        <v>570x870</v>
      </c>
      <c r="AZ842" s="59">
        <f>IFERROR(VLOOKUP($A842,[2]Mssp!$A$5:$BE$1463,AZ$4+2,0),0)</f>
        <v>0</v>
      </c>
      <c r="BA842" s="141"/>
      <c r="BB842" s="61" t="s">
        <v>952</v>
      </c>
      <c r="BC842" s="165"/>
      <c r="BD842" s="166"/>
      <c r="BE842" s="167"/>
      <c r="BF842" s="168"/>
      <c r="BG842" s="167"/>
      <c r="BH842" s="168"/>
      <c r="BI842" s="169"/>
      <c r="BJ842" s="168"/>
      <c r="BK842" s="134"/>
      <c r="BL842" s="168"/>
      <c r="BM842" s="167"/>
      <c r="BN842" s="168"/>
      <c r="BO842" s="62"/>
      <c r="BP842" s="168"/>
      <c r="BQ842" s="168"/>
      <c r="BR842" s="168"/>
      <c r="BS842" s="135"/>
      <c r="BT842" s="176"/>
      <c r="BU842" s="167"/>
      <c r="BV842" s="168"/>
      <c r="BW842" s="167"/>
      <c r="BX842" s="168"/>
      <c r="BY842" s="167"/>
      <c r="BZ842" s="176"/>
      <c r="CA842" s="167"/>
      <c r="CB842" s="168"/>
      <c r="CC842" s="167"/>
      <c r="CD842" s="168"/>
      <c r="CE842" s="62"/>
      <c r="CF842" s="62"/>
      <c r="CG842" s="9"/>
      <c r="CH842" s="9"/>
      <c r="CI842" s="9"/>
      <c r="CJ842" s="9"/>
      <c r="CK842" s="9"/>
      <c r="CL842" s="9"/>
      <c r="CM842" s="9"/>
      <c r="CN842" s="9"/>
      <c r="CO842" s="9"/>
      <c r="CP842" s="9"/>
    </row>
    <row r="843" spans="1:94" ht="30" x14ac:dyDescent="0.25">
      <c r="A843" s="127" t="s">
        <v>2694</v>
      </c>
      <c r="B843" s="51" t="s">
        <v>2695</v>
      </c>
      <c r="C843" s="62"/>
      <c r="D843" s="84">
        <v>2</v>
      </c>
      <c r="E843" s="62" t="s">
        <v>131</v>
      </c>
      <c r="F843" s="62"/>
      <c r="G843" s="62"/>
      <c r="H843" s="50">
        <f>VLOOKUP($A843,'[1]ma sp 02'!$A$5:$BD$1101,H$1,0)</f>
        <v>0</v>
      </c>
      <c r="I843" s="50">
        <f>VLOOKUP($A843,'[1]ma sp 02'!$A$5:$BD$1101,I$1,0)</f>
        <v>0</v>
      </c>
      <c r="J843" s="50">
        <f>VLOOKUP($A843,'[1]ma sp 02'!$A$5:$BD$1101,J$1,0)</f>
        <v>0</v>
      </c>
      <c r="K843" s="50">
        <f>VLOOKUP($A843,'[1]ma sp 02'!$A$5:$BD$1101,K$1,0)</f>
        <v>0</v>
      </c>
      <c r="L843" s="50">
        <f>VLOOKUP($A843,'[1]ma sp 02'!$A$5:$BD$1101,L$1,0)</f>
        <v>0</v>
      </c>
      <c r="M843" s="50">
        <f>VLOOKUP($A843,'[1]ma sp 02'!$A$5:$BD$1101,M$1,0)</f>
        <v>0</v>
      </c>
      <c r="N843" s="50">
        <f>VLOOKUP($A843,'[1]ma sp 02'!$A$5:$BD$1101,N$1,0)</f>
        <v>0</v>
      </c>
      <c r="O843" s="50">
        <f>VLOOKUP($A843,'[1]ma sp 02'!$A$5:$BD$1101,O$1,0)</f>
        <v>0</v>
      </c>
      <c r="P843" s="50">
        <f>VLOOKUP($A843,'[1]ma sp 02'!$A$5:$BD$1101,P$1,0)</f>
        <v>0</v>
      </c>
      <c r="Q843" s="50">
        <f>VLOOKUP($A843,'[1]ma sp 02'!$A$5:$BD$1101,Q$1,0)</f>
        <v>0</v>
      </c>
      <c r="R843" s="50">
        <f>VLOOKUP($A843,'[1]ma sp 02'!$A$5:$BD$1101,R$1,0)</f>
        <v>0</v>
      </c>
      <c r="S843" s="50">
        <f>VLOOKUP($A843,'[1]ma sp 02'!$A$5:$BD$1101,S$1,0)</f>
        <v>0</v>
      </c>
      <c r="T843" s="50">
        <f>VLOOKUP($A843,'[1]ma sp 02'!$A$5:$BD$1101,T$1,0)</f>
        <v>0</v>
      </c>
      <c r="U843" s="50">
        <f>VLOOKUP($A843,'[1]ma sp 02'!$A$5:$BD$1101,U$1,0)</f>
        <v>0</v>
      </c>
      <c r="V843" s="50">
        <f>VLOOKUP($A843,'[1]ma sp 02'!$A$5:$BD$1101,V$1,0)</f>
        <v>0</v>
      </c>
      <c r="W843" s="50">
        <f>VLOOKUP($A843,'[1]ma sp 02'!$A$5:$BD$1101,W$1,0)</f>
        <v>0</v>
      </c>
      <c r="X843" s="50"/>
      <c r="Y843" s="62"/>
      <c r="Z843" s="62"/>
      <c r="AA843" s="62"/>
      <c r="AB843" s="62"/>
      <c r="AC843" s="62"/>
      <c r="AD843" s="62"/>
      <c r="AE843" s="62" t="s">
        <v>78</v>
      </c>
      <c r="AF843" s="62" t="s">
        <v>2679</v>
      </c>
      <c r="AG843" s="53">
        <f>(0.012*1.4+0.012*1.4+0.85*0.925)*0.62</f>
        <v>0.50830699999999995</v>
      </c>
      <c r="AH843" s="54">
        <f>(2.3/0.75/2)*0.61</f>
        <v>0.93533333333333324</v>
      </c>
      <c r="AI843" s="54">
        <f>(2.5/0.75/2)*0.61</f>
        <v>1.0166666666666666</v>
      </c>
      <c r="AJ843" s="192">
        <v>9530</v>
      </c>
      <c r="AK843" s="62">
        <v>9530</v>
      </c>
      <c r="AL843" s="62" t="s">
        <v>2680</v>
      </c>
      <c r="AM843" s="61" t="s">
        <v>74</v>
      </c>
      <c r="AN843" s="62">
        <v>260</v>
      </c>
      <c r="AO843" s="61" t="s">
        <v>2681</v>
      </c>
      <c r="AP843" s="59">
        <f>IFERROR(VLOOKUP($A843,[2]Mssp!$A$5:$BE$1463,AP$4+1,0),0)</f>
        <v>0</v>
      </c>
      <c r="AQ843" s="59">
        <f>IFERROR(VLOOKUP($A843,[2]Mssp!$A$5:$BE$1463,AQ$4+1,0),0)</f>
        <v>0</v>
      </c>
      <c r="AR843" s="59">
        <f>IFERROR(VLOOKUP($A843,[2]Mssp!$A$5:$BE$1463,AR$4+1,0),0)</f>
        <v>0</v>
      </c>
      <c r="AS843" s="59">
        <f>IFERROR(VLOOKUP($A843,[2]Mssp!$A$5:$BE$1463,AS$4+1,0),0)</f>
        <v>0</v>
      </c>
      <c r="AT843" s="59">
        <f>IFERROR(VLOOKUP($A843,[2]Mssp!$A$5:$BE$1463,AT$4+1,0),0)</f>
        <v>0</v>
      </c>
      <c r="AU843" s="59">
        <f>IFERROR(VLOOKUP($A843,[2]Mssp!$A$5:$BE$1463,AU$4+1,0),0)</f>
        <v>0</v>
      </c>
      <c r="AV843" s="59">
        <f>IFERROR(VLOOKUP($A843,[2]Mssp!$A$5:$BE$1463,AV$4+1,0),0)</f>
        <v>0</v>
      </c>
      <c r="AW843" s="59">
        <f>IFERROR(VLOOKUP($A843,[2]Mssp!$A$5:$BE$1463,AW$4+1,0),0)</f>
        <v>0</v>
      </c>
      <c r="AX843" s="59">
        <f>IFERROR(VLOOKUP($A843,[2]Mssp!$A$5:$BE$1463,AX$4+1,0),0)</f>
        <v>0</v>
      </c>
      <c r="AY843" s="59">
        <f>IFERROR(VLOOKUP($A843,[2]Mssp!$A$5:$BE$1463,AY$4+2,0),0)</f>
        <v>0</v>
      </c>
      <c r="AZ843" s="59">
        <f>IFERROR(VLOOKUP($A843,[2]Mssp!$A$5:$BE$1463,AZ$4+2,0),0)</f>
        <v>0</v>
      </c>
      <c r="BA843" s="141"/>
      <c r="BB843" s="61"/>
      <c r="BC843" s="165"/>
      <c r="BD843" s="166"/>
      <c r="BE843" s="167"/>
      <c r="BF843" s="168"/>
      <c r="BG843" s="167"/>
      <c r="BH843" s="168"/>
      <c r="BI843" s="169"/>
      <c r="BJ843" s="168"/>
      <c r="BK843" s="134"/>
      <c r="BL843" s="168"/>
      <c r="BM843" s="167"/>
      <c r="BN843" s="168"/>
      <c r="BO843" s="62"/>
      <c r="BP843" s="168"/>
      <c r="BQ843" s="168"/>
      <c r="BR843" s="168"/>
      <c r="BS843" s="135"/>
      <c r="BT843" s="176"/>
      <c r="BU843" s="167"/>
      <c r="BV843" s="168"/>
      <c r="BW843" s="167"/>
      <c r="BX843" s="168"/>
      <c r="BY843" s="167"/>
      <c r="BZ843" s="176"/>
      <c r="CA843" s="167"/>
      <c r="CB843" s="168"/>
      <c r="CC843" s="167"/>
      <c r="CD843" s="168"/>
      <c r="CE843" s="62"/>
      <c r="CF843" s="62"/>
      <c r="CG843" s="9"/>
      <c r="CH843" s="9"/>
      <c r="CI843" s="9"/>
      <c r="CJ843" s="9"/>
      <c r="CK843" s="9"/>
      <c r="CL843" s="9"/>
      <c r="CM843" s="9"/>
      <c r="CN843" s="9"/>
      <c r="CO843" s="9"/>
      <c r="CP843" s="9"/>
    </row>
    <row r="844" spans="1:94" ht="30" x14ac:dyDescent="0.25">
      <c r="A844" s="127" t="s">
        <v>2696</v>
      </c>
      <c r="B844" s="51" t="s">
        <v>2697</v>
      </c>
      <c r="C844" s="62"/>
      <c r="D844" s="84">
        <v>2</v>
      </c>
      <c r="E844" s="62" t="s">
        <v>315</v>
      </c>
      <c r="F844" s="62">
        <v>6</v>
      </c>
      <c r="G844" s="62"/>
      <c r="H844" s="50">
        <f>VLOOKUP($A844,'[1]ma sp 02'!$A$5:$BD$1101,H$1,0)</f>
        <v>0</v>
      </c>
      <c r="I844" s="50">
        <f>VLOOKUP($A844,'[1]ma sp 02'!$A$5:$BD$1101,I$1,0)</f>
        <v>3.3380000000000001</v>
      </c>
      <c r="J844" s="50">
        <f>VLOOKUP($A844,'[1]ma sp 02'!$A$5:$BD$1101,J$1,0)</f>
        <v>0</v>
      </c>
      <c r="K844" s="50">
        <f>VLOOKUP($A844,'[1]ma sp 02'!$A$5:$BD$1101,K$1,0)</f>
        <v>0</v>
      </c>
      <c r="L844" s="50">
        <f>VLOOKUP($A844,'[1]ma sp 02'!$A$5:$BD$1101,L$1,0)</f>
        <v>0.104</v>
      </c>
      <c r="M844" s="50">
        <f>VLOOKUP($A844,'[1]ma sp 02'!$A$5:$BD$1101,M$1,0)</f>
        <v>1.4610000000000001</v>
      </c>
      <c r="N844" s="50">
        <f>VLOOKUP($A844,'[1]ma sp 02'!$A$5:$BD$1101,N$1,0)</f>
        <v>0</v>
      </c>
      <c r="O844" s="50">
        <f>VLOOKUP($A844,'[1]ma sp 02'!$A$5:$BD$1101,O$1,0)</f>
        <v>0</v>
      </c>
      <c r="P844" s="50">
        <f>VLOOKUP($A844,'[1]ma sp 02'!$A$5:$BD$1101,P$1,0)</f>
        <v>1.0429999999999999</v>
      </c>
      <c r="Q844" s="50">
        <f>VLOOKUP($A844,'[1]ma sp 02'!$A$5:$BD$1101,Q$1,0)</f>
        <v>0.313</v>
      </c>
      <c r="R844" s="50">
        <f>VLOOKUP($A844,'[1]ma sp 02'!$A$5:$BD$1101,R$1,0)</f>
        <v>0.20899999999999999</v>
      </c>
      <c r="S844" s="50">
        <f>VLOOKUP($A844,'[1]ma sp 02'!$A$5:$BD$1101,S$1,0)</f>
        <v>0</v>
      </c>
      <c r="T844" s="50">
        <f>VLOOKUP($A844,'[1]ma sp 02'!$A$5:$BD$1101,T$1,0)</f>
        <v>0</v>
      </c>
      <c r="U844" s="50">
        <f>VLOOKUP($A844,'[1]ma sp 02'!$A$5:$BD$1101,U$1,0)</f>
        <v>0</v>
      </c>
      <c r="V844" s="50">
        <f>VLOOKUP($A844,'[1]ma sp 02'!$A$5:$BD$1101,V$1,0)</f>
        <v>0</v>
      </c>
      <c r="W844" s="50">
        <f>VLOOKUP($A844,'[1]ma sp 02'!$A$5:$BD$1101,W$1,0)</f>
        <v>0</v>
      </c>
      <c r="X844" s="50"/>
      <c r="Y844" s="62"/>
      <c r="Z844" s="62"/>
      <c r="AA844" s="62"/>
      <c r="AB844" s="62"/>
      <c r="AC844" s="62"/>
      <c r="AD844" s="62"/>
      <c r="AE844" s="62" t="s">
        <v>525</v>
      </c>
      <c r="AF844" s="62" t="s">
        <v>526</v>
      </c>
      <c r="AG844" s="53">
        <f>(0.012*1.4+0.012*1.4+0.85*0.925)*0.82</f>
        <v>0.6722769999999999</v>
      </c>
      <c r="AH844" s="54">
        <f>(2.3/0.75/2)*0.61</f>
        <v>0.93533333333333324</v>
      </c>
      <c r="AI844" s="54">
        <f>(3/0.75/2)*0.81</f>
        <v>1.62</v>
      </c>
      <c r="AJ844" s="192">
        <v>9530</v>
      </c>
      <c r="AK844" s="62">
        <v>9530</v>
      </c>
      <c r="AL844" s="62" t="s">
        <v>1892</v>
      </c>
      <c r="AM844" s="61" t="s">
        <v>74</v>
      </c>
      <c r="AN844" s="62">
        <v>285</v>
      </c>
      <c r="AO844" s="61" t="s">
        <v>2698</v>
      </c>
      <c r="AP844" s="59" t="str">
        <f>IFERROR(VLOOKUP($A844,[2]Mssp!$A$5:$BE$1463,AP$4+1,0),0)</f>
        <v>21010278-1</v>
      </c>
      <c r="AQ844" s="59" t="str">
        <f>IFERROR(VLOOKUP($A844,[2]Mssp!$A$5:$BE$1463,AQ$4+1,0),0)</f>
        <v>21010278-2</v>
      </c>
      <c r="AR844" s="59" t="str">
        <f>IFERROR(VLOOKUP($A844,[2]Mssp!$A$5:$BE$1463,AR$4+1,0),0)</f>
        <v>21010278-3</v>
      </c>
      <c r="AS844" s="59" t="str">
        <f>IFERROR(VLOOKUP($A844,[2]Mssp!$A$5:$BE$1463,AS$4+1,0),0)</f>
        <v>21010278-4</v>
      </c>
      <c r="AT844" s="59" t="str">
        <f>IFERROR(VLOOKUP($A844,[2]Mssp!$A$5:$BE$1463,AT$4+1,0),0)</f>
        <v>21010278-5</v>
      </c>
      <c r="AU844" s="59" t="str">
        <f>IFERROR(VLOOKUP($A844,[2]Mssp!$A$5:$BE$1463,AU$4+1,0),0)</f>
        <v>21010278-6</v>
      </c>
      <c r="AV844" s="59">
        <f>IFERROR(VLOOKUP($A844,[2]Mssp!$A$5:$BE$1463,AV$4+1,0),0)</f>
        <v>0</v>
      </c>
      <c r="AW844" s="59">
        <f>IFERROR(VLOOKUP($A844,[2]Mssp!$A$5:$BE$1463,AW$4+1,0),0)</f>
        <v>0</v>
      </c>
      <c r="AX844" s="59">
        <f>IFERROR(VLOOKUP($A844,[2]Mssp!$A$5:$BE$1463,AX$4+1,0),0)</f>
        <v>0</v>
      </c>
      <c r="AY844" s="59" t="str">
        <f>IFERROR(VLOOKUP($A844,[2]Mssp!$A$5:$BE$1463,AY$4+2,0),0)</f>
        <v>570x870</v>
      </c>
      <c r="AZ844" s="59">
        <f>IFERROR(VLOOKUP($A844,[2]Mssp!$A$5:$BE$1463,AZ$4+2,0),0)</f>
        <v>0</v>
      </c>
      <c r="BA844" s="141"/>
      <c r="BB844" s="61" t="s">
        <v>1894</v>
      </c>
      <c r="BC844" s="165"/>
      <c r="BD844" s="166"/>
      <c r="BE844" s="167"/>
      <c r="BF844" s="168"/>
      <c r="BG844" s="167"/>
      <c r="BH844" s="168"/>
      <c r="BI844" s="169"/>
      <c r="BJ844" s="168"/>
      <c r="BK844" s="134"/>
      <c r="BL844" s="168"/>
      <c r="BM844" s="167"/>
      <c r="BN844" s="168"/>
      <c r="BO844" s="62"/>
      <c r="BP844" s="168"/>
      <c r="BQ844" s="168"/>
      <c r="BR844" s="168"/>
      <c r="BS844" s="135"/>
      <c r="BT844" s="176"/>
      <c r="BU844" s="167"/>
      <c r="BV844" s="168"/>
      <c r="BW844" s="167"/>
      <c r="BX844" s="168"/>
      <c r="BY844" s="167"/>
      <c r="BZ844" s="176"/>
      <c r="CA844" s="167"/>
      <c r="CB844" s="168"/>
      <c r="CC844" s="167"/>
      <c r="CD844" s="168"/>
      <c r="CE844" s="62"/>
      <c r="CF844" s="62"/>
      <c r="CG844" s="9"/>
      <c r="CH844" s="9"/>
      <c r="CI844" s="9"/>
      <c r="CJ844" s="9"/>
      <c r="CK844" s="9"/>
      <c r="CL844" s="9"/>
      <c r="CM844" s="9"/>
      <c r="CN844" s="9"/>
      <c r="CO844" s="9"/>
      <c r="CP844" s="9"/>
    </row>
    <row r="845" spans="1:94" ht="30" x14ac:dyDescent="0.25">
      <c r="A845" s="127" t="s">
        <v>2699</v>
      </c>
      <c r="B845" s="51" t="s">
        <v>2700</v>
      </c>
      <c r="C845" s="62"/>
      <c r="D845" s="84">
        <v>1</v>
      </c>
      <c r="E845" s="62" t="s">
        <v>97</v>
      </c>
      <c r="F845" s="62">
        <v>7</v>
      </c>
      <c r="G845" s="62"/>
      <c r="H845" s="50">
        <f>VLOOKUP($A845,'[1]ma sp 02'!$A$5:$BD$1101,H$1,0)</f>
        <v>0</v>
      </c>
      <c r="I845" s="50">
        <f>VLOOKUP($A845,'[1]ma sp 02'!$A$5:$BD$1101,I$1,0)</f>
        <v>0</v>
      </c>
      <c r="J845" s="50">
        <f>VLOOKUP($A845,'[1]ma sp 02'!$A$5:$BD$1101,J$1,0)</f>
        <v>0.70899999999999996</v>
      </c>
      <c r="K845" s="50">
        <f>VLOOKUP($A845,'[1]ma sp 02'!$A$5:$BD$1101,K$1,0)</f>
        <v>0.14199999999999999</v>
      </c>
      <c r="L845" s="50">
        <f>VLOOKUP($A845,'[1]ma sp 02'!$A$5:$BD$1101,L$1,0)</f>
        <v>2.41</v>
      </c>
      <c r="M845" s="50">
        <f>VLOOKUP($A845,'[1]ma sp 02'!$A$5:$BD$1101,M$1,0)</f>
        <v>0</v>
      </c>
      <c r="N845" s="50">
        <f>VLOOKUP($A845,'[1]ma sp 02'!$A$5:$BD$1101,N$1,0)</f>
        <v>0</v>
      </c>
      <c r="O845" s="50">
        <f>VLOOKUP($A845,'[1]ma sp 02'!$A$5:$BD$1101,O$1,0)</f>
        <v>0</v>
      </c>
      <c r="P845" s="50">
        <f>VLOOKUP($A845,'[1]ma sp 02'!$A$5:$BD$1101,P$1,0)</f>
        <v>0.85</v>
      </c>
      <c r="Q845" s="50">
        <f>VLOOKUP($A845,'[1]ma sp 02'!$A$5:$BD$1101,Q$1,0)</f>
        <v>1.27</v>
      </c>
      <c r="R845" s="50">
        <f>VLOOKUP($A845,'[1]ma sp 02'!$A$5:$BD$1101,R$1,0)</f>
        <v>0.7</v>
      </c>
      <c r="S845" s="50">
        <f>VLOOKUP($A845,'[1]ma sp 02'!$A$5:$BD$1101,S$1,0)</f>
        <v>0</v>
      </c>
      <c r="T845" s="50">
        <f>VLOOKUP($A845,'[1]ma sp 02'!$A$5:$BD$1101,T$1,0)</f>
        <v>0</v>
      </c>
      <c r="U845" s="50">
        <f>VLOOKUP($A845,'[1]ma sp 02'!$A$5:$BD$1101,U$1,0)</f>
        <v>0</v>
      </c>
      <c r="V845" s="50">
        <f>VLOOKUP($A845,'[1]ma sp 02'!$A$5:$BD$1101,V$1,0)</f>
        <v>0</v>
      </c>
      <c r="W845" s="50">
        <f>VLOOKUP($A845,'[1]ma sp 02'!$A$5:$BD$1101,W$1,0)</f>
        <v>0</v>
      </c>
      <c r="X845" s="50"/>
      <c r="Y845" s="62"/>
      <c r="Z845" s="62"/>
      <c r="AA845" s="62"/>
      <c r="AB845" s="62"/>
      <c r="AC845" s="62"/>
      <c r="AD845" s="62"/>
      <c r="AE845" s="62"/>
      <c r="AF845" s="62"/>
      <c r="AG845" s="53"/>
      <c r="AH845" s="54"/>
      <c r="AI845" s="54"/>
      <c r="AJ845" s="192"/>
      <c r="AK845" s="62"/>
      <c r="AL845" s="62"/>
      <c r="AM845" s="61"/>
      <c r="AN845" s="62"/>
      <c r="AO845" s="61" t="s">
        <v>2698</v>
      </c>
      <c r="AP845" s="59" t="str">
        <f>IFERROR(VLOOKUP($A845,[2]Mssp!$A$5:$BE$1463,AP$4+1,0),0)</f>
        <v>21010279-1</v>
      </c>
      <c r="AQ845" s="59" t="str">
        <f>IFERROR(VLOOKUP($A845,[2]Mssp!$A$5:$BE$1463,AQ$4+1,0),0)</f>
        <v>21010279-2</v>
      </c>
      <c r="AR845" s="59" t="str">
        <f>IFERROR(VLOOKUP($A845,[2]Mssp!$A$5:$BE$1463,AR$4+1,0),0)</f>
        <v>21010279-3</v>
      </c>
      <c r="AS845" s="59" t="str">
        <f>IFERROR(VLOOKUP($A845,[2]Mssp!$A$5:$BE$1463,AS$4+1,0),0)</f>
        <v>21010279-4</v>
      </c>
      <c r="AT845" s="59" t="str">
        <f>IFERROR(VLOOKUP($A845,[2]Mssp!$A$5:$BE$1463,AT$4+1,0),0)</f>
        <v>21010279-5</v>
      </c>
      <c r="AU845" s="59" t="str">
        <f>IFERROR(VLOOKUP($A845,[2]Mssp!$A$5:$BE$1463,AU$4+1,0),0)</f>
        <v>21010279-6</v>
      </c>
      <c r="AV845" s="59" t="str">
        <f>IFERROR(VLOOKUP($A845,[2]Mssp!$A$5:$BE$1463,AV$4+1,0),0)</f>
        <v>21010279-7</v>
      </c>
      <c r="AW845" s="59">
        <f>IFERROR(VLOOKUP($A845,[2]Mssp!$A$5:$BE$1463,AW$4+1,0),0)</f>
        <v>0</v>
      </c>
      <c r="AX845" s="59">
        <f>IFERROR(VLOOKUP($A845,[2]Mssp!$A$5:$BE$1463,AX$4+1,0),0)</f>
        <v>0</v>
      </c>
      <c r="AY845" s="59" t="str">
        <f>IFERROR(VLOOKUP($A845,[2]Mssp!$A$5:$BE$1463,AY$4+2,0),0)</f>
        <v>750x810</v>
      </c>
      <c r="AZ845" s="59">
        <f>IFERROR(VLOOKUP($A845,[2]Mssp!$A$5:$BE$1463,AZ$4+2,0),0)</f>
        <v>0</v>
      </c>
      <c r="BA845" s="141"/>
      <c r="BB845" s="61" t="s">
        <v>952</v>
      </c>
      <c r="BC845" s="165"/>
      <c r="BD845" s="166"/>
      <c r="BE845" s="167"/>
      <c r="BF845" s="168"/>
      <c r="BG845" s="167"/>
      <c r="BH845" s="168"/>
      <c r="BI845" s="169"/>
      <c r="BJ845" s="168"/>
      <c r="BK845" s="134"/>
      <c r="BL845" s="168"/>
      <c r="BM845" s="167"/>
      <c r="BN845" s="168"/>
      <c r="BO845" s="62"/>
      <c r="BP845" s="168"/>
      <c r="BQ845" s="168"/>
      <c r="BR845" s="168"/>
      <c r="BS845" s="135"/>
      <c r="BT845" s="176"/>
      <c r="BU845" s="167"/>
      <c r="BV845" s="168"/>
      <c r="BW845" s="167"/>
      <c r="BX845" s="168"/>
      <c r="BY845" s="167"/>
      <c r="BZ845" s="176"/>
      <c r="CA845" s="167"/>
      <c r="CB845" s="168"/>
      <c r="CC845" s="167"/>
      <c r="CD845" s="168"/>
      <c r="CE845" s="62"/>
      <c r="CF845" s="62"/>
      <c r="CG845" s="9"/>
      <c r="CH845" s="9"/>
      <c r="CI845" s="9"/>
      <c r="CJ845" s="9"/>
      <c r="CK845" s="9"/>
      <c r="CL845" s="9"/>
      <c r="CM845" s="9"/>
      <c r="CN845" s="9"/>
      <c r="CO845" s="9"/>
      <c r="CP845" s="9"/>
    </row>
    <row r="846" spans="1:94" ht="30" x14ac:dyDescent="0.25">
      <c r="A846" s="127" t="s">
        <v>2701</v>
      </c>
      <c r="B846" s="51" t="s">
        <v>2702</v>
      </c>
      <c r="C846" s="62"/>
      <c r="D846" s="84">
        <v>8</v>
      </c>
      <c r="E846" s="62" t="s">
        <v>331</v>
      </c>
      <c r="F846" s="62">
        <v>3</v>
      </c>
      <c r="G846" s="62"/>
      <c r="H846" s="50">
        <f>VLOOKUP($A846,'[1]ma sp 02'!$A$5:$BD$1101,H$1,0)</f>
        <v>0.42099999999999999</v>
      </c>
      <c r="I846" s="50">
        <f>VLOOKUP($A846,'[1]ma sp 02'!$A$5:$BD$1101,I$1,0)</f>
        <v>3.5579999999999998</v>
      </c>
      <c r="J846" s="50">
        <f>VLOOKUP($A846,'[1]ma sp 02'!$A$5:$BD$1101,J$1,0)</f>
        <v>0.374</v>
      </c>
      <c r="K846" s="50">
        <f>VLOOKUP($A846,'[1]ma sp 02'!$A$5:$BD$1101,K$1,0)</f>
        <v>0</v>
      </c>
      <c r="L846" s="50">
        <f>VLOOKUP($A846,'[1]ma sp 02'!$A$5:$BD$1101,L$1,0)</f>
        <v>0.28100000000000003</v>
      </c>
      <c r="M846" s="50">
        <f>VLOOKUP($A846,'[1]ma sp 02'!$A$5:$BD$1101,M$1,0)</f>
        <v>0</v>
      </c>
      <c r="N846" s="50">
        <f>VLOOKUP($A846,'[1]ma sp 02'!$A$5:$BD$1101,N$1,0)</f>
        <v>0</v>
      </c>
      <c r="O846" s="50">
        <f>VLOOKUP($A846,'[1]ma sp 02'!$A$5:$BD$1101,O$1,0)</f>
        <v>1.919</v>
      </c>
      <c r="P846" s="50">
        <f>VLOOKUP($A846,'[1]ma sp 02'!$A$5:$BD$1101,P$1,0)</f>
        <v>0</v>
      </c>
      <c r="Q846" s="50">
        <f>VLOOKUP($A846,'[1]ma sp 02'!$A$5:$BD$1101,Q$1,0)</f>
        <v>0</v>
      </c>
      <c r="R846" s="50">
        <f>VLOOKUP($A846,'[1]ma sp 02'!$A$5:$BD$1101,R$1,0)</f>
        <v>0</v>
      </c>
      <c r="S846" s="50">
        <f>VLOOKUP($A846,'[1]ma sp 02'!$A$5:$BD$1101,S$1,0)</f>
        <v>0</v>
      </c>
      <c r="T846" s="50">
        <f>VLOOKUP($A846,'[1]ma sp 02'!$A$5:$BD$1101,T$1,0)</f>
        <v>0</v>
      </c>
      <c r="U846" s="50">
        <f>VLOOKUP($A846,'[1]ma sp 02'!$A$5:$BD$1101,U$1,0)</f>
        <v>0</v>
      </c>
      <c r="V846" s="50">
        <f>VLOOKUP($A846,'[1]ma sp 02'!$A$5:$BD$1101,V$1,0)</f>
        <v>0</v>
      </c>
      <c r="W846" s="50">
        <f>VLOOKUP($A846,'[1]ma sp 02'!$A$5:$BD$1101,W$1,0)</f>
        <v>0</v>
      </c>
      <c r="X846" s="50"/>
      <c r="Y846" s="62"/>
      <c r="Z846" s="62"/>
      <c r="AA846" s="62"/>
      <c r="AB846" s="62"/>
      <c r="AC846" s="62"/>
      <c r="AD846" s="62"/>
      <c r="AE846" s="62" t="s">
        <v>91</v>
      </c>
      <c r="AF846" s="62"/>
      <c r="AG846" s="53">
        <f>(0.012*1.4+0.25*0.91)*0.7</f>
        <v>0.17101</v>
      </c>
      <c r="AH846" s="54">
        <f>(2.3/0.75/2)*0.69</f>
        <v>1.0579999999999998</v>
      </c>
      <c r="AI846" s="54"/>
      <c r="AJ846" s="192">
        <v>9530</v>
      </c>
      <c r="AK846" s="62"/>
      <c r="AL846" s="62">
        <v>2.3E-3</v>
      </c>
      <c r="AM846" s="61" t="s">
        <v>2703</v>
      </c>
      <c r="AN846" s="62">
        <v>55</v>
      </c>
      <c r="AO846" s="61" t="s">
        <v>2704</v>
      </c>
      <c r="AP846" s="59" t="str">
        <f>IFERROR(VLOOKUP($A846,[2]Mssp!$A$5:$BE$1463,AP$4+1,0),0)</f>
        <v>X112061F1-1</v>
      </c>
      <c r="AQ846" s="59" t="str">
        <f>IFERROR(VLOOKUP($A846,[2]Mssp!$A$5:$BE$1463,AQ$4+1,0),0)</f>
        <v>X112061F1-2</v>
      </c>
      <c r="AR846" s="59" t="str">
        <f>IFERROR(VLOOKUP($A846,[2]Mssp!$A$5:$BE$1463,AR$4+1,0),0)</f>
        <v>X111040-3</v>
      </c>
      <c r="AS846" s="59">
        <f>IFERROR(VLOOKUP($A846,[2]Mssp!$A$5:$BE$1463,AS$4+1,0),0)</f>
        <v>0</v>
      </c>
      <c r="AT846" s="59">
        <f>IFERROR(VLOOKUP($A846,[2]Mssp!$A$5:$BE$1463,AT$4+1,0),0)</f>
        <v>0</v>
      </c>
      <c r="AU846" s="59">
        <f>IFERROR(VLOOKUP($A846,[2]Mssp!$A$5:$BE$1463,AU$4+1,0),0)</f>
        <v>0</v>
      </c>
      <c r="AV846" s="59">
        <f>IFERROR(VLOOKUP($A846,[2]Mssp!$A$5:$BE$1463,AV$4+1,0),0)</f>
        <v>0</v>
      </c>
      <c r="AW846" s="59">
        <f>IFERROR(VLOOKUP($A846,[2]Mssp!$A$5:$BE$1463,AW$4+1,0),0)</f>
        <v>0</v>
      </c>
      <c r="AX846" s="59">
        <f>IFERROR(VLOOKUP($A846,[2]Mssp!$A$5:$BE$1463,AX$4+1,0),0)</f>
        <v>0</v>
      </c>
      <c r="AY846" s="59" t="str">
        <f>IFERROR(VLOOKUP($A846,[2]Mssp!$A$5:$BE$1463,AY$4+2,0),0)</f>
        <v>440x780</v>
      </c>
      <c r="AZ846" s="59">
        <f>IFERROR(VLOOKUP($A846,[2]Mssp!$A$5:$BE$1463,AZ$4+2,0),0)</f>
        <v>0</v>
      </c>
      <c r="BA846" s="141"/>
      <c r="BB846" s="61" t="s">
        <v>1894</v>
      </c>
      <c r="BC846" s="165"/>
      <c r="BD846" s="166"/>
      <c r="BE846" s="167"/>
      <c r="BF846" s="168"/>
      <c r="BG846" s="167"/>
      <c r="BH846" s="168"/>
      <c r="BI846" s="169"/>
      <c r="BJ846" s="168"/>
      <c r="BK846" s="134"/>
      <c r="BL846" s="168"/>
      <c r="BM846" s="167"/>
      <c r="BN846" s="168"/>
      <c r="BO846" s="62"/>
      <c r="BP846" s="168"/>
      <c r="BQ846" s="168"/>
      <c r="BR846" s="168"/>
      <c r="BS846" s="135"/>
      <c r="BT846" s="176"/>
      <c r="BU846" s="167"/>
      <c r="BV846" s="168"/>
      <c r="BW846" s="167"/>
      <c r="BX846" s="168"/>
      <c r="BY846" s="167"/>
      <c r="BZ846" s="176"/>
      <c r="CA846" s="167"/>
      <c r="CB846" s="168"/>
      <c r="CC846" s="167"/>
      <c r="CD846" s="168"/>
      <c r="CE846" s="62"/>
      <c r="CF846" s="62"/>
      <c r="CG846" s="9"/>
      <c r="CH846" s="9"/>
      <c r="CI846" s="9"/>
      <c r="CJ846" s="9"/>
      <c r="CK846" s="9"/>
      <c r="CL846" s="9"/>
      <c r="CM846" s="9"/>
      <c r="CN846" s="9"/>
      <c r="CO846" s="9"/>
      <c r="CP846" s="9"/>
    </row>
    <row r="847" spans="1:94" ht="30" x14ac:dyDescent="0.25">
      <c r="A847" s="127" t="s">
        <v>2705</v>
      </c>
      <c r="B847" s="51" t="s">
        <v>2706</v>
      </c>
      <c r="C847" s="62"/>
      <c r="D847" s="84">
        <v>4</v>
      </c>
      <c r="E847" s="62" t="s">
        <v>2707</v>
      </c>
      <c r="F847" s="62">
        <v>5</v>
      </c>
      <c r="G847" s="62"/>
      <c r="H847" s="50">
        <f>VLOOKUP($A847,'[1]ma sp 02'!$A$5:$BD$1101,H$1,0)</f>
        <v>0.35199999999999998</v>
      </c>
      <c r="I847" s="50">
        <f>VLOOKUP($A847,'[1]ma sp 02'!$A$5:$BD$1101,I$1,0)</f>
        <v>0</v>
      </c>
      <c r="J847" s="50">
        <f>VLOOKUP($A847,'[1]ma sp 02'!$A$5:$BD$1101,J$1,0)</f>
        <v>0.51700000000000002</v>
      </c>
      <c r="K847" s="50">
        <f>VLOOKUP($A847,'[1]ma sp 02'!$A$5:$BD$1101,K$1,0)</f>
        <v>0.42299999999999999</v>
      </c>
      <c r="L847" s="50">
        <f>VLOOKUP($A847,'[1]ma sp 02'!$A$5:$BD$1101,L$1,0)</f>
        <v>0.94</v>
      </c>
      <c r="M847" s="50">
        <f>VLOOKUP($A847,'[1]ma sp 02'!$A$5:$BD$1101,M$1,0)</f>
        <v>0</v>
      </c>
      <c r="N847" s="50">
        <f>VLOOKUP($A847,'[1]ma sp 02'!$A$5:$BD$1101,N$1,0)</f>
        <v>0</v>
      </c>
      <c r="O847" s="50">
        <f>VLOOKUP($A847,'[1]ma sp 02'!$A$5:$BD$1101,O$1,0)</f>
        <v>0.01</v>
      </c>
      <c r="P847" s="50">
        <f>VLOOKUP($A847,'[1]ma sp 02'!$A$5:$BD$1101,P$1,0)</f>
        <v>0</v>
      </c>
      <c r="Q847" s="50">
        <f>VLOOKUP($A847,'[1]ma sp 02'!$A$5:$BD$1101,Q$1,0)</f>
        <v>0.01</v>
      </c>
      <c r="R847" s="50">
        <f>VLOOKUP($A847,'[1]ma sp 02'!$A$5:$BD$1101,R$1,0)</f>
        <v>0</v>
      </c>
      <c r="S847" s="50">
        <f>VLOOKUP($A847,'[1]ma sp 02'!$A$5:$BD$1101,S$1,0)</f>
        <v>0</v>
      </c>
      <c r="T847" s="50">
        <f>VLOOKUP($A847,'[1]ma sp 02'!$A$5:$BD$1101,T$1,0)</f>
        <v>0.01</v>
      </c>
      <c r="U847" s="50">
        <f>VLOOKUP($A847,'[1]ma sp 02'!$A$5:$BD$1101,U$1,0)</f>
        <v>0</v>
      </c>
      <c r="V847" s="50">
        <f>VLOOKUP($A847,'[1]ma sp 02'!$A$5:$BD$1101,V$1,0)</f>
        <v>0</v>
      </c>
      <c r="W847" s="50">
        <f>VLOOKUP($A847,'[1]ma sp 02'!$A$5:$BD$1101,W$1,0)</f>
        <v>0</v>
      </c>
      <c r="X847" s="50"/>
      <c r="Y847" s="62"/>
      <c r="Z847" s="62"/>
      <c r="AA847" s="62"/>
      <c r="AB847" s="62"/>
      <c r="AC847" s="62"/>
      <c r="AD847" s="62"/>
      <c r="AE847" s="62" t="s">
        <v>583</v>
      </c>
      <c r="AF847" s="62" t="s">
        <v>2708</v>
      </c>
      <c r="AG847" s="53">
        <f>(0.012*1.4+0.006*2.7+0.1*0.925)*0.77</f>
        <v>9.6634999999999999E-2</v>
      </c>
      <c r="AH847" s="54">
        <f>(3.5/0.75/2)*0.69</f>
        <v>1.6099999999999999</v>
      </c>
      <c r="AI847" s="54">
        <f>(2.5/0.75/2)*0.69</f>
        <v>1.1499999999999999</v>
      </c>
      <c r="AJ847" s="9">
        <v>9530</v>
      </c>
      <c r="AK847" s="62">
        <v>9530</v>
      </c>
      <c r="AL847" s="62" t="s">
        <v>2709</v>
      </c>
      <c r="AM847" s="61" t="s">
        <v>1489</v>
      </c>
      <c r="AN847" s="62">
        <v>70</v>
      </c>
      <c r="AO847" s="61" t="s">
        <v>2710</v>
      </c>
      <c r="AP847" s="59" t="str">
        <f>IFERROR(VLOOKUP($A847,[2]Mssp!$A$5:$BE$1463,AP$4+1,0),0)</f>
        <v>X405359-1</v>
      </c>
      <c r="AQ847" s="59" t="str">
        <f>IFERROR(VLOOKUP($A847,[2]Mssp!$A$5:$BE$1463,AQ$4+1,0),0)</f>
        <v>X405359-2</v>
      </c>
      <c r="AR847" s="59" t="str">
        <f>IFERROR(VLOOKUP($A847,[2]Mssp!$A$5:$BE$1463,AR$4+1,0),0)</f>
        <v>X405359-3</v>
      </c>
      <c r="AS847" s="59" t="str">
        <f>IFERROR(VLOOKUP($A847,[2]Mssp!$A$5:$BE$1463,AS$4+1,0),0)</f>
        <v>X405359-4</v>
      </c>
      <c r="AT847" s="59" t="str">
        <f>IFERROR(VLOOKUP($A847,[2]Mssp!$A$5:$BE$1463,AT$4+1,0),0)</f>
        <v>X405359-5</v>
      </c>
      <c r="AU847" s="59" t="str">
        <f>IFERROR(VLOOKUP($A847,[2]Mssp!$A$5:$BE$1463,AU$4+1,0),0)</f>
        <v>X405359-6</v>
      </c>
      <c r="AV847" s="59">
        <f>IFERROR(VLOOKUP($A847,[2]Mssp!$A$5:$BE$1463,AV$4+1,0),0)</f>
        <v>0</v>
      </c>
      <c r="AW847" s="59">
        <f>IFERROR(VLOOKUP($A847,[2]Mssp!$A$5:$BE$1463,AW$4+1,0),0)</f>
        <v>0</v>
      </c>
      <c r="AX847" s="59">
        <f>IFERROR(VLOOKUP($A847,[2]Mssp!$A$5:$BE$1463,AX$4+1,0),0)</f>
        <v>0</v>
      </c>
      <c r="AY847" s="59" t="str">
        <f>IFERROR(VLOOKUP($A847,[2]Mssp!$A$5:$BE$1463,AY$4+2,0),0)</f>
        <v>490x870</v>
      </c>
      <c r="AZ847" s="59">
        <f>IFERROR(VLOOKUP($A847,[2]Mssp!$A$5:$BE$1463,AZ$4+2,0),0)</f>
        <v>0</v>
      </c>
      <c r="BA847" s="141"/>
      <c r="BB847" s="61" t="s">
        <v>952</v>
      </c>
      <c r="BC847" s="165"/>
      <c r="BD847" s="166"/>
      <c r="BE847" s="167"/>
      <c r="BF847" s="168"/>
      <c r="BG847" s="167"/>
      <c r="BH847" s="168"/>
      <c r="BI847" s="169"/>
      <c r="BJ847" s="168"/>
      <c r="BK847" s="134"/>
      <c r="BL847" s="168"/>
      <c r="BM847" s="167"/>
      <c r="BN847" s="168"/>
      <c r="BO847" s="62"/>
      <c r="BP847" s="168"/>
      <c r="BQ847" s="168"/>
      <c r="BR847" s="168"/>
      <c r="BS847" s="135"/>
      <c r="BT847" s="176"/>
      <c r="BU847" s="167"/>
      <c r="BV847" s="168"/>
      <c r="BW847" s="167"/>
      <c r="BX847" s="168"/>
      <c r="BY847" s="167"/>
      <c r="BZ847" s="176"/>
      <c r="CA847" s="167"/>
      <c r="CB847" s="168"/>
      <c r="CC847" s="167"/>
      <c r="CD847" s="168"/>
      <c r="CE847" s="62"/>
      <c r="CF847" s="62"/>
      <c r="CG847" s="9"/>
      <c r="CH847" s="9"/>
      <c r="CI847" s="9"/>
      <c r="CJ847" s="9"/>
      <c r="CK847" s="9"/>
      <c r="CL847" s="9"/>
      <c r="CM847" s="9"/>
      <c r="CN847" s="9"/>
      <c r="CO847" s="9"/>
      <c r="CP847" s="9"/>
    </row>
    <row r="848" spans="1:94" ht="30" x14ac:dyDescent="0.25">
      <c r="A848" s="127" t="s">
        <v>2711</v>
      </c>
      <c r="B848" s="51" t="s">
        <v>2712</v>
      </c>
      <c r="C848" s="62"/>
      <c r="D848" s="84">
        <v>3</v>
      </c>
      <c r="E848" s="62" t="s">
        <v>113</v>
      </c>
      <c r="F848" s="62">
        <v>8</v>
      </c>
      <c r="G848" s="62"/>
      <c r="H848" s="50">
        <f>VLOOKUP($A848,'[1]ma sp 02'!$A$5:$BD$1101,H$1,0)</f>
        <v>0.40600000000000003</v>
      </c>
      <c r="I848" s="50">
        <f>VLOOKUP($A848,'[1]ma sp 02'!$A$5:$BD$1101,I$1,0)</f>
        <v>3</v>
      </c>
      <c r="J848" s="50">
        <f>VLOOKUP($A848,'[1]ma sp 02'!$A$5:$BD$1101,J$1,0)</f>
        <v>0.24399999999999999</v>
      </c>
      <c r="K848" s="50">
        <f>VLOOKUP($A848,'[1]ma sp 02'!$A$5:$BD$1101,K$1,0)</f>
        <v>0.73099999999999998</v>
      </c>
      <c r="L848" s="50">
        <f>VLOOKUP($A848,'[1]ma sp 02'!$A$5:$BD$1101,L$1,0)</f>
        <v>3.9780000000000002</v>
      </c>
      <c r="M848" s="50">
        <f>VLOOKUP($A848,'[1]ma sp 02'!$A$5:$BD$1101,M$1,0)</f>
        <v>2.923</v>
      </c>
      <c r="N848" s="50">
        <f>VLOOKUP($A848,'[1]ma sp 02'!$A$5:$BD$1101,N$1,0)</f>
        <v>0</v>
      </c>
      <c r="O848" s="50">
        <f>VLOOKUP($A848,'[1]ma sp 02'!$A$5:$BD$1101,O$1,0)</f>
        <v>0.01</v>
      </c>
      <c r="P848" s="50">
        <f>VLOOKUP($A848,'[1]ma sp 02'!$A$5:$BD$1101,P$1,0)</f>
        <v>8.1000000000000003E-2</v>
      </c>
      <c r="Q848" s="50">
        <f>VLOOKUP($A848,'[1]ma sp 02'!$A$5:$BD$1101,Q$1,0)</f>
        <v>0</v>
      </c>
      <c r="R848" s="50">
        <f>VLOOKUP($A848,'[1]ma sp 02'!$A$5:$BD$1101,R$1,0)</f>
        <v>0</v>
      </c>
      <c r="S848" s="50">
        <f>VLOOKUP($A848,'[1]ma sp 02'!$A$5:$BD$1101,S$1,0)</f>
        <v>0.01</v>
      </c>
      <c r="T848" s="50">
        <f>VLOOKUP($A848,'[1]ma sp 02'!$A$5:$BD$1101,T$1,0)</f>
        <v>0</v>
      </c>
      <c r="U848" s="50">
        <f>VLOOKUP($A848,'[1]ma sp 02'!$A$5:$BD$1101,U$1,0)</f>
        <v>0</v>
      </c>
      <c r="V848" s="50">
        <f>VLOOKUP($A848,'[1]ma sp 02'!$A$5:$BD$1101,V$1,0)</f>
        <v>0</v>
      </c>
      <c r="W848" s="50">
        <f>VLOOKUP($A848,'[1]ma sp 02'!$A$5:$BD$1101,W$1,0)</f>
        <v>0</v>
      </c>
      <c r="X848" s="50"/>
      <c r="Y848" s="62"/>
      <c r="Z848" s="62"/>
      <c r="AA848" s="62"/>
      <c r="AB848" s="62"/>
      <c r="AC848" s="62"/>
      <c r="AD848" s="62"/>
      <c r="AE848" s="62" t="s">
        <v>115</v>
      </c>
      <c r="AF848" s="62" t="s">
        <v>2296</v>
      </c>
      <c r="AG848" s="53">
        <f>(0.012*1.4+0.012*1.4+0.85*0.925)*0.74</f>
        <v>0.60668899999999992</v>
      </c>
      <c r="AH848" s="54">
        <f>(2.3/0.75/2)*0.73</f>
        <v>1.1193333333333333</v>
      </c>
      <c r="AI848" s="54">
        <f>(2.3/0.75/2)*0.73</f>
        <v>1.1193333333333333</v>
      </c>
      <c r="AJ848" s="192">
        <v>9530</v>
      </c>
      <c r="AK848" s="62">
        <v>9530</v>
      </c>
      <c r="AL848" s="62" t="s">
        <v>1590</v>
      </c>
      <c r="AM848" s="61" t="s">
        <v>1489</v>
      </c>
      <c r="AN848" s="62">
        <v>180</v>
      </c>
      <c r="AO848" s="61" t="s">
        <v>2173</v>
      </c>
      <c r="AP848" s="59" t="str">
        <f>IFERROR(VLOOKUP($A848,[2]Mssp!$A$5:$BE$1463,AP$4+1,0),0)</f>
        <v>21010590-1</v>
      </c>
      <c r="AQ848" s="59" t="str">
        <f>IFERROR(VLOOKUP($A848,[2]Mssp!$A$5:$BE$1463,AQ$4+1,0),0)</f>
        <v>21010590-2</v>
      </c>
      <c r="AR848" s="59" t="str">
        <f>IFERROR(VLOOKUP($A848,[2]Mssp!$A$5:$BE$1463,AR$4+1,0),0)</f>
        <v>21010590-3</v>
      </c>
      <c r="AS848" s="59" t="str">
        <f>IFERROR(VLOOKUP($A848,[2]Mssp!$A$5:$BE$1463,AS$4+1,0),0)</f>
        <v>21010590-4</v>
      </c>
      <c r="AT848" s="59" t="str">
        <f>IFERROR(VLOOKUP($A848,[2]Mssp!$A$5:$BE$1463,AT$4+1,0),0)</f>
        <v>21010590-5</v>
      </c>
      <c r="AU848" s="59" t="str">
        <f>IFERROR(VLOOKUP($A848,[2]Mssp!$A$5:$BE$1463,AU$4+1,0),0)</f>
        <v>21010590-6</v>
      </c>
      <c r="AV848" s="59" t="str">
        <f>IFERROR(VLOOKUP($A848,[2]Mssp!$A$5:$BE$1463,AV$4+1,0),0)</f>
        <v>21010590-7</v>
      </c>
      <c r="AW848" s="59" t="str">
        <f>IFERROR(VLOOKUP($A848,[2]Mssp!$A$5:$BE$1463,AW$4+1,0),0)</f>
        <v>21010590-8</v>
      </c>
      <c r="AX848" s="59">
        <f>IFERROR(VLOOKUP($A848,[2]Mssp!$A$5:$BE$1463,AX$4+1,0),0)</f>
        <v>0</v>
      </c>
      <c r="AY848" s="59" t="str">
        <f>IFERROR(VLOOKUP($A848,[2]Mssp!$A$5:$BE$1463,AY$4+2,0),0)</f>
        <v>540x870</v>
      </c>
      <c r="AZ848" s="59">
        <f>IFERROR(VLOOKUP($A848,[2]Mssp!$A$5:$BE$1463,AZ$4+2,0),0)</f>
        <v>0</v>
      </c>
      <c r="BA848" s="141"/>
      <c r="BB848" s="61" t="s">
        <v>952</v>
      </c>
      <c r="BC848" s="165"/>
      <c r="BD848" s="166"/>
      <c r="BE848" s="167"/>
      <c r="BF848" s="168"/>
      <c r="BG848" s="167"/>
      <c r="BH848" s="168"/>
      <c r="BI848" s="169"/>
      <c r="BJ848" s="168"/>
      <c r="BK848" s="134"/>
      <c r="BL848" s="168"/>
      <c r="BM848" s="167"/>
      <c r="BN848" s="168"/>
      <c r="BO848" s="62"/>
      <c r="BP848" s="168"/>
      <c r="BQ848" s="168"/>
      <c r="BR848" s="168"/>
      <c r="BS848" s="135"/>
      <c r="BT848" s="176"/>
      <c r="BU848" s="167"/>
      <c r="BV848" s="168"/>
      <c r="BW848" s="167"/>
      <c r="BX848" s="168"/>
      <c r="BY848" s="167"/>
      <c r="BZ848" s="176"/>
      <c r="CA848" s="167"/>
      <c r="CB848" s="168"/>
      <c r="CC848" s="167"/>
      <c r="CD848" s="168"/>
      <c r="CE848" s="62"/>
      <c r="CF848" s="62"/>
      <c r="CG848" s="9"/>
      <c r="CH848" s="9"/>
      <c r="CI848" s="9"/>
      <c r="CJ848" s="9"/>
      <c r="CK848" s="9"/>
      <c r="CL848" s="9"/>
      <c r="CM848" s="9"/>
      <c r="CN848" s="9"/>
      <c r="CO848" s="9"/>
      <c r="CP848" s="9"/>
    </row>
    <row r="849" spans="1:94" ht="30" x14ac:dyDescent="0.25">
      <c r="A849" s="127" t="s">
        <v>2713</v>
      </c>
      <c r="B849" s="51" t="s">
        <v>2714</v>
      </c>
      <c r="C849" s="62"/>
      <c r="D849" s="84"/>
      <c r="E849" s="62" t="s">
        <v>158</v>
      </c>
      <c r="F849" s="62"/>
      <c r="G849" s="62"/>
      <c r="H849" s="50">
        <f>VLOOKUP($A849,'[1]ma sp 02'!$A$5:$BD$1101,H$1,0)</f>
        <v>0</v>
      </c>
      <c r="I849" s="50">
        <f>VLOOKUP($A849,'[1]ma sp 02'!$A$5:$BD$1101,I$1,0)</f>
        <v>0</v>
      </c>
      <c r="J849" s="50">
        <f>VLOOKUP($A849,'[1]ma sp 02'!$A$5:$BD$1101,J$1,0)</f>
        <v>0</v>
      </c>
      <c r="K849" s="50">
        <f>VLOOKUP($A849,'[1]ma sp 02'!$A$5:$BD$1101,K$1,0)</f>
        <v>0</v>
      </c>
      <c r="L849" s="50">
        <f>VLOOKUP($A849,'[1]ma sp 02'!$A$5:$BD$1101,L$1,0)</f>
        <v>0</v>
      </c>
      <c r="M849" s="50">
        <f>VLOOKUP($A849,'[1]ma sp 02'!$A$5:$BD$1101,M$1,0)</f>
        <v>0</v>
      </c>
      <c r="N849" s="50">
        <f>VLOOKUP($A849,'[1]ma sp 02'!$A$5:$BD$1101,N$1,0)</f>
        <v>0</v>
      </c>
      <c r="O849" s="50">
        <f>VLOOKUP($A849,'[1]ma sp 02'!$A$5:$BD$1101,O$1,0)</f>
        <v>0</v>
      </c>
      <c r="P849" s="50">
        <f>VLOOKUP($A849,'[1]ma sp 02'!$A$5:$BD$1101,P$1,0)</f>
        <v>0</v>
      </c>
      <c r="Q849" s="50">
        <f>VLOOKUP($A849,'[1]ma sp 02'!$A$5:$BD$1101,Q$1,0)</f>
        <v>0</v>
      </c>
      <c r="R849" s="50">
        <f>VLOOKUP($A849,'[1]ma sp 02'!$A$5:$BD$1101,R$1,0)</f>
        <v>0</v>
      </c>
      <c r="S849" s="50">
        <f>VLOOKUP($A849,'[1]ma sp 02'!$A$5:$BD$1101,S$1,0)</f>
        <v>0</v>
      </c>
      <c r="T849" s="50">
        <f>VLOOKUP($A849,'[1]ma sp 02'!$A$5:$BD$1101,T$1,0)</f>
        <v>0</v>
      </c>
      <c r="U849" s="50">
        <f>VLOOKUP($A849,'[1]ma sp 02'!$A$5:$BD$1101,U$1,0)</f>
        <v>0</v>
      </c>
      <c r="V849" s="50">
        <f>VLOOKUP($A849,'[1]ma sp 02'!$A$5:$BD$1101,V$1,0)</f>
        <v>0</v>
      </c>
      <c r="W849" s="50">
        <f>VLOOKUP($A849,'[1]ma sp 02'!$A$5:$BD$1101,W$1,0)</f>
        <v>0</v>
      </c>
      <c r="X849" s="50"/>
      <c r="Y849" s="62"/>
      <c r="Z849" s="62"/>
      <c r="AA849" s="62"/>
      <c r="AB849" s="62"/>
      <c r="AC849" s="62"/>
      <c r="AD849" s="62"/>
      <c r="AE849" s="62" t="s">
        <v>2408</v>
      </c>
      <c r="AF849" s="62"/>
      <c r="AG849" s="53">
        <f>(0.03*0.91+0.03*0.925)*0.8</f>
        <v>4.4040000000000003E-2</v>
      </c>
      <c r="AH849" s="54">
        <f>(2/0.75/2)*0.79</f>
        <v>1.0533333333333332</v>
      </c>
      <c r="AI849" s="54"/>
      <c r="AJ849" s="192" t="s">
        <v>1881</v>
      </c>
      <c r="AK849" s="62"/>
      <c r="AL849" s="62">
        <v>2E-3</v>
      </c>
      <c r="AM849" s="61" t="s">
        <v>1489</v>
      </c>
      <c r="AN849" s="62"/>
      <c r="AO849" s="61" t="s">
        <v>2715</v>
      </c>
      <c r="AP849" s="59">
        <f>IFERROR(VLOOKUP($A849,[2]Mssp!$A$5:$BE$1463,AP$4+1,0),0)</f>
        <v>0</v>
      </c>
      <c r="AQ849" s="59">
        <f>IFERROR(VLOOKUP($A849,[2]Mssp!$A$5:$BE$1463,AQ$4+1,0),0)</f>
        <v>0</v>
      </c>
      <c r="AR849" s="59">
        <f>IFERROR(VLOOKUP($A849,[2]Mssp!$A$5:$BE$1463,AR$4+1,0),0)</f>
        <v>0</v>
      </c>
      <c r="AS849" s="59">
        <f>IFERROR(VLOOKUP($A849,[2]Mssp!$A$5:$BE$1463,AS$4+1,0),0)</f>
        <v>0</v>
      </c>
      <c r="AT849" s="59">
        <f>IFERROR(VLOOKUP($A849,[2]Mssp!$A$5:$BE$1463,AT$4+1,0),0)</f>
        <v>0</v>
      </c>
      <c r="AU849" s="59">
        <f>IFERROR(VLOOKUP($A849,[2]Mssp!$A$5:$BE$1463,AU$4+1,0),0)</f>
        <v>0</v>
      </c>
      <c r="AV849" s="59">
        <f>IFERROR(VLOOKUP($A849,[2]Mssp!$A$5:$BE$1463,AV$4+1,0),0)</f>
        <v>0</v>
      </c>
      <c r="AW849" s="59">
        <f>IFERROR(VLOOKUP($A849,[2]Mssp!$A$5:$BE$1463,AW$4+1,0),0)</f>
        <v>0</v>
      </c>
      <c r="AX849" s="59">
        <f>IFERROR(VLOOKUP($A849,[2]Mssp!$A$5:$BE$1463,AX$4+1,0),0)</f>
        <v>0</v>
      </c>
      <c r="AY849" s="59">
        <f>IFERROR(VLOOKUP($A849,[2]Mssp!$A$5:$BE$1463,AY$4+2,0),0)</f>
        <v>0</v>
      </c>
      <c r="AZ849" s="59">
        <f>IFERROR(VLOOKUP($A849,[2]Mssp!$A$5:$BE$1463,AZ$4+2,0),0)</f>
        <v>0</v>
      </c>
      <c r="BA849" s="141"/>
      <c r="BB849" s="61" t="s">
        <v>952</v>
      </c>
      <c r="BC849" s="165"/>
      <c r="BD849" s="166"/>
      <c r="BE849" s="167"/>
      <c r="BF849" s="168"/>
      <c r="BG849" s="167"/>
      <c r="BH849" s="168"/>
      <c r="BI849" s="169"/>
      <c r="BJ849" s="168"/>
      <c r="BK849" s="134"/>
      <c r="BL849" s="168"/>
      <c r="BM849" s="167"/>
      <c r="BN849" s="168"/>
      <c r="BO849" s="62"/>
      <c r="BP849" s="168"/>
      <c r="BQ849" s="168"/>
      <c r="BR849" s="168"/>
      <c r="BS849" s="135"/>
      <c r="BT849" s="176"/>
      <c r="BU849" s="167"/>
      <c r="BV849" s="168"/>
      <c r="BW849" s="167"/>
      <c r="BX849" s="168"/>
      <c r="BY849" s="167"/>
      <c r="BZ849" s="176"/>
      <c r="CA849" s="167"/>
      <c r="CB849" s="168"/>
      <c r="CC849" s="167"/>
      <c r="CD849" s="168"/>
      <c r="CE849" s="62"/>
      <c r="CF849" s="62"/>
      <c r="CG849" s="9"/>
      <c r="CH849" s="9"/>
      <c r="CI849" s="9"/>
      <c r="CJ849" s="9"/>
      <c r="CK849" s="9"/>
      <c r="CL849" s="9"/>
      <c r="CM849" s="9"/>
      <c r="CN849" s="9"/>
      <c r="CO849" s="9"/>
      <c r="CP849" s="9"/>
    </row>
    <row r="850" spans="1:94" x14ac:dyDescent="0.25">
      <c r="A850" s="127" t="s">
        <v>2716</v>
      </c>
      <c r="B850" s="51" t="s">
        <v>2717</v>
      </c>
      <c r="C850" s="62"/>
      <c r="D850" s="84"/>
      <c r="E850" s="62" t="s">
        <v>841</v>
      </c>
      <c r="F850" s="62"/>
      <c r="G850" s="62"/>
      <c r="H850" s="50">
        <f>VLOOKUP($A850,'[1]ma sp 02'!$A$5:$BD$1101,H$1,0)</f>
        <v>0</v>
      </c>
      <c r="I850" s="50">
        <f>VLOOKUP($A850,'[1]ma sp 02'!$A$5:$BD$1101,I$1,0)</f>
        <v>0</v>
      </c>
      <c r="J850" s="50">
        <f>VLOOKUP($A850,'[1]ma sp 02'!$A$5:$BD$1101,J$1,0)</f>
        <v>0</v>
      </c>
      <c r="K850" s="50">
        <f>VLOOKUP($A850,'[1]ma sp 02'!$A$5:$BD$1101,K$1,0)</f>
        <v>0</v>
      </c>
      <c r="L850" s="50">
        <f>VLOOKUP($A850,'[1]ma sp 02'!$A$5:$BD$1101,L$1,0)</f>
        <v>0</v>
      </c>
      <c r="M850" s="50">
        <f>VLOOKUP($A850,'[1]ma sp 02'!$A$5:$BD$1101,M$1,0)</f>
        <v>0</v>
      </c>
      <c r="N850" s="50">
        <f>VLOOKUP($A850,'[1]ma sp 02'!$A$5:$BD$1101,N$1,0)</f>
        <v>0</v>
      </c>
      <c r="O850" s="50">
        <f>VLOOKUP($A850,'[1]ma sp 02'!$A$5:$BD$1101,O$1,0)</f>
        <v>0</v>
      </c>
      <c r="P850" s="50">
        <f>VLOOKUP($A850,'[1]ma sp 02'!$A$5:$BD$1101,P$1,0)</f>
        <v>0</v>
      </c>
      <c r="Q850" s="50">
        <f>VLOOKUP($A850,'[1]ma sp 02'!$A$5:$BD$1101,Q$1,0)</f>
        <v>0</v>
      </c>
      <c r="R850" s="50">
        <f>VLOOKUP($A850,'[1]ma sp 02'!$A$5:$BD$1101,R$1,0)</f>
        <v>0</v>
      </c>
      <c r="S850" s="50">
        <f>VLOOKUP($A850,'[1]ma sp 02'!$A$5:$BD$1101,S$1,0)</f>
        <v>0</v>
      </c>
      <c r="T850" s="50">
        <f>VLOOKUP($A850,'[1]ma sp 02'!$A$5:$BD$1101,T$1,0)</f>
        <v>0</v>
      </c>
      <c r="U850" s="50">
        <f>VLOOKUP($A850,'[1]ma sp 02'!$A$5:$BD$1101,U$1,0)</f>
        <v>0</v>
      </c>
      <c r="V850" s="50">
        <f>VLOOKUP($A850,'[1]ma sp 02'!$A$5:$BD$1101,V$1,0)</f>
        <v>0</v>
      </c>
      <c r="W850" s="50">
        <f>VLOOKUP($A850,'[1]ma sp 02'!$A$5:$BD$1101,W$1,0)</f>
        <v>0</v>
      </c>
      <c r="X850" s="50"/>
      <c r="Y850" s="62"/>
      <c r="Z850" s="62"/>
      <c r="AA850" s="62"/>
      <c r="AB850" s="62"/>
      <c r="AC850" s="62"/>
      <c r="AD850" s="62"/>
      <c r="AE850" s="62" t="s">
        <v>2718</v>
      </c>
      <c r="AF850" s="62"/>
      <c r="AG850" s="53">
        <f>(0.03*0.91+0.03*0.925)*0.73</f>
        <v>4.01865E-2</v>
      </c>
      <c r="AH850" s="54">
        <f>(2/0.75/2)*0.73</f>
        <v>0.97333333333333327</v>
      </c>
      <c r="AI850" s="54"/>
      <c r="AJ850" s="192" t="s">
        <v>1881</v>
      </c>
      <c r="AK850" s="62"/>
      <c r="AL850" s="62">
        <v>2E-3</v>
      </c>
      <c r="AM850" s="61" t="s">
        <v>1489</v>
      </c>
      <c r="AN850" s="62"/>
      <c r="AO850" s="61" t="s">
        <v>2715</v>
      </c>
      <c r="AP850" s="59">
        <f>IFERROR(VLOOKUP($A850,[2]Mssp!$A$5:$BE$1463,AP$4+1,0),0)</f>
        <v>0</v>
      </c>
      <c r="AQ850" s="59">
        <f>IFERROR(VLOOKUP($A850,[2]Mssp!$A$5:$BE$1463,AQ$4+1,0),0)</f>
        <v>0</v>
      </c>
      <c r="AR850" s="59">
        <f>IFERROR(VLOOKUP($A850,[2]Mssp!$A$5:$BE$1463,AR$4+1,0),0)</f>
        <v>0</v>
      </c>
      <c r="AS850" s="59">
        <f>IFERROR(VLOOKUP($A850,[2]Mssp!$A$5:$BE$1463,AS$4+1,0),0)</f>
        <v>0</v>
      </c>
      <c r="AT850" s="59">
        <f>IFERROR(VLOOKUP($A850,[2]Mssp!$A$5:$BE$1463,AT$4+1,0),0)</f>
        <v>0</v>
      </c>
      <c r="AU850" s="59">
        <f>IFERROR(VLOOKUP($A850,[2]Mssp!$A$5:$BE$1463,AU$4+1,0),0)</f>
        <v>0</v>
      </c>
      <c r="AV850" s="59">
        <f>IFERROR(VLOOKUP($A850,[2]Mssp!$A$5:$BE$1463,AV$4+1,0),0)</f>
        <v>0</v>
      </c>
      <c r="AW850" s="59">
        <f>IFERROR(VLOOKUP($A850,[2]Mssp!$A$5:$BE$1463,AW$4+1,0),0)</f>
        <v>0</v>
      </c>
      <c r="AX850" s="59">
        <f>IFERROR(VLOOKUP($A850,[2]Mssp!$A$5:$BE$1463,AX$4+1,0),0)</f>
        <v>0</v>
      </c>
      <c r="AY850" s="59">
        <f>IFERROR(VLOOKUP($A850,[2]Mssp!$A$5:$BE$1463,AY$4+2,0),0)</f>
        <v>0</v>
      </c>
      <c r="AZ850" s="59">
        <f>IFERROR(VLOOKUP($A850,[2]Mssp!$A$5:$BE$1463,AZ$4+2,0),0)</f>
        <v>0</v>
      </c>
      <c r="BA850" s="141"/>
      <c r="BB850" s="61"/>
      <c r="BC850" s="165"/>
      <c r="BD850" s="166"/>
      <c r="BE850" s="167"/>
      <c r="BF850" s="168"/>
      <c r="BG850" s="167"/>
      <c r="BH850" s="168"/>
      <c r="BI850" s="169"/>
      <c r="BJ850" s="168"/>
      <c r="BK850" s="134"/>
      <c r="BL850" s="168"/>
      <c r="BM850" s="167"/>
      <c r="BN850" s="168"/>
      <c r="BO850" s="62"/>
      <c r="BP850" s="168"/>
      <c r="BQ850" s="168"/>
      <c r="BR850" s="168"/>
      <c r="BS850" s="135"/>
      <c r="BT850" s="176"/>
      <c r="BU850" s="167"/>
      <c r="BV850" s="168"/>
      <c r="BW850" s="167"/>
      <c r="BX850" s="168"/>
      <c r="BY850" s="167"/>
      <c r="BZ850" s="176"/>
      <c r="CA850" s="167"/>
      <c r="CB850" s="168"/>
      <c r="CC850" s="167"/>
      <c r="CD850" s="168"/>
      <c r="CE850" s="62"/>
      <c r="CF850" s="62"/>
      <c r="CG850" s="9"/>
      <c r="CH850" s="9"/>
      <c r="CI850" s="9"/>
      <c r="CJ850" s="9"/>
      <c r="CK850" s="9"/>
      <c r="CL850" s="9"/>
      <c r="CM850" s="9"/>
      <c r="CN850" s="9"/>
      <c r="CO850" s="9"/>
      <c r="CP850" s="9"/>
    </row>
    <row r="851" spans="1:94" ht="30" x14ac:dyDescent="0.25">
      <c r="A851" s="127" t="s">
        <v>2719</v>
      </c>
      <c r="B851" s="51" t="s">
        <v>2720</v>
      </c>
      <c r="C851" s="62"/>
      <c r="D851" s="84">
        <v>2</v>
      </c>
      <c r="E851" s="62" t="s">
        <v>299</v>
      </c>
      <c r="F851" s="62">
        <v>8</v>
      </c>
      <c r="G851" s="62"/>
      <c r="H851" s="50">
        <f>VLOOKUP($A851,'[1]ma sp 02'!$A$5:$BD$1101,H$1,0)</f>
        <v>0</v>
      </c>
      <c r="I851" s="50">
        <f>VLOOKUP($A851,'[1]ma sp 02'!$A$5:$BD$1101,I$1,0)</f>
        <v>2.5270000000000001</v>
      </c>
      <c r="J851" s="50">
        <f>VLOOKUP($A851,'[1]ma sp 02'!$A$5:$BD$1101,J$1,0)</f>
        <v>0.01</v>
      </c>
      <c r="K851" s="50">
        <f>VLOOKUP($A851,'[1]ma sp 02'!$A$5:$BD$1101,K$1,0)</f>
        <v>0.03</v>
      </c>
      <c r="L851" s="50">
        <f>VLOOKUP($A851,'[1]ma sp 02'!$A$5:$BD$1101,L$1,0)</f>
        <v>1.2170000000000001</v>
      </c>
      <c r="M851" s="50">
        <f>VLOOKUP($A851,'[1]ma sp 02'!$A$5:$BD$1101,M$1,0)</f>
        <v>2.12</v>
      </c>
      <c r="N851" s="50">
        <f>VLOOKUP($A851,'[1]ma sp 02'!$A$5:$BD$1101,N$1,0)</f>
        <v>0.374</v>
      </c>
      <c r="O851" s="50">
        <f>VLOOKUP($A851,'[1]ma sp 02'!$A$5:$BD$1101,O$1,0)</f>
        <v>0.01</v>
      </c>
      <c r="P851" s="50">
        <f>VLOOKUP($A851,'[1]ma sp 02'!$A$5:$BD$1101,P$1,0)</f>
        <v>0.125</v>
      </c>
      <c r="Q851" s="50">
        <f>VLOOKUP($A851,'[1]ma sp 02'!$A$5:$BD$1101,Q$1,0)</f>
        <v>0</v>
      </c>
      <c r="R851" s="50">
        <f>VLOOKUP($A851,'[1]ma sp 02'!$A$5:$BD$1101,R$1,0)</f>
        <v>0.125</v>
      </c>
      <c r="S851" s="50">
        <f>VLOOKUP($A851,'[1]ma sp 02'!$A$5:$BD$1101,S$1,0)</f>
        <v>0</v>
      </c>
      <c r="T851" s="50">
        <f>VLOOKUP($A851,'[1]ma sp 02'!$A$5:$BD$1101,T$1,0)</f>
        <v>0.437</v>
      </c>
      <c r="U851" s="50">
        <f>VLOOKUP($A851,'[1]ma sp 02'!$A$5:$BD$1101,U$1,0)</f>
        <v>0</v>
      </c>
      <c r="V851" s="50">
        <f>VLOOKUP($A851,'[1]ma sp 02'!$A$5:$BD$1101,V$1,0)</f>
        <v>0</v>
      </c>
      <c r="W851" s="50">
        <f>VLOOKUP($A851,'[1]ma sp 02'!$A$5:$BD$1101,W$1,0)</f>
        <v>0</v>
      </c>
      <c r="X851" s="50"/>
      <c r="Y851" s="62"/>
      <c r="Z851" s="62"/>
      <c r="AA851" s="62"/>
      <c r="AB851" s="62"/>
      <c r="AC851" s="62"/>
      <c r="AD851" s="62"/>
      <c r="AE851" s="62" t="s">
        <v>1934</v>
      </c>
      <c r="AF851" s="62"/>
      <c r="AG851" s="53">
        <f>(0.02*0.91+0.055*0.925)*0.82</f>
        <v>5.6641499999999997E-2</v>
      </c>
      <c r="AH851" s="54">
        <f>(3/0.75/2)*0.81</f>
        <v>1.62</v>
      </c>
      <c r="AI851" s="54"/>
      <c r="AJ851" s="192">
        <v>9530</v>
      </c>
      <c r="AK851" s="62"/>
      <c r="AL851" s="62">
        <v>3.0000000000000001E-3</v>
      </c>
      <c r="AM851" s="61" t="s">
        <v>1489</v>
      </c>
      <c r="AN851" s="62"/>
      <c r="AO851" s="61" t="s">
        <v>2721</v>
      </c>
      <c r="AP851" s="59" t="str">
        <f>IFERROR(VLOOKUP($A851,[2]Mssp!$A$5:$BE$1463,AP$4+1,0),0)</f>
        <v>21010765-1</v>
      </c>
      <c r="AQ851" s="59" t="str">
        <f>IFERROR(VLOOKUP($A851,[2]Mssp!$A$5:$BE$1463,AQ$4+1,0),0)</f>
        <v>21090265-2</v>
      </c>
      <c r="AR851" s="59" t="str">
        <f>IFERROR(VLOOKUP($A851,[2]Mssp!$A$5:$BE$1463,AR$4+1,0),0)</f>
        <v>21010765-3</v>
      </c>
      <c r="AS851" s="59" t="str">
        <f>IFERROR(VLOOKUP($A851,[2]Mssp!$A$5:$BE$1463,AS$4+1,0),0)</f>
        <v>21010765-4</v>
      </c>
      <c r="AT851" s="59" t="str">
        <f>IFERROR(VLOOKUP($A851,[2]Mssp!$A$5:$BE$1463,AT$4+1,0),0)</f>
        <v>21010765-5</v>
      </c>
      <c r="AU851" s="59" t="str">
        <f>IFERROR(VLOOKUP($A851,[2]Mssp!$A$5:$BE$1463,AU$4+1,0),0)</f>
        <v>21090265-6</v>
      </c>
      <c r="AV851" s="59" t="str">
        <f>IFERROR(VLOOKUP($A851,[2]Mssp!$A$5:$BE$1463,AV$4+1,0),0)</f>
        <v>21010765-7</v>
      </c>
      <c r="AW851" s="59" t="str">
        <f>IFERROR(VLOOKUP($A851,[2]Mssp!$A$5:$BE$1463,AW$4+1,0),0)</f>
        <v>21090265-8</v>
      </c>
      <c r="AX851" s="59">
        <f>IFERROR(VLOOKUP($A851,[2]Mssp!$A$5:$BE$1463,AX$4+1,0),0)</f>
        <v>0</v>
      </c>
      <c r="AY851" s="59" t="str">
        <f>IFERROR(VLOOKUP($A851,[2]Mssp!$A$5:$BE$1463,AY$4+2,0),0)</f>
        <v>500x870</v>
      </c>
      <c r="AZ851" s="59">
        <f>IFERROR(VLOOKUP($A851,[2]Mssp!$A$5:$BE$1463,AZ$4+2,0),0)</f>
        <v>0</v>
      </c>
      <c r="BA851" s="141"/>
      <c r="BB851" s="61" t="s">
        <v>952</v>
      </c>
      <c r="BC851" s="165"/>
      <c r="BD851" s="166"/>
      <c r="BE851" s="167"/>
      <c r="BF851" s="168"/>
      <c r="BG851" s="167"/>
      <c r="BH851" s="168"/>
      <c r="BI851" s="169"/>
      <c r="BJ851" s="168"/>
      <c r="BK851" s="134"/>
      <c r="BL851" s="168"/>
      <c r="BM851" s="167"/>
      <c r="BN851" s="168"/>
      <c r="BO851" s="62"/>
      <c r="BP851" s="168"/>
      <c r="BQ851" s="168"/>
      <c r="BR851" s="168"/>
      <c r="BS851" s="135"/>
      <c r="BT851" s="176"/>
      <c r="BU851" s="167"/>
      <c r="BV851" s="168"/>
      <c r="BW851" s="167"/>
      <c r="BX851" s="168"/>
      <c r="BY851" s="167"/>
      <c r="BZ851" s="176"/>
      <c r="CA851" s="167"/>
      <c r="CB851" s="168"/>
      <c r="CC851" s="167"/>
      <c r="CD851" s="168"/>
      <c r="CE851" s="62"/>
      <c r="CF851" s="62"/>
      <c r="CG851" s="9"/>
      <c r="CH851" s="9"/>
      <c r="CI851" s="9"/>
      <c r="CJ851" s="9"/>
      <c r="CK851" s="9"/>
      <c r="CL851" s="9"/>
      <c r="CM851" s="9"/>
      <c r="CN851" s="9"/>
      <c r="CO851" s="9"/>
      <c r="CP851" s="9"/>
    </row>
    <row r="852" spans="1:94" ht="45" x14ac:dyDescent="0.25">
      <c r="A852" s="127" t="s">
        <v>2722</v>
      </c>
      <c r="B852" s="51" t="s">
        <v>2723</v>
      </c>
      <c r="C852" s="62"/>
      <c r="D852" s="84">
        <v>2</v>
      </c>
      <c r="E852" s="62" t="s">
        <v>2724</v>
      </c>
      <c r="F852" s="62">
        <v>3</v>
      </c>
      <c r="G852" s="62"/>
      <c r="H852" s="50">
        <f>VLOOKUP($A852,'[1]ma sp 02'!$A$5:$BD$1101,H$1,0)</f>
        <v>0</v>
      </c>
      <c r="I852" s="50">
        <f>VLOOKUP($A852,'[1]ma sp 02'!$A$5:$BD$1101,I$1,0)</f>
        <v>0.78600000000000003</v>
      </c>
      <c r="J852" s="50">
        <f>VLOOKUP($A852,'[1]ma sp 02'!$A$5:$BD$1101,J$1,0)</f>
        <v>0</v>
      </c>
      <c r="K852" s="50">
        <f>VLOOKUP($A852,'[1]ma sp 02'!$A$5:$BD$1101,K$1,0)</f>
        <v>0</v>
      </c>
      <c r="L852" s="50">
        <f>VLOOKUP($A852,'[1]ma sp 02'!$A$5:$BD$1101,L$1,0)</f>
        <v>0.19600000000000001</v>
      </c>
      <c r="M852" s="50">
        <f>VLOOKUP($A852,'[1]ma sp 02'!$A$5:$BD$1101,M$1,0)</f>
        <v>0</v>
      </c>
      <c r="N852" s="50">
        <f>VLOOKUP($A852,'[1]ma sp 02'!$A$5:$BD$1101,N$1,0)</f>
        <v>0</v>
      </c>
      <c r="O852" s="50">
        <f>VLOOKUP($A852,'[1]ma sp 02'!$A$5:$BD$1101,O$1,0)</f>
        <v>0</v>
      </c>
      <c r="P852" s="50">
        <f>VLOOKUP($A852,'[1]ma sp 02'!$A$5:$BD$1101,P$1,0)</f>
        <v>1.5720000000000001</v>
      </c>
      <c r="Q852" s="50">
        <f>VLOOKUP($A852,'[1]ma sp 02'!$A$5:$BD$1101,Q$1,0)</f>
        <v>0</v>
      </c>
      <c r="R852" s="50">
        <f>VLOOKUP($A852,'[1]ma sp 02'!$A$5:$BD$1101,R$1,0)</f>
        <v>0</v>
      </c>
      <c r="S852" s="50">
        <f>VLOOKUP($A852,'[1]ma sp 02'!$A$5:$BD$1101,S$1,0)</f>
        <v>0</v>
      </c>
      <c r="T852" s="50">
        <f>VLOOKUP($A852,'[1]ma sp 02'!$A$5:$BD$1101,T$1,0)</f>
        <v>0</v>
      </c>
      <c r="U852" s="50">
        <f>VLOOKUP($A852,'[1]ma sp 02'!$A$5:$BD$1101,U$1,0)</f>
        <v>0</v>
      </c>
      <c r="V852" s="50">
        <f>VLOOKUP($A852,'[1]ma sp 02'!$A$5:$BD$1101,V$1,0)</f>
        <v>0</v>
      </c>
      <c r="W852" s="50">
        <f>VLOOKUP($A852,'[1]ma sp 02'!$A$5:$BD$1101,W$1,0)</f>
        <v>0</v>
      </c>
      <c r="X852" s="50"/>
      <c r="Y852" s="62"/>
      <c r="Z852" s="62"/>
      <c r="AA852" s="62"/>
      <c r="AB852" s="62"/>
      <c r="AC852" s="62"/>
      <c r="AD852" s="62"/>
      <c r="AE852" s="62" t="s">
        <v>2725</v>
      </c>
      <c r="AF852" s="62"/>
      <c r="AG852" s="53">
        <f>(0.015*1.15+0.065*0.925)*0.86</f>
        <v>6.6542500000000004E-2</v>
      </c>
      <c r="AH852" s="54">
        <f>(2.3/0.75/2)*0.85</f>
        <v>1.3033333333333332</v>
      </c>
      <c r="AI852" s="54"/>
      <c r="AJ852" s="192">
        <v>9530</v>
      </c>
      <c r="AK852" s="62"/>
      <c r="AL852" s="62">
        <v>2.3E-3</v>
      </c>
      <c r="AM852" s="61" t="s">
        <v>74</v>
      </c>
      <c r="AN852" s="62">
        <v>260</v>
      </c>
      <c r="AO852" s="61" t="s">
        <v>2676</v>
      </c>
      <c r="AP852" s="59" t="str">
        <f>IFERROR(VLOOKUP($A852,[2]Mssp!$A$5:$BE$1463,AP$4+1,0),0)</f>
        <v>21020567-1</v>
      </c>
      <c r="AQ852" s="59" t="str">
        <f>IFERROR(VLOOKUP($A852,[2]Mssp!$A$5:$BE$1463,AQ$4+1,0),0)</f>
        <v>21020567-2</v>
      </c>
      <c r="AR852" s="59" t="str">
        <f>IFERROR(VLOOKUP($A852,[2]Mssp!$A$5:$BE$1463,AR$4+1,0),0)</f>
        <v>21020567-3</v>
      </c>
      <c r="AS852" s="59">
        <f>IFERROR(VLOOKUP($A852,[2]Mssp!$A$5:$BE$1463,AS$4+1,0),0)</f>
        <v>0</v>
      </c>
      <c r="AT852" s="59">
        <f>IFERROR(VLOOKUP($A852,[2]Mssp!$A$5:$BE$1463,AT$4+1,0),0)</f>
        <v>0</v>
      </c>
      <c r="AU852" s="59">
        <f>IFERROR(VLOOKUP($A852,[2]Mssp!$A$5:$BE$1463,AU$4+1,0),0)</f>
        <v>0</v>
      </c>
      <c r="AV852" s="59">
        <f>IFERROR(VLOOKUP($A852,[2]Mssp!$A$5:$BE$1463,AV$4+1,0),0)</f>
        <v>0</v>
      </c>
      <c r="AW852" s="59">
        <f>IFERROR(VLOOKUP($A852,[2]Mssp!$A$5:$BE$1463,AW$4+1,0),0)</f>
        <v>0</v>
      </c>
      <c r="AX852" s="59">
        <f>IFERROR(VLOOKUP($A852,[2]Mssp!$A$5:$BE$1463,AX$4+1,0),0)</f>
        <v>0</v>
      </c>
      <c r="AY852" s="59" t="str">
        <f>IFERROR(VLOOKUP($A852,[2]Mssp!$A$5:$BE$1463,AY$4+2,0),0)</f>
        <v>520x1100</v>
      </c>
      <c r="AZ852" s="59">
        <f>IFERROR(VLOOKUP($A852,[2]Mssp!$A$5:$BE$1463,AZ$4+2,0),0)</f>
        <v>0</v>
      </c>
      <c r="BA852" s="141"/>
      <c r="BB852" s="61"/>
      <c r="BC852" s="165"/>
      <c r="BD852" s="166"/>
      <c r="BE852" s="167"/>
      <c r="BF852" s="168"/>
      <c r="BG852" s="167"/>
      <c r="BH852" s="168"/>
      <c r="BI852" s="169"/>
      <c r="BJ852" s="168"/>
      <c r="BK852" s="134"/>
      <c r="BL852" s="168"/>
      <c r="BM852" s="167"/>
      <c r="BN852" s="168"/>
      <c r="BO852" s="62"/>
      <c r="BP852" s="168"/>
      <c r="BQ852" s="168"/>
      <c r="BR852" s="168"/>
      <c r="BS852" s="135"/>
      <c r="BT852" s="176"/>
      <c r="BU852" s="167"/>
      <c r="BV852" s="168"/>
      <c r="BW852" s="167"/>
      <c r="BX852" s="168"/>
      <c r="BY852" s="167"/>
      <c r="BZ852" s="176"/>
      <c r="CA852" s="167"/>
      <c r="CB852" s="168"/>
      <c r="CC852" s="167"/>
      <c r="CD852" s="168"/>
      <c r="CE852" s="62"/>
      <c r="CF852" s="62"/>
      <c r="CG852" s="9"/>
      <c r="CH852" s="9"/>
      <c r="CI852" s="9"/>
      <c r="CJ852" s="9"/>
      <c r="CK852" s="9"/>
      <c r="CL852" s="9"/>
      <c r="CM852" s="9"/>
      <c r="CN852" s="9"/>
      <c r="CO852" s="9"/>
      <c r="CP852" s="9"/>
    </row>
    <row r="853" spans="1:94" ht="45" x14ac:dyDescent="0.25">
      <c r="A853" s="127" t="s">
        <v>2726</v>
      </c>
      <c r="B853" s="51" t="s">
        <v>2727</v>
      </c>
      <c r="C853" s="62"/>
      <c r="D853" s="84">
        <v>2</v>
      </c>
      <c r="E853" s="62" t="s">
        <v>2728</v>
      </c>
      <c r="F853" s="62">
        <v>4</v>
      </c>
      <c r="G853" s="62"/>
      <c r="H853" s="50">
        <f>VLOOKUP($A853,'[1]ma sp 02'!$A$5:$BD$1101,H$1,0)</f>
        <v>0.5</v>
      </c>
      <c r="I853" s="50">
        <f>VLOOKUP($A853,'[1]ma sp 02'!$A$5:$BD$1101,I$1,0)</f>
        <v>3.75</v>
      </c>
      <c r="J853" s="50">
        <f>VLOOKUP($A853,'[1]ma sp 02'!$A$5:$BD$1101,J$1,0)</f>
        <v>0</v>
      </c>
      <c r="K853" s="50">
        <f>VLOOKUP($A853,'[1]ma sp 02'!$A$5:$BD$1101,K$1,0)</f>
        <v>0</v>
      </c>
      <c r="L853" s="50">
        <f>VLOOKUP($A853,'[1]ma sp 02'!$A$5:$BD$1101,L$1,0)</f>
        <v>1.5</v>
      </c>
      <c r="M853" s="50">
        <f>VLOOKUP($A853,'[1]ma sp 02'!$A$5:$BD$1101,M$1,0)</f>
        <v>1</v>
      </c>
      <c r="N853" s="50">
        <f>VLOOKUP($A853,'[1]ma sp 02'!$A$5:$BD$1101,N$1,0)</f>
        <v>0</v>
      </c>
      <c r="O853" s="50">
        <f>VLOOKUP($A853,'[1]ma sp 02'!$A$5:$BD$1101,O$1,0)</f>
        <v>0</v>
      </c>
      <c r="P853" s="50">
        <f>VLOOKUP($A853,'[1]ma sp 02'!$A$5:$BD$1101,P$1,0)</f>
        <v>4.1269999999999998</v>
      </c>
      <c r="Q853" s="50">
        <f>VLOOKUP($A853,'[1]ma sp 02'!$A$5:$BD$1101,Q$1,0)</f>
        <v>0</v>
      </c>
      <c r="R853" s="50">
        <f>VLOOKUP($A853,'[1]ma sp 02'!$A$5:$BD$1101,R$1,0)</f>
        <v>0</v>
      </c>
      <c r="S853" s="50">
        <f>VLOOKUP($A853,'[1]ma sp 02'!$A$5:$BD$1101,S$1,0)</f>
        <v>0</v>
      </c>
      <c r="T853" s="50">
        <f>VLOOKUP($A853,'[1]ma sp 02'!$A$5:$BD$1101,T$1,0)</f>
        <v>0</v>
      </c>
      <c r="U853" s="50">
        <f>VLOOKUP($A853,'[1]ma sp 02'!$A$5:$BD$1101,U$1,0)</f>
        <v>0</v>
      </c>
      <c r="V853" s="50">
        <f>VLOOKUP($A853,'[1]ma sp 02'!$A$5:$BD$1101,V$1,0)</f>
        <v>0</v>
      </c>
      <c r="W853" s="50">
        <f>VLOOKUP($A853,'[1]ma sp 02'!$A$5:$BD$1101,W$1,0)</f>
        <v>0</v>
      </c>
      <c r="X853" s="50"/>
      <c r="Y853" s="62"/>
      <c r="Z853" s="62"/>
      <c r="AA853" s="62"/>
      <c r="AB853" s="62"/>
      <c r="AC853" s="62"/>
      <c r="AD853" s="62"/>
      <c r="AE853" s="62" t="s">
        <v>565</v>
      </c>
      <c r="AF853" s="62"/>
      <c r="AG853" s="53">
        <f>(0.015*1.15+0.065*0.925)*0.76</f>
        <v>5.8805000000000003E-2</v>
      </c>
      <c r="AH853" s="54">
        <f>(2.3/0.75/2)*0.75</f>
        <v>1.1499999999999999</v>
      </c>
      <c r="AI853" s="54"/>
      <c r="AJ853" s="192">
        <v>9530</v>
      </c>
      <c r="AK853" s="62"/>
      <c r="AL853" s="62">
        <v>2.3E-3</v>
      </c>
      <c r="AM853" s="61" t="s">
        <v>74</v>
      </c>
      <c r="AN853" s="62">
        <v>345</v>
      </c>
      <c r="AO853" s="61" t="s">
        <v>2676</v>
      </c>
      <c r="AP853" s="59" t="str">
        <f>IFERROR(VLOOKUP($A853,[2]Mssp!$A$5:$BE$1463,AP$4+1,0),0)</f>
        <v>21020093-1</v>
      </c>
      <c r="AQ853" s="59" t="str">
        <f>IFERROR(VLOOKUP($A853,[2]Mssp!$A$5:$BE$1463,AQ$4+1,0),0)</f>
        <v>21020093-2</v>
      </c>
      <c r="AR853" s="59" t="str">
        <f>IFERROR(VLOOKUP($A853,[2]Mssp!$A$5:$BE$1463,AR$4+1,0),0)</f>
        <v>21020093-3</v>
      </c>
      <c r="AS853" s="59" t="str">
        <f>IFERROR(VLOOKUP($A853,[2]Mssp!$A$5:$BE$1463,AS$4+1,0),0)</f>
        <v>21020093-4</v>
      </c>
      <c r="AT853" s="59">
        <f>IFERROR(VLOOKUP($A853,[2]Mssp!$A$5:$BE$1463,AT$4+1,0),0)</f>
        <v>0</v>
      </c>
      <c r="AU853" s="59">
        <f>IFERROR(VLOOKUP($A853,[2]Mssp!$A$5:$BE$1463,AU$4+1,0),0)</f>
        <v>0</v>
      </c>
      <c r="AV853" s="59">
        <f>IFERROR(VLOOKUP($A853,[2]Mssp!$A$5:$BE$1463,AV$4+1,0),0)</f>
        <v>0</v>
      </c>
      <c r="AW853" s="59">
        <f>IFERROR(VLOOKUP($A853,[2]Mssp!$A$5:$BE$1463,AW$4+1,0),0)</f>
        <v>0</v>
      </c>
      <c r="AX853" s="59">
        <f>IFERROR(VLOOKUP($A853,[2]Mssp!$A$5:$BE$1463,AX$4+1,0),0)</f>
        <v>0</v>
      </c>
      <c r="AY853" s="59" t="str">
        <f>IFERROR(VLOOKUP($A853,[2]Mssp!$A$5:$BE$1463,AY$4+2,0),0)</f>
        <v>690x870</v>
      </c>
      <c r="AZ853" s="59">
        <f>IFERROR(VLOOKUP($A853,[2]Mssp!$A$5:$BE$1463,AZ$4+2,0),0)</f>
        <v>0</v>
      </c>
      <c r="BA853" s="141"/>
      <c r="BB853" s="61"/>
      <c r="BC853" s="165"/>
      <c r="BD853" s="166"/>
      <c r="BE853" s="167"/>
      <c r="BF853" s="168"/>
      <c r="BG853" s="167"/>
      <c r="BH853" s="168"/>
      <c r="BI853" s="169"/>
      <c r="BJ853" s="168"/>
      <c r="BK853" s="134"/>
      <c r="BL853" s="168"/>
      <c r="BM853" s="167"/>
      <c r="BN853" s="168"/>
      <c r="BO853" s="62"/>
      <c r="BP853" s="168"/>
      <c r="BQ853" s="168"/>
      <c r="BR853" s="168"/>
      <c r="BS853" s="135"/>
      <c r="BT853" s="176"/>
      <c r="BU853" s="167"/>
      <c r="BV853" s="168"/>
      <c r="BW853" s="167"/>
      <c r="BX853" s="168"/>
      <c r="BY853" s="167"/>
      <c r="BZ853" s="176"/>
      <c r="CA853" s="167"/>
      <c r="CB853" s="168"/>
      <c r="CC853" s="167"/>
      <c r="CD853" s="168"/>
      <c r="CE853" s="62"/>
      <c r="CF853" s="62"/>
      <c r="CG853" s="9"/>
      <c r="CH853" s="9"/>
      <c r="CI853" s="9"/>
      <c r="CJ853" s="9"/>
      <c r="CK853" s="9"/>
      <c r="CL853" s="9"/>
      <c r="CM853" s="9"/>
      <c r="CN853" s="9"/>
      <c r="CO853" s="9"/>
      <c r="CP853" s="9"/>
    </row>
    <row r="854" spans="1:94" ht="45" x14ac:dyDescent="0.25">
      <c r="A854" s="127" t="s">
        <v>2729</v>
      </c>
      <c r="B854" s="51" t="s">
        <v>2730</v>
      </c>
      <c r="C854" s="62"/>
      <c r="D854" s="84">
        <v>2</v>
      </c>
      <c r="E854" s="62" t="s">
        <v>2731</v>
      </c>
      <c r="F854" s="62">
        <v>4</v>
      </c>
      <c r="G854" s="62"/>
      <c r="H854" s="50">
        <f>VLOOKUP($A854,'[1]ma sp 02'!$A$5:$BD$1101,H$1,0)</f>
        <v>0.17499999999999999</v>
      </c>
      <c r="I854" s="50">
        <f>VLOOKUP($A854,'[1]ma sp 02'!$A$5:$BD$1101,I$1,0)</f>
        <v>0.01</v>
      </c>
      <c r="J854" s="50">
        <f>VLOOKUP($A854,'[1]ma sp 02'!$A$5:$BD$1101,J$1,0)</f>
        <v>0</v>
      </c>
      <c r="K854" s="50">
        <f>VLOOKUP($A854,'[1]ma sp 02'!$A$5:$BD$1101,K$1,0)</f>
        <v>0</v>
      </c>
      <c r="L854" s="50">
        <f>VLOOKUP($A854,'[1]ma sp 02'!$A$5:$BD$1101,L$1,0)</f>
        <v>1.05</v>
      </c>
      <c r="M854" s="50">
        <f>VLOOKUP($A854,'[1]ma sp 02'!$A$5:$BD$1101,M$1,0)</f>
        <v>0.7</v>
      </c>
      <c r="N854" s="50">
        <f>VLOOKUP($A854,'[1]ma sp 02'!$A$5:$BD$1101,N$1,0)</f>
        <v>0</v>
      </c>
      <c r="O854" s="50">
        <f>VLOOKUP($A854,'[1]ma sp 02'!$A$5:$BD$1101,O$1,0)</f>
        <v>0</v>
      </c>
      <c r="P854" s="50">
        <f>VLOOKUP($A854,'[1]ma sp 02'!$A$5:$BD$1101,P$1,0)</f>
        <v>2.5089999999999999</v>
      </c>
      <c r="Q854" s="50">
        <f>VLOOKUP($A854,'[1]ma sp 02'!$A$5:$BD$1101,Q$1,0)</f>
        <v>0</v>
      </c>
      <c r="R854" s="50">
        <f>VLOOKUP($A854,'[1]ma sp 02'!$A$5:$BD$1101,R$1,0)</f>
        <v>0</v>
      </c>
      <c r="S854" s="50">
        <f>VLOOKUP($A854,'[1]ma sp 02'!$A$5:$BD$1101,S$1,0)</f>
        <v>0</v>
      </c>
      <c r="T854" s="50">
        <f>VLOOKUP($A854,'[1]ma sp 02'!$A$5:$BD$1101,T$1,0)</f>
        <v>0</v>
      </c>
      <c r="U854" s="50">
        <f>VLOOKUP($A854,'[1]ma sp 02'!$A$5:$BD$1101,U$1,0)</f>
        <v>0</v>
      </c>
      <c r="V854" s="50">
        <f>VLOOKUP($A854,'[1]ma sp 02'!$A$5:$BD$1101,V$1,0)</f>
        <v>0</v>
      </c>
      <c r="W854" s="50">
        <f>VLOOKUP($A854,'[1]ma sp 02'!$A$5:$BD$1101,W$1,0)</f>
        <v>0</v>
      </c>
      <c r="X854" s="50"/>
      <c r="Y854" s="62"/>
      <c r="Z854" s="62"/>
      <c r="AA854" s="62"/>
      <c r="AB854" s="62"/>
      <c r="AC854" s="62"/>
      <c r="AD854" s="62"/>
      <c r="AE854" s="62" t="s">
        <v>2732</v>
      </c>
      <c r="AF854" s="62"/>
      <c r="AG854" s="53">
        <f>(0.015*1.15+0.065*0.925)*0.74</f>
        <v>5.7257499999999996E-2</v>
      </c>
      <c r="AH854" s="54">
        <f>(2.3/0.75/2)*0.73</f>
        <v>1.1193333333333333</v>
      </c>
      <c r="AI854" s="54"/>
      <c r="AJ854" s="192">
        <v>9530</v>
      </c>
      <c r="AK854" s="62"/>
      <c r="AL854" s="62">
        <v>2.3E-3</v>
      </c>
      <c r="AM854" s="61" t="s">
        <v>74</v>
      </c>
      <c r="AN854" s="62">
        <v>335</v>
      </c>
      <c r="AO854" s="61" t="s">
        <v>2676</v>
      </c>
      <c r="AP854" s="59" t="str">
        <f>IFERROR(VLOOKUP($A854,[2]Mssp!$A$5:$BE$1463,AP$4+1,0),0)</f>
        <v>21020092-1</v>
      </c>
      <c r="AQ854" s="59" t="str">
        <f>IFERROR(VLOOKUP($A854,[2]Mssp!$A$5:$BE$1463,AQ$4+1,0),0)</f>
        <v>21020092-2</v>
      </c>
      <c r="AR854" s="59" t="str">
        <f>IFERROR(VLOOKUP($A854,[2]Mssp!$A$5:$BE$1463,AR$4+1,0),0)</f>
        <v>21020092-3</v>
      </c>
      <c r="AS854" s="59" t="str">
        <f>IFERROR(VLOOKUP($A854,[2]Mssp!$A$5:$BE$1463,AS$4+1,0),0)</f>
        <v>21020092-4</v>
      </c>
      <c r="AT854" s="59">
        <f>IFERROR(VLOOKUP($A854,[2]Mssp!$A$5:$BE$1463,AT$4+1,0),0)</f>
        <v>0</v>
      </c>
      <c r="AU854" s="59">
        <f>IFERROR(VLOOKUP($A854,[2]Mssp!$A$5:$BE$1463,AU$4+1,0),0)</f>
        <v>0</v>
      </c>
      <c r="AV854" s="59">
        <f>IFERROR(VLOOKUP($A854,[2]Mssp!$A$5:$BE$1463,AV$4+1,0),0)</f>
        <v>0</v>
      </c>
      <c r="AW854" s="59">
        <f>IFERROR(VLOOKUP($A854,[2]Mssp!$A$5:$BE$1463,AW$4+1,0),0)</f>
        <v>0</v>
      </c>
      <c r="AX854" s="59">
        <f>IFERROR(VLOOKUP($A854,[2]Mssp!$A$5:$BE$1463,AX$4+1,0),0)</f>
        <v>0</v>
      </c>
      <c r="AY854" s="59" t="str">
        <f>IFERROR(VLOOKUP($A854,[2]Mssp!$A$5:$BE$1463,AY$4+2,0),0)</f>
        <v>670x870</v>
      </c>
      <c r="AZ854" s="59">
        <f>IFERROR(VLOOKUP($A854,[2]Mssp!$A$5:$BE$1463,AZ$4+2,0),0)</f>
        <v>0</v>
      </c>
      <c r="BA854" s="141"/>
      <c r="BB854" s="61"/>
      <c r="BC854" s="165"/>
      <c r="BD854" s="166"/>
      <c r="BE854" s="167"/>
      <c r="BF854" s="168"/>
      <c r="BG854" s="167"/>
      <c r="BH854" s="168"/>
      <c r="BI854" s="169"/>
      <c r="BJ854" s="168"/>
      <c r="BK854" s="134"/>
      <c r="BL854" s="168"/>
      <c r="BM854" s="167"/>
      <c r="BN854" s="168"/>
      <c r="BO854" s="62"/>
      <c r="BP854" s="168"/>
      <c r="BQ854" s="168"/>
      <c r="BR854" s="168"/>
      <c r="BS854" s="135"/>
      <c r="BT854" s="176"/>
      <c r="BU854" s="167"/>
      <c r="BV854" s="168"/>
      <c r="BW854" s="167"/>
      <c r="BX854" s="168"/>
      <c r="BY854" s="167"/>
      <c r="BZ854" s="176"/>
      <c r="CA854" s="167"/>
      <c r="CB854" s="168"/>
      <c r="CC854" s="167"/>
      <c r="CD854" s="168"/>
      <c r="CE854" s="62"/>
      <c r="CF854" s="62"/>
      <c r="CG854" s="9"/>
      <c r="CH854" s="9"/>
      <c r="CI854" s="9"/>
      <c r="CJ854" s="9"/>
      <c r="CK854" s="9"/>
      <c r="CL854" s="9"/>
      <c r="CM854" s="9"/>
      <c r="CN854" s="9"/>
      <c r="CO854" s="9"/>
      <c r="CP854" s="9"/>
    </row>
    <row r="855" spans="1:94" ht="45" x14ac:dyDescent="0.25">
      <c r="A855" s="127" t="s">
        <v>2733</v>
      </c>
      <c r="B855" s="51" t="s">
        <v>2734</v>
      </c>
      <c r="C855" s="62"/>
      <c r="D855" s="84">
        <v>2</v>
      </c>
      <c r="E855" s="62" t="s">
        <v>2735</v>
      </c>
      <c r="F855" s="62"/>
      <c r="G855" s="62"/>
      <c r="H855" s="50">
        <f>VLOOKUP($A855,'[1]ma sp 02'!$A$5:$BD$1101,H$1,0)</f>
        <v>0</v>
      </c>
      <c r="I855" s="50">
        <f>VLOOKUP($A855,'[1]ma sp 02'!$A$5:$BD$1101,I$1,0)</f>
        <v>0</v>
      </c>
      <c r="J855" s="50">
        <f>VLOOKUP($A855,'[1]ma sp 02'!$A$5:$BD$1101,J$1,0)</f>
        <v>0</v>
      </c>
      <c r="K855" s="50">
        <f>VLOOKUP($A855,'[1]ma sp 02'!$A$5:$BD$1101,K$1,0)</f>
        <v>0</v>
      </c>
      <c r="L855" s="50">
        <f>VLOOKUP($A855,'[1]ma sp 02'!$A$5:$BD$1101,L$1,0)</f>
        <v>0</v>
      </c>
      <c r="M855" s="50">
        <f>VLOOKUP($A855,'[1]ma sp 02'!$A$5:$BD$1101,M$1,0)</f>
        <v>0</v>
      </c>
      <c r="N855" s="50">
        <f>VLOOKUP($A855,'[1]ma sp 02'!$A$5:$BD$1101,N$1,0)</f>
        <v>0</v>
      </c>
      <c r="O855" s="50">
        <f>VLOOKUP($A855,'[1]ma sp 02'!$A$5:$BD$1101,O$1,0)</f>
        <v>0</v>
      </c>
      <c r="P855" s="50">
        <f>VLOOKUP($A855,'[1]ma sp 02'!$A$5:$BD$1101,P$1,0)</f>
        <v>0</v>
      </c>
      <c r="Q855" s="50">
        <f>VLOOKUP($A855,'[1]ma sp 02'!$A$5:$BD$1101,Q$1,0)</f>
        <v>0</v>
      </c>
      <c r="R855" s="50">
        <f>VLOOKUP($A855,'[1]ma sp 02'!$A$5:$BD$1101,R$1,0)</f>
        <v>0</v>
      </c>
      <c r="S855" s="50">
        <f>VLOOKUP($A855,'[1]ma sp 02'!$A$5:$BD$1101,S$1,0)</f>
        <v>0</v>
      </c>
      <c r="T855" s="50">
        <f>VLOOKUP($A855,'[1]ma sp 02'!$A$5:$BD$1101,T$1,0)</f>
        <v>0</v>
      </c>
      <c r="U855" s="50">
        <f>VLOOKUP($A855,'[1]ma sp 02'!$A$5:$BD$1101,U$1,0)</f>
        <v>0</v>
      </c>
      <c r="V855" s="50">
        <f>VLOOKUP($A855,'[1]ma sp 02'!$A$5:$BD$1101,V$1,0)</f>
        <v>0</v>
      </c>
      <c r="W855" s="50">
        <f>VLOOKUP($A855,'[1]ma sp 02'!$A$5:$BD$1101,W$1,0)</f>
        <v>0</v>
      </c>
      <c r="X855" s="50"/>
      <c r="Y855" s="62"/>
      <c r="Z855" s="62"/>
      <c r="AA855" s="62"/>
      <c r="AB855" s="62"/>
      <c r="AC855" s="62"/>
      <c r="AD855" s="62"/>
      <c r="AE855" s="62" t="s">
        <v>2736</v>
      </c>
      <c r="AF855" s="62"/>
      <c r="AG855" s="53">
        <f>(0.015*1.15+0.065*0.925)*0.88</f>
        <v>6.8089999999999998E-2</v>
      </c>
      <c r="AH855" s="54">
        <f>(2.3/0.75/2)*0.87</f>
        <v>1.3339999999999999</v>
      </c>
      <c r="AI855" s="54"/>
      <c r="AJ855" s="192">
        <v>9530</v>
      </c>
      <c r="AK855" s="62"/>
      <c r="AL855" s="62">
        <v>2.3E-3</v>
      </c>
      <c r="AM855" s="61" t="s">
        <v>74</v>
      </c>
      <c r="AN855" s="62">
        <v>280</v>
      </c>
      <c r="AO855" s="61" t="s">
        <v>2676</v>
      </c>
      <c r="AP855" s="59">
        <f>IFERROR(VLOOKUP($A855,[2]Mssp!$A$5:$BE$1463,AP$4+1,0),0)</f>
        <v>0</v>
      </c>
      <c r="AQ855" s="59">
        <f>IFERROR(VLOOKUP($A855,[2]Mssp!$A$5:$BE$1463,AQ$4+1,0),0)</f>
        <v>0</v>
      </c>
      <c r="AR855" s="59">
        <f>IFERROR(VLOOKUP($A855,[2]Mssp!$A$5:$BE$1463,AR$4+1,0),0)</f>
        <v>0</v>
      </c>
      <c r="AS855" s="59">
        <f>IFERROR(VLOOKUP($A855,[2]Mssp!$A$5:$BE$1463,AS$4+1,0),0)</f>
        <v>0</v>
      </c>
      <c r="AT855" s="59">
        <f>IFERROR(VLOOKUP($A855,[2]Mssp!$A$5:$BE$1463,AT$4+1,0),0)</f>
        <v>0</v>
      </c>
      <c r="AU855" s="59">
        <f>IFERROR(VLOOKUP($A855,[2]Mssp!$A$5:$BE$1463,AU$4+1,0),0)</f>
        <v>0</v>
      </c>
      <c r="AV855" s="59">
        <f>IFERROR(VLOOKUP($A855,[2]Mssp!$A$5:$BE$1463,AV$4+1,0),0)</f>
        <v>0</v>
      </c>
      <c r="AW855" s="59">
        <f>IFERROR(VLOOKUP($A855,[2]Mssp!$A$5:$BE$1463,AW$4+1,0),0)</f>
        <v>0</v>
      </c>
      <c r="AX855" s="59">
        <f>IFERROR(VLOOKUP($A855,[2]Mssp!$A$5:$BE$1463,AX$4+1,0),0)</f>
        <v>0</v>
      </c>
      <c r="AY855" s="59">
        <f>IFERROR(VLOOKUP($A855,[2]Mssp!$A$5:$BE$1463,AY$4+2,0),0)</f>
        <v>0</v>
      </c>
      <c r="AZ855" s="59">
        <f>IFERROR(VLOOKUP($A855,[2]Mssp!$A$5:$BE$1463,AZ$4+2,0),0)</f>
        <v>0</v>
      </c>
      <c r="BA855" s="141"/>
      <c r="BB855" s="61"/>
      <c r="BC855" s="165"/>
      <c r="BD855" s="166"/>
      <c r="BE855" s="167"/>
      <c r="BF855" s="168"/>
      <c r="BG855" s="167"/>
      <c r="BH855" s="168"/>
      <c r="BI855" s="169"/>
      <c r="BJ855" s="168"/>
      <c r="BK855" s="134"/>
      <c r="BL855" s="168"/>
      <c r="BM855" s="167"/>
      <c r="BN855" s="168"/>
      <c r="BO855" s="62"/>
      <c r="BP855" s="168"/>
      <c r="BQ855" s="168"/>
      <c r="BR855" s="168"/>
      <c r="BS855" s="135"/>
      <c r="BT855" s="176"/>
      <c r="BU855" s="167"/>
      <c r="BV855" s="168"/>
      <c r="BW855" s="167"/>
      <c r="BX855" s="168"/>
      <c r="BY855" s="167"/>
      <c r="BZ855" s="176"/>
      <c r="CA855" s="167"/>
      <c r="CB855" s="168"/>
      <c r="CC855" s="167"/>
      <c r="CD855" s="168"/>
      <c r="CE855" s="62"/>
      <c r="CF855" s="62"/>
      <c r="CG855" s="9"/>
      <c r="CH855" s="9"/>
      <c r="CI855" s="9"/>
      <c r="CJ855" s="9"/>
      <c r="CK855" s="9"/>
      <c r="CL855" s="9"/>
      <c r="CM855" s="9"/>
      <c r="CN855" s="9"/>
      <c r="CO855" s="9"/>
      <c r="CP855" s="9"/>
    </row>
    <row r="856" spans="1:94" ht="30" x14ac:dyDescent="0.25">
      <c r="A856" s="127" t="s">
        <v>2737</v>
      </c>
      <c r="B856" s="51" t="s">
        <v>2738</v>
      </c>
      <c r="C856" s="62"/>
      <c r="D856" s="84">
        <v>1</v>
      </c>
      <c r="E856" s="62" t="s">
        <v>2739</v>
      </c>
      <c r="F856" s="62">
        <v>7</v>
      </c>
      <c r="G856" s="62"/>
      <c r="H856" s="50">
        <f>VLOOKUP($A856,'[1]ma sp 02'!$A$5:$BD$1101,H$1,0)</f>
        <v>0.11600000000000001</v>
      </c>
      <c r="I856" s="50">
        <f>VLOOKUP($A856,'[1]ma sp 02'!$A$5:$BD$1101,I$1,0)</f>
        <v>4.66</v>
      </c>
      <c r="J856" s="50">
        <f>VLOOKUP($A856,'[1]ma sp 02'!$A$5:$BD$1101,J$1,0)</f>
        <v>0.23300000000000001</v>
      </c>
      <c r="K856" s="50">
        <f>VLOOKUP($A856,'[1]ma sp 02'!$A$5:$BD$1101,K$1,0)</f>
        <v>0.17499999999999999</v>
      </c>
      <c r="L856" s="50">
        <f>VLOOKUP($A856,'[1]ma sp 02'!$A$5:$BD$1101,L$1,0)</f>
        <v>0.11600000000000001</v>
      </c>
      <c r="M856" s="50">
        <f>VLOOKUP($A856,'[1]ma sp 02'!$A$5:$BD$1101,M$1,0)</f>
        <v>0.58199999999999996</v>
      </c>
      <c r="N856" s="50">
        <f>VLOOKUP($A856,'[1]ma sp 02'!$A$5:$BD$1101,N$1,0)</f>
        <v>0</v>
      </c>
      <c r="O856" s="50">
        <f>VLOOKUP($A856,'[1]ma sp 02'!$A$5:$BD$1101,O$1,0)</f>
        <v>0.75700000000000001</v>
      </c>
      <c r="P856" s="50">
        <f>VLOOKUP($A856,'[1]ma sp 02'!$A$5:$BD$1101,P$1,0)</f>
        <v>0.46600000000000003</v>
      </c>
      <c r="Q856" s="50">
        <f>VLOOKUP($A856,'[1]ma sp 02'!$A$5:$BD$1101,Q$1,0)</f>
        <v>0</v>
      </c>
      <c r="R856" s="50">
        <f>VLOOKUP($A856,'[1]ma sp 02'!$A$5:$BD$1101,R$1,0)</f>
        <v>0</v>
      </c>
      <c r="S856" s="50">
        <f>VLOOKUP($A856,'[1]ma sp 02'!$A$5:$BD$1101,S$1,0)</f>
        <v>0</v>
      </c>
      <c r="T856" s="50">
        <f>VLOOKUP($A856,'[1]ma sp 02'!$A$5:$BD$1101,T$1,0)</f>
        <v>0</v>
      </c>
      <c r="U856" s="50">
        <f>VLOOKUP($A856,'[1]ma sp 02'!$A$5:$BD$1101,U$1,0)</f>
        <v>0</v>
      </c>
      <c r="V856" s="50">
        <f>VLOOKUP($A856,'[1]ma sp 02'!$A$5:$BD$1101,V$1,0)</f>
        <v>0</v>
      </c>
      <c r="W856" s="50">
        <f>VLOOKUP($A856,'[1]ma sp 02'!$A$5:$BD$1101,W$1,0)</f>
        <v>0</v>
      </c>
      <c r="X856" s="50"/>
      <c r="Y856" s="62"/>
      <c r="Z856" s="62"/>
      <c r="AA856" s="62"/>
      <c r="AB856" s="62"/>
      <c r="AC856" s="62"/>
      <c r="AD856" s="62"/>
      <c r="AE856" s="62"/>
      <c r="AF856" s="62"/>
      <c r="AG856" s="53"/>
      <c r="AH856" s="54"/>
      <c r="AI856" s="54"/>
      <c r="AJ856" s="192"/>
      <c r="AK856" s="62"/>
      <c r="AL856" s="62"/>
      <c r="AM856" s="61" t="s">
        <v>1489</v>
      </c>
      <c r="AN856" s="62"/>
      <c r="AO856" s="61" t="s">
        <v>2740</v>
      </c>
      <c r="AP856" s="59" t="str">
        <f>IFERROR(VLOOKUP($A856,[2]Mssp!$A$5:$BE$1463,AP$4+1,0),0)</f>
        <v>21090216-1</v>
      </c>
      <c r="AQ856" s="59" t="str">
        <f>IFERROR(VLOOKUP($A856,[2]Mssp!$A$5:$BE$1463,AQ$4+1,0),0)</f>
        <v>21020123-2</v>
      </c>
      <c r="AR856" s="59" t="str">
        <f>IFERROR(VLOOKUP($A856,[2]Mssp!$A$5:$BE$1463,AR$4+1,0),0)</f>
        <v>21020123-3</v>
      </c>
      <c r="AS856" s="59" t="str">
        <f>IFERROR(VLOOKUP($A856,[2]Mssp!$A$5:$BE$1463,AS$4+1,0),0)</f>
        <v>21020123-4</v>
      </c>
      <c r="AT856" s="59" t="str">
        <f>IFERROR(VLOOKUP($A856,[2]Mssp!$A$5:$BE$1463,AT$4+1,0),0)</f>
        <v>21020123-5</v>
      </c>
      <c r="AU856" s="59" t="str">
        <f>IFERROR(VLOOKUP($A856,[2]Mssp!$A$5:$BE$1463,AU$4+1,0),0)</f>
        <v>21020123-6</v>
      </c>
      <c r="AV856" s="59" t="str">
        <f>IFERROR(VLOOKUP($A856,[2]Mssp!$A$5:$BE$1463,AV$4+1,0),0)</f>
        <v>21020123-7</v>
      </c>
      <c r="AW856" s="59">
        <f>IFERROR(VLOOKUP($A856,[2]Mssp!$A$5:$BE$1463,AW$4+1,0),0)</f>
        <v>0</v>
      </c>
      <c r="AX856" s="59">
        <f>IFERROR(VLOOKUP($A856,[2]Mssp!$A$5:$BE$1463,AX$4+1,0),0)</f>
        <v>0</v>
      </c>
      <c r="AY856" s="59" t="str">
        <f>IFERROR(VLOOKUP($A856,[2]Mssp!$A$5:$BE$1463,AY$4+2,0),0)</f>
        <v>950x1150</v>
      </c>
      <c r="AZ856" s="59">
        <f>IFERROR(VLOOKUP($A856,[2]Mssp!$A$5:$BE$1463,AZ$4+2,0),0)</f>
        <v>0</v>
      </c>
      <c r="BA856" s="141"/>
      <c r="BB856" s="61" t="s">
        <v>952</v>
      </c>
      <c r="BC856" s="165"/>
      <c r="BD856" s="166"/>
      <c r="BE856" s="167"/>
      <c r="BF856" s="168"/>
      <c r="BG856" s="167"/>
      <c r="BH856" s="168"/>
      <c r="BI856" s="169"/>
      <c r="BJ856" s="168"/>
      <c r="BK856" s="134"/>
      <c r="BL856" s="168"/>
      <c r="BM856" s="167"/>
      <c r="BN856" s="168"/>
      <c r="BO856" s="62"/>
      <c r="BP856" s="168"/>
      <c r="BQ856" s="168"/>
      <c r="BR856" s="168"/>
      <c r="BS856" s="135"/>
      <c r="BT856" s="176"/>
      <c r="BU856" s="167"/>
      <c r="BV856" s="168"/>
      <c r="BW856" s="167"/>
      <c r="BX856" s="168"/>
      <c r="BY856" s="167"/>
      <c r="BZ856" s="176"/>
      <c r="CA856" s="167"/>
      <c r="CB856" s="168"/>
      <c r="CC856" s="167"/>
      <c r="CD856" s="168"/>
      <c r="CE856" s="62"/>
      <c r="CF856" s="62"/>
      <c r="CG856" s="9"/>
      <c r="CH856" s="9"/>
      <c r="CI856" s="9"/>
      <c r="CJ856" s="9"/>
      <c r="CK856" s="9"/>
      <c r="CL856" s="9"/>
      <c r="CM856" s="9"/>
      <c r="CN856" s="9"/>
      <c r="CO856" s="9"/>
      <c r="CP856" s="9"/>
    </row>
    <row r="857" spans="1:94" ht="45" x14ac:dyDescent="0.25">
      <c r="A857" s="127" t="s">
        <v>2741</v>
      </c>
      <c r="B857" s="51" t="s">
        <v>2742</v>
      </c>
      <c r="C857" s="62"/>
      <c r="D857" s="84">
        <v>4</v>
      </c>
      <c r="E857" s="62" t="s">
        <v>1422</v>
      </c>
      <c r="F857" s="62">
        <v>3</v>
      </c>
      <c r="G857" s="62"/>
      <c r="H857" s="50">
        <f>VLOOKUP($A857,'[1]ma sp 02'!$A$5:$BD$1101,H$1,0)</f>
        <v>0</v>
      </c>
      <c r="I857" s="50">
        <f>VLOOKUP($A857,'[1]ma sp 02'!$A$5:$BD$1101,I$1,0)</f>
        <v>11.48</v>
      </c>
      <c r="J857" s="50">
        <f>VLOOKUP($A857,'[1]ma sp 02'!$A$5:$BD$1101,J$1,0)</f>
        <v>0.56000000000000005</v>
      </c>
      <c r="K857" s="50">
        <f>VLOOKUP($A857,'[1]ma sp 02'!$A$5:$BD$1101,K$1,0)</f>
        <v>0.56000000000000005</v>
      </c>
      <c r="L857" s="50">
        <f>VLOOKUP($A857,'[1]ma sp 02'!$A$5:$BD$1101,L$1,0)</f>
        <v>0</v>
      </c>
      <c r="M857" s="50">
        <f>VLOOKUP($A857,'[1]ma sp 02'!$A$5:$BD$1101,M$1,0)</f>
        <v>4.53</v>
      </c>
      <c r="N857" s="50">
        <f>VLOOKUP($A857,'[1]ma sp 02'!$A$5:$BD$1101,N$1,0)</f>
        <v>0</v>
      </c>
      <c r="O857" s="50">
        <f>VLOOKUP($A857,'[1]ma sp 02'!$A$5:$BD$1101,O$1,0)</f>
        <v>0</v>
      </c>
      <c r="P857" s="50">
        <f>VLOOKUP($A857,'[1]ma sp 02'!$A$5:$BD$1101,P$1,0)</f>
        <v>0</v>
      </c>
      <c r="Q857" s="50">
        <f>VLOOKUP($A857,'[1]ma sp 02'!$A$5:$BD$1101,Q$1,0)</f>
        <v>0.42499999999999999</v>
      </c>
      <c r="R857" s="50">
        <f>VLOOKUP($A857,'[1]ma sp 02'!$A$5:$BD$1101,R$1,0)</f>
        <v>0.01</v>
      </c>
      <c r="S857" s="50">
        <f>VLOOKUP($A857,'[1]ma sp 02'!$A$5:$BD$1101,S$1,0)</f>
        <v>0</v>
      </c>
      <c r="T857" s="50">
        <f>VLOOKUP($A857,'[1]ma sp 02'!$A$5:$BD$1101,T$1,0)</f>
        <v>0.01</v>
      </c>
      <c r="U857" s="50">
        <f>VLOOKUP($A857,'[1]ma sp 02'!$A$5:$BD$1101,U$1,0)</f>
        <v>0</v>
      </c>
      <c r="V857" s="50">
        <f>VLOOKUP($A857,'[1]ma sp 02'!$A$5:$BD$1101,V$1,0)</f>
        <v>0</v>
      </c>
      <c r="W857" s="50">
        <f>VLOOKUP($A857,'[1]ma sp 02'!$A$5:$BD$1101,W$1,0)</f>
        <v>0</v>
      </c>
      <c r="X857" s="50"/>
      <c r="Y857" s="62"/>
      <c r="Z857" s="62"/>
      <c r="AA857" s="62"/>
      <c r="AB857" s="62"/>
      <c r="AC857" s="62"/>
      <c r="AD857" s="62"/>
      <c r="AE857" s="62" t="s">
        <v>219</v>
      </c>
      <c r="AF857" s="62" t="s">
        <v>1003</v>
      </c>
      <c r="AG857" s="53">
        <f>(0.02*0.91+0.006*2.7+0.075*0.925)*0.62</f>
        <v>6.4340500000000009E-2</v>
      </c>
      <c r="AH857" s="54">
        <f>(2.3/0.75/2)*0.61</f>
        <v>0.93533333333333324</v>
      </c>
      <c r="AI857" s="54">
        <f t="shared" ref="AI857" si="37">(2.3/0.75/2)*0.76</f>
        <v>1.1653333333333333</v>
      </c>
      <c r="AJ857" s="9">
        <v>9530</v>
      </c>
      <c r="AK857" s="62">
        <v>9530</v>
      </c>
      <c r="AL857" s="9" t="s">
        <v>1590</v>
      </c>
      <c r="AM857" s="61" t="s">
        <v>74</v>
      </c>
      <c r="AN857" s="62">
        <v>55</v>
      </c>
      <c r="AO857" s="61" t="s">
        <v>2743</v>
      </c>
      <c r="AP857" s="59" t="str">
        <f>IFERROR(VLOOKUP($A857,[2]Mssp!$A$5:$BE$1463,AP$4+1,0),0)</f>
        <v>F127498-1</v>
      </c>
      <c r="AQ857" s="59" t="str">
        <f>IFERROR(VLOOKUP($A857,[2]Mssp!$A$5:$BE$1463,AQ$4+1,0),0)</f>
        <v>F127498-2</v>
      </c>
      <c r="AR857" s="59" t="str">
        <f>IFERROR(VLOOKUP($A857,[2]Mssp!$A$5:$BE$1463,AR$4+1,0),0)</f>
        <v>F127498-3</v>
      </c>
      <c r="AS857" s="59">
        <f>IFERROR(VLOOKUP($A857,[2]Mssp!$A$5:$BE$1463,AS$4+1,0),0)</f>
        <v>0</v>
      </c>
      <c r="AT857" s="59">
        <f>IFERROR(VLOOKUP($A857,[2]Mssp!$A$5:$BE$1463,AT$4+1,0),0)</f>
        <v>0</v>
      </c>
      <c r="AU857" s="59">
        <f>IFERROR(VLOOKUP($A857,[2]Mssp!$A$5:$BE$1463,AU$4+1,0),0)</f>
        <v>0</v>
      </c>
      <c r="AV857" s="59">
        <f>IFERROR(VLOOKUP($A857,[2]Mssp!$A$5:$BE$1463,AV$4+1,0),0)</f>
        <v>0</v>
      </c>
      <c r="AW857" s="59">
        <f>IFERROR(VLOOKUP($A857,[2]Mssp!$A$5:$BE$1463,AW$4+1,0),0)</f>
        <v>0</v>
      </c>
      <c r="AX857" s="59">
        <f>IFERROR(VLOOKUP($A857,[2]Mssp!$A$5:$BE$1463,AX$4+1,0),0)</f>
        <v>0</v>
      </c>
      <c r="AY857" s="59" t="str">
        <f>IFERROR(VLOOKUP($A857,[2]Mssp!$A$5:$BE$1463,AY$4+2,0),0)</f>
        <v>440x870</v>
      </c>
      <c r="AZ857" s="59">
        <f>IFERROR(VLOOKUP($A857,[2]Mssp!$A$5:$BE$1463,AZ$4+2,0),0)</f>
        <v>0</v>
      </c>
      <c r="BA857" s="141"/>
      <c r="BB857" s="61" t="s">
        <v>1894</v>
      </c>
      <c r="BC857" s="165"/>
      <c r="BD857" s="166"/>
      <c r="BE857" s="167"/>
      <c r="BF857" s="168"/>
      <c r="BG857" s="167"/>
      <c r="BH857" s="168"/>
      <c r="BI857" s="169"/>
      <c r="BJ857" s="168"/>
      <c r="BK857" s="134"/>
      <c r="BL857" s="168"/>
      <c r="BM857" s="167"/>
      <c r="BN857" s="168"/>
      <c r="BO857" s="62"/>
      <c r="BP857" s="168"/>
      <c r="BQ857" s="168"/>
      <c r="BR857" s="168"/>
      <c r="BS857" s="135"/>
      <c r="BT857" s="176"/>
      <c r="BU857" s="167"/>
      <c r="BV857" s="168"/>
      <c r="BW857" s="167"/>
      <c r="BX857" s="168"/>
      <c r="BY857" s="167"/>
      <c r="BZ857" s="176"/>
      <c r="CA857" s="167"/>
      <c r="CB857" s="168"/>
      <c r="CC857" s="167"/>
      <c r="CD857" s="168"/>
      <c r="CE857" s="62"/>
      <c r="CF857" s="62"/>
      <c r="CG857" s="9"/>
      <c r="CH857" s="9"/>
      <c r="CI857" s="9"/>
      <c r="CJ857" s="9"/>
      <c r="CK857" s="9"/>
      <c r="CL857" s="9"/>
      <c r="CM857" s="9"/>
      <c r="CN857" s="9"/>
      <c r="CO857" s="9"/>
      <c r="CP857" s="9"/>
    </row>
    <row r="858" spans="1:94" ht="45" x14ac:dyDescent="0.25">
      <c r="A858" s="127" t="s">
        <v>2744</v>
      </c>
      <c r="B858" s="51" t="s">
        <v>2745</v>
      </c>
      <c r="C858" s="62"/>
      <c r="D858" s="84">
        <v>2</v>
      </c>
      <c r="E858" s="62" t="s">
        <v>2731</v>
      </c>
      <c r="F858" s="62">
        <v>6</v>
      </c>
      <c r="G858" s="62"/>
      <c r="H858" s="50">
        <f>VLOOKUP($A858,'[1]ma sp 02'!$A$5:$BD$1101,H$1,0)</f>
        <v>0.23899999999999999</v>
      </c>
      <c r="I858" s="50">
        <f>VLOOKUP($A858,'[1]ma sp 02'!$A$5:$BD$1101,I$1,0)</f>
        <v>2.863</v>
      </c>
      <c r="J858" s="50">
        <f>VLOOKUP($A858,'[1]ma sp 02'!$A$5:$BD$1101,J$1,0)</f>
        <v>0</v>
      </c>
      <c r="K858" s="50">
        <f>VLOOKUP($A858,'[1]ma sp 02'!$A$5:$BD$1101,K$1,0)</f>
        <v>0</v>
      </c>
      <c r="L858" s="50">
        <f>VLOOKUP($A858,'[1]ma sp 02'!$A$5:$BD$1101,L$1,0)</f>
        <v>2.028</v>
      </c>
      <c r="M858" s="50">
        <f>VLOOKUP($A858,'[1]ma sp 02'!$A$5:$BD$1101,M$1,0)</f>
        <v>2.1469999999999998</v>
      </c>
      <c r="N858" s="50">
        <f>VLOOKUP($A858,'[1]ma sp 02'!$A$5:$BD$1101,N$1,0)</f>
        <v>0</v>
      </c>
      <c r="O858" s="50">
        <f>VLOOKUP($A858,'[1]ma sp 02'!$A$5:$BD$1101,O$1,0)</f>
        <v>0</v>
      </c>
      <c r="P858" s="50">
        <f>VLOOKUP($A858,'[1]ma sp 02'!$A$5:$BD$1101,P$1,0)</f>
        <v>5.13</v>
      </c>
      <c r="Q858" s="50">
        <f>VLOOKUP($A858,'[1]ma sp 02'!$A$5:$BD$1101,Q$1,0)</f>
        <v>0</v>
      </c>
      <c r="R858" s="50">
        <f>VLOOKUP($A858,'[1]ma sp 02'!$A$5:$BD$1101,R$1,0)</f>
        <v>0</v>
      </c>
      <c r="S858" s="50">
        <f>VLOOKUP($A858,'[1]ma sp 02'!$A$5:$BD$1101,S$1,0)</f>
        <v>0.01</v>
      </c>
      <c r="T858" s="50">
        <f>VLOOKUP($A858,'[1]ma sp 02'!$A$5:$BD$1101,T$1,0)</f>
        <v>0.01</v>
      </c>
      <c r="U858" s="50">
        <f>VLOOKUP($A858,'[1]ma sp 02'!$A$5:$BD$1101,U$1,0)</f>
        <v>0</v>
      </c>
      <c r="V858" s="50">
        <f>VLOOKUP($A858,'[1]ma sp 02'!$A$5:$BD$1101,V$1,0)</f>
        <v>0</v>
      </c>
      <c r="W858" s="50">
        <f>VLOOKUP($A858,'[1]ma sp 02'!$A$5:$BD$1101,W$1,0)</f>
        <v>0</v>
      </c>
      <c r="X858" s="50"/>
      <c r="Y858" s="62"/>
      <c r="Z858" s="62"/>
      <c r="AA858" s="62"/>
      <c r="AB858" s="62"/>
      <c r="AC858" s="62"/>
      <c r="AD858" s="62"/>
      <c r="AE858" s="62" t="s">
        <v>2732</v>
      </c>
      <c r="AF858" s="62"/>
      <c r="AG858" s="53">
        <f>(0.015*1.15+0.065*0.925)*0.74</f>
        <v>5.7257499999999996E-2</v>
      </c>
      <c r="AH858" s="54">
        <f>(2.3/0.75/2)*0.73</f>
        <v>1.1193333333333333</v>
      </c>
      <c r="AI858" s="54"/>
      <c r="AJ858" s="192">
        <v>9530</v>
      </c>
      <c r="AK858" s="62"/>
      <c r="AL858" s="62">
        <v>2.3E-3</v>
      </c>
      <c r="AM858" s="61" t="s">
        <v>74</v>
      </c>
      <c r="AN858" s="62">
        <v>350</v>
      </c>
      <c r="AO858" s="61" t="s">
        <v>2676</v>
      </c>
      <c r="AP858" s="59" t="str">
        <f>IFERROR(VLOOKUP($A858,[2]Mssp!$A$5:$BE$1463,AP$4+1,0),0)</f>
        <v>21020172-1</v>
      </c>
      <c r="AQ858" s="59" t="str">
        <f>IFERROR(VLOOKUP($A858,[2]Mssp!$A$5:$BE$1463,AQ$4+1,0),0)</f>
        <v>21020172-2</v>
      </c>
      <c r="AR858" s="59" t="str">
        <f>IFERROR(VLOOKUP($A858,[2]Mssp!$A$5:$BE$1463,AR$4+1,0),0)</f>
        <v>21020172-3</v>
      </c>
      <c r="AS858" s="59" t="str">
        <f>IFERROR(VLOOKUP($A858,[2]Mssp!$A$5:$BE$1463,AS$4+1,0),0)</f>
        <v>21020172-4</v>
      </c>
      <c r="AT858" s="59" t="str">
        <f>IFERROR(VLOOKUP($A858,[2]Mssp!$A$5:$BE$1463,AT$4+1,0),0)</f>
        <v>21020172-5</v>
      </c>
      <c r="AU858" s="59" t="str">
        <f>IFERROR(VLOOKUP($A858,[2]Mssp!$A$5:$BE$1463,AU$4+1,0),0)</f>
        <v>21020172-6</v>
      </c>
      <c r="AV858" s="59">
        <f>IFERROR(VLOOKUP($A858,[2]Mssp!$A$5:$BE$1463,AV$4+1,0),0)</f>
        <v>0</v>
      </c>
      <c r="AW858" s="59">
        <f>IFERROR(VLOOKUP($A858,[2]Mssp!$A$5:$BE$1463,AW$4+1,0),0)</f>
        <v>0</v>
      </c>
      <c r="AX858" s="59">
        <f>IFERROR(VLOOKUP($A858,[2]Mssp!$A$5:$BE$1463,AX$4+1,0),0)</f>
        <v>0</v>
      </c>
      <c r="AY858" s="59" t="str">
        <f>IFERROR(VLOOKUP($A858,[2]Mssp!$A$5:$BE$1463,AY$4+2,0),0)</f>
        <v>700x870</v>
      </c>
      <c r="AZ858" s="59">
        <f>IFERROR(VLOOKUP($A858,[2]Mssp!$A$5:$BE$1463,AZ$4+2,0),0)</f>
        <v>0</v>
      </c>
      <c r="BA858" s="141"/>
      <c r="BB858" s="61"/>
      <c r="BC858" s="165"/>
      <c r="BD858" s="166"/>
      <c r="BE858" s="167"/>
      <c r="BF858" s="168"/>
      <c r="BG858" s="167"/>
      <c r="BH858" s="168"/>
      <c r="BI858" s="169"/>
      <c r="BJ858" s="168"/>
      <c r="BK858" s="134"/>
      <c r="BL858" s="168"/>
      <c r="BM858" s="167"/>
      <c r="BN858" s="168"/>
      <c r="BO858" s="62"/>
      <c r="BP858" s="168"/>
      <c r="BQ858" s="168"/>
      <c r="BR858" s="168"/>
      <c r="BS858" s="135"/>
      <c r="BT858" s="176"/>
      <c r="BU858" s="167"/>
      <c r="BV858" s="168"/>
      <c r="BW858" s="167"/>
      <c r="BX858" s="168"/>
      <c r="BY858" s="167"/>
      <c r="BZ858" s="176"/>
      <c r="CA858" s="167"/>
      <c r="CB858" s="168"/>
      <c r="CC858" s="167"/>
      <c r="CD858" s="168"/>
      <c r="CE858" s="62"/>
      <c r="CF858" s="62"/>
      <c r="CG858" s="9"/>
      <c r="CH858" s="9"/>
      <c r="CI858" s="9"/>
      <c r="CJ858" s="9"/>
      <c r="CK858" s="9"/>
      <c r="CL858" s="9"/>
      <c r="CM858" s="9"/>
      <c r="CN858" s="9"/>
      <c r="CO858" s="9"/>
      <c r="CP858" s="9"/>
    </row>
    <row r="859" spans="1:94" ht="45" x14ac:dyDescent="0.25">
      <c r="A859" s="127" t="s">
        <v>2746</v>
      </c>
      <c r="B859" s="51" t="s">
        <v>2747</v>
      </c>
      <c r="C859" s="62"/>
      <c r="D859" s="84">
        <v>2</v>
      </c>
      <c r="E859" s="62" t="s">
        <v>2731</v>
      </c>
      <c r="F859" s="62">
        <v>4</v>
      </c>
      <c r="G859" s="62"/>
      <c r="H859" s="50">
        <f>VLOOKUP($A859,'[1]ma sp 02'!$A$5:$BD$1101,H$1,0)</f>
        <v>0.35099999999999998</v>
      </c>
      <c r="I859" s="50">
        <f>VLOOKUP($A859,'[1]ma sp 02'!$A$5:$BD$1101,I$1,0)</f>
        <v>3.6240000000000001</v>
      </c>
      <c r="J859" s="50">
        <f>VLOOKUP($A859,'[1]ma sp 02'!$A$5:$BD$1101,J$1,0)</f>
        <v>0</v>
      </c>
      <c r="K859" s="50">
        <f>VLOOKUP($A859,'[1]ma sp 02'!$A$5:$BD$1101,K$1,0)</f>
        <v>0</v>
      </c>
      <c r="L859" s="50">
        <f>VLOOKUP($A859,'[1]ma sp 02'!$A$5:$BD$1101,L$1,0)</f>
        <v>1.52</v>
      </c>
      <c r="M859" s="50">
        <f>VLOOKUP($A859,'[1]ma sp 02'!$A$5:$BD$1101,M$1,0)</f>
        <v>1.87</v>
      </c>
      <c r="N859" s="50">
        <f>VLOOKUP($A859,'[1]ma sp 02'!$A$5:$BD$1101,N$1,0)</f>
        <v>0</v>
      </c>
      <c r="O859" s="50">
        <f>VLOOKUP($A859,'[1]ma sp 02'!$A$5:$BD$1101,O$1,0)</f>
        <v>0</v>
      </c>
      <c r="P859" s="50">
        <f>VLOOKUP($A859,'[1]ma sp 02'!$A$5:$BD$1101,P$1,0)</f>
        <v>2.8050000000000002</v>
      </c>
      <c r="Q859" s="50">
        <f>VLOOKUP($A859,'[1]ma sp 02'!$A$5:$BD$1101,Q$1,0)</f>
        <v>0</v>
      </c>
      <c r="R859" s="50">
        <f>VLOOKUP($A859,'[1]ma sp 02'!$A$5:$BD$1101,R$1,0)</f>
        <v>0</v>
      </c>
      <c r="S859" s="50">
        <f>VLOOKUP($A859,'[1]ma sp 02'!$A$5:$BD$1101,S$1,0)</f>
        <v>0</v>
      </c>
      <c r="T859" s="50">
        <f>VLOOKUP($A859,'[1]ma sp 02'!$A$5:$BD$1101,T$1,0)</f>
        <v>0</v>
      </c>
      <c r="U859" s="50">
        <f>VLOOKUP($A859,'[1]ma sp 02'!$A$5:$BD$1101,U$1,0)</f>
        <v>0</v>
      </c>
      <c r="V859" s="50">
        <f>VLOOKUP($A859,'[1]ma sp 02'!$A$5:$BD$1101,V$1,0)</f>
        <v>0</v>
      </c>
      <c r="W859" s="50">
        <f>VLOOKUP($A859,'[1]ma sp 02'!$A$5:$BD$1101,W$1,0)</f>
        <v>0</v>
      </c>
      <c r="X859" s="50"/>
      <c r="Y859" s="62"/>
      <c r="Z859" s="62"/>
      <c r="AA859" s="62"/>
      <c r="AB859" s="62"/>
      <c r="AC859" s="62"/>
      <c r="AD859" s="62"/>
      <c r="AE859" s="62" t="s">
        <v>2732</v>
      </c>
      <c r="AF859" s="62"/>
      <c r="AG859" s="53">
        <f>(0.015*1.15+0.065*0.925)*0.74</f>
        <v>5.7257499999999996E-2</v>
      </c>
      <c r="AH859" s="54">
        <f>(2.3/0.75/2)*0.73</f>
        <v>1.1193333333333333</v>
      </c>
      <c r="AI859" s="54"/>
      <c r="AJ859" s="192">
        <v>9530</v>
      </c>
      <c r="AK859" s="62"/>
      <c r="AL859" s="62">
        <v>2.3E-3</v>
      </c>
      <c r="AM859" s="61" t="s">
        <v>74</v>
      </c>
      <c r="AN859" s="62">
        <v>335</v>
      </c>
      <c r="AO859" s="61" t="s">
        <v>2676</v>
      </c>
      <c r="AP859" s="59" t="str">
        <f>IFERROR(VLOOKUP($A859,[2]Mssp!$A$5:$BE$1463,AP$4+1,0),0)</f>
        <v>21020171-1</v>
      </c>
      <c r="AQ859" s="59" t="str">
        <f>IFERROR(VLOOKUP($A859,[2]Mssp!$A$5:$BE$1463,AQ$4+1,0),0)</f>
        <v>21020171-2</v>
      </c>
      <c r="AR859" s="59" t="str">
        <f>IFERROR(VLOOKUP($A859,[2]Mssp!$A$5:$BE$1463,AR$4+1,0),0)</f>
        <v>21020171-3</v>
      </c>
      <c r="AS859" s="59" t="str">
        <f>IFERROR(VLOOKUP($A859,[2]Mssp!$A$5:$BE$1463,AS$4+1,0),0)</f>
        <v>21020171-4</v>
      </c>
      <c r="AT859" s="59">
        <f>IFERROR(VLOOKUP($A859,[2]Mssp!$A$5:$BE$1463,AT$4+1,0),0)</f>
        <v>0</v>
      </c>
      <c r="AU859" s="59">
        <f>IFERROR(VLOOKUP($A859,[2]Mssp!$A$5:$BE$1463,AU$4+1,0),0)</f>
        <v>0</v>
      </c>
      <c r="AV859" s="59">
        <f>IFERROR(VLOOKUP($A859,[2]Mssp!$A$5:$BE$1463,AV$4+1,0),0)</f>
        <v>0</v>
      </c>
      <c r="AW859" s="59">
        <f>IFERROR(VLOOKUP($A859,[2]Mssp!$A$5:$BE$1463,AW$4+1,0),0)</f>
        <v>0</v>
      </c>
      <c r="AX859" s="59">
        <f>IFERROR(VLOOKUP($A859,[2]Mssp!$A$5:$BE$1463,AX$4+1,0),0)</f>
        <v>0</v>
      </c>
      <c r="AY859" s="59" t="str">
        <f>IFERROR(VLOOKUP($A859,[2]Mssp!$A$5:$BE$1463,AY$4+2,0),0)</f>
        <v>670x870</v>
      </c>
      <c r="AZ859" s="59">
        <f>IFERROR(VLOOKUP($A859,[2]Mssp!$A$5:$BE$1463,AZ$4+2,0),0)</f>
        <v>0</v>
      </c>
      <c r="BA859" s="141"/>
      <c r="BB859" s="61"/>
      <c r="BC859" s="165"/>
      <c r="BD859" s="166"/>
      <c r="BE859" s="167"/>
      <c r="BF859" s="168"/>
      <c r="BG859" s="167"/>
      <c r="BH859" s="168"/>
      <c r="BI859" s="169"/>
      <c r="BJ859" s="168"/>
      <c r="BK859" s="134"/>
      <c r="BL859" s="168"/>
      <c r="BM859" s="167"/>
      <c r="BN859" s="168"/>
      <c r="BO859" s="62"/>
      <c r="BP859" s="168"/>
      <c r="BQ859" s="168"/>
      <c r="BR859" s="168"/>
      <c r="BS859" s="135"/>
      <c r="BT859" s="176"/>
      <c r="BU859" s="167"/>
      <c r="BV859" s="168"/>
      <c r="BW859" s="167"/>
      <c r="BX859" s="168"/>
      <c r="BY859" s="167"/>
      <c r="BZ859" s="176"/>
      <c r="CA859" s="167"/>
      <c r="CB859" s="168"/>
      <c r="CC859" s="167"/>
      <c r="CD859" s="168"/>
      <c r="CE859" s="62"/>
      <c r="CF859" s="62"/>
      <c r="CG859" s="9"/>
      <c r="CH859" s="9"/>
      <c r="CI859" s="9"/>
      <c r="CJ859" s="9"/>
      <c r="CK859" s="9"/>
      <c r="CL859" s="9"/>
      <c r="CM859" s="9"/>
      <c r="CN859" s="9"/>
      <c r="CO859" s="9"/>
      <c r="CP859" s="9"/>
    </row>
    <row r="860" spans="1:94" ht="45" x14ac:dyDescent="0.25">
      <c r="A860" s="127" t="s">
        <v>2748</v>
      </c>
      <c r="B860" s="51" t="s">
        <v>2749</v>
      </c>
      <c r="C860" s="62"/>
      <c r="D860" s="84">
        <v>2</v>
      </c>
      <c r="E860" s="62" t="s">
        <v>2724</v>
      </c>
      <c r="F860" s="62">
        <v>7</v>
      </c>
      <c r="G860" s="62"/>
      <c r="H860" s="50">
        <f>VLOOKUP($A860,'[1]ma sp 02'!$A$5:$BD$1101,H$1,0)</f>
        <v>0</v>
      </c>
      <c r="I860" s="50">
        <f>VLOOKUP($A860,'[1]ma sp 02'!$A$5:$BD$1101,I$1,0)</f>
        <v>0</v>
      </c>
      <c r="J860" s="50">
        <f>VLOOKUP($A860,'[1]ma sp 02'!$A$5:$BD$1101,J$1,0)</f>
        <v>0</v>
      </c>
      <c r="K860" s="50">
        <f>VLOOKUP($A860,'[1]ma sp 02'!$A$5:$BD$1101,K$1,0)</f>
        <v>0</v>
      </c>
      <c r="L860" s="50">
        <f>VLOOKUP($A860,'[1]ma sp 02'!$A$5:$BD$1101,L$1,0)</f>
        <v>0</v>
      </c>
      <c r="M860" s="50">
        <f>VLOOKUP($A860,'[1]ma sp 02'!$A$5:$BD$1101,M$1,0)</f>
        <v>0</v>
      </c>
      <c r="N860" s="50">
        <f>VLOOKUP($A860,'[1]ma sp 02'!$A$5:$BD$1101,N$1,0)</f>
        <v>0</v>
      </c>
      <c r="O860" s="50">
        <f>VLOOKUP($A860,'[1]ma sp 02'!$A$5:$BD$1101,O$1,0)</f>
        <v>0</v>
      </c>
      <c r="P860" s="50">
        <f>VLOOKUP($A860,'[1]ma sp 02'!$A$5:$BD$1101,P$1,0)</f>
        <v>0</v>
      </c>
      <c r="Q860" s="50">
        <f>VLOOKUP($A860,'[1]ma sp 02'!$A$5:$BD$1101,Q$1,0)</f>
        <v>0</v>
      </c>
      <c r="R860" s="50">
        <f>VLOOKUP($A860,'[1]ma sp 02'!$A$5:$BD$1101,R$1,0)</f>
        <v>0</v>
      </c>
      <c r="S860" s="50">
        <f>VLOOKUP($A860,'[1]ma sp 02'!$A$5:$BD$1101,S$1,0)</f>
        <v>0</v>
      </c>
      <c r="T860" s="50">
        <f>VLOOKUP($A860,'[1]ma sp 02'!$A$5:$BD$1101,T$1,0)</f>
        <v>0</v>
      </c>
      <c r="U860" s="50">
        <f>VLOOKUP($A860,'[1]ma sp 02'!$A$5:$BD$1101,U$1,0)</f>
        <v>0</v>
      </c>
      <c r="V860" s="50">
        <f>VLOOKUP($A860,'[1]ma sp 02'!$A$5:$BD$1101,V$1,0)</f>
        <v>0</v>
      </c>
      <c r="W860" s="50">
        <f>VLOOKUP($A860,'[1]ma sp 02'!$A$5:$BD$1101,W$1,0)</f>
        <v>0</v>
      </c>
      <c r="X860" s="50"/>
      <c r="Y860" s="62"/>
      <c r="Z860" s="62"/>
      <c r="AA860" s="62"/>
      <c r="AB860" s="62"/>
      <c r="AC860" s="62"/>
      <c r="AD860" s="62"/>
      <c r="AE860" s="62" t="s">
        <v>2725</v>
      </c>
      <c r="AF860" s="62"/>
      <c r="AG860" s="53">
        <f>(0.015*1.15+0.065*0.925)*0.86</f>
        <v>6.6542500000000004E-2</v>
      </c>
      <c r="AH860" s="54">
        <f>(2.3/0.75/2)*0.85</f>
        <v>1.3033333333333332</v>
      </c>
      <c r="AI860" s="54"/>
      <c r="AJ860" s="192">
        <v>9530</v>
      </c>
      <c r="AK860" s="62"/>
      <c r="AL860" s="62">
        <v>2.3E-3</v>
      </c>
      <c r="AM860" s="61" t="s">
        <v>74</v>
      </c>
      <c r="AN860" s="62">
        <v>310</v>
      </c>
      <c r="AO860" s="61" t="s">
        <v>2676</v>
      </c>
      <c r="AP860" s="59" t="str">
        <f>IFERROR(VLOOKUP($A860,[2]Mssp!$A$5:$BE$1463,AP$4+1,0),0)</f>
        <v>21020564-1</v>
      </c>
      <c r="AQ860" s="59" t="str">
        <f>IFERROR(VLOOKUP($A860,[2]Mssp!$A$5:$BE$1463,AQ$4+1,0),0)</f>
        <v>21020564-2</v>
      </c>
      <c r="AR860" s="59" t="str">
        <f>IFERROR(VLOOKUP($A860,[2]Mssp!$A$5:$BE$1463,AR$4+1,0),0)</f>
        <v>21020564-3</v>
      </c>
      <c r="AS860" s="59" t="str">
        <f>IFERROR(VLOOKUP($A860,[2]Mssp!$A$5:$BE$1463,AS$4+1,0),0)</f>
        <v>21020564-4</v>
      </c>
      <c r="AT860" s="59" t="str">
        <f>IFERROR(VLOOKUP($A860,[2]Mssp!$A$5:$BE$1463,AT$4+1,0),0)</f>
        <v>21020564-5</v>
      </c>
      <c r="AU860" s="59" t="str">
        <f>IFERROR(VLOOKUP($A860,[2]Mssp!$A$5:$BE$1463,AU$4+1,0),0)</f>
        <v>21020564-6</v>
      </c>
      <c r="AV860" s="59" t="str">
        <f>IFERROR(VLOOKUP($A860,[2]Mssp!$A$5:$BE$1463,AV$4+1,0),0)</f>
        <v>21020564-7</v>
      </c>
      <c r="AW860" s="59">
        <f>IFERROR(VLOOKUP($A860,[2]Mssp!$A$5:$BE$1463,AW$4+1,0),0)</f>
        <v>0</v>
      </c>
      <c r="AX860" s="59">
        <f>IFERROR(VLOOKUP($A860,[2]Mssp!$A$5:$BE$1463,AX$4+1,0),0)</f>
        <v>0</v>
      </c>
      <c r="AY860" s="59" t="str">
        <f>IFERROR(VLOOKUP($A860,[2]Mssp!$A$5:$BE$1463,AY$4+2,0),0)</f>
        <v>620x1100</v>
      </c>
      <c r="AZ860" s="59">
        <f>IFERROR(VLOOKUP($A860,[2]Mssp!$A$5:$BE$1463,AZ$4+2,0),0)</f>
        <v>0</v>
      </c>
      <c r="BA860" s="141"/>
      <c r="BB860" s="61"/>
      <c r="BC860" s="165"/>
      <c r="BD860" s="166"/>
      <c r="BE860" s="167"/>
      <c r="BF860" s="168"/>
      <c r="BG860" s="167"/>
      <c r="BH860" s="168"/>
      <c r="BI860" s="169"/>
      <c r="BJ860" s="168"/>
      <c r="BK860" s="134"/>
      <c r="BL860" s="168"/>
      <c r="BM860" s="167"/>
      <c r="BN860" s="168"/>
      <c r="BO860" s="62"/>
      <c r="BP860" s="168"/>
      <c r="BQ860" s="168"/>
      <c r="BR860" s="168"/>
      <c r="BS860" s="135"/>
      <c r="BT860" s="176"/>
      <c r="BU860" s="167"/>
      <c r="BV860" s="168"/>
      <c r="BW860" s="167"/>
      <c r="BX860" s="168"/>
      <c r="BY860" s="167"/>
      <c r="BZ860" s="176"/>
      <c r="CA860" s="167"/>
      <c r="CB860" s="168"/>
      <c r="CC860" s="167"/>
      <c r="CD860" s="168"/>
      <c r="CE860" s="62"/>
      <c r="CF860" s="62"/>
      <c r="CG860" s="9"/>
      <c r="CH860" s="9"/>
      <c r="CI860" s="9"/>
      <c r="CJ860" s="9"/>
      <c r="CK860" s="9"/>
      <c r="CL860" s="9"/>
      <c r="CM860" s="9"/>
      <c r="CN860" s="9"/>
      <c r="CO860" s="9"/>
      <c r="CP860" s="9"/>
    </row>
    <row r="861" spans="1:94" ht="45" x14ac:dyDescent="0.25">
      <c r="A861" s="127" t="s">
        <v>2750</v>
      </c>
      <c r="B861" s="51" t="s">
        <v>2751</v>
      </c>
      <c r="C861" s="62"/>
      <c r="D861" s="84">
        <v>2</v>
      </c>
      <c r="E861" s="62" t="s">
        <v>2752</v>
      </c>
      <c r="F861" s="62">
        <v>0</v>
      </c>
      <c r="G861" s="62"/>
      <c r="H861" s="50">
        <f>VLOOKUP($A861,'[1]ma sp 02'!$A$5:$BD$1101,H$1,0)</f>
        <v>0</v>
      </c>
      <c r="I861" s="50">
        <f>VLOOKUP($A861,'[1]ma sp 02'!$A$5:$BD$1101,I$1,0)</f>
        <v>0</v>
      </c>
      <c r="J861" s="50">
        <f>VLOOKUP($A861,'[1]ma sp 02'!$A$5:$BD$1101,J$1,0)</f>
        <v>0</v>
      </c>
      <c r="K861" s="50">
        <f>VLOOKUP($A861,'[1]ma sp 02'!$A$5:$BD$1101,K$1,0)</f>
        <v>0</v>
      </c>
      <c r="L861" s="50">
        <f>VLOOKUP($A861,'[1]ma sp 02'!$A$5:$BD$1101,L$1,0)</f>
        <v>0</v>
      </c>
      <c r="M861" s="50">
        <f>VLOOKUP($A861,'[1]ma sp 02'!$A$5:$BD$1101,M$1,0)</f>
        <v>0</v>
      </c>
      <c r="N861" s="50">
        <f>VLOOKUP($A861,'[1]ma sp 02'!$A$5:$BD$1101,N$1,0)</f>
        <v>0</v>
      </c>
      <c r="O861" s="50">
        <f>VLOOKUP($A861,'[1]ma sp 02'!$A$5:$BD$1101,O$1,0)</f>
        <v>0</v>
      </c>
      <c r="P861" s="50">
        <f>VLOOKUP($A861,'[1]ma sp 02'!$A$5:$BD$1101,P$1,0)</f>
        <v>0</v>
      </c>
      <c r="Q861" s="50">
        <f>VLOOKUP($A861,'[1]ma sp 02'!$A$5:$BD$1101,Q$1,0)</f>
        <v>0</v>
      </c>
      <c r="R861" s="50">
        <f>VLOOKUP($A861,'[1]ma sp 02'!$A$5:$BD$1101,R$1,0)</f>
        <v>0</v>
      </c>
      <c r="S861" s="50">
        <f>VLOOKUP($A861,'[1]ma sp 02'!$A$5:$BD$1101,S$1,0)</f>
        <v>0</v>
      </c>
      <c r="T861" s="50">
        <f>VLOOKUP($A861,'[1]ma sp 02'!$A$5:$BD$1101,T$1,0)</f>
        <v>0</v>
      </c>
      <c r="U861" s="50">
        <f>VLOOKUP($A861,'[1]ma sp 02'!$A$5:$BD$1101,U$1,0)</f>
        <v>0</v>
      </c>
      <c r="V861" s="50">
        <f>VLOOKUP($A861,'[1]ma sp 02'!$A$5:$BD$1101,V$1,0)</f>
        <v>0</v>
      </c>
      <c r="W861" s="50">
        <f>VLOOKUP($A861,'[1]ma sp 02'!$A$5:$BD$1101,W$1,0)</f>
        <v>0</v>
      </c>
      <c r="X861" s="50"/>
      <c r="Y861" s="62"/>
      <c r="Z861" s="62"/>
      <c r="AA861" s="62"/>
      <c r="AB861" s="62"/>
      <c r="AC861" s="62"/>
      <c r="AD861" s="62"/>
      <c r="AE861" s="62" t="s">
        <v>2753</v>
      </c>
      <c r="AF861" s="62"/>
      <c r="AG861" s="53">
        <f>(0.015*1.15+0.085*0.925)*0.9</f>
        <v>8.6287500000000017E-2</v>
      </c>
      <c r="AH861" s="54">
        <f>(2.3/0.75/2)*0.89</f>
        <v>1.3646666666666665</v>
      </c>
      <c r="AI861" s="54"/>
      <c r="AJ861" s="192">
        <v>9530</v>
      </c>
      <c r="AK861" s="62"/>
      <c r="AL861" s="62">
        <v>2.3E-3</v>
      </c>
      <c r="AM861" s="61" t="s">
        <v>74</v>
      </c>
      <c r="AN861" s="62">
        <v>310</v>
      </c>
      <c r="AO861" s="61" t="s">
        <v>2754</v>
      </c>
      <c r="AP861" s="59">
        <f>IFERROR(VLOOKUP($A861,[2]Mssp!$A$5:$BE$1463,AP$4+1,0),0)</f>
        <v>0</v>
      </c>
      <c r="AQ861" s="59">
        <f>IFERROR(VLOOKUP($A861,[2]Mssp!$A$5:$BE$1463,AQ$4+1,0),0)</f>
        <v>0</v>
      </c>
      <c r="AR861" s="59">
        <f>IFERROR(VLOOKUP($A861,[2]Mssp!$A$5:$BE$1463,AR$4+1,0),0)</f>
        <v>0</v>
      </c>
      <c r="AS861" s="59">
        <f>IFERROR(VLOOKUP($A861,[2]Mssp!$A$5:$BE$1463,AS$4+1,0),0)</f>
        <v>0</v>
      </c>
      <c r="AT861" s="59">
        <f>IFERROR(VLOOKUP($A861,[2]Mssp!$A$5:$BE$1463,AT$4+1,0),0)</f>
        <v>0</v>
      </c>
      <c r="AU861" s="59">
        <f>IFERROR(VLOOKUP($A861,[2]Mssp!$A$5:$BE$1463,AU$4+1,0),0)</f>
        <v>0</v>
      </c>
      <c r="AV861" s="59">
        <f>IFERROR(VLOOKUP($A861,[2]Mssp!$A$5:$BE$1463,AV$4+1,0),0)</f>
        <v>0</v>
      </c>
      <c r="AW861" s="59">
        <f>IFERROR(VLOOKUP($A861,[2]Mssp!$A$5:$BE$1463,AW$4+1,0),0)</f>
        <v>0</v>
      </c>
      <c r="AX861" s="59">
        <f>IFERROR(VLOOKUP($A861,[2]Mssp!$A$5:$BE$1463,AX$4+1,0),0)</f>
        <v>0</v>
      </c>
      <c r="AY861" s="59">
        <f>IFERROR(VLOOKUP($A861,[2]Mssp!$A$5:$BE$1463,AY$4+2,0),0)</f>
        <v>0</v>
      </c>
      <c r="AZ861" s="59">
        <f>IFERROR(VLOOKUP($A861,[2]Mssp!$A$5:$BE$1463,AZ$4+2,0),0)</f>
        <v>0</v>
      </c>
      <c r="BA861" s="141"/>
      <c r="BB861" s="61" t="s">
        <v>1894</v>
      </c>
      <c r="BC861" s="165"/>
      <c r="BD861" s="166"/>
      <c r="BE861" s="167"/>
      <c r="BF861" s="168"/>
      <c r="BG861" s="167"/>
      <c r="BH861" s="168"/>
      <c r="BI861" s="169"/>
      <c r="BJ861" s="168"/>
      <c r="BK861" s="134"/>
      <c r="BL861" s="168"/>
      <c r="BM861" s="167"/>
      <c r="BN861" s="168"/>
      <c r="BO861" s="62"/>
      <c r="BP861" s="168"/>
      <c r="BQ861" s="168"/>
      <c r="BR861" s="168"/>
      <c r="BS861" s="135"/>
      <c r="BT861" s="176"/>
      <c r="BU861" s="167"/>
      <c r="BV861" s="168"/>
      <c r="BW861" s="167"/>
      <c r="BX861" s="168"/>
      <c r="BY861" s="167"/>
      <c r="BZ861" s="176"/>
      <c r="CA861" s="167"/>
      <c r="CB861" s="168"/>
      <c r="CC861" s="167"/>
      <c r="CD861" s="168"/>
      <c r="CE861" s="62"/>
      <c r="CF861" s="62"/>
      <c r="CG861" s="9"/>
      <c r="CH861" s="9"/>
      <c r="CI861" s="9"/>
      <c r="CJ861" s="9"/>
      <c r="CK861" s="9"/>
      <c r="CL861" s="9"/>
      <c r="CM861" s="9"/>
      <c r="CN861" s="9"/>
      <c r="CO861" s="9"/>
      <c r="CP861" s="9"/>
    </row>
    <row r="862" spans="1:94" ht="45" x14ac:dyDescent="0.25">
      <c r="A862" s="127" t="s">
        <v>2755</v>
      </c>
      <c r="B862" s="51" t="s">
        <v>2756</v>
      </c>
      <c r="C862" s="62"/>
      <c r="D862" s="84">
        <v>1</v>
      </c>
      <c r="E862" s="62" t="s">
        <v>393</v>
      </c>
      <c r="F862" s="62">
        <v>3</v>
      </c>
      <c r="G862" s="62"/>
      <c r="H862" s="50">
        <f>VLOOKUP($A862,'[1]ma sp 02'!$A$5:$BD$1101,H$1,0)</f>
        <v>0</v>
      </c>
      <c r="I862" s="50">
        <f>VLOOKUP($A862,'[1]ma sp 02'!$A$5:$BD$1101,I$1,0)</f>
        <v>3.8620000000000001</v>
      </c>
      <c r="J862" s="50">
        <f>VLOOKUP($A862,'[1]ma sp 02'!$A$5:$BD$1101,J$1,0)</f>
        <v>0.25700000000000001</v>
      </c>
      <c r="K862" s="50">
        <f>VLOOKUP($A862,'[1]ma sp 02'!$A$5:$BD$1101,K$1,0)</f>
        <v>0</v>
      </c>
      <c r="L862" s="50">
        <f>VLOOKUP($A862,'[1]ma sp 02'!$A$5:$BD$1101,L$1,0)</f>
        <v>0</v>
      </c>
      <c r="M862" s="50">
        <f>VLOOKUP($A862,'[1]ma sp 02'!$A$5:$BD$1101,M$1,0)</f>
        <v>0</v>
      </c>
      <c r="N862" s="50">
        <f>VLOOKUP($A862,'[1]ma sp 02'!$A$5:$BD$1101,N$1,0)</f>
        <v>0</v>
      </c>
      <c r="O862" s="50">
        <f>VLOOKUP($A862,'[1]ma sp 02'!$A$5:$BD$1101,O$1,0)</f>
        <v>0</v>
      </c>
      <c r="P862" s="50">
        <f>VLOOKUP($A862,'[1]ma sp 02'!$A$5:$BD$1101,P$1,0)</f>
        <v>0.3</v>
      </c>
      <c r="Q862" s="50">
        <f>VLOOKUP($A862,'[1]ma sp 02'!$A$5:$BD$1101,Q$1,0)</f>
        <v>0</v>
      </c>
      <c r="R862" s="50">
        <f>VLOOKUP($A862,'[1]ma sp 02'!$A$5:$BD$1101,R$1,0)</f>
        <v>1.159</v>
      </c>
      <c r="S862" s="50">
        <f>VLOOKUP($A862,'[1]ma sp 02'!$A$5:$BD$1101,S$1,0)</f>
        <v>0</v>
      </c>
      <c r="T862" s="50">
        <f>VLOOKUP($A862,'[1]ma sp 02'!$A$5:$BD$1101,T$1,0)</f>
        <v>0</v>
      </c>
      <c r="U862" s="50">
        <f>VLOOKUP($A862,'[1]ma sp 02'!$A$5:$BD$1101,U$1,0)</f>
        <v>0</v>
      </c>
      <c r="V862" s="50">
        <f>VLOOKUP($A862,'[1]ma sp 02'!$A$5:$BD$1101,V$1,0)</f>
        <v>0</v>
      </c>
      <c r="W862" s="50">
        <f>VLOOKUP($A862,'[1]ma sp 02'!$A$5:$BD$1101,W$1,0)</f>
        <v>0</v>
      </c>
      <c r="X862" s="50"/>
      <c r="Y862" s="62"/>
      <c r="Z862" s="62"/>
      <c r="AA862" s="62"/>
      <c r="AB862" s="62"/>
      <c r="AC862" s="62"/>
      <c r="AD862" s="62"/>
      <c r="AE862" s="62" t="s">
        <v>738</v>
      </c>
      <c r="AF862" s="62" t="s">
        <v>2757</v>
      </c>
      <c r="AG862" s="53">
        <f>(0.015*2.71+0.006*1.4+0.1*0.925)*0.66</f>
        <v>9.3423000000000006E-2</v>
      </c>
      <c r="AH862" s="54">
        <f>(3/0.75/2)*0.65</f>
        <v>1.3</v>
      </c>
      <c r="AI862" s="54">
        <f>(3/0.75/2)*0.65</f>
        <v>1.3</v>
      </c>
      <c r="AJ862" s="192">
        <v>9530</v>
      </c>
      <c r="AK862" s="62">
        <v>9530</v>
      </c>
      <c r="AL862" s="62" t="s">
        <v>2023</v>
      </c>
      <c r="AM862" s="61" t="s">
        <v>2758</v>
      </c>
      <c r="AN862" s="62">
        <v>240</v>
      </c>
      <c r="AO862" s="61" t="s">
        <v>2754</v>
      </c>
      <c r="AP862" s="59" t="str">
        <f>IFERROR(VLOOKUP($A862,[2]Mssp!$A$5:$BE$1463,AP$4+1,0),0)</f>
        <v>F127813-1</v>
      </c>
      <c r="AQ862" s="59" t="str">
        <f>IFERROR(VLOOKUP($A862,[2]Mssp!$A$5:$BE$1463,AQ$4+1,0),0)</f>
        <v>F127813-2</v>
      </c>
      <c r="AR862" s="59" t="str">
        <f>IFERROR(VLOOKUP($A862,[2]Mssp!$A$5:$BE$1463,AR$4+1,0),0)</f>
        <v>F127813-3</v>
      </c>
      <c r="AS862" s="59">
        <f>IFERROR(VLOOKUP($A862,[2]Mssp!$A$5:$BE$1463,AS$4+1,0),0)</f>
        <v>0</v>
      </c>
      <c r="AT862" s="59">
        <f>IFERROR(VLOOKUP($A862,[2]Mssp!$A$5:$BE$1463,AT$4+1,0),0)</f>
        <v>0</v>
      </c>
      <c r="AU862" s="59">
        <f>IFERROR(VLOOKUP($A862,[2]Mssp!$A$5:$BE$1463,AU$4+1,0),0)</f>
        <v>0</v>
      </c>
      <c r="AV862" s="59">
        <f>IFERROR(VLOOKUP($A862,[2]Mssp!$A$5:$BE$1463,AV$4+1,0),0)</f>
        <v>0</v>
      </c>
      <c r="AW862" s="59">
        <f>IFERROR(VLOOKUP($A862,[2]Mssp!$A$5:$BE$1463,AW$4+1,0),0)</f>
        <v>0</v>
      </c>
      <c r="AX862" s="59">
        <f>IFERROR(VLOOKUP($A862,[2]Mssp!$A$5:$BE$1463,AX$4+1,0),0)</f>
        <v>0</v>
      </c>
      <c r="AY862" s="59" t="str">
        <f>IFERROR(VLOOKUP($A862,[2]Mssp!$A$5:$BE$1463,AY$4+2,0),0)</f>
        <v>480x870</v>
      </c>
      <c r="AZ862" s="59">
        <f>IFERROR(VLOOKUP($A862,[2]Mssp!$A$5:$BE$1463,AZ$4+2,0),0)</f>
        <v>0</v>
      </c>
      <c r="BA862" s="141"/>
      <c r="BB862" s="61" t="s">
        <v>1894</v>
      </c>
      <c r="BC862" s="165"/>
      <c r="BD862" s="166"/>
      <c r="BE862" s="167"/>
      <c r="BF862" s="168"/>
      <c r="BG862" s="167"/>
      <c r="BH862" s="168"/>
      <c r="BI862" s="169"/>
      <c r="BJ862" s="168"/>
      <c r="BK862" s="134"/>
      <c r="BL862" s="168"/>
      <c r="BM862" s="167"/>
      <c r="BN862" s="168"/>
      <c r="BO862" s="62"/>
      <c r="BP862" s="168"/>
      <c r="BQ862" s="168"/>
      <c r="BR862" s="168"/>
      <c r="BS862" s="135"/>
      <c r="BT862" s="176"/>
      <c r="BU862" s="167"/>
      <c r="BV862" s="168"/>
      <c r="BW862" s="167"/>
      <c r="BX862" s="168"/>
      <c r="BY862" s="167"/>
      <c r="BZ862" s="176"/>
      <c r="CA862" s="167"/>
      <c r="CB862" s="168"/>
      <c r="CC862" s="167"/>
      <c r="CD862" s="168"/>
      <c r="CE862" s="62"/>
      <c r="CF862" s="62"/>
      <c r="CG862" s="9"/>
      <c r="CH862" s="9"/>
      <c r="CI862" s="9"/>
      <c r="CJ862" s="9"/>
      <c r="CK862" s="9"/>
      <c r="CL862" s="9"/>
      <c r="CM862" s="9"/>
      <c r="CN862" s="9"/>
      <c r="CO862" s="9"/>
      <c r="CP862" s="9"/>
    </row>
    <row r="863" spans="1:94" ht="30" x14ac:dyDescent="0.25">
      <c r="A863" s="127" t="s">
        <v>2759</v>
      </c>
      <c r="B863" s="51" t="s">
        <v>2760</v>
      </c>
      <c r="C863" s="62"/>
      <c r="D863" s="84">
        <v>3</v>
      </c>
      <c r="E863" s="62" t="s">
        <v>351</v>
      </c>
      <c r="F863" s="62"/>
      <c r="G863" s="62"/>
      <c r="H863" s="50">
        <f>VLOOKUP($A863,'[1]ma sp 02'!$A$5:$BD$1101,H$1,0)</f>
        <v>0</v>
      </c>
      <c r="I863" s="50">
        <f>VLOOKUP($A863,'[1]ma sp 02'!$A$5:$BD$1101,I$1,0)</f>
        <v>0</v>
      </c>
      <c r="J863" s="50">
        <f>VLOOKUP($A863,'[1]ma sp 02'!$A$5:$BD$1101,J$1,0)</f>
        <v>0</v>
      </c>
      <c r="K863" s="50">
        <f>VLOOKUP($A863,'[1]ma sp 02'!$A$5:$BD$1101,K$1,0)</f>
        <v>0</v>
      </c>
      <c r="L863" s="50">
        <f>VLOOKUP($A863,'[1]ma sp 02'!$A$5:$BD$1101,L$1,0)</f>
        <v>0</v>
      </c>
      <c r="M863" s="50">
        <f>VLOOKUP($A863,'[1]ma sp 02'!$A$5:$BD$1101,M$1,0)</f>
        <v>0</v>
      </c>
      <c r="N863" s="50">
        <f>VLOOKUP($A863,'[1]ma sp 02'!$A$5:$BD$1101,N$1,0)</f>
        <v>0</v>
      </c>
      <c r="O863" s="50">
        <f>VLOOKUP($A863,'[1]ma sp 02'!$A$5:$BD$1101,O$1,0)</f>
        <v>0</v>
      </c>
      <c r="P863" s="50">
        <f>VLOOKUP($A863,'[1]ma sp 02'!$A$5:$BD$1101,P$1,0)</f>
        <v>0</v>
      </c>
      <c r="Q863" s="50">
        <f>VLOOKUP($A863,'[1]ma sp 02'!$A$5:$BD$1101,Q$1,0)</f>
        <v>0</v>
      </c>
      <c r="R863" s="50">
        <f>VLOOKUP($A863,'[1]ma sp 02'!$A$5:$BD$1101,R$1,0)</f>
        <v>0</v>
      </c>
      <c r="S863" s="50">
        <f>VLOOKUP($A863,'[1]ma sp 02'!$A$5:$BD$1101,S$1,0)</f>
        <v>0</v>
      </c>
      <c r="T863" s="50">
        <f>VLOOKUP($A863,'[1]ma sp 02'!$A$5:$BD$1101,T$1,0)</f>
        <v>0</v>
      </c>
      <c r="U863" s="50">
        <f>VLOOKUP($A863,'[1]ma sp 02'!$A$5:$BD$1101,U$1,0)</f>
        <v>0</v>
      </c>
      <c r="V863" s="50">
        <f>VLOOKUP($A863,'[1]ma sp 02'!$A$5:$BD$1101,V$1,0)</f>
        <v>0</v>
      </c>
      <c r="W863" s="50">
        <f>VLOOKUP($A863,'[1]ma sp 02'!$A$5:$BD$1101,W$1,0)</f>
        <v>0</v>
      </c>
      <c r="X863" s="50"/>
      <c r="Y863" s="62"/>
      <c r="Z863" s="62"/>
      <c r="AA863" s="62"/>
      <c r="AB863" s="62"/>
      <c r="AC863" s="62"/>
      <c r="AD863" s="62"/>
      <c r="AE863" s="62" t="s">
        <v>352</v>
      </c>
      <c r="AF863" s="62" t="s">
        <v>2437</v>
      </c>
      <c r="AG863" s="53">
        <f>(0.012*1.4+0.0012*1.4+0.08*0.925)*0.8</f>
        <v>7.3984000000000008E-2</v>
      </c>
      <c r="AH863" s="54">
        <f>(2.3/0.75/2)*0.79</f>
        <v>1.2113333333333334</v>
      </c>
      <c r="AI863" s="54">
        <f>(2.5/0.75/2)*0.79</f>
        <v>1.3166666666666669</v>
      </c>
      <c r="AJ863" s="192">
        <v>9530</v>
      </c>
      <c r="AK863" s="62">
        <v>9530</v>
      </c>
      <c r="AL863" s="62" t="s">
        <v>2680</v>
      </c>
      <c r="AM863" s="61" t="s">
        <v>74</v>
      </c>
      <c r="AN863" s="62">
        <v>180</v>
      </c>
      <c r="AO863" s="61" t="s">
        <v>2681</v>
      </c>
      <c r="AP863" s="59">
        <f>IFERROR(VLOOKUP($A863,[2]Mssp!$A$5:$BE$1463,AP$4+1,0),0)</f>
        <v>0</v>
      </c>
      <c r="AQ863" s="59">
        <f>IFERROR(VLOOKUP($A863,[2]Mssp!$A$5:$BE$1463,AQ$4+1,0),0)</f>
        <v>0</v>
      </c>
      <c r="AR863" s="59">
        <f>IFERROR(VLOOKUP($A863,[2]Mssp!$A$5:$BE$1463,AR$4+1,0),0)</f>
        <v>0</v>
      </c>
      <c r="AS863" s="59">
        <f>IFERROR(VLOOKUP($A863,[2]Mssp!$A$5:$BE$1463,AS$4+1,0),0)</f>
        <v>0</v>
      </c>
      <c r="AT863" s="59">
        <f>IFERROR(VLOOKUP($A863,[2]Mssp!$A$5:$BE$1463,AT$4+1,0),0)</f>
        <v>0</v>
      </c>
      <c r="AU863" s="59">
        <f>IFERROR(VLOOKUP($A863,[2]Mssp!$A$5:$BE$1463,AU$4+1,0),0)</f>
        <v>0</v>
      </c>
      <c r="AV863" s="59">
        <f>IFERROR(VLOOKUP($A863,[2]Mssp!$A$5:$BE$1463,AV$4+1,0),0)</f>
        <v>0</v>
      </c>
      <c r="AW863" s="59">
        <f>IFERROR(VLOOKUP($A863,[2]Mssp!$A$5:$BE$1463,AW$4+1,0),0)</f>
        <v>0</v>
      </c>
      <c r="AX863" s="59">
        <f>IFERROR(VLOOKUP($A863,[2]Mssp!$A$5:$BE$1463,AX$4+1,0),0)</f>
        <v>0</v>
      </c>
      <c r="AY863" s="59">
        <f>IFERROR(VLOOKUP($A863,[2]Mssp!$A$5:$BE$1463,AY$4+2,0),0)</f>
        <v>0</v>
      </c>
      <c r="AZ863" s="59">
        <f>IFERROR(VLOOKUP($A863,[2]Mssp!$A$5:$BE$1463,AZ$4+2,0),0)</f>
        <v>0</v>
      </c>
      <c r="BA863" s="141"/>
      <c r="BB863" s="61" t="s">
        <v>1894</v>
      </c>
      <c r="BC863" s="165"/>
      <c r="BD863" s="166"/>
      <c r="BE863" s="167"/>
      <c r="BF863" s="168"/>
      <c r="BG863" s="167"/>
      <c r="BH863" s="168"/>
      <c r="BI863" s="169"/>
      <c r="BJ863" s="168"/>
      <c r="BK863" s="134"/>
      <c r="BL863" s="168"/>
      <c r="BM863" s="167"/>
      <c r="BN863" s="168"/>
      <c r="BO863" s="62"/>
      <c r="BP863" s="168"/>
      <c r="BQ863" s="168"/>
      <c r="BR863" s="168"/>
      <c r="BS863" s="135"/>
      <c r="BT863" s="176"/>
      <c r="BU863" s="167"/>
      <c r="BV863" s="168"/>
      <c r="BW863" s="167"/>
      <c r="BX863" s="168"/>
      <c r="BY863" s="167"/>
      <c r="BZ863" s="176"/>
      <c r="CA863" s="167"/>
      <c r="CB863" s="168"/>
      <c r="CC863" s="167"/>
      <c r="CD863" s="168"/>
      <c r="CE863" s="62"/>
      <c r="CF863" s="62"/>
      <c r="CG863" s="9"/>
      <c r="CH863" s="9"/>
      <c r="CI863" s="9"/>
      <c r="CJ863" s="9"/>
      <c r="CK863" s="9"/>
      <c r="CL863" s="9"/>
      <c r="CM863" s="9"/>
      <c r="CN863" s="9"/>
      <c r="CO863" s="9"/>
      <c r="CP863" s="9"/>
    </row>
    <row r="864" spans="1:94" ht="30" x14ac:dyDescent="0.25">
      <c r="A864" s="127" t="s">
        <v>2761</v>
      </c>
      <c r="B864" s="51" t="s">
        <v>2762</v>
      </c>
      <c r="C864" s="62"/>
      <c r="D864" s="84">
        <v>3</v>
      </c>
      <c r="E864" s="62" t="s">
        <v>351</v>
      </c>
      <c r="F864" s="62"/>
      <c r="G864" s="62"/>
      <c r="H864" s="50">
        <f>VLOOKUP($A864,'[1]ma sp 02'!$A$5:$BD$1101,H$1,0)</f>
        <v>0</v>
      </c>
      <c r="I864" s="50">
        <f>VLOOKUP($A864,'[1]ma sp 02'!$A$5:$BD$1101,I$1,0)</f>
        <v>0</v>
      </c>
      <c r="J864" s="50">
        <f>VLOOKUP($A864,'[1]ma sp 02'!$A$5:$BD$1101,J$1,0)</f>
        <v>0</v>
      </c>
      <c r="K864" s="50">
        <f>VLOOKUP($A864,'[1]ma sp 02'!$A$5:$BD$1101,K$1,0)</f>
        <v>0</v>
      </c>
      <c r="L864" s="50">
        <f>VLOOKUP($A864,'[1]ma sp 02'!$A$5:$BD$1101,L$1,0)</f>
        <v>0</v>
      </c>
      <c r="M864" s="50">
        <f>VLOOKUP($A864,'[1]ma sp 02'!$A$5:$BD$1101,M$1,0)</f>
        <v>0</v>
      </c>
      <c r="N864" s="50">
        <f>VLOOKUP($A864,'[1]ma sp 02'!$A$5:$BD$1101,N$1,0)</f>
        <v>0</v>
      </c>
      <c r="O864" s="50">
        <f>VLOOKUP($A864,'[1]ma sp 02'!$A$5:$BD$1101,O$1,0)</f>
        <v>0</v>
      </c>
      <c r="P864" s="50">
        <f>VLOOKUP($A864,'[1]ma sp 02'!$A$5:$BD$1101,P$1,0)</f>
        <v>0</v>
      </c>
      <c r="Q864" s="50">
        <f>VLOOKUP($A864,'[1]ma sp 02'!$A$5:$BD$1101,Q$1,0)</f>
        <v>0</v>
      </c>
      <c r="R864" s="50">
        <f>VLOOKUP($A864,'[1]ma sp 02'!$A$5:$BD$1101,R$1,0)</f>
        <v>0</v>
      </c>
      <c r="S864" s="50">
        <f>VLOOKUP($A864,'[1]ma sp 02'!$A$5:$BD$1101,S$1,0)</f>
        <v>0</v>
      </c>
      <c r="T864" s="50">
        <f>VLOOKUP($A864,'[1]ma sp 02'!$A$5:$BD$1101,T$1,0)</f>
        <v>0</v>
      </c>
      <c r="U864" s="50">
        <f>VLOOKUP($A864,'[1]ma sp 02'!$A$5:$BD$1101,U$1,0)</f>
        <v>0</v>
      </c>
      <c r="V864" s="50">
        <f>VLOOKUP($A864,'[1]ma sp 02'!$A$5:$BD$1101,V$1,0)</f>
        <v>0</v>
      </c>
      <c r="W864" s="50">
        <f>VLOOKUP($A864,'[1]ma sp 02'!$A$5:$BD$1101,W$1,0)</f>
        <v>0</v>
      </c>
      <c r="X864" s="50"/>
      <c r="Y864" s="62"/>
      <c r="Z864" s="62"/>
      <c r="AA864" s="62"/>
      <c r="AB864" s="62"/>
      <c r="AC864" s="62"/>
      <c r="AD864" s="62"/>
      <c r="AE864" s="62" t="s">
        <v>352</v>
      </c>
      <c r="AF864" s="62" t="s">
        <v>2437</v>
      </c>
      <c r="AG864" s="53">
        <f>(0.012*1.4+0.0012*1.4+0.08*0.925)*0.8</f>
        <v>7.3984000000000008E-2</v>
      </c>
      <c r="AH864" s="54">
        <f>(2.3/0.75/2)*0.79</f>
        <v>1.2113333333333334</v>
      </c>
      <c r="AI864" s="54">
        <f>(2.5/0.75/2)*0.79</f>
        <v>1.3166666666666669</v>
      </c>
      <c r="AJ864" s="192">
        <v>9530</v>
      </c>
      <c r="AK864" s="62">
        <v>9530</v>
      </c>
      <c r="AL864" s="62" t="s">
        <v>2680</v>
      </c>
      <c r="AM864" s="61" t="s">
        <v>74</v>
      </c>
      <c r="AN864" s="62">
        <v>180</v>
      </c>
      <c r="AO864" s="61" t="s">
        <v>2681</v>
      </c>
      <c r="AP864" s="59">
        <f>IFERROR(VLOOKUP($A864,[2]Mssp!$A$5:$BE$1463,AP$4+1,0),0)</f>
        <v>0</v>
      </c>
      <c r="AQ864" s="59">
        <f>IFERROR(VLOOKUP($A864,[2]Mssp!$A$5:$BE$1463,AQ$4+1,0),0)</f>
        <v>0</v>
      </c>
      <c r="AR864" s="59">
        <f>IFERROR(VLOOKUP($A864,[2]Mssp!$A$5:$BE$1463,AR$4+1,0),0)</f>
        <v>0</v>
      </c>
      <c r="AS864" s="59">
        <f>IFERROR(VLOOKUP($A864,[2]Mssp!$A$5:$BE$1463,AS$4+1,0),0)</f>
        <v>0</v>
      </c>
      <c r="AT864" s="59">
        <f>IFERROR(VLOOKUP($A864,[2]Mssp!$A$5:$BE$1463,AT$4+1,0),0)</f>
        <v>0</v>
      </c>
      <c r="AU864" s="59">
        <f>IFERROR(VLOOKUP($A864,[2]Mssp!$A$5:$BE$1463,AU$4+1,0),0)</f>
        <v>0</v>
      </c>
      <c r="AV864" s="59">
        <f>IFERROR(VLOOKUP($A864,[2]Mssp!$A$5:$BE$1463,AV$4+1,0),0)</f>
        <v>0</v>
      </c>
      <c r="AW864" s="59">
        <f>IFERROR(VLOOKUP($A864,[2]Mssp!$A$5:$BE$1463,AW$4+1,0),0)</f>
        <v>0</v>
      </c>
      <c r="AX864" s="59">
        <f>IFERROR(VLOOKUP($A864,[2]Mssp!$A$5:$BE$1463,AX$4+1,0),0)</f>
        <v>0</v>
      </c>
      <c r="AY864" s="59">
        <f>IFERROR(VLOOKUP($A864,[2]Mssp!$A$5:$BE$1463,AY$4+2,0),0)</f>
        <v>0</v>
      </c>
      <c r="AZ864" s="59">
        <f>IFERROR(VLOOKUP($A864,[2]Mssp!$A$5:$BE$1463,AZ$4+2,0),0)</f>
        <v>0</v>
      </c>
      <c r="BA864" s="141"/>
      <c r="BB864" s="61" t="s">
        <v>1894</v>
      </c>
      <c r="BC864" s="165"/>
      <c r="BD864" s="166"/>
      <c r="BE864" s="167"/>
      <c r="BF864" s="168"/>
      <c r="BG864" s="167"/>
      <c r="BH864" s="168"/>
      <c r="BI864" s="169"/>
      <c r="BJ864" s="168"/>
      <c r="BK864" s="134"/>
      <c r="BL864" s="168"/>
      <c r="BM864" s="167"/>
      <c r="BN864" s="168"/>
      <c r="BO864" s="62"/>
      <c r="BP864" s="168"/>
      <c r="BQ864" s="168"/>
      <c r="BR864" s="168"/>
      <c r="BS864" s="135"/>
      <c r="BT864" s="176"/>
      <c r="BU864" s="167"/>
      <c r="BV864" s="168"/>
      <c r="BW864" s="167"/>
      <c r="BX864" s="168"/>
      <c r="BY864" s="167"/>
      <c r="BZ864" s="176"/>
      <c r="CA864" s="167"/>
      <c r="CB864" s="168"/>
      <c r="CC864" s="167"/>
      <c r="CD864" s="168"/>
      <c r="CE864" s="62"/>
      <c r="CF864" s="62"/>
      <c r="CG864" s="9"/>
      <c r="CH864" s="9"/>
      <c r="CI864" s="9"/>
      <c r="CJ864" s="9"/>
      <c r="CK864" s="9"/>
      <c r="CL864" s="9"/>
      <c r="CM864" s="9"/>
      <c r="CN864" s="9"/>
      <c r="CO864" s="9"/>
      <c r="CP864" s="9"/>
    </row>
    <row r="865" spans="1:94" ht="30" x14ac:dyDescent="0.25">
      <c r="A865" s="127" t="s">
        <v>2763</v>
      </c>
      <c r="B865" s="51" t="s">
        <v>2764</v>
      </c>
      <c r="C865" s="62"/>
      <c r="D865" s="84">
        <v>2</v>
      </c>
      <c r="E865" s="62" t="s">
        <v>131</v>
      </c>
      <c r="F865" s="62"/>
      <c r="G865" s="62"/>
      <c r="H865" s="50">
        <f>VLOOKUP($A865,'[1]ma sp 02'!$A$5:$BD$1101,H$1,0)</f>
        <v>0</v>
      </c>
      <c r="I865" s="50">
        <f>VLOOKUP($A865,'[1]ma sp 02'!$A$5:$BD$1101,I$1,0)</f>
        <v>0</v>
      </c>
      <c r="J865" s="50">
        <f>VLOOKUP($A865,'[1]ma sp 02'!$A$5:$BD$1101,J$1,0)</f>
        <v>0</v>
      </c>
      <c r="K865" s="50">
        <f>VLOOKUP($A865,'[1]ma sp 02'!$A$5:$BD$1101,K$1,0)</f>
        <v>0</v>
      </c>
      <c r="L865" s="50">
        <f>VLOOKUP($A865,'[1]ma sp 02'!$A$5:$BD$1101,L$1,0)</f>
        <v>0</v>
      </c>
      <c r="M865" s="50">
        <f>VLOOKUP($A865,'[1]ma sp 02'!$A$5:$BD$1101,M$1,0)</f>
        <v>0</v>
      </c>
      <c r="N865" s="50">
        <f>VLOOKUP($A865,'[1]ma sp 02'!$A$5:$BD$1101,N$1,0)</f>
        <v>0</v>
      </c>
      <c r="O865" s="50">
        <f>VLOOKUP($A865,'[1]ma sp 02'!$A$5:$BD$1101,O$1,0)</f>
        <v>0</v>
      </c>
      <c r="P865" s="50">
        <f>VLOOKUP($A865,'[1]ma sp 02'!$A$5:$BD$1101,P$1,0)</f>
        <v>0</v>
      </c>
      <c r="Q865" s="50">
        <f>VLOOKUP($A865,'[1]ma sp 02'!$A$5:$BD$1101,Q$1,0)</f>
        <v>0</v>
      </c>
      <c r="R865" s="50">
        <f>VLOOKUP($A865,'[1]ma sp 02'!$A$5:$BD$1101,R$1,0)</f>
        <v>0</v>
      </c>
      <c r="S865" s="50">
        <f>VLOOKUP($A865,'[1]ma sp 02'!$A$5:$BD$1101,S$1,0)</f>
        <v>0</v>
      </c>
      <c r="T865" s="50">
        <f>VLOOKUP($A865,'[1]ma sp 02'!$A$5:$BD$1101,T$1,0)</f>
        <v>0</v>
      </c>
      <c r="U865" s="50">
        <f>VLOOKUP($A865,'[1]ma sp 02'!$A$5:$BD$1101,U$1,0)</f>
        <v>0</v>
      </c>
      <c r="V865" s="50">
        <f>VLOOKUP($A865,'[1]ma sp 02'!$A$5:$BD$1101,V$1,0)</f>
        <v>0</v>
      </c>
      <c r="W865" s="50">
        <f>VLOOKUP($A865,'[1]ma sp 02'!$A$5:$BD$1101,W$1,0)</f>
        <v>0</v>
      </c>
      <c r="X865" s="50"/>
      <c r="Y865" s="62"/>
      <c r="Z865" s="62"/>
      <c r="AA865" s="62"/>
      <c r="AB865" s="62"/>
      <c r="AC865" s="62"/>
      <c r="AD865" s="62"/>
      <c r="AE865" s="62" t="s">
        <v>78</v>
      </c>
      <c r="AF865" s="62" t="s">
        <v>2765</v>
      </c>
      <c r="AG865" s="53">
        <f>(0.012*1.4+0.0012*1.4+0.08*0.925)*0.62</f>
        <v>5.7337600000000002E-2</v>
      </c>
      <c r="AH865" s="54">
        <f>(2.3/0.75/2)*0.79</f>
        <v>1.2113333333333334</v>
      </c>
      <c r="AI865" s="54">
        <f>(2.5/0.75/2)*0.79</f>
        <v>1.3166666666666669</v>
      </c>
      <c r="AJ865" s="192">
        <v>9530</v>
      </c>
      <c r="AK865" s="62">
        <v>9530</v>
      </c>
      <c r="AL865" s="62" t="s">
        <v>2680</v>
      </c>
      <c r="AM865" s="61" t="s">
        <v>74</v>
      </c>
      <c r="AN865" s="62">
        <v>230</v>
      </c>
      <c r="AO865" s="61" t="s">
        <v>2681</v>
      </c>
      <c r="AP865" s="59">
        <f>IFERROR(VLOOKUP($A865,[2]Mssp!$A$5:$BE$1463,AP$4+1,0),0)</f>
        <v>0</v>
      </c>
      <c r="AQ865" s="59">
        <f>IFERROR(VLOOKUP($A865,[2]Mssp!$A$5:$BE$1463,AQ$4+1,0),0)</f>
        <v>0</v>
      </c>
      <c r="AR865" s="59">
        <f>IFERROR(VLOOKUP($A865,[2]Mssp!$A$5:$BE$1463,AR$4+1,0),0)</f>
        <v>0</v>
      </c>
      <c r="AS865" s="59">
        <f>IFERROR(VLOOKUP($A865,[2]Mssp!$A$5:$BE$1463,AS$4+1,0),0)</f>
        <v>0</v>
      </c>
      <c r="AT865" s="59">
        <f>IFERROR(VLOOKUP($A865,[2]Mssp!$A$5:$BE$1463,AT$4+1,0),0)</f>
        <v>0</v>
      </c>
      <c r="AU865" s="59">
        <f>IFERROR(VLOOKUP($A865,[2]Mssp!$A$5:$BE$1463,AU$4+1,0),0)</f>
        <v>0</v>
      </c>
      <c r="AV865" s="59">
        <f>IFERROR(VLOOKUP($A865,[2]Mssp!$A$5:$BE$1463,AV$4+1,0),0)</f>
        <v>0</v>
      </c>
      <c r="AW865" s="59">
        <f>IFERROR(VLOOKUP($A865,[2]Mssp!$A$5:$BE$1463,AW$4+1,0),0)</f>
        <v>0</v>
      </c>
      <c r="AX865" s="59">
        <f>IFERROR(VLOOKUP($A865,[2]Mssp!$A$5:$BE$1463,AX$4+1,0),0)</f>
        <v>0</v>
      </c>
      <c r="AY865" s="59">
        <f>IFERROR(VLOOKUP($A865,[2]Mssp!$A$5:$BE$1463,AY$4+2,0),0)</f>
        <v>0</v>
      </c>
      <c r="AZ865" s="59">
        <f>IFERROR(VLOOKUP($A865,[2]Mssp!$A$5:$BE$1463,AZ$4+2,0),0)</f>
        <v>0</v>
      </c>
      <c r="BA865" s="141"/>
      <c r="BB865" s="61" t="s">
        <v>1894</v>
      </c>
      <c r="BC865" s="165"/>
      <c r="BD865" s="166"/>
      <c r="BE865" s="167"/>
      <c r="BF865" s="168"/>
      <c r="BG865" s="167"/>
      <c r="BH865" s="168"/>
      <c r="BI865" s="169"/>
      <c r="BJ865" s="168"/>
      <c r="BK865" s="134"/>
      <c r="BL865" s="168"/>
      <c r="BM865" s="167"/>
      <c r="BN865" s="168"/>
      <c r="BO865" s="62"/>
      <c r="BP865" s="168"/>
      <c r="BQ865" s="168"/>
      <c r="BR865" s="168"/>
      <c r="BS865" s="135"/>
      <c r="BT865" s="176"/>
      <c r="BU865" s="167"/>
      <c r="BV865" s="168"/>
      <c r="BW865" s="167"/>
      <c r="BX865" s="168"/>
      <c r="BY865" s="167"/>
      <c r="BZ865" s="176"/>
      <c r="CA865" s="167"/>
      <c r="CB865" s="168"/>
      <c r="CC865" s="167"/>
      <c r="CD865" s="168"/>
      <c r="CE865" s="62"/>
      <c r="CF865" s="62"/>
      <c r="CG865" s="9"/>
      <c r="CH865" s="9"/>
      <c r="CI865" s="9"/>
      <c r="CJ865" s="9"/>
      <c r="CK865" s="9"/>
      <c r="CL865" s="9"/>
      <c r="CM865" s="9"/>
      <c r="CN865" s="9"/>
      <c r="CO865" s="9"/>
      <c r="CP865" s="9"/>
    </row>
    <row r="866" spans="1:94" ht="45" x14ac:dyDescent="0.25">
      <c r="A866" s="127" t="s">
        <v>2766</v>
      </c>
      <c r="B866" s="51" t="s">
        <v>2767</v>
      </c>
      <c r="C866" s="62"/>
      <c r="D866" s="84">
        <v>2</v>
      </c>
      <c r="E866" s="62" t="s">
        <v>655</v>
      </c>
      <c r="F866" s="62">
        <v>5</v>
      </c>
      <c r="G866" s="62"/>
      <c r="H866" s="50">
        <f>VLOOKUP($A866,'[1]ma sp 02'!$A$5:$BD$1101,H$1,0)</f>
        <v>0</v>
      </c>
      <c r="I866" s="50">
        <f>VLOOKUP($A866,'[1]ma sp 02'!$A$5:$BD$1101,I$1,0)</f>
        <v>0</v>
      </c>
      <c r="J866" s="50">
        <f>VLOOKUP($A866,'[1]ma sp 02'!$A$5:$BD$1101,J$1,0)</f>
        <v>0</v>
      </c>
      <c r="K866" s="50">
        <f>VLOOKUP($A866,'[1]ma sp 02'!$A$5:$BD$1101,K$1,0)</f>
        <v>0</v>
      </c>
      <c r="L866" s="50">
        <f>VLOOKUP($A866,'[1]ma sp 02'!$A$5:$BD$1101,L$1,0)</f>
        <v>0</v>
      </c>
      <c r="M866" s="50">
        <f>VLOOKUP($A866,'[1]ma sp 02'!$A$5:$BD$1101,M$1,0)</f>
        <v>0</v>
      </c>
      <c r="N866" s="50">
        <f>VLOOKUP($A866,'[1]ma sp 02'!$A$5:$BD$1101,N$1,0)</f>
        <v>0</v>
      </c>
      <c r="O866" s="50">
        <f>VLOOKUP($A866,'[1]ma sp 02'!$A$5:$BD$1101,O$1,0)</f>
        <v>0</v>
      </c>
      <c r="P866" s="50">
        <f>VLOOKUP($A866,'[1]ma sp 02'!$A$5:$BD$1101,P$1,0)</f>
        <v>0</v>
      </c>
      <c r="Q866" s="50">
        <f>VLOOKUP($A866,'[1]ma sp 02'!$A$5:$BD$1101,Q$1,0)</f>
        <v>0</v>
      </c>
      <c r="R866" s="50">
        <f>VLOOKUP($A866,'[1]ma sp 02'!$A$5:$BD$1101,R$1,0)</f>
        <v>0</v>
      </c>
      <c r="S866" s="50">
        <f>VLOOKUP($A866,'[1]ma sp 02'!$A$5:$BD$1101,S$1,0)</f>
        <v>0</v>
      </c>
      <c r="T866" s="50">
        <f>VLOOKUP($A866,'[1]ma sp 02'!$A$5:$BD$1101,T$1,0)</f>
        <v>0</v>
      </c>
      <c r="U866" s="50">
        <f>VLOOKUP($A866,'[1]ma sp 02'!$A$5:$BD$1101,U$1,0)</f>
        <v>0</v>
      </c>
      <c r="V866" s="50">
        <f>VLOOKUP($A866,'[1]ma sp 02'!$A$5:$BD$1101,V$1,0)</f>
        <v>0</v>
      </c>
      <c r="W866" s="50">
        <f>VLOOKUP($A866,'[1]ma sp 02'!$A$5:$BD$1101,W$1,0)</f>
        <v>0</v>
      </c>
      <c r="X866" s="50"/>
      <c r="Y866" s="62"/>
      <c r="Z866" s="62"/>
      <c r="AA866" s="62"/>
      <c r="AB866" s="62"/>
      <c r="AC866" s="62"/>
      <c r="AD866" s="62"/>
      <c r="AE866" s="62" t="s">
        <v>2768</v>
      </c>
      <c r="AF866" s="62"/>
      <c r="AG866" s="53">
        <f>(0.015*1.15+0.065*0.925)*0.82</f>
        <v>6.344749999999999E-2</v>
      </c>
      <c r="AH866" s="54">
        <f>(2.3/0.75/2)*0.85</f>
        <v>1.3033333333333332</v>
      </c>
      <c r="AI866" s="54"/>
      <c r="AJ866" s="192">
        <v>9530</v>
      </c>
      <c r="AK866" s="62"/>
      <c r="AL866" s="62">
        <v>2.3E-3</v>
      </c>
      <c r="AM866" s="61" t="s">
        <v>74</v>
      </c>
      <c r="AN866" s="62">
        <v>240</v>
      </c>
      <c r="AO866" s="61" t="s">
        <v>2676</v>
      </c>
      <c r="AP866" s="59" t="str">
        <f>IFERROR(VLOOKUP($A866,[2]Mssp!$A$5:$BE$1463,AP$4+1,0),0)</f>
        <v>21020563-1</v>
      </c>
      <c r="AQ866" s="59" t="str">
        <f>IFERROR(VLOOKUP($A866,[2]Mssp!$A$5:$BE$1463,AQ$4+1,0),0)</f>
        <v>21020563-2</v>
      </c>
      <c r="AR866" s="59" t="str">
        <f>IFERROR(VLOOKUP($A866,[2]Mssp!$A$5:$BE$1463,AR$4+1,0),0)</f>
        <v>21020563-3</v>
      </c>
      <c r="AS866" s="59" t="str">
        <f>IFERROR(VLOOKUP($A866,[2]Mssp!$A$5:$BE$1463,AS$4+1,0),0)</f>
        <v>21020563-4</v>
      </c>
      <c r="AT866" s="59" t="str">
        <f>IFERROR(VLOOKUP($A866,[2]Mssp!$A$5:$BE$1463,AT$4+1,0),0)</f>
        <v>21020563-5</v>
      </c>
      <c r="AU866" s="59">
        <f>IFERROR(VLOOKUP($A866,[2]Mssp!$A$5:$BE$1463,AU$4+1,0),0)</f>
        <v>0</v>
      </c>
      <c r="AV866" s="59">
        <f>IFERROR(VLOOKUP($A866,[2]Mssp!$A$5:$BE$1463,AV$4+1,0),0)</f>
        <v>0</v>
      </c>
      <c r="AW866" s="59">
        <f>IFERROR(VLOOKUP($A866,[2]Mssp!$A$5:$BE$1463,AW$4+1,0),0)</f>
        <v>0</v>
      </c>
      <c r="AX866" s="59">
        <f>IFERROR(VLOOKUP($A866,[2]Mssp!$A$5:$BE$1463,AX$4+1,0),0)</f>
        <v>0</v>
      </c>
      <c r="AY866" s="59" t="str">
        <f>IFERROR(VLOOKUP($A866,[2]Mssp!$A$5:$BE$1463,AY$4+2,0),0)</f>
        <v>480x870</v>
      </c>
      <c r="AZ866" s="59">
        <f>IFERROR(VLOOKUP($A866,[2]Mssp!$A$5:$BE$1463,AZ$4+2,0),0)</f>
        <v>0</v>
      </c>
      <c r="BA866" s="141"/>
      <c r="BB866" s="61" t="s">
        <v>1894</v>
      </c>
      <c r="BC866" s="165"/>
      <c r="BD866" s="166"/>
      <c r="BE866" s="167"/>
      <c r="BF866" s="168"/>
      <c r="BG866" s="167"/>
      <c r="BH866" s="168"/>
      <c r="BI866" s="169"/>
      <c r="BJ866" s="168"/>
      <c r="BK866" s="134"/>
      <c r="BL866" s="168"/>
      <c r="BM866" s="167"/>
      <c r="BN866" s="168"/>
      <c r="BO866" s="62"/>
      <c r="BP866" s="168"/>
      <c r="BQ866" s="168"/>
      <c r="BR866" s="168"/>
      <c r="BS866" s="135"/>
      <c r="BT866" s="176"/>
      <c r="BU866" s="167"/>
      <c r="BV866" s="168"/>
      <c r="BW866" s="167"/>
      <c r="BX866" s="168"/>
      <c r="BY866" s="167"/>
      <c r="BZ866" s="176"/>
      <c r="CA866" s="167"/>
      <c r="CB866" s="168"/>
      <c r="CC866" s="167"/>
      <c r="CD866" s="168"/>
      <c r="CE866" s="62"/>
      <c r="CF866" s="62"/>
      <c r="CG866" s="9"/>
      <c r="CH866" s="9"/>
      <c r="CI866" s="9"/>
      <c r="CJ866" s="9"/>
      <c r="CK866" s="9"/>
      <c r="CL866" s="9"/>
      <c r="CM866" s="9"/>
      <c r="CN866" s="9"/>
      <c r="CO866" s="9"/>
      <c r="CP866" s="9"/>
    </row>
    <row r="867" spans="1:94" ht="30" x14ac:dyDescent="0.25">
      <c r="A867" s="127" t="s">
        <v>2769</v>
      </c>
      <c r="B867" s="51" t="s">
        <v>2770</v>
      </c>
      <c r="C867" s="62"/>
      <c r="D867" s="84">
        <v>3</v>
      </c>
      <c r="E867" s="62" t="s">
        <v>2771</v>
      </c>
      <c r="F867" s="62">
        <v>6</v>
      </c>
      <c r="G867" s="62"/>
      <c r="H867" s="50">
        <f>VLOOKUP($A867,'[1]ma sp 02'!$A$5:$BD$1101,H$1,0)</f>
        <v>0.1</v>
      </c>
      <c r="I867" s="50">
        <f>VLOOKUP($A867,'[1]ma sp 02'!$A$5:$BD$1101,I$1,0)</f>
        <v>0.70099999999999996</v>
      </c>
      <c r="J867" s="50">
        <f>VLOOKUP($A867,'[1]ma sp 02'!$A$5:$BD$1101,J$1,0)</f>
        <v>0.1</v>
      </c>
      <c r="K867" s="50">
        <f>VLOOKUP($A867,'[1]ma sp 02'!$A$5:$BD$1101,K$1,0)</f>
        <v>0.1</v>
      </c>
      <c r="L867" s="50">
        <f>VLOOKUP($A867,'[1]ma sp 02'!$A$5:$BD$1101,L$1,0)</f>
        <v>0.1</v>
      </c>
      <c r="M867" s="50">
        <f>VLOOKUP($A867,'[1]ma sp 02'!$A$5:$BD$1101,M$1,0)</f>
        <v>0.80100000000000005</v>
      </c>
      <c r="N867" s="50">
        <f>VLOOKUP($A867,'[1]ma sp 02'!$A$5:$BD$1101,N$1,0)</f>
        <v>0</v>
      </c>
      <c r="O867" s="50">
        <f>VLOOKUP($A867,'[1]ma sp 02'!$A$5:$BD$1101,O$1,0)</f>
        <v>0</v>
      </c>
      <c r="P867" s="50">
        <f>VLOOKUP($A867,'[1]ma sp 02'!$A$5:$BD$1101,P$1,0)</f>
        <v>1.1000000000000001</v>
      </c>
      <c r="Q867" s="50">
        <f>VLOOKUP($A867,'[1]ma sp 02'!$A$5:$BD$1101,Q$1,0)</f>
        <v>0</v>
      </c>
      <c r="R867" s="50">
        <f>VLOOKUP($A867,'[1]ma sp 02'!$A$5:$BD$1101,R$1,0)</f>
        <v>0</v>
      </c>
      <c r="S867" s="50">
        <f>VLOOKUP($A867,'[1]ma sp 02'!$A$5:$BD$1101,S$1,0)</f>
        <v>0</v>
      </c>
      <c r="T867" s="50">
        <f>VLOOKUP($A867,'[1]ma sp 02'!$A$5:$BD$1101,T$1,0)</f>
        <v>0</v>
      </c>
      <c r="U867" s="50">
        <f>VLOOKUP($A867,'[1]ma sp 02'!$A$5:$BD$1101,U$1,0)</f>
        <v>0</v>
      </c>
      <c r="V867" s="50">
        <f>VLOOKUP($A867,'[1]ma sp 02'!$A$5:$BD$1101,V$1,0)</f>
        <v>0</v>
      </c>
      <c r="W867" s="50">
        <f>VLOOKUP($A867,'[1]ma sp 02'!$A$5:$BD$1101,W$1,0)</f>
        <v>0</v>
      </c>
      <c r="X867" s="50"/>
      <c r="Y867" s="62"/>
      <c r="Z867" s="62"/>
      <c r="AA867" s="62"/>
      <c r="AB867" s="62"/>
      <c r="AC867" s="62"/>
      <c r="AD867" s="62"/>
      <c r="AE867" s="62" t="s">
        <v>2772</v>
      </c>
      <c r="AF867" s="62" t="s">
        <v>2773</v>
      </c>
      <c r="AG867" s="53">
        <f>(0.012*1.4+0.0012*1.4+0.075*0.925)*0.65</f>
        <v>5.7105750000000004E-2</v>
      </c>
      <c r="AH867" s="54">
        <f>(2.5/0.75/2)*0.64</f>
        <v>1.0666666666666667</v>
      </c>
      <c r="AI867" s="54">
        <f>(2.5/0.75/2)*0.64</f>
        <v>1.0666666666666667</v>
      </c>
      <c r="AJ867" s="192">
        <v>9530</v>
      </c>
      <c r="AK867" s="62">
        <v>9530</v>
      </c>
      <c r="AL867" s="62" t="s">
        <v>1901</v>
      </c>
      <c r="AM867" s="61" t="s">
        <v>1489</v>
      </c>
      <c r="AN867" s="62">
        <v>145</v>
      </c>
      <c r="AO867" s="61" t="s">
        <v>2774</v>
      </c>
      <c r="AP867" s="59" t="str">
        <f>IFERROR(VLOOKUP($A867,[2]Mssp!$A$5:$BE$1463,AP$4+1,0),0)</f>
        <v>21020586-1</v>
      </c>
      <c r="AQ867" s="59" t="str">
        <f>IFERROR(VLOOKUP($A867,[2]Mssp!$A$5:$BE$1463,AQ$4+1,0),0)</f>
        <v>21020586-2</v>
      </c>
      <c r="AR867" s="59" t="str">
        <f>IFERROR(VLOOKUP($A867,[2]Mssp!$A$5:$BE$1463,AR$4+1,0),0)</f>
        <v>21020586-3</v>
      </c>
      <c r="AS867" s="59" t="str">
        <f>IFERROR(VLOOKUP($A867,[2]Mssp!$A$5:$BE$1463,AS$4+1,0),0)</f>
        <v>21020586-4</v>
      </c>
      <c r="AT867" s="59" t="str">
        <f>IFERROR(VLOOKUP($A867,[2]Mssp!$A$5:$BE$1463,AT$4+1,0),0)</f>
        <v>21020586-5</v>
      </c>
      <c r="AU867" s="59" t="str">
        <f>IFERROR(VLOOKUP($A867,[2]Mssp!$A$5:$BE$1463,AU$4+1,0),0)</f>
        <v>21020586-6</v>
      </c>
      <c r="AV867" s="59">
        <f>IFERROR(VLOOKUP($A867,[2]Mssp!$A$5:$BE$1463,AV$4+1,0),0)</f>
        <v>0</v>
      </c>
      <c r="AW867" s="59">
        <f>IFERROR(VLOOKUP($A867,[2]Mssp!$A$5:$BE$1463,AW$4+1,0),0)</f>
        <v>0</v>
      </c>
      <c r="AX867" s="59">
        <f>IFERROR(VLOOKUP($A867,[2]Mssp!$A$5:$BE$1463,AX$4+1,0),0)</f>
        <v>0</v>
      </c>
      <c r="AY867" s="59" t="str">
        <f>IFERROR(VLOOKUP($A867,[2]Mssp!$A$5:$BE$1463,AY$4+2,0),0)</f>
        <v>435x870</v>
      </c>
      <c r="AZ867" s="59">
        <f>IFERROR(VLOOKUP($A867,[2]Mssp!$A$5:$BE$1463,AZ$4+2,0),0)</f>
        <v>0</v>
      </c>
      <c r="BA867" s="141"/>
      <c r="BB867" s="61" t="s">
        <v>952</v>
      </c>
      <c r="BC867" s="165"/>
      <c r="BD867" s="166"/>
      <c r="BE867" s="167"/>
      <c r="BF867" s="168"/>
      <c r="BG867" s="167"/>
      <c r="BH867" s="168"/>
      <c r="BI867" s="169"/>
      <c r="BJ867" s="168"/>
      <c r="BK867" s="134"/>
      <c r="BL867" s="168"/>
      <c r="BM867" s="167"/>
      <c r="BN867" s="168"/>
      <c r="BO867" s="62"/>
      <c r="BP867" s="168"/>
      <c r="BQ867" s="168"/>
      <c r="BR867" s="168"/>
      <c r="BS867" s="135"/>
      <c r="BT867" s="176"/>
      <c r="BU867" s="167"/>
      <c r="BV867" s="168"/>
      <c r="BW867" s="167"/>
      <c r="BX867" s="168"/>
      <c r="BY867" s="167"/>
      <c r="BZ867" s="176"/>
      <c r="CA867" s="167"/>
      <c r="CB867" s="168"/>
      <c r="CC867" s="167"/>
      <c r="CD867" s="168"/>
      <c r="CE867" s="62"/>
      <c r="CF867" s="62"/>
      <c r="CG867" s="9"/>
      <c r="CH867" s="9"/>
      <c r="CI867" s="9"/>
      <c r="CJ867" s="9"/>
      <c r="CK867" s="9"/>
      <c r="CL867" s="9"/>
      <c r="CM867" s="9"/>
      <c r="CN867" s="9"/>
      <c r="CO867" s="9"/>
      <c r="CP867" s="9"/>
    </row>
    <row r="868" spans="1:94" ht="45" x14ac:dyDescent="0.25">
      <c r="A868" s="127" t="s">
        <v>2775</v>
      </c>
      <c r="B868" s="51" t="s">
        <v>2776</v>
      </c>
      <c r="C868" s="62"/>
      <c r="D868" s="84">
        <v>1</v>
      </c>
      <c r="E868" s="62" t="s">
        <v>2687</v>
      </c>
      <c r="F868" s="62">
        <v>6</v>
      </c>
      <c r="G868" s="62"/>
      <c r="H868" s="50">
        <f>VLOOKUP($A868,'[1]ma sp 02'!$A$5:$BD$1101,H$1,0)</f>
        <v>0.433</v>
      </c>
      <c r="I868" s="50">
        <f>VLOOKUP($A868,'[1]ma sp 02'!$A$5:$BD$1101,I$1,0)</f>
        <v>4.3330000000000002</v>
      </c>
      <c r="J868" s="50">
        <f>VLOOKUP($A868,'[1]ma sp 02'!$A$5:$BD$1101,J$1,0)</f>
        <v>0.217</v>
      </c>
      <c r="K868" s="50">
        <f>VLOOKUP($A868,'[1]ma sp 02'!$A$5:$BD$1101,K$1,0)</f>
        <v>3.4670000000000001</v>
      </c>
      <c r="L868" s="50">
        <f>VLOOKUP($A868,'[1]ma sp 02'!$A$5:$BD$1101,L$1,0)</f>
        <v>0.433</v>
      </c>
      <c r="M868" s="50">
        <f>VLOOKUP($A868,'[1]ma sp 02'!$A$5:$BD$1101,M$1,0)</f>
        <v>0</v>
      </c>
      <c r="N868" s="50">
        <f>VLOOKUP($A868,'[1]ma sp 02'!$A$5:$BD$1101,N$1,0)</f>
        <v>0</v>
      </c>
      <c r="O868" s="50">
        <f>VLOOKUP($A868,'[1]ma sp 02'!$A$5:$BD$1101,O$1,0)</f>
        <v>0</v>
      </c>
      <c r="P868" s="50">
        <f>VLOOKUP($A868,'[1]ma sp 02'!$A$5:$BD$1101,P$1,0)</f>
        <v>0</v>
      </c>
      <c r="Q868" s="50">
        <f>VLOOKUP($A868,'[1]ma sp 02'!$A$5:$BD$1101,Q$1,0)</f>
        <v>0</v>
      </c>
      <c r="R868" s="50">
        <f>VLOOKUP($A868,'[1]ma sp 02'!$A$5:$BD$1101,R$1,0)</f>
        <v>0.217</v>
      </c>
      <c r="S868" s="50">
        <f>VLOOKUP($A868,'[1]ma sp 02'!$A$5:$BD$1101,S$1,0)</f>
        <v>0</v>
      </c>
      <c r="T868" s="50">
        <f>VLOOKUP($A868,'[1]ma sp 02'!$A$5:$BD$1101,T$1,0)</f>
        <v>0</v>
      </c>
      <c r="U868" s="50">
        <f>VLOOKUP($A868,'[1]ma sp 02'!$A$5:$BD$1101,U$1,0)</f>
        <v>0</v>
      </c>
      <c r="V868" s="50">
        <f>VLOOKUP($A868,'[1]ma sp 02'!$A$5:$BD$1101,V$1,0)</f>
        <v>0</v>
      </c>
      <c r="W868" s="50">
        <f>VLOOKUP($A868,'[1]ma sp 02'!$A$5:$BD$1101,W$1,0)</f>
        <v>0</v>
      </c>
      <c r="X868" s="50"/>
      <c r="Y868" s="62"/>
      <c r="Z868" s="62"/>
      <c r="AA868" s="62"/>
      <c r="AB868" s="62"/>
      <c r="AC868" s="62"/>
      <c r="AD868" s="62"/>
      <c r="AE868" s="62" t="s">
        <v>2777</v>
      </c>
      <c r="AF868" s="62" t="s">
        <v>2778</v>
      </c>
      <c r="AG868" s="53">
        <f>(0.012*1.4+0.015*1.15+0.16*0.925)*0.79</f>
        <v>0.14381950000000002</v>
      </c>
      <c r="AH868" s="54">
        <f>(3/0.75/2)*0.78</f>
        <v>1.56</v>
      </c>
      <c r="AI868" s="54">
        <f>(4/0.75/2)*0.78</f>
        <v>2.08</v>
      </c>
      <c r="AJ868" s="192">
        <v>9530</v>
      </c>
      <c r="AK868" s="62">
        <v>6260</v>
      </c>
      <c r="AL868" s="62" t="s">
        <v>2779</v>
      </c>
      <c r="AM868" s="61" t="s">
        <v>542</v>
      </c>
      <c r="AN868" s="62">
        <v>225</v>
      </c>
      <c r="AO868" s="61" t="s">
        <v>2780</v>
      </c>
      <c r="AP868" s="59">
        <f>IFERROR(VLOOKUP($A868,[2]Mssp!$A$5:$BE$1463,AP$4+1,0),0)</f>
        <v>0</v>
      </c>
      <c r="AQ868" s="59">
        <f>IFERROR(VLOOKUP($A868,[2]Mssp!$A$5:$BE$1463,AQ$4+1,0),0)</f>
        <v>0</v>
      </c>
      <c r="AR868" s="59">
        <f>IFERROR(VLOOKUP($A868,[2]Mssp!$A$5:$BE$1463,AR$4+1,0),0)</f>
        <v>0</v>
      </c>
      <c r="AS868" s="59">
        <f>IFERROR(VLOOKUP($A868,[2]Mssp!$A$5:$BE$1463,AS$4+1,0),0)</f>
        <v>0</v>
      </c>
      <c r="AT868" s="59">
        <f>IFERROR(VLOOKUP($A868,[2]Mssp!$A$5:$BE$1463,AT$4+1,0),0)</f>
        <v>0</v>
      </c>
      <c r="AU868" s="59">
        <f>IFERROR(VLOOKUP($A868,[2]Mssp!$A$5:$BE$1463,AU$4+1,0),0)</f>
        <v>0</v>
      </c>
      <c r="AV868" s="59">
        <f>IFERROR(VLOOKUP($A868,[2]Mssp!$A$5:$BE$1463,AV$4+1,0),0)</f>
        <v>0</v>
      </c>
      <c r="AW868" s="59">
        <f>IFERROR(VLOOKUP($A868,[2]Mssp!$A$5:$BE$1463,AW$4+1,0),0)</f>
        <v>0</v>
      </c>
      <c r="AX868" s="59">
        <f>IFERROR(VLOOKUP($A868,[2]Mssp!$A$5:$BE$1463,AX$4+1,0),0)</f>
        <v>0</v>
      </c>
      <c r="AY868" s="59">
        <f>IFERROR(VLOOKUP($A868,[2]Mssp!$A$5:$BE$1463,AY$4+2,0),0)</f>
        <v>0</v>
      </c>
      <c r="AZ868" s="59">
        <f>IFERROR(VLOOKUP($A868,[2]Mssp!$A$5:$BE$1463,AZ$4+2,0),0)</f>
        <v>0</v>
      </c>
      <c r="BA868" s="141"/>
      <c r="BB868" s="61" t="s">
        <v>1894</v>
      </c>
      <c r="BC868" s="165"/>
      <c r="BD868" s="166"/>
      <c r="BE868" s="167"/>
      <c r="BF868" s="168"/>
      <c r="BG868" s="167"/>
      <c r="BH868" s="168"/>
      <c r="BI868" s="169"/>
      <c r="BJ868" s="168"/>
      <c r="BK868" s="134"/>
      <c r="BL868" s="168"/>
      <c r="BM868" s="167"/>
      <c r="BN868" s="168"/>
      <c r="BO868" s="62"/>
      <c r="BP868" s="168"/>
      <c r="BQ868" s="168"/>
      <c r="BR868" s="168"/>
      <c r="BS868" s="135"/>
      <c r="BT868" s="176"/>
      <c r="BU868" s="167"/>
      <c r="BV868" s="168"/>
      <c r="BW868" s="167"/>
      <c r="BX868" s="168"/>
      <c r="BY868" s="167"/>
      <c r="BZ868" s="176"/>
      <c r="CA868" s="167"/>
      <c r="CB868" s="168"/>
      <c r="CC868" s="167"/>
      <c r="CD868" s="168"/>
      <c r="CE868" s="62"/>
      <c r="CF868" s="62"/>
      <c r="CG868" s="9"/>
      <c r="CH868" s="9"/>
      <c r="CI868" s="9"/>
      <c r="CJ868" s="9"/>
      <c r="CK868" s="9"/>
      <c r="CL868" s="9"/>
      <c r="CM868" s="9"/>
      <c r="CN868" s="9"/>
      <c r="CO868" s="9"/>
      <c r="CP868" s="9"/>
    </row>
    <row r="869" spans="1:94" ht="45" x14ac:dyDescent="0.25">
      <c r="A869" s="127" t="s">
        <v>2781</v>
      </c>
      <c r="B869" s="51" t="s">
        <v>2782</v>
      </c>
      <c r="C869" s="62"/>
      <c r="D869" s="84">
        <v>1</v>
      </c>
      <c r="E869" s="62" t="s">
        <v>2687</v>
      </c>
      <c r="F869" s="62">
        <v>6</v>
      </c>
      <c r="G869" s="62"/>
      <c r="H869" s="50">
        <f>VLOOKUP($A869,'[1]ma sp 02'!$A$5:$BD$1101,H$1,0)</f>
        <v>0.65900000000000003</v>
      </c>
      <c r="I869" s="50">
        <f>VLOOKUP($A869,'[1]ma sp 02'!$A$5:$BD$1101,I$1,0)</f>
        <v>9.6660000000000004</v>
      </c>
      <c r="J869" s="50">
        <f>VLOOKUP($A869,'[1]ma sp 02'!$A$5:$BD$1101,J$1,0)</f>
        <v>0.01</v>
      </c>
      <c r="K869" s="50">
        <f>VLOOKUP($A869,'[1]ma sp 02'!$A$5:$BD$1101,K$1,0)</f>
        <v>4.6130000000000004</v>
      </c>
      <c r="L869" s="50">
        <f>VLOOKUP($A869,'[1]ma sp 02'!$A$5:$BD$1101,L$1,0)</f>
        <v>0.01</v>
      </c>
      <c r="M869" s="50">
        <f>VLOOKUP($A869,'[1]ma sp 02'!$A$5:$BD$1101,M$1,0)</f>
        <v>3.95</v>
      </c>
      <c r="N869" s="50">
        <f>VLOOKUP($A869,'[1]ma sp 02'!$A$5:$BD$1101,N$1,0)</f>
        <v>0</v>
      </c>
      <c r="O869" s="50">
        <f>VLOOKUP($A869,'[1]ma sp 02'!$A$5:$BD$1101,O$1,0)</f>
        <v>0</v>
      </c>
      <c r="P869" s="50">
        <f>VLOOKUP($A869,'[1]ma sp 02'!$A$5:$BD$1101,P$1,0)</f>
        <v>0</v>
      </c>
      <c r="Q869" s="50">
        <f>VLOOKUP($A869,'[1]ma sp 02'!$A$5:$BD$1101,Q$1,0)</f>
        <v>0</v>
      </c>
      <c r="R869" s="50">
        <f>VLOOKUP($A869,'[1]ma sp 02'!$A$5:$BD$1101,R$1,0)</f>
        <v>0.01</v>
      </c>
      <c r="S869" s="50">
        <f>VLOOKUP($A869,'[1]ma sp 02'!$A$5:$BD$1101,S$1,0)</f>
        <v>0</v>
      </c>
      <c r="T869" s="50">
        <f>VLOOKUP($A869,'[1]ma sp 02'!$A$5:$BD$1101,T$1,0)</f>
        <v>0</v>
      </c>
      <c r="U869" s="50">
        <f>VLOOKUP($A869,'[1]ma sp 02'!$A$5:$BD$1101,U$1,0)</f>
        <v>0</v>
      </c>
      <c r="V869" s="50">
        <f>VLOOKUP($A869,'[1]ma sp 02'!$A$5:$BD$1101,V$1,0)</f>
        <v>0</v>
      </c>
      <c r="W869" s="50">
        <f>VLOOKUP($A869,'[1]ma sp 02'!$A$5:$BD$1101,W$1,0)</f>
        <v>0</v>
      </c>
      <c r="X869" s="50"/>
      <c r="Y869" s="62"/>
      <c r="Z869" s="62"/>
      <c r="AA869" s="62"/>
      <c r="AB869" s="62"/>
      <c r="AC869" s="62"/>
      <c r="AD869" s="62"/>
      <c r="AE869" s="62" t="s">
        <v>2777</v>
      </c>
      <c r="AF869" s="62" t="s">
        <v>2778</v>
      </c>
      <c r="AG869" s="53">
        <f>(0.012*1.4+0.015*1.15+0.16*0.925)*0.79</f>
        <v>0.14381950000000002</v>
      </c>
      <c r="AH869" s="54">
        <f>(3/0.75/2)*0.78</f>
        <v>1.56</v>
      </c>
      <c r="AI869" s="54">
        <f>(4/0.75/2)*0.78</f>
        <v>2.08</v>
      </c>
      <c r="AJ869" s="192">
        <v>9530</v>
      </c>
      <c r="AK869" s="62">
        <v>6260</v>
      </c>
      <c r="AL869" s="62" t="s">
        <v>2779</v>
      </c>
      <c r="AM869" s="61" t="s">
        <v>542</v>
      </c>
      <c r="AN869" s="62">
        <v>225</v>
      </c>
      <c r="AO869" s="61" t="s">
        <v>2780</v>
      </c>
      <c r="AP869" s="59">
        <f>IFERROR(VLOOKUP($A869,[2]Mssp!$A$5:$BE$1463,AP$4+1,0),0)</f>
        <v>0</v>
      </c>
      <c r="AQ869" s="59">
        <f>IFERROR(VLOOKUP($A869,[2]Mssp!$A$5:$BE$1463,AQ$4+1,0),0)</f>
        <v>0</v>
      </c>
      <c r="AR869" s="59">
        <f>IFERROR(VLOOKUP($A869,[2]Mssp!$A$5:$BE$1463,AR$4+1,0),0)</f>
        <v>0</v>
      </c>
      <c r="AS869" s="59">
        <f>IFERROR(VLOOKUP($A869,[2]Mssp!$A$5:$BE$1463,AS$4+1,0),0)</f>
        <v>0</v>
      </c>
      <c r="AT869" s="59">
        <f>IFERROR(VLOOKUP($A869,[2]Mssp!$A$5:$BE$1463,AT$4+1,0),0)</f>
        <v>0</v>
      </c>
      <c r="AU869" s="59">
        <f>IFERROR(VLOOKUP($A869,[2]Mssp!$A$5:$BE$1463,AU$4+1,0),0)</f>
        <v>0</v>
      </c>
      <c r="AV869" s="59">
        <f>IFERROR(VLOOKUP($A869,[2]Mssp!$A$5:$BE$1463,AV$4+1,0),0)</f>
        <v>0</v>
      </c>
      <c r="AW869" s="59">
        <f>IFERROR(VLOOKUP($A869,[2]Mssp!$A$5:$BE$1463,AW$4+1,0),0)</f>
        <v>0</v>
      </c>
      <c r="AX869" s="59">
        <f>IFERROR(VLOOKUP($A869,[2]Mssp!$A$5:$BE$1463,AX$4+1,0),0)</f>
        <v>0</v>
      </c>
      <c r="AY869" s="59">
        <f>IFERROR(VLOOKUP($A869,[2]Mssp!$A$5:$BE$1463,AY$4+2,0),0)</f>
        <v>0</v>
      </c>
      <c r="AZ869" s="59">
        <f>IFERROR(VLOOKUP($A869,[2]Mssp!$A$5:$BE$1463,AZ$4+2,0),0)</f>
        <v>0</v>
      </c>
      <c r="BA869" s="141"/>
      <c r="BB869" s="61" t="s">
        <v>1894</v>
      </c>
      <c r="BC869" s="165"/>
      <c r="BD869" s="166"/>
      <c r="BE869" s="167"/>
      <c r="BF869" s="168"/>
      <c r="BG869" s="167"/>
      <c r="BH869" s="168"/>
      <c r="BI869" s="169"/>
      <c r="BJ869" s="168"/>
      <c r="BK869" s="134"/>
      <c r="BL869" s="168"/>
      <c r="BM869" s="167"/>
      <c r="BN869" s="168"/>
      <c r="BO869" s="62"/>
      <c r="BP869" s="168"/>
      <c r="BQ869" s="168"/>
      <c r="BR869" s="168"/>
      <c r="BS869" s="135"/>
      <c r="BT869" s="176"/>
      <c r="BU869" s="167"/>
      <c r="BV869" s="168"/>
      <c r="BW869" s="167"/>
      <c r="BX869" s="168"/>
      <c r="BY869" s="167"/>
      <c r="BZ869" s="176"/>
      <c r="CA869" s="167"/>
      <c r="CB869" s="168"/>
      <c r="CC869" s="167"/>
      <c r="CD869" s="168"/>
      <c r="CE869" s="62"/>
      <c r="CF869" s="62"/>
      <c r="CG869" s="9"/>
      <c r="CH869" s="9"/>
      <c r="CI869" s="9"/>
      <c r="CJ869" s="9"/>
      <c r="CK869" s="9"/>
      <c r="CL869" s="9"/>
      <c r="CM869" s="9"/>
      <c r="CN869" s="9"/>
      <c r="CO869" s="9"/>
      <c r="CP869" s="9"/>
    </row>
    <row r="870" spans="1:94" ht="45" x14ac:dyDescent="0.25">
      <c r="A870" s="127" t="s">
        <v>2783</v>
      </c>
      <c r="B870" s="51" t="s">
        <v>2784</v>
      </c>
      <c r="C870" s="62"/>
      <c r="D870" s="84">
        <v>1</v>
      </c>
      <c r="E870" s="62" t="s">
        <v>2731</v>
      </c>
      <c r="F870" s="62"/>
      <c r="G870" s="62"/>
      <c r="H870" s="50">
        <f>VLOOKUP($A870,'[1]ma sp 02'!$A$5:$BD$1101,H$1,0)</f>
        <v>0</v>
      </c>
      <c r="I870" s="50">
        <f>VLOOKUP($A870,'[1]ma sp 02'!$A$5:$BD$1101,I$1,0)</f>
        <v>0</v>
      </c>
      <c r="J870" s="50">
        <f>VLOOKUP($A870,'[1]ma sp 02'!$A$5:$BD$1101,J$1,0)</f>
        <v>0</v>
      </c>
      <c r="K870" s="50">
        <f>VLOOKUP($A870,'[1]ma sp 02'!$A$5:$BD$1101,K$1,0)</f>
        <v>0</v>
      </c>
      <c r="L870" s="50">
        <f>VLOOKUP($A870,'[1]ma sp 02'!$A$5:$BD$1101,L$1,0)</f>
        <v>0</v>
      </c>
      <c r="M870" s="50">
        <f>VLOOKUP($A870,'[1]ma sp 02'!$A$5:$BD$1101,M$1,0)</f>
        <v>0</v>
      </c>
      <c r="N870" s="50">
        <f>VLOOKUP($A870,'[1]ma sp 02'!$A$5:$BD$1101,N$1,0)</f>
        <v>0</v>
      </c>
      <c r="O870" s="50">
        <f>VLOOKUP($A870,'[1]ma sp 02'!$A$5:$BD$1101,O$1,0)</f>
        <v>0</v>
      </c>
      <c r="P870" s="50">
        <f>VLOOKUP($A870,'[1]ma sp 02'!$A$5:$BD$1101,P$1,0)</f>
        <v>0</v>
      </c>
      <c r="Q870" s="50">
        <f>VLOOKUP($A870,'[1]ma sp 02'!$A$5:$BD$1101,Q$1,0)</f>
        <v>0</v>
      </c>
      <c r="R870" s="50">
        <f>VLOOKUP($A870,'[1]ma sp 02'!$A$5:$BD$1101,R$1,0)</f>
        <v>0</v>
      </c>
      <c r="S870" s="50">
        <f>VLOOKUP($A870,'[1]ma sp 02'!$A$5:$BD$1101,S$1,0)</f>
        <v>0</v>
      </c>
      <c r="T870" s="50">
        <f>VLOOKUP($A870,'[1]ma sp 02'!$A$5:$BD$1101,T$1,0)</f>
        <v>0</v>
      </c>
      <c r="U870" s="50">
        <f>VLOOKUP($A870,'[1]ma sp 02'!$A$5:$BD$1101,U$1,0)</f>
        <v>0</v>
      </c>
      <c r="V870" s="50">
        <f>VLOOKUP($A870,'[1]ma sp 02'!$A$5:$BD$1101,V$1,0)</f>
        <v>0</v>
      </c>
      <c r="W870" s="50">
        <f>VLOOKUP($A870,'[1]ma sp 02'!$A$5:$BD$1101,W$1,0)</f>
        <v>0</v>
      </c>
      <c r="X870" s="50"/>
      <c r="Y870" s="62"/>
      <c r="Z870" s="62"/>
      <c r="AA870" s="62"/>
      <c r="AB870" s="62"/>
      <c r="AC870" s="62"/>
      <c r="AD870" s="62"/>
      <c r="AE870" s="62" t="s">
        <v>2785</v>
      </c>
      <c r="AF870" s="62"/>
      <c r="AG870" s="53">
        <f>(0.015*1.15+0.055*0.925)*0.74</f>
        <v>5.0412500000000006E-2</v>
      </c>
      <c r="AH870" s="54">
        <f>(2/0.75/2)*0.73</f>
        <v>0.97333333333333327</v>
      </c>
      <c r="AI870" s="54"/>
      <c r="AJ870" s="192">
        <v>9530</v>
      </c>
      <c r="AK870" s="62"/>
      <c r="AL870" s="62">
        <v>2E-3</v>
      </c>
      <c r="AM870" s="61" t="s">
        <v>74</v>
      </c>
      <c r="AN870" s="62">
        <v>260</v>
      </c>
      <c r="AO870" s="61" t="s">
        <v>2676</v>
      </c>
      <c r="AP870" s="59">
        <f>IFERROR(VLOOKUP($A870,[2]Mssp!$A$5:$BE$1463,AP$4+1,0),0)</f>
        <v>0</v>
      </c>
      <c r="AQ870" s="59">
        <f>IFERROR(VLOOKUP($A870,[2]Mssp!$A$5:$BE$1463,AQ$4+1,0),0)</f>
        <v>0</v>
      </c>
      <c r="AR870" s="59">
        <f>IFERROR(VLOOKUP($A870,[2]Mssp!$A$5:$BE$1463,AR$4+1,0),0)</f>
        <v>0</v>
      </c>
      <c r="AS870" s="59">
        <f>IFERROR(VLOOKUP($A870,[2]Mssp!$A$5:$BE$1463,AS$4+1,0),0)</f>
        <v>0</v>
      </c>
      <c r="AT870" s="59">
        <f>IFERROR(VLOOKUP($A870,[2]Mssp!$A$5:$BE$1463,AT$4+1,0),0)</f>
        <v>0</v>
      </c>
      <c r="AU870" s="59">
        <f>IFERROR(VLOOKUP($A870,[2]Mssp!$A$5:$BE$1463,AU$4+1,0),0)</f>
        <v>0</v>
      </c>
      <c r="AV870" s="59">
        <f>IFERROR(VLOOKUP($A870,[2]Mssp!$A$5:$BE$1463,AV$4+1,0),0)</f>
        <v>0</v>
      </c>
      <c r="AW870" s="59">
        <f>IFERROR(VLOOKUP($A870,[2]Mssp!$A$5:$BE$1463,AW$4+1,0),0)</f>
        <v>0</v>
      </c>
      <c r="AX870" s="59">
        <f>IFERROR(VLOOKUP($A870,[2]Mssp!$A$5:$BE$1463,AX$4+1,0),0)</f>
        <v>0</v>
      </c>
      <c r="AY870" s="59">
        <f>IFERROR(VLOOKUP($A870,[2]Mssp!$A$5:$BE$1463,AY$4+2,0),0)</f>
        <v>0</v>
      </c>
      <c r="AZ870" s="59">
        <f>IFERROR(VLOOKUP($A870,[2]Mssp!$A$5:$BE$1463,AZ$4+2,0),0)</f>
        <v>0</v>
      </c>
      <c r="BA870" s="141"/>
      <c r="BB870" s="61" t="s">
        <v>1894</v>
      </c>
      <c r="BC870" s="165"/>
      <c r="BD870" s="166"/>
      <c r="BE870" s="167"/>
      <c r="BF870" s="168"/>
      <c r="BG870" s="167"/>
      <c r="BH870" s="168"/>
      <c r="BI870" s="169"/>
      <c r="BJ870" s="168"/>
      <c r="BK870" s="134"/>
      <c r="BL870" s="168"/>
      <c r="BM870" s="167"/>
      <c r="BN870" s="168"/>
      <c r="BO870" s="62"/>
      <c r="BP870" s="168"/>
      <c r="BQ870" s="168"/>
      <c r="BR870" s="168"/>
      <c r="BS870" s="135"/>
      <c r="BT870" s="176"/>
      <c r="BU870" s="167"/>
      <c r="BV870" s="168"/>
      <c r="BW870" s="167"/>
      <c r="BX870" s="168"/>
      <c r="BY870" s="167"/>
      <c r="BZ870" s="176"/>
      <c r="CA870" s="167"/>
      <c r="CB870" s="168"/>
      <c r="CC870" s="167"/>
      <c r="CD870" s="168"/>
      <c r="CE870" s="62"/>
      <c r="CF870" s="62"/>
      <c r="CG870" s="9"/>
      <c r="CH870" s="9"/>
      <c r="CI870" s="9"/>
      <c r="CJ870" s="9"/>
      <c r="CK870" s="9"/>
      <c r="CL870" s="9"/>
      <c r="CM870" s="9"/>
      <c r="CN870" s="9"/>
      <c r="CO870" s="9"/>
      <c r="CP870" s="9"/>
    </row>
    <row r="871" spans="1:94" ht="30" x14ac:dyDescent="0.25">
      <c r="A871" s="127" t="s">
        <v>2786</v>
      </c>
      <c r="B871" s="51" t="s">
        <v>2787</v>
      </c>
      <c r="C871" s="62"/>
      <c r="D871" s="84">
        <v>5</v>
      </c>
      <c r="E871" s="62" t="s">
        <v>2788</v>
      </c>
      <c r="F871" s="62">
        <v>2</v>
      </c>
      <c r="G871" s="62"/>
      <c r="H871" s="50">
        <f>VLOOKUP($A871,'[1]ma sp 02'!$A$5:$BD$1101,H$1,0)</f>
        <v>0</v>
      </c>
      <c r="I871" s="50">
        <f>VLOOKUP($A871,'[1]ma sp 02'!$A$5:$BD$1101,I$1,0)</f>
        <v>0</v>
      </c>
      <c r="J871" s="50">
        <f>VLOOKUP($A871,'[1]ma sp 02'!$A$5:$BD$1101,J$1,0)</f>
        <v>0</v>
      </c>
      <c r="K871" s="50">
        <f>VLOOKUP($A871,'[1]ma sp 02'!$A$5:$BD$1101,K$1,0)</f>
        <v>0</v>
      </c>
      <c r="L871" s="50">
        <f>VLOOKUP($A871,'[1]ma sp 02'!$A$5:$BD$1101,L$1,0)</f>
        <v>0</v>
      </c>
      <c r="M871" s="50">
        <f>VLOOKUP($A871,'[1]ma sp 02'!$A$5:$BD$1101,M$1,0)</f>
        <v>0</v>
      </c>
      <c r="N871" s="50">
        <f>VLOOKUP($A871,'[1]ma sp 02'!$A$5:$BD$1101,N$1,0)</f>
        <v>0</v>
      </c>
      <c r="O871" s="50">
        <f>VLOOKUP($A871,'[1]ma sp 02'!$A$5:$BD$1101,O$1,0)</f>
        <v>0.74099999999999999</v>
      </c>
      <c r="P871" s="50">
        <f>VLOOKUP($A871,'[1]ma sp 02'!$A$5:$BD$1101,P$1,0)</f>
        <v>0</v>
      </c>
      <c r="Q871" s="50">
        <f>VLOOKUP($A871,'[1]ma sp 02'!$A$5:$BD$1101,Q$1,0)</f>
        <v>0</v>
      </c>
      <c r="R871" s="50">
        <f>VLOOKUP($A871,'[1]ma sp 02'!$A$5:$BD$1101,R$1,0)</f>
        <v>0.01</v>
      </c>
      <c r="S871" s="50">
        <f>VLOOKUP($A871,'[1]ma sp 02'!$A$5:$BD$1101,S$1,0)</f>
        <v>0</v>
      </c>
      <c r="T871" s="50">
        <f>VLOOKUP($A871,'[1]ma sp 02'!$A$5:$BD$1101,T$1,0)</f>
        <v>0</v>
      </c>
      <c r="U871" s="50">
        <f>VLOOKUP($A871,'[1]ma sp 02'!$A$5:$BD$1101,U$1,0)</f>
        <v>0</v>
      </c>
      <c r="V871" s="50">
        <f>VLOOKUP($A871,'[1]ma sp 02'!$A$5:$BD$1101,V$1,0)</f>
        <v>0</v>
      </c>
      <c r="W871" s="50">
        <f>VLOOKUP($A871,'[1]ma sp 02'!$A$5:$BD$1101,W$1,0)</f>
        <v>0</v>
      </c>
      <c r="X871" s="50"/>
      <c r="Y871" s="62"/>
      <c r="Z871" s="62"/>
      <c r="AA871" s="62"/>
      <c r="AB871" s="62"/>
      <c r="AC871" s="62"/>
      <c r="AD871" s="62"/>
      <c r="AE871" s="62" t="s">
        <v>2789</v>
      </c>
      <c r="AF871" s="62" t="s">
        <v>2790</v>
      </c>
      <c r="AG871" s="53">
        <f>(0.02*0.91+0.006*2.71+0.055*0.925)*0.83</f>
        <v>7.0828050000000004E-2</v>
      </c>
      <c r="AH871" s="54">
        <f>(2.5/0.75/2)*0.82</f>
        <v>1.3666666666666667</v>
      </c>
      <c r="AI871" s="54">
        <f>(2.5/0.75/2)*0.82</f>
        <v>1.3666666666666667</v>
      </c>
      <c r="AJ871" s="192">
        <v>9530</v>
      </c>
      <c r="AK871" s="62">
        <v>9530</v>
      </c>
      <c r="AL871" s="62" t="s">
        <v>1901</v>
      </c>
      <c r="AM871" s="61" t="s">
        <v>1893</v>
      </c>
      <c r="AN871" s="62">
        <v>150</v>
      </c>
      <c r="AO871" s="61" t="s">
        <v>1959</v>
      </c>
      <c r="AP871" s="59" t="str">
        <f>IFERROR(VLOOKUP($A871,[2]Mssp!$A$5:$BE$1463,AP$4+1,0),0)</f>
        <v>21051102-1</v>
      </c>
      <c r="AQ871" s="59" t="str">
        <f>IFERROR(VLOOKUP($A871,[2]Mssp!$A$5:$BE$1463,AQ$4+1,0),0)</f>
        <v>21051102-2</v>
      </c>
      <c r="AR871" s="59">
        <f>IFERROR(VLOOKUP($A871,[2]Mssp!$A$5:$BE$1463,AR$4+1,0),0)</f>
        <v>0</v>
      </c>
      <c r="AS871" s="59">
        <f>IFERROR(VLOOKUP($A871,[2]Mssp!$A$5:$BE$1463,AS$4+1,0),0)</f>
        <v>0</v>
      </c>
      <c r="AT871" s="59">
        <f>IFERROR(VLOOKUP($A871,[2]Mssp!$A$5:$BE$1463,AT$4+1,0),0)</f>
        <v>0</v>
      </c>
      <c r="AU871" s="59">
        <f>IFERROR(VLOOKUP($A871,[2]Mssp!$A$5:$BE$1463,AU$4+1,0),0)</f>
        <v>0</v>
      </c>
      <c r="AV871" s="59">
        <f>IFERROR(VLOOKUP($A871,[2]Mssp!$A$5:$BE$1463,AV$4+1,0),0)</f>
        <v>0</v>
      </c>
      <c r="AW871" s="59">
        <f>IFERROR(VLOOKUP($A871,[2]Mssp!$A$5:$BE$1463,AW$4+1,0),0)</f>
        <v>0</v>
      </c>
      <c r="AX871" s="59">
        <f>IFERROR(VLOOKUP($A871,[2]Mssp!$A$5:$BE$1463,AX$4+1,0),0)</f>
        <v>0</v>
      </c>
      <c r="AY871" s="59" t="str">
        <f>IFERROR(VLOOKUP($A871,[2]Mssp!$A$5:$BE$1463,AY$4+2,0),0)</f>
        <v>450x870</v>
      </c>
      <c r="AZ871" s="59">
        <f>IFERROR(VLOOKUP($A871,[2]Mssp!$A$5:$BE$1463,AZ$4+2,0),0)</f>
        <v>0</v>
      </c>
      <c r="BA871" s="141"/>
      <c r="BB871" s="61" t="s">
        <v>1894</v>
      </c>
      <c r="BC871" s="165"/>
      <c r="BD871" s="166"/>
      <c r="BE871" s="167"/>
      <c r="BF871" s="168"/>
      <c r="BG871" s="167"/>
      <c r="BH871" s="168"/>
      <c r="BI871" s="169"/>
      <c r="BJ871" s="168"/>
      <c r="BK871" s="134"/>
      <c r="BL871" s="168"/>
      <c r="BM871" s="167"/>
      <c r="BN871" s="168"/>
      <c r="BO871" s="62"/>
      <c r="BP871" s="168"/>
      <c r="BQ871" s="168"/>
      <c r="BR871" s="168"/>
      <c r="BS871" s="135"/>
      <c r="BT871" s="176"/>
      <c r="BU871" s="167"/>
      <c r="BV871" s="168"/>
      <c r="BW871" s="167"/>
      <c r="BX871" s="168"/>
      <c r="BY871" s="167"/>
      <c r="BZ871" s="176"/>
      <c r="CA871" s="167"/>
      <c r="CB871" s="168"/>
      <c r="CC871" s="167"/>
      <c r="CD871" s="168"/>
      <c r="CE871" s="62"/>
      <c r="CF871" s="62"/>
      <c r="CG871" s="9"/>
      <c r="CH871" s="9"/>
      <c r="CI871" s="9"/>
      <c r="CJ871" s="9"/>
      <c r="CK871" s="9"/>
      <c r="CL871" s="9"/>
      <c r="CM871" s="9"/>
      <c r="CN871" s="9"/>
      <c r="CO871" s="9"/>
      <c r="CP871" s="9"/>
    </row>
    <row r="872" spans="1:94" ht="30" x14ac:dyDescent="0.25">
      <c r="A872" s="127" t="s">
        <v>2791</v>
      </c>
      <c r="B872" s="51" t="s">
        <v>2792</v>
      </c>
      <c r="C872" s="62"/>
      <c r="D872" s="84">
        <v>3</v>
      </c>
      <c r="E872" s="62" t="s">
        <v>1956</v>
      </c>
      <c r="F872" s="62">
        <v>2</v>
      </c>
      <c r="G872" s="62" t="s">
        <v>184</v>
      </c>
      <c r="H872" s="50">
        <f>VLOOKUP($A872,'[1]ma sp 02'!$A$5:$BD$1101,H$1,0)</f>
        <v>0.503</v>
      </c>
      <c r="I872" s="50">
        <f>VLOOKUP($A872,'[1]ma sp 02'!$A$5:$BD$1101,I$1,0)</f>
        <v>0</v>
      </c>
      <c r="J872" s="50">
        <f>VLOOKUP($A872,'[1]ma sp 02'!$A$5:$BD$1101,J$1,0)</f>
        <v>1.0069999999999999</v>
      </c>
      <c r="K872" s="50">
        <f>VLOOKUP($A872,'[1]ma sp 02'!$A$5:$BD$1101,K$1,0)</f>
        <v>0.503</v>
      </c>
      <c r="L872" s="50">
        <f>VLOOKUP($A872,'[1]ma sp 02'!$A$5:$BD$1101,L$1,0)</f>
        <v>2.0129999999999999</v>
      </c>
      <c r="M872" s="50">
        <f>VLOOKUP($A872,'[1]ma sp 02'!$A$5:$BD$1101,M$1,0)</f>
        <v>1.258</v>
      </c>
      <c r="N872" s="50">
        <f>VLOOKUP($A872,'[1]ma sp 02'!$A$5:$BD$1101,N$1,0)</f>
        <v>0</v>
      </c>
      <c r="O872" s="50">
        <f>VLOOKUP($A872,'[1]ma sp 02'!$A$5:$BD$1101,O$1,0)</f>
        <v>0.01</v>
      </c>
      <c r="P872" s="50">
        <f>VLOOKUP($A872,'[1]ma sp 02'!$A$5:$BD$1101,P$1,0)</f>
        <v>0</v>
      </c>
      <c r="Q872" s="50">
        <f>VLOOKUP($A872,'[1]ma sp 02'!$A$5:$BD$1101,Q$1,0)</f>
        <v>0</v>
      </c>
      <c r="R872" s="50">
        <f>VLOOKUP($A872,'[1]ma sp 02'!$A$5:$BD$1101,R$1,0)</f>
        <v>0</v>
      </c>
      <c r="S872" s="50">
        <f>VLOOKUP($A872,'[1]ma sp 02'!$A$5:$BD$1101,S$1,0)</f>
        <v>0</v>
      </c>
      <c r="T872" s="50">
        <f>VLOOKUP($A872,'[1]ma sp 02'!$A$5:$BD$1101,T$1,0)</f>
        <v>0.01</v>
      </c>
      <c r="U872" s="50">
        <f>VLOOKUP($A872,'[1]ma sp 02'!$A$5:$BD$1101,U$1,0)</f>
        <v>0</v>
      </c>
      <c r="V872" s="50">
        <f>VLOOKUP($A872,'[1]ma sp 02'!$A$5:$BD$1101,V$1,0)</f>
        <v>0</v>
      </c>
      <c r="W872" s="50">
        <f>VLOOKUP($A872,'[1]ma sp 02'!$A$5:$BD$1101,W$1,0)</f>
        <v>0</v>
      </c>
      <c r="X872" s="50"/>
      <c r="Y872" s="62"/>
      <c r="Z872" s="62"/>
      <c r="AA872" s="62"/>
      <c r="AB872" s="62"/>
      <c r="AC872" s="62"/>
      <c r="AD872" s="62"/>
      <c r="AE872" s="62" t="s">
        <v>1957</v>
      </c>
      <c r="AF872" s="62" t="s">
        <v>1958</v>
      </c>
      <c r="AG872" s="53">
        <f>(0.02*0.91+0.006*2.7+0.55*0.925)*0.716</f>
        <v>0.3888954</v>
      </c>
      <c r="AH872" s="54">
        <f>(2.5/0.75/2)*0.706</f>
        <v>1.1766666666666667</v>
      </c>
      <c r="AI872" s="54">
        <f>(2.5/0.75/2)*0.706</f>
        <v>1.1766666666666667</v>
      </c>
      <c r="AJ872" s="192">
        <v>9530</v>
      </c>
      <c r="AK872" s="62">
        <v>9530</v>
      </c>
      <c r="AL872" s="62" t="s">
        <v>1901</v>
      </c>
      <c r="AM872" s="61" t="s">
        <v>1893</v>
      </c>
      <c r="AN872" s="62">
        <v>180</v>
      </c>
      <c r="AO872" s="61" t="s">
        <v>1959</v>
      </c>
      <c r="AP872" s="59" t="str">
        <f>IFERROR(VLOOKUP($A872,[2]Mssp!$A$5:$BE$1463,AP$4+1,0),0)</f>
        <v>21040440-1</v>
      </c>
      <c r="AQ872" s="59" t="str">
        <f>IFERROR(VLOOKUP($A872,[2]Mssp!$A$5:$BE$1463,AQ$4+1,0),0)</f>
        <v>21020566-2</v>
      </c>
      <c r="AR872" s="59">
        <f>IFERROR(VLOOKUP($A872,[2]Mssp!$A$5:$BE$1463,AR$4+1,0),0)</f>
        <v>0</v>
      </c>
      <c r="AS872" s="59">
        <f>IFERROR(VLOOKUP($A872,[2]Mssp!$A$5:$BE$1463,AS$4+1,0),0)</f>
        <v>0</v>
      </c>
      <c r="AT872" s="59">
        <f>IFERROR(VLOOKUP($A872,[2]Mssp!$A$5:$BE$1463,AT$4+1,0),0)</f>
        <v>0</v>
      </c>
      <c r="AU872" s="59">
        <f>IFERROR(VLOOKUP($A872,[2]Mssp!$A$5:$BE$1463,AU$4+1,0),0)</f>
        <v>0</v>
      </c>
      <c r="AV872" s="59">
        <f>IFERROR(VLOOKUP($A872,[2]Mssp!$A$5:$BE$1463,AV$4+1,0),0)</f>
        <v>0</v>
      </c>
      <c r="AW872" s="59">
        <f>IFERROR(VLOOKUP($A872,[2]Mssp!$A$5:$BE$1463,AW$4+1,0),0)</f>
        <v>0</v>
      </c>
      <c r="AX872" s="59">
        <f>IFERROR(VLOOKUP($A872,[2]Mssp!$A$5:$BE$1463,AX$4+1,0),0)</f>
        <v>0</v>
      </c>
      <c r="AY872" s="59" t="str">
        <f>IFERROR(VLOOKUP($A872,[2]Mssp!$A$5:$BE$1463,AY$4+2,0),0)</f>
        <v>540x870</v>
      </c>
      <c r="AZ872" s="59">
        <f>IFERROR(VLOOKUP($A872,[2]Mssp!$A$5:$BE$1463,AZ$4+2,0),0)</f>
        <v>0</v>
      </c>
      <c r="BA872" s="141"/>
      <c r="BB872" s="61" t="s">
        <v>1894</v>
      </c>
      <c r="BC872" s="165"/>
      <c r="BD872" s="166"/>
      <c r="BE872" s="167"/>
      <c r="BF872" s="168"/>
      <c r="BG872" s="167"/>
      <c r="BH872" s="168"/>
      <c r="BI872" s="169"/>
      <c r="BJ872" s="168"/>
      <c r="BK872" s="134"/>
      <c r="BL872" s="168"/>
      <c r="BM872" s="167"/>
      <c r="BN872" s="168"/>
      <c r="BO872" s="62"/>
      <c r="BP872" s="168"/>
      <c r="BQ872" s="168"/>
      <c r="BR872" s="168"/>
      <c r="BS872" s="135"/>
      <c r="BT872" s="176"/>
      <c r="BU872" s="167"/>
      <c r="BV872" s="168"/>
      <c r="BW872" s="167"/>
      <c r="BX872" s="168"/>
      <c r="BY872" s="167"/>
      <c r="BZ872" s="176"/>
      <c r="CA872" s="167"/>
      <c r="CB872" s="168"/>
      <c r="CC872" s="167"/>
      <c r="CD872" s="168"/>
      <c r="CE872" s="62"/>
      <c r="CF872" s="62"/>
      <c r="CG872" s="9"/>
      <c r="CH872" s="9"/>
      <c r="CI872" s="9"/>
      <c r="CJ872" s="9"/>
      <c r="CK872" s="9"/>
      <c r="CL872" s="9"/>
      <c r="CM872" s="9"/>
      <c r="CN872" s="9"/>
      <c r="CO872" s="9"/>
      <c r="CP872" s="9"/>
    </row>
    <row r="873" spans="1:94" ht="30" x14ac:dyDescent="0.25">
      <c r="A873" s="127" t="s">
        <v>2793</v>
      </c>
      <c r="B873" s="51" t="s">
        <v>2794</v>
      </c>
      <c r="C873" s="62"/>
      <c r="D873" s="84">
        <v>3</v>
      </c>
      <c r="E873" s="62" t="s">
        <v>113</v>
      </c>
      <c r="F873" s="62">
        <v>6</v>
      </c>
      <c r="G873" s="62"/>
      <c r="H873" s="50">
        <f>VLOOKUP($A873,'[1]ma sp 02'!$A$5:$BD$1101,H$1,0)</f>
        <v>8.7999999999999995E-2</v>
      </c>
      <c r="I873" s="50">
        <f>VLOOKUP($A873,'[1]ma sp 02'!$A$5:$BD$1101,I$1,0)</f>
        <v>3.589</v>
      </c>
      <c r="J873" s="50">
        <f>VLOOKUP($A873,'[1]ma sp 02'!$A$5:$BD$1101,J$1,0)</f>
        <v>8.7999999999999995E-2</v>
      </c>
      <c r="K873" s="50">
        <f>VLOOKUP($A873,'[1]ma sp 02'!$A$5:$BD$1101,K$1,0)</f>
        <v>8.7999999999999995E-2</v>
      </c>
      <c r="L873" s="50">
        <f>VLOOKUP($A873,'[1]ma sp 02'!$A$5:$BD$1101,L$1,0)</f>
        <v>2.8010000000000002</v>
      </c>
      <c r="M873" s="50">
        <f>VLOOKUP($A873,'[1]ma sp 02'!$A$5:$BD$1101,M$1,0)</f>
        <v>1.226</v>
      </c>
      <c r="N873" s="50">
        <f>VLOOKUP($A873,'[1]ma sp 02'!$A$5:$BD$1101,N$1,0)</f>
        <v>0</v>
      </c>
      <c r="O873" s="50">
        <f>VLOOKUP($A873,'[1]ma sp 02'!$A$5:$BD$1101,O$1,0)</f>
        <v>0</v>
      </c>
      <c r="P873" s="50">
        <f>VLOOKUP($A873,'[1]ma sp 02'!$A$5:$BD$1101,P$1,0)</f>
        <v>0</v>
      </c>
      <c r="Q873" s="50">
        <f>VLOOKUP($A873,'[1]ma sp 02'!$A$5:$BD$1101,Q$1,0)</f>
        <v>0</v>
      </c>
      <c r="R873" s="50">
        <f>VLOOKUP($A873,'[1]ma sp 02'!$A$5:$BD$1101,R$1,0)</f>
        <v>0</v>
      </c>
      <c r="S873" s="50">
        <f>VLOOKUP($A873,'[1]ma sp 02'!$A$5:$BD$1101,S$1,0)</f>
        <v>0</v>
      </c>
      <c r="T873" s="50">
        <f>VLOOKUP($A873,'[1]ma sp 02'!$A$5:$BD$1101,T$1,0)</f>
        <v>0</v>
      </c>
      <c r="U873" s="50">
        <f>VLOOKUP($A873,'[1]ma sp 02'!$A$5:$BD$1101,U$1,0)</f>
        <v>0</v>
      </c>
      <c r="V873" s="50">
        <f>VLOOKUP($A873,'[1]ma sp 02'!$A$5:$BD$1101,V$1,0)</f>
        <v>0</v>
      </c>
      <c r="W873" s="50">
        <f>VLOOKUP($A873,'[1]ma sp 02'!$A$5:$BD$1101,W$1,0)</f>
        <v>0</v>
      </c>
      <c r="X873" s="50"/>
      <c r="Y873" s="62"/>
      <c r="Z873" s="62"/>
      <c r="AA873" s="62"/>
      <c r="AB873" s="62"/>
      <c r="AC873" s="62"/>
      <c r="AD873" s="62"/>
      <c r="AE873" s="62" t="s">
        <v>115</v>
      </c>
      <c r="AF873" s="62" t="s">
        <v>2296</v>
      </c>
      <c r="AG873" s="53">
        <f>(0.012*1.4+0.012*1.4+0.85*0.925)*0.74</f>
        <v>0.60668899999999992</v>
      </c>
      <c r="AH873" s="54">
        <f>(2.3/0.75/2)*0.73</f>
        <v>1.1193333333333333</v>
      </c>
      <c r="AI873" s="54">
        <f>(2.3/0.75/2)*0.73</f>
        <v>1.1193333333333333</v>
      </c>
      <c r="AJ873" s="192">
        <v>9530</v>
      </c>
      <c r="AK873" s="62">
        <v>9530</v>
      </c>
      <c r="AL873" s="62" t="s">
        <v>1590</v>
      </c>
      <c r="AM873" s="61" t="s">
        <v>1489</v>
      </c>
      <c r="AN873" s="62">
        <v>180</v>
      </c>
      <c r="AO873" s="61" t="s">
        <v>2173</v>
      </c>
      <c r="AP873" s="59" t="str">
        <f>IFERROR(VLOOKUP($A873,[2]Mssp!$A$5:$BE$1463,AP$4+1,0),0)</f>
        <v>21030143-1</v>
      </c>
      <c r="AQ873" s="59" t="str">
        <f>IFERROR(VLOOKUP($A873,[2]Mssp!$A$5:$BE$1463,AQ$4+1,0),0)</f>
        <v>21030143-2</v>
      </c>
      <c r="AR873" s="59" t="str">
        <f>IFERROR(VLOOKUP($A873,[2]Mssp!$A$5:$BE$1463,AR$4+1,0),0)</f>
        <v>21030143-3</v>
      </c>
      <c r="AS873" s="59" t="str">
        <f>IFERROR(VLOOKUP($A873,[2]Mssp!$A$5:$BE$1463,AS$4+1,0),0)</f>
        <v>21030143-4</v>
      </c>
      <c r="AT873" s="59" t="str">
        <f>IFERROR(VLOOKUP($A873,[2]Mssp!$A$5:$BE$1463,AT$4+1,0),0)</f>
        <v>21030143-5</v>
      </c>
      <c r="AU873" s="59" t="str">
        <f>IFERROR(VLOOKUP($A873,[2]Mssp!$A$5:$BE$1463,AU$4+1,0),0)</f>
        <v>21030143-6</v>
      </c>
      <c r="AV873" s="59">
        <f>IFERROR(VLOOKUP($A873,[2]Mssp!$A$5:$BE$1463,AV$4+1,0),0)</f>
        <v>0</v>
      </c>
      <c r="AW873" s="59">
        <f>IFERROR(VLOOKUP($A873,[2]Mssp!$A$5:$BE$1463,AW$4+1,0),0)</f>
        <v>0</v>
      </c>
      <c r="AX873" s="59">
        <f>IFERROR(VLOOKUP($A873,[2]Mssp!$A$5:$BE$1463,AX$4+1,0),0)</f>
        <v>0</v>
      </c>
      <c r="AY873" s="59" t="str">
        <f>IFERROR(VLOOKUP($A873,[2]Mssp!$A$5:$BE$1463,AY$4+2,0),0)</f>
        <v>540x870</v>
      </c>
      <c r="AZ873" s="59">
        <f>IFERROR(VLOOKUP($A873,[2]Mssp!$A$5:$BE$1463,AZ$4+2,0),0)</f>
        <v>0</v>
      </c>
      <c r="BA873" s="141"/>
      <c r="BB873" s="61" t="s">
        <v>952</v>
      </c>
      <c r="BC873" s="165"/>
      <c r="BD873" s="166"/>
      <c r="BE873" s="167"/>
      <c r="BF873" s="168"/>
      <c r="BG873" s="167"/>
      <c r="BH873" s="168"/>
      <c r="BI873" s="169"/>
      <c r="BJ873" s="168"/>
      <c r="BK873" s="134"/>
      <c r="BL873" s="168"/>
      <c r="BM873" s="167"/>
      <c r="BN873" s="168"/>
      <c r="BO873" s="62"/>
      <c r="BP873" s="168"/>
      <c r="BQ873" s="168"/>
      <c r="BR873" s="168"/>
      <c r="BS873" s="135"/>
      <c r="BT873" s="176"/>
      <c r="BU873" s="167"/>
      <c r="BV873" s="168"/>
      <c r="BW873" s="167"/>
      <c r="BX873" s="168"/>
      <c r="BY873" s="167"/>
      <c r="BZ873" s="176"/>
      <c r="CA873" s="167"/>
      <c r="CB873" s="168"/>
      <c r="CC873" s="167"/>
      <c r="CD873" s="168"/>
      <c r="CE873" s="62"/>
      <c r="CF873" s="62"/>
      <c r="CG873" s="9"/>
      <c r="CH873" s="9"/>
      <c r="CI873" s="9"/>
      <c r="CJ873" s="9"/>
      <c r="CK873" s="9"/>
      <c r="CL873" s="9"/>
      <c r="CM873" s="9"/>
      <c r="CN873" s="9"/>
      <c r="CO873" s="9"/>
      <c r="CP873" s="9"/>
    </row>
    <row r="874" spans="1:94" ht="75" x14ac:dyDescent="0.25">
      <c r="A874" s="127" t="s">
        <v>2795</v>
      </c>
      <c r="B874" s="51" t="s">
        <v>2796</v>
      </c>
      <c r="C874" s="62"/>
      <c r="D874" s="84">
        <v>2</v>
      </c>
      <c r="E874" s="58" t="s">
        <v>748</v>
      </c>
      <c r="F874" s="62">
        <v>7</v>
      </c>
      <c r="G874" s="62" t="s">
        <v>530</v>
      </c>
      <c r="H874" s="50">
        <f>VLOOKUP($A874,'[1]ma sp 02'!$A$5:$BD$1101,H$1,0)</f>
        <v>0.46600000000000003</v>
      </c>
      <c r="I874" s="50">
        <f>VLOOKUP($A874,'[1]ma sp 02'!$A$5:$BD$1101,I$1,0)</f>
        <v>3.9039999999999999</v>
      </c>
      <c r="J874" s="50">
        <f>VLOOKUP($A874,'[1]ma sp 02'!$A$5:$BD$1101,J$1,0)</f>
        <v>0.251</v>
      </c>
      <c r="K874" s="50">
        <f>VLOOKUP($A874,'[1]ma sp 02'!$A$5:$BD$1101,K$1,0)</f>
        <v>0.53700000000000003</v>
      </c>
      <c r="L874" s="50">
        <f>VLOOKUP($A874,'[1]ma sp 02'!$A$5:$BD$1101,L$1,0)</f>
        <v>1.1100000000000001</v>
      </c>
      <c r="M874" s="50">
        <f>VLOOKUP($A874,'[1]ma sp 02'!$A$5:$BD$1101,M$1,0)</f>
        <v>0</v>
      </c>
      <c r="N874" s="50">
        <f>VLOOKUP($A874,'[1]ma sp 02'!$A$5:$BD$1101,N$1,0)</f>
        <v>0</v>
      </c>
      <c r="O874" s="50">
        <f>VLOOKUP($A874,'[1]ma sp 02'!$A$5:$BD$1101,O$1,0)</f>
        <v>0.68100000000000005</v>
      </c>
      <c r="P874" s="50">
        <f>VLOOKUP($A874,'[1]ma sp 02'!$A$5:$BD$1101,P$1,0)</f>
        <v>0</v>
      </c>
      <c r="Q874" s="50">
        <f>VLOOKUP($A874,'[1]ma sp 02'!$A$5:$BD$1101,Q$1,0)</f>
        <v>0</v>
      </c>
      <c r="R874" s="50">
        <f>VLOOKUP($A874,'[1]ma sp 02'!$A$5:$BD$1101,R$1,0)</f>
        <v>0</v>
      </c>
      <c r="S874" s="50">
        <f>VLOOKUP($A874,'[1]ma sp 02'!$A$5:$BD$1101,S$1,0)</f>
        <v>0</v>
      </c>
      <c r="T874" s="50">
        <f>VLOOKUP($A874,'[1]ma sp 02'!$A$5:$BD$1101,T$1,0)</f>
        <v>0.01</v>
      </c>
      <c r="U874" s="50">
        <f>VLOOKUP($A874,'[1]ma sp 02'!$A$5:$BD$1101,U$1,0)</f>
        <v>0</v>
      </c>
      <c r="V874" s="50">
        <f>VLOOKUP($A874,'[1]ma sp 02'!$A$5:$BD$1101,V$1,0)</f>
        <v>0</v>
      </c>
      <c r="W874" s="50">
        <f>VLOOKUP($A874,'[1]ma sp 02'!$A$5:$BD$1101,W$1,0)</f>
        <v>0</v>
      </c>
      <c r="X874" s="50"/>
      <c r="Y874" s="62"/>
      <c r="Z874" s="62"/>
      <c r="AA874" s="62"/>
      <c r="AB874" s="62"/>
      <c r="AC874" s="62"/>
      <c r="AD874" s="62"/>
      <c r="AE874" s="58" t="s">
        <v>749</v>
      </c>
      <c r="AF874" s="62"/>
      <c r="AG874" s="71">
        <f>(0.02*0.91+0.08*0.925)*0.9</f>
        <v>8.2980000000000012E-2</v>
      </c>
      <c r="AH874" s="153">
        <f>(2.3/0.75/2)*0.89</f>
        <v>1.3646666666666665</v>
      </c>
      <c r="AI874" s="57"/>
      <c r="AJ874" s="58">
        <v>9530</v>
      </c>
      <c r="AK874" s="57"/>
      <c r="AL874" s="58">
        <v>2.3E-3</v>
      </c>
      <c r="AM874" s="52" t="s">
        <v>750</v>
      </c>
      <c r="AN874" s="57">
        <v>310</v>
      </c>
      <c r="AO874" s="52" t="s">
        <v>527</v>
      </c>
      <c r="AP874" s="59" t="str">
        <f>IFERROR(VLOOKUP($A874,[2]Mssp!$A$5:$BE$1463,AP$4+1,0),0)</f>
        <v>21030424-1</v>
      </c>
      <c r="AQ874" s="59" t="str">
        <f>IFERROR(VLOOKUP($A874,[2]Mssp!$A$5:$BE$1463,AQ$4+1,0),0)</f>
        <v>21030424-2</v>
      </c>
      <c r="AR874" s="59" t="str">
        <f>IFERROR(VLOOKUP($A874,[2]Mssp!$A$5:$BE$1463,AR$4+1,0),0)</f>
        <v>21030424-3</v>
      </c>
      <c r="AS874" s="59" t="str">
        <f>IFERROR(VLOOKUP($A874,[2]Mssp!$A$5:$BE$1463,AS$4+1,0),0)</f>
        <v>21030424-4</v>
      </c>
      <c r="AT874" s="59" t="str">
        <f>IFERROR(VLOOKUP($A874,[2]Mssp!$A$5:$BE$1463,AT$4+1,0),0)</f>
        <v>21030424-5</v>
      </c>
      <c r="AU874" s="59" t="str">
        <f>IFERROR(VLOOKUP($A874,[2]Mssp!$A$5:$BE$1463,AU$4+1,0),0)</f>
        <v>21030424-6</v>
      </c>
      <c r="AV874" s="59">
        <f>IFERROR(VLOOKUP($A874,[2]Mssp!$A$5:$BE$1463,AV$4+1,0),0)</f>
        <v>0</v>
      </c>
      <c r="AW874" s="59" t="str">
        <f>IFERROR(VLOOKUP($A874,[2]Mssp!$A$5:$BE$1463,AW$4+1,0),0)</f>
        <v>20110138-8</v>
      </c>
      <c r="AX874" s="59">
        <f>IFERROR(VLOOKUP($A874,[2]Mssp!$A$5:$BE$1463,AX$4+1,0),0)</f>
        <v>0</v>
      </c>
      <c r="AY874" s="59" t="str">
        <f>IFERROR(VLOOKUP($A874,[2]Mssp!$A$5:$BE$1463,AY$4+2,0),0)</f>
        <v>620x1100</v>
      </c>
      <c r="AZ874" s="59">
        <f>IFERROR(VLOOKUP($A874,[2]Mssp!$A$5:$BE$1463,AZ$4+2,0),0)</f>
        <v>0</v>
      </c>
      <c r="BA874" s="141"/>
      <c r="BB874" s="61" t="s">
        <v>952</v>
      </c>
      <c r="BC874" s="165"/>
      <c r="BD874" s="166"/>
      <c r="BE874" s="167"/>
      <c r="BF874" s="168"/>
      <c r="BG874" s="167"/>
      <c r="BH874" s="168"/>
      <c r="BI874" s="169"/>
      <c r="BJ874" s="168"/>
      <c r="BK874" s="134"/>
      <c r="BL874" s="168"/>
      <c r="BM874" s="167"/>
      <c r="BN874" s="168"/>
      <c r="BO874" s="62"/>
      <c r="BP874" s="168"/>
      <c r="BQ874" s="168"/>
      <c r="BR874" s="168"/>
      <c r="BS874" s="135"/>
      <c r="BT874" s="176"/>
      <c r="BU874" s="167"/>
      <c r="BV874" s="168"/>
      <c r="BW874" s="167"/>
      <c r="BX874" s="168"/>
      <c r="BY874" s="167"/>
      <c r="BZ874" s="176"/>
      <c r="CA874" s="167"/>
      <c r="CB874" s="168"/>
      <c r="CC874" s="167"/>
      <c r="CD874" s="168"/>
      <c r="CE874" s="62"/>
      <c r="CF874" s="62"/>
      <c r="CG874" s="9"/>
      <c r="CH874" s="9"/>
      <c r="CI874" s="9"/>
      <c r="CJ874" s="9"/>
      <c r="CK874" s="9"/>
      <c r="CL874" s="9"/>
      <c r="CM874" s="9"/>
      <c r="CN874" s="9"/>
      <c r="CO874" s="9"/>
      <c r="CP874" s="9"/>
    </row>
    <row r="875" spans="1:94" ht="30" x14ac:dyDescent="0.25">
      <c r="A875" s="127" t="s">
        <v>2797</v>
      </c>
      <c r="B875" s="51" t="s">
        <v>2798</v>
      </c>
      <c r="C875" s="62"/>
      <c r="D875" s="84">
        <v>1</v>
      </c>
      <c r="E875" s="62" t="s">
        <v>1107</v>
      </c>
      <c r="F875" s="62">
        <v>6</v>
      </c>
      <c r="G875" s="62"/>
      <c r="H875" s="50">
        <f>VLOOKUP($A875,'[1]ma sp 02'!$A$5:$BD$1101,H$1,0)</f>
        <v>3.2490000000000001</v>
      </c>
      <c r="I875" s="50">
        <f>VLOOKUP($A875,'[1]ma sp 02'!$A$5:$BD$1101,I$1,0)</f>
        <v>0</v>
      </c>
      <c r="J875" s="50">
        <f>VLOOKUP($A875,'[1]ma sp 02'!$A$5:$BD$1101,J$1,0)</f>
        <v>0.60899999999999999</v>
      </c>
      <c r="K875" s="50">
        <f>VLOOKUP($A875,'[1]ma sp 02'!$A$5:$BD$1101,K$1,0)</f>
        <v>1.42</v>
      </c>
      <c r="L875" s="50">
        <f>VLOOKUP($A875,'[1]ma sp 02'!$A$5:$BD$1101,L$1,0)</f>
        <v>0.40600000000000003</v>
      </c>
      <c r="M875" s="50">
        <f>VLOOKUP($A875,'[1]ma sp 02'!$A$5:$BD$1101,M$1,0)</f>
        <v>0</v>
      </c>
      <c r="N875" s="50">
        <f>VLOOKUP($A875,'[1]ma sp 02'!$A$5:$BD$1101,N$1,0)</f>
        <v>0</v>
      </c>
      <c r="O875" s="50">
        <f>VLOOKUP($A875,'[1]ma sp 02'!$A$5:$BD$1101,O$1,0)</f>
        <v>1.0149999999999999</v>
      </c>
      <c r="P875" s="50">
        <f>VLOOKUP($A875,'[1]ma sp 02'!$A$5:$BD$1101,P$1,0)</f>
        <v>0</v>
      </c>
      <c r="Q875" s="50">
        <f>VLOOKUP($A875,'[1]ma sp 02'!$A$5:$BD$1101,Q$1,0)</f>
        <v>0</v>
      </c>
      <c r="R875" s="50">
        <f>VLOOKUP($A875,'[1]ma sp 02'!$A$5:$BD$1101,R$1,0)</f>
        <v>0</v>
      </c>
      <c r="S875" s="50">
        <f>VLOOKUP($A875,'[1]ma sp 02'!$A$5:$BD$1101,S$1,0)</f>
        <v>0</v>
      </c>
      <c r="T875" s="50">
        <f>VLOOKUP($A875,'[1]ma sp 02'!$A$5:$BD$1101,T$1,0)</f>
        <v>0.81200000000000006</v>
      </c>
      <c r="U875" s="50">
        <f>VLOOKUP($A875,'[1]ma sp 02'!$A$5:$BD$1101,U$1,0)</f>
        <v>0</v>
      </c>
      <c r="V875" s="50">
        <f>VLOOKUP($A875,'[1]ma sp 02'!$A$5:$BD$1101,V$1,0)</f>
        <v>0</v>
      </c>
      <c r="W875" s="50">
        <f>VLOOKUP($A875,'[1]ma sp 02'!$A$5:$BD$1101,W$1,0)</f>
        <v>0</v>
      </c>
      <c r="X875" s="50"/>
      <c r="Y875" s="62"/>
      <c r="Z875" s="62"/>
      <c r="AA875" s="62"/>
      <c r="AB875" s="62"/>
      <c r="AC875" s="62"/>
      <c r="AD875" s="62"/>
      <c r="AE875" s="62"/>
      <c r="AF875" s="62"/>
      <c r="AG875" s="53"/>
      <c r="AH875" s="54"/>
      <c r="AI875" s="54"/>
      <c r="AJ875" s="192"/>
      <c r="AK875" s="62"/>
      <c r="AL875" s="62"/>
      <c r="AM875" s="61" t="s">
        <v>1489</v>
      </c>
      <c r="AN875" s="62"/>
      <c r="AO875" s="52" t="s">
        <v>527</v>
      </c>
      <c r="AP875" s="59" t="str">
        <f>IFERROR(VLOOKUP($A875,[2]Mssp!$A$5:$BE$1463,AP$4+1,0),0)</f>
        <v>21030423-1</v>
      </c>
      <c r="AQ875" s="59" t="str">
        <f>IFERROR(VLOOKUP($A875,[2]Mssp!$A$5:$BE$1463,AQ$4+1,0),0)</f>
        <v>21030423-2</v>
      </c>
      <c r="AR875" s="59" t="str">
        <f>IFERROR(VLOOKUP($A875,[2]Mssp!$A$5:$BE$1463,AR$4+1,0),0)</f>
        <v>21030423-3</v>
      </c>
      <c r="AS875" s="59" t="str">
        <f>IFERROR(VLOOKUP($A875,[2]Mssp!$A$5:$BE$1463,AS$4+1,0),0)</f>
        <v>21030423-4</v>
      </c>
      <c r="AT875" s="59" t="str">
        <f>IFERROR(VLOOKUP($A875,[2]Mssp!$A$5:$BE$1463,AT$4+1,0),0)</f>
        <v>21030423-5</v>
      </c>
      <c r="AU875" s="59" t="str">
        <f>IFERROR(VLOOKUP($A875,[2]Mssp!$A$5:$BE$1463,AU$4+1,0),0)</f>
        <v>21030423-6</v>
      </c>
      <c r="AV875" s="59">
        <f>IFERROR(VLOOKUP($A875,[2]Mssp!$A$5:$BE$1463,AV$4+1,0),0)</f>
        <v>0</v>
      </c>
      <c r="AW875" s="59">
        <f>IFERROR(VLOOKUP($A875,[2]Mssp!$A$5:$BE$1463,AW$4+1,0),0)</f>
        <v>0</v>
      </c>
      <c r="AX875" s="59">
        <f>IFERROR(VLOOKUP($A875,[2]Mssp!$A$5:$BE$1463,AX$4+1,0),0)</f>
        <v>0</v>
      </c>
      <c r="AY875" s="59" t="str">
        <f>IFERROR(VLOOKUP($A875,[2]Mssp!$A$5:$BE$1463,AY$4+2,0),0)</f>
        <v>850x1100</v>
      </c>
      <c r="AZ875" s="59">
        <f>IFERROR(VLOOKUP($A875,[2]Mssp!$A$5:$BE$1463,AZ$4+2,0),0)</f>
        <v>0</v>
      </c>
      <c r="BA875" s="141" t="s">
        <v>2799</v>
      </c>
      <c r="BB875" s="61" t="s">
        <v>952</v>
      </c>
      <c r="BC875" s="165"/>
      <c r="BD875" s="166"/>
      <c r="BE875" s="167"/>
      <c r="BF875" s="168"/>
      <c r="BG875" s="167"/>
      <c r="BH875" s="168"/>
      <c r="BI875" s="169"/>
      <c r="BJ875" s="168"/>
      <c r="BK875" s="134"/>
      <c r="BL875" s="168"/>
      <c r="BM875" s="167"/>
      <c r="BN875" s="168"/>
      <c r="BO875" s="62"/>
      <c r="BP875" s="168"/>
      <c r="BQ875" s="168"/>
      <c r="BR875" s="168"/>
      <c r="BS875" s="135"/>
      <c r="BT875" s="176"/>
      <c r="BU875" s="167"/>
      <c r="BV875" s="168"/>
      <c r="BW875" s="167"/>
      <c r="BX875" s="168"/>
      <c r="BY875" s="167"/>
      <c r="BZ875" s="176"/>
      <c r="CA875" s="167"/>
      <c r="CB875" s="168"/>
      <c r="CC875" s="167"/>
      <c r="CD875" s="168"/>
      <c r="CE875" s="62"/>
      <c r="CF875" s="62"/>
      <c r="CG875" s="9"/>
      <c r="CH875" s="9"/>
      <c r="CI875" s="9"/>
      <c r="CJ875" s="9"/>
      <c r="CK875" s="9"/>
      <c r="CL875" s="9"/>
      <c r="CM875" s="9"/>
      <c r="CN875" s="9"/>
      <c r="CO875" s="9"/>
      <c r="CP875" s="9"/>
    </row>
    <row r="876" spans="1:94" ht="45" x14ac:dyDescent="0.25">
      <c r="A876" s="127" t="s">
        <v>2800</v>
      </c>
      <c r="B876" s="51" t="s">
        <v>2801</v>
      </c>
      <c r="C876" s="62"/>
      <c r="D876" s="84">
        <v>1</v>
      </c>
      <c r="E876" s="62" t="s">
        <v>470</v>
      </c>
      <c r="F876" s="62">
        <v>3</v>
      </c>
      <c r="G876" s="62"/>
      <c r="H876" s="50">
        <f>VLOOKUP($A876,'[1]ma sp 02'!$A$5:$BD$1101,H$1,0)</f>
        <v>0</v>
      </c>
      <c r="I876" s="50">
        <f>VLOOKUP($A876,'[1]ma sp 02'!$A$5:$BD$1101,I$1,0)</f>
        <v>8.0990000000000002</v>
      </c>
      <c r="J876" s="50">
        <f>VLOOKUP($A876,'[1]ma sp 02'!$A$5:$BD$1101,J$1,0)</f>
        <v>0.76400000000000001</v>
      </c>
      <c r="K876" s="50">
        <f>VLOOKUP($A876,'[1]ma sp 02'!$A$5:$BD$1101,K$1,0)</f>
        <v>0</v>
      </c>
      <c r="L876" s="50">
        <f>VLOOKUP($A876,'[1]ma sp 02'!$A$5:$BD$1101,L$1,0)</f>
        <v>0.91700000000000004</v>
      </c>
      <c r="M876" s="50">
        <f>VLOOKUP($A876,'[1]ma sp 02'!$A$5:$BD$1101,M$1,0)</f>
        <v>0.91700000000000004</v>
      </c>
      <c r="N876" s="50">
        <f>VLOOKUP($A876,'[1]ma sp 02'!$A$5:$BD$1101,N$1,0)</f>
        <v>0</v>
      </c>
      <c r="O876" s="50">
        <f>VLOOKUP($A876,'[1]ma sp 02'!$A$5:$BD$1101,O$1,0)</f>
        <v>0.01</v>
      </c>
      <c r="P876" s="50">
        <f>VLOOKUP($A876,'[1]ma sp 02'!$A$5:$BD$1101,P$1,0)</f>
        <v>0</v>
      </c>
      <c r="Q876" s="50">
        <f>VLOOKUP($A876,'[1]ma sp 02'!$A$5:$BD$1101,Q$1,0)</f>
        <v>0</v>
      </c>
      <c r="R876" s="50">
        <f>VLOOKUP($A876,'[1]ma sp 02'!$A$5:$BD$1101,R$1,0)</f>
        <v>0.61099999999999999</v>
      </c>
      <c r="S876" s="50">
        <f>VLOOKUP($A876,'[1]ma sp 02'!$A$5:$BD$1101,S$1,0)</f>
        <v>0</v>
      </c>
      <c r="T876" s="50">
        <f>VLOOKUP($A876,'[1]ma sp 02'!$A$5:$BD$1101,T$1,0)</f>
        <v>0</v>
      </c>
      <c r="U876" s="50">
        <f>VLOOKUP($A876,'[1]ma sp 02'!$A$5:$BD$1101,U$1,0)</f>
        <v>0</v>
      </c>
      <c r="V876" s="50">
        <f>VLOOKUP($A876,'[1]ma sp 02'!$A$5:$BD$1101,V$1,0)</f>
        <v>0</v>
      </c>
      <c r="W876" s="50">
        <f>VLOOKUP($A876,'[1]ma sp 02'!$A$5:$BD$1101,W$1,0)</f>
        <v>0.153</v>
      </c>
      <c r="X876" s="50"/>
      <c r="Y876" s="62"/>
      <c r="Z876" s="62"/>
      <c r="AA876" s="62"/>
      <c r="AB876" s="62"/>
      <c r="AC876" s="62"/>
      <c r="AD876" s="62"/>
      <c r="AE876" s="62" t="s">
        <v>1777</v>
      </c>
      <c r="AF876" s="62"/>
      <c r="AG876" s="71">
        <f>(0.03*0.91+0.03*0.925)*0.58</f>
        <v>3.1928999999999999E-2</v>
      </c>
      <c r="AH876" s="153">
        <f>(3/0.75/2)*0.57</f>
        <v>1.1399999999999999</v>
      </c>
      <c r="AI876" s="54"/>
      <c r="AJ876" s="192">
        <v>9530</v>
      </c>
      <c r="AK876" s="62"/>
      <c r="AL876" s="62">
        <v>3.0000000000000001E-3</v>
      </c>
      <c r="AM876" s="61" t="s">
        <v>2758</v>
      </c>
      <c r="AN876" s="62">
        <v>160</v>
      </c>
      <c r="AO876" s="61" t="s">
        <v>2802</v>
      </c>
      <c r="AP876" s="59" t="str">
        <f>IFERROR(VLOOKUP($A876,[2]Mssp!$A$5:$BE$1463,AP$4+1,0),0)</f>
        <v>21030372-1</v>
      </c>
      <c r="AQ876" s="59" t="str">
        <f>IFERROR(VLOOKUP($A876,[2]Mssp!$A$5:$BE$1463,AQ$4+1,0),0)</f>
        <v>21030372-2</v>
      </c>
      <c r="AR876" s="59" t="str">
        <f>IFERROR(VLOOKUP($A876,[2]Mssp!$A$5:$BE$1463,AR$4+1,0),0)</f>
        <v>21030372-3</v>
      </c>
      <c r="AS876" s="59">
        <f>IFERROR(VLOOKUP($A876,[2]Mssp!$A$5:$BE$1463,AS$4+1,0),0)</f>
        <v>0</v>
      </c>
      <c r="AT876" s="59">
        <f>IFERROR(VLOOKUP($A876,[2]Mssp!$A$5:$BE$1463,AT$4+1,0),0)</f>
        <v>0</v>
      </c>
      <c r="AU876" s="59">
        <f>IFERROR(VLOOKUP($A876,[2]Mssp!$A$5:$BE$1463,AU$4+1,0),0)</f>
        <v>0</v>
      </c>
      <c r="AV876" s="59">
        <f>IFERROR(VLOOKUP($A876,[2]Mssp!$A$5:$BE$1463,AV$4+1,0),0)</f>
        <v>0</v>
      </c>
      <c r="AW876" s="59">
        <f>IFERROR(VLOOKUP($A876,[2]Mssp!$A$5:$BE$1463,AW$4+1,0),0)</f>
        <v>0</v>
      </c>
      <c r="AX876" s="59">
        <f>IFERROR(VLOOKUP($A876,[2]Mssp!$A$5:$BE$1463,AX$4+1,0),0)</f>
        <v>0</v>
      </c>
      <c r="AY876" s="59" t="str">
        <f>IFERROR(VLOOKUP($A876,[2]Mssp!$A$5:$BE$1463,AY$4+2,0),0)</f>
        <v>480x870</v>
      </c>
      <c r="AZ876" s="59">
        <f>IFERROR(VLOOKUP($A876,[2]Mssp!$A$5:$BE$1463,AZ$4+2,0),0)</f>
        <v>0</v>
      </c>
      <c r="BA876" s="141"/>
      <c r="BB876" s="61" t="s">
        <v>1894</v>
      </c>
      <c r="BC876" s="165"/>
      <c r="BD876" s="166"/>
      <c r="BE876" s="167"/>
      <c r="BF876" s="168"/>
      <c r="BG876" s="167"/>
      <c r="BH876" s="168"/>
      <c r="BI876" s="169"/>
      <c r="BJ876" s="168"/>
      <c r="BK876" s="134"/>
      <c r="BL876" s="168"/>
      <c r="BM876" s="167"/>
      <c r="BN876" s="168"/>
      <c r="BO876" s="62"/>
      <c r="BP876" s="168"/>
      <c r="BQ876" s="168"/>
      <c r="BR876" s="168"/>
      <c r="BS876" s="135"/>
      <c r="BT876" s="176"/>
      <c r="BU876" s="167"/>
      <c r="BV876" s="168"/>
      <c r="BW876" s="167"/>
      <c r="BX876" s="168"/>
      <c r="BY876" s="167"/>
      <c r="BZ876" s="176"/>
      <c r="CA876" s="167"/>
      <c r="CB876" s="168"/>
      <c r="CC876" s="167"/>
      <c r="CD876" s="168"/>
      <c r="CE876" s="62"/>
      <c r="CF876" s="62"/>
      <c r="CG876" s="9"/>
      <c r="CH876" s="9"/>
      <c r="CI876" s="9"/>
      <c r="CJ876" s="9"/>
      <c r="CK876" s="9"/>
      <c r="CL876" s="9"/>
      <c r="CM876" s="9"/>
      <c r="CN876" s="9"/>
      <c r="CO876" s="9"/>
      <c r="CP876" s="9"/>
    </row>
    <row r="877" spans="1:94" ht="30" x14ac:dyDescent="0.25">
      <c r="A877" s="127" t="s">
        <v>2803</v>
      </c>
      <c r="B877" s="51" t="s">
        <v>2804</v>
      </c>
      <c r="C877" s="62"/>
      <c r="D877" s="84">
        <v>6</v>
      </c>
      <c r="E877" s="62" t="s">
        <v>158</v>
      </c>
      <c r="F877" s="62">
        <v>2</v>
      </c>
      <c r="G877" s="62"/>
      <c r="H877" s="50">
        <f>VLOOKUP($A877,'[1]ma sp 02'!$A$5:$BD$1101,H$1,0)</f>
        <v>0</v>
      </c>
      <c r="I877" s="50">
        <f>VLOOKUP($A877,'[1]ma sp 02'!$A$5:$BD$1101,I$1,0)</f>
        <v>0</v>
      </c>
      <c r="J877" s="50">
        <f>VLOOKUP($A877,'[1]ma sp 02'!$A$5:$BD$1101,J$1,0)</f>
        <v>0.88800000000000001</v>
      </c>
      <c r="K877" s="50">
        <f>VLOOKUP($A877,'[1]ma sp 02'!$A$5:$BD$1101,K$1,0)</f>
        <v>4.4420000000000002</v>
      </c>
      <c r="L877" s="50">
        <f>VLOOKUP($A877,'[1]ma sp 02'!$A$5:$BD$1101,L$1,0)</f>
        <v>5.3310000000000004</v>
      </c>
      <c r="M877" s="50">
        <f>VLOOKUP($A877,'[1]ma sp 02'!$A$5:$BD$1101,M$1,0)</f>
        <v>1.7769999999999999</v>
      </c>
      <c r="N877" s="50">
        <f>VLOOKUP($A877,'[1]ma sp 02'!$A$5:$BD$1101,N$1,0)</f>
        <v>0</v>
      </c>
      <c r="O877" s="50">
        <f>VLOOKUP($A877,'[1]ma sp 02'!$A$5:$BD$1101,O$1,0)</f>
        <v>0.01</v>
      </c>
      <c r="P877" s="50">
        <f>VLOOKUP($A877,'[1]ma sp 02'!$A$5:$BD$1101,P$1,0)</f>
        <v>0.88800000000000001</v>
      </c>
      <c r="Q877" s="50">
        <f>VLOOKUP($A877,'[1]ma sp 02'!$A$5:$BD$1101,Q$1,0)</f>
        <v>0</v>
      </c>
      <c r="R877" s="50">
        <f>VLOOKUP($A877,'[1]ma sp 02'!$A$5:$BD$1101,R$1,0)</f>
        <v>0</v>
      </c>
      <c r="S877" s="50">
        <f>VLOOKUP($A877,'[1]ma sp 02'!$A$5:$BD$1101,S$1,0)</f>
        <v>0</v>
      </c>
      <c r="T877" s="50">
        <f>VLOOKUP($A877,'[1]ma sp 02'!$A$5:$BD$1101,T$1,0)</f>
        <v>0.01</v>
      </c>
      <c r="U877" s="50">
        <f>VLOOKUP($A877,'[1]ma sp 02'!$A$5:$BD$1101,U$1,0)</f>
        <v>0</v>
      </c>
      <c r="V877" s="50">
        <f>VLOOKUP($A877,'[1]ma sp 02'!$A$5:$BD$1101,V$1,0)</f>
        <v>0</v>
      </c>
      <c r="W877" s="50">
        <f>VLOOKUP($A877,'[1]ma sp 02'!$A$5:$BD$1101,W$1,0)</f>
        <v>0</v>
      </c>
      <c r="X877" s="50"/>
      <c r="Y877" s="62"/>
      <c r="Z877" s="62"/>
      <c r="AA877" s="62"/>
      <c r="AB877" s="62"/>
      <c r="AC877" s="62"/>
      <c r="AD877" s="62"/>
      <c r="AE877" s="62" t="s">
        <v>499</v>
      </c>
      <c r="AF877" s="62" t="s">
        <v>2805</v>
      </c>
      <c r="AG877" s="53">
        <f>(0.02*0.91+0.006*1.4+0.055*0.925)*0.79</f>
        <v>6.1205250000000003E-2</v>
      </c>
      <c r="AH877" s="54">
        <f>(2.5/0.75/2)*0.68</f>
        <v>1.1333333333333335</v>
      </c>
      <c r="AI877" s="54">
        <f>(2.5/0.75/2)*0.68</f>
        <v>1.1333333333333335</v>
      </c>
      <c r="AJ877" s="192">
        <v>9530</v>
      </c>
      <c r="AK877" s="62">
        <v>9530</v>
      </c>
      <c r="AL877" s="62" t="s">
        <v>1901</v>
      </c>
      <c r="AM877" s="61"/>
      <c r="AN877" s="62">
        <v>160</v>
      </c>
      <c r="AO877" s="61" t="s">
        <v>1959</v>
      </c>
      <c r="AP877" s="59" t="str">
        <f>IFERROR(VLOOKUP($A877,[2]Mssp!$A$5:$BE$1463,AP$4+1,0),0)</f>
        <v>21030505-1</v>
      </c>
      <c r="AQ877" s="59" t="str">
        <f>IFERROR(VLOOKUP($A877,[2]Mssp!$A$5:$BE$1463,AQ$4+1,0),0)</f>
        <v>21030505-2</v>
      </c>
      <c r="AR877" s="59">
        <f>IFERROR(VLOOKUP($A877,[2]Mssp!$A$5:$BE$1463,AR$4+1,0),0)</f>
        <v>0</v>
      </c>
      <c r="AS877" s="59">
        <f>IFERROR(VLOOKUP($A877,[2]Mssp!$A$5:$BE$1463,AS$4+1,0),0)</f>
        <v>0</v>
      </c>
      <c r="AT877" s="59">
        <f>IFERROR(VLOOKUP($A877,[2]Mssp!$A$5:$BE$1463,AT$4+1,0),0)</f>
        <v>0</v>
      </c>
      <c r="AU877" s="59">
        <f>IFERROR(VLOOKUP($A877,[2]Mssp!$A$5:$BE$1463,AU$4+1,0),0)</f>
        <v>0</v>
      </c>
      <c r="AV877" s="59">
        <f>IFERROR(VLOOKUP($A877,[2]Mssp!$A$5:$BE$1463,AV$4+1,0),0)</f>
        <v>0</v>
      </c>
      <c r="AW877" s="59">
        <f>IFERROR(VLOOKUP($A877,[2]Mssp!$A$5:$BE$1463,AW$4+1,0),0)</f>
        <v>0</v>
      </c>
      <c r="AX877" s="59">
        <f>IFERROR(VLOOKUP($A877,[2]Mssp!$A$5:$BE$1463,AX$4+1,0),0)</f>
        <v>0</v>
      </c>
      <c r="AY877" s="59" t="str">
        <f>IFERROR(VLOOKUP($A877,[2]Mssp!$A$5:$BE$1463,AY$4+2,0),0)</f>
        <v>480x870</v>
      </c>
      <c r="AZ877" s="59">
        <f>IFERROR(VLOOKUP($A877,[2]Mssp!$A$5:$BE$1463,AZ$4+2,0),0)</f>
        <v>0</v>
      </c>
      <c r="BA877" s="141"/>
      <c r="BB877" s="61" t="s">
        <v>1894</v>
      </c>
      <c r="BC877" s="165"/>
      <c r="BD877" s="166"/>
      <c r="BE877" s="167"/>
      <c r="BF877" s="168"/>
      <c r="BG877" s="167"/>
      <c r="BH877" s="168"/>
      <c r="BI877" s="169"/>
      <c r="BJ877" s="168"/>
      <c r="BK877" s="134"/>
      <c r="BL877" s="168"/>
      <c r="BM877" s="167"/>
      <c r="BN877" s="168"/>
      <c r="BO877" s="62"/>
      <c r="BP877" s="168"/>
      <c r="BQ877" s="168"/>
      <c r="BR877" s="168"/>
      <c r="BS877" s="135"/>
      <c r="BT877" s="176"/>
      <c r="BU877" s="167"/>
      <c r="BV877" s="168"/>
      <c r="BW877" s="167"/>
      <c r="BX877" s="168"/>
      <c r="BY877" s="167"/>
      <c r="BZ877" s="176"/>
      <c r="CA877" s="167"/>
      <c r="CB877" s="168"/>
      <c r="CC877" s="167"/>
      <c r="CD877" s="168"/>
      <c r="CE877" s="62"/>
      <c r="CF877" s="62"/>
      <c r="CG877" s="9"/>
      <c r="CH877" s="9"/>
      <c r="CI877" s="9"/>
      <c r="CJ877" s="9"/>
      <c r="CK877" s="9"/>
      <c r="CL877" s="9"/>
      <c r="CM877" s="9"/>
      <c r="CN877" s="9"/>
      <c r="CO877" s="9"/>
      <c r="CP877" s="9"/>
    </row>
    <row r="878" spans="1:94" ht="45" x14ac:dyDescent="0.25">
      <c r="A878" s="127" t="s">
        <v>2806</v>
      </c>
      <c r="B878" s="51" t="s">
        <v>2807</v>
      </c>
      <c r="C878" s="62"/>
      <c r="D878" s="84">
        <v>1</v>
      </c>
      <c r="E878" s="62" t="s">
        <v>966</v>
      </c>
      <c r="F878" s="62">
        <v>6</v>
      </c>
      <c r="G878" s="62"/>
      <c r="H878" s="50">
        <f>VLOOKUP($A878,'[1]ma sp 02'!$A$5:$BD$1101,H$1,0)</f>
        <v>0</v>
      </c>
      <c r="I878" s="50">
        <f>VLOOKUP($A878,'[1]ma sp 02'!$A$5:$BD$1101,I$1,0)</f>
        <v>6.0999999999999999E-2</v>
      </c>
      <c r="J878" s="50">
        <f>VLOOKUP($A878,'[1]ma sp 02'!$A$5:$BD$1101,J$1,0)</f>
        <v>0</v>
      </c>
      <c r="K878" s="50">
        <f>VLOOKUP($A878,'[1]ma sp 02'!$A$5:$BD$1101,K$1,0)</f>
        <v>0.7</v>
      </c>
      <c r="L878" s="50">
        <f>VLOOKUP($A878,'[1]ma sp 02'!$A$5:$BD$1101,L$1,0)</f>
        <v>0.152</v>
      </c>
      <c r="M878" s="50">
        <f>VLOOKUP($A878,'[1]ma sp 02'!$A$5:$BD$1101,M$1,0)</f>
        <v>0</v>
      </c>
      <c r="N878" s="50">
        <f>VLOOKUP($A878,'[1]ma sp 02'!$A$5:$BD$1101,N$1,0)</f>
        <v>0</v>
      </c>
      <c r="O878" s="50">
        <f>VLOOKUP($A878,'[1]ma sp 02'!$A$5:$BD$1101,O$1,0)</f>
        <v>0</v>
      </c>
      <c r="P878" s="50">
        <f>VLOOKUP($A878,'[1]ma sp 02'!$A$5:$BD$1101,P$1,0)</f>
        <v>1.522</v>
      </c>
      <c r="Q878" s="50">
        <f>VLOOKUP($A878,'[1]ma sp 02'!$A$5:$BD$1101,Q$1,0)</f>
        <v>0</v>
      </c>
      <c r="R878" s="50">
        <f>VLOOKUP($A878,'[1]ma sp 02'!$A$5:$BD$1101,R$1,0)</f>
        <v>0</v>
      </c>
      <c r="S878" s="50">
        <f>VLOOKUP($A878,'[1]ma sp 02'!$A$5:$BD$1101,S$1,0)</f>
        <v>0</v>
      </c>
      <c r="T878" s="50">
        <f>VLOOKUP($A878,'[1]ma sp 02'!$A$5:$BD$1101,T$1,0)</f>
        <v>0</v>
      </c>
      <c r="U878" s="50">
        <f>VLOOKUP($A878,'[1]ma sp 02'!$A$5:$BD$1101,U$1,0)</f>
        <v>0</v>
      </c>
      <c r="V878" s="50">
        <f>VLOOKUP($A878,'[1]ma sp 02'!$A$5:$BD$1101,V$1,0)</f>
        <v>0</v>
      </c>
      <c r="W878" s="50">
        <f>VLOOKUP($A878,'[1]ma sp 02'!$A$5:$BD$1101,W$1,0)</f>
        <v>0</v>
      </c>
      <c r="X878" s="50"/>
      <c r="Y878" s="62"/>
      <c r="Z878" s="62"/>
      <c r="AA878" s="62"/>
      <c r="AB878" s="62"/>
      <c r="AC878" s="62"/>
      <c r="AD878" s="62"/>
      <c r="AE878" s="62" t="s">
        <v>1212</v>
      </c>
      <c r="AF878" s="62"/>
      <c r="AG878" s="71">
        <f>(0.012*1.4+0.09*0.94)*0.59</f>
        <v>5.982599999999999E-2</v>
      </c>
      <c r="AH878" s="153">
        <f>(3/0.75/2)*0.58</f>
        <v>1.1599999999999999</v>
      </c>
      <c r="AI878" s="54"/>
      <c r="AJ878" s="192">
        <v>9530</v>
      </c>
      <c r="AK878" s="62"/>
      <c r="AL878" s="62">
        <v>3.0000000000000001E-3</v>
      </c>
      <c r="AM878" s="61" t="s">
        <v>1489</v>
      </c>
      <c r="AN878" s="62"/>
      <c r="AO878" s="61" t="s">
        <v>2808</v>
      </c>
      <c r="AP878" s="59" t="str">
        <f>IFERROR(VLOOKUP($A878,[2]Mssp!$A$5:$BE$1463,AP$4+1,0),0)</f>
        <v>21030467-1</v>
      </c>
      <c r="AQ878" s="59" t="str">
        <f>IFERROR(VLOOKUP($A878,[2]Mssp!$A$5:$BE$1463,AQ$4+1,0),0)</f>
        <v>21030467-2</v>
      </c>
      <c r="AR878" s="59" t="str">
        <f>IFERROR(VLOOKUP($A878,[2]Mssp!$A$5:$BE$1463,AR$4+1,0),0)</f>
        <v>21030467-3</v>
      </c>
      <c r="AS878" s="59" t="str">
        <f>IFERROR(VLOOKUP($A878,[2]Mssp!$A$5:$BE$1463,AS$4+1,0),0)</f>
        <v>21030467-4</v>
      </c>
      <c r="AT878" s="59" t="str">
        <f>IFERROR(VLOOKUP($A878,[2]Mssp!$A$5:$BE$1463,AT$4+1,0),0)</f>
        <v>21030467-5</v>
      </c>
      <c r="AU878" s="59" t="str">
        <f>IFERROR(VLOOKUP($A878,[2]Mssp!$A$5:$BE$1463,AU$4+1,0),0)</f>
        <v>21030467-6</v>
      </c>
      <c r="AV878" s="59">
        <f>IFERROR(VLOOKUP($A878,[2]Mssp!$A$5:$BE$1463,AV$4+1,0),0)</f>
        <v>0</v>
      </c>
      <c r="AW878" s="59">
        <f>IFERROR(VLOOKUP($A878,[2]Mssp!$A$5:$BE$1463,AW$4+1,0),0)</f>
        <v>0</v>
      </c>
      <c r="AX878" s="59">
        <f>IFERROR(VLOOKUP($A878,[2]Mssp!$A$5:$BE$1463,AX$4+1,0),0)</f>
        <v>0</v>
      </c>
      <c r="AY878" s="59" t="str">
        <f>IFERROR(VLOOKUP($A878,[2]Mssp!$A$5:$BE$1463,AY$4+2,0),0)</f>
        <v>750x870</v>
      </c>
      <c r="AZ878" s="59">
        <f>IFERROR(VLOOKUP($A878,[2]Mssp!$A$5:$BE$1463,AZ$4+2,0),0)</f>
        <v>0</v>
      </c>
      <c r="BA878" s="141" t="s">
        <v>1936</v>
      </c>
      <c r="BB878" s="61" t="s">
        <v>952</v>
      </c>
      <c r="BC878" s="165"/>
      <c r="BD878" s="166"/>
      <c r="BE878" s="167"/>
      <c r="BF878" s="168"/>
      <c r="BG878" s="167"/>
      <c r="BH878" s="168"/>
      <c r="BI878" s="169"/>
      <c r="BJ878" s="168"/>
      <c r="BK878" s="134"/>
      <c r="BL878" s="168"/>
      <c r="BM878" s="167"/>
      <c r="BN878" s="168"/>
      <c r="BO878" s="62"/>
      <c r="BP878" s="168"/>
      <c r="BQ878" s="168"/>
      <c r="BR878" s="168"/>
      <c r="BS878" s="135"/>
      <c r="BT878" s="176"/>
      <c r="BU878" s="167"/>
      <c r="BV878" s="168"/>
      <c r="BW878" s="167"/>
      <c r="BX878" s="168"/>
      <c r="BY878" s="167"/>
      <c r="BZ878" s="176"/>
      <c r="CA878" s="167"/>
      <c r="CB878" s="168"/>
      <c r="CC878" s="167"/>
      <c r="CD878" s="168"/>
      <c r="CE878" s="62"/>
      <c r="CF878" s="62"/>
      <c r="CG878" s="9"/>
      <c r="CH878" s="9"/>
      <c r="CI878" s="9"/>
      <c r="CJ878" s="9"/>
      <c r="CK878" s="9"/>
      <c r="CL878" s="9"/>
      <c r="CM878" s="9"/>
      <c r="CN878" s="9"/>
      <c r="CO878" s="9"/>
      <c r="CP878" s="9"/>
    </row>
    <row r="879" spans="1:94" ht="30" x14ac:dyDescent="0.25">
      <c r="A879" s="127" t="s">
        <v>2809</v>
      </c>
      <c r="B879" s="51" t="s">
        <v>2810</v>
      </c>
      <c r="C879" s="62"/>
      <c r="D879" s="84">
        <v>3</v>
      </c>
      <c r="E879" s="62" t="s">
        <v>623</v>
      </c>
      <c r="F879" s="62">
        <v>2</v>
      </c>
      <c r="G879" s="62"/>
      <c r="H879" s="50">
        <f>VLOOKUP($A879,'[1]ma sp 02'!$A$5:$BD$1101,H$1,0)</f>
        <v>0.626</v>
      </c>
      <c r="I879" s="50">
        <f>VLOOKUP($A879,'[1]ma sp 02'!$A$5:$BD$1101,I$1,0)</f>
        <v>4.3789999999999996</v>
      </c>
      <c r="J879" s="50">
        <f>VLOOKUP($A879,'[1]ma sp 02'!$A$5:$BD$1101,J$1,0)</f>
        <v>0.01</v>
      </c>
      <c r="K879" s="50">
        <f>VLOOKUP($A879,'[1]ma sp 02'!$A$5:$BD$1101,K$1,0)</f>
        <v>1.25</v>
      </c>
      <c r="L879" s="50">
        <f>VLOOKUP($A879,'[1]ma sp 02'!$A$5:$BD$1101,L$1,0)</f>
        <v>1.25</v>
      </c>
      <c r="M879" s="50">
        <f>VLOOKUP($A879,'[1]ma sp 02'!$A$5:$BD$1101,M$1,0)</f>
        <v>0</v>
      </c>
      <c r="N879" s="50">
        <f>VLOOKUP($A879,'[1]ma sp 02'!$A$5:$BD$1101,N$1,0)</f>
        <v>0</v>
      </c>
      <c r="O879" s="50">
        <f>VLOOKUP($A879,'[1]ma sp 02'!$A$5:$BD$1101,O$1,0)</f>
        <v>2.5</v>
      </c>
      <c r="P879" s="50">
        <f>VLOOKUP($A879,'[1]ma sp 02'!$A$5:$BD$1101,P$1,0)</f>
        <v>0</v>
      </c>
      <c r="Q879" s="50">
        <f>VLOOKUP($A879,'[1]ma sp 02'!$A$5:$BD$1101,Q$1,0)</f>
        <v>0</v>
      </c>
      <c r="R879" s="50">
        <f>VLOOKUP($A879,'[1]ma sp 02'!$A$5:$BD$1101,R$1,0)</f>
        <v>0</v>
      </c>
      <c r="S879" s="50">
        <f>VLOOKUP($A879,'[1]ma sp 02'!$A$5:$BD$1101,S$1,0)</f>
        <v>0</v>
      </c>
      <c r="T879" s="50">
        <f>VLOOKUP($A879,'[1]ma sp 02'!$A$5:$BD$1101,T$1,0)</f>
        <v>0.01</v>
      </c>
      <c r="U879" s="50">
        <f>VLOOKUP($A879,'[1]ma sp 02'!$A$5:$BD$1101,U$1,0)</f>
        <v>0</v>
      </c>
      <c r="V879" s="50">
        <f>VLOOKUP($A879,'[1]ma sp 02'!$A$5:$BD$1101,V$1,0)</f>
        <v>0</v>
      </c>
      <c r="W879" s="50">
        <f>VLOOKUP($A879,'[1]ma sp 02'!$A$5:$BD$1101,W$1,0)</f>
        <v>0</v>
      </c>
      <c r="X879" s="50"/>
      <c r="Y879" s="62"/>
      <c r="Z879" s="62"/>
      <c r="AA879" s="62"/>
      <c r="AB879" s="62"/>
      <c r="AC879" s="62"/>
      <c r="AD879" s="62"/>
      <c r="AE879" s="62" t="s">
        <v>2811</v>
      </c>
      <c r="AF879" s="62" t="s">
        <v>2385</v>
      </c>
      <c r="AG879" s="53">
        <f>(0.012*0.91+0.006*1.4+0.065*0.925)*0.69</f>
        <v>5.4817049999999999E-2</v>
      </c>
      <c r="AH879" s="54">
        <f>(2.5/0.75/2)*0.68</f>
        <v>1.1333333333333335</v>
      </c>
      <c r="AI879" s="54">
        <f>(2.5/0.75/2)*0.68</f>
        <v>1.1333333333333335</v>
      </c>
      <c r="AJ879" s="192">
        <v>9530</v>
      </c>
      <c r="AK879" s="62">
        <v>9530</v>
      </c>
      <c r="AL879" s="62" t="s">
        <v>1901</v>
      </c>
      <c r="AM879" s="61" t="s">
        <v>1489</v>
      </c>
      <c r="AN879" s="62">
        <v>170</v>
      </c>
      <c r="AO879" s="61" t="s">
        <v>1959</v>
      </c>
      <c r="AP879" s="59" t="str">
        <f>IFERROR(VLOOKUP($A879,[2]Mssp!$A$5:$BE$1463,AP$4+1,0),0)</f>
        <v>21030925-1</v>
      </c>
      <c r="AQ879" s="59" t="str">
        <f>IFERROR(VLOOKUP($A879,[2]Mssp!$A$5:$BE$1463,AQ$4+1,0),0)</f>
        <v>21030925-2</v>
      </c>
      <c r="AR879" s="59">
        <f>IFERROR(VLOOKUP($A879,[2]Mssp!$A$5:$BE$1463,AR$4+1,0),0)</f>
        <v>0</v>
      </c>
      <c r="AS879" s="59">
        <f>IFERROR(VLOOKUP($A879,[2]Mssp!$A$5:$BE$1463,AS$4+1,0),0)</f>
        <v>0</v>
      </c>
      <c r="AT879" s="59">
        <f>IFERROR(VLOOKUP($A879,[2]Mssp!$A$5:$BE$1463,AT$4+1,0),0)</f>
        <v>0</v>
      </c>
      <c r="AU879" s="59">
        <f>IFERROR(VLOOKUP($A879,[2]Mssp!$A$5:$BE$1463,AU$4+1,0),0)</f>
        <v>0</v>
      </c>
      <c r="AV879" s="59">
        <f>IFERROR(VLOOKUP($A879,[2]Mssp!$A$5:$BE$1463,AV$4+1,0),0)</f>
        <v>0</v>
      </c>
      <c r="AW879" s="59">
        <f>IFERROR(VLOOKUP($A879,[2]Mssp!$A$5:$BE$1463,AW$4+1,0),0)</f>
        <v>0</v>
      </c>
      <c r="AX879" s="59">
        <f>IFERROR(VLOOKUP($A879,[2]Mssp!$A$5:$BE$1463,AX$4+1,0),0)</f>
        <v>0</v>
      </c>
      <c r="AY879" s="59" t="str">
        <f>IFERROR(VLOOKUP($A879,[2]Mssp!$A$5:$BE$1463,AY$4+2,0),0)</f>
        <v>510x870</v>
      </c>
      <c r="AZ879" s="59">
        <f>IFERROR(VLOOKUP($A879,[2]Mssp!$A$5:$BE$1463,AZ$4+2,0),0)</f>
        <v>0</v>
      </c>
      <c r="BA879" s="141" t="s">
        <v>1936</v>
      </c>
      <c r="BB879" s="61" t="s">
        <v>952</v>
      </c>
      <c r="BC879" s="165"/>
      <c r="BD879" s="166"/>
      <c r="BE879" s="167"/>
      <c r="BF879" s="168"/>
      <c r="BG879" s="167"/>
      <c r="BH879" s="168"/>
      <c r="BI879" s="169"/>
      <c r="BJ879" s="168"/>
      <c r="BK879" s="134"/>
      <c r="BL879" s="168"/>
      <c r="BM879" s="167"/>
      <c r="BN879" s="168"/>
      <c r="BO879" s="62"/>
      <c r="BP879" s="168"/>
      <c r="BQ879" s="168"/>
      <c r="BR879" s="168"/>
      <c r="BS879" s="135"/>
      <c r="BT879" s="176"/>
      <c r="BU879" s="167"/>
      <c r="BV879" s="168"/>
      <c r="BW879" s="167"/>
      <c r="BX879" s="168"/>
      <c r="BY879" s="167"/>
      <c r="BZ879" s="176"/>
      <c r="CA879" s="167"/>
      <c r="CB879" s="168"/>
      <c r="CC879" s="167"/>
      <c r="CD879" s="168"/>
      <c r="CE879" s="62"/>
      <c r="CF879" s="62"/>
      <c r="CG879" s="9"/>
      <c r="CH879" s="9"/>
      <c r="CI879" s="9"/>
      <c r="CJ879" s="9"/>
      <c r="CK879" s="9"/>
      <c r="CL879" s="9"/>
      <c r="CM879" s="9"/>
      <c r="CN879" s="9"/>
      <c r="CO879" s="9"/>
      <c r="CP879" s="9"/>
    </row>
    <row r="880" spans="1:94" ht="45" x14ac:dyDescent="0.25">
      <c r="A880" s="127" t="s">
        <v>2812</v>
      </c>
      <c r="B880" s="51" t="s">
        <v>2813</v>
      </c>
      <c r="C880" s="62"/>
      <c r="D880" s="84">
        <v>3</v>
      </c>
      <c r="E880" s="62" t="s">
        <v>1985</v>
      </c>
      <c r="F880" s="62">
        <v>2</v>
      </c>
      <c r="G880" s="62"/>
      <c r="H880" s="50">
        <f>VLOOKUP($A880,'[1]ma sp 02'!$A$5:$BD$1101,H$1,0)</f>
        <v>0</v>
      </c>
      <c r="I880" s="50">
        <f>VLOOKUP($A880,'[1]ma sp 02'!$A$5:$BD$1101,I$1,0)</f>
        <v>4.2880000000000003</v>
      </c>
      <c r="J880" s="50">
        <f>VLOOKUP($A880,'[1]ma sp 02'!$A$5:$BD$1101,J$1,0)</f>
        <v>0.33900000000000002</v>
      </c>
      <c r="K880" s="50">
        <f>VLOOKUP($A880,'[1]ma sp 02'!$A$5:$BD$1101,K$1,0)</f>
        <v>0</v>
      </c>
      <c r="L880" s="50">
        <f>VLOOKUP($A880,'[1]ma sp 02'!$A$5:$BD$1101,L$1,0)</f>
        <v>0</v>
      </c>
      <c r="M880" s="50">
        <f>VLOOKUP($A880,'[1]ma sp 02'!$A$5:$BD$1101,M$1,0)</f>
        <v>0</v>
      </c>
      <c r="N880" s="50">
        <f>VLOOKUP($A880,'[1]ma sp 02'!$A$5:$BD$1101,N$1,0)</f>
        <v>0</v>
      </c>
      <c r="O880" s="50">
        <f>VLOOKUP($A880,'[1]ma sp 02'!$A$5:$BD$1101,O$1,0)</f>
        <v>0</v>
      </c>
      <c r="P880" s="50">
        <f>VLOOKUP($A880,'[1]ma sp 02'!$A$5:$BD$1101,P$1,0)</f>
        <v>0</v>
      </c>
      <c r="Q880" s="50">
        <f>VLOOKUP($A880,'[1]ma sp 02'!$A$5:$BD$1101,Q$1,0)</f>
        <v>0</v>
      </c>
      <c r="R880" s="50">
        <f>VLOOKUP($A880,'[1]ma sp 02'!$A$5:$BD$1101,R$1,0)</f>
        <v>0</v>
      </c>
      <c r="S880" s="50">
        <f>VLOOKUP($A880,'[1]ma sp 02'!$A$5:$BD$1101,S$1,0)</f>
        <v>0</v>
      </c>
      <c r="T880" s="50">
        <f>VLOOKUP($A880,'[1]ma sp 02'!$A$5:$BD$1101,T$1,0)</f>
        <v>0</v>
      </c>
      <c r="U880" s="50">
        <f>VLOOKUP($A880,'[1]ma sp 02'!$A$5:$BD$1101,U$1,0)</f>
        <v>0</v>
      </c>
      <c r="V880" s="50">
        <f>VLOOKUP($A880,'[1]ma sp 02'!$A$5:$BD$1101,V$1,0)</f>
        <v>0</v>
      </c>
      <c r="W880" s="50">
        <f>VLOOKUP($A880,'[1]ma sp 02'!$A$5:$BD$1101,W$1,0)</f>
        <v>0</v>
      </c>
      <c r="X880" s="50"/>
      <c r="Y880" s="62"/>
      <c r="Z880" s="62"/>
      <c r="AA880" s="62"/>
      <c r="AB880" s="62"/>
      <c r="AC880" s="62"/>
      <c r="AD880" s="62"/>
      <c r="AE880" s="62" t="s">
        <v>456</v>
      </c>
      <c r="AF880" s="62" t="s">
        <v>2814</v>
      </c>
      <c r="AG880" s="53">
        <f>(0.03*0.91+0.012*1.4+0.045*0.925)*0.77</f>
        <v>6.6008250000000004E-2</v>
      </c>
      <c r="AH880" s="54">
        <f>(2.5/0.75/2)*0.76</f>
        <v>1.2666666666666668</v>
      </c>
      <c r="AI880" s="54">
        <f>(2.5/0.75/2)*0.76</f>
        <v>1.2666666666666668</v>
      </c>
      <c r="AJ880" s="192">
        <v>9530</v>
      </c>
      <c r="AK880" s="62">
        <v>9530</v>
      </c>
      <c r="AL880" s="62" t="s">
        <v>1901</v>
      </c>
      <c r="AM880" s="61" t="s">
        <v>74</v>
      </c>
      <c r="AN880" s="62">
        <v>190</v>
      </c>
      <c r="AO880" s="61" t="s">
        <v>2316</v>
      </c>
      <c r="AP880" s="59" t="str">
        <f>IFERROR(VLOOKUP($A880,[2]Mssp!$A$5:$BE$1463,AP$4+1,0),0)</f>
        <v>21050057-1</v>
      </c>
      <c r="AQ880" s="59" t="str">
        <f>IFERROR(VLOOKUP($A880,[2]Mssp!$A$5:$BE$1463,AQ$4+1,0),0)</f>
        <v>21050057-2</v>
      </c>
      <c r="AR880" s="59">
        <f>IFERROR(VLOOKUP($A880,[2]Mssp!$A$5:$BE$1463,AR$4+1,0),0)</f>
        <v>0</v>
      </c>
      <c r="AS880" s="59">
        <f>IFERROR(VLOOKUP($A880,[2]Mssp!$A$5:$BE$1463,AS$4+1,0),0)</f>
        <v>0</v>
      </c>
      <c r="AT880" s="59">
        <f>IFERROR(VLOOKUP($A880,[2]Mssp!$A$5:$BE$1463,AT$4+1,0),0)</f>
        <v>0</v>
      </c>
      <c r="AU880" s="59">
        <f>IFERROR(VLOOKUP($A880,[2]Mssp!$A$5:$BE$1463,AU$4+1,0),0)</f>
        <v>0</v>
      </c>
      <c r="AV880" s="59">
        <f>IFERROR(VLOOKUP($A880,[2]Mssp!$A$5:$BE$1463,AV$4+1,0),0)</f>
        <v>0</v>
      </c>
      <c r="AW880" s="59">
        <f>IFERROR(VLOOKUP($A880,[2]Mssp!$A$5:$BE$1463,AW$4+1,0),0)</f>
        <v>0</v>
      </c>
      <c r="AX880" s="59">
        <f>IFERROR(VLOOKUP($A880,[2]Mssp!$A$5:$BE$1463,AX$4+1,0),0)</f>
        <v>0</v>
      </c>
      <c r="AY880" s="59" t="str">
        <f>IFERROR(VLOOKUP($A880,[2]Mssp!$A$5:$BE$1463,AY$4+2,0),0)</f>
        <v>570x870</v>
      </c>
      <c r="AZ880" s="59">
        <f>IFERROR(VLOOKUP($A880,[2]Mssp!$A$5:$BE$1463,AZ$4+2,0),0)</f>
        <v>0</v>
      </c>
      <c r="BA880" s="141"/>
      <c r="BB880" s="61" t="s">
        <v>1894</v>
      </c>
      <c r="BC880" s="165"/>
      <c r="BD880" s="166"/>
      <c r="BE880" s="167"/>
      <c r="BF880" s="168"/>
      <c r="BG880" s="167"/>
      <c r="BH880" s="168"/>
      <c r="BI880" s="169"/>
      <c r="BJ880" s="168"/>
      <c r="BK880" s="134"/>
      <c r="BL880" s="168"/>
      <c r="BM880" s="167"/>
      <c r="BN880" s="168"/>
      <c r="BO880" s="62"/>
      <c r="BP880" s="168"/>
      <c r="BQ880" s="168"/>
      <c r="BR880" s="168"/>
      <c r="BS880" s="135"/>
      <c r="BT880" s="176"/>
      <c r="BU880" s="167"/>
      <c r="BV880" s="168"/>
      <c r="BW880" s="167"/>
      <c r="BX880" s="168"/>
      <c r="BY880" s="167"/>
      <c r="BZ880" s="176"/>
      <c r="CA880" s="167"/>
      <c r="CB880" s="168"/>
      <c r="CC880" s="167"/>
      <c r="CD880" s="168"/>
      <c r="CE880" s="62"/>
      <c r="CF880" s="62"/>
      <c r="CG880" s="9"/>
      <c r="CH880" s="9"/>
      <c r="CI880" s="9"/>
      <c r="CJ880" s="9"/>
      <c r="CK880" s="9"/>
      <c r="CL880" s="9"/>
      <c r="CM880" s="9"/>
      <c r="CN880" s="9"/>
      <c r="CO880" s="9"/>
      <c r="CP880" s="9"/>
    </row>
    <row r="881" spans="1:94" ht="45" x14ac:dyDescent="0.25">
      <c r="A881" s="127" t="s">
        <v>2815</v>
      </c>
      <c r="B881" s="51" t="s">
        <v>2816</v>
      </c>
      <c r="C881" s="62"/>
      <c r="D881" s="84">
        <v>3</v>
      </c>
      <c r="E881" s="62" t="s">
        <v>113</v>
      </c>
      <c r="F881" s="62">
        <v>2</v>
      </c>
      <c r="G881" s="62"/>
      <c r="H881" s="50">
        <f>VLOOKUP($A881,'[1]ma sp 02'!$A$5:$BD$1101,H$1,0)</f>
        <v>0</v>
      </c>
      <c r="I881" s="50">
        <f>VLOOKUP($A881,'[1]ma sp 02'!$A$5:$BD$1101,I$1,0)</f>
        <v>0.57399999999999995</v>
      </c>
      <c r="J881" s="50">
        <f>VLOOKUP($A881,'[1]ma sp 02'!$A$5:$BD$1101,J$1,0)</f>
        <v>0</v>
      </c>
      <c r="K881" s="50">
        <f>VLOOKUP($A881,'[1]ma sp 02'!$A$5:$BD$1101,K$1,0)</f>
        <v>0.23</v>
      </c>
      <c r="L881" s="50">
        <f>VLOOKUP($A881,'[1]ma sp 02'!$A$5:$BD$1101,L$1,0)</f>
        <v>0</v>
      </c>
      <c r="M881" s="50">
        <f>VLOOKUP($A881,'[1]ma sp 02'!$A$5:$BD$1101,M$1,0)</f>
        <v>1.6080000000000001</v>
      </c>
      <c r="N881" s="50">
        <f>VLOOKUP($A881,'[1]ma sp 02'!$A$5:$BD$1101,N$1,0)</f>
        <v>0</v>
      </c>
      <c r="O881" s="50">
        <f>VLOOKUP($A881,'[1]ma sp 02'!$A$5:$BD$1101,O$1,0)</f>
        <v>0</v>
      </c>
      <c r="P881" s="50">
        <f>VLOOKUP($A881,'[1]ma sp 02'!$A$5:$BD$1101,P$1,0)</f>
        <v>3.6760000000000002</v>
      </c>
      <c r="Q881" s="50">
        <f>VLOOKUP($A881,'[1]ma sp 02'!$A$5:$BD$1101,Q$1,0)</f>
        <v>0</v>
      </c>
      <c r="R881" s="50">
        <f>VLOOKUP($A881,'[1]ma sp 02'!$A$5:$BD$1101,R$1,0)</f>
        <v>0</v>
      </c>
      <c r="S881" s="50">
        <f>VLOOKUP($A881,'[1]ma sp 02'!$A$5:$BD$1101,S$1,0)</f>
        <v>0</v>
      </c>
      <c r="T881" s="50">
        <f>VLOOKUP($A881,'[1]ma sp 02'!$A$5:$BD$1101,T$1,0)</f>
        <v>0</v>
      </c>
      <c r="U881" s="50">
        <f>VLOOKUP($A881,'[1]ma sp 02'!$A$5:$BD$1101,U$1,0)</f>
        <v>0</v>
      </c>
      <c r="V881" s="50">
        <f>VLOOKUP($A881,'[1]ma sp 02'!$A$5:$BD$1101,V$1,0)</f>
        <v>0</v>
      </c>
      <c r="W881" s="50">
        <f>VLOOKUP($A881,'[1]ma sp 02'!$A$5:$BD$1101,W$1,0)</f>
        <v>0</v>
      </c>
      <c r="X881" s="50"/>
      <c r="Y881" s="62"/>
      <c r="Z881" s="62"/>
      <c r="AA881" s="62"/>
      <c r="AB881" s="62"/>
      <c r="AC881" s="62"/>
      <c r="AD881" s="62"/>
      <c r="AE881" s="62" t="s">
        <v>115</v>
      </c>
      <c r="AF881" s="62" t="s">
        <v>321</v>
      </c>
      <c r="AG881" s="53">
        <f>(0.03*0.91+0.012*1.4+0.075*0.925)*0.74</f>
        <v>8.3971500000000004E-2</v>
      </c>
      <c r="AH881" s="54">
        <f t="shared" ref="AH881:AI883" si="38">(2.3/0.75/2)*0.73</f>
        <v>1.1193333333333333</v>
      </c>
      <c r="AI881" s="54">
        <f t="shared" si="38"/>
        <v>1.1193333333333333</v>
      </c>
      <c r="AJ881" s="62">
        <v>9530</v>
      </c>
      <c r="AK881" s="62">
        <v>9530</v>
      </c>
      <c r="AL881" s="62" t="s">
        <v>2378</v>
      </c>
      <c r="AM881" s="52" t="s">
        <v>60</v>
      </c>
      <c r="AN881" s="62">
        <v>270</v>
      </c>
      <c r="AO881" s="61" t="s">
        <v>332</v>
      </c>
      <c r="AP881" s="59" t="str">
        <f>IFERROR(VLOOKUP($A881,[2]Mssp!$A$5:$BE$1463,AP$4+1,0),0)</f>
        <v>21030940-1</v>
      </c>
      <c r="AQ881" s="59" t="str">
        <f>IFERROR(VLOOKUP($A881,[2]Mssp!$A$5:$BE$1463,AQ$4+1,0),0)</f>
        <v>21030940-2</v>
      </c>
      <c r="AR881" s="59">
        <f>IFERROR(VLOOKUP($A881,[2]Mssp!$A$5:$BE$1463,AR$4+1,0),0)</f>
        <v>0</v>
      </c>
      <c r="AS881" s="59">
        <f>IFERROR(VLOOKUP($A881,[2]Mssp!$A$5:$BE$1463,AS$4+1,0),0)</f>
        <v>0</v>
      </c>
      <c r="AT881" s="59">
        <f>IFERROR(VLOOKUP($A881,[2]Mssp!$A$5:$BE$1463,AT$4+1,0),0)</f>
        <v>0</v>
      </c>
      <c r="AU881" s="59">
        <f>IFERROR(VLOOKUP($A881,[2]Mssp!$A$5:$BE$1463,AU$4+1,0),0)</f>
        <v>0</v>
      </c>
      <c r="AV881" s="59">
        <f>IFERROR(VLOOKUP($A881,[2]Mssp!$A$5:$BE$1463,AV$4+1,0),0)</f>
        <v>0</v>
      </c>
      <c r="AW881" s="59">
        <f>IFERROR(VLOOKUP($A881,[2]Mssp!$A$5:$BE$1463,AW$4+1,0),0)</f>
        <v>0</v>
      </c>
      <c r="AX881" s="59">
        <f>IFERROR(VLOOKUP($A881,[2]Mssp!$A$5:$BE$1463,AX$4+1,0),0)</f>
        <v>0</v>
      </c>
      <c r="AY881" s="59" t="str">
        <f>IFERROR(VLOOKUP($A881,[2]Mssp!$A$5:$BE$1463,AY$4+2,0),0)</f>
        <v>540x870</v>
      </c>
      <c r="AZ881" s="59">
        <f>IFERROR(VLOOKUP($A881,[2]Mssp!$A$5:$BE$1463,AZ$4+2,0),0)</f>
        <v>0</v>
      </c>
      <c r="BA881" s="141" t="s">
        <v>2817</v>
      </c>
      <c r="BB881" s="61" t="s">
        <v>1894</v>
      </c>
      <c r="BC881" s="165"/>
      <c r="BD881" s="166"/>
      <c r="BE881" s="167"/>
      <c r="BF881" s="168"/>
      <c r="BG881" s="167"/>
      <c r="BH881" s="168"/>
      <c r="BI881" s="169"/>
      <c r="BJ881" s="168"/>
      <c r="BK881" s="134"/>
      <c r="BL881" s="168"/>
      <c r="BM881" s="167"/>
      <c r="BN881" s="168"/>
      <c r="BO881" s="62"/>
      <c r="BP881" s="168"/>
      <c r="BQ881" s="168"/>
      <c r="BR881" s="168"/>
      <c r="BS881" s="135"/>
      <c r="BT881" s="176"/>
      <c r="BU881" s="167"/>
      <c r="BV881" s="168"/>
      <c r="BW881" s="167"/>
      <c r="BX881" s="168"/>
      <c r="BY881" s="167"/>
      <c r="BZ881" s="176"/>
      <c r="CA881" s="167"/>
      <c r="CB881" s="168"/>
      <c r="CC881" s="167"/>
      <c r="CD881" s="168"/>
      <c r="CE881" s="62"/>
      <c r="CF881" s="62"/>
      <c r="CG881" s="9"/>
      <c r="CH881" s="9"/>
      <c r="CI881" s="9"/>
      <c r="CJ881" s="9"/>
      <c r="CK881" s="9"/>
      <c r="CL881" s="9"/>
      <c r="CM881" s="9"/>
      <c r="CN881" s="9"/>
      <c r="CO881" s="9"/>
      <c r="CP881" s="9"/>
    </row>
    <row r="882" spans="1:94" ht="30" x14ac:dyDescent="0.25">
      <c r="A882" s="127" t="s">
        <v>2818</v>
      </c>
      <c r="B882" s="51" t="s">
        <v>2819</v>
      </c>
      <c r="C882" s="62"/>
      <c r="D882" s="84">
        <v>2</v>
      </c>
      <c r="E882" s="62" t="s">
        <v>131</v>
      </c>
      <c r="F882" s="62">
        <v>2</v>
      </c>
      <c r="G882" s="62"/>
      <c r="H882" s="50">
        <f>VLOOKUP($A882,'[1]ma sp 02'!$A$5:$BD$1101,H$1,0)</f>
        <v>0</v>
      </c>
      <c r="I882" s="50">
        <f>VLOOKUP($A882,'[1]ma sp 02'!$A$5:$BD$1101,I$1,0)</f>
        <v>0</v>
      </c>
      <c r="J882" s="50">
        <f>VLOOKUP($A882,'[1]ma sp 02'!$A$5:$BD$1101,J$1,0)</f>
        <v>0.13900000000000001</v>
      </c>
      <c r="K882" s="50">
        <f>VLOOKUP($A882,'[1]ma sp 02'!$A$5:$BD$1101,K$1,0)</f>
        <v>0</v>
      </c>
      <c r="L882" s="50">
        <f>VLOOKUP($A882,'[1]ma sp 02'!$A$5:$BD$1101,L$1,0)</f>
        <v>0.27800000000000002</v>
      </c>
      <c r="M882" s="50">
        <f>VLOOKUP($A882,'[1]ma sp 02'!$A$5:$BD$1101,M$1,0)</f>
        <v>0.41699999999999998</v>
      </c>
      <c r="N882" s="50">
        <f>VLOOKUP($A882,'[1]ma sp 02'!$A$5:$BD$1101,N$1,0)</f>
        <v>3.8220000000000001</v>
      </c>
      <c r="O882" s="50">
        <f>VLOOKUP($A882,'[1]ma sp 02'!$A$5:$BD$1101,O$1,0)</f>
        <v>0.01</v>
      </c>
      <c r="P882" s="50">
        <f>VLOOKUP($A882,'[1]ma sp 02'!$A$5:$BD$1101,P$1,0)</f>
        <v>0</v>
      </c>
      <c r="Q882" s="50">
        <f>VLOOKUP($A882,'[1]ma sp 02'!$A$5:$BD$1101,Q$1,0)</f>
        <v>0</v>
      </c>
      <c r="R882" s="50">
        <f>VLOOKUP($A882,'[1]ma sp 02'!$A$5:$BD$1101,R$1,0)</f>
        <v>0</v>
      </c>
      <c r="S882" s="50">
        <f>VLOOKUP($A882,'[1]ma sp 02'!$A$5:$BD$1101,S$1,0)</f>
        <v>0</v>
      </c>
      <c r="T882" s="50">
        <f>VLOOKUP($A882,'[1]ma sp 02'!$A$5:$BD$1101,T$1,0)</f>
        <v>0</v>
      </c>
      <c r="U882" s="50">
        <f>VLOOKUP($A882,'[1]ma sp 02'!$A$5:$BD$1101,U$1,0)</f>
        <v>0</v>
      </c>
      <c r="V882" s="50">
        <f>VLOOKUP($A882,'[1]ma sp 02'!$A$5:$BD$1101,V$1,0)</f>
        <v>0</v>
      </c>
      <c r="W882" s="50">
        <f>VLOOKUP($A882,'[1]ma sp 02'!$A$5:$BD$1101,W$1,0)</f>
        <v>0</v>
      </c>
      <c r="X882" s="50"/>
      <c r="Y882" s="62"/>
      <c r="Z882" s="62"/>
      <c r="AA882" s="62"/>
      <c r="AB882" s="62"/>
      <c r="AC882" s="62"/>
      <c r="AD882" s="62"/>
      <c r="AE882" s="62" t="s">
        <v>78</v>
      </c>
      <c r="AF882" s="62" t="s">
        <v>324</v>
      </c>
      <c r="AG882" s="53">
        <f>(0.012*1.4+0.012*1.4+0.075*0.925)*0.62</f>
        <v>6.3844500000000012E-2</v>
      </c>
      <c r="AH882" s="54">
        <f>(2.3/0.75/2)*0.61</f>
        <v>0.93533333333333324</v>
      </c>
      <c r="AI882" s="54">
        <f>(3/0.75/2)*0.61</f>
        <v>1.22</v>
      </c>
      <c r="AJ882" s="9">
        <v>9530</v>
      </c>
      <c r="AK882" s="62">
        <v>9530</v>
      </c>
      <c r="AL882" s="9" t="s">
        <v>2579</v>
      </c>
      <c r="AM882" s="61" t="s">
        <v>1893</v>
      </c>
      <c r="AN882" s="62">
        <v>340</v>
      </c>
      <c r="AO882" s="61" t="s">
        <v>332</v>
      </c>
      <c r="AP882" s="59" t="str">
        <f>IFERROR(VLOOKUP($A882,[2]Mssp!$A$5:$BE$1463,AP$4+1,0),0)</f>
        <v>21030941-1</v>
      </c>
      <c r="AQ882" s="59" t="str">
        <f>IFERROR(VLOOKUP($A882,[2]Mssp!$A$5:$BE$1463,AQ$4+1,0),0)</f>
        <v>1803223-2</v>
      </c>
      <c r="AR882" s="59">
        <f>IFERROR(VLOOKUP($A882,[2]Mssp!$A$5:$BE$1463,AR$4+1,0),0)</f>
        <v>0</v>
      </c>
      <c r="AS882" s="59">
        <f>IFERROR(VLOOKUP($A882,[2]Mssp!$A$5:$BE$1463,AS$4+1,0),0)</f>
        <v>0</v>
      </c>
      <c r="AT882" s="59">
        <f>IFERROR(VLOOKUP($A882,[2]Mssp!$A$5:$BE$1463,AT$4+1,0),0)</f>
        <v>0</v>
      </c>
      <c r="AU882" s="59">
        <f>IFERROR(VLOOKUP($A882,[2]Mssp!$A$5:$BE$1463,AU$4+1,0),0)</f>
        <v>0</v>
      </c>
      <c r="AV882" s="59">
        <f>IFERROR(VLOOKUP($A882,[2]Mssp!$A$5:$BE$1463,AV$4+1,0),0)</f>
        <v>0</v>
      </c>
      <c r="AW882" s="59">
        <f>IFERROR(VLOOKUP($A882,[2]Mssp!$A$5:$BE$1463,AW$4+1,0),0)</f>
        <v>0</v>
      </c>
      <c r="AX882" s="59">
        <f>IFERROR(VLOOKUP($A882,[2]Mssp!$A$5:$BE$1463,AX$4+1,0),0)</f>
        <v>0</v>
      </c>
      <c r="AY882" s="59" t="str">
        <f>IFERROR(VLOOKUP($A882,[2]Mssp!$A$5:$BE$1463,AY$4+2,0),0)</f>
        <v>680x750</v>
      </c>
      <c r="AZ882" s="59">
        <f>IFERROR(VLOOKUP($A882,[2]Mssp!$A$5:$BE$1463,AZ$4+2,0),0)</f>
        <v>0</v>
      </c>
      <c r="BA882" s="141" t="s">
        <v>2820</v>
      </c>
      <c r="BB882" s="61" t="s">
        <v>1894</v>
      </c>
      <c r="BC882" s="165"/>
      <c r="BD882" s="166"/>
      <c r="BE882" s="167"/>
      <c r="BF882" s="168"/>
      <c r="BG882" s="167"/>
      <c r="BH882" s="168"/>
      <c r="BI882" s="169"/>
      <c r="BJ882" s="168"/>
      <c r="BK882" s="134"/>
      <c r="BL882" s="168"/>
      <c r="BM882" s="167"/>
      <c r="BN882" s="168"/>
      <c r="BO882" s="62"/>
      <c r="BP882" s="168"/>
      <c r="BQ882" s="168"/>
      <c r="BR882" s="168"/>
      <c r="BS882" s="135"/>
      <c r="BT882" s="176"/>
      <c r="BU882" s="167"/>
      <c r="BV882" s="168"/>
      <c r="BW882" s="167"/>
      <c r="BX882" s="168"/>
      <c r="BY882" s="167"/>
      <c r="BZ882" s="176"/>
      <c r="CA882" s="167"/>
      <c r="CB882" s="168"/>
      <c r="CC882" s="167"/>
      <c r="CD882" s="168"/>
      <c r="CE882" s="62"/>
      <c r="CF882" s="62"/>
      <c r="CG882" s="9"/>
      <c r="CH882" s="9"/>
      <c r="CI882" s="9"/>
      <c r="CJ882" s="9"/>
      <c r="CK882" s="9"/>
      <c r="CL882" s="9"/>
      <c r="CM882" s="9"/>
      <c r="CN882" s="9"/>
      <c r="CO882" s="9"/>
      <c r="CP882" s="9"/>
    </row>
    <row r="883" spans="1:94" ht="45" x14ac:dyDescent="0.25">
      <c r="A883" s="127" t="s">
        <v>2821</v>
      </c>
      <c r="B883" s="51" t="s">
        <v>2822</v>
      </c>
      <c r="C883" s="62"/>
      <c r="D883" s="84">
        <v>3</v>
      </c>
      <c r="E883" s="62" t="s">
        <v>113</v>
      </c>
      <c r="F883" s="62">
        <v>4</v>
      </c>
      <c r="G883" s="62"/>
      <c r="H883" s="50">
        <f>VLOOKUP($A883,'[1]ma sp 02'!$A$5:$BD$1101,H$1,0)</f>
        <v>0</v>
      </c>
      <c r="I883" s="50">
        <f>VLOOKUP($A883,'[1]ma sp 02'!$A$5:$BD$1101,I$1,0)</f>
        <v>2.7029999999999998</v>
      </c>
      <c r="J883" s="50">
        <f>VLOOKUP($A883,'[1]ma sp 02'!$A$5:$BD$1101,J$1,0)</f>
        <v>0</v>
      </c>
      <c r="K883" s="50">
        <f>VLOOKUP($A883,'[1]ma sp 02'!$A$5:$BD$1101,K$1,0)</f>
        <v>0</v>
      </c>
      <c r="L883" s="50">
        <f>VLOOKUP($A883,'[1]ma sp 02'!$A$5:$BD$1101,L$1,0)</f>
        <v>0</v>
      </c>
      <c r="M883" s="50">
        <f>VLOOKUP($A883,'[1]ma sp 02'!$A$5:$BD$1101,M$1,0)</f>
        <v>0.80500000000000005</v>
      </c>
      <c r="N883" s="50">
        <f>VLOOKUP($A883,'[1]ma sp 02'!$A$5:$BD$1101,N$1,0)</f>
        <v>3.2210000000000001</v>
      </c>
      <c r="O883" s="50">
        <f>VLOOKUP($A883,'[1]ma sp 02'!$A$5:$BD$1101,O$1,0)</f>
        <v>5.8000000000000003E-2</v>
      </c>
      <c r="P883" s="50">
        <f>VLOOKUP($A883,'[1]ma sp 02'!$A$5:$BD$1101,P$1,0)</f>
        <v>5.8000000000000003E-2</v>
      </c>
      <c r="Q883" s="50">
        <f>VLOOKUP($A883,'[1]ma sp 02'!$A$5:$BD$1101,Q$1,0)</f>
        <v>0</v>
      </c>
      <c r="R883" s="50">
        <f>VLOOKUP($A883,'[1]ma sp 02'!$A$5:$BD$1101,R$1,0)</f>
        <v>0</v>
      </c>
      <c r="S883" s="50">
        <f>VLOOKUP($A883,'[1]ma sp 02'!$A$5:$BD$1101,S$1,0)</f>
        <v>0</v>
      </c>
      <c r="T883" s="50">
        <f>VLOOKUP($A883,'[1]ma sp 02'!$A$5:$BD$1101,T$1,0)</f>
        <v>0</v>
      </c>
      <c r="U883" s="50">
        <f>VLOOKUP($A883,'[1]ma sp 02'!$A$5:$BD$1101,U$1,0)</f>
        <v>0</v>
      </c>
      <c r="V883" s="50">
        <f>VLOOKUP($A883,'[1]ma sp 02'!$A$5:$BD$1101,V$1,0)</f>
        <v>0</v>
      </c>
      <c r="W883" s="50">
        <f>VLOOKUP($A883,'[1]ma sp 02'!$A$5:$BD$1101,W$1,0)</f>
        <v>0</v>
      </c>
      <c r="X883" s="50"/>
      <c r="Y883" s="62"/>
      <c r="Z883" s="62"/>
      <c r="AA883" s="62"/>
      <c r="AB883" s="62"/>
      <c r="AC883" s="62"/>
      <c r="AD883" s="62"/>
      <c r="AE883" s="62" t="s">
        <v>115</v>
      </c>
      <c r="AF883" s="62" t="s">
        <v>321</v>
      </c>
      <c r="AG883" s="53">
        <f>(0.03*0.91+0.012*1.4+0.075*0.925)*0.74</f>
        <v>8.3971500000000004E-2</v>
      </c>
      <c r="AH883" s="54">
        <f t="shared" si="38"/>
        <v>1.1193333333333333</v>
      </c>
      <c r="AI883" s="54">
        <f t="shared" si="38"/>
        <v>1.1193333333333333</v>
      </c>
      <c r="AJ883" s="62">
        <v>9530</v>
      </c>
      <c r="AK883" s="62">
        <v>9530</v>
      </c>
      <c r="AL883" s="62" t="s">
        <v>2378</v>
      </c>
      <c r="AM883" s="52" t="s">
        <v>60</v>
      </c>
      <c r="AN883" s="62">
        <v>270</v>
      </c>
      <c r="AO883" s="61" t="s">
        <v>332</v>
      </c>
      <c r="AP883" s="59" t="str">
        <f>IFERROR(VLOOKUP($A883,[2]Mssp!$A$5:$BE$1463,AP$4+1,0),0)</f>
        <v>21030963-1</v>
      </c>
      <c r="AQ883" s="59" t="str">
        <f>IFERROR(VLOOKUP($A883,[2]Mssp!$A$5:$BE$1463,AQ$4+1,0),0)</f>
        <v>21030963-2</v>
      </c>
      <c r="AR883" s="59" t="str">
        <f>IFERROR(VLOOKUP($A883,[2]Mssp!$A$5:$BE$1463,AR$4+1,0),0)</f>
        <v>21030963-3</v>
      </c>
      <c r="AS883" s="59" t="str">
        <f>IFERROR(VLOOKUP($A883,[2]Mssp!$A$5:$BE$1463,AS$4+1,0),0)</f>
        <v>21030963-4</v>
      </c>
      <c r="AT883" s="59">
        <f>IFERROR(VLOOKUP($A883,[2]Mssp!$A$5:$BE$1463,AT$4+1,0),0)</f>
        <v>0</v>
      </c>
      <c r="AU883" s="59">
        <f>IFERROR(VLOOKUP($A883,[2]Mssp!$A$5:$BE$1463,AU$4+1,0),0)</f>
        <v>0</v>
      </c>
      <c r="AV883" s="59">
        <f>IFERROR(VLOOKUP($A883,[2]Mssp!$A$5:$BE$1463,AV$4+1,0),0)</f>
        <v>0</v>
      </c>
      <c r="AW883" s="59">
        <f>IFERROR(VLOOKUP($A883,[2]Mssp!$A$5:$BE$1463,AW$4+1,0),0)</f>
        <v>0</v>
      </c>
      <c r="AX883" s="59">
        <f>IFERROR(VLOOKUP($A883,[2]Mssp!$A$5:$BE$1463,AX$4+1,0),0)</f>
        <v>0</v>
      </c>
      <c r="AY883" s="59" t="str">
        <f>IFERROR(VLOOKUP($A883,[2]Mssp!$A$5:$BE$1463,AY$4+2,0),0)</f>
        <v>540x780</v>
      </c>
      <c r="AZ883" s="59">
        <f>IFERROR(VLOOKUP($A883,[2]Mssp!$A$5:$BE$1463,AZ$4+2,0),0)</f>
        <v>0</v>
      </c>
      <c r="BA883" s="141" t="s">
        <v>2817</v>
      </c>
      <c r="BB883" s="61" t="s">
        <v>1894</v>
      </c>
      <c r="BC883" s="165"/>
      <c r="BD883" s="166"/>
      <c r="BE883" s="167"/>
      <c r="BF883" s="168"/>
      <c r="BG883" s="167"/>
      <c r="BH883" s="168"/>
      <c r="BI883" s="169"/>
      <c r="BJ883" s="168"/>
      <c r="BK883" s="134"/>
      <c r="BL883" s="168"/>
      <c r="BM883" s="167"/>
      <c r="BN883" s="168"/>
      <c r="BO883" s="62"/>
      <c r="BP883" s="168"/>
      <c r="BQ883" s="168"/>
      <c r="BR883" s="168"/>
      <c r="BS883" s="135"/>
      <c r="BT883" s="176"/>
      <c r="BU883" s="167"/>
      <c r="BV883" s="168"/>
      <c r="BW883" s="167"/>
      <c r="BX883" s="168"/>
      <c r="BY883" s="167"/>
      <c r="BZ883" s="176"/>
      <c r="CA883" s="167"/>
      <c r="CB883" s="168"/>
      <c r="CC883" s="167"/>
      <c r="CD883" s="168"/>
      <c r="CE883" s="62"/>
      <c r="CF883" s="62"/>
      <c r="CG883" s="9"/>
      <c r="CH883" s="9"/>
      <c r="CI883" s="9"/>
      <c r="CJ883" s="9"/>
      <c r="CK883" s="9"/>
      <c r="CL883" s="9"/>
      <c r="CM883" s="9"/>
      <c r="CN883" s="9"/>
      <c r="CO883" s="9"/>
      <c r="CP883" s="9"/>
    </row>
    <row r="884" spans="1:94" ht="30" x14ac:dyDescent="0.25">
      <c r="A884" s="127" t="s">
        <v>2823</v>
      </c>
      <c r="B884" s="51" t="s">
        <v>2824</v>
      </c>
      <c r="C884" s="62"/>
      <c r="D884" s="84">
        <v>2</v>
      </c>
      <c r="E884" s="62" t="s">
        <v>2825</v>
      </c>
      <c r="F884" s="62">
        <v>5</v>
      </c>
      <c r="G884" s="62"/>
      <c r="H884" s="50">
        <f>VLOOKUP($A884,'[1]ma sp 02'!$A$5:$BD$1101,H$1,0)</f>
        <v>0.01</v>
      </c>
      <c r="I884" s="50">
        <f>VLOOKUP($A884,'[1]ma sp 02'!$A$5:$BD$1101,I$1,0)</f>
        <v>3.7989999999999999</v>
      </c>
      <c r="J884" s="50">
        <f>VLOOKUP($A884,'[1]ma sp 02'!$A$5:$BD$1101,J$1,0)</f>
        <v>0</v>
      </c>
      <c r="K884" s="50">
        <f>VLOOKUP($A884,'[1]ma sp 02'!$A$5:$BD$1101,K$1,0)</f>
        <v>0.01</v>
      </c>
      <c r="L884" s="50">
        <f>VLOOKUP($A884,'[1]ma sp 02'!$A$5:$BD$1101,L$1,0)</f>
        <v>0.55600000000000005</v>
      </c>
      <c r="M884" s="50">
        <f>VLOOKUP($A884,'[1]ma sp 02'!$A$5:$BD$1101,M$1,0)</f>
        <v>1.6679999999999999</v>
      </c>
      <c r="N884" s="50">
        <f>VLOOKUP($A884,'[1]ma sp 02'!$A$5:$BD$1101,N$1,0)</f>
        <v>0</v>
      </c>
      <c r="O884" s="50">
        <f>VLOOKUP($A884,'[1]ma sp 02'!$A$5:$BD$1101,O$1,0)</f>
        <v>0.01</v>
      </c>
      <c r="P884" s="50">
        <f>VLOOKUP($A884,'[1]ma sp 02'!$A$5:$BD$1101,P$1,0)</f>
        <v>0</v>
      </c>
      <c r="Q884" s="50">
        <f>VLOOKUP($A884,'[1]ma sp 02'!$A$5:$BD$1101,Q$1,0)</f>
        <v>0</v>
      </c>
      <c r="R884" s="50">
        <f>VLOOKUP($A884,'[1]ma sp 02'!$A$5:$BD$1101,R$1,0)</f>
        <v>0</v>
      </c>
      <c r="S884" s="50">
        <f>VLOOKUP($A884,'[1]ma sp 02'!$A$5:$BD$1101,S$1,0)</f>
        <v>0</v>
      </c>
      <c r="T884" s="50">
        <f>VLOOKUP($A884,'[1]ma sp 02'!$A$5:$BD$1101,T$1,0)</f>
        <v>0</v>
      </c>
      <c r="U884" s="50">
        <f>VLOOKUP($A884,'[1]ma sp 02'!$A$5:$BD$1101,U$1,0)</f>
        <v>0</v>
      </c>
      <c r="V884" s="50">
        <f>VLOOKUP($A884,'[1]ma sp 02'!$A$5:$BD$1101,V$1,0)</f>
        <v>0</v>
      </c>
      <c r="W884" s="50">
        <f>VLOOKUP($A884,'[1]ma sp 02'!$A$5:$BD$1101,W$1,0)</f>
        <v>0</v>
      </c>
      <c r="X884" s="50"/>
      <c r="Y884" s="62"/>
      <c r="Z884" s="62"/>
      <c r="AA884" s="62"/>
      <c r="AB884" s="62"/>
      <c r="AC884" s="62"/>
      <c r="AD884" s="62"/>
      <c r="AE884" s="62" t="s">
        <v>2826</v>
      </c>
      <c r="AF884" s="62" t="s">
        <v>2827</v>
      </c>
      <c r="AG884" s="53">
        <f>(0.012*1.4+0.012*1.4+0.14*0.925)*0.94</f>
        <v>0.15331400000000001</v>
      </c>
      <c r="AH884" s="54">
        <f>(2.5/0.75/2)*0.93</f>
        <v>1.55</v>
      </c>
      <c r="AI884" s="54">
        <f>(3/0.75/2)*0.93</f>
        <v>1.86</v>
      </c>
      <c r="AJ884" s="62">
        <v>9530</v>
      </c>
      <c r="AK884" s="62">
        <v>9530</v>
      </c>
      <c r="AL884" s="62" t="s">
        <v>2268</v>
      </c>
      <c r="AM884" s="61" t="s">
        <v>74</v>
      </c>
      <c r="AN884" s="62">
        <v>330</v>
      </c>
      <c r="AO884" s="61" t="s">
        <v>2066</v>
      </c>
      <c r="AP884" s="59" t="str">
        <f>IFERROR(VLOOKUP($A884,[2]Mssp!$A$5:$BE$1463,AP$4+1,0),0)</f>
        <v>F128094G1-1</v>
      </c>
      <c r="AQ884" s="59" t="str">
        <f>IFERROR(VLOOKUP($A884,[2]Mssp!$A$5:$BE$1463,AQ$4+1,0),0)</f>
        <v>F128094-2</v>
      </c>
      <c r="AR884" s="59" t="str">
        <f>IFERROR(VLOOKUP($A884,[2]Mssp!$A$5:$BE$1463,AR$4+1,0),0)</f>
        <v>F128094-3</v>
      </c>
      <c r="AS884" s="59" t="str">
        <f>IFERROR(VLOOKUP($A884,[2]Mssp!$A$5:$BE$1463,AS$4+1,0),0)</f>
        <v>F128094-4</v>
      </c>
      <c r="AT884" s="59" t="str">
        <f>IFERROR(VLOOKUP($A884,[2]Mssp!$A$5:$BE$1463,AT$4+1,0),0)</f>
        <v>F128094-5</v>
      </c>
      <c r="AU884" s="59">
        <f>IFERROR(VLOOKUP($A884,[2]Mssp!$A$5:$BE$1463,AU$4+1,0),0)</f>
        <v>0</v>
      </c>
      <c r="AV884" s="59">
        <f>IFERROR(VLOOKUP($A884,[2]Mssp!$A$5:$BE$1463,AV$4+1,0),0)</f>
        <v>0</v>
      </c>
      <c r="AW884" s="59">
        <f>IFERROR(VLOOKUP($A884,[2]Mssp!$A$5:$BE$1463,AW$4+1,0),0)</f>
        <v>0</v>
      </c>
      <c r="AX884" s="59">
        <f>IFERROR(VLOOKUP($A884,[2]Mssp!$A$5:$BE$1463,AX$4+1,0),0)</f>
        <v>0</v>
      </c>
      <c r="AY884" s="59" t="str">
        <f>IFERROR(VLOOKUP($A884,[2]Mssp!$A$5:$BE$1463,AY$4+2,0),0)</f>
        <v>660x1100</v>
      </c>
      <c r="AZ884" s="59">
        <f>IFERROR(VLOOKUP($A884,[2]Mssp!$A$5:$BE$1463,AZ$4+2,0),0)</f>
        <v>0</v>
      </c>
      <c r="BA884" s="141"/>
      <c r="BB884" s="61" t="s">
        <v>1894</v>
      </c>
      <c r="BC884" s="165"/>
      <c r="BD884" s="166"/>
      <c r="BE884" s="167"/>
      <c r="BF884" s="168"/>
      <c r="BG884" s="167"/>
      <c r="BH884" s="168"/>
      <c r="BI884" s="169"/>
      <c r="BJ884" s="168"/>
      <c r="BK884" s="134"/>
      <c r="BL884" s="168"/>
      <c r="BM884" s="167"/>
      <c r="BN884" s="168"/>
      <c r="BO884" s="62"/>
      <c r="BP884" s="168"/>
      <c r="BQ884" s="168"/>
      <c r="BR884" s="168"/>
      <c r="BS884" s="135"/>
      <c r="BT884" s="176"/>
      <c r="BU884" s="167"/>
      <c r="BV884" s="168"/>
      <c r="BW884" s="167"/>
      <c r="BX884" s="168"/>
      <c r="BY884" s="167"/>
      <c r="BZ884" s="176"/>
      <c r="CA884" s="167"/>
      <c r="CB884" s="168"/>
      <c r="CC884" s="167"/>
      <c r="CD884" s="168"/>
      <c r="CE884" s="62"/>
      <c r="CF884" s="62"/>
      <c r="CG884" s="9"/>
      <c r="CH884" s="9"/>
      <c r="CI884" s="9"/>
      <c r="CJ884" s="9"/>
      <c r="CK884" s="9"/>
      <c r="CL884" s="9"/>
      <c r="CM884" s="9"/>
      <c r="CN884" s="9"/>
      <c r="CO884" s="9"/>
      <c r="CP884" s="9"/>
    </row>
    <row r="885" spans="1:94" ht="30" x14ac:dyDescent="0.25">
      <c r="A885" s="127" t="s">
        <v>2828</v>
      </c>
      <c r="B885" s="51" t="s">
        <v>2829</v>
      </c>
      <c r="C885" s="62"/>
      <c r="D885" s="84">
        <v>3</v>
      </c>
      <c r="E885" s="62" t="s">
        <v>2830</v>
      </c>
      <c r="F885" s="62">
        <v>2</v>
      </c>
      <c r="G885" s="62"/>
      <c r="H885" s="50">
        <f>VLOOKUP($A885,'[1]ma sp 02'!$A$5:$BD$1101,H$1,0)</f>
        <v>0</v>
      </c>
      <c r="I885" s="50">
        <f>VLOOKUP($A885,'[1]ma sp 02'!$A$5:$BD$1101,I$1,0)</f>
        <v>0</v>
      </c>
      <c r="J885" s="50">
        <f>VLOOKUP($A885,'[1]ma sp 02'!$A$5:$BD$1101,J$1,0)</f>
        <v>0.95299999999999996</v>
      </c>
      <c r="K885" s="50">
        <f>VLOOKUP($A885,'[1]ma sp 02'!$A$5:$BD$1101,K$1,0)</f>
        <v>0</v>
      </c>
      <c r="L885" s="50">
        <f>VLOOKUP($A885,'[1]ma sp 02'!$A$5:$BD$1101,L$1,0)</f>
        <v>0.47599999999999998</v>
      </c>
      <c r="M885" s="50">
        <f>VLOOKUP($A885,'[1]ma sp 02'!$A$5:$BD$1101,M$1,0)</f>
        <v>3.335</v>
      </c>
      <c r="N885" s="50">
        <f>VLOOKUP($A885,'[1]ma sp 02'!$A$5:$BD$1101,N$1,0)</f>
        <v>0</v>
      </c>
      <c r="O885" s="50">
        <f>VLOOKUP($A885,'[1]ma sp 02'!$A$5:$BD$1101,O$1,0)</f>
        <v>0.01</v>
      </c>
      <c r="P885" s="50">
        <f>VLOOKUP($A885,'[1]ma sp 02'!$A$5:$BD$1101,P$1,0)</f>
        <v>0</v>
      </c>
      <c r="Q885" s="50">
        <f>VLOOKUP($A885,'[1]ma sp 02'!$A$5:$BD$1101,Q$1,0)</f>
        <v>0</v>
      </c>
      <c r="R885" s="50">
        <f>VLOOKUP($A885,'[1]ma sp 02'!$A$5:$BD$1101,R$1,0)</f>
        <v>0</v>
      </c>
      <c r="S885" s="50">
        <f>VLOOKUP($A885,'[1]ma sp 02'!$A$5:$BD$1101,S$1,0)</f>
        <v>0</v>
      </c>
      <c r="T885" s="50">
        <f>VLOOKUP($A885,'[1]ma sp 02'!$A$5:$BD$1101,T$1,0)</f>
        <v>0.01</v>
      </c>
      <c r="U885" s="50">
        <f>VLOOKUP($A885,'[1]ma sp 02'!$A$5:$BD$1101,U$1,0)</f>
        <v>0</v>
      </c>
      <c r="V885" s="50">
        <f>VLOOKUP($A885,'[1]ma sp 02'!$A$5:$BD$1101,V$1,0)</f>
        <v>0</v>
      </c>
      <c r="W885" s="50">
        <f>VLOOKUP($A885,'[1]ma sp 02'!$A$5:$BD$1101,W$1,0)</f>
        <v>0</v>
      </c>
      <c r="X885" s="50"/>
      <c r="Y885" s="62"/>
      <c r="Z885" s="62"/>
      <c r="AA885" s="62"/>
      <c r="AB885" s="62"/>
      <c r="AC885" s="62"/>
      <c r="AD885" s="62"/>
      <c r="AE885" s="62" t="s">
        <v>2831</v>
      </c>
      <c r="AF885" s="62" t="s">
        <v>2832</v>
      </c>
      <c r="AG885" s="53">
        <f>(0.012*1.4+0.006*2.71+0.065*0.925)*0.794</f>
        <v>7.3988890000000002E-2</v>
      </c>
      <c r="AH885" s="54">
        <f>(2.5/0.75/2)*0.784</f>
        <v>1.3066666666666669</v>
      </c>
      <c r="AI885" s="54">
        <f>(2.5/0.75/2)*0.784</f>
        <v>1.3066666666666669</v>
      </c>
      <c r="AJ885" s="62">
        <v>9530</v>
      </c>
      <c r="AK885" s="62">
        <v>9530</v>
      </c>
      <c r="AL885" s="62" t="s">
        <v>1901</v>
      </c>
      <c r="AM885" s="61" t="s">
        <v>1489</v>
      </c>
      <c r="AN885" s="62">
        <v>185</v>
      </c>
      <c r="AO885" s="61" t="s">
        <v>1959</v>
      </c>
      <c r="AP885" s="59" t="str">
        <f>IFERROR(VLOOKUP($A885,[2]Mssp!$A$5:$BE$1463,AP$4+1,0),0)</f>
        <v>21040128-1</v>
      </c>
      <c r="AQ885" s="59" t="str">
        <f>IFERROR(VLOOKUP($A885,[2]Mssp!$A$5:$BE$1463,AQ$4+1,0),0)</f>
        <v>21040128-2</v>
      </c>
      <c r="AR885" s="59">
        <f>IFERROR(VLOOKUP($A885,[2]Mssp!$A$5:$BE$1463,AR$4+1,0),0)</f>
        <v>0</v>
      </c>
      <c r="AS885" s="59">
        <f>IFERROR(VLOOKUP($A885,[2]Mssp!$A$5:$BE$1463,AS$4+1,0),0)</f>
        <v>0</v>
      </c>
      <c r="AT885" s="59">
        <f>IFERROR(VLOOKUP($A885,[2]Mssp!$A$5:$BE$1463,AT$4+1,0),0)</f>
        <v>0</v>
      </c>
      <c r="AU885" s="59">
        <f>IFERROR(VLOOKUP($A885,[2]Mssp!$A$5:$BE$1463,AU$4+1,0),0)</f>
        <v>0</v>
      </c>
      <c r="AV885" s="59">
        <f>IFERROR(VLOOKUP($A885,[2]Mssp!$A$5:$BE$1463,AV$4+1,0),0)</f>
        <v>0</v>
      </c>
      <c r="AW885" s="59">
        <f>IFERROR(VLOOKUP($A885,[2]Mssp!$A$5:$BE$1463,AW$4+1,0),0)</f>
        <v>0</v>
      </c>
      <c r="AX885" s="59">
        <f>IFERROR(VLOOKUP($A885,[2]Mssp!$A$5:$BE$1463,AX$4+1,0),0)</f>
        <v>0</v>
      </c>
      <c r="AY885" s="59" t="str">
        <f>IFERROR(VLOOKUP($A885,[2]Mssp!$A$5:$BE$1463,AY$4+2,0),0)</f>
        <v>555x870</v>
      </c>
      <c r="AZ885" s="59">
        <f>IFERROR(VLOOKUP($A885,[2]Mssp!$A$5:$BE$1463,AZ$4+2,0),0)</f>
        <v>0</v>
      </c>
      <c r="BA885" s="141" t="s">
        <v>1936</v>
      </c>
      <c r="BB885" s="61" t="s">
        <v>952</v>
      </c>
      <c r="BC885" s="165"/>
      <c r="BD885" s="166"/>
      <c r="BE885" s="167"/>
      <c r="BF885" s="168"/>
      <c r="BG885" s="167"/>
      <c r="BH885" s="168"/>
      <c r="BI885" s="169"/>
      <c r="BJ885" s="168"/>
      <c r="BK885" s="134"/>
      <c r="BL885" s="168"/>
      <c r="BM885" s="167"/>
      <c r="BN885" s="168"/>
      <c r="BO885" s="62"/>
      <c r="BP885" s="168"/>
      <c r="BQ885" s="168"/>
      <c r="BR885" s="168"/>
      <c r="BS885" s="135"/>
      <c r="BT885" s="176"/>
      <c r="BU885" s="167"/>
      <c r="BV885" s="168"/>
      <c r="BW885" s="167"/>
      <c r="BX885" s="168"/>
      <c r="BY885" s="167"/>
      <c r="BZ885" s="176"/>
      <c r="CA885" s="167"/>
      <c r="CB885" s="168"/>
      <c r="CC885" s="167"/>
      <c r="CD885" s="168"/>
      <c r="CE885" s="62"/>
      <c r="CF885" s="62"/>
      <c r="CG885" s="9"/>
      <c r="CH885" s="9"/>
      <c r="CI885" s="9"/>
      <c r="CJ885" s="9"/>
      <c r="CK885" s="9"/>
      <c r="CL885" s="9"/>
      <c r="CM885" s="9"/>
      <c r="CN885" s="9"/>
      <c r="CO885" s="9"/>
      <c r="CP885" s="9"/>
    </row>
    <row r="886" spans="1:94" ht="30" x14ac:dyDescent="0.25">
      <c r="A886" s="127" t="s">
        <v>2833</v>
      </c>
      <c r="B886" s="51" t="s">
        <v>2834</v>
      </c>
      <c r="C886" s="62"/>
      <c r="D886" s="84">
        <v>3</v>
      </c>
      <c r="E886" s="62" t="s">
        <v>623</v>
      </c>
      <c r="F886" s="62">
        <v>2</v>
      </c>
      <c r="G886" s="62" t="s">
        <v>530</v>
      </c>
      <c r="H886" s="50">
        <f>VLOOKUP($A886,'[1]ma sp 02'!$A$5:$BD$1101,H$1,0)</f>
        <v>0</v>
      </c>
      <c r="I886" s="50">
        <f>VLOOKUP($A886,'[1]ma sp 02'!$A$5:$BD$1101,I$1,0)</f>
        <v>0</v>
      </c>
      <c r="J886" s="50">
        <f>VLOOKUP($A886,'[1]ma sp 02'!$A$5:$BD$1101,J$1,0)</f>
        <v>0.114</v>
      </c>
      <c r="K886" s="50">
        <f>VLOOKUP($A886,'[1]ma sp 02'!$A$5:$BD$1101,K$1,0)</f>
        <v>0</v>
      </c>
      <c r="L886" s="50">
        <f>VLOOKUP($A886,'[1]ma sp 02'!$A$5:$BD$1101,L$1,0)</f>
        <v>7.0999999999999994E-2</v>
      </c>
      <c r="M886" s="50">
        <f>VLOOKUP($A886,'[1]ma sp 02'!$A$5:$BD$1101,M$1,0)</f>
        <v>0.28499999999999998</v>
      </c>
      <c r="N886" s="50">
        <f>VLOOKUP($A886,'[1]ma sp 02'!$A$5:$BD$1101,N$1,0)</f>
        <v>0</v>
      </c>
      <c r="O886" s="50">
        <f>VLOOKUP($A886,'[1]ma sp 02'!$A$5:$BD$1101,O$1,0)</f>
        <v>1.4E-2</v>
      </c>
      <c r="P886" s="50">
        <f>VLOOKUP($A886,'[1]ma sp 02'!$A$5:$BD$1101,P$1,0)</f>
        <v>8.5000000000000006E-2</v>
      </c>
      <c r="Q886" s="50">
        <f>VLOOKUP($A886,'[1]ma sp 02'!$A$5:$BD$1101,Q$1,0)</f>
        <v>0</v>
      </c>
      <c r="R886" s="50">
        <f>VLOOKUP($A886,'[1]ma sp 02'!$A$5:$BD$1101,R$1,0)</f>
        <v>0</v>
      </c>
      <c r="S886" s="50">
        <f>VLOOKUP($A886,'[1]ma sp 02'!$A$5:$BD$1101,S$1,0)</f>
        <v>0</v>
      </c>
      <c r="T886" s="50">
        <f>VLOOKUP($A886,'[1]ma sp 02'!$A$5:$BD$1101,T$1,0)</f>
        <v>0</v>
      </c>
      <c r="U886" s="50">
        <f>VLOOKUP($A886,'[1]ma sp 02'!$A$5:$BD$1101,U$1,0)</f>
        <v>0</v>
      </c>
      <c r="V886" s="50">
        <f>VLOOKUP($A886,'[1]ma sp 02'!$A$5:$BD$1101,V$1,0)</f>
        <v>0</v>
      </c>
      <c r="W886" s="50">
        <f>VLOOKUP($A886,'[1]ma sp 02'!$A$5:$BD$1101,W$1,0)</f>
        <v>0</v>
      </c>
      <c r="X886" s="50"/>
      <c r="Y886" s="62"/>
      <c r="Z886" s="62"/>
      <c r="AA886" s="62"/>
      <c r="AB886" s="62"/>
      <c r="AC886" s="62"/>
      <c r="AD886" s="62"/>
      <c r="AE886" s="62" t="s">
        <v>2811</v>
      </c>
      <c r="AF886" s="62" t="s">
        <v>408</v>
      </c>
      <c r="AG886" s="53">
        <f>(0.012*1.4+0.006*2.71+0.065*0.925)*0.69</f>
        <v>6.4297649999999998E-2</v>
      </c>
      <c r="AH886" s="54">
        <f>(2.5/0.75/2)*0.68</f>
        <v>1.1333333333333335</v>
      </c>
      <c r="AI886" s="54">
        <f>(2.5/0.75/2)*0.68</f>
        <v>1.1333333333333335</v>
      </c>
      <c r="AJ886" s="62">
        <v>9530</v>
      </c>
      <c r="AK886" s="62">
        <v>9530</v>
      </c>
      <c r="AL886" s="62" t="s">
        <v>1901</v>
      </c>
      <c r="AM886" s="61" t="s">
        <v>1489</v>
      </c>
      <c r="AN886" s="62">
        <v>170</v>
      </c>
      <c r="AO886" s="61" t="s">
        <v>1959</v>
      </c>
      <c r="AP886" s="59" t="str">
        <f>IFERROR(VLOOKUP($A886,[2]Mssp!$A$5:$BE$1463,AP$4+1,0),0)</f>
        <v>21040127-1</v>
      </c>
      <c r="AQ886" s="59" t="str">
        <f>IFERROR(VLOOKUP($A886,[2]Mssp!$A$5:$BE$1463,AQ$4+1,0),0)</f>
        <v>21040127-2</v>
      </c>
      <c r="AR886" s="59">
        <f>IFERROR(VLOOKUP($A886,[2]Mssp!$A$5:$BE$1463,AR$4+1,0),0)</f>
        <v>0</v>
      </c>
      <c r="AS886" s="59">
        <f>IFERROR(VLOOKUP($A886,[2]Mssp!$A$5:$BE$1463,AS$4+1,0),0)</f>
        <v>0</v>
      </c>
      <c r="AT886" s="59">
        <f>IFERROR(VLOOKUP($A886,[2]Mssp!$A$5:$BE$1463,AT$4+1,0),0)</f>
        <v>0</v>
      </c>
      <c r="AU886" s="59">
        <f>IFERROR(VLOOKUP($A886,[2]Mssp!$A$5:$BE$1463,AU$4+1,0),0)</f>
        <v>0</v>
      </c>
      <c r="AV886" s="59">
        <f>IFERROR(VLOOKUP($A886,[2]Mssp!$A$5:$BE$1463,AV$4+1,0),0)</f>
        <v>0</v>
      </c>
      <c r="AW886" s="59">
        <f>IFERROR(VLOOKUP($A886,[2]Mssp!$A$5:$BE$1463,AW$4+1,0),0)</f>
        <v>0</v>
      </c>
      <c r="AX886" s="59">
        <f>IFERROR(VLOOKUP($A886,[2]Mssp!$A$5:$BE$1463,AX$4+1,0),0)</f>
        <v>0</v>
      </c>
      <c r="AY886" s="59" t="str">
        <f>IFERROR(VLOOKUP($A886,[2]Mssp!$A$5:$BE$1463,AY$4+2,0),0)</f>
        <v>510x870</v>
      </c>
      <c r="AZ886" s="59">
        <f>IFERROR(VLOOKUP($A886,[2]Mssp!$A$5:$BE$1463,AZ$4+2,0),0)</f>
        <v>0</v>
      </c>
      <c r="BA886" s="141" t="s">
        <v>1936</v>
      </c>
      <c r="BB886" s="61" t="s">
        <v>952</v>
      </c>
      <c r="BC886" s="165"/>
      <c r="BD886" s="166"/>
      <c r="BE886" s="167"/>
      <c r="BF886" s="168"/>
      <c r="BG886" s="167"/>
      <c r="BH886" s="168"/>
      <c r="BI886" s="169"/>
      <c r="BJ886" s="168"/>
      <c r="BK886" s="134"/>
      <c r="BL886" s="168"/>
      <c r="BM886" s="167"/>
      <c r="BN886" s="168"/>
      <c r="BO886" s="62"/>
      <c r="BP886" s="168"/>
      <c r="BQ886" s="168"/>
      <c r="BR886" s="168"/>
      <c r="BS886" s="135"/>
      <c r="BT886" s="176"/>
      <c r="BU886" s="167"/>
      <c r="BV886" s="168"/>
      <c r="BW886" s="167"/>
      <c r="BX886" s="168"/>
      <c r="BY886" s="167"/>
      <c r="BZ886" s="176"/>
      <c r="CA886" s="167"/>
      <c r="CB886" s="168"/>
      <c r="CC886" s="167"/>
      <c r="CD886" s="168"/>
      <c r="CE886" s="62"/>
      <c r="CF886" s="62"/>
      <c r="CG886" s="9"/>
      <c r="CH886" s="9"/>
      <c r="CI886" s="9"/>
      <c r="CJ886" s="9"/>
      <c r="CK886" s="9"/>
      <c r="CL886" s="9"/>
      <c r="CM886" s="9"/>
      <c r="CN886" s="9"/>
      <c r="CO886" s="9"/>
      <c r="CP886" s="9"/>
    </row>
    <row r="887" spans="1:94" ht="45" x14ac:dyDescent="0.25">
      <c r="A887" s="127" t="s">
        <v>2835</v>
      </c>
      <c r="B887" s="51" t="s">
        <v>2836</v>
      </c>
      <c r="C887" s="62"/>
      <c r="D887" s="84">
        <v>3</v>
      </c>
      <c r="E887" s="62" t="s">
        <v>2837</v>
      </c>
      <c r="F887" s="62">
        <v>2</v>
      </c>
      <c r="G887" s="62"/>
      <c r="H887" s="50">
        <f>VLOOKUP($A887,'[1]ma sp 02'!$A$5:$BD$1101,H$1,0)</f>
        <v>0</v>
      </c>
      <c r="I887" s="50">
        <f>VLOOKUP($A887,'[1]ma sp 02'!$A$5:$BD$1101,I$1,0)</f>
        <v>0</v>
      </c>
      <c r="J887" s="50">
        <f>VLOOKUP($A887,'[1]ma sp 02'!$A$5:$BD$1101,J$1,0)</f>
        <v>1.7350000000000001</v>
      </c>
      <c r="K887" s="50">
        <f>VLOOKUP($A887,'[1]ma sp 02'!$A$5:$BD$1101,K$1,0)</f>
        <v>0</v>
      </c>
      <c r="L887" s="50">
        <f>VLOOKUP($A887,'[1]ma sp 02'!$A$5:$BD$1101,L$1,0)</f>
        <v>3.4689999999999999</v>
      </c>
      <c r="M887" s="50">
        <f>VLOOKUP($A887,'[1]ma sp 02'!$A$5:$BD$1101,M$1,0)</f>
        <v>0.248</v>
      </c>
      <c r="N887" s="50">
        <f>VLOOKUP($A887,'[1]ma sp 02'!$A$5:$BD$1101,N$1,0)</f>
        <v>0</v>
      </c>
      <c r="O887" s="50">
        <f>VLOOKUP($A887,'[1]ma sp 02'!$A$5:$BD$1101,O$1,0)</f>
        <v>0.01</v>
      </c>
      <c r="P887" s="50">
        <f>VLOOKUP($A887,'[1]ma sp 02'!$A$5:$BD$1101,P$1,0)</f>
        <v>0.496</v>
      </c>
      <c r="Q887" s="50">
        <f>VLOOKUP($A887,'[1]ma sp 02'!$A$5:$BD$1101,Q$1,0)</f>
        <v>1.363</v>
      </c>
      <c r="R887" s="50">
        <f>VLOOKUP($A887,'[1]ma sp 02'!$A$5:$BD$1101,R$1,0)</f>
        <v>0.496</v>
      </c>
      <c r="S887" s="50">
        <f>VLOOKUP($A887,'[1]ma sp 02'!$A$5:$BD$1101,S$1,0)</f>
        <v>0</v>
      </c>
      <c r="T887" s="50">
        <f>VLOOKUP($A887,'[1]ma sp 02'!$A$5:$BD$1101,T$1,0)</f>
        <v>0</v>
      </c>
      <c r="U887" s="50">
        <f>VLOOKUP($A887,'[1]ma sp 02'!$A$5:$BD$1101,U$1,0)</f>
        <v>0</v>
      </c>
      <c r="V887" s="50">
        <f>VLOOKUP($A887,'[1]ma sp 02'!$A$5:$BD$1101,V$1,0)</f>
        <v>0</v>
      </c>
      <c r="W887" s="50">
        <f>VLOOKUP($A887,'[1]ma sp 02'!$A$5:$BD$1101,W$1,0)</f>
        <v>0</v>
      </c>
      <c r="X887" s="50"/>
      <c r="Y887" s="62"/>
      <c r="Z887" s="62"/>
      <c r="AA887" s="62"/>
      <c r="AB887" s="62"/>
      <c r="AC887" s="62"/>
      <c r="AD887" s="62"/>
      <c r="AE887" s="62" t="s">
        <v>2838</v>
      </c>
      <c r="AF887" s="62" t="s">
        <v>2839</v>
      </c>
      <c r="AG887" s="53">
        <f>(0.02*0.91+0.006*2.71+0.055*0.925)*0.728</f>
        <v>6.2123880000000006E-2</v>
      </c>
      <c r="AH887" s="54">
        <f>(2.5/0.75/2)*0.718</f>
        <v>1.1966666666666668</v>
      </c>
      <c r="AI887" s="54">
        <f>(2.5/0.75/2)*0.718</f>
        <v>1.1966666666666668</v>
      </c>
      <c r="AJ887" s="62">
        <v>9530</v>
      </c>
      <c r="AK887" s="62">
        <v>9530</v>
      </c>
      <c r="AL887" s="62" t="s">
        <v>1901</v>
      </c>
      <c r="AM887" s="61" t="s">
        <v>60</v>
      </c>
      <c r="AN887" s="62">
        <v>180</v>
      </c>
      <c r="AO887" s="61" t="s">
        <v>1959</v>
      </c>
      <c r="AP887" s="59" t="str">
        <f>IFERROR(VLOOKUP($A887,[2]Mssp!$A$5:$BE$1463,AP$4+1,0),0)</f>
        <v>21040262-1</v>
      </c>
      <c r="AQ887" s="59" t="str">
        <f>IFERROR(VLOOKUP($A887,[2]Mssp!$A$5:$BE$1463,AQ$4+1,0),0)</f>
        <v>21040262-2</v>
      </c>
      <c r="AR887" s="59" t="str">
        <f>IFERROR(VLOOKUP($A887,[2]Mssp!$A$5:$BE$1463,AR$4+1,0),0)</f>
        <v>21040262-3</v>
      </c>
      <c r="AS887" s="59">
        <f>IFERROR(VLOOKUP($A887,[2]Mssp!$A$5:$BE$1463,AS$4+1,0),0)</f>
        <v>0</v>
      </c>
      <c r="AT887" s="59">
        <f>IFERROR(VLOOKUP($A887,[2]Mssp!$A$5:$BE$1463,AT$4+1,0),0)</f>
        <v>0</v>
      </c>
      <c r="AU887" s="59">
        <f>IFERROR(VLOOKUP($A887,[2]Mssp!$A$5:$BE$1463,AU$4+1,0),0)</f>
        <v>0</v>
      </c>
      <c r="AV887" s="59">
        <f>IFERROR(VLOOKUP($A887,[2]Mssp!$A$5:$BE$1463,AV$4+1,0),0)</f>
        <v>0</v>
      </c>
      <c r="AW887" s="59">
        <f>IFERROR(VLOOKUP($A887,[2]Mssp!$A$5:$BE$1463,AW$4+1,0),0)</f>
        <v>0</v>
      </c>
      <c r="AX887" s="59">
        <f>IFERROR(VLOOKUP($A887,[2]Mssp!$A$5:$BE$1463,AX$4+1,0),0)</f>
        <v>0</v>
      </c>
      <c r="AY887" s="59" t="str">
        <f>IFERROR(VLOOKUP($A887,[2]Mssp!$A$5:$BE$1463,AY$4+2,0),0)</f>
        <v>540x870</v>
      </c>
      <c r="AZ887" s="59">
        <f>IFERROR(VLOOKUP($A887,[2]Mssp!$A$5:$BE$1463,AZ$4+2,0),0)</f>
        <v>0</v>
      </c>
      <c r="BA887" s="141"/>
      <c r="BB887" s="61" t="s">
        <v>1894</v>
      </c>
      <c r="BC887" s="165"/>
      <c r="BD887" s="166"/>
      <c r="BE887" s="167"/>
      <c r="BF887" s="168"/>
      <c r="BG887" s="167"/>
      <c r="BH887" s="168"/>
      <c r="BI887" s="169"/>
      <c r="BJ887" s="168"/>
      <c r="BK887" s="134"/>
      <c r="BL887" s="168"/>
      <c r="BM887" s="167"/>
      <c r="BN887" s="168"/>
      <c r="BO887" s="62"/>
      <c r="BP887" s="168"/>
      <c r="BQ887" s="168"/>
      <c r="BR887" s="168"/>
      <c r="BS887" s="135"/>
      <c r="BT887" s="176"/>
      <c r="BU887" s="167"/>
      <c r="BV887" s="168"/>
      <c r="BW887" s="167"/>
      <c r="BX887" s="168"/>
      <c r="BY887" s="167"/>
      <c r="BZ887" s="176"/>
      <c r="CA887" s="167"/>
      <c r="CB887" s="168"/>
      <c r="CC887" s="167"/>
      <c r="CD887" s="168"/>
      <c r="CE887" s="62"/>
      <c r="CF887" s="62"/>
      <c r="CG887" s="9"/>
      <c r="CH887" s="9"/>
      <c r="CI887" s="9"/>
      <c r="CJ887" s="9"/>
      <c r="CK887" s="9"/>
      <c r="CL887" s="9"/>
      <c r="CM887" s="9"/>
      <c r="CN887" s="9"/>
      <c r="CO887" s="9"/>
      <c r="CP887" s="9"/>
    </row>
    <row r="888" spans="1:94" ht="30" x14ac:dyDescent="0.25">
      <c r="A888" s="127" t="s">
        <v>2840</v>
      </c>
      <c r="B888" s="51" t="s">
        <v>2841</v>
      </c>
      <c r="C888" s="62"/>
      <c r="D888" s="84">
        <v>4</v>
      </c>
      <c r="E888" s="62" t="s">
        <v>495</v>
      </c>
      <c r="F888" s="62"/>
      <c r="G888" s="62"/>
      <c r="H888" s="50">
        <f>VLOOKUP($A888,'[1]ma sp 02'!$A$5:$BD$1101,H$1,0)</f>
        <v>0</v>
      </c>
      <c r="I888" s="50">
        <f>VLOOKUP($A888,'[1]ma sp 02'!$A$5:$BD$1101,I$1,0)</f>
        <v>0</v>
      </c>
      <c r="J888" s="50">
        <f>VLOOKUP($A888,'[1]ma sp 02'!$A$5:$BD$1101,J$1,0)</f>
        <v>0</v>
      </c>
      <c r="K888" s="50">
        <f>VLOOKUP($A888,'[1]ma sp 02'!$A$5:$BD$1101,K$1,0)</f>
        <v>0</v>
      </c>
      <c r="L888" s="50">
        <f>VLOOKUP($A888,'[1]ma sp 02'!$A$5:$BD$1101,L$1,0)</f>
        <v>0</v>
      </c>
      <c r="M888" s="50">
        <f>VLOOKUP($A888,'[1]ma sp 02'!$A$5:$BD$1101,M$1,0)</f>
        <v>0</v>
      </c>
      <c r="N888" s="50">
        <f>VLOOKUP($A888,'[1]ma sp 02'!$A$5:$BD$1101,N$1,0)</f>
        <v>0</v>
      </c>
      <c r="O888" s="50">
        <f>VLOOKUP($A888,'[1]ma sp 02'!$A$5:$BD$1101,O$1,0)</f>
        <v>0</v>
      </c>
      <c r="P888" s="50">
        <f>VLOOKUP($A888,'[1]ma sp 02'!$A$5:$BD$1101,P$1,0)</f>
        <v>0</v>
      </c>
      <c r="Q888" s="50">
        <f>VLOOKUP($A888,'[1]ma sp 02'!$A$5:$BD$1101,Q$1,0)</f>
        <v>0</v>
      </c>
      <c r="R888" s="50">
        <f>VLOOKUP($A888,'[1]ma sp 02'!$A$5:$BD$1101,R$1,0)</f>
        <v>0</v>
      </c>
      <c r="S888" s="50">
        <f>VLOOKUP($A888,'[1]ma sp 02'!$A$5:$BD$1101,S$1,0)</f>
        <v>0</v>
      </c>
      <c r="T888" s="50">
        <f>VLOOKUP($A888,'[1]ma sp 02'!$A$5:$BD$1101,T$1,0)</f>
        <v>0</v>
      </c>
      <c r="U888" s="50">
        <f>VLOOKUP($A888,'[1]ma sp 02'!$A$5:$BD$1101,U$1,0)</f>
        <v>0</v>
      </c>
      <c r="V888" s="50">
        <f>VLOOKUP($A888,'[1]ma sp 02'!$A$5:$BD$1101,V$1,0)</f>
        <v>0</v>
      </c>
      <c r="W888" s="50">
        <f>VLOOKUP($A888,'[1]ma sp 02'!$A$5:$BD$1101,W$1,0)</f>
        <v>0</v>
      </c>
      <c r="X888" s="50"/>
      <c r="Y888" s="62"/>
      <c r="Z888" s="62"/>
      <c r="AA888" s="62"/>
      <c r="AB888" s="62"/>
      <c r="AC888" s="62"/>
      <c r="AD888" s="62"/>
      <c r="AE888" s="62" t="s">
        <v>856</v>
      </c>
      <c r="AF888" s="62"/>
      <c r="AG888" s="53">
        <f>(0.02*0.91+0.025*0.91)*0.66</f>
        <v>2.7027000000000002E-2</v>
      </c>
      <c r="AH888" s="54">
        <f>(2.3/0.75/2)*0.65</f>
        <v>0.99666666666666659</v>
      </c>
      <c r="AI888" s="54"/>
      <c r="AJ888" s="62">
        <v>9530</v>
      </c>
      <c r="AK888" s="62"/>
      <c r="AL888" s="62">
        <v>2.3E-3</v>
      </c>
      <c r="AM888" s="61" t="s">
        <v>2842</v>
      </c>
      <c r="AN888" s="62">
        <v>130</v>
      </c>
      <c r="AO888" s="61" t="s">
        <v>2843</v>
      </c>
      <c r="AP888" s="59">
        <f>IFERROR(VLOOKUP($A888,[2]Mssp!$A$5:$BE$1463,AP$4+1,0),0)</f>
        <v>0</v>
      </c>
      <c r="AQ888" s="59">
        <f>IFERROR(VLOOKUP($A888,[2]Mssp!$A$5:$BE$1463,AQ$4+1,0),0)</f>
        <v>0</v>
      </c>
      <c r="AR888" s="59">
        <f>IFERROR(VLOOKUP($A888,[2]Mssp!$A$5:$BE$1463,AR$4+1,0),0)</f>
        <v>0</v>
      </c>
      <c r="AS888" s="59">
        <f>IFERROR(VLOOKUP($A888,[2]Mssp!$A$5:$BE$1463,AS$4+1,0),0)</f>
        <v>0</v>
      </c>
      <c r="AT888" s="59">
        <f>IFERROR(VLOOKUP($A888,[2]Mssp!$A$5:$BE$1463,AT$4+1,0),0)</f>
        <v>0</v>
      </c>
      <c r="AU888" s="59">
        <f>IFERROR(VLOOKUP($A888,[2]Mssp!$A$5:$BE$1463,AU$4+1,0),0)</f>
        <v>0</v>
      </c>
      <c r="AV888" s="59">
        <f>IFERROR(VLOOKUP($A888,[2]Mssp!$A$5:$BE$1463,AV$4+1,0),0)</f>
        <v>0</v>
      </c>
      <c r="AW888" s="59">
        <f>IFERROR(VLOOKUP($A888,[2]Mssp!$A$5:$BE$1463,AW$4+1,0),0)</f>
        <v>0</v>
      </c>
      <c r="AX888" s="59">
        <f>IFERROR(VLOOKUP($A888,[2]Mssp!$A$5:$BE$1463,AX$4+1,0),0)</f>
        <v>0</v>
      </c>
      <c r="AY888" s="59">
        <f>IFERROR(VLOOKUP($A888,[2]Mssp!$A$5:$BE$1463,AY$4+2,0),0)</f>
        <v>0</v>
      </c>
      <c r="AZ888" s="59">
        <f>IFERROR(VLOOKUP($A888,[2]Mssp!$A$5:$BE$1463,AZ$4+2,0),0)</f>
        <v>0</v>
      </c>
      <c r="BA888" s="141"/>
      <c r="BB888" s="61" t="s">
        <v>1894</v>
      </c>
      <c r="BC888" s="165"/>
      <c r="BD888" s="166"/>
      <c r="BE888" s="167"/>
      <c r="BF888" s="168"/>
      <c r="BG888" s="167"/>
      <c r="BH888" s="168"/>
      <c r="BI888" s="169"/>
      <c r="BJ888" s="168"/>
      <c r="BK888" s="134"/>
      <c r="BL888" s="168"/>
      <c r="BM888" s="167"/>
      <c r="BN888" s="168"/>
      <c r="BO888" s="62"/>
      <c r="BP888" s="168"/>
      <c r="BQ888" s="168"/>
      <c r="BR888" s="168"/>
      <c r="BS888" s="135"/>
      <c r="BT888" s="176"/>
      <c r="BU888" s="167"/>
      <c r="BV888" s="168"/>
      <c r="BW888" s="167"/>
      <c r="BX888" s="168"/>
      <c r="BY888" s="167"/>
      <c r="BZ888" s="176"/>
      <c r="CA888" s="167"/>
      <c r="CB888" s="168"/>
      <c r="CC888" s="167"/>
      <c r="CD888" s="168"/>
      <c r="CE888" s="62"/>
      <c r="CF888" s="62"/>
      <c r="CG888" s="9"/>
      <c r="CH888" s="9"/>
      <c r="CI888" s="9"/>
      <c r="CJ888" s="9"/>
      <c r="CK888" s="9"/>
      <c r="CL888" s="9"/>
      <c r="CM888" s="9"/>
      <c r="CN888" s="9"/>
      <c r="CO888" s="9"/>
      <c r="CP888" s="9"/>
    </row>
    <row r="889" spans="1:94" ht="30" x14ac:dyDescent="0.25">
      <c r="A889" s="127" t="s">
        <v>2844</v>
      </c>
      <c r="B889" s="51" t="s">
        <v>2845</v>
      </c>
      <c r="C889" s="62"/>
      <c r="D889" s="84">
        <v>5</v>
      </c>
      <c r="E889" s="62" t="s">
        <v>315</v>
      </c>
      <c r="F889" s="62">
        <v>6</v>
      </c>
      <c r="G889" s="62"/>
      <c r="H889" s="50">
        <f>VLOOKUP($A889,'[1]ma sp 02'!$A$5:$BD$1101,H$1,0)</f>
        <v>0.41899999999999998</v>
      </c>
      <c r="I889" s="50">
        <f>VLOOKUP($A889,'[1]ma sp 02'!$A$5:$BD$1101,I$1,0)</f>
        <v>3.613</v>
      </c>
      <c r="J889" s="50">
        <f>VLOOKUP($A889,'[1]ma sp 02'!$A$5:$BD$1101,J$1,0)</f>
        <v>0.02</v>
      </c>
      <c r="K889" s="50">
        <f>VLOOKUP($A889,'[1]ma sp 02'!$A$5:$BD$1101,K$1,0)</f>
        <v>0.26200000000000001</v>
      </c>
      <c r="L889" s="50">
        <f>VLOOKUP($A889,'[1]ma sp 02'!$A$5:$BD$1101,L$1,0)</f>
        <v>0.01</v>
      </c>
      <c r="M889" s="50">
        <f>VLOOKUP($A889,'[1]ma sp 02'!$A$5:$BD$1101,M$1,0)</f>
        <v>0.73299999999999998</v>
      </c>
      <c r="N889" s="50">
        <f>VLOOKUP($A889,'[1]ma sp 02'!$A$5:$BD$1101,N$1,0)</f>
        <v>0</v>
      </c>
      <c r="O889" s="50">
        <f>VLOOKUP($A889,'[1]ma sp 02'!$A$5:$BD$1101,O$1,0)</f>
        <v>0</v>
      </c>
      <c r="P889" s="50">
        <f>VLOOKUP($A889,'[1]ma sp 02'!$A$5:$BD$1101,P$1,0)</f>
        <v>0</v>
      </c>
      <c r="Q889" s="50">
        <f>VLOOKUP($A889,'[1]ma sp 02'!$A$5:$BD$1101,Q$1,0)</f>
        <v>0</v>
      </c>
      <c r="R889" s="50">
        <f>VLOOKUP($A889,'[1]ma sp 02'!$A$5:$BD$1101,R$1,0)</f>
        <v>0.01</v>
      </c>
      <c r="S889" s="50">
        <f>VLOOKUP($A889,'[1]ma sp 02'!$A$5:$BD$1101,S$1,0)</f>
        <v>0</v>
      </c>
      <c r="T889" s="50">
        <f>VLOOKUP($A889,'[1]ma sp 02'!$A$5:$BD$1101,T$1,0)</f>
        <v>0</v>
      </c>
      <c r="U889" s="50">
        <f>VLOOKUP($A889,'[1]ma sp 02'!$A$5:$BD$1101,U$1,0)</f>
        <v>0</v>
      </c>
      <c r="V889" s="50">
        <f>VLOOKUP($A889,'[1]ma sp 02'!$A$5:$BD$1101,V$1,0)</f>
        <v>0</v>
      </c>
      <c r="W889" s="50">
        <f>VLOOKUP($A889,'[1]ma sp 02'!$A$5:$BD$1101,W$1,0)</f>
        <v>0</v>
      </c>
      <c r="X889" s="50"/>
      <c r="Y889" s="62"/>
      <c r="Z889" s="62"/>
      <c r="AA889" s="62"/>
      <c r="AB889" s="62"/>
      <c r="AC889" s="62"/>
      <c r="AD889" s="62"/>
      <c r="AE889" s="62" t="s">
        <v>2846</v>
      </c>
      <c r="AF889" s="62" t="s">
        <v>526</v>
      </c>
      <c r="AG889" s="53">
        <f>(0.012*1.4+0.006*2.71+0.085*0.925)*0.82</f>
        <v>9.1581700000000002E-2</v>
      </c>
      <c r="AH889" s="54">
        <f>(2.3/0.75/2)*0.81</f>
        <v>1.242</v>
      </c>
      <c r="AI889" s="54">
        <f>(3/0.75/2)*0.81</f>
        <v>1.62</v>
      </c>
      <c r="AJ889" s="62">
        <v>9530</v>
      </c>
      <c r="AK889" s="62">
        <v>9530</v>
      </c>
      <c r="AL889" s="62" t="s">
        <v>1892</v>
      </c>
      <c r="AM889" s="61" t="s">
        <v>1489</v>
      </c>
      <c r="AN889" s="62">
        <v>110</v>
      </c>
      <c r="AO889" s="61" t="s">
        <v>612</v>
      </c>
      <c r="AP889" s="59" t="str">
        <f>IFERROR(VLOOKUP($A889,[2]Mssp!$A$5:$BE$1463,AP$4+1,0),0)</f>
        <v>21040748-1</v>
      </c>
      <c r="AQ889" s="59" t="str">
        <f>IFERROR(VLOOKUP($A889,[2]Mssp!$A$5:$BE$1463,AQ$4+1,0),0)</f>
        <v>21040748-2</v>
      </c>
      <c r="AR889" s="59" t="str">
        <f>IFERROR(VLOOKUP($A889,[2]Mssp!$A$5:$BE$1463,AR$4+1,0),0)</f>
        <v>21040263-3</v>
      </c>
      <c r="AS889" s="59" t="str">
        <f>IFERROR(VLOOKUP($A889,[2]Mssp!$A$5:$BE$1463,AS$4+1,0),0)</f>
        <v>21040263-4</v>
      </c>
      <c r="AT889" s="59" t="str">
        <f>IFERROR(VLOOKUP($A889,[2]Mssp!$A$5:$BE$1463,AT$4+1,0),0)</f>
        <v>21040263-5</v>
      </c>
      <c r="AU889" s="59" t="str">
        <f>IFERROR(VLOOKUP($A889,[2]Mssp!$A$5:$BE$1463,AU$4+1,0),0)</f>
        <v>21040263-6</v>
      </c>
      <c r="AV889" s="59">
        <f>IFERROR(VLOOKUP($A889,[2]Mssp!$A$5:$BE$1463,AV$4+1,0),0)</f>
        <v>0</v>
      </c>
      <c r="AW889" s="59">
        <f>IFERROR(VLOOKUP($A889,[2]Mssp!$A$5:$BE$1463,AW$4+1,0),0)</f>
        <v>0</v>
      </c>
      <c r="AX889" s="59">
        <f>IFERROR(VLOOKUP($A889,[2]Mssp!$A$5:$BE$1463,AX$4+1,0),0)</f>
        <v>0</v>
      </c>
      <c r="AY889" s="59" t="str">
        <f>IFERROR(VLOOKUP($A889,[2]Mssp!$A$5:$BE$1463,AY$4+2,0),0)</f>
        <v>440x870</v>
      </c>
      <c r="AZ889" s="59">
        <f>IFERROR(VLOOKUP($A889,[2]Mssp!$A$5:$BE$1463,AZ$4+2,0),0)</f>
        <v>0</v>
      </c>
      <c r="BA889" s="141" t="s">
        <v>1936</v>
      </c>
      <c r="BB889" s="61" t="s">
        <v>952</v>
      </c>
      <c r="BC889" s="165"/>
      <c r="BD889" s="166"/>
      <c r="BE889" s="167"/>
      <c r="BF889" s="168"/>
      <c r="BG889" s="167"/>
      <c r="BH889" s="168"/>
      <c r="BI889" s="169"/>
      <c r="BJ889" s="168"/>
      <c r="BK889" s="134"/>
      <c r="BL889" s="168"/>
      <c r="BM889" s="167"/>
      <c r="BN889" s="168"/>
      <c r="BO889" s="62"/>
      <c r="BP889" s="168"/>
      <c r="BQ889" s="168"/>
      <c r="BR889" s="168"/>
      <c r="BS889" s="135"/>
      <c r="BT889" s="176"/>
      <c r="BU889" s="167"/>
      <c r="BV889" s="168"/>
      <c r="BW889" s="167"/>
      <c r="BX889" s="168"/>
      <c r="BY889" s="167"/>
      <c r="BZ889" s="176"/>
      <c r="CA889" s="167"/>
      <c r="CB889" s="168"/>
      <c r="CC889" s="167"/>
      <c r="CD889" s="168"/>
      <c r="CE889" s="62"/>
      <c r="CF889" s="62"/>
      <c r="CG889" s="9"/>
      <c r="CH889" s="9"/>
      <c r="CI889" s="9"/>
      <c r="CJ889" s="9"/>
      <c r="CK889" s="9"/>
      <c r="CL889" s="9"/>
      <c r="CM889" s="9"/>
      <c r="CN889" s="9"/>
      <c r="CO889" s="9"/>
      <c r="CP889" s="9"/>
    </row>
    <row r="890" spans="1:94" ht="30" x14ac:dyDescent="0.25">
      <c r="A890" s="127" t="s">
        <v>2847</v>
      </c>
      <c r="B890" s="51" t="s">
        <v>2848</v>
      </c>
      <c r="C890" s="62"/>
      <c r="D890" s="84">
        <v>2</v>
      </c>
      <c r="E890" s="62" t="s">
        <v>2849</v>
      </c>
      <c r="F890" s="62">
        <v>1</v>
      </c>
      <c r="G890" s="62"/>
      <c r="H890" s="50">
        <f>VLOOKUP($A890,'[1]ma sp 02'!$A$5:$BD$1101,H$1,0)</f>
        <v>0</v>
      </c>
      <c r="I890" s="50">
        <f>VLOOKUP($A890,'[1]ma sp 02'!$A$5:$BD$1101,I$1,0)</f>
        <v>0</v>
      </c>
      <c r="J890" s="50">
        <f>VLOOKUP($A890,'[1]ma sp 02'!$A$5:$BD$1101,J$1,0)</f>
        <v>0</v>
      </c>
      <c r="K890" s="50">
        <f>VLOOKUP($A890,'[1]ma sp 02'!$A$5:$BD$1101,K$1,0)</f>
        <v>0</v>
      </c>
      <c r="L890" s="50">
        <f>VLOOKUP($A890,'[1]ma sp 02'!$A$5:$BD$1101,L$1,0)</f>
        <v>0</v>
      </c>
      <c r="M890" s="50">
        <f>VLOOKUP($A890,'[1]ma sp 02'!$A$5:$BD$1101,M$1,0)</f>
        <v>0</v>
      </c>
      <c r="N890" s="50">
        <f>VLOOKUP($A890,'[1]ma sp 02'!$A$5:$BD$1101,N$1,0)</f>
        <v>5.6379999999999999</v>
      </c>
      <c r="O890" s="50">
        <f>VLOOKUP($A890,'[1]ma sp 02'!$A$5:$BD$1101,O$1,0)</f>
        <v>0</v>
      </c>
      <c r="P890" s="50">
        <f>VLOOKUP($A890,'[1]ma sp 02'!$A$5:$BD$1101,P$1,0)</f>
        <v>0</v>
      </c>
      <c r="Q890" s="50">
        <f>VLOOKUP($A890,'[1]ma sp 02'!$A$5:$BD$1101,Q$1,0)</f>
        <v>0</v>
      </c>
      <c r="R890" s="50">
        <f>VLOOKUP($A890,'[1]ma sp 02'!$A$5:$BD$1101,R$1,0)</f>
        <v>0</v>
      </c>
      <c r="S890" s="50">
        <f>VLOOKUP($A890,'[1]ma sp 02'!$A$5:$BD$1101,S$1,0)</f>
        <v>0</v>
      </c>
      <c r="T890" s="50">
        <f>VLOOKUP($A890,'[1]ma sp 02'!$A$5:$BD$1101,T$1,0)</f>
        <v>0</v>
      </c>
      <c r="U890" s="50">
        <f>VLOOKUP($A890,'[1]ma sp 02'!$A$5:$BD$1101,U$1,0)</f>
        <v>0</v>
      </c>
      <c r="V890" s="50">
        <f>VLOOKUP($A890,'[1]ma sp 02'!$A$5:$BD$1101,V$1,0)</f>
        <v>0</v>
      </c>
      <c r="W890" s="50">
        <f>VLOOKUP($A890,'[1]ma sp 02'!$A$5:$BD$1101,W$1,0)</f>
        <v>0</v>
      </c>
      <c r="X890" s="50"/>
      <c r="Y890" s="62"/>
      <c r="Z890" s="62"/>
      <c r="AA890" s="62"/>
      <c r="AB890" s="62"/>
      <c r="AC890" s="62"/>
      <c r="AD890" s="62"/>
      <c r="AE890" s="62" t="s">
        <v>2850</v>
      </c>
      <c r="AF890" s="62"/>
      <c r="AG890" s="53">
        <f>(0.03*0.91+0.025*0.91)*0.8</f>
        <v>4.0040000000000006E-2</v>
      </c>
      <c r="AH890" s="54">
        <f>(1.2/0.75/2)*0.79</f>
        <v>0.63200000000000001</v>
      </c>
      <c r="AI890" s="54"/>
      <c r="AJ890" s="192" t="s">
        <v>1881</v>
      </c>
      <c r="AK890" s="62"/>
      <c r="AL890" s="62">
        <v>1.1999999999999999E-3</v>
      </c>
      <c r="AM890" s="61" t="s">
        <v>1893</v>
      </c>
      <c r="AN890" s="62">
        <v>145</v>
      </c>
      <c r="AO890" s="61" t="s">
        <v>195</v>
      </c>
      <c r="AP890" s="59">
        <f>IFERROR(VLOOKUP($A890,[2]Mssp!$A$5:$BE$1463,AP$4+1,0),0)</f>
        <v>0</v>
      </c>
      <c r="AQ890" s="59">
        <f>IFERROR(VLOOKUP($A890,[2]Mssp!$A$5:$BE$1463,AQ$4+1,0),0)</f>
        <v>0</v>
      </c>
      <c r="AR890" s="59">
        <f>IFERROR(VLOOKUP($A890,[2]Mssp!$A$5:$BE$1463,AR$4+1,0),0)</f>
        <v>0</v>
      </c>
      <c r="AS890" s="59">
        <f>IFERROR(VLOOKUP($A890,[2]Mssp!$A$5:$BE$1463,AS$4+1,0),0)</f>
        <v>0</v>
      </c>
      <c r="AT890" s="59">
        <f>IFERROR(VLOOKUP($A890,[2]Mssp!$A$5:$BE$1463,AT$4+1,0),0)</f>
        <v>0</v>
      </c>
      <c r="AU890" s="59">
        <f>IFERROR(VLOOKUP($A890,[2]Mssp!$A$5:$BE$1463,AU$4+1,0),0)</f>
        <v>0</v>
      </c>
      <c r="AV890" s="59">
        <f>IFERROR(VLOOKUP($A890,[2]Mssp!$A$5:$BE$1463,AV$4+1,0),0)</f>
        <v>0</v>
      </c>
      <c r="AW890" s="59">
        <f>IFERROR(VLOOKUP($A890,[2]Mssp!$A$5:$BE$1463,AW$4+1,0),0)</f>
        <v>0</v>
      </c>
      <c r="AX890" s="59">
        <f>IFERROR(VLOOKUP($A890,[2]Mssp!$A$5:$BE$1463,AX$4+1,0),0)</f>
        <v>0</v>
      </c>
      <c r="AY890" s="59">
        <f>IFERROR(VLOOKUP($A890,[2]Mssp!$A$5:$BE$1463,AY$4+2,0),0)</f>
        <v>0</v>
      </c>
      <c r="AZ890" s="59">
        <f>IFERROR(VLOOKUP($A890,[2]Mssp!$A$5:$BE$1463,AZ$4+2,0),0)</f>
        <v>0</v>
      </c>
      <c r="BA890" s="141"/>
      <c r="BB890" s="61" t="s">
        <v>1894</v>
      </c>
      <c r="BC890" s="165"/>
      <c r="BD890" s="166"/>
      <c r="BE890" s="167"/>
      <c r="BF890" s="168"/>
      <c r="BG890" s="167"/>
      <c r="BH890" s="168"/>
      <c r="BI890" s="169"/>
      <c r="BJ890" s="168"/>
      <c r="BK890" s="134"/>
      <c r="BL890" s="168"/>
      <c r="BM890" s="167"/>
      <c r="BN890" s="168"/>
      <c r="BO890" s="62"/>
      <c r="BP890" s="168"/>
      <c r="BQ890" s="168"/>
      <c r="BR890" s="168"/>
      <c r="BS890" s="135"/>
      <c r="BT890" s="176"/>
      <c r="BU890" s="167"/>
      <c r="BV890" s="168"/>
      <c r="BW890" s="167"/>
      <c r="BX890" s="168"/>
      <c r="BY890" s="167"/>
      <c r="BZ890" s="176"/>
      <c r="CA890" s="167"/>
      <c r="CB890" s="168"/>
      <c r="CC890" s="167"/>
      <c r="CD890" s="168"/>
      <c r="CE890" s="62"/>
      <c r="CF890" s="62"/>
      <c r="CG890" s="9"/>
      <c r="CH890" s="9"/>
      <c r="CI890" s="9"/>
      <c r="CJ890" s="9"/>
      <c r="CK890" s="9"/>
      <c r="CL890" s="9"/>
      <c r="CM890" s="9"/>
      <c r="CN890" s="9"/>
      <c r="CO890" s="9"/>
      <c r="CP890" s="9"/>
    </row>
    <row r="891" spans="1:94" ht="30" x14ac:dyDescent="0.25">
      <c r="A891" s="127" t="s">
        <v>2851</v>
      </c>
      <c r="B891" s="51" t="s">
        <v>2852</v>
      </c>
      <c r="C891" s="62"/>
      <c r="D891" s="84">
        <v>1</v>
      </c>
      <c r="E891" s="62" t="s">
        <v>495</v>
      </c>
      <c r="F891" s="62">
        <v>0</v>
      </c>
      <c r="G891" s="62"/>
      <c r="H891" s="50">
        <f>VLOOKUP($A891,'[1]ma sp 02'!$A$5:$BD$1101,H$1,0)</f>
        <v>0</v>
      </c>
      <c r="I891" s="50">
        <f>VLOOKUP($A891,'[1]ma sp 02'!$A$5:$BD$1101,I$1,0)</f>
        <v>0</v>
      </c>
      <c r="J891" s="50">
        <f>VLOOKUP($A891,'[1]ma sp 02'!$A$5:$BD$1101,J$1,0)</f>
        <v>0</v>
      </c>
      <c r="K891" s="50">
        <f>VLOOKUP($A891,'[1]ma sp 02'!$A$5:$BD$1101,K$1,0)</f>
        <v>0</v>
      </c>
      <c r="L891" s="50">
        <f>VLOOKUP($A891,'[1]ma sp 02'!$A$5:$BD$1101,L$1,0)</f>
        <v>0</v>
      </c>
      <c r="M891" s="50">
        <f>VLOOKUP($A891,'[1]ma sp 02'!$A$5:$BD$1101,M$1,0)</f>
        <v>0</v>
      </c>
      <c r="N891" s="50">
        <f>VLOOKUP($A891,'[1]ma sp 02'!$A$5:$BD$1101,N$1,0)</f>
        <v>0</v>
      </c>
      <c r="O891" s="50">
        <f>VLOOKUP($A891,'[1]ma sp 02'!$A$5:$BD$1101,O$1,0)</f>
        <v>0</v>
      </c>
      <c r="P891" s="50">
        <f>VLOOKUP($A891,'[1]ma sp 02'!$A$5:$BD$1101,P$1,0)</f>
        <v>0</v>
      </c>
      <c r="Q891" s="50">
        <f>VLOOKUP($A891,'[1]ma sp 02'!$A$5:$BD$1101,Q$1,0)</f>
        <v>0</v>
      </c>
      <c r="R891" s="50">
        <f>VLOOKUP($A891,'[1]ma sp 02'!$A$5:$BD$1101,R$1,0)</f>
        <v>0</v>
      </c>
      <c r="S891" s="50">
        <f>VLOOKUP($A891,'[1]ma sp 02'!$A$5:$BD$1101,S$1,0)</f>
        <v>0</v>
      </c>
      <c r="T891" s="50">
        <f>VLOOKUP($A891,'[1]ma sp 02'!$A$5:$BD$1101,T$1,0)</f>
        <v>0</v>
      </c>
      <c r="U891" s="50">
        <f>VLOOKUP($A891,'[1]ma sp 02'!$A$5:$BD$1101,U$1,0)</f>
        <v>0</v>
      </c>
      <c r="V891" s="50">
        <f>VLOOKUP($A891,'[1]ma sp 02'!$A$5:$BD$1101,V$1,0)</f>
        <v>0</v>
      </c>
      <c r="W891" s="50">
        <f>VLOOKUP($A891,'[1]ma sp 02'!$A$5:$BD$1101,W$1,0)</f>
        <v>0</v>
      </c>
      <c r="X891" s="50"/>
      <c r="Y891" s="62"/>
      <c r="Z891" s="62"/>
      <c r="AA891" s="62"/>
      <c r="AB891" s="62"/>
      <c r="AC891" s="62"/>
      <c r="AD891" s="62"/>
      <c r="AE891" s="62" t="s">
        <v>2069</v>
      </c>
      <c r="AF891" s="62"/>
      <c r="AG891" s="53">
        <f>(0.03*0.91+0.025*0.925)*0.66</f>
        <v>3.3280500000000005E-2</v>
      </c>
      <c r="AH891" s="54">
        <f>(2/0.75/2)*0.65</f>
        <v>0.8666666666666667</v>
      </c>
      <c r="AI891" s="54"/>
      <c r="AJ891" s="192" t="s">
        <v>1881</v>
      </c>
      <c r="AK891" s="62"/>
      <c r="AL891" s="62">
        <v>2E-3</v>
      </c>
      <c r="AM891" s="61" t="s">
        <v>1489</v>
      </c>
      <c r="AN891" s="62"/>
      <c r="AO891" s="61" t="s">
        <v>2715</v>
      </c>
      <c r="AP891" s="59">
        <f>IFERROR(VLOOKUP($A891,[2]Mssp!$A$5:$BE$1463,AP$4+1,0),0)</f>
        <v>0</v>
      </c>
      <c r="AQ891" s="59">
        <f>IFERROR(VLOOKUP($A891,[2]Mssp!$A$5:$BE$1463,AQ$4+1,0),0)</f>
        <v>0</v>
      </c>
      <c r="AR891" s="59">
        <f>IFERROR(VLOOKUP($A891,[2]Mssp!$A$5:$BE$1463,AR$4+1,0),0)</f>
        <v>0</v>
      </c>
      <c r="AS891" s="59">
        <f>IFERROR(VLOOKUP($A891,[2]Mssp!$A$5:$BE$1463,AS$4+1,0),0)</f>
        <v>0</v>
      </c>
      <c r="AT891" s="59">
        <f>IFERROR(VLOOKUP($A891,[2]Mssp!$A$5:$BE$1463,AT$4+1,0),0)</f>
        <v>0</v>
      </c>
      <c r="AU891" s="59">
        <f>IFERROR(VLOOKUP($A891,[2]Mssp!$A$5:$BE$1463,AU$4+1,0),0)</f>
        <v>0</v>
      </c>
      <c r="AV891" s="59">
        <f>IFERROR(VLOOKUP($A891,[2]Mssp!$A$5:$BE$1463,AV$4+1,0),0)</f>
        <v>0</v>
      </c>
      <c r="AW891" s="59">
        <f>IFERROR(VLOOKUP($A891,[2]Mssp!$A$5:$BE$1463,AW$4+1,0),0)</f>
        <v>0</v>
      </c>
      <c r="AX891" s="59">
        <f>IFERROR(VLOOKUP($A891,[2]Mssp!$A$5:$BE$1463,AX$4+1,0),0)</f>
        <v>0</v>
      </c>
      <c r="AY891" s="59">
        <f>IFERROR(VLOOKUP($A891,[2]Mssp!$A$5:$BE$1463,AY$4+2,0),0)</f>
        <v>0</v>
      </c>
      <c r="AZ891" s="59">
        <f>IFERROR(VLOOKUP($A891,[2]Mssp!$A$5:$BE$1463,AZ$4+2,0),0)</f>
        <v>0</v>
      </c>
      <c r="BA891" s="141" t="s">
        <v>1936</v>
      </c>
      <c r="BB891" s="61" t="s">
        <v>952</v>
      </c>
      <c r="BC891" s="165"/>
      <c r="BD891" s="166"/>
      <c r="BE891" s="167"/>
      <c r="BF891" s="168"/>
      <c r="BG891" s="167"/>
      <c r="BH891" s="168"/>
      <c r="BI891" s="169"/>
      <c r="BJ891" s="168"/>
      <c r="BK891" s="134"/>
      <c r="BL891" s="168"/>
      <c r="BM891" s="167"/>
      <c r="BN891" s="168"/>
      <c r="BO891" s="62"/>
      <c r="BP891" s="168"/>
      <c r="BQ891" s="168"/>
      <c r="BR891" s="168"/>
      <c r="BS891" s="135"/>
      <c r="BT891" s="176"/>
      <c r="BU891" s="167"/>
      <c r="BV891" s="168"/>
      <c r="BW891" s="167"/>
      <c r="BX891" s="168"/>
      <c r="BY891" s="167"/>
      <c r="BZ891" s="176"/>
      <c r="CA891" s="167"/>
      <c r="CB891" s="168"/>
      <c r="CC891" s="167"/>
      <c r="CD891" s="168"/>
      <c r="CE891" s="62"/>
      <c r="CF891" s="62"/>
      <c r="CG891" s="9"/>
      <c r="CH891" s="9"/>
      <c r="CI891" s="9"/>
      <c r="CJ891" s="9"/>
      <c r="CK891" s="9"/>
      <c r="CL891" s="9"/>
      <c r="CM891" s="9"/>
      <c r="CN891" s="9"/>
      <c r="CO891" s="9"/>
      <c r="CP891" s="9"/>
    </row>
    <row r="892" spans="1:94" x14ac:dyDescent="0.25">
      <c r="A892" s="127" t="s">
        <v>2853</v>
      </c>
      <c r="B892" s="51" t="s">
        <v>2854</v>
      </c>
      <c r="C892" s="62"/>
      <c r="D892" s="84">
        <v>2</v>
      </c>
      <c r="E892" s="62" t="s">
        <v>1768</v>
      </c>
      <c r="F892" s="62"/>
      <c r="G892" s="62"/>
      <c r="H892" s="50">
        <f>VLOOKUP($A892,'[1]ma sp 02'!$A$5:$BD$1101,H$1,0)</f>
        <v>0</v>
      </c>
      <c r="I892" s="50">
        <f>VLOOKUP($A892,'[1]ma sp 02'!$A$5:$BD$1101,I$1,0)</f>
        <v>0</v>
      </c>
      <c r="J892" s="50">
        <f>VLOOKUP($A892,'[1]ma sp 02'!$A$5:$BD$1101,J$1,0)</f>
        <v>0</v>
      </c>
      <c r="K892" s="50">
        <f>VLOOKUP($A892,'[1]ma sp 02'!$A$5:$BD$1101,K$1,0)</f>
        <v>0</v>
      </c>
      <c r="L892" s="50">
        <f>VLOOKUP($A892,'[1]ma sp 02'!$A$5:$BD$1101,L$1,0)</f>
        <v>0</v>
      </c>
      <c r="M892" s="50">
        <f>VLOOKUP($A892,'[1]ma sp 02'!$A$5:$BD$1101,M$1,0)</f>
        <v>0</v>
      </c>
      <c r="N892" s="50">
        <f>VLOOKUP($A892,'[1]ma sp 02'!$A$5:$BD$1101,N$1,0)</f>
        <v>0</v>
      </c>
      <c r="O892" s="50">
        <f>VLOOKUP($A892,'[1]ma sp 02'!$A$5:$BD$1101,O$1,0)</f>
        <v>0</v>
      </c>
      <c r="P892" s="50">
        <f>VLOOKUP($A892,'[1]ma sp 02'!$A$5:$BD$1101,P$1,0)</f>
        <v>0</v>
      </c>
      <c r="Q892" s="50">
        <f>VLOOKUP($A892,'[1]ma sp 02'!$A$5:$BD$1101,Q$1,0)</f>
        <v>0</v>
      </c>
      <c r="R892" s="50">
        <f>VLOOKUP($A892,'[1]ma sp 02'!$A$5:$BD$1101,R$1,0)</f>
        <v>0</v>
      </c>
      <c r="S892" s="50">
        <f>VLOOKUP($A892,'[1]ma sp 02'!$A$5:$BD$1101,S$1,0)</f>
        <v>0</v>
      </c>
      <c r="T892" s="50">
        <f>VLOOKUP($A892,'[1]ma sp 02'!$A$5:$BD$1101,T$1,0)</f>
        <v>0</v>
      </c>
      <c r="U892" s="50">
        <f>VLOOKUP($A892,'[1]ma sp 02'!$A$5:$BD$1101,U$1,0)</f>
        <v>0</v>
      </c>
      <c r="V892" s="50">
        <f>VLOOKUP($A892,'[1]ma sp 02'!$A$5:$BD$1101,V$1,0)</f>
        <v>0</v>
      </c>
      <c r="W892" s="50">
        <f>VLOOKUP($A892,'[1]ma sp 02'!$A$5:$BD$1101,W$1,0)</f>
        <v>0</v>
      </c>
      <c r="X892" s="50"/>
      <c r="Y892" s="62"/>
      <c r="Z892" s="62"/>
      <c r="AA892" s="62"/>
      <c r="AB892" s="62"/>
      <c r="AC892" s="62"/>
      <c r="AD892" s="62"/>
      <c r="AE892" s="62" t="s">
        <v>2646</v>
      </c>
      <c r="AF892" s="62"/>
      <c r="AG892" s="53">
        <f>(0.02*0.91+0.055*0.925)*0.86</f>
        <v>5.9404499999999999E-2</v>
      </c>
      <c r="AH892" s="54">
        <f>(2.3/0.75/2)*0.85</f>
        <v>1.3033333333333332</v>
      </c>
      <c r="AI892" s="54"/>
      <c r="AJ892" s="192">
        <v>9530</v>
      </c>
      <c r="AK892" s="62"/>
      <c r="AL892" s="62">
        <v>2.3E-3</v>
      </c>
      <c r="AM892" s="61" t="s">
        <v>1489</v>
      </c>
      <c r="AN892" s="62"/>
      <c r="AO892" s="61" t="s">
        <v>180</v>
      </c>
      <c r="AP892" s="59">
        <f>IFERROR(VLOOKUP($A892,[2]Mssp!$A$5:$BE$1463,AP$4+1,0),0)</f>
        <v>0</v>
      </c>
      <c r="AQ892" s="59">
        <f>IFERROR(VLOOKUP($A892,[2]Mssp!$A$5:$BE$1463,AQ$4+1,0),0)</f>
        <v>0</v>
      </c>
      <c r="AR892" s="59">
        <f>IFERROR(VLOOKUP($A892,[2]Mssp!$A$5:$BE$1463,AR$4+1,0),0)</f>
        <v>0</v>
      </c>
      <c r="AS892" s="59">
        <f>IFERROR(VLOOKUP($A892,[2]Mssp!$A$5:$BE$1463,AS$4+1,0),0)</f>
        <v>0</v>
      </c>
      <c r="AT892" s="59">
        <f>IFERROR(VLOOKUP($A892,[2]Mssp!$A$5:$BE$1463,AT$4+1,0),0)</f>
        <v>0</v>
      </c>
      <c r="AU892" s="59">
        <f>IFERROR(VLOOKUP($A892,[2]Mssp!$A$5:$BE$1463,AU$4+1,0),0)</f>
        <v>0</v>
      </c>
      <c r="AV892" s="59">
        <f>IFERROR(VLOOKUP($A892,[2]Mssp!$A$5:$BE$1463,AV$4+1,0),0)</f>
        <v>0</v>
      </c>
      <c r="AW892" s="59">
        <f>IFERROR(VLOOKUP($A892,[2]Mssp!$A$5:$BE$1463,AW$4+1,0),0)</f>
        <v>0</v>
      </c>
      <c r="AX892" s="59">
        <f>IFERROR(VLOOKUP($A892,[2]Mssp!$A$5:$BE$1463,AX$4+1,0),0)</f>
        <v>0</v>
      </c>
      <c r="AY892" s="59">
        <f>IFERROR(VLOOKUP($A892,[2]Mssp!$A$5:$BE$1463,AY$4+2,0),0)</f>
        <v>0</v>
      </c>
      <c r="AZ892" s="59">
        <f>IFERROR(VLOOKUP($A892,[2]Mssp!$A$5:$BE$1463,AZ$4+2,0),0)</f>
        <v>0</v>
      </c>
      <c r="BA892" s="141"/>
      <c r="BB892" s="61"/>
      <c r="BC892" s="165"/>
      <c r="BD892" s="166"/>
      <c r="BE892" s="167"/>
      <c r="BF892" s="168"/>
      <c r="BG892" s="167"/>
      <c r="BH892" s="168"/>
      <c r="BI892" s="169"/>
      <c r="BJ892" s="168"/>
      <c r="BK892" s="134"/>
      <c r="BL892" s="168"/>
      <c r="BM892" s="167"/>
      <c r="BN892" s="168"/>
      <c r="BO892" s="62"/>
      <c r="BP892" s="168"/>
      <c r="BQ892" s="168"/>
      <c r="BR892" s="168"/>
      <c r="BS892" s="135"/>
      <c r="BT892" s="176"/>
      <c r="BU892" s="167"/>
      <c r="BV892" s="168"/>
      <c r="BW892" s="167"/>
      <c r="BX892" s="168"/>
      <c r="BY892" s="167"/>
      <c r="BZ892" s="176"/>
      <c r="CA892" s="167"/>
      <c r="CB892" s="168"/>
      <c r="CC892" s="167"/>
      <c r="CD892" s="168"/>
      <c r="CE892" s="62"/>
      <c r="CF892" s="62"/>
      <c r="CG892" s="9"/>
      <c r="CH892" s="9"/>
      <c r="CI892" s="9"/>
      <c r="CJ892" s="9"/>
      <c r="CK892" s="9"/>
      <c r="CL892" s="9"/>
      <c r="CM892" s="9"/>
      <c r="CN892" s="9"/>
      <c r="CO892" s="9"/>
      <c r="CP892" s="9"/>
    </row>
    <row r="893" spans="1:94" ht="30" x14ac:dyDescent="0.25">
      <c r="A893" s="127" t="s">
        <v>2855</v>
      </c>
      <c r="B893" s="51" t="s">
        <v>2856</v>
      </c>
      <c r="C893" s="62"/>
      <c r="D893" s="84">
        <v>6</v>
      </c>
      <c r="E893" s="62" t="s">
        <v>2777</v>
      </c>
      <c r="F893" s="62">
        <v>7</v>
      </c>
      <c r="G893" s="62"/>
      <c r="H893" s="50">
        <f>VLOOKUP($A893,'[1]ma sp 02'!$A$5:$BD$1101,H$1,0)</f>
        <v>0.128</v>
      </c>
      <c r="I893" s="50">
        <f>VLOOKUP($A893,'[1]ma sp 02'!$A$5:$BD$1101,I$1,0)</f>
        <v>4.9249999999999998</v>
      </c>
      <c r="J893" s="50">
        <f>VLOOKUP($A893,'[1]ma sp 02'!$A$5:$BD$1101,J$1,0)</f>
        <v>0.23499999999999999</v>
      </c>
      <c r="K893" s="50">
        <f>VLOOKUP($A893,'[1]ma sp 02'!$A$5:$BD$1101,K$1,0)</f>
        <v>0.01</v>
      </c>
      <c r="L893" s="50">
        <f>VLOOKUP($A893,'[1]ma sp 02'!$A$5:$BD$1101,L$1,0)</f>
        <v>0.23499999999999999</v>
      </c>
      <c r="M893" s="50">
        <f>VLOOKUP($A893,'[1]ma sp 02'!$A$5:$BD$1101,M$1,0)</f>
        <v>0.59699999999999998</v>
      </c>
      <c r="N893" s="50">
        <f>VLOOKUP($A893,'[1]ma sp 02'!$A$5:$BD$1101,N$1,0)</f>
        <v>0</v>
      </c>
      <c r="O893" s="50">
        <f>VLOOKUP($A893,'[1]ma sp 02'!$A$5:$BD$1101,O$1,0)</f>
        <v>0</v>
      </c>
      <c r="P893" s="50">
        <f>VLOOKUP($A893,'[1]ma sp 02'!$A$5:$BD$1101,P$1,0)</f>
        <v>0.32</v>
      </c>
      <c r="Q893" s="50">
        <f>VLOOKUP($A893,'[1]ma sp 02'!$A$5:$BD$1101,Q$1,0)</f>
        <v>0</v>
      </c>
      <c r="R893" s="50">
        <f>VLOOKUP($A893,'[1]ma sp 02'!$A$5:$BD$1101,R$1,0)</f>
        <v>0</v>
      </c>
      <c r="S893" s="50">
        <f>VLOOKUP($A893,'[1]ma sp 02'!$A$5:$BD$1101,S$1,0)</f>
        <v>0</v>
      </c>
      <c r="T893" s="50">
        <f>VLOOKUP($A893,'[1]ma sp 02'!$A$5:$BD$1101,T$1,0)</f>
        <v>0.01</v>
      </c>
      <c r="U893" s="50">
        <f>VLOOKUP($A893,'[1]ma sp 02'!$A$5:$BD$1101,U$1,0)</f>
        <v>0</v>
      </c>
      <c r="V893" s="50">
        <f>VLOOKUP($A893,'[1]ma sp 02'!$A$5:$BD$1101,V$1,0)</f>
        <v>0</v>
      </c>
      <c r="W893" s="50">
        <f>VLOOKUP($A893,'[1]ma sp 02'!$A$5:$BD$1101,W$1,0)</f>
        <v>0</v>
      </c>
      <c r="X893" s="50"/>
      <c r="Y893" s="62"/>
      <c r="Z893" s="62"/>
      <c r="AA893" s="62"/>
      <c r="AB893" s="62"/>
      <c r="AC893" s="62"/>
      <c r="AD893" s="62"/>
      <c r="AE893" s="62" t="s">
        <v>2857</v>
      </c>
      <c r="AF893" s="62"/>
      <c r="AG893" s="53">
        <f>(0.015*1.15+0.045*0.925)*0.79</f>
        <v>4.6511249999999997E-2</v>
      </c>
      <c r="AH893" s="54">
        <f>(2/0.75/2)*0.78</f>
        <v>1.04</v>
      </c>
      <c r="AI893" s="54"/>
      <c r="AJ893" s="192">
        <v>9530</v>
      </c>
      <c r="AK893" s="62"/>
      <c r="AL893" s="62">
        <v>2E-3</v>
      </c>
      <c r="AM893" s="61" t="s">
        <v>1489</v>
      </c>
      <c r="AN893" s="62">
        <v>98</v>
      </c>
      <c r="AO893" s="61" t="s">
        <v>1927</v>
      </c>
      <c r="AP893" s="59" t="str">
        <f>IFERROR(VLOOKUP($A893,[2]Mssp!$A$5:$BE$1463,AP$4+1,0),0)</f>
        <v>F128291-1</v>
      </c>
      <c r="AQ893" s="59" t="str">
        <f>IFERROR(VLOOKUP($A893,[2]Mssp!$A$5:$BE$1463,AQ$4+1,0),0)</f>
        <v>F128291-2</v>
      </c>
      <c r="AR893" s="59" t="str">
        <f>IFERROR(VLOOKUP($A893,[2]Mssp!$A$5:$BE$1463,AR$4+1,0),0)</f>
        <v>F128291-3</v>
      </c>
      <c r="AS893" s="59" t="str">
        <f>IFERROR(VLOOKUP($A893,[2]Mssp!$A$5:$BE$1463,AS$4+1,0),0)</f>
        <v>F128291-4</v>
      </c>
      <c r="AT893" s="59" t="str">
        <f>IFERROR(VLOOKUP($A893,[2]Mssp!$A$5:$BE$1463,AT$4+1,0),0)</f>
        <v>F128291-5</v>
      </c>
      <c r="AU893" s="59" t="str">
        <f>IFERROR(VLOOKUP($A893,[2]Mssp!$A$5:$BE$1463,AU$4+1,0),0)</f>
        <v>F128291-6</v>
      </c>
      <c r="AV893" s="59" t="str">
        <f>IFERROR(VLOOKUP($A893,[2]Mssp!$A$5:$BE$1463,AV$4+1,0),0)</f>
        <v>F128291-7</v>
      </c>
      <c r="AW893" s="59">
        <f>IFERROR(VLOOKUP($A893,[2]Mssp!$A$5:$BE$1463,AW$4+1,0),0)</f>
        <v>0</v>
      </c>
      <c r="AX893" s="59">
        <f>IFERROR(VLOOKUP($A893,[2]Mssp!$A$5:$BE$1463,AX$4+1,0),0)</f>
        <v>0</v>
      </c>
      <c r="AY893" s="59" t="str">
        <f>IFERROR(VLOOKUP($A893,[2]Mssp!$A$5:$BE$1463,AY$4+2,0),0)</f>
        <v>490x870</v>
      </c>
      <c r="AZ893" s="59">
        <f>IFERROR(VLOOKUP($A893,[2]Mssp!$A$5:$BE$1463,AZ$4+2,0),0)</f>
        <v>0</v>
      </c>
      <c r="BA893" s="141"/>
      <c r="BB893" s="61"/>
      <c r="BC893" s="165"/>
      <c r="BD893" s="166"/>
      <c r="BE893" s="167"/>
      <c r="BF893" s="168"/>
      <c r="BG893" s="167"/>
      <c r="BH893" s="168"/>
      <c r="BI893" s="169"/>
      <c r="BJ893" s="168"/>
      <c r="BK893" s="134"/>
      <c r="BL893" s="168"/>
      <c r="BM893" s="167"/>
      <c r="BN893" s="168"/>
      <c r="BO893" s="62"/>
      <c r="BP893" s="168"/>
      <c r="BQ893" s="168"/>
      <c r="BR893" s="168"/>
      <c r="BS893" s="135"/>
      <c r="BT893" s="176"/>
      <c r="BU893" s="167"/>
      <c r="BV893" s="168"/>
      <c r="BW893" s="167"/>
      <c r="BX893" s="168"/>
      <c r="BY893" s="167"/>
      <c r="BZ893" s="176"/>
      <c r="CA893" s="167"/>
      <c r="CB893" s="168"/>
      <c r="CC893" s="167"/>
      <c r="CD893" s="168"/>
      <c r="CE893" s="62"/>
      <c r="CF893" s="62"/>
      <c r="CG893" s="9"/>
      <c r="CH893" s="9"/>
      <c r="CI893" s="9"/>
      <c r="CJ893" s="9"/>
      <c r="CK893" s="9"/>
      <c r="CL893" s="9"/>
      <c r="CM893" s="9"/>
      <c r="CN893" s="9"/>
      <c r="CO893" s="9"/>
      <c r="CP893" s="9"/>
    </row>
    <row r="894" spans="1:94" ht="30" x14ac:dyDescent="0.25">
      <c r="A894" s="127" t="s">
        <v>2858</v>
      </c>
      <c r="B894" s="51" t="s">
        <v>2859</v>
      </c>
      <c r="C894" s="62"/>
      <c r="D894" s="84">
        <v>2</v>
      </c>
      <c r="E894" s="62" t="s">
        <v>819</v>
      </c>
      <c r="F894" s="62">
        <v>6</v>
      </c>
      <c r="G894" s="62"/>
      <c r="H894" s="50">
        <f>VLOOKUP($A894,'[1]ma sp 02'!$A$5:$BD$1101,H$1,0)</f>
        <v>0.26900000000000002</v>
      </c>
      <c r="I894" s="50">
        <f>VLOOKUP($A894,'[1]ma sp 02'!$A$5:$BD$1101,I$1,0)</f>
        <v>4.181</v>
      </c>
      <c r="J894" s="50">
        <f>VLOOKUP($A894,'[1]ma sp 02'!$A$5:$BD$1101,J$1,0)</f>
        <v>0.84399999999999997</v>
      </c>
      <c r="K894" s="50">
        <f>VLOOKUP($A894,'[1]ma sp 02'!$A$5:$BD$1101,K$1,0)</f>
        <v>0.88200000000000001</v>
      </c>
      <c r="L894" s="50">
        <f>VLOOKUP($A894,'[1]ma sp 02'!$A$5:$BD$1101,L$1,0)</f>
        <v>0.92100000000000004</v>
      </c>
      <c r="M894" s="50">
        <f>VLOOKUP($A894,'[1]ma sp 02'!$A$5:$BD$1101,M$1,0)</f>
        <v>0.53700000000000003</v>
      </c>
      <c r="N894" s="50">
        <f>VLOOKUP($A894,'[1]ma sp 02'!$A$5:$BD$1101,N$1,0)</f>
        <v>0</v>
      </c>
      <c r="O894" s="50">
        <f>VLOOKUP($A894,'[1]ma sp 02'!$A$5:$BD$1101,O$1,0)</f>
        <v>0</v>
      </c>
      <c r="P894" s="50">
        <f>VLOOKUP($A894,'[1]ma sp 02'!$A$5:$BD$1101,P$1,0)</f>
        <v>0</v>
      </c>
      <c r="Q894" s="50">
        <f>VLOOKUP($A894,'[1]ma sp 02'!$A$5:$BD$1101,Q$1,0)</f>
        <v>0</v>
      </c>
      <c r="R894" s="50">
        <f>VLOOKUP($A894,'[1]ma sp 02'!$A$5:$BD$1101,R$1,0)</f>
        <v>0</v>
      </c>
      <c r="S894" s="50">
        <f>VLOOKUP($A894,'[1]ma sp 02'!$A$5:$BD$1101,S$1,0)</f>
        <v>0</v>
      </c>
      <c r="T894" s="50">
        <f>VLOOKUP($A894,'[1]ma sp 02'!$A$5:$BD$1101,T$1,0)</f>
        <v>0.01</v>
      </c>
      <c r="U894" s="50">
        <f>VLOOKUP($A894,'[1]ma sp 02'!$A$5:$BD$1101,U$1,0)</f>
        <v>0</v>
      </c>
      <c r="V894" s="50">
        <f>VLOOKUP($A894,'[1]ma sp 02'!$A$5:$BD$1101,V$1,0)</f>
        <v>0</v>
      </c>
      <c r="W894" s="50">
        <f>VLOOKUP($A894,'[1]ma sp 02'!$A$5:$BD$1101,W$1,0)</f>
        <v>0</v>
      </c>
      <c r="X894" s="50"/>
      <c r="Y894" s="62"/>
      <c r="Z894" s="62"/>
      <c r="AA894" s="62"/>
      <c r="AB894" s="62"/>
      <c r="AC894" s="62"/>
      <c r="AD894" s="62"/>
      <c r="AE894" s="62" t="s">
        <v>2860</v>
      </c>
      <c r="AF894" s="62"/>
      <c r="AG894" s="53">
        <f>(0.02*0.91+0.04*0.925)*0.74</f>
        <v>4.0848000000000002E-2</v>
      </c>
      <c r="AH894" s="54">
        <f>(2.3/0.75/2)*0.73</f>
        <v>1.1193333333333333</v>
      </c>
      <c r="AI894" s="54"/>
      <c r="AJ894" s="192">
        <v>9530</v>
      </c>
      <c r="AK894" s="62"/>
      <c r="AL894" s="62">
        <v>2.3E-3</v>
      </c>
      <c r="AM894" s="61" t="s">
        <v>74</v>
      </c>
      <c r="AN894" s="62">
        <v>250</v>
      </c>
      <c r="AO894" s="61" t="s">
        <v>1927</v>
      </c>
      <c r="AP894" s="59" t="str">
        <f>IFERROR(VLOOKUP($A894,[2]Mssp!$A$5:$BE$1463,AP$4+1,0),0)</f>
        <v>F128292-1</v>
      </c>
      <c r="AQ894" s="59" t="str">
        <f>IFERROR(VLOOKUP($A894,[2]Mssp!$A$5:$BE$1463,AQ$4+1,0),0)</f>
        <v>F128292-2</v>
      </c>
      <c r="AR894" s="59" t="str">
        <f>IFERROR(VLOOKUP($A894,[2]Mssp!$A$5:$BE$1463,AR$4+1,0),0)</f>
        <v>F128292-3</v>
      </c>
      <c r="AS894" s="59" t="str">
        <f>IFERROR(VLOOKUP($A894,[2]Mssp!$A$5:$BE$1463,AS$4+1,0),0)</f>
        <v>F128292-4</v>
      </c>
      <c r="AT894" s="59" t="str">
        <f>IFERROR(VLOOKUP($A894,[2]Mssp!$A$5:$BE$1463,AT$4+1,0),0)</f>
        <v>F128292-5</v>
      </c>
      <c r="AU894" s="59" t="str">
        <f>IFERROR(VLOOKUP($A894,[2]Mssp!$A$5:$BE$1463,AU$4+1,0),0)</f>
        <v>F128292-6</v>
      </c>
      <c r="AV894" s="59">
        <f>IFERROR(VLOOKUP($A894,[2]Mssp!$A$5:$BE$1463,AV$4+1,0),0)</f>
        <v>0</v>
      </c>
      <c r="AW894" s="59">
        <f>IFERROR(VLOOKUP($A894,[2]Mssp!$A$5:$BE$1463,AW$4+1,0),0)</f>
        <v>0</v>
      </c>
      <c r="AX894" s="59">
        <f>IFERROR(VLOOKUP($A894,[2]Mssp!$A$5:$BE$1463,AX$4+1,0),0)</f>
        <v>0</v>
      </c>
      <c r="AY894" s="59" t="str">
        <f>IFERROR(VLOOKUP($A894,[2]Mssp!$A$5:$BE$1463,AY$4+2,0),0)</f>
        <v>500x870</v>
      </c>
      <c r="AZ894" s="59">
        <f>IFERROR(VLOOKUP($A894,[2]Mssp!$A$5:$BE$1463,AZ$4+2,0),0)</f>
        <v>0</v>
      </c>
      <c r="BA894" s="141"/>
      <c r="BB894" s="61" t="s">
        <v>1894</v>
      </c>
      <c r="BC894" s="165"/>
      <c r="BD894" s="166"/>
      <c r="BE894" s="167"/>
      <c r="BF894" s="168"/>
      <c r="BG894" s="167"/>
      <c r="BH894" s="168"/>
      <c r="BI894" s="169"/>
      <c r="BJ894" s="168"/>
      <c r="BK894" s="134"/>
      <c r="BL894" s="168"/>
      <c r="BM894" s="167"/>
      <c r="BN894" s="168"/>
      <c r="BO894" s="62"/>
      <c r="BP894" s="168"/>
      <c r="BQ894" s="168"/>
      <c r="BR894" s="168"/>
      <c r="BS894" s="135"/>
      <c r="BT894" s="176"/>
      <c r="BU894" s="167"/>
      <c r="BV894" s="168"/>
      <c r="BW894" s="167"/>
      <c r="BX894" s="168"/>
      <c r="BY894" s="167"/>
      <c r="BZ894" s="176"/>
      <c r="CA894" s="167"/>
      <c r="CB894" s="168"/>
      <c r="CC894" s="167"/>
      <c r="CD894" s="168"/>
      <c r="CE894" s="62"/>
      <c r="CF894" s="62"/>
      <c r="CG894" s="9"/>
      <c r="CH894" s="9"/>
      <c r="CI894" s="9"/>
      <c r="CJ894" s="9"/>
      <c r="CK894" s="9"/>
      <c r="CL894" s="9"/>
      <c r="CM894" s="9"/>
      <c r="CN894" s="9"/>
      <c r="CO894" s="9"/>
      <c r="CP894" s="9"/>
    </row>
    <row r="895" spans="1:94" ht="30" x14ac:dyDescent="0.25">
      <c r="A895" s="127" t="s">
        <v>2861</v>
      </c>
      <c r="B895" s="51" t="s">
        <v>2862</v>
      </c>
      <c r="C895" s="62"/>
      <c r="D895" s="84">
        <v>3</v>
      </c>
      <c r="E895" s="62" t="s">
        <v>437</v>
      </c>
      <c r="F895" s="62">
        <v>6</v>
      </c>
      <c r="G895" s="62"/>
      <c r="H895" s="50">
        <f>VLOOKUP($A895,'[1]ma sp 02'!$A$5:$BD$1101,H$1,0)</f>
        <v>0</v>
      </c>
      <c r="I895" s="50">
        <f>VLOOKUP($A895,'[1]ma sp 02'!$A$5:$BD$1101,I$1,0)</f>
        <v>0</v>
      </c>
      <c r="J895" s="50">
        <f>VLOOKUP($A895,'[1]ma sp 02'!$A$5:$BD$1101,J$1,0)</f>
        <v>0</v>
      </c>
      <c r="K895" s="50">
        <f>VLOOKUP($A895,'[1]ma sp 02'!$A$5:$BD$1101,K$1,0)</f>
        <v>0</v>
      </c>
      <c r="L895" s="50">
        <f>VLOOKUP($A895,'[1]ma sp 02'!$A$5:$BD$1101,L$1,0)</f>
        <v>0</v>
      </c>
      <c r="M895" s="50">
        <f>VLOOKUP($A895,'[1]ma sp 02'!$A$5:$BD$1101,M$1,0)</f>
        <v>0</v>
      </c>
      <c r="N895" s="50">
        <f>VLOOKUP($A895,'[1]ma sp 02'!$A$5:$BD$1101,N$1,0)</f>
        <v>0</v>
      </c>
      <c r="O895" s="50">
        <f>VLOOKUP($A895,'[1]ma sp 02'!$A$5:$BD$1101,O$1,0)</f>
        <v>0</v>
      </c>
      <c r="P895" s="50">
        <f>VLOOKUP($A895,'[1]ma sp 02'!$A$5:$BD$1101,P$1,0)</f>
        <v>0</v>
      </c>
      <c r="Q895" s="50">
        <f>VLOOKUP($A895,'[1]ma sp 02'!$A$5:$BD$1101,Q$1,0)</f>
        <v>0</v>
      </c>
      <c r="R895" s="50">
        <f>VLOOKUP($A895,'[1]ma sp 02'!$A$5:$BD$1101,R$1,0)</f>
        <v>0</v>
      </c>
      <c r="S895" s="50">
        <f>VLOOKUP($A895,'[1]ma sp 02'!$A$5:$BD$1101,S$1,0)</f>
        <v>0</v>
      </c>
      <c r="T895" s="50">
        <f>VLOOKUP($A895,'[1]ma sp 02'!$A$5:$BD$1101,T$1,0)</f>
        <v>0</v>
      </c>
      <c r="U895" s="50">
        <f>VLOOKUP($A895,'[1]ma sp 02'!$A$5:$BD$1101,U$1,0)</f>
        <v>0</v>
      </c>
      <c r="V895" s="50">
        <f>VLOOKUP($A895,'[1]ma sp 02'!$A$5:$BD$1101,V$1,0)</f>
        <v>0</v>
      </c>
      <c r="W895" s="50">
        <f>VLOOKUP($A895,'[1]ma sp 02'!$A$5:$BD$1101,W$1,0)</f>
        <v>0</v>
      </c>
      <c r="X895" s="50"/>
      <c r="Y895" s="62"/>
      <c r="Z895" s="62"/>
      <c r="AA895" s="62"/>
      <c r="AB895" s="62"/>
      <c r="AC895" s="62"/>
      <c r="AD895" s="62"/>
      <c r="AE895" s="62" t="s">
        <v>2365</v>
      </c>
      <c r="AF895" s="62" t="s">
        <v>2863</v>
      </c>
      <c r="AG895" s="53">
        <f>(0.012*1.4+0.006*2.71+0.08*0.925)*0.68</f>
        <v>7.2800800000000013E-2</v>
      </c>
      <c r="AH895" s="54">
        <f>(2.5/0.75/2)*0.67</f>
        <v>1.1166666666666667</v>
      </c>
      <c r="AI895" s="54">
        <f>(2.5/0.75/2)*0.67</f>
        <v>1.1166666666666667</v>
      </c>
      <c r="AJ895" s="192">
        <v>9530</v>
      </c>
      <c r="AK895" s="62">
        <v>9530</v>
      </c>
      <c r="AL895" s="62" t="s">
        <v>1901</v>
      </c>
      <c r="AM895" s="61" t="s">
        <v>74</v>
      </c>
      <c r="AN895" s="62">
        <v>160</v>
      </c>
      <c r="AO895" s="61" t="s">
        <v>612</v>
      </c>
      <c r="AP895" s="59" t="str">
        <f>IFERROR(VLOOKUP($A895,[2]Mssp!$A$5:$BE$1463,AP$4+1,0),0)</f>
        <v>21041096-1</v>
      </c>
      <c r="AQ895" s="59" t="str">
        <f>IFERROR(VLOOKUP($A895,[2]Mssp!$A$5:$BE$1463,AQ$4+1,0),0)</f>
        <v>21041096-2</v>
      </c>
      <c r="AR895" s="59" t="str">
        <f>IFERROR(VLOOKUP($A895,[2]Mssp!$A$5:$BE$1463,AR$4+1,0),0)</f>
        <v>21041096-3</v>
      </c>
      <c r="AS895" s="59" t="str">
        <f>IFERROR(VLOOKUP($A895,[2]Mssp!$A$5:$BE$1463,AS$4+1,0),0)</f>
        <v>21041096-4</v>
      </c>
      <c r="AT895" s="59" t="str">
        <f>IFERROR(VLOOKUP($A895,[2]Mssp!$A$5:$BE$1463,AT$4+1,0),0)</f>
        <v>21041096-5</v>
      </c>
      <c r="AU895" s="59" t="str">
        <f>IFERROR(VLOOKUP($A895,[2]Mssp!$A$5:$BE$1463,AU$4+1,0),0)</f>
        <v>21041096-6</v>
      </c>
      <c r="AV895" s="59">
        <f>IFERROR(VLOOKUP($A895,[2]Mssp!$A$5:$BE$1463,AV$4+1,0),0)</f>
        <v>0</v>
      </c>
      <c r="AW895" s="59">
        <f>IFERROR(VLOOKUP($A895,[2]Mssp!$A$5:$BE$1463,AW$4+1,0),0)</f>
        <v>0</v>
      </c>
      <c r="AX895" s="59">
        <f>IFERROR(VLOOKUP($A895,[2]Mssp!$A$5:$BE$1463,AX$4+1,0),0)</f>
        <v>0</v>
      </c>
      <c r="AY895" s="59" t="str">
        <f>IFERROR(VLOOKUP($A895,[2]Mssp!$A$5:$BE$1463,AY$4+2,0),0)</f>
        <v>480x870</v>
      </c>
      <c r="AZ895" s="59">
        <f>IFERROR(VLOOKUP($A895,[2]Mssp!$A$5:$BE$1463,AZ$4+2,0),0)</f>
        <v>0</v>
      </c>
      <c r="BA895" s="141"/>
      <c r="BB895" s="61" t="s">
        <v>1894</v>
      </c>
      <c r="BC895" s="165"/>
      <c r="BD895" s="166"/>
      <c r="BE895" s="167"/>
      <c r="BF895" s="168"/>
      <c r="BG895" s="167"/>
      <c r="BH895" s="168"/>
      <c r="BI895" s="169"/>
      <c r="BJ895" s="168"/>
      <c r="BK895" s="134"/>
      <c r="BL895" s="168"/>
      <c r="BM895" s="167"/>
      <c r="BN895" s="168"/>
      <c r="BO895" s="62"/>
      <c r="BP895" s="168"/>
      <c r="BQ895" s="168"/>
      <c r="BR895" s="168"/>
      <c r="BS895" s="135"/>
      <c r="BT895" s="176"/>
      <c r="BU895" s="167"/>
      <c r="BV895" s="168"/>
      <c r="BW895" s="167"/>
      <c r="BX895" s="168"/>
      <c r="BY895" s="167"/>
      <c r="BZ895" s="176"/>
      <c r="CA895" s="167"/>
      <c r="CB895" s="168"/>
      <c r="CC895" s="167"/>
      <c r="CD895" s="168"/>
      <c r="CE895" s="62"/>
      <c r="CF895" s="62"/>
      <c r="CG895" s="9"/>
      <c r="CH895" s="9"/>
      <c r="CI895" s="9"/>
      <c r="CJ895" s="9"/>
      <c r="CK895" s="9"/>
      <c r="CL895" s="9"/>
      <c r="CM895" s="9"/>
      <c r="CN895" s="9"/>
      <c r="CO895" s="9"/>
      <c r="CP895" s="9"/>
    </row>
    <row r="896" spans="1:94" ht="30" x14ac:dyDescent="0.25">
      <c r="A896" s="127" t="s">
        <v>2864</v>
      </c>
      <c r="B896" s="51" t="s">
        <v>2865</v>
      </c>
      <c r="C896" s="62"/>
      <c r="D896" s="84">
        <v>1</v>
      </c>
      <c r="E896" s="62" t="s">
        <v>1216</v>
      </c>
      <c r="F896" s="62">
        <v>7</v>
      </c>
      <c r="G896" s="62"/>
      <c r="H896" s="50">
        <f>VLOOKUP($A896,'[1]ma sp 02'!$A$5:$BD$1101,H$1,0)</f>
        <v>0.34699999999999998</v>
      </c>
      <c r="I896" s="50">
        <f>VLOOKUP($A896,'[1]ma sp 02'!$A$5:$BD$1101,I$1,0)</f>
        <v>12.759</v>
      </c>
      <c r="J896" s="50">
        <f>VLOOKUP($A896,'[1]ma sp 02'!$A$5:$BD$1101,J$1,0)</f>
        <v>1.8029999999999999</v>
      </c>
      <c r="K896" s="50">
        <f>VLOOKUP($A896,'[1]ma sp 02'!$A$5:$BD$1101,K$1,0)</f>
        <v>0.27700000000000002</v>
      </c>
      <c r="L896" s="50">
        <f>VLOOKUP($A896,'[1]ma sp 02'!$A$5:$BD$1101,L$1,0)</f>
        <v>1.8720000000000001</v>
      </c>
      <c r="M896" s="50">
        <f>VLOOKUP($A896,'[1]ma sp 02'!$A$5:$BD$1101,M$1,0)</f>
        <v>2.3580000000000001</v>
      </c>
      <c r="N896" s="50">
        <f>VLOOKUP($A896,'[1]ma sp 02'!$A$5:$BD$1101,N$1,0)</f>
        <v>0</v>
      </c>
      <c r="O896" s="50">
        <f>VLOOKUP($A896,'[1]ma sp 02'!$A$5:$BD$1101,O$1,0)</f>
        <v>0</v>
      </c>
      <c r="P896" s="50">
        <f>VLOOKUP($A896,'[1]ma sp 02'!$A$5:$BD$1101,P$1,0)</f>
        <v>0</v>
      </c>
      <c r="Q896" s="50">
        <f>VLOOKUP($A896,'[1]ma sp 02'!$A$5:$BD$1101,Q$1,0)</f>
        <v>0.01</v>
      </c>
      <c r="R896" s="50">
        <f>VLOOKUP($A896,'[1]ma sp 02'!$A$5:$BD$1101,R$1,0)</f>
        <v>1.8720000000000001</v>
      </c>
      <c r="S896" s="50">
        <f>VLOOKUP($A896,'[1]ma sp 02'!$A$5:$BD$1101,S$1,0)</f>
        <v>0</v>
      </c>
      <c r="T896" s="50">
        <f>VLOOKUP($A896,'[1]ma sp 02'!$A$5:$BD$1101,T$1,0)</f>
        <v>0</v>
      </c>
      <c r="U896" s="50">
        <f>VLOOKUP($A896,'[1]ma sp 02'!$A$5:$BD$1101,U$1,0)</f>
        <v>0</v>
      </c>
      <c r="V896" s="50">
        <f>VLOOKUP($A896,'[1]ma sp 02'!$A$5:$BD$1101,V$1,0)</f>
        <v>0</v>
      </c>
      <c r="W896" s="50">
        <f>VLOOKUP($A896,'[1]ma sp 02'!$A$5:$BD$1101,W$1,0)</f>
        <v>0</v>
      </c>
      <c r="X896" s="50"/>
      <c r="Y896" s="62"/>
      <c r="Z896" s="62"/>
      <c r="AA896" s="62"/>
      <c r="AB896" s="62"/>
      <c r="AC896" s="62"/>
      <c r="AD896" s="62"/>
      <c r="AE896" s="61" t="s">
        <v>2866</v>
      </c>
      <c r="AF896" s="62" t="s">
        <v>1722</v>
      </c>
      <c r="AG896" s="53">
        <f>(0.012*1.4+0.012*1.4+0.06*0.925)*0.63</f>
        <v>5.6133000000000002E-2</v>
      </c>
      <c r="AH896" s="54">
        <f>(2.3/0.75/2)*0.62</f>
        <v>0.95066666666666655</v>
      </c>
      <c r="AI896" s="54">
        <f>(2.3/0.75/2)*0.62</f>
        <v>0.95066666666666655</v>
      </c>
      <c r="AJ896" s="192">
        <v>9530</v>
      </c>
      <c r="AK896" s="62">
        <v>9530</v>
      </c>
      <c r="AL896" s="62" t="s">
        <v>1590</v>
      </c>
      <c r="AM896" s="61" t="s">
        <v>2867</v>
      </c>
      <c r="AN896" s="62">
        <v>200</v>
      </c>
      <c r="AO896" s="61" t="s">
        <v>2868</v>
      </c>
      <c r="AP896" s="59" t="str">
        <f>IFERROR(VLOOKUP($A896,[2]Mssp!$A$5:$BE$1463,AP$4+1,0),0)</f>
        <v>21041142-1</v>
      </c>
      <c r="AQ896" s="59" t="str">
        <f>IFERROR(VLOOKUP($A896,[2]Mssp!$A$5:$BE$1463,AQ$4+1,0),0)</f>
        <v>21041142-2</v>
      </c>
      <c r="AR896" s="59" t="str">
        <f>IFERROR(VLOOKUP($A896,[2]Mssp!$A$5:$BE$1463,AR$4+1,0),0)</f>
        <v>21041142-3</v>
      </c>
      <c r="AS896" s="59" t="str">
        <f>IFERROR(VLOOKUP($A896,[2]Mssp!$A$5:$BE$1463,AS$4+1,0),0)</f>
        <v>21041142-4</v>
      </c>
      <c r="AT896" s="59" t="str">
        <f>IFERROR(VLOOKUP($A896,[2]Mssp!$A$5:$BE$1463,AT$4+1,0),0)</f>
        <v>21041142-5</v>
      </c>
      <c r="AU896" s="59" t="str">
        <f>IFERROR(VLOOKUP($A896,[2]Mssp!$A$5:$BE$1463,AU$4+1,0),0)</f>
        <v>21041142-6</v>
      </c>
      <c r="AV896" s="59" t="str">
        <f>IFERROR(VLOOKUP($A896,[2]Mssp!$A$5:$BE$1463,AV$4+1,0),0)</f>
        <v>21041142-7</v>
      </c>
      <c r="AW896" s="59">
        <f>IFERROR(VLOOKUP($A896,[2]Mssp!$A$5:$BE$1463,AW$4+1,0),0)</f>
        <v>0</v>
      </c>
      <c r="AX896" s="59">
        <f>IFERROR(VLOOKUP($A896,[2]Mssp!$A$5:$BE$1463,AX$4+1,0),0)</f>
        <v>0</v>
      </c>
      <c r="AY896" s="59" t="str">
        <f>IFERROR(VLOOKUP($A896,[2]Mssp!$A$5:$BE$1463,AY$4+2,0),0)</f>
        <v>600x870</v>
      </c>
      <c r="AZ896" s="59">
        <f>IFERROR(VLOOKUP($A896,[2]Mssp!$A$5:$BE$1463,AZ$4+2,0),0)</f>
        <v>0</v>
      </c>
      <c r="BA896" s="141"/>
      <c r="BB896" s="61" t="s">
        <v>1894</v>
      </c>
      <c r="BC896" s="165"/>
      <c r="BD896" s="166"/>
      <c r="BE896" s="167"/>
      <c r="BF896" s="168"/>
      <c r="BG896" s="167"/>
      <c r="BH896" s="168"/>
      <c r="BI896" s="169"/>
      <c r="BJ896" s="168"/>
      <c r="BK896" s="134"/>
      <c r="BL896" s="168"/>
      <c r="BM896" s="167"/>
      <c r="BN896" s="168"/>
      <c r="BO896" s="62"/>
      <c r="BP896" s="168"/>
      <c r="BQ896" s="168"/>
      <c r="BR896" s="168"/>
      <c r="BS896" s="135"/>
      <c r="BT896" s="176"/>
      <c r="BU896" s="167"/>
      <c r="BV896" s="168"/>
      <c r="BW896" s="167"/>
      <c r="BX896" s="168"/>
      <c r="BY896" s="167"/>
      <c r="BZ896" s="176"/>
      <c r="CA896" s="167"/>
      <c r="CB896" s="168"/>
      <c r="CC896" s="167"/>
      <c r="CD896" s="168"/>
      <c r="CE896" s="62"/>
      <c r="CF896" s="62"/>
      <c r="CG896" s="9"/>
      <c r="CH896" s="9"/>
      <c r="CI896" s="9"/>
      <c r="CJ896" s="9"/>
      <c r="CK896" s="9"/>
      <c r="CL896" s="9"/>
      <c r="CM896" s="9"/>
      <c r="CN896" s="9"/>
      <c r="CO896" s="9"/>
      <c r="CP896" s="9"/>
    </row>
    <row r="897" spans="1:94" ht="30" x14ac:dyDescent="0.25">
      <c r="A897" s="127" t="s">
        <v>2869</v>
      </c>
      <c r="B897" s="51" t="s">
        <v>2870</v>
      </c>
      <c r="C897" s="62"/>
      <c r="D897" s="84">
        <v>4</v>
      </c>
      <c r="E897" s="62" t="s">
        <v>910</v>
      </c>
      <c r="F897" s="62"/>
      <c r="G897" s="62"/>
      <c r="H897" s="50">
        <f>VLOOKUP($A897,'[1]ma sp 02'!$A$5:$BD$1101,H$1,0)</f>
        <v>0</v>
      </c>
      <c r="I897" s="50">
        <f>VLOOKUP($A897,'[1]ma sp 02'!$A$5:$BD$1101,I$1,0)</f>
        <v>0</v>
      </c>
      <c r="J897" s="50">
        <f>VLOOKUP($A897,'[1]ma sp 02'!$A$5:$BD$1101,J$1,0)</f>
        <v>0</v>
      </c>
      <c r="K897" s="50">
        <f>VLOOKUP($A897,'[1]ma sp 02'!$A$5:$BD$1101,K$1,0)</f>
        <v>0</v>
      </c>
      <c r="L897" s="50">
        <f>VLOOKUP($A897,'[1]ma sp 02'!$A$5:$BD$1101,L$1,0)</f>
        <v>0</v>
      </c>
      <c r="M897" s="50">
        <f>VLOOKUP($A897,'[1]ma sp 02'!$A$5:$BD$1101,M$1,0)</f>
        <v>0</v>
      </c>
      <c r="N897" s="50">
        <f>VLOOKUP($A897,'[1]ma sp 02'!$A$5:$BD$1101,N$1,0)</f>
        <v>0</v>
      </c>
      <c r="O897" s="50">
        <f>VLOOKUP($A897,'[1]ma sp 02'!$A$5:$BD$1101,O$1,0)</f>
        <v>0</v>
      </c>
      <c r="P897" s="50">
        <f>VLOOKUP($A897,'[1]ma sp 02'!$A$5:$BD$1101,P$1,0)</f>
        <v>0</v>
      </c>
      <c r="Q897" s="50">
        <f>VLOOKUP($A897,'[1]ma sp 02'!$A$5:$BD$1101,Q$1,0)</f>
        <v>0</v>
      </c>
      <c r="R897" s="50">
        <f>VLOOKUP($A897,'[1]ma sp 02'!$A$5:$BD$1101,R$1,0)</f>
        <v>0</v>
      </c>
      <c r="S897" s="50">
        <f>VLOOKUP($A897,'[1]ma sp 02'!$A$5:$BD$1101,S$1,0)</f>
        <v>0</v>
      </c>
      <c r="T897" s="50">
        <f>VLOOKUP($A897,'[1]ma sp 02'!$A$5:$BD$1101,T$1,0)</f>
        <v>0</v>
      </c>
      <c r="U897" s="50">
        <f>VLOOKUP($A897,'[1]ma sp 02'!$A$5:$BD$1101,U$1,0)</f>
        <v>0</v>
      </c>
      <c r="V897" s="50">
        <f>VLOOKUP($A897,'[1]ma sp 02'!$A$5:$BD$1101,V$1,0)</f>
        <v>0</v>
      </c>
      <c r="W897" s="50">
        <f>VLOOKUP($A897,'[1]ma sp 02'!$A$5:$BD$1101,W$1,0)</f>
        <v>0</v>
      </c>
      <c r="X897" s="50"/>
      <c r="Y897" s="62"/>
      <c r="Z897" s="62"/>
      <c r="AA897" s="62"/>
      <c r="AB897" s="62"/>
      <c r="AC897" s="62"/>
      <c r="AD897" s="62"/>
      <c r="AE897" s="62" t="s">
        <v>2871</v>
      </c>
      <c r="AF897" s="62"/>
      <c r="AG897" s="53">
        <f>(0.012*1.4+0.065*0.925)*0.9</f>
        <v>6.9232500000000002E-2</v>
      </c>
      <c r="AH897" s="54">
        <f>(2.3/0.75/2)*0.89</f>
        <v>1.3646666666666665</v>
      </c>
      <c r="AI897" s="54"/>
      <c r="AJ897" s="192">
        <v>9530</v>
      </c>
      <c r="AK897" s="62"/>
      <c r="AL897" s="62">
        <v>2.3E-3</v>
      </c>
      <c r="AM897" s="61" t="s">
        <v>74</v>
      </c>
      <c r="AN897" s="62">
        <v>160</v>
      </c>
      <c r="AO897" s="61" t="s">
        <v>2872</v>
      </c>
      <c r="AP897" s="59">
        <f>IFERROR(VLOOKUP($A897,[2]Mssp!$A$5:$BE$1463,AP$4+1,0),0)</f>
        <v>0</v>
      </c>
      <c r="AQ897" s="59">
        <f>IFERROR(VLOOKUP($A897,[2]Mssp!$A$5:$BE$1463,AQ$4+1,0),0)</f>
        <v>0</v>
      </c>
      <c r="AR897" s="59">
        <f>IFERROR(VLOOKUP($A897,[2]Mssp!$A$5:$BE$1463,AR$4+1,0),0)</f>
        <v>0</v>
      </c>
      <c r="AS897" s="59">
        <f>IFERROR(VLOOKUP($A897,[2]Mssp!$A$5:$BE$1463,AS$4+1,0),0)</f>
        <v>0</v>
      </c>
      <c r="AT897" s="59">
        <f>IFERROR(VLOOKUP($A897,[2]Mssp!$A$5:$BE$1463,AT$4+1,0),0)</f>
        <v>0</v>
      </c>
      <c r="AU897" s="59">
        <f>IFERROR(VLOOKUP($A897,[2]Mssp!$A$5:$BE$1463,AU$4+1,0),0)</f>
        <v>0</v>
      </c>
      <c r="AV897" s="59">
        <f>IFERROR(VLOOKUP($A897,[2]Mssp!$A$5:$BE$1463,AV$4+1,0),0)</f>
        <v>0</v>
      </c>
      <c r="AW897" s="59">
        <f>IFERROR(VLOOKUP($A897,[2]Mssp!$A$5:$BE$1463,AW$4+1,0),0)</f>
        <v>0</v>
      </c>
      <c r="AX897" s="59">
        <f>IFERROR(VLOOKUP($A897,[2]Mssp!$A$5:$BE$1463,AX$4+1,0),0)</f>
        <v>0</v>
      </c>
      <c r="AY897" s="59">
        <f>IFERROR(VLOOKUP($A897,[2]Mssp!$A$5:$BE$1463,AY$4+2,0),0)</f>
        <v>0</v>
      </c>
      <c r="AZ897" s="59">
        <f>IFERROR(VLOOKUP($A897,[2]Mssp!$A$5:$BE$1463,AZ$4+2,0),0)</f>
        <v>0</v>
      </c>
      <c r="BA897" s="141"/>
      <c r="BB897" s="61"/>
      <c r="BC897" s="165"/>
      <c r="BD897" s="166"/>
      <c r="BE897" s="167"/>
      <c r="BF897" s="168"/>
      <c r="BG897" s="167"/>
      <c r="BH897" s="168"/>
      <c r="BI897" s="169"/>
      <c r="BJ897" s="168"/>
      <c r="BK897" s="134"/>
      <c r="BL897" s="168"/>
      <c r="BM897" s="167"/>
      <c r="BN897" s="168"/>
      <c r="BO897" s="62"/>
      <c r="BP897" s="168"/>
      <c r="BQ897" s="168"/>
      <c r="BR897" s="168"/>
      <c r="BS897" s="135"/>
      <c r="BT897" s="176"/>
      <c r="BU897" s="167"/>
      <c r="BV897" s="168"/>
      <c r="BW897" s="167"/>
      <c r="BX897" s="168"/>
      <c r="BY897" s="167"/>
      <c r="BZ897" s="176"/>
      <c r="CA897" s="167"/>
      <c r="CB897" s="168"/>
      <c r="CC897" s="167"/>
      <c r="CD897" s="168"/>
      <c r="CE897" s="62"/>
      <c r="CF897" s="62"/>
      <c r="CG897" s="9"/>
      <c r="CH897" s="9"/>
      <c r="CI897" s="9"/>
      <c r="CJ897" s="9"/>
      <c r="CK897" s="9"/>
      <c r="CL897" s="9"/>
      <c r="CM897" s="9"/>
      <c r="CN897" s="9"/>
      <c r="CO897" s="9"/>
      <c r="CP897" s="9"/>
    </row>
    <row r="898" spans="1:94" ht="30" x14ac:dyDescent="0.25">
      <c r="A898" s="127" t="s">
        <v>2873</v>
      </c>
      <c r="B898" s="51" t="s">
        <v>2870</v>
      </c>
      <c r="C898" s="62"/>
      <c r="D898" s="84">
        <v>4</v>
      </c>
      <c r="E898" s="62" t="s">
        <v>748</v>
      </c>
      <c r="F898" s="62"/>
      <c r="G898" s="62"/>
      <c r="H898" s="50">
        <f>VLOOKUP($A898,'[1]ma sp 02'!$A$5:$BD$1101,H$1,0)</f>
        <v>0</v>
      </c>
      <c r="I898" s="50">
        <f>VLOOKUP($A898,'[1]ma sp 02'!$A$5:$BD$1101,I$1,0)</f>
        <v>0</v>
      </c>
      <c r="J898" s="50">
        <f>VLOOKUP($A898,'[1]ma sp 02'!$A$5:$BD$1101,J$1,0)</f>
        <v>0</v>
      </c>
      <c r="K898" s="50">
        <f>VLOOKUP($A898,'[1]ma sp 02'!$A$5:$BD$1101,K$1,0)</f>
        <v>0</v>
      </c>
      <c r="L898" s="50">
        <f>VLOOKUP($A898,'[1]ma sp 02'!$A$5:$BD$1101,L$1,0)</f>
        <v>0</v>
      </c>
      <c r="M898" s="50">
        <f>VLOOKUP($A898,'[1]ma sp 02'!$A$5:$BD$1101,M$1,0)</f>
        <v>0</v>
      </c>
      <c r="N898" s="50">
        <f>VLOOKUP($A898,'[1]ma sp 02'!$A$5:$BD$1101,N$1,0)</f>
        <v>0</v>
      </c>
      <c r="O898" s="50">
        <f>VLOOKUP($A898,'[1]ma sp 02'!$A$5:$BD$1101,O$1,0)</f>
        <v>0</v>
      </c>
      <c r="P898" s="50">
        <f>VLOOKUP($A898,'[1]ma sp 02'!$A$5:$BD$1101,P$1,0)</f>
        <v>0</v>
      </c>
      <c r="Q898" s="50">
        <f>VLOOKUP($A898,'[1]ma sp 02'!$A$5:$BD$1101,Q$1,0)</f>
        <v>0</v>
      </c>
      <c r="R898" s="50">
        <f>VLOOKUP($A898,'[1]ma sp 02'!$A$5:$BD$1101,R$1,0)</f>
        <v>0</v>
      </c>
      <c r="S898" s="50">
        <f>VLOOKUP($A898,'[1]ma sp 02'!$A$5:$BD$1101,S$1,0)</f>
        <v>0</v>
      </c>
      <c r="T898" s="50">
        <f>VLOOKUP($A898,'[1]ma sp 02'!$A$5:$BD$1101,T$1,0)</f>
        <v>0</v>
      </c>
      <c r="U898" s="50">
        <f>VLOOKUP($A898,'[1]ma sp 02'!$A$5:$BD$1101,U$1,0)</f>
        <v>0</v>
      </c>
      <c r="V898" s="50">
        <f>VLOOKUP($A898,'[1]ma sp 02'!$A$5:$BD$1101,V$1,0)</f>
        <v>0</v>
      </c>
      <c r="W898" s="50">
        <f>VLOOKUP($A898,'[1]ma sp 02'!$A$5:$BD$1101,W$1,0)</f>
        <v>0</v>
      </c>
      <c r="X898" s="50"/>
      <c r="Y898" s="62"/>
      <c r="Z898" s="62"/>
      <c r="AA898" s="62"/>
      <c r="AB898" s="62"/>
      <c r="AC898" s="62"/>
      <c r="AD898" s="62"/>
      <c r="AE898" s="62" t="s">
        <v>2874</v>
      </c>
      <c r="AF898" s="62"/>
      <c r="AG898" s="53">
        <f>(0.012*1.4+0.065*0.925)*0.9</f>
        <v>6.9232500000000002E-2</v>
      </c>
      <c r="AH898" s="54">
        <f>(2.3/0.75/2)*0.89</f>
        <v>1.3646666666666665</v>
      </c>
      <c r="AI898" s="54"/>
      <c r="AJ898" s="192">
        <v>9530</v>
      </c>
      <c r="AK898" s="62"/>
      <c r="AL898" s="62">
        <v>2.3E-3</v>
      </c>
      <c r="AM898" s="61" t="s">
        <v>74</v>
      </c>
      <c r="AN898" s="62">
        <v>160</v>
      </c>
      <c r="AO898" s="61" t="s">
        <v>2872</v>
      </c>
      <c r="AP898" s="59">
        <f>IFERROR(VLOOKUP($A898,[2]Mssp!$A$5:$BE$1463,AP$4+1,0),0)</f>
        <v>0</v>
      </c>
      <c r="AQ898" s="59">
        <f>IFERROR(VLOOKUP($A898,[2]Mssp!$A$5:$BE$1463,AQ$4+1,0),0)</f>
        <v>0</v>
      </c>
      <c r="AR898" s="59">
        <f>IFERROR(VLOOKUP($A898,[2]Mssp!$A$5:$BE$1463,AR$4+1,0),0)</f>
        <v>0</v>
      </c>
      <c r="AS898" s="59">
        <f>IFERROR(VLOOKUP($A898,[2]Mssp!$A$5:$BE$1463,AS$4+1,0),0)</f>
        <v>0</v>
      </c>
      <c r="AT898" s="59">
        <f>IFERROR(VLOOKUP($A898,[2]Mssp!$A$5:$BE$1463,AT$4+1,0),0)</f>
        <v>0</v>
      </c>
      <c r="AU898" s="59">
        <f>IFERROR(VLOOKUP($A898,[2]Mssp!$A$5:$BE$1463,AU$4+1,0),0)</f>
        <v>0</v>
      </c>
      <c r="AV898" s="59">
        <f>IFERROR(VLOOKUP($A898,[2]Mssp!$A$5:$BE$1463,AV$4+1,0),0)</f>
        <v>0</v>
      </c>
      <c r="AW898" s="59">
        <f>IFERROR(VLOOKUP($A898,[2]Mssp!$A$5:$BE$1463,AW$4+1,0),0)</f>
        <v>0</v>
      </c>
      <c r="AX898" s="59">
        <f>IFERROR(VLOOKUP($A898,[2]Mssp!$A$5:$BE$1463,AX$4+1,0),0)</f>
        <v>0</v>
      </c>
      <c r="AY898" s="59">
        <f>IFERROR(VLOOKUP($A898,[2]Mssp!$A$5:$BE$1463,AY$4+2,0),0)</f>
        <v>0</v>
      </c>
      <c r="AZ898" s="59">
        <f>IFERROR(VLOOKUP($A898,[2]Mssp!$A$5:$BE$1463,AZ$4+2,0),0)</f>
        <v>0</v>
      </c>
      <c r="BA898" s="141"/>
      <c r="BB898" s="61" t="s">
        <v>1894</v>
      </c>
      <c r="BC898" s="165"/>
      <c r="BD898" s="166"/>
      <c r="BE898" s="167"/>
      <c r="BF898" s="168"/>
      <c r="BG898" s="167"/>
      <c r="BH898" s="168"/>
      <c r="BI898" s="169"/>
      <c r="BJ898" s="168"/>
      <c r="BK898" s="134"/>
      <c r="BL898" s="168"/>
      <c r="BM898" s="167"/>
      <c r="BN898" s="168"/>
      <c r="BO898" s="62"/>
      <c r="BP898" s="168"/>
      <c r="BQ898" s="168"/>
      <c r="BR898" s="168"/>
      <c r="BS898" s="135"/>
      <c r="BT898" s="176"/>
      <c r="BU898" s="167"/>
      <c r="BV898" s="168"/>
      <c r="BW898" s="167"/>
      <c r="BX898" s="168"/>
      <c r="BY898" s="167"/>
      <c r="BZ898" s="176"/>
      <c r="CA898" s="167"/>
      <c r="CB898" s="168"/>
      <c r="CC898" s="167"/>
      <c r="CD898" s="168"/>
      <c r="CE898" s="62"/>
      <c r="CF898" s="62"/>
      <c r="CG898" s="9"/>
      <c r="CH898" s="9"/>
      <c r="CI898" s="9"/>
      <c r="CJ898" s="9"/>
      <c r="CK898" s="9"/>
      <c r="CL898" s="9"/>
      <c r="CM898" s="9"/>
      <c r="CN898" s="9"/>
      <c r="CO898" s="9"/>
      <c r="CP898" s="9"/>
    </row>
    <row r="899" spans="1:94" ht="30" x14ac:dyDescent="0.25">
      <c r="A899" s="127" t="s">
        <v>2875</v>
      </c>
      <c r="B899" s="51" t="s">
        <v>2876</v>
      </c>
      <c r="C899" s="62"/>
      <c r="D899" s="84">
        <v>3</v>
      </c>
      <c r="E899" s="62" t="s">
        <v>1768</v>
      </c>
      <c r="F899" s="62"/>
      <c r="G899" s="62"/>
      <c r="H899" s="50">
        <f>VLOOKUP($A899,'[1]ma sp 02'!$A$5:$BD$1101,H$1,0)</f>
        <v>0</v>
      </c>
      <c r="I899" s="50">
        <f>VLOOKUP($A899,'[1]ma sp 02'!$A$5:$BD$1101,I$1,0)</f>
        <v>0</v>
      </c>
      <c r="J899" s="50">
        <f>VLOOKUP($A899,'[1]ma sp 02'!$A$5:$BD$1101,J$1,0)</f>
        <v>0</v>
      </c>
      <c r="K899" s="50">
        <f>VLOOKUP($A899,'[1]ma sp 02'!$A$5:$BD$1101,K$1,0)</f>
        <v>0</v>
      </c>
      <c r="L899" s="50">
        <f>VLOOKUP($A899,'[1]ma sp 02'!$A$5:$BD$1101,L$1,0)</f>
        <v>0</v>
      </c>
      <c r="M899" s="50">
        <f>VLOOKUP($A899,'[1]ma sp 02'!$A$5:$BD$1101,M$1,0)</f>
        <v>0</v>
      </c>
      <c r="N899" s="50">
        <f>VLOOKUP($A899,'[1]ma sp 02'!$A$5:$BD$1101,N$1,0)</f>
        <v>0</v>
      </c>
      <c r="O899" s="50">
        <f>VLOOKUP($A899,'[1]ma sp 02'!$A$5:$BD$1101,O$1,0)</f>
        <v>0</v>
      </c>
      <c r="P899" s="50">
        <f>VLOOKUP($A899,'[1]ma sp 02'!$A$5:$BD$1101,P$1,0)</f>
        <v>0</v>
      </c>
      <c r="Q899" s="50">
        <f>VLOOKUP($A899,'[1]ma sp 02'!$A$5:$BD$1101,Q$1,0)</f>
        <v>0</v>
      </c>
      <c r="R899" s="50">
        <f>VLOOKUP($A899,'[1]ma sp 02'!$A$5:$BD$1101,R$1,0)</f>
        <v>0</v>
      </c>
      <c r="S899" s="50">
        <f>VLOOKUP($A899,'[1]ma sp 02'!$A$5:$BD$1101,S$1,0)</f>
        <v>0</v>
      </c>
      <c r="T899" s="50">
        <f>VLOOKUP($A899,'[1]ma sp 02'!$A$5:$BD$1101,T$1,0)</f>
        <v>0</v>
      </c>
      <c r="U899" s="50">
        <f>VLOOKUP($A899,'[1]ma sp 02'!$A$5:$BD$1101,U$1,0)</f>
        <v>0</v>
      </c>
      <c r="V899" s="50">
        <f>VLOOKUP($A899,'[1]ma sp 02'!$A$5:$BD$1101,V$1,0)</f>
        <v>0</v>
      </c>
      <c r="W899" s="50">
        <f>VLOOKUP($A899,'[1]ma sp 02'!$A$5:$BD$1101,W$1,0)</f>
        <v>0</v>
      </c>
      <c r="X899" s="50"/>
      <c r="Y899" s="62"/>
      <c r="Z899" s="62"/>
      <c r="AA899" s="62"/>
      <c r="AB899" s="62"/>
      <c r="AC899" s="62"/>
      <c r="AD899" s="62"/>
      <c r="AE899" s="62" t="s">
        <v>2877</v>
      </c>
      <c r="AF899" s="62"/>
      <c r="AG899" s="53">
        <f>(0.02*0.91+0.05*0.925)*0.86</f>
        <v>5.5427000000000004E-2</v>
      </c>
      <c r="AH899" s="54">
        <f>(2.3/0.75/2)*0.85</f>
        <v>1.3033333333333332</v>
      </c>
      <c r="AI899" s="54"/>
      <c r="AJ899" s="192">
        <v>9530</v>
      </c>
      <c r="AK899" s="62"/>
      <c r="AL899" s="62">
        <v>2.3E-3</v>
      </c>
      <c r="AM899" s="61" t="s">
        <v>74</v>
      </c>
      <c r="AN899" s="62">
        <v>190</v>
      </c>
      <c r="AO899" s="61" t="s">
        <v>2872</v>
      </c>
      <c r="AP899" s="59">
        <f>IFERROR(VLOOKUP($A899,[2]Mssp!$A$5:$BE$1463,AP$4+1,0),0)</f>
        <v>0</v>
      </c>
      <c r="AQ899" s="59">
        <f>IFERROR(VLOOKUP($A899,[2]Mssp!$A$5:$BE$1463,AQ$4+1,0),0)</f>
        <v>0</v>
      </c>
      <c r="AR899" s="59">
        <f>IFERROR(VLOOKUP($A899,[2]Mssp!$A$5:$BE$1463,AR$4+1,0),0)</f>
        <v>0</v>
      </c>
      <c r="AS899" s="59">
        <f>IFERROR(VLOOKUP($A899,[2]Mssp!$A$5:$BE$1463,AS$4+1,0),0)</f>
        <v>0</v>
      </c>
      <c r="AT899" s="59">
        <f>IFERROR(VLOOKUP($A899,[2]Mssp!$A$5:$BE$1463,AT$4+1,0),0)</f>
        <v>0</v>
      </c>
      <c r="AU899" s="59">
        <f>IFERROR(VLOOKUP($A899,[2]Mssp!$A$5:$BE$1463,AU$4+1,0),0)</f>
        <v>0</v>
      </c>
      <c r="AV899" s="59">
        <f>IFERROR(VLOOKUP($A899,[2]Mssp!$A$5:$BE$1463,AV$4+1,0),0)</f>
        <v>0</v>
      </c>
      <c r="AW899" s="59">
        <f>IFERROR(VLOOKUP($A899,[2]Mssp!$A$5:$BE$1463,AW$4+1,0),0)</f>
        <v>0</v>
      </c>
      <c r="AX899" s="59">
        <f>IFERROR(VLOOKUP($A899,[2]Mssp!$A$5:$BE$1463,AX$4+1,0),0)</f>
        <v>0</v>
      </c>
      <c r="AY899" s="59">
        <f>IFERROR(VLOOKUP($A899,[2]Mssp!$A$5:$BE$1463,AY$4+2,0),0)</f>
        <v>0</v>
      </c>
      <c r="AZ899" s="59">
        <f>IFERROR(VLOOKUP($A899,[2]Mssp!$A$5:$BE$1463,AZ$4+2,0),0)</f>
        <v>0</v>
      </c>
      <c r="BA899" s="141"/>
      <c r="BB899" s="61" t="s">
        <v>1894</v>
      </c>
      <c r="BC899" s="165"/>
      <c r="BD899" s="166"/>
      <c r="BE899" s="167"/>
      <c r="BF899" s="168"/>
      <c r="BG899" s="167"/>
      <c r="BH899" s="168"/>
      <c r="BI899" s="169"/>
      <c r="BJ899" s="168"/>
      <c r="BK899" s="134"/>
      <c r="BL899" s="168"/>
      <c r="BM899" s="167"/>
      <c r="BN899" s="168"/>
      <c r="BO899" s="62"/>
      <c r="BP899" s="168"/>
      <c r="BQ899" s="168"/>
      <c r="BR899" s="168"/>
      <c r="BS899" s="135"/>
      <c r="BT899" s="176"/>
      <c r="BU899" s="167"/>
      <c r="BV899" s="168"/>
      <c r="BW899" s="167"/>
      <c r="BX899" s="168"/>
      <c r="BY899" s="167"/>
      <c r="BZ899" s="176"/>
      <c r="CA899" s="167"/>
      <c r="CB899" s="168"/>
      <c r="CC899" s="167"/>
      <c r="CD899" s="168"/>
      <c r="CE899" s="62"/>
      <c r="CF899" s="62"/>
      <c r="CG899" s="9"/>
      <c r="CH899" s="9"/>
      <c r="CI899" s="9"/>
      <c r="CJ899" s="9"/>
      <c r="CK899" s="9"/>
      <c r="CL899" s="9"/>
      <c r="CM899" s="9"/>
      <c r="CN899" s="9"/>
      <c r="CO899" s="9"/>
      <c r="CP899" s="9"/>
    </row>
    <row r="900" spans="1:94" ht="30" x14ac:dyDescent="0.25">
      <c r="A900" s="127" t="s">
        <v>2878</v>
      </c>
      <c r="B900" s="51" t="s">
        <v>2879</v>
      </c>
      <c r="C900" s="62"/>
      <c r="D900" s="84">
        <v>2</v>
      </c>
      <c r="E900" s="62" t="s">
        <v>1444</v>
      </c>
      <c r="F900" s="62">
        <v>8</v>
      </c>
      <c r="G900" s="62"/>
      <c r="H900" s="50">
        <f>VLOOKUP($A900,'[1]ma sp 02'!$A$5:$BD$1101,H$1,0)</f>
        <v>0.33</v>
      </c>
      <c r="I900" s="50">
        <f>VLOOKUP($A900,'[1]ma sp 02'!$A$5:$BD$1101,I$1,0)</f>
        <v>11.366</v>
      </c>
      <c r="J900" s="50">
        <f>VLOOKUP($A900,'[1]ma sp 02'!$A$5:$BD$1101,J$1,0)</f>
        <v>0.01</v>
      </c>
      <c r="K900" s="50">
        <f>VLOOKUP($A900,'[1]ma sp 02'!$A$5:$BD$1101,K$1,0)</f>
        <v>0.26400000000000001</v>
      </c>
      <c r="L900" s="50">
        <f>VLOOKUP($A900,'[1]ma sp 02'!$A$5:$BD$1101,L$1,0)</f>
        <v>1.5860000000000001</v>
      </c>
      <c r="M900" s="50">
        <f>VLOOKUP($A900,'[1]ma sp 02'!$A$5:$BD$1101,M$1,0)</f>
        <v>1.0569999999999999</v>
      </c>
      <c r="N900" s="50">
        <f>VLOOKUP($A900,'[1]ma sp 02'!$A$5:$BD$1101,N$1,0)</f>
        <v>0</v>
      </c>
      <c r="O900" s="50">
        <f>VLOOKUP($A900,'[1]ma sp 02'!$A$5:$BD$1101,O$1,0)</f>
        <v>0.13200000000000001</v>
      </c>
      <c r="P900" s="50">
        <f>VLOOKUP($A900,'[1]ma sp 02'!$A$5:$BD$1101,P$1,0)</f>
        <v>0.13200000000000001</v>
      </c>
      <c r="Q900" s="50">
        <f>VLOOKUP($A900,'[1]ma sp 02'!$A$5:$BD$1101,Q$1,0)</f>
        <v>0</v>
      </c>
      <c r="R900" s="50">
        <f>VLOOKUP($A900,'[1]ma sp 02'!$A$5:$BD$1101,R$1,0)</f>
        <v>0.01</v>
      </c>
      <c r="S900" s="50">
        <f>VLOOKUP($A900,'[1]ma sp 02'!$A$5:$BD$1101,S$1,0)</f>
        <v>0</v>
      </c>
      <c r="T900" s="50">
        <f>VLOOKUP($A900,'[1]ma sp 02'!$A$5:$BD$1101,T$1,0)</f>
        <v>0</v>
      </c>
      <c r="U900" s="50">
        <f>VLOOKUP($A900,'[1]ma sp 02'!$A$5:$BD$1101,U$1,0)</f>
        <v>0</v>
      </c>
      <c r="V900" s="50">
        <f>VLOOKUP($A900,'[1]ma sp 02'!$A$5:$BD$1101,V$1,0)</f>
        <v>0</v>
      </c>
      <c r="W900" s="50">
        <f>VLOOKUP($A900,'[1]ma sp 02'!$A$5:$BD$1101,W$1,0)</f>
        <v>0</v>
      </c>
      <c r="X900" s="50"/>
      <c r="Y900" s="62"/>
      <c r="Z900" s="62"/>
      <c r="AA900" s="62"/>
      <c r="AB900" s="62"/>
      <c r="AC900" s="62"/>
      <c r="AD900" s="62"/>
      <c r="AE900" s="62" t="s">
        <v>2880</v>
      </c>
      <c r="AF900" s="62"/>
      <c r="AG900" s="53">
        <f>(0.03*0.91+0.03*0.91)*0.7</f>
        <v>3.8219999999999997E-2</v>
      </c>
      <c r="AH900" s="54">
        <f>(2.5/0.75/2)*0.69</f>
        <v>1.1499999999999999</v>
      </c>
      <c r="AI900" s="54"/>
      <c r="AJ900" s="192">
        <v>9530</v>
      </c>
      <c r="AK900" s="62"/>
      <c r="AL900" s="62">
        <v>2.5000000000000001E-3</v>
      </c>
      <c r="AM900" s="61" t="s">
        <v>74</v>
      </c>
      <c r="AN900" s="62">
        <v>235</v>
      </c>
      <c r="AO900" s="61" t="s">
        <v>2704</v>
      </c>
      <c r="AP900" s="59" t="str">
        <f>IFERROR(VLOOKUP($A900,[2]Mssp!$A$5:$BE$1463,AP$4+1,0),0)</f>
        <v>21050473-1</v>
      </c>
      <c r="AQ900" s="59" t="str">
        <f>IFERROR(VLOOKUP($A900,[2]Mssp!$A$5:$BE$1463,AQ$4+1,0),0)</f>
        <v>21050473-2</v>
      </c>
      <c r="AR900" s="59" t="str">
        <f>IFERROR(VLOOKUP($A900,[2]Mssp!$A$5:$BE$1463,AR$4+1,0),0)</f>
        <v>21050473-3</v>
      </c>
      <c r="AS900" s="59" t="str">
        <f>IFERROR(VLOOKUP($A900,[2]Mssp!$A$5:$BE$1463,AS$4+1,0),0)</f>
        <v>21050473-4</v>
      </c>
      <c r="AT900" s="59" t="str">
        <f>IFERROR(VLOOKUP($A900,[2]Mssp!$A$5:$BE$1463,AT$4+1,0),0)</f>
        <v>21050473-5</v>
      </c>
      <c r="AU900" s="59" t="str">
        <f>IFERROR(VLOOKUP($A900,[2]Mssp!$A$5:$BE$1463,AU$4+1,0),0)</f>
        <v>21050473-6</v>
      </c>
      <c r="AV900" s="59" t="str">
        <f>IFERROR(VLOOKUP($A900,[2]Mssp!$A$5:$BE$1463,AV$4+1,0),0)</f>
        <v>21050473-7</v>
      </c>
      <c r="AW900" s="59" t="str">
        <f>IFERROR(VLOOKUP($A900,[2]Mssp!$A$5:$BE$1463,AW$4+1,0),0)</f>
        <v>21050473-8</v>
      </c>
      <c r="AX900" s="59">
        <f>IFERROR(VLOOKUP($A900,[2]Mssp!$A$5:$BE$1463,AX$4+1,0),0)</f>
        <v>0</v>
      </c>
      <c r="AY900" s="59" t="str">
        <f>IFERROR(VLOOKUP($A900,[2]Mssp!$A$5:$BE$1463,AY$4+2,0),0)</f>
        <v>470x870</v>
      </c>
      <c r="AZ900" s="59">
        <f>IFERROR(VLOOKUP($A900,[2]Mssp!$A$5:$BE$1463,AZ$4+2,0),0)</f>
        <v>0</v>
      </c>
      <c r="BA900" s="141"/>
      <c r="BB900" s="61" t="s">
        <v>1894</v>
      </c>
      <c r="BC900" s="165"/>
      <c r="BD900" s="166"/>
      <c r="BE900" s="167"/>
      <c r="BF900" s="168"/>
      <c r="BG900" s="167"/>
      <c r="BH900" s="168"/>
      <c r="BI900" s="169"/>
      <c r="BJ900" s="168"/>
      <c r="BK900" s="134"/>
      <c r="BL900" s="168"/>
      <c r="BM900" s="167"/>
      <c r="BN900" s="168"/>
      <c r="BO900" s="62"/>
      <c r="BP900" s="168"/>
      <c r="BQ900" s="168"/>
      <c r="BR900" s="168"/>
      <c r="BS900" s="135"/>
      <c r="BT900" s="176"/>
      <c r="BU900" s="167"/>
      <c r="BV900" s="168"/>
      <c r="BW900" s="167"/>
      <c r="BX900" s="168"/>
      <c r="BY900" s="167"/>
      <c r="BZ900" s="176"/>
      <c r="CA900" s="167"/>
      <c r="CB900" s="168"/>
      <c r="CC900" s="167"/>
      <c r="CD900" s="168"/>
      <c r="CE900" s="62"/>
      <c r="CF900" s="62"/>
      <c r="CG900" s="9"/>
      <c r="CH900" s="9"/>
      <c r="CI900" s="9"/>
      <c r="CJ900" s="9"/>
      <c r="CK900" s="9"/>
      <c r="CL900" s="9"/>
      <c r="CM900" s="9"/>
      <c r="CN900" s="9"/>
      <c r="CO900" s="9"/>
      <c r="CP900" s="9"/>
    </row>
    <row r="901" spans="1:94" ht="30" x14ac:dyDescent="0.25">
      <c r="A901" s="127" t="s">
        <v>2881</v>
      </c>
      <c r="B901" s="51" t="s">
        <v>2882</v>
      </c>
      <c r="C901" s="62"/>
      <c r="D901" s="84">
        <v>2</v>
      </c>
      <c r="E901" s="62" t="s">
        <v>178</v>
      </c>
      <c r="F901" s="62">
        <v>6</v>
      </c>
      <c r="G901" s="62"/>
      <c r="H901" s="50">
        <f>VLOOKUP($A901,'[1]ma sp 02'!$A$5:$BD$1101,H$1,0)</f>
        <v>0.21299999999999999</v>
      </c>
      <c r="I901" s="50">
        <f>VLOOKUP($A901,'[1]ma sp 02'!$A$5:$BD$1101,I$1,0)</f>
        <v>3.7589999999999999</v>
      </c>
      <c r="J901" s="50">
        <f>VLOOKUP($A901,'[1]ma sp 02'!$A$5:$BD$1101,J$1,0)</f>
        <v>0.28899999999999998</v>
      </c>
      <c r="K901" s="50">
        <f>VLOOKUP($A901,'[1]ma sp 02'!$A$5:$BD$1101,K$1,0)</f>
        <v>0.01</v>
      </c>
      <c r="L901" s="50">
        <f>VLOOKUP($A901,'[1]ma sp 02'!$A$5:$BD$1101,L$1,0)</f>
        <v>1.2150000000000001</v>
      </c>
      <c r="M901" s="50">
        <f>VLOOKUP($A901,'[1]ma sp 02'!$A$5:$BD$1101,M$1,0)</f>
        <v>1.619</v>
      </c>
      <c r="N901" s="50">
        <f>VLOOKUP($A901,'[1]ma sp 02'!$A$5:$BD$1101,N$1,0)</f>
        <v>0</v>
      </c>
      <c r="O901" s="50">
        <f>VLOOKUP($A901,'[1]ma sp 02'!$A$5:$BD$1101,O$1,0)</f>
        <v>0</v>
      </c>
      <c r="P901" s="50">
        <f>VLOOKUP($A901,'[1]ma sp 02'!$A$5:$BD$1101,P$1,0)</f>
        <v>0</v>
      </c>
      <c r="Q901" s="50">
        <f>VLOOKUP($A901,'[1]ma sp 02'!$A$5:$BD$1101,Q$1,0)</f>
        <v>0.11600000000000001</v>
      </c>
      <c r="R901" s="50">
        <f>VLOOKUP($A901,'[1]ma sp 02'!$A$5:$BD$1101,R$1,0)</f>
        <v>0</v>
      </c>
      <c r="S901" s="50">
        <f>VLOOKUP($A901,'[1]ma sp 02'!$A$5:$BD$1101,S$1,0)</f>
        <v>0.01</v>
      </c>
      <c r="T901" s="50">
        <f>VLOOKUP($A901,'[1]ma sp 02'!$A$5:$BD$1101,T$1,0)</f>
        <v>0</v>
      </c>
      <c r="U901" s="50">
        <f>VLOOKUP($A901,'[1]ma sp 02'!$A$5:$BD$1101,U$1,0)</f>
        <v>0</v>
      </c>
      <c r="V901" s="50">
        <f>VLOOKUP($A901,'[1]ma sp 02'!$A$5:$BD$1101,V$1,0)</f>
        <v>0</v>
      </c>
      <c r="W901" s="50">
        <f>VLOOKUP($A901,'[1]ma sp 02'!$A$5:$BD$1101,W$1,0)</f>
        <v>0</v>
      </c>
      <c r="X901" s="50"/>
      <c r="Y901" s="62"/>
      <c r="Z901" s="62"/>
      <c r="AA901" s="62"/>
      <c r="AB901" s="62"/>
      <c r="AC901" s="62"/>
      <c r="AD901" s="62"/>
      <c r="AE901" s="62" t="s">
        <v>179</v>
      </c>
      <c r="AF901" s="62"/>
      <c r="AG901" s="53">
        <f>(0.02*0.91+0.055*0.925)*0.73</f>
        <v>5.0424749999999997E-2</v>
      </c>
      <c r="AH901" s="54">
        <f>(2.3/0.75/2)*0.72</f>
        <v>1.1039999999999999</v>
      </c>
      <c r="AI901" s="54"/>
      <c r="AJ901" s="192">
        <v>9530</v>
      </c>
      <c r="AK901" s="62"/>
      <c r="AL901" s="62">
        <v>2.3E-3</v>
      </c>
      <c r="AM901" s="61" t="s">
        <v>1489</v>
      </c>
      <c r="AN901" s="62">
        <v>266</v>
      </c>
      <c r="AO901" s="61" t="s">
        <v>180</v>
      </c>
      <c r="AP901" s="59" t="str">
        <f>IFERROR(VLOOKUP($A901,[2]Mssp!$A$5:$BE$1463,AP$4+1,0),0)</f>
        <v>21050808-1</v>
      </c>
      <c r="AQ901" s="59" t="str">
        <f>IFERROR(VLOOKUP($A901,[2]Mssp!$A$5:$BE$1463,AQ$4+1,0),0)</f>
        <v>21050808-2</v>
      </c>
      <c r="AR901" s="59" t="str">
        <f>IFERROR(VLOOKUP($A901,[2]Mssp!$A$5:$BE$1463,AR$4+1,0),0)</f>
        <v>21050808-3</v>
      </c>
      <c r="AS901" s="59" t="str">
        <f>IFERROR(VLOOKUP($A901,[2]Mssp!$A$5:$BE$1463,AS$4+1,0),0)</f>
        <v>21050808-4</v>
      </c>
      <c r="AT901" s="59" t="str">
        <f>IFERROR(VLOOKUP($A901,[2]Mssp!$A$5:$BE$1463,AT$4+1,0),0)</f>
        <v>21050808-5</v>
      </c>
      <c r="AU901" s="59" t="str">
        <f>IFERROR(VLOOKUP($A901,[2]Mssp!$A$5:$BE$1463,AU$4+1,0),0)</f>
        <v>21050808-6</v>
      </c>
      <c r="AV901" s="59">
        <f>IFERROR(VLOOKUP($A901,[2]Mssp!$A$5:$BE$1463,AV$4+1,0),0)</f>
        <v>0</v>
      </c>
      <c r="AW901" s="59">
        <f>IFERROR(VLOOKUP($A901,[2]Mssp!$A$5:$BE$1463,AW$4+1,0),0)</f>
        <v>0</v>
      </c>
      <c r="AX901" s="59">
        <f>IFERROR(VLOOKUP($A901,[2]Mssp!$A$5:$BE$1463,AX$4+1,0),0)</f>
        <v>0</v>
      </c>
      <c r="AY901" s="59" t="str">
        <f>IFERROR(VLOOKUP($A901,[2]Mssp!$A$5:$BE$1463,AY$4+2,0),0)</f>
        <v>532x870</v>
      </c>
      <c r="AZ901" s="59">
        <f>IFERROR(VLOOKUP($A901,[2]Mssp!$A$5:$BE$1463,AZ$4+2,0),0)</f>
        <v>0</v>
      </c>
      <c r="BA901" s="141"/>
      <c r="BB901" s="61" t="s">
        <v>952</v>
      </c>
      <c r="BC901" s="165"/>
      <c r="BD901" s="166"/>
      <c r="BE901" s="167"/>
      <c r="BF901" s="168"/>
      <c r="BG901" s="167"/>
      <c r="BH901" s="168"/>
      <c r="BI901" s="169"/>
      <c r="BJ901" s="168"/>
      <c r="BK901" s="134"/>
      <c r="BL901" s="168"/>
      <c r="BM901" s="167"/>
      <c r="BN901" s="168"/>
      <c r="BO901" s="62"/>
      <c r="BP901" s="168"/>
      <c r="BQ901" s="168"/>
      <c r="BR901" s="168"/>
      <c r="BS901" s="135"/>
      <c r="BT901" s="176"/>
      <c r="BU901" s="167"/>
      <c r="BV901" s="168"/>
      <c r="BW901" s="167"/>
      <c r="BX901" s="168"/>
      <c r="BY901" s="167"/>
      <c r="BZ901" s="176"/>
      <c r="CA901" s="167"/>
      <c r="CB901" s="168"/>
      <c r="CC901" s="167"/>
      <c r="CD901" s="168"/>
      <c r="CE901" s="62"/>
      <c r="CF901" s="62"/>
      <c r="CG901" s="9"/>
      <c r="CH901" s="9"/>
      <c r="CI901" s="9"/>
      <c r="CJ901" s="9"/>
      <c r="CK901" s="9"/>
      <c r="CL901" s="9"/>
      <c r="CM901" s="9"/>
      <c r="CN901" s="9"/>
      <c r="CO901" s="9"/>
      <c r="CP901" s="9"/>
    </row>
    <row r="902" spans="1:94" ht="30" x14ac:dyDescent="0.25">
      <c r="A902" s="127" t="s">
        <v>2883</v>
      </c>
      <c r="B902" s="51" t="s">
        <v>2884</v>
      </c>
      <c r="C902" s="62"/>
      <c r="D902" s="84">
        <v>4</v>
      </c>
      <c r="E902" s="62" t="s">
        <v>315</v>
      </c>
      <c r="F902" s="62">
        <v>6</v>
      </c>
      <c r="G902" s="62"/>
      <c r="H902" s="50">
        <f>VLOOKUP($A902,'[1]ma sp 02'!$A$5:$BD$1101,H$1,0)</f>
        <v>0.625</v>
      </c>
      <c r="I902" s="50">
        <f>VLOOKUP($A902,'[1]ma sp 02'!$A$5:$BD$1101,I$1,0)</f>
        <v>2.9860000000000002</v>
      </c>
      <c r="J902" s="50">
        <f>VLOOKUP($A902,'[1]ma sp 02'!$A$5:$BD$1101,J$1,0)</f>
        <v>0</v>
      </c>
      <c r="K902" s="50">
        <f>VLOOKUP($A902,'[1]ma sp 02'!$A$5:$BD$1101,K$1,0)</f>
        <v>0.34699999999999998</v>
      </c>
      <c r="L902" s="50">
        <f>VLOOKUP($A902,'[1]ma sp 02'!$A$5:$BD$1101,L$1,0)</f>
        <v>1.458</v>
      </c>
      <c r="M902" s="50">
        <f>VLOOKUP($A902,'[1]ma sp 02'!$A$5:$BD$1101,M$1,0)</f>
        <v>0.97199999999999998</v>
      </c>
      <c r="N902" s="50">
        <f>VLOOKUP($A902,'[1]ma sp 02'!$A$5:$BD$1101,N$1,0)</f>
        <v>0</v>
      </c>
      <c r="O902" s="50">
        <f>VLOOKUP($A902,'[1]ma sp 02'!$A$5:$BD$1101,O$1,0)</f>
        <v>0</v>
      </c>
      <c r="P902" s="50">
        <f>VLOOKUP($A902,'[1]ma sp 02'!$A$5:$BD$1101,P$1,0)</f>
        <v>0</v>
      </c>
      <c r="Q902" s="50">
        <f>VLOOKUP($A902,'[1]ma sp 02'!$A$5:$BD$1101,Q$1,0)</f>
        <v>0</v>
      </c>
      <c r="R902" s="50">
        <f>VLOOKUP($A902,'[1]ma sp 02'!$A$5:$BD$1101,R$1,0)</f>
        <v>0.13900000000000001</v>
      </c>
      <c r="S902" s="50">
        <f>VLOOKUP($A902,'[1]ma sp 02'!$A$5:$BD$1101,S$1,0)</f>
        <v>0</v>
      </c>
      <c r="T902" s="50">
        <f>VLOOKUP($A902,'[1]ma sp 02'!$A$5:$BD$1101,T$1,0)</f>
        <v>0</v>
      </c>
      <c r="U902" s="50">
        <f>VLOOKUP($A902,'[1]ma sp 02'!$A$5:$BD$1101,U$1,0)</f>
        <v>0</v>
      </c>
      <c r="V902" s="50">
        <f>VLOOKUP($A902,'[1]ma sp 02'!$A$5:$BD$1101,V$1,0)</f>
        <v>0</v>
      </c>
      <c r="W902" s="50">
        <f>VLOOKUP($A902,'[1]ma sp 02'!$A$5:$BD$1101,W$1,0)</f>
        <v>0</v>
      </c>
      <c r="X902" s="50"/>
      <c r="Y902" s="62"/>
      <c r="Z902" s="62"/>
      <c r="AA902" s="62"/>
      <c r="AB902" s="62"/>
      <c r="AC902" s="62"/>
      <c r="AD902" s="62"/>
      <c r="AE902" s="62" t="s">
        <v>2846</v>
      </c>
      <c r="AF902" s="62" t="s">
        <v>2885</v>
      </c>
      <c r="AG902" s="53">
        <f>(0.012*1.4+0.006*2.71+0.09*0.925)*0.82</f>
        <v>9.5374199999999992E-2</v>
      </c>
      <c r="AH902" s="54">
        <f>(2.3/0.75/2)*0.81</f>
        <v>1.242</v>
      </c>
      <c r="AI902" s="54">
        <f>(2.5/0.75/2)*0.81</f>
        <v>1.35</v>
      </c>
      <c r="AJ902" s="192">
        <v>9530</v>
      </c>
      <c r="AK902" s="62">
        <v>9530</v>
      </c>
      <c r="AL902" s="62" t="s">
        <v>2680</v>
      </c>
      <c r="AM902" s="61" t="s">
        <v>1489</v>
      </c>
      <c r="AN902" s="62">
        <v>145</v>
      </c>
      <c r="AO902" s="61" t="s">
        <v>612</v>
      </c>
      <c r="AP902" s="59" t="str">
        <f>IFERROR(VLOOKUP($A902,[2]Mssp!$A$5:$BE$1463,AP$4+1,0),0)</f>
        <v>21050940-1</v>
      </c>
      <c r="AQ902" s="59" t="str">
        <f>IFERROR(VLOOKUP($A902,[2]Mssp!$A$5:$BE$1463,AQ$4+1,0),0)</f>
        <v>21050940-2</v>
      </c>
      <c r="AR902" s="59" t="str">
        <f>IFERROR(VLOOKUP($A902,[2]Mssp!$A$5:$BE$1463,AR$4+1,0),0)</f>
        <v>21050940-3</v>
      </c>
      <c r="AS902" s="59" t="str">
        <f>IFERROR(VLOOKUP($A902,[2]Mssp!$A$5:$BE$1463,AS$4+1,0),0)</f>
        <v>21050940-4</v>
      </c>
      <c r="AT902" s="59" t="str">
        <f>IFERROR(VLOOKUP($A902,[2]Mssp!$A$5:$BE$1463,AT$4+1,0),0)</f>
        <v>21050940-5</v>
      </c>
      <c r="AU902" s="59" t="str">
        <f>IFERROR(VLOOKUP($A902,[2]Mssp!$A$5:$BE$1463,AU$4+1,0),0)</f>
        <v>21050940-6</v>
      </c>
      <c r="AV902" s="59">
        <f>IFERROR(VLOOKUP($A902,[2]Mssp!$A$5:$BE$1463,AV$4+1,0),0)</f>
        <v>0</v>
      </c>
      <c r="AW902" s="59">
        <f>IFERROR(VLOOKUP($A902,[2]Mssp!$A$5:$BE$1463,AW$4+1,0),0)</f>
        <v>0</v>
      </c>
      <c r="AX902" s="59">
        <f>IFERROR(VLOOKUP($A902,[2]Mssp!$A$5:$BE$1463,AX$4+1,0),0)</f>
        <v>0</v>
      </c>
      <c r="AY902" s="59" t="str">
        <f>IFERROR(VLOOKUP($A902,[2]Mssp!$A$5:$BE$1463,AY$4+2,0),0)</f>
        <v>435x870</v>
      </c>
      <c r="AZ902" s="59">
        <f>IFERROR(VLOOKUP($A902,[2]Mssp!$A$5:$BE$1463,AZ$4+2,0),0)</f>
        <v>0</v>
      </c>
      <c r="BA902" s="141"/>
      <c r="BB902" s="61" t="s">
        <v>952</v>
      </c>
      <c r="BC902" s="165"/>
      <c r="BD902" s="166"/>
      <c r="BE902" s="167"/>
      <c r="BF902" s="168"/>
      <c r="BG902" s="167"/>
      <c r="BH902" s="168"/>
      <c r="BI902" s="169"/>
      <c r="BJ902" s="168"/>
      <c r="BK902" s="134"/>
      <c r="BL902" s="168"/>
      <c r="BM902" s="167"/>
      <c r="BN902" s="168"/>
      <c r="BO902" s="62"/>
      <c r="BP902" s="168"/>
      <c r="BQ902" s="168"/>
      <c r="BR902" s="168"/>
      <c r="BS902" s="135"/>
      <c r="BT902" s="176"/>
      <c r="BU902" s="167"/>
      <c r="BV902" s="168"/>
      <c r="BW902" s="167"/>
      <c r="BX902" s="168"/>
      <c r="BY902" s="167"/>
      <c r="BZ902" s="176"/>
      <c r="CA902" s="167"/>
      <c r="CB902" s="168"/>
      <c r="CC902" s="167"/>
      <c r="CD902" s="168"/>
      <c r="CE902" s="62"/>
      <c r="CF902" s="62"/>
      <c r="CG902" s="9"/>
      <c r="CH902" s="9"/>
      <c r="CI902" s="9"/>
      <c r="CJ902" s="9"/>
      <c r="CK902" s="9"/>
      <c r="CL902" s="9"/>
      <c r="CM902" s="9"/>
      <c r="CN902" s="9"/>
      <c r="CO902" s="9"/>
      <c r="CP902" s="9"/>
    </row>
    <row r="903" spans="1:94" ht="30" x14ac:dyDescent="0.25">
      <c r="A903" s="127" t="s">
        <v>2886</v>
      </c>
      <c r="B903" s="51" t="s">
        <v>2887</v>
      </c>
      <c r="C903" s="62"/>
      <c r="D903" s="84">
        <v>5</v>
      </c>
      <c r="E903" s="62" t="s">
        <v>455</v>
      </c>
      <c r="F903" s="62">
        <v>6</v>
      </c>
      <c r="G903" s="62"/>
      <c r="H903" s="50">
        <f>VLOOKUP($A903,'[1]ma sp 02'!$A$5:$BD$1101,H$1,0)</f>
        <v>0.25</v>
      </c>
      <c r="I903" s="50">
        <f>VLOOKUP($A903,'[1]ma sp 02'!$A$5:$BD$1101,I$1,0)</f>
        <v>2.9159999999999999</v>
      </c>
      <c r="J903" s="50">
        <f>VLOOKUP($A903,'[1]ma sp 02'!$A$5:$BD$1101,J$1,0)</f>
        <v>0.01</v>
      </c>
      <c r="K903" s="50">
        <f>VLOOKUP($A903,'[1]ma sp 02'!$A$5:$BD$1101,K$1,0)</f>
        <v>0.01</v>
      </c>
      <c r="L903" s="50">
        <f>VLOOKUP($A903,'[1]ma sp 02'!$A$5:$BD$1101,L$1,0)</f>
        <v>1.9159999999999999</v>
      </c>
      <c r="M903" s="50">
        <f>VLOOKUP($A903,'[1]ma sp 02'!$A$5:$BD$1101,M$1,0)</f>
        <v>1.1659999999999999</v>
      </c>
      <c r="N903" s="50">
        <f>VLOOKUP($A903,'[1]ma sp 02'!$A$5:$BD$1101,N$1,0)</f>
        <v>0</v>
      </c>
      <c r="O903" s="50">
        <f>VLOOKUP($A903,'[1]ma sp 02'!$A$5:$BD$1101,O$1,0)</f>
        <v>0</v>
      </c>
      <c r="P903" s="50">
        <f>VLOOKUP($A903,'[1]ma sp 02'!$A$5:$BD$1101,P$1,0)</f>
        <v>0</v>
      </c>
      <c r="Q903" s="50">
        <f>VLOOKUP($A903,'[1]ma sp 02'!$A$5:$BD$1101,Q$1,0)</f>
        <v>0</v>
      </c>
      <c r="R903" s="50">
        <f>VLOOKUP($A903,'[1]ma sp 02'!$A$5:$BD$1101,R$1,0)</f>
        <v>7.0000000000000007E-2</v>
      </c>
      <c r="S903" s="50">
        <f>VLOOKUP($A903,'[1]ma sp 02'!$A$5:$BD$1101,S$1,0)</f>
        <v>0</v>
      </c>
      <c r="T903" s="50">
        <f>VLOOKUP($A903,'[1]ma sp 02'!$A$5:$BD$1101,T$1,0)</f>
        <v>0</v>
      </c>
      <c r="U903" s="50">
        <f>VLOOKUP($A903,'[1]ma sp 02'!$A$5:$BD$1101,U$1,0)</f>
        <v>0</v>
      </c>
      <c r="V903" s="50">
        <f>VLOOKUP($A903,'[1]ma sp 02'!$A$5:$BD$1101,V$1,0)</f>
        <v>0</v>
      </c>
      <c r="W903" s="50">
        <f>VLOOKUP($A903,'[1]ma sp 02'!$A$5:$BD$1101,W$1,0)</f>
        <v>0</v>
      </c>
      <c r="X903" s="50"/>
      <c r="Y903" s="62"/>
      <c r="Z903" s="62"/>
      <c r="AA903" s="62"/>
      <c r="AB903" s="62"/>
      <c r="AC903" s="62"/>
      <c r="AD903" s="62"/>
      <c r="AE903" s="62" t="s">
        <v>456</v>
      </c>
      <c r="AF903" s="62" t="s">
        <v>2888</v>
      </c>
      <c r="AG903" s="53">
        <f>(0.012*1.4+0.012*1.4+0.06*0.925)*0.77</f>
        <v>6.8607000000000001E-2</v>
      </c>
      <c r="AH903" s="54">
        <f>(2.3/0.75/2)*0.76</f>
        <v>1.1653333333333333</v>
      </c>
      <c r="AI903" s="54">
        <f>(3/0.75/2)*0.76</f>
        <v>1.52</v>
      </c>
      <c r="AJ903" s="192">
        <v>9530</v>
      </c>
      <c r="AK903" s="62">
        <v>6260</v>
      </c>
      <c r="AL903" s="62" t="s">
        <v>1704</v>
      </c>
      <c r="AM903" s="61" t="s">
        <v>1489</v>
      </c>
      <c r="AN903" s="62">
        <v>100</v>
      </c>
      <c r="AO903" s="61" t="s">
        <v>612</v>
      </c>
      <c r="AP903" s="59" t="str">
        <f>IFERROR(VLOOKUP($A903,[2]Mssp!$A$5:$BE$1463,AP$4+1,0),0)</f>
        <v>21050945-1</v>
      </c>
      <c r="AQ903" s="59" t="str">
        <f>IFERROR(VLOOKUP($A903,[2]Mssp!$A$5:$BE$1463,AQ$4+1,0),0)</f>
        <v>21050945-2</v>
      </c>
      <c r="AR903" s="59" t="str">
        <f>IFERROR(VLOOKUP($A903,[2]Mssp!$A$5:$BE$1463,AR$4+1,0),0)</f>
        <v>21050945-3</v>
      </c>
      <c r="AS903" s="59" t="str">
        <f>IFERROR(VLOOKUP($A903,[2]Mssp!$A$5:$BE$1463,AS$4+1,0),0)</f>
        <v>21050945-4</v>
      </c>
      <c r="AT903" s="59" t="str">
        <f>IFERROR(VLOOKUP($A903,[2]Mssp!$A$5:$BE$1463,AT$4+1,0),0)</f>
        <v>21050945-5</v>
      </c>
      <c r="AU903" s="59" t="str">
        <f>IFERROR(VLOOKUP($A903,[2]Mssp!$A$5:$BE$1463,AU$4+1,0),0)</f>
        <v>21050945-6</v>
      </c>
      <c r="AV903" s="59">
        <f>IFERROR(VLOOKUP($A903,[2]Mssp!$A$5:$BE$1463,AV$4+1,0),0)</f>
        <v>0</v>
      </c>
      <c r="AW903" s="59">
        <f>IFERROR(VLOOKUP($A903,[2]Mssp!$A$5:$BE$1463,AW$4+1,0),0)</f>
        <v>0</v>
      </c>
      <c r="AX903" s="59">
        <f>IFERROR(VLOOKUP($A903,[2]Mssp!$A$5:$BE$1463,AX$4+1,0),0)</f>
        <v>0</v>
      </c>
      <c r="AY903" s="59" t="str">
        <f>IFERROR(VLOOKUP($A903,[2]Mssp!$A$5:$BE$1463,AY$4+2,0),0)</f>
        <v>400x870</v>
      </c>
      <c r="AZ903" s="59">
        <f>IFERROR(VLOOKUP($A903,[2]Mssp!$A$5:$BE$1463,AZ$4+2,0),0)</f>
        <v>0</v>
      </c>
      <c r="BA903" s="141"/>
      <c r="BB903" s="61" t="s">
        <v>952</v>
      </c>
      <c r="BC903" s="165"/>
      <c r="BD903" s="166"/>
      <c r="BE903" s="167"/>
      <c r="BF903" s="168"/>
      <c r="BG903" s="167"/>
      <c r="BH903" s="168"/>
      <c r="BI903" s="169"/>
      <c r="BJ903" s="168"/>
      <c r="BK903" s="134"/>
      <c r="BL903" s="168"/>
      <c r="BM903" s="167"/>
      <c r="BN903" s="168"/>
      <c r="BO903" s="62"/>
      <c r="BP903" s="168"/>
      <c r="BQ903" s="168"/>
      <c r="BR903" s="168"/>
      <c r="BS903" s="135"/>
      <c r="BT903" s="176"/>
      <c r="BU903" s="167"/>
      <c r="BV903" s="168"/>
      <c r="BW903" s="167"/>
      <c r="BX903" s="168"/>
      <c r="BY903" s="167"/>
      <c r="BZ903" s="176"/>
      <c r="CA903" s="167"/>
      <c r="CB903" s="168"/>
      <c r="CC903" s="167"/>
      <c r="CD903" s="168"/>
      <c r="CE903" s="62"/>
      <c r="CF903" s="62"/>
      <c r="CG903" s="9"/>
      <c r="CH903" s="9"/>
      <c r="CI903" s="9"/>
      <c r="CJ903" s="9"/>
      <c r="CK903" s="9"/>
      <c r="CL903" s="9"/>
      <c r="CM903" s="9"/>
      <c r="CN903" s="9"/>
      <c r="CO903" s="9"/>
      <c r="CP903" s="9"/>
    </row>
    <row r="904" spans="1:94" ht="30" x14ac:dyDescent="0.25">
      <c r="A904" s="127" t="s">
        <v>2889</v>
      </c>
      <c r="B904" s="51" t="s">
        <v>2890</v>
      </c>
      <c r="C904" s="62"/>
      <c r="D904" s="84">
        <v>2</v>
      </c>
      <c r="E904" s="62" t="s">
        <v>315</v>
      </c>
      <c r="F904" s="62">
        <v>2</v>
      </c>
      <c r="G904" s="62"/>
      <c r="H904" s="50">
        <f>VLOOKUP($A904,'[1]ma sp 02'!$A$5:$BD$1101,H$1,0)</f>
        <v>0.51800000000000002</v>
      </c>
      <c r="I904" s="50">
        <f>VLOOKUP($A904,'[1]ma sp 02'!$A$5:$BD$1101,I$1,0)</f>
        <v>0</v>
      </c>
      <c r="J904" s="50">
        <f>VLOOKUP($A904,'[1]ma sp 02'!$A$5:$BD$1101,J$1,0)</f>
        <v>0</v>
      </c>
      <c r="K904" s="50">
        <f>VLOOKUP($A904,'[1]ma sp 02'!$A$5:$BD$1101,K$1,0)</f>
        <v>0.20699999999999999</v>
      </c>
      <c r="L904" s="50">
        <f>VLOOKUP($A904,'[1]ma sp 02'!$A$5:$BD$1101,L$1,0)</f>
        <v>0</v>
      </c>
      <c r="M904" s="50">
        <f>VLOOKUP($A904,'[1]ma sp 02'!$A$5:$BD$1101,M$1,0)</f>
        <v>0</v>
      </c>
      <c r="N904" s="50">
        <f>VLOOKUP($A904,'[1]ma sp 02'!$A$5:$BD$1101,N$1,0)</f>
        <v>0</v>
      </c>
      <c r="O904" s="50">
        <f>VLOOKUP($A904,'[1]ma sp 02'!$A$5:$BD$1101,O$1,0)</f>
        <v>0</v>
      </c>
      <c r="P904" s="50">
        <f>VLOOKUP($A904,'[1]ma sp 02'!$A$5:$BD$1101,P$1,0)</f>
        <v>0.01</v>
      </c>
      <c r="Q904" s="50">
        <f>VLOOKUP($A904,'[1]ma sp 02'!$A$5:$BD$1101,Q$1,0)</f>
        <v>0</v>
      </c>
      <c r="R904" s="50">
        <f>VLOOKUP($A904,'[1]ma sp 02'!$A$5:$BD$1101,R$1,0)</f>
        <v>0</v>
      </c>
      <c r="S904" s="50">
        <f>VLOOKUP($A904,'[1]ma sp 02'!$A$5:$BD$1101,S$1,0)</f>
        <v>0</v>
      </c>
      <c r="T904" s="50">
        <f>VLOOKUP($A904,'[1]ma sp 02'!$A$5:$BD$1101,T$1,0)</f>
        <v>0</v>
      </c>
      <c r="U904" s="50">
        <f>VLOOKUP($A904,'[1]ma sp 02'!$A$5:$BD$1101,U$1,0)</f>
        <v>0</v>
      </c>
      <c r="V904" s="50">
        <f>VLOOKUP($A904,'[1]ma sp 02'!$A$5:$BD$1101,V$1,0)</f>
        <v>0</v>
      </c>
      <c r="W904" s="50">
        <f>VLOOKUP($A904,'[1]ma sp 02'!$A$5:$BD$1101,W$1,0)</f>
        <v>0</v>
      </c>
      <c r="X904" s="50"/>
      <c r="Y904" s="62"/>
      <c r="Z904" s="62"/>
      <c r="AA904" s="62"/>
      <c r="AB904" s="62"/>
      <c r="AC904" s="62"/>
      <c r="AD904" s="62"/>
      <c r="AE904" s="62" t="s">
        <v>2846</v>
      </c>
      <c r="AF904" s="62" t="s">
        <v>2891</v>
      </c>
      <c r="AG904" s="53">
        <f>(0.012*1.4+0.006*2.71+0.12*0.925)*0.82</f>
        <v>0.11812919999999999</v>
      </c>
      <c r="AH904" s="54">
        <f>(3/0.75/2)*0.81</f>
        <v>1.62</v>
      </c>
      <c r="AI904" s="54">
        <f>(3/0.75/2)*0.81</f>
        <v>1.62</v>
      </c>
      <c r="AJ904" s="192">
        <v>9530</v>
      </c>
      <c r="AK904" s="62">
        <v>9530</v>
      </c>
      <c r="AL904" s="62" t="s">
        <v>2023</v>
      </c>
      <c r="AM904" s="61" t="s">
        <v>74</v>
      </c>
      <c r="AN904" s="62">
        <v>140</v>
      </c>
      <c r="AO904" s="61" t="s">
        <v>2872</v>
      </c>
      <c r="AP904" s="59" t="str">
        <f>IFERROR(VLOOKUP($A904,[2]Mssp!$A$5:$BE$1463,AP$4+1,0),0)</f>
        <v>21060203-1</v>
      </c>
      <c r="AQ904" s="59" t="str">
        <f>IFERROR(VLOOKUP($A904,[2]Mssp!$A$5:$BE$1463,AQ$4+1,0),0)</f>
        <v>21060203-2</v>
      </c>
      <c r="AR904" s="59">
        <f>IFERROR(VLOOKUP($A904,[2]Mssp!$A$5:$BE$1463,AR$4+1,0),0)</f>
        <v>0</v>
      </c>
      <c r="AS904" s="59">
        <f>IFERROR(VLOOKUP($A904,[2]Mssp!$A$5:$BE$1463,AS$4+1,0),0)</f>
        <v>0</v>
      </c>
      <c r="AT904" s="59">
        <f>IFERROR(VLOOKUP($A904,[2]Mssp!$A$5:$BE$1463,AT$4+1,0),0)</f>
        <v>0</v>
      </c>
      <c r="AU904" s="59">
        <f>IFERROR(VLOOKUP($A904,[2]Mssp!$A$5:$BE$1463,AU$4+1,0),0)</f>
        <v>0</v>
      </c>
      <c r="AV904" s="59">
        <f>IFERROR(VLOOKUP($A904,[2]Mssp!$A$5:$BE$1463,AV$4+1,0),0)</f>
        <v>0</v>
      </c>
      <c r="AW904" s="59">
        <f>IFERROR(VLOOKUP($A904,[2]Mssp!$A$5:$BE$1463,AW$4+1,0),0)</f>
        <v>0</v>
      </c>
      <c r="AX904" s="59">
        <f>IFERROR(VLOOKUP($A904,[2]Mssp!$A$5:$BE$1463,AX$4+1,0),0)</f>
        <v>0</v>
      </c>
      <c r="AY904" s="59" t="str">
        <f>IFERROR(VLOOKUP($A904,[2]Mssp!$A$5:$BE$1463,AY$4+2,0),0)</f>
        <v>420x870</v>
      </c>
      <c r="AZ904" s="59">
        <f>IFERROR(VLOOKUP($A904,[2]Mssp!$A$5:$BE$1463,AZ$4+2,0),0)</f>
        <v>0</v>
      </c>
      <c r="BA904" s="141"/>
      <c r="BB904" s="61" t="s">
        <v>1894</v>
      </c>
      <c r="BC904" s="165"/>
      <c r="BD904" s="166"/>
      <c r="BE904" s="167"/>
      <c r="BF904" s="168"/>
      <c r="BG904" s="167"/>
      <c r="BH904" s="168"/>
      <c r="BI904" s="169"/>
      <c r="BJ904" s="168"/>
      <c r="BK904" s="134"/>
      <c r="BL904" s="168"/>
      <c r="BM904" s="167"/>
      <c r="BN904" s="168"/>
      <c r="BO904" s="62"/>
      <c r="BP904" s="168"/>
      <c r="BQ904" s="168"/>
      <c r="BR904" s="168"/>
      <c r="BS904" s="135"/>
      <c r="BT904" s="176"/>
      <c r="BU904" s="167"/>
      <c r="BV904" s="168"/>
      <c r="BW904" s="167"/>
      <c r="BX904" s="168"/>
      <c r="BY904" s="167"/>
      <c r="BZ904" s="176"/>
      <c r="CA904" s="167"/>
      <c r="CB904" s="168"/>
      <c r="CC904" s="167"/>
      <c r="CD904" s="168"/>
      <c r="CE904" s="62"/>
      <c r="CF904" s="62"/>
      <c r="CG904" s="9"/>
      <c r="CH904" s="9"/>
      <c r="CI904" s="9"/>
      <c r="CJ904" s="9"/>
      <c r="CK904" s="9"/>
      <c r="CL904" s="9"/>
      <c r="CM904" s="9"/>
      <c r="CN904" s="9"/>
      <c r="CO904" s="9"/>
      <c r="CP904" s="9"/>
    </row>
    <row r="905" spans="1:94" ht="30" x14ac:dyDescent="0.25">
      <c r="A905" s="127" t="s">
        <v>2892</v>
      </c>
      <c r="B905" s="51" t="s">
        <v>2893</v>
      </c>
      <c r="C905" s="62"/>
      <c r="D905" s="84">
        <v>1</v>
      </c>
      <c r="E905" s="62" t="s">
        <v>393</v>
      </c>
      <c r="F905" s="62">
        <v>2</v>
      </c>
      <c r="G905" s="62"/>
      <c r="H905" s="50">
        <f>VLOOKUP($A905,'[1]ma sp 02'!$A$5:$BD$1101,H$1,0)</f>
        <v>6.4000000000000001E-2</v>
      </c>
      <c r="I905" s="50">
        <f>VLOOKUP($A905,'[1]ma sp 02'!$A$5:$BD$1101,I$1,0)</f>
        <v>0</v>
      </c>
      <c r="J905" s="50">
        <f>VLOOKUP($A905,'[1]ma sp 02'!$A$5:$BD$1101,J$1,0)</f>
        <v>0</v>
      </c>
      <c r="K905" s="50">
        <f>VLOOKUP($A905,'[1]ma sp 02'!$A$5:$BD$1101,K$1,0)</f>
        <v>0.51500000000000001</v>
      </c>
      <c r="L905" s="50">
        <f>VLOOKUP($A905,'[1]ma sp 02'!$A$5:$BD$1101,L$1,0)</f>
        <v>0</v>
      </c>
      <c r="M905" s="50">
        <f>VLOOKUP($A905,'[1]ma sp 02'!$A$5:$BD$1101,M$1,0)</f>
        <v>0</v>
      </c>
      <c r="N905" s="50">
        <f>VLOOKUP($A905,'[1]ma sp 02'!$A$5:$BD$1101,N$1,0)</f>
        <v>0</v>
      </c>
      <c r="O905" s="50">
        <f>VLOOKUP($A905,'[1]ma sp 02'!$A$5:$BD$1101,O$1,0)</f>
        <v>0</v>
      </c>
      <c r="P905" s="50">
        <f>VLOOKUP($A905,'[1]ma sp 02'!$A$5:$BD$1101,P$1,0)</f>
        <v>0.01</v>
      </c>
      <c r="Q905" s="50">
        <f>VLOOKUP($A905,'[1]ma sp 02'!$A$5:$BD$1101,Q$1,0)</f>
        <v>0</v>
      </c>
      <c r="R905" s="50">
        <f>VLOOKUP($A905,'[1]ma sp 02'!$A$5:$BD$1101,R$1,0)</f>
        <v>0</v>
      </c>
      <c r="S905" s="50">
        <f>VLOOKUP($A905,'[1]ma sp 02'!$A$5:$BD$1101,S$1,0)</f>
        <v>0</v>
      </c>
      <c r="T905" s="50">
        <f>VLOOKUP($A905,'[1]ma sp 02'!$A$5:$BD$1101,T$1,0)</f>
        <v>0</v>
      </c>
      <c r="U905" s="50">
        <f>VLOOKUP($A905,'[1]ma sp 02'!$A$5:$BD$1101,U$1,0)</f>
        <v>0</v>
      </c>
      <c r="V905" s="50">
        <f>VLOOKUP($A905,'[1]ma sp 02'!$A$5:$BD$1101,V$1,0)</f>
        <v>0</v>
      </c>
      <c r="W905" s="50">
        <f>VLOOKUP($A905,'[1]ma sp 02'!$A$5:$BD$1101,W$1,0)</f>
        <v>0</v>
      </c>
      <c r="X905" s="50"/>
      <c r="Y905" s="62"/>
      <c r="Z905" s="62"/>
      <c r="AA905" s="62"/>
      <c r="AB905" s="62"/>
      <c r="AC905" s="62"/>
      <c r="AD905" s="62"/>
      <c r="AE905" s="62" t="s">
        <v>738</v>
      </c>
      <c r="AF905" s="62" t="s">
        <v>2894</v>
      </c>
      <c r="AG905" s="53">
        <f>(0.012*1.4+0.006*2.71+0.12*0.925)*0.66</f>
        <v>9.50796E-2</v>
      </c>
      <c r="AH905" s="54">
        <f>(3/0.75/2)*0.65</f>
        <v>1.3</v>
      </c>
      <c r="AI905" s="54">
        <f>(3/0.75/2)*0.65</f>
        <v>1.3</v>
      </c>
      <c r="AJ905" s="192">
        <v>9530</v>
      </c>
      <c r="AK905" s="62">
        <v>9530</v>
      </c>
      <c r="AL905" s="62" t="s">
        <v>2023</v>
      </c>
      <c r="AM905" s="61" t="s">
        <v>74</v>
      </c>
      <c r="AN905" s="62">
        <v>240</v>
      </c>
      <c r="AO905" s="61" t="s">
        <v>2872</v>
      </c>
      <c r="AP905" s="59" t="str">
        <f>IFERROR(VLOOKUP($A905,[2]Mssp!$A$5:$BE$1463,AP$4+1,0),0)</f>
        <v>21060205-1</v>
      </c>
      <c r="AQ905" s="59" t="str">
        <f>IFERROR(VLOOKUP($A905,[2]Mssp!$A$5:$BE$1463,AQ$4+1,0),0)</f>
        <v>21060205-2</v>
      </c>
      <c r="AR905" s="59">
        <f>IFERROR(VLOOKUP($A905,[2]Mssp!$A$5:$BE$1463,AR$4+1,0),0)</f>
        <v>0</v>
      </c>
      <c r="AS905" s="59">
        <f>IFERROR(VLOOKUP($A905,[2]Mssp!$A$5:$BE$1463,AS$4+1,0),0)</f>
        <v>0</v>
      </c>
      <c r="AT905" s="59">
        <f>IFERROR(VLOOKUP($A905,[2]Mssp!$A$5:$BE$1463,AT$4+1,0),0)</f>
        <v>0</v>
      </c>
      <c r="AU905" s="59">
        <f>IFERROR(VLOOKUP($A905,[2]Mssp!$A$5:$BE$1463,AU$4+1,0),0)</f>
        <v>0</v>
      </c>
      <c r="AV905" s="59">
        <f>IFERROR(VLOOKUP($A905,[2]Mssp!$A$5:$BE$1463,AV$4+1,0),0)</f>
        <v>0</v>
      </c>
      <c r="AW905" s="59">
        <f>IFERROR(VLOOKUP($A905,[2]Mssp!$A$5:$BE$1463,AW$4+1,0),0)</f>
        <v>0</v>
      </c>
      <c r="AX905" s="59">
        <f>IFERROR(VLOOKUP($A905,[2]Mssp!$A$5:$BE$1463,AX$4+1,0),0)</f>
        <v>0</v>
      </c>
      <c r="AY905" s="59" t="str">
        <f>IFERROR(VLOOKUP($A905,[2]Mssp!$A$5:$BE$1463,AY$4+2,0),0)</f>
        <v>480x870</v>
      </c>
      <c r="AZ905" s="59">
        <f>IFERROR(VLOOKUP($A905,[2]Mssp!$A$5:$BE$1463,AZ$4+2,0),0)</f>
        <v>0</v>
      </c>
      <c r="BA905" s="141"/>
      <c r="BB905" s="61" t="s">
        <v>1894</v>
      </c>
      <c r="BC905" s="165"/>
      <c r="BD905" s="166"/>
      <c r="BE905" s="167"/>
      <c r="BF905" s="168"/>
      <c r="BG905" s="167"/>
      <c r="BH905" s="168"/>
      <c r="BI905" s="169"/>
      <c r="BJ905" s="168"/>
      <c r="BK905" s="134"/>
      <c r="BL905" s="168"/>
      <c r="BM905" s="167"/>
      <c r="BN905" s="168"/>
      <c r="BO905" s="62"/>
      <c r="BP905" s="168"/>
      <c r="BQ905" s="168"/>
      <c r="BR905" s="168"/>
      <c r="BS905" s="135"/>
      <c r="BT905" s="176"/>
      <c r="BU905" s="167"/>
      <c r="BV905" s="168"/>
      <c r="BW905" s="167"/>
      <c r="BX905" s="168"/>
      <c r="BY905" s="167"/>
      <c r="BZ905" s="176"/>
      <c r="CA905" s="167"/>
      <c r="CB905" s="168"/>
      <c r="CC905" s="167"/>
      <c r="CD905" s="168"/>
      <c r="CE905" s="62"/>
      <c r="CF905" s="62"/>
      <c r="CG905" s="9"/>
      <c r="CH905" s="9"/>
      <c r="CI905" s="9"/>
      <c r="CJ905" s="9"/>
      <c r="CK905" s="9"/>
      <c r="CL905" s="9"/>
      <c r="CM905" s="9"/>
      <c r="CN905" s="9"/>
      <c r="CO905" s="9"/>
      <c r="CP905" s="9"/>
    </row>
    <row r="906" spans="1:94" ht="30" x14ac:dyDescent="0.25">
      <c r="A906" s="127" t="s">
        <v>2895</v>
      </c>
      <c r="B906" s="51" t="s">
        <v>2896</v>
      </c>
      <c r="C906" s="62"/>
      <c r="D906" s="84">
        <v>2</v>
      </c>
      <c r="E906" s="62" t="s">
        <v>315</v>
      </c>
      <c r="F906" s="62">
        <v>2</v>
      </c>
      <c r="G906" s="62"/>
      <c r="H906" s="50">
        <f>VLOOKUP($A906,'[1]ma sp 02'!$A$5:$BD$1101,H$1,0)</f>
        <v>0.104</v>
      </c>
      <c r="I906" s="50">
        <f>VLOOKUP($A906,'[1]ma sp 02'!$A$5:$BD$1101,I$1,0)</f>
        <v>3.9359999999999999</v>
      </c>
      <c r="J906" s="50">
        <f>VLOOKUP($A906,'[1]ma sp 02'!$A$5:$BD$1101,J$1,0)</f>
        <v>0</v>
      </c>
      <c r="K906" s="50">
        <f>VLOOKUP($A906,'[1]ma sp 02'!$A$5:$BD$1101,K$1,0)</f>
        <v>0.311</v>
      </c>
      <c r="L906" s="50">
        <f>VLOOKUP($A906,'[1]ma sp 02'!$A$5:$BD$1101,L$1,0)</f>
        <v>0</v>
      </c>
      <c r="M906" s="50">
        <f>VLOOKUP($A906,'[1]ma sp 02'!$A$5:$BD$1101,M$1,0)</f>
        <v>0</v>
      </c>
      <c r="N906" s="50">
        <f>VLOOKUP($A906,'[1]ma sp 02'!$A$5:$BD$1101,N$1,0)</f>
        <v>0</v>
      </c>
      <c r="O906" s="50">
        <f>VLOOKUP($A906,'[1]ma sp 02'!$A$5:$BD$1101,O$1,0)</f>
        <v>0</v>
      </c>
      <c r="P906" s="50">
        <f>VLOOKUP($A906,'[1]ma sp 02'!$A$5:$BD$1101,P$1,0)</f>
        <v>0.36299999999999999</v>
      </c>
      <c r="Q906" s="50">
        <f>VLOOKUP($A906,'[1]ma sp 02'!$A$5:$BD$1101,Q$1,0)</f>
        <v>0</v>
      </c>
      <c r="R906" s="50">
        <f>VLOOKUP($A906,'[1]ma sp 02'!$A$5:$BD$1101,R$1,0)</f>
        <v>0</v>
      </c>
      <c r="S906" s="50">
        <f>VLOOKUP($A906,'[1]ma sp 02'!$A$5:$BD$1101,S$1,0)</f>
        <v>0</v>
      </c>
      <c r="T906" s="50">
        <f>VLOOKUP($A906,'[1]ma sp 02'!$A$5:$BD$1101,T$1,0)</f>
        <v>0</v>
      </c>
      <c r="U906" s="50">
        <f>VLOOKUP($A906,'[1]ma sp 02'!$A$5:$BD$1101,U$1,0)</f>
        <v>0</v>
      </c>
      <c r="V906" s="50">
        <f>VLOOKUP($A906,'[1]ma sp 02'!$A$5:$BD$1101,V$1,0)</f>
        <v>0</v>
      </c>
      <c r="W906" s="50">
        <f>VLOOKUP($A906,'[1]ma sp 02'!$A$5:$BD$1101,W$1,0)</f>
        <v>0.36299999999999999</v>
      </c>
      <c r="X906" s="50"/>
      <c r="Y906" s="62"/>
      <c r="Z906" s="62"/>
      <c r="AA906" s="62"/>
      <c r="AB906" s="62"/>
      <c r="AC906" s="62"/>
      <c r="AD906" s="62"/>
      <c r="AE906" s="62" t="s">
        <v>2320</v>
      </c>
      <c r="AF906" s="62" t="s">
        <v>2891</v>
      </c>
      <c r="AG906" s="53">
        <f>(0.012*1.4+0.006*2.71+0.12*0.925)*0.82</f>
        <v>0.11812919999999999</v>
      </c>
      <c r="AH906" s="54">
        <f>(3/0.75/2)*0.81</f>
        <v>1.62</v>
      </c>
      <c r="AI906" s="54">
        <f>(3/0.75/2)*0.81</f>
        <v>1.62</v>
      </c>
      <c r="AJ906" s="192">
        <v>9530</v>
      </c>
      <c r="AK906" s="62">
        <v>9530</v>
      </c>
      <c r="AL906" s="62" t="s">
        <v>2023</v>
      </c>
      <c r="AM906" s="61" t="s">
        <v>74</v>
      </c>
      <c r="AN906" s="62">
        <v>140</v>
      </c>
      <c r="AO906" s="61" t="s">
        <v>2872</v>
      </c>
      <c r="AP906" s="59" t="str">
        <f>IFERROR(VLOOKUP($A906,[2]Mssp!$A$5:$BE$1463,AP$4+1,0),0)</f>
        <v>21060204-1</v>
      </c>
      <c r="AQ906" s="59" t="str">
        <f>IFERROR(VLOOKUP($A906,[2]Mssp!$A$5:$BE$1463,AQ$4+1,0),0)</f>
        <v>21060204-2</v>
      </c>
      <c r="AR906" s="59">
        <f>IFERROR(VLOOKUP($A906,[2]Mssp!$A$5:$BE$1463,AR$4+1,0),0)</f>
        <v>0</v>
      </c>
      <c r="AS906" s="59">
        <f>IFERROR(VLOOKUP($A906,[2]Mssp!$A$5:$BE$1463,AS$4+1,0),0)</f>
        <v>0</v>
      </c>
      <c r="AT906" s="59">
        <f>IFERROR(VLOOKUP($A906,[2]Mssp!$A$5:$BE$1463,AT$4+1,0),0)</f>
        <v>0</v>
      </c>
      <c r="AU906" s="59">
        <f>IFERROR(VLOOKUP($A906,[2]Mssp!$A$5:$BE$1463,AU$4+1,0),0)</f>
        <v>0</v>
      </c>
      <c r="AV906" s="59">
        <f>IFERROR(VLOOKUP($A906,[2]Mssp!$A$5:$BE$1463,AV$4+1,0),0)</f>
        <v>0</v>
      </c>
      <c r="AW906" s="59">
        <f>IFERROR(VLOOKUP($A906,[2]Mssp!$A$5:$BE$1463,AW$4+1,0),0)</f>
        <v>0</v>
      </c>
      <c r="AX906" s="59">
        <f>IFERROR(VLOOKUP($A906,[2]Mssp!$A$5:$BE$1463,AX$4+1,0),0)</f>
        <v>0</v>
      </c>
      <c r="AY906" s="59" t="str">
        <f>IFERROR(VLOOKUP($A906,[2]Mssp!$A$5:$BE$1463,AY$4+2,0),0)</f>
        <v>420x870</v>
      </c>
      <c r="AZ906" s="59">
        <f>IFERROR(VLOOKUP($A906,[2]Mssp!$A$5:$BE$1463,AZ$4+2,0),0)</f>
        <v>0</v>
      </c>
      <c r="BA906" s="141"/>
      <c r="BB906" s="61" t="s">
        <v>1894</v>
      </c>
      <c r="BC906" s="165"/>
      <c r="BD906" s="166"/>
      <c r="BE906" s="167"/>
      <c r="BF906" s="168"/>
      <c r="BG906" s="167"/>
      <c r="BH906" s="168"/>
      <c r="BI906" s="169"/>
      <c r="BJ906" s="168"/>
      <c r="BK906" s="134"/>
      <c r="BL906" s="168"/>
      <c r="BM906" s="167"/>
      <c r="BN906" s="168"/>
      <c r="BO906" s="62"/>
      <c r="BP906" s="168"/>
      <c r="BQ906" s="168"/>
      <c r="BR906" s="168"/>
      <c r="BS906" s="135"/>
      <c r="BT906" s="176"/>
      <c r="BU906" s="167"/>
      <c r="BV906" s="168"/>
      <c r="BW906" s="167"/>
      <c r="BX906" s="168"/>
      <c r="BY906" s="167"/>
      <c r="BZ906" s="176"/>
      <c r="CA906" s="167"/>
      <c r="CB906" s="168"/>
      <c r="CC906" s="167"/>
      <c r="CD906" s="168"/>
      <c r="CE906" s="62"/>
      <c r="CF906" s="62"/>
      <c r="CG906" s="9"/>
      <c r="CH906" s="9"/>
      <c r="CI906" s="9"/>
      <c r="CJ906" s="9"/>
      <c r="CK906" s="9"/>
      <c r="CL906" s="9"/>
      <c r="CM906" s="9"/>
      <c r="CN906" s="9"/>
      <c r="CO906" s="9"/>
      <c r="CP906" s="9"/>
    </row>
    <row r="907" spans="1:94" ht="30" x14ac:dyDescent="0.25">
      <c r="A907" s="158" t="s">
        <v>2897</v>
      </c>
      <c r="B907" s="159" t="s">
        <v>2898</v>
      </c>
      <c r="C907" s="62"/>
      <c r="D907" s="84">
        <v>1</v>
      </c>
      <c r="E907" s="62" t="s">
        <v>393</v>
      </c>
      <c r="F907" s="62">
        <v>2</v>
      </c>
      <c r="G907" s="62"/>
      <c r="H907" s="50">
        <f>VLOOKUP($A907,'[1]ma sp 02'!$A$5:$BD$1101,H$1,0)</f>
        <v>0</v>
      </c>
      <c r="I907" s="50">
        <f>VLOOKUP($A907,'[1]ma sp 02'!$A$5:$BD$1101,I$1,0)</f>
        <v>0</v>
      </c>
      <c r="J907" s="50">
        <f>VLOOKUP($A907,'[1]ma sp 02'!$A$5:$BD$1101,J$1,0)</f>
        <v>0</v>
      </c>
      <c r="K907" s="50">
        <f>VLOOKUP($A907,'[1]ma sp 02'!$A$5:$BD$1101,K$1,0)</f>
        <v>0</v>
      </c>
      <c r="L907" s="50">
        <f>VLOOKUP($A907,'[1]ma sp 02'!$A$5:$BD$1101,L$1,0)</f>
        <v>0</v>
      </c>
      <c r="M907" s="50">
        <f>VLOOKUP($A907,'[1]ma sp 02'!$A$5:$BD$1101,M$1,0)</f>
        <v>0</v>
      </c>
      <c r="N907" s="50">
        <f>VLOOKUP($A907,'[1]ma sp 02'!$A$5:$BD$1101,N$1,0)</f>
        <v>0</v>
      </c>
      <c r="O907" s="50">
        <f>VLOOKUP($A907,'[1]ma sp 02'!$A$5:$BD$1101,O$1,0)</f>
        <v>0</v>
      </c>
      <c r="P907" s="50">
        <f>VLOOKUP($A907,'[1]ma sp 02'!$A$5:$BD$1101,P$1,0)</f>
        <v>0</v>
      </c>
      <c r="Q907" s="50">
        <f>VLOOKUP($A907,'[1]ma sp 02'!$A$5:$BD$1101,Q$1,0)</f>
        <v>0</v>
      </c>
      <c r="R907" s="50">
        <f>VLOOKUP($A907,'[1]ma sp 02'!$A$5:$BD$1101,R$1,0)</f>
        <v>0</v>
      </c>
      <c r="S907" s="50">
        <f>VLOOKUP($A907,'[1]ma sp 02'!$A$5:$BD$1101,S$1,0)</f>
        <v>0</v>
      </c>
      <c r="T907" s="50">
        <f>VLOOKUP($A907,'[1]ma sp 02'!$A$5:$BD$1101,T$1,0)</f>
        <v>0</v>
      </c>
      <c r="U907" s="50">
        <f>VLOOKUP($A907,'[1]ma sp 02'!$A$5:$BD$1101,U$1,0)</f>
        <v>0</v>
      </c>
      <c r="V907" s="50">
        <f>VLOOKUP($A907,'[1]ma sp 02'!$A$5:$BD$1101,V$1,0)</f>
        <v>0</v>
      </c>
      <c r="W907" s="50">
        <f>VLOOKUP($A907,'[1]ma sp 02'!$A$5:$BD$1101,W$1,0)</f>
        <v>0</v>
      </c>
      <c r="X907" s="50"/>
      <c r="Y907" s="62"/>
      <c r="Z907" s="62"/>
      <c r="AA907" s="62"/>
      <c r="AB907" s="62"/>
      <c r="AC907" s="62"/>
      <c r="AD907" s="62"/>
      <c r="AE907" s="62" t="s">
        <v>738</v>
      </c>
      <c r="AF907" s="62" t="s">
        <v>2894</v>
      </c>
      <c r="AG907" s="53">
        <f>(0.012*1.4+0.006*2.71+0.12*0.925)*0.66</f>
        <v>9.50796E-2</v>
      </c>
      <c r="AH907" s="54">
        <f>(3/0.75/2)*0.65</f>
        <v>1.3</v>
      </c>
      <c r="AI907" s="54">
        <f>(3/0.75/2)*0.65</f>
        <v>1.3</v>
      </c>
      <c r="AJ907" s="192">
        <v>9530</v>
      </c>
      <c r="AK907" s="62">
        <v>9530</v>
      </c>
      <c r="AL907" s="62" t="s">
        <v>2023</v>
      </c>
      <c r="AM907" s="61" t="s">
        <v>74</v>
      </c>
      <c r="AN907" s="62">
        <v>240</v>
      </c>
      <c r="AO907" s="61" t="s">
        <v>2872</v>
      </c>
      <c r="AP907" s="59" t="str">
        <f>IFERROR(VLOOKUP($A907,[2]Mssp!$A$5:$BE$1463,AP$4+1,0),0)</f>
        <v>21060206-1</v>
      </c>
      <c r="AQ907" s="59" t="str">
        <f>IFERROR(VLOOKUP($A907,[2]Mssp!$A$5:$BE$1463,AQ$4+1,0),0)</f>
        <v>21060206-2</v>
      </c>
      <c r="AR907" s="59">
        <f>IFERROR(VLOOKUP($A907,[2]Mssp!$A$5:$BE$1463,AR$4+1,0),0)</f>
        <v>0</v>
      </c>
      <c r="AS907" s="59">
        <f>IFERROR(VLOOKUP($A907,[2]Mssp!$A$5:$BE$1463,AS$4+1,0),0)</f>
        <v>0</v>
      </c>
      <c r="AT907" s="59">
        <f>IFERROR(VLOOKUP($A907,[2]Mssp!$A$5:$BE$1463,AT$4+1,0),0)</f>
        <v>0</v>
      </c>
      <c r="AU907" s="59">
        <f>IFERROR(VLOOKUP($A907,[2]Mssp!$A$5:$BE$1463,AU$4+1,0),0)</f>
        <v>0</v>
      </c>
      <c r="AV907" s="59">
        <f>IFERROR(VLOOKUP($A907,[2]Mssp!$A$5:$BE$1463,AV$4+1,0),0)</f>
        <v>0</v>
      </c>
      <c r="AW907" s="59">
        <f>IFERROR(VLOOKUP($A907,[2]Mssp!$A$5:$BE$1463,AW$4+1,0),0)</f>
        <v>0</v>
      </c>
      <c r="AX907" s="59">
        <f>IFERROR(VLOOKUP($A907,[2]Mssp!$A$5:$BE$1463,AX$4+1,0),0)</f>
        <v>0</v>
      </c>
      <c r="AY907" s="59" t="str">
        <f>IFERROR(VLOOKUP($A907,[2]Mssp!$A$5:$BE$1463,AY$4+2,0),0)</f>
        <v>480x870</v>
      </c>
      <c r="AZ907" s="59">
        <f>IFERROR(VLOOKUP($A907,[2]Mssp!$A$5:$BE$1463,AZ$4+2,0),0)</f>
        <v>0</v>
      </c>
      <c r="BA907" s="141"/>
      <c r="BB907" s="61" t="s">
        <v>1894</v>
      </c>
      <c r="BC907" s="165"/>
      <c r="BD907" s="166"/>
      <c r="BE907" s="167"/>
      <c r="BF907" s="168"/>
      <c r="BG907" s="167"/>
      <c r="BH907" s="168"/>
      <c r="BI907" s="169"/>
      <c r="BJ907" s="168"/>
      <c r="BK907" s="134"/>
      <c r="BL907" s="168"/>
      <c r="BM907" s="167"/>
      <c r="BN907" s="168"/>
      <c r="BO907" s="62"/>
      <c r="BP907" s="168"/>
      <c r="BQ907" s="168"/>
      <c r="BR907" s="168"/>
      <c r="BS907" s="135"/>
      <c r="BT907" s="176"/>
      <c r="BU907" s="167"/>
      <c r="BV907" s="168"/>
      <c r="BW907" s="167"/>
      <c r="BX907" s="168"/>
      <c r="BY907" s="167"/>
      <c r="BZ907" s="176"/>
      <c r="CA907" s="167"/>
      <c r="CB907" s="168"/>
      <c r="CC907" s="167"/>
      <c r="CD907" s="168"/>
      <c r="CE907" s="62"/>
      <c r="CF907" s="62"/>
      <c r="CG907" s="9"/>
      <c r="CH907" s="9"/>
      <c r="CI907" s="9"/>
      <c r="CJ907" s="9"/>
      <c r="CK907" s="9"/>
      <c r="CL907" s="9"/>
      <c r="CM907" s="9"/>
      <c r="CN907" s="9"/>
      <c r="CO907" s="9"/>
      <c r="CP907" s="9"/>
    </row>
    <row r="908" spans="1:94" ht="30" x14ac:dyDescent="0.25">
      <c r="A908" s="127" t="s">
        <v>2899</v>
      </c>
      <c r="B908" s="51" t="s">
        <v>2900</v>
      </c>
      <c r="C908" s="124"/>
      <c r="D908" s="84"/>
      <c r="E908" s="62" t="s">
        <v>2046</v>
      </c>
      <c r="F908" s="62">
        <v>2</v>
      </c>
      <c r="G908" s="62"/>
      <c r="H908" s="50">
        <f>VLOOKUP($A908,'[1]ma sp 02'!$A$5:$BD$1101,H$1,0)</f>
        <v>0</v>
      </c>
      <c r="I908" s="50">
        <f>VLOOKUP($A908,'[1]ma sp 02'!$A$5:$BD$1101,I$1,0)</f>
        <v>0</v>
      </c>
      <c r="J908" s="50">
        <f>VLOOKUP($A908,'[1]ma sp 02'!$A$5:$BD$1101,J$1,0)</f>
        <v>0.4</v>
      </c>
      <c r="K908" s="50">
        <f>VLOOKUP($A908,'[1]ma sp 02'!$A$5:$BD$1101,K$1,0)</f>
        <v>0</v>
      </c>
      <c r="L908" s="50">
        <f>VLOOKUP($A908,'[1]ma sp 02'!$A$5:$BD$1101,L$1,0)</f>
        <v>0.6</v>
      </c>
      <c r="M908" s="50">
        <f>VLOOKUP($A908,'[1]ma sp 02'!$A$5:$BD$1101,M$1,0)</f>
        <v>0</v>
      </c>
      <c r="N908" s="50">
        <f>VLOOKUP($A908,'[1]ma sp 02'!$A$5:$BD$1101,N$1,0)</f>
        <v>0</v>
      </c>
      <c r="O908" s="50">
        <f>VLOOKUP($A908,'[1]ma sp 02'!$A$5:$BD$1101,O$1,0)</f>
        <v>0</v>
      </c>
      <c r="P908" s="50">
        <f>VLOOKUP($A908,'[1]ma sp 02'!$A$5:$BD$1101,P$1,0)</f>
        <v>0</v>
      </c>
      <c r="Q908" s="50">
        <f>VLOOKUP($A908,'[1]ma sp 02'!$A$5:$BD$1101,Q$1,0)</f>
        <v>0.2</v>
      </c>
      <c r="R908" s="50">
        <f>VLOOKUP($A908,'[1]ma sp 02'!$A$5:$BD$1101,R$1,0)</f>
        <v>1</v>
      </c>
      <c r="S908" s="50">
        <f>VLOOKUP($A908,'[1]ma sp 02'!$A$5:$BD$1101,S$1,0)</f>
        <v>0</v>
      </c>
      <c r="T908" s="50">
        <f>VLOOKUP($A908,'[1]ma sp 02'!$A$5:$BD$1101,T$1,0)</f>
        <v>0</v>
      </c>
      <c r="U908" s="50">
        <f>VLOOKUP($A908,'[1]ma sp 02'!$A$5:$BD$1101,U$1,0)</f>
        <v>0</v>
      </c>
      <c r="V908" s="50">
        <f>VLOOKUP($A908,'[1]ma sp 02'!$A$5:$BD$1101,V$1,0)</f>
        <v>0</v>
      </c>
      <c r="W908" s="50">
        <f>VLOOKUP($A908,'[1]ma sp 02'!$A$5:$BD$1101,W$1,0)</f>
        <v>0</v>
      </c>
      <c r="X908" s="50"/>
      <c r="Y908" s="62"/>
      <c r="Z908" s="62"/>
      <c r="AA908" s="62"/>
      <c r="AB908" s="62"/>
      <c r="AC908" s="62"/>
      <c r="AD908" s="62"/>
      <c r="AE908" s="62" t="s">
        <v>2047</v>
      </c>
      <c r="AF908" s="62"/>
      <c r="AG908" s="53">
        <f>(0.06*0.98+0.03*0.925)*1.24</f>
        <v>0.107322</v>
      </c>
      <c r="AH908" s="54">
        <f>(2/0.75/2)*1.23</f>
        <v>1.64</v>
      </c>
      <c r="AI908" s="54"/>
      <c r="AJ908" s="192" t="s">
        <v>1881</v>
      </c>
      <c r="AK908" s="62"/>
      <c r="AL908" s="62">
        <v>1.1999999999999999E-3</v>
      </c>
      <c r="AM908" s="61" t="s">
        <v>1489</v>
      </c>
      <c r="AN908" s="62"/>
      <c r="AO908" s="61" t="s">
        <v>2338</v>
      </c>
      <c r="AP908" s="59" t="str">
        <f>IFERROR(VLOOKUP($A908,[2]Mssp!$A$5:$BE$1463,AP$4+1,0),0)</f>
        <v>21060126-1</v>
      </c>
      <c r="AQ908" s="59" t="str">
        <f>IFERROR(VLOOKUP($A908,[2]Mssp!$A$5:$BE$1463,AQ$4+1,0),0)</f>
        <v>21060126-2</v>
      </c>
      <c r="AR908" s="59">
        <f>IFERROR(VLOOKUP($A908,[2]Mssp!$A$5:$BE$1463,AR$4+1,0),0)</f>
        <v>0</v>
      </c>
      <c r="AS908" s="59">
        <f>IFERROR(VLOOKUP($A908,[2]Mssp!$A$5:$BE$1463,AS$4+1,0),0)</f>
        <v>0</v>
      </c>
      <c r="AT908" s="59">
        <f>IFERROR(VLOOKUP($A908,[2]Mssp!$A$5:$BE$1463,AT$4+1,0),0)</f>
        <v>0</v>
      </c>
      <c r="AU908" s="59">
        <f>IFERROR(VLOOKUP($A908,[2]Mssp!$A$5:$BE$1463,AU$4+1,0),0)</f>
        <v>0</v>
      </c>
      <c r="AV908" s="59">
        <f>IFERROR(VLOOKUP($A908,[2]Mssp!$A$5:$BE$1463,AV$4+1,0),0)</f>
        <v>0</v>
      </c>
      <c r="AW908" s="59">
        <f>IFERROR(VLOOKUP($A908,[2]Mssp!$A$5:$BE$1463,AW$4+1,0),0)</f>
        <v>0</v>
      </c>
      <c r="AX908" s="59">
        <f>IFERROR(VLOOKUP($A908,[2]Mssp!$A$5:$BE$1463,AX$4+1,0),0)</f>
        <v>0</v>
      </c>
      <c r="AY908" s="59" t="str">
        <f>IFERROR(VLOOKUP($A908,[2]Mssp!$A$5:$BE$1463,AY$4+2,0),0)</f>
        <v>800x1300</v>
      </c>
      <c r="AZ908" s="59">
        <f>IFERROR(VLOOKUP($A908,[2]Mssp!$A$5:$BE$1463,AZ$4+2,0),0)</f>
        <v>0</v>
      </c>
      <c r="BA908" s="141"/>
      <c r="BB908" s="61" t="s">
        <v>952</v>
      </c>
      <c r="BC908" s="165"/>
      <c r="BD908" s="166"/>
      <c r="BE908" s="167"/>
      <c r="BF908" s="168"/>
      <c r="BG908" s="167"/>
      <c r="BH908" s="168"/>
      <c r="BI908" s="169"/>
      <c r="BJ908" s="168"/>
      <c r="BK908" s="134"/>
      <c r="BL908" s="168"/>
      <c r="BM908" s="167"/>
      <c r="BN908" s="168"/>
      <c r="BO908" s="62"/>
      <c r="BP908" s="168"/>
      <c r="BQ908" s="168"/>
      <c r="BR908" s="168"/>
      <c r="BS908" s="135"/>
      <c r="BT908" s="176"/>
      <c r="BU908" s="167"/>
      <c r="BV908" s="168"/>
      <c r="BW908" s="167"/>
      <c r="BX908" s="168"/>
      <c r="BY908" s="167"/>
      <c r="BZ908" s="176"/>
      <c r="CA908" s="167"/>
      <c r="CB908" s="168"/>
      <c r="CC908" s="167"/>
      <c r="CD908" s="168"/>
      <c r="CE908" s="62"/>
      <c r="CF908" s="62"/>
      <c r="CG908" s="9"/>
      <c r="CH908" s="9"/>
      <c r="CI908" s="9"/>
      <c r="CJ908" s="9"/>
      <c r="CK908" s="9"/>
      <c r="CL908" s="9"/>
      <c r="CM908" s="9"/>
      <c r="CN908" s="9"/>
      <c r="CO908" s="9"/>
      <c r="CP908" s="9"/>
    </row>
    <row r="909" spans="1:94" ht="30" x14ac:dyDescent="0.25">
      <c r="A909" s="173" t="s">
        <v>2901</v>
      </c>
      <c r="B909" s="174" t="s">
        <v>2902</v>
      </c>
      <c r="C909" s="62"/>
      <c r="D909" s="84"/>
      <c r="E909" s="62" t="s">
        <v>299</v>
      </c>
      <c r="F909" s="62"/>
      <c r="G909" s="62"/>
      <c r="H909" s="50">
        <f>VLOOKUP($A909,'[1]ma sp 02'!$A$5:$BD$1101,H$1,0)</f>
        <v>0</v>
      </c>
      <c r="I909" s="50">
        <f>VLOOKUP($A909,'[1]ma sp 02'!$A$5:$BD$1101,I$1,0)</f>
        <v>0</v>
      </c>
      <c r="J909" s="50">
        <f>VLOOKUP($A909,'[1]ma sp 02'!$A$5:$BD$1101,J$1,0)</f>
        <v>0</v>
      </c>
      <c r="K909" s="50">
        <f>VLOOKUP($A909,'[1]ma sp 02'!$A$5:$BD$1101,K$1,0)</f>
        <v>0</v>
      </c>
      <c r="L909" s="50">
        <f>VLOOKUP($A909,'[1]ma sp 02'!$A$5:$BD$1101,L$1,0)</f>
        <v>0</v>
      </c>
      <c r="M909" s="50">
        <f>VLOOKUP($A909,'[1]ma sp 02'!$A$5:$BD$1101,M$1,0)</f>
        <v>0</v>
      </c>
      <c r="N909" s="50">
        <f>VLOOKUP($A909,'[1]ma sp 02'!$A$5:$BD$1101,N$1,0)</f>
        <v>0</v>
      </c>
      <c r="O909" s="50">
        <f>VLOOKUP($A909,'[1]ma sp 02'!$A$5:$BD$1101,O$1,0)</f>
        <v>0</v>
      </c>
      <c r="P909" s="50">
        <f>VLOOKUP($A909,'[1]ma sp 02'!$A$5:$BD$1101,P$1,0)</f>
        <v>0</v>
      </c>
      <c r="Q909" s="50">
        <f>VLOOKUP($A909,'[1]ma sp 02'!$A$5:$BD$1101,Q$1,0)</f>
        <v>0</v>
      </c>
      <c r="R909" s="50">
        <f>VLOOKUP($A909,'[1]ma sp 02'!$A$5:$BD$1101,R$1,0)</f>
        <v>0</v>
      </c>
      <c r="S909" s="50">
        <f>VLOOKUP($A909,'[1]ma sp 02'!$A$5:$BD$1101,S$1,0)</f>
        <v>0</v>
      </c>
      <c r="T909" s="50">
        <f>VLOOKUP($A909,'[1]ma sp 02'!$A$5:$BD$1101,T$1,0)</f>
        <v>0</v>
      </c>
      <c r="U909" s="50">
        <f>VLOOKUP($A909,'[1]ma sp 02'!$A$5:$BD$1101,U$1,0)</f>
        <v>0</v>
      </c>
      <c r="V909" s="50">
        <f>VLOOKUP($A909,'[1]ma sp 02'!$A$5:$BD$1101,V$1,0)</f>
        <v>0</v>
      </c>
      <c r="W909" s="50">
        <f>VLOOKUP($A909,'[1]ma sp 02'!$A$5:$BD$1101,W$1,0)</f>
        <v>0</v>
      </c>
      <c r="X909" s="50"/>
      <c r="Y909" s="62"/>
      <c r="Z909" s="62"/>
      <c r="AA909" s="62"/>
      <c r="AB909" s="62"/>
      <c r="AC909" s="62"/>
      <c r="AD909" s="62"/>
      <c r="AE909" s="62" t="s">
        <v>2903</v>
      </c>
      <c r="AF909" s="62"/>
      <c r="AG909" s="53">
        <f>(0.03*0.91+0.03*0.925)*0.8</f>
        <v>4.4040000000000003E-2</v>
      </c>
      <c r="AH909" s="54">
        <f>(2/0.75/2)*0.79</f>
        <v>1.0533333333333332</v>
      </c>
      <c r="AI909" s="54"/>
      <c r="AJ909" s="192" t="s">
        <v>1881</v>
      </c>
      <c r="AK909" s="62"/>
      <c r="AL909" s="62">
        <v>2E-3</v>
      </c>
      <c r="AM909" s="61" t="s">
        <v>1489</v>
      </c>
      <c r="AN909" s="62"/>
      <c r="AO909" s="61" t="s">
        <v>2715</v>
      </c>
      <c r="AP909" s="59">
        <f>IFERROR(VLOOKUP($A909,[2]Mssp!$A$5:$BE$1463,AP$4+1,0),0)</f>
        <v>0</v>
      </c>
      <c r="AQ909" s="59">
        <f>IFERROR(VLOOKUP($A909,[2]Mssp!$A$5:$BE$1463,AQ$4+1,0),0)</f>
        <v>0</v>
      </c>
      <c r="AR909" s="59">
        <f>IFERROR(VLOOKUP($A909,[2]Mssp!$A$5:$BE$1463,AR$4+1,0),0)</f>
        <v>0</v>
      </c>
      <c r="AS909" s="59">
        <f>IFERROR(VLOOKUP($A909,[2]Mssp!$A$5:$BE$1463,AS$4+1,0),0)</f>
        <v>0</v>
      </c>
      <c r="AT909" s="59">
        <f>IFERROR(VLOOKUP($A909,[2]Mssp!$A$5:$BE$1463,AT$4+1,0),0)</f>
        <v>0</v>
      </c>
      <c r="AU909" s="59">
        <f>IFERROR(VLOOKUP($A909,[2]Mssp!$A$5:$BE$1463,AU$4+1,0),0)</f>
        <v>0</v>
      </c>
      <c r="AV909" s="59">
        <f>IFERROR(VLOOKUP($A909,[2]Mssp!$A$5:$BE$1463,AV$4+1,0),0)</f>
        <v>0</v>
      </c>
      <c r="AW909" s="59">
        <f>IFERROR(VLOOKUP($A909,[2]Mssp!$A$5:$BE$1463,AW$4+1,0),0)</f>
        <v>0</v>
      </c>
      <c r="AX909" s="59">
        <f>IFERROR(VLOOKUP($A909,[2]Mssp!$A$5:$BE$1463,AX$4+1,0),0)</f>
        <v>0</v>
      </c>
      <c r="AY909" s="59">
        <f>IFERROR(VLOOKUP($A909,[2]Mssp!$A$5:$BE$1463,AY$4+2,0),0)</f>
        <v>0</v>
      </c>
      <c r="AZ909" s="59">
        <f>IFERROR(VLOOKUP($A909,[2]Mssp!$A$5:$BE$1463,AZ$4+2,0),0)</f>
        <v>0</v>
      </c>
      <c r="BA909" s="141"/>
      <c r="BB909" s="61" t="s">
        <v>952</v>
      </c>
      <c r="BC909" s="165"/>
      <c r="BD909" s="166"/>
      <c r="BE909" s="167"/>
      <c r="BF909" s="168"/>
      <c r="BG909" s="167"/>
      <c r="BH909" s="168"/>
      <c r="BI909" s="169"/>
      <c r="BJ909" s="168"/>
      <c r="BK909" s="134"/>
      <c r="BL909" s="168"/>
      <c r="BM909" s="167"/>
      <c r="BN909" s="168"/>
      <c r="BO909" s="62"/>
      <c r="BP909" s="168"/>
      <c r="BQ909" s="168"/>
      <c r="BR909" s="168"/>
      <c r="BS909" s="135"/>
      <c r="BT909" s="176"/>
      <c r="BU909" s="167"/>
      <c r="BV909" s="168"/>
      <c r="BW909" s="167"/>
      <c r="BX909" s="168"/>
      <c r="BY909" s="167"/>
      <c r="BZ909" s="176"/>
      <c r="CA909" s="167"/>
      <c r="CB909" s="168"/>
      <c r="CC909" s="167"/>
      <c r="CD909" s="168"/>
      <c r="CE909" s="62"/>
      <c r="CF909" s="62"/>
      <c r="CG909" s="9"/>
      <c r="CH909" s="9"/>
      <c r="CI909" s="9"/>
      <c r="CJ909" s="9"/>
      <c r="CK909" s="9"/>
      <c r="CL909" s="9"/>
      <c r="CM909" s="9"/>
      <c r="CN909" s="9"/>
      <c r="CO909" s="9"/>
      <c r="CP909" s="9"/>
    </row>
    <row r="910" spans="1:94" ht="30" x14ac:dyDescent="0.25">
      <c r="A910" s="127" t="s">
        <v>2904</v>
      </c>
      <c r="B910" s="51" t="s">
        <v>2905</v>
      </c>
      <c r="C910" s="62"/>
      <c r="D910" s="84"/>
      <c r="E910" s="62" t="s">
        <v>841</v>
      </c>
      <c r="F910" s="62">
        <v>5</v>
      </c>
      <c r="G910" s="62"/>
      <c r="H910" s="50">
        <f>VLOOKUP($A910,'[1]ma sp 02'!$A$5:$BD$1101,H$1,0)</f>
        <v>0.311</v>
      </c>
      <c r="I910" s="50">
        <f>VLOOKUP($A910,'[1]ma sp 02'!$A$5:$BD$1101,I$1,0)</f>
        <v>5.8650000000000002</v>
      </c>
      <c r="J910" s="50">
        <f>VLOOKUP($A910,'[1]ma sp 02'!$A$5:$BD$1101,J$1,0)</f>
        <v>0</v>
      </c>
      <c r="K910" s="50">
        <f>VLOOKUP($A910,'[1]ma sp 02'!$A$5:$BD$1101,K$1,0)</f>
        <v>0</v>
      </c>
      <c r="L910" s="50">
        <f>VLOOKUP($A910,'[1]ma sp 02'!$A$5:$BD$1101,L$1,0)</f>
        <v>4.0789999999999997</v>
      </c>
      <c r="M910" s="50">
        <f>VLOOKUP($A910,'[1]ma sp 02'!$A$5:$BD$1101,M$1,0)</f>
        <v>0.69899999999999995</v>
      </c>
      <c r="N910" s="50">
        <f>VLOOKUP($A910,'[1]ma sp 02'!$A$5:$BD$1101,N$1,0)</f>
        <v>0</v>
      </c>
      <c r="O910" s="50">
        <f>VLOOKUP($A910,'[1]ma sp 02'!$A$5:$BD$1101,O$1,0)</f>
        <v>1.0880000000000001</v>
      </c>
      <c r="P910" s="50">
        <f>VLOOKUP($A910,'[1]ma sp 02'!$A$5:$BD$1101,P$1,0)</f>
        <v>7.8E-2</v>
      </c>
      <c r="Q910" s="50">
        <f>VLOOKUP($A910,'[1]ma sp 02'!$A$5:$BD$1101,Q$1,0)</f>
        <v>7.8E-2</v>
      </c>
      <c r="R910" s="50">
        <f>VLOOKUP($A910,'[1]ma sp 02'!$A$5:$BD$1101,R$1,0)</f>
        <v>0</v>
      </c>
      <c r="S910" s="50">
        <f>VLOOKUP($A910,'[1]ma sp 02'!$A$5:$BD$1101,S$1,0)</f>
        <v>0</v>
      </c>
      <c r="T910" s="50">
        <f>VLOOKUP($A910,'[1]ma sp 02'!$A$5:$BD$1101,T$1,0)</f>
        <v>0</v>
      </c>
      <c r="U910" s="50">
        <f>VLOOKUP($A910,'[1]ma sp 02'!$A$5:$BD$1101,U$1,0)</f>
        <v>0</v>
      </c>
      <c r="V910" s="50">
        <f>VLOOKUP($A910,'[1]ma sp 02'!$A$5:$BD$1101,V$1,0)</f>
        <v>0</v>
      </c>
      <c r="W910" s="50">
        <f>VLOOKUP($A910,'[1]ma sp 02'!$A$5:$BD$1101,W$1,0)</f>
        <v>0</v>
      </c>
      <c r="X910" s="50"/>
      <c r="Y910" s="62"/>
      <c r="Z910" s="62"/>
      <c r="AA910" s="62"/>
      <c r="AB910" s="62"/>
      <c r="AC910" s="62"/>
      <c r="AD910" s="62"/>
      <c r="AE910" s="62" t="s">
        <v>842</v>
      </c>
      <c r="AF910" s="62"/>
      <c r="AG910" s="53">
        <f>(0.03*0.91+0.025*0.91)*0.74</f>
        <v>3.7037E-2</v>
      </c>
      <c r="AH910" s="54">
        <f>(2.3/0.75/2)*0.73</f>
        <v>1.1193333333333333</v>
      </c>
      <c r="AI910" s="54"/>
      <c r="AJ910" s="192">
        <v>9530</v>
      </c>
      <c r="AK910" s="62"/>
      <c r="AL910" s="62">
        <v>2.3E-3</v>
      </c>
      <c r="AM910" s="61" t="s">
        <v>1489</v>
      </c>
      <c r="AN910" s="62">
        <v>154</v>
      </c>
      <c r="AO910" s="61" t="s">
        <v>2906</v>
      </c>
      <c r="AP910" s="59" t="str">
        <f>IFERROR(VLOOKUP($A910,[2]Mssp!$A$5:$BE$1463,AP$4+1,0),0)</f>
        <v>F128803G1-1</v>
      </c>
      <c r="AQ910" s="59" t="str">
        <f>IFERROR(VLOOKUP($A910,[2]Mssp!$A$5:$BE$1463,AQ$4+1,0),0)</f>
        <v>F128803G1-2</v>
      </c>
      <c r="AR910" s="59" t="str">
        <f>IFERROR(VLOOKUP($A910,[2]Mssp!$A$5:$BE$1463,AR$4+1,0),0)</f>
        <v>F128803-3</v>
      </c>
      <c r="AS910" s="59" t="str">
        <f>IFERROR(VLOOKUP($A910,[2]Mssp!$A$5:$BE$1463,AS$4+1,0),0)</f>
        <v>F128803-4</v>
      </c>
      <c r="AT910" s="59" t="str">
        <f>IFERROR(VLOOKUP($A910,[2]Mssp!$A$5:$BE$1463,AT$4+1,0),0)</f>
        <v>F128803-5</v>
      </c>
      <c r="AU910" s="59">
        <f>IFERROR(VLOOKUP($A910,[2]Mssp!$A$5:$BE$1463,AU$4+1,0),0)</f>
        <v>0</v>
      </c>
      <c r="AV910" s="59">
        <f>IFERROR(VLOOKUP($A910,[2]Mssp!$A$5:$BE$1463,AV$4+1,0),0)</f>
        <v>0</v>
      </c>
      <c r="AW910" s="59">
        <f>IFERROR(VLOOKUP($A910,[2]Mssp!$A$5:$BE$1463,AW$4+1,0),0)</f>
        <v>0</v>
      </c>
      <c r="AX910" s="59">
        <f>IFERROR(VLOOKUP($A910,[2]Mssp!$A$5:$BE$1463,AX$4+1,0),0)</f>
        <v>0</v>
      </c>
      <c r="AY910" s="59" t="str">
        <f>IFERROR(VLOOKUP($A910,[2]Mssp!$A$5:$BE$1463,AY$4+2,0),0)</f>
        <v>462x870</v>
      </c>
      <c r="AZ910" s="59">
        <f>IFERROR(VLOOKUP($A910,[2]Mssp!$A$5:$BE$1463,AZ$4+2,0),0)</f>
        <v>0</v>
      </c>
      <c r="BA910" s="141"/>
      <c r="BB910" s="61" t="s">
        <v>952</v>
      </c>
      <c r="BC910" s="165"/>
      <c r="BD910" s="166"/>
      <c r="BE910" s="167"/>
      <c r="BF910" s="168"/>
      <c r="BG910" s="167"/>
      <c r="BH910" s="168"/>
      <c r="BI910" s="169"/>
      <c r="BJ910" s="168"/>
      <c r="BK910" s="134"/>
      <c r="BL910" s="168"/>
      <c r="BM910" s="167"/>
      <c r="BN910" s="168"/>
      <c r="BO910" s="62"/>
      <c r="BP910" s="168"/>
      <c r="BQ910" s="168"/>
      <c r="BR910" s="168"/>
      <c r="BS910" s="135"/>
      <c r="BT910" s="176"/>
      <c r="BU910" s="167"/>
      <c r="BV910" s="168"/>
      <c r="BW910" s="167"/>
      <c r="BX910" s="168"/>
      <c r="BY910" s="167"/>
      <c r="BZ910" s="176"/>
      <c r="CA910" s="167"/>
      <c r="CB910" s="168"/>
      <c r="CC910" s="167"/>
      <c r="CD910" s="168"/>
      <c r="CE910" s="62"/>
      <c r="CF910" s="62"/>
      <c r="CG910" s="9"/>
      <c r="CH910" s="9"/>
      <c r="CI910" s="9"/>
      <c r="CJ910" s="9"/>
      <c r="CK910" s="9"/>
      <c r="CL910" s="9"/>
      <c r="CM910" s="9"/>
      <c r="CN910" s="9"/>
      <c r="CO910" s="9"/>
      <c r="CP910" s="9"/>
    </row>
    <row r="911" spans="1:94" ht="45" x14ac:dyDescent="0.25">
      <c r="A911" s="127" t="s">
        <v>2907</v>
      </c>
      <c r="B911" s="51" t="s">
        <v>2908</v>
      </c>
      <c r="C911" s="62"/>
      <c r="D911" s="84"/>
      <c r="E911" s="62" t="s">
        <v>547</v>
      </c>
      <c r="F911" s="62">
        <v>7</v>
      </c>
      <c r="G911" s="62"/>
      <c r="H911" s="50">
        <f>VLOOKUP($A911,'[1]ma sp 02'!$A$5:$BD$1101,H$1,0)</f>
        <v>1.0169999999999999</v>
      </c>
      <c r="I911" s="50">
        <f>VLOOKUP($A911,'[1]ma sp 02'!$A$5:$BD$1101,I$1,0)</f>
        <v>4.7030000000000003</v>
      </c>
      <c r="J911" s="50">
        <f>VLOOKUP($A911,'[1]ma sp 02'!$A$5:$BD$1101,J$1,0)</f>
        <v>0.01</v>
      </c>
      <c r="K911" s="50">
        <f>VLOOKUP($A911,'[1]ma sp 02'!$A$5:$BD$1101,K$1,0)</f>
        <v>1.0169999999999999</v>
      </c>
      <c r="L911" s="50">
        <f>VLOOKUP($A911,'[1]ma sp 02'!$A$5:$BD$1101,L$1,0)</f>
        <v>5.3380000000000001</v>
      </c>
      <c r="M911" s="50">
        <f>VLOOKUP($A911,'[1]ma sp 02'!$A$5:$BD$1101,M$1,0)</f>
        <v>3.3050000000000002</v>
      </c>
      <c r="N911" s="50">
        <f>VLOOKUP($A911,'[1]ma sp 02'!$A$5:$BD$1101,N$1,0)</f>
        <v>0.76300000000000001</v>
      </c>
      <c r="O911" s="50">
        <f>VLOOKUP($A911,'[1]ma sp 02'!$A$5:$BD$1101,O$1,0)</f>
        <v>0</v>
      </c>
      <c r="P911" s="50">
        <f>VLOOKUP($A911,'[1]ma sp 02'!$A$5:$BD$1101,P$1,0)</f>
        <v>0</v>
      </c>
      <c r="Q911" s="50">
        <f>VLOOKUP($A911,'[1]ma sp 02'!$A$5:$BD$1101,Q$1,0)</f>
        <v>0</v>
      </c>
      <c r="R911" s="50">
        <f>VLOOKUP($A911,'[1]ma sp 02'!$A$5:$BD$1101,R$1,0)</f>
        <v>0</v>
      </c>
      <c r="S911" s="50">
        <f>VLOOKUP($A911,'[1]ma sp 02'!$A$5:$BD$1101,S$1,0)</f>
        <v>0</v>
      </c>
      <c r="T911" s="50">
        <f>VLOOKUP($A911,'[1]ma sp 02'!$A$5:$BD$1101,T$1,0)</f>
        <v>0</v>
      </c>
      <c r="U911" s="50">
        <f>VLOOKUP($A911,'[1]ma sp 02'!$A$5:$BD$1101,U$1,0)</f>
        <v>0</v>
      </c>
      <c r="V911" s="50">
        <f>VLOOKUP($A911,'[1]ma sp 02'!$A$5:$BD$1101,V$1,0)</f>
        <v>0</v>
      </c>
      <c r="W911" s="50">
        <f>VLOOKUP($A911,'[1]ma sp 02'!$A$5:$BD$1101,W$1,0)</f>
        <v>0</v>
      </c>
      <c r="X911" s="50"/>
      <c r="Y911" s="62"/>
      <c r="Z911" s="62"/>
      <c r="AA911" s="62"/>
      <c r="AB911" s="62"/>
      <c r="AC911" s="62"/>
      <c r="AD911" s="62"/>
      <c r="AE911" s="62" t="s">
        <v>548</v>
      </c>
      <c r="AF911" s="62" t="s">
        <v>2909</v>
      </c>
      <c r="AG911" s="53">
        <f>(0.012*1.4+0.012*1.4+0.015*1.15+0.15*0.925)*0.71</f>
        <v>0.13461599999999999</v>
      </c>
      <c r="AH911" s="54">
        <f>(2.3/0.75/2)*0.7</f>
        <v>1.0733333333333333</v>
      </c>
      <c r="AI911" s="54">
        <f>(3.5/0.75/2)*0.7</f>
        <v>1.6333333333333333</v>
      </c>
      <c r="AJ911" s="192">
        <v>9530</v>
      </c>
      <c r="AK911" s="62">
        <v>6260</v>
      </c>
      <c r="AL911" s="62" t="s">
        <v>2910</v>
      </c>
      <c r="AM911" s="61" t="s">
        <v>542</v>
      </c>
      <c r="AN911" s="62">
        <v>210</v>
      </c>
      <c r="AO911" s="61" t="s">
        <v>2911</v>
      </c>
      <c r="AP911" s="59" t="str">
        <f>IFERROR(VLOOKUP($A911,[2]Mssp!$A$5:$BE$1463,AP$4+1,0),0)</f>
        <v>F128802-1</v>
      </c>
      <c r="AQ911" s="59" t="str">
        <f>IFERROR(VLOOKUP($A911,[2]Mssp!$A$5:$BE$1463,AQ$4+1,0),0)</f>
        <v>F128802-2</v>
      </c>
      <c r="AR911" s="59" t="str">
        <f>IFERROR(VLOOKUP($A911,[2]Mssp!$A$5:$BE$1463,AR$4+1,0),0)</f>
        <v>F128802-3</v>
      </c>
      <c r="AS911" s="59" t="str">
        <f>IFERROR(VLOOKUP($A911,[2]Mssp!$A$5:$BE$1463,AS$4+1,0),0)</f>
        <v>F128802-4</v>
      </c>
      <c r="AT911" s="59" t="str">
        <f>IFERROR(VLOOKUP($A911,[2]Mssp!$A$5:$BE$1463,AT$4+1,0),0)</f>
        <v>F128802-5</v>
      </c>
      <c r="AU911" s="59" t="str">
        <f>IFERROR(VLOOKUP($A911,[2]Mssp!$A$5:$BE$1463,AU$4+1,0),0)</f>
        <v>F128802-6</v>
      </c>
      <c r="AV911" s="59" t="str">
        <f>IFERROR(VLOOKUP($A911,[2]Mssp!$A$5:$BE$1463,AV$4+1,0),0)</f>
        <v>F128802-7</v>
      </c>
      <c r="AW911" s="59">
        <f>IFERROR(VLOOKUP($A911,[2]Mssp!$A$5:$BE$1463,AW$4+1,0),0)</f>
        <v>0</v>
      </c>
      <c r="AX911" s="59">
        <f>IFERROR(VLOOKUP($A911,[2]Mssp!$A$5:$BE$1463,AX$4+1,0),0)</f>
        <v>0</v>
      </c>
      <c r="AY911" s="59" t="str">
        <f>IFERROR(VLOOKUP($A911,[2]Mssp!$A$5:$BE$1463,AY$4+2,0),0)</f>
        <v>420x870</v>
      </c>
      <c r="AZ911" s="59">
        <f>IFERROR(VLOOKUP($A911,[2]Mssp!$A$5:$BE$1463,AZ$4+2,0),0)</f>
        <v>0</v>
      </c>
      <c r="BA911" s="141"/>
      <c r="BB911" s="61" t="s">
        <v>1894</v>
      </c>
      <c r="BC911" s="165"/>
      <c r="BD911" s="166"/>
      <c r="BE911" s="167"/>
      <c r="BF911" s="168"/>
      <c r="BG911" s="167"/>
      <c r="BH911" s="168"/>
      <c r="BI911" s="169"/>
      <c r="BJ911" s="168"/>
      <c r="BK911" s="134"/>
      <c r="BL911" s="168"/>
      <c r="BM911" s="167"/>
      <c r="BN911" s="168"/>
      <c r="BO911" s="62"/>
      <c r="BP911" s="168"/>
      <c r="BQ911" s="168"/>
      <c r="BR911" s="168"/>
      <c r="BS911" s="135"/>
      <c r="BT911" s="176"/>
      <c r="BU911" s="167"/>
      <c r="BV911" s="168"/>
      <c r="BW911" s="167"/>
      <c r="BX911" s="168"/>
      <c r="BY911" s="167"/>
      <c r="BZ911" s="176"/>
      <c r="CA911" s="167"/>
      <c r="CB911" s="168"/>
      <c r="CC911" s="167"/>
      <c r="CD911" s="168"/>
      <c r="CE911" s="62"/>
      <c r="CF911" s="62"/>
      <c r="CG911" s="9"/>
      <c r="CH911" s="9"/>
      <c r="CI911" s="9"/>
      <c r="CJ911" s="9"/>
      <c r="CK911" s="9"/>
      <c r="CL911" s="9"/>
      <c r="CM911" s="9"/>
      <c r="CN911" s="9"/>
      <c r="CO911" s="9"/>
      <c r="CP911" s="9"/>
    </row>
    <row r="912" spans="1:94" ht="30" x14ac:dyDescent="0.25">
      <c r="A912" s="127" t="s">
        <v>2912</v>
      </c>
      <c r="B912" s="51" t="s">
        <v>2913</v>
      </c>
      <c r="C912" s="62"/>
      <c r="D912" s="84">
        <v>1</v>
      </c>
      <c r="E912" s="62" t="s">
        <v>910</v>
      </c>
      <c r="F912" s="62">
        <v>3</v>
      </c>
      <c r="G912" s="62"/>
      <c r="H912" s="50">
        <f>VLOOKUP($A912,'[1]ma sp 02'!$A$5:$BD$1101,H$1,0)</f>
        <v>0.375</v>
      </c>
      <c r="I912" s="50">
        <f>VLOOKUP($A912,'[1]ma sp 02'!$A$5:$BD$1101,I$1,0)</f>
        <v>0.185</v>
      </c>
      <c r="J912" s="50">
        <f>VLOOKUP($A912,'[1]ma sp 02'!$A$5:$BD$1101,J$1,0)</f>
        <v>0</v>
      </c>
      <c r="K912" s="50">
        <f>VLOOKUP($A912,'[1]ma sp 02'!$A$5:$BD$1101,K$1,0)</f>
        <v>0</v>
      </c>
      <c r="L912" s="50">
        <f>VLOOKUP($A912,'[1]ma sp 02'!$A$5:$BD$1101,L$1,0)</f>
        <v>0</v>
      </c>
      <c r="M912" s="50">
        <f>VLOOKUP($A912,'[1]ma sp 02'!$A$5:$BD$1101,M$1,0)</f>
        <v>9.4E-2</v>
      </c>
      <c r="N912" s="50">
        <f>VLOOKUP($A912,'[1]ma sp 02'!$A$5:$BD$1101,N$1,0)</f>
        <v>1.0309999999999999</v>
      </c>
      <c r="O912" s="50">
        <f>VLOOKUP($A912,'[1]ma sp 02'!$A$5:$BD$1101,O$1,0)</f>
        <v>0</v>
      </c>
      <c r="P912" s="50">
        <f>VLOOKUP($A912,'[1]ma sp 02'!$A$5:$BD$1101,P$1,0)</f>
        <v>0.01</v>
      </c>
      <c r="Q912" s="50">
        <f>VLOOKUP($A912,'[1]ma sp 02'!$A$5:$BD$1101,Q$1,0)</f>
        <v>0</v>
      </c>
      <c r="R912" s="50">
        <f>VLOOKUP($A912,'[1]ma sp 02'!$A$5:$BD$1101,R$1,0)</f>
        <v>0</v>
      </c>
      <c r="S912" s="50">
        <f>VLOOKUP($A912,'[1]ma sp 02'!$A$5:$BD$1101,S$1,0)</f>
        <v>0.01</v>
      </c>
      <c r="T912" s="50">
        <f>VLOOKUP($A912,'[1]ma sp 02'!$A$5:$BD$1101,T$1,0)</f>
        <v>0</v>
      </c>
      <c r="U912" s="50">
        <f>VLOOKUP($A912,'[1]ma sp 02'!$A$5:$BD$1101,U$1,0)</f>
        <v>0</v>
      </c>
      <c r="V912" s="50">
        <f>VLOOKUP($A912,'[1]ma sp 02'!$A$5:$BD$1101,V$1,0)</f>
        <v>0</v>
      </c>
      <c r="W912" s="50">
        <f>VLOOKUP($A912,'[1]ma sp 02'!$A$5:$BD$1101,W$1,0)</f>
        <v>0</v>
      </c>
      <c r="X912" s="50"/>
      <c r="Y912" s="62"/>
      <c r="Z912" s="62"/>
      <c r="AA912" s="62"/>
      <c r="AB912" s="62"/>
      <c r="AC912" s="62"/>
      <c r="AD912" s="62"/>
      <c r="AE912" s="62" t="s">
        <v>2871</v>
      </c>
      <c r="AF912" s="62"/>
      <c r="AG912" s="53">
        <f>(0.02*0.91+0.06*0.925)*0.9</f>
        <v>6.633E-2</v>
      </c>
      <c r="AH912" s="54">
        <f>(2.3/0.75/2)*0.89</f>
        <v>1.3646666666666665</v>
      </c>
      <c r="AI912" s="54"/>
      <c r="AJ912" s="192">
        <v>9530</v>
      </c>
      <c r="AK912" s="62"/>
      <c r="AL912" s="62">
        <v>2.3E-3</v>
      </c>
      <c r="AM912" s="61" t="s">
        <v>74</v>
      </c>
      <c r="AN912" s="62">
        <v>280</v>
      </c>
      <c r="AO912" s="61" t="s">
        <v>2914</v>
      </c>
      <c r="AP912" s="59" t="str">
        <f>IFERROR(VLOOKUP($A912,[2]Mssp!$A$5:$BE$1463,AP$4+1,0),0)</f>
        <v>21061300-1</v>
      </c>
      <c r="AQ912" s="59" t="str">
        <f>IFERROR(VLOOKUP($A912,[2]Mssp!$A$5:$BE$1463,AQ$4+1,0),0)</f>
        <v>21061300-2</v>
      </c>
      <c r="AR912" s="59" t="str">
        <f>IFERROR(VLOOKUP($A912,[2]Mssp!$A$5:$BE$1463,AR$4+1,0),0)</f>
        <v>21061300-3</v>
      </c>
      <c r="AS912" s="59">
        <f>IFERROR(VLOOKUP($A912,[2]Mssp!$A$5:$BE$1463,AS$4+1,0),0)</f>
        <v>0</v>
      </c>
      <c r="AT912" s="59">
        <f>IFERROR(VLOOKUP($A912,[2]Mssp!$A$5:$BE$1463,AT$4+1,0),0)</f>
        <v>0</v>
      </c>
      <c r="AU912" s="59">
        <f>IFERROR(VLOOKUP($A912,[2]Mssp!$A$5:$BE$1463,AU$4+1,0),0)</f>
        <v>0</v>
      </c>
      <c r="AV912" s="59">
        <f>IFERROR(VLOOKUP($A912,[2]Mssp!$A$5:$BE$1463,AV$4+1,0),0)</f>
        <v>0</v>
      </c>
      <c r="AW912" s="59">
        <f>IFERROR(VLOOKUP($A912,[2]Mssp!$A$5:$BE$1463,AW$4+1,0),0)</f>
        <v>0</v>
      </c>
      <c r="AX912" s="59">
        <f>IFERROR(VLOOKUP($A912,[2]Mssp!$A$5:$BE$1463,AX$4+1,0),0)</f>
        <v>0</v>
      </c>
      <c r="AY912" s="59" t="str">
        <f>IFERROR(VLOOKUP($A912,[2]Mssp!$A$5:$BE$1463,AY$4+2,0),0)</f>
        <v>560x1100</v>
      </c>
      <c r="AZ912" s="59">
        <f>IFERROR(VLOOKUP($A912,[2]Mssp!$A$5:$BE$1463,AZ$4+2,0),0)</f>
        <v>0</v>
      </c>
      <c r="BA912" s="141"/>
      <c r="BB912" s="61" t="s">
        <v>1894</v>
      </c>
      <c r="BC912" s="165"/>
      <c r="BD912" s="166"/>
      <c r="BE912" s="167"/>
      <c r="BF912" s="168"/>
      <c r="BG912" s="167"/>
      <c r="BH912" s="168"/>
      <c r="BI912" s="169"/>
      <c r="BJ912" s="168"/>
      <c r="BK912" s="134"/>
      <c r="BL912" s="168"/>
      <c r="BM912" s="167"/>
      <c r="BN912" s="168"/>
      <c r="BO912" s="62"/>
      <c r="BP912" s="168"/>
      <c r="BQ912" s="168"/>
      <c r="BR912" s="168"/>
      <c r="BS912" s="135"/>
      <c r="BT912" s="176"/>
      <c r="BU912" s="167"/>
      <c r="BV912" s="168"/>
      <c r="BW912" s="167"/>
      <c r="BX912" s="168"/>
      <c r="BY912" s="167"/>
      <c r="BZ912" s="176"/>
      <c r="CA912" s="167"/>
      <c r="CB912" s="168"/>
      <c r="CC912" s="167"/>
      <c r="CD912" s="168"/>
      <c r="CE912" s="62"/>
      <c r="CF912" s="62"/>
      <c r="CG912" s="9"/>
      <c r="CH912" s="9"/>
      <c r="CI912" s="9"/>
      <c r="CJ912" s="9"/>
      <c r="CK912" s="9"/>
      <c r="CL912" s="9"/>
      <c r="CM912" s="9"/>
      <c r="CN912" s="9"/>
      <c r="CO912" s="9"/>
      <c r="CP912" s="9"/>
    </row>
    <row r="913" spans="1:94" ht="30" x14ac:dyDescent="0.25">
      <c r="A913" s="127" t="s">
        <v>2915</v>
      </c>
      <c r="B913" s="51" t="s">
        <v>2916</v>
      </c>
      <c r="C913" s="62"/>
      <c r="D913" s="84">
        <v>3</v>
      </c>
      <c r="E913" s="62" t="s">
        <v>158</v>
      </c>
      <c r="F913" s="62">
        <v>6</v>
      </c>
      <c r="G913" s="62"/>
      <c r="H913" s="50">
        <f>VLOOKUP($A913,'[1]ma sp 02'!$A$5:$BD$1101,H$1,0)</f>
        <v>0.29199999999999998</v>
      </c>
      <c r="I913" s="50">
        <f>VLOOKUP($A913,'[1]ma sp 02'!$A$5:$BD$1101,I$1,0)</f>
        <v>0</v>
      </c>
      <c r="J913" s="50">
        <f>VLOOKUP($A913,'[1]ma sp 02'!$A$5:$BD$1101,J$1,0)</f>
        <v>7.2999999999999995E-2</v>
      </c>
      <c r="K913" s="50">
        <f>VLOOKUP($A913,'[1]ma sp 02'!$A$5:$BD$1101,K$1,0)</f>
        <v>0</v>
      </c>
      <c r="L913" s="50">
        <f>VLOOKUP($A913,'[1]ma sp 02'!$A$5:$BD$1101,L$1,0)</f>
        <v>2.7719999999999998</v>
      </c>
      <c r="M913" s="50">
        <f>VLOOKUP($A913,'[1]ma sp 02'!$A$5:$BD$1101,M$1,0)</f>
        <v>0</v>
      </c>
      <c r="N913" s="50">
        <f>VLOOKUP($A913,'[1]ma sp 02'!$A$5:$BD$1101,N$1,0)</f>
        <v>0</v>
      </c>
      <c r="O913" s="50">
        <f>VLOOKUP($A913,'[1]ma sp 02'!$A$5:$BD$1101,O$1,0)</f>
        <v>0.80300000000000005</v>
      </c>
      <c r="P913" s="50">
        <f>VLOOKUP($A913,'[1]ma sp 02'!$A$5:$BD$1101,P$1,0)</f>
        <v>0</v>
      </c>
      <c r="Q913" s="50">
        <f>VLOOKUP($A913,'[1]ma sp 02'!$A$5:$BD$1101,Q$1,0)</f>
        <v>0</v>
      </c>
      <c r="R913" s="50">
        <f>VLOOKUP($A913,'[1]ma sp 02'!$A$5:$BD$1101,R$1,0)</f>
        <v>0.01</v>
      </c>
      <c r="S913" s="50">
        <f>VLOOKUP($A913,'[1]ma sp 02'!$A$5:$BD$1101,S$1,0)</f>
        <v>0</v>
      </c>
      <c r="T913" s="50">
        <f>VLOOKUP($A913,'[1]ma sp 02'!$A$5:$BD$1101,T$1,0)</f>
        <v>0</v>
      </c>
      <c r="U913" s="50">
        <f>VLOOKUP($A913,'[1]ma sp 02'!$A$5:$BD$1101,U$1,0)</f>
        <v>0</v>
      </c>
      <c r="V913" s="50">
        <f>VLOOKUP($A913,'[1]ma sp 02'!$A$5:$BD$1101,V$1,0)</f>
        <v>0</v>
      </c>
      <c r="W913" s="50">
        <f>VLOOKUP($A913,'[1]ma sp 02'!$A$5:$BD$1101,W$1,0)</f>
        <v>0</v>
      </c>
      <c r="X913" s="50"/>
      <c r="Y913" s="62"/>
      <c r="Z913" s="62"/>
      <c r="AA913" s="62"/>
      <c r="AB913" s="62"/>
      <c r="AC913" s="62"/>
      <c r="AD913" s="62"/>
      <c r="AE913" s="62" t="s">
        <v>2917</v>
      </c>
      <c r="AF913" s="62"/>
      <c r="AG913" s="53">
        <f>(0.03*0.91+0.06*0.94)*0.8</f>
        <v>6.6960000000000006E-2</v>
      </c>
      <c r="AH913" s="54">
        <f>(2.3/0.75/2)*0.79</f>
        <v>1.2113333333333334</v>
      </c>
      <c r="AI913" s="54"/>
      <c r="AJ913" s="192">
        <v>9530</v>
      </c>
      <c r="AK913" s="62"/>
      <c r="AL913" s="62">
        <v>2.3E-3</v>
      </c>
      <c r="AM913" s="61" t="s">
        <v>1893</v>
      </c>
      <c r="AN913" s="62">
        <v>45</v>
      </c>
      <c r="AO913" s="61" t="s">
        <v>612</v>
      </c>
      <c r="AP913" s="59" t="str">
        <f>IFERROR(VLOOKUP($A913,[2]Mssp!$A$5:$BE$1463,AP$4+1,0),0)</f>
        <v>21070028-1</v>
      </c>
      <c r="AQ913" s="59" t="str">
        <f>IFERROR(VLOOKUP($A913,[2]Mssp!$A$5:$BE$1463,AQ$4+1,0),0)</f>
        <v>21070028-2</v>
      </c>
      <c r="AR913" s="59" t="str">
        <f>IFERROR(VLOOKUP($A913,[2]Mssp!$A$5:$BE$1463,AR$4+1,0),0)</f>
        <v>21070028-3</v>
      </c>
      <c r="AS913" s="59" t="str">
        <f>IFERROR(VLOOKUP($A913,[2]Mssp!$A$5:$BE$1463,AS$4+1,0),0)</f>
        <v>21070028-4</v>
      </c>
      <c r="AT913" s="59" t="str">
        <f>IFERROR(VLOOKUP($A913,[2]Mssp!$A$5:$BE$1463,AT$4+1,0),0)</f>
        <v>21070028-5</v>
      </c>
      <c r="AU913" s="59" t="str">
        <f>IFERROR(VLOOKUP($A913,[2]Mssp!$A$5:$BE$1463,AU$4+1,0),0)</f>
        <v>21070028-6</v>
      </c>
      <c r="AV913" s="59">
        <f>IFERROR(VLOOKUP($A913,[2]Mssp!$A$5:$BE$1463,AV$4+1,0),0)</f>
        <v>0</v>
      </c>
      <c r="AW913" s="59">
        <f>IFERROR(VLOOKUP($A913,[2]Mssp!$A$5:$BE$1463,AW$4+1,0),0)</f>
        <v>0</v>
      </c>
      <c r="AX913" s="59">
        <f>IFERROR(VLOOKUP($A913,[2]Mssp!$A$5:$BE$1463,AX$4+1,0),0)</f>
        <v>0</v>
      </c>
      <c r="AY913" s="59" t="str">
        <f>IFERROR(VLOOKUP($A913,[2]Mssp!$A$5:$BE$1463,AY$4+2,0),0)</f>
        <v>510x870</v>
      </c>
      <c r="AZ913" s="59">
        <f>IFERROR(VLOOKUP($A913,[2]Mssp!$A$5:$BE$1463,AZ$4+2,0),0)</f>
        <v>0</v>
      </c>
      <c r="BA913" s="141"/>
      <c r="BB913" s="61" t="s">
        <v>1894</v>
      </c>
      <c r="BC913" s="165"/>
      <c r="BD913" s="166"/>
      <c r="BE913" s="167"/>
      <c r="BF913" s="168"/>
      <c r="BG913" s="167"/>
      <c r="BH913" s="168"/>
      <c r="BI913" s="169"/>
      <c r="BJ913" s="168"/>
      <c r="BK913" s="134"/>
      <c r="BL913" s="168"/>
      <c r="BM913" s="167"/>
      <c r="BN913" s="168"/>
      <c r="BO913" s="62"/>
      <c r="BP913" s="168"/>
      <c r="BQ913" s="168"/>
      <c r="BR913" s="168"/>
      <c r="BS913" s="135"/>
      <c r="BT913" s="176"/>
      <c r="BU913" s="167"/>
      <c r="BV913" s="168"/>
      <c r="BW913" s="167"/>
      <c r="BX913" s="168"/>
      <c r="BY913" s="167"/>
      <c r="BZ913" s="176"/>
      <c r="CA913" s="167"/>
      <c r="CB913" s="168"/>
      <c r="CC913" s="167"/>
      <c r="CD913" s="168"/>
      <c r="CE913" s="62"/>
      <c r="CF913" s="62"/>
      <c r="CG913" s="9"/>
      <c r="CH913" s="9"/>
      <c r="CI913" s="9"/>
      <c r="CJ913" s="9"/>
      <c r="CK913" s="9"/>
      <c r="CL913" s="9"/>
      <c r="CM913" s="9"/>
      <c r="CN913" s="9"/>
      <c r="CO913" s="9"/>
      <c r="CP913" s="9"/>
    </row>
    <row r="914" spans="1:94" ht="30" x14ac:dyDescent="0.25">
      <c r="A914" s="127" t="s">
        <v>2918</v>
      </c>
      <c r="B914" s="51" t="s">
        <v>2919</v>
      </c>
      <c r="C914" s="62"/>
      <c r="D914" s="84">
        <v>3</v>
      </c>
      <c r="E914" s="62" t="s">
        <v>158</v>
      </c>
      <c r="F914" s="62">
        <v>6</v>
      </c>
      <c r="G914" s="62"/>
      <c r="H914" s="50">
        <f>VLOOKUP($A914,'[1]ma sp 02'!$A$5:$BD$1101,H$1,0)</f>
        <v>0.01</v>
      </c>
      <c r="I914" s="50">
        <f>VLOOKUP($A914,'[1]ma sp 02'!$A$5:$BD$1101,I$1,0)</f>
        <v>0</v>
      </c>
      <c r="J914" s="50">
        <f>VLOOKUP($A914,'[1]ma sp 02'!$A$5:$BD$1101,J$1,0)</f>
        <v>0.01</v>
      </c>
      <c r="K914" s="50">
        <f>VLOOKUP($A914,'[1]ma sp 02'!$A$5:$BD$1101,K$1,0)</f>
        <v>6.9000000000000006E-2</v>
      </c>
      <c r="L914" s="50">
        <f>VLOOKUP($A914,'[1]ma sp 02'!$A$5:$BD$1101,L$1,0)</f>
        <v>1.724</v>
      </c>
      <c r="M914" s="50">
        <f>VLOOKUP($A914,'[1]ma sp 02'!$A$5:$BD$1101,M$1,0)</f>
        <v>0</v>
      </c>
      <c r="N914" s="50">
        <f>VLOOKUP($A914,'[1]ma sp 02'!$A$5:$BD$1101,N$1,0)</f>
        <v>0</v>
      </c>
      <c r="O914" s="50">
        <f>VLOOKUP($A914,'[1]ma sp 02'!$A$5:$BD$1101,O$1,0)</f>
        <v>0.20699999999999999</v>
      </c>
      <c r="P914" s="50">
        <f>VLOOKUP($A914,'[1]ma sp 02'!$A$5:$BD$1101,P$1,0)</f>
        <v>0</v>
      </c>
      <c r="Q914" s="50">
        <f>VLOOKUP($A914,'[1]ma sp 02'!$A$5:$BD$1101,Q$1,0)</f>
        <v>0</v>
      </c>
      <c r="R914" s="50">
        <f>VLOOKUP($A914,'[1]ma sp 02'!$A$5:$BD$1101,R$1,0)</f>
        <v>0.75800000000000001</v>
      </c>
      <c r="S914" s="50">
        <f>VLOOKUP($A914,'[1]ma sp 02'!$A$5:$BD$1101,S$1,0)</f>
        <v>0</v>
      </c>
      <c r="T914" s="50">
        <f>VLOOKUP($A914,'[1]ma sp 02'!$A$5:$BD$1101,T$1,0)</f>
        <v>0</v>
      </c>
      <c r="U914" s="50">
        <f>VLOOKUP($A914,'[1]ma sp 02'!$A$5:$BD$1101,U$1,0)</f>
        <v>0</v>
      </c>
      <c r="V914" s="50">
        <f>VLOOKUP($A914,'[1]ma sp 02'!$A$5:$BD$1101,V$1,0)</f>
        <v>0</v>
      </c>
      <c r="W914" s="50">
        <f>VLOOKUP($A914,'[1]ma sp 02'!$A$5:$BD$1101,W$1,0)</f>
        <v>0</v>
      </c>
      <c r="X914" s="50"/>
      <c r="Y914" s="62"/>
      <c r="Z914" s="62"/>
      <c r="AA914" s="62"/>
      <c r="AB914" s="62"/>
      <c r="AC914" s="62"/>
      <c r="AD914" s="62"/>
      <c r="AE914" s="62" t="s">
        <v>2917</v>
      </c>
      <c r="AF914" s="62"/>
      <c r="AG914" s="53">
        <f>(0.03*0.91+0.06*0.94)*0.8</f>
        <v>6.6960000000000006E-2</v>
      </c>
      <c r="AH914" s="54">
        <f>(2.3/0.75/2)*0.79</f>
        <v>1.2113333333333334</v>
      </c>
      <c r="AI914" s="54"/>
      <c r="AJ914" s="192">
        <v>9530</v>
      </c>
      <c r="AK914" s="62"/>
      <c r="AL914" s="62">
        <v>2.3E-3</v>
      </c>
      <c r="AM914" s="61" t="s">
        <v>1893</v>
      </c>
      <c r="AN914" s="62">
        <v>45</v>
      </c>
      <c r="AO914" s="61" t="s">
        <v>612</v>
      </c>
      <c r="AP914" s="59" t="str">
        <f>IFERROR(VLOOKUP($A914,[2]Mssp!$A$5:$BE$1463,AP$4+1,0),0)</f>
        <v>21070029-1</v>
      </c>
      <c r="AQ914" s="59" t="str">
        <f>IFERROR(VLOOKUP($A914,[2]Mssp!$A$5:$BE$1463,AQ$4+1,0),0)</f>
        <v>21070029-2</v>
      </c>
      <c r="AR914" s="59" t="str">
        <f>IFERROR(VLOOKUP($A914,[2]Mssp!$A$5:$BE$1463,AR$4+1,0),0)</f>
        <v>21070029-3</v>
      </c>
      <c r="AS914" s="59" t="str">
        <f>IFERROR(VLOOKUP($A914,[2]Mssp!$A$5:$BE$1463,AS$4+1,0),0)</f>
        <v>21070029-4</v>
      </c>
      <c r="AT914" s="59" t="str">
        <f>IFERROR(VLOOKUP($A914,[2]Mssp!$A$5:$BE$1463,AT$4+1,0),0)</f>
        <v>21070029-5</v>
      </c>
      <c r="AU914" s="59" t="str">
        <f>IFERROR(VLOOKUP($A914,[2]Mssp!$A$5:$BE$1463,AU$4+1,0),0)</f>
        <v>21070029-6</v>
      </c>
      <c r="AV914" s="59">
        <f>IFERROR(VLOOKUP($A914,[2]Mssp!$A$5:$BE$1463,AV$4+1,0),0)</f>
        <v>0</v>
      </c>
      <c r="AW914" s="59">
        <f>IFERROR(VLOOKUP($A914,[2]Mssp!$A$5:$BE$1463,AW$4+1,0),0)</f>
        <v>0</v>
      </c>
      <c r="AX914" s="59">
        <f>IFERROR(VLOOKUP($A914,[2]Mssp!$A$5:$BE$1463,AX$4+1,0),0)</f>
        <v>0</v>
      </c>
      <c r="AY914" s="59" t="str">
        <f>IFERROR(VLOOKUP($A914,[2]Mssp!$A$5:$BE$1463,AY$4+2,0),0)</f>
        <v>510x870</v>
      </c>
      <c r="AZ914" s="59">
        <f>IFERROR(VLOOKUP($A914,[2]Mssp!$A$5:$BE$1463,AZ$4+2,0),0)</f>
        <v>0</v>
      </c>
      <c r="BA914" s="141"/>
      <c r="BB914" s="61" t="s">
        <v>1894</v>
      </c>
      <c r="BC914" s="165"/>
      <c r="BD914" s="166"/>
      <c r="BE914" s="167"/>
      <c r="BF914" s="168"/>
      <c r="BG914" s="167"/>
      <c r="BH914" s="168"/>
      <c r="BI914" s="169"/>
      <c r="BJ914" s="168"/>
      <c r="BK914" s="134"/>
      <c r="BL914" s="168"/>
      <c r="BM914" s="167"/>
      <c r="BN914" s="168"/>
      <c r="BO914" s="62"/>
      <c r="BP914" s="168"/>
      <c r="BQ914" s="168"/>
      <c r="BR914" s="168"/>
      <c r="BS914" s="135"/>
      <c r="BT914" s="176"/>
      <c r="BU914" s="167"/>
      <c r="BV914" s="168"/>
      <c r="BW914" s="167"/>
      <c r="BX914" s="168"/>
      <c r="BY914" s="167"/>
      <c r="BZ914" s="176"/>
      <c r="CA914" s="167"/>
      <c r="CB914" s="168"/>
      <c r="CC914" s="167"/>
      <c r="CD914" s="168"/>
      <c r="CE914" s="62"/>
      <c r="CF914" s="62"/>
      <c r="CG914" s="9"/>
      <c r="CH914" s="9"/>
      <c r="CI914" s="9"/>
      <c r="CJ914" s="9"/>
      <c r="CK914" s="9"/>
      <c r="CL914" s="9"/>
      <c r="CM914" s="9"/>
      <c r="CN914" s="9"/>
      <c r="CO914" s="9"/>
      <c r="CP914" s="9"/>
    </row>
    <row r="915" spans="1:94" ht="30" x14ac:dyDescent="0.25">
      <c r="A915" s="127" t="s">
        <v>2920</v>
      </c>
      <c r="B915" s="51" t="s">
        <v>2921</v>
      </c>
      <c r="C915" s="62"/>
      <c r="D915" s="84">
        <v>3</v>
      </c>
      <c r="E915" s="62" t="s">
        <v>2325</v>
      </c>
      <c r="F915" s="62">
        <v>6</v>
      </c>
      <c r="G915" s="62"/>
      <c r="H915" s="50">
        <f>VLOOKUP($A915,'[1]ma sp 02'!$A$5:$BD$1101,H$1,0)</f>
        <v>0</v>
      </c>
      <c r="I915" s="50">
        <f>VLOOKUP($A915,'[1]ma sp 02'!$A$5:$BD$1101,I$1,0)</f>
        <v>0</v>
      </c>
      <c r="J915" s="50">
        <f>VLOOKUP($A915,'[1]ma sp 02'!$A$5:$BD$1101,J$1,0)</f>
        <v>0.25</v>
      </c>
      <c r="K915" s="50">
        <f>VLOOKUP($A915,'[1]ma sp 02'!$A$5:$BD$1101,K$1,0)</f>
        <v>0.10100000000000001</v>
      </c>
      <c r="L915" s="50">
        <f>VLOOKUP($A915,'[1]ma sp 02'!$A$5:$BD$1101,L$1,0)</f>
        <v>0.01</v>
      </c>
      <c r="M915" s="50">
        <f>VLOOKUP($A915,'[1]ma sp 02'!$A$5:$BD$1101,M$1,0)</f>
        <v>0</v>
      </c>
      <c r="N915" s="50">
        <f>VLOOKUP($A915,'[1]ma sp 02'!$A$5:$BD$1101,N$1,0)</f>
        <v>0</v>
      </c>
      <c r="O915" s="50">
        <f>VLOOKUP($A915,'[1]ma sp 02'!$A$5:$BD$1101,O$1,0)</f>
        <v>0</v>
      </c>
      <c r="P915" s="50">
        <f>VLOOKUP($A915,'[1]ma sp 02'!$A$5:$BD$1101,P$1,0)</f>
        <v>0.01</v>
      </c>
      <c r="Q915" s="50">
        <f>VLOOKUP($A915,'[1]ma sp 02'!$A$5:$BD$1101,Q$1,0)</f>
        <v>0</v>
      </c>
      <c r="R915" s="50">
        <f>VLOOKUP($A915,'[1]ma sp 02'!$A$5:$BD$1101,R$1,0)</f>
        <v>0</v>
      </c>
      <c r="S915" s="50">
        <f>VLOOKUP($A915,'[1]ma sp 02'!$A$5:$BD$1101,S$1,0)</f>
        <v>0</v>
      </c>
      <c r="T915" s="50">
        <f>VLOOKUP($A915,'[1]ma sp 02'!$A$5:$BD$1101,T$1,0)</f>
        <v>0</v>
      </c>
      <c r="U915" s="50">
        <f>VLOOKUP($A915,'[1]ma sp 02'!$A$5:$BD$1101,U$1,0)</f>
        <v>0</v>
      </c>
      <c r="V915" s="50">
        <f>VLOOKUP($A915,'[1]ma sp 02'!$A$5:$BD$1101,V$1,0)</f>
        <v>0</v>
      </c>
      <c r="W915" s="50">
        <f>VLOOKUP($A915,'[1]ma sp 02'!$A$5:$BD$1101,W$1,0)</f>
        <v>0</v>
      </c>
      <c r="X915" s="50"/>
      <c r="Y915" s="62"/>
      <c r="Z915" s="62"/>
      <c r="AA915" s="62"/>
      <c r="AB915" s="62"/>
      <c r="AC915" s="62"/>
      <c r="AD915" s="62"/>
      <c r="AE915" s="62" t="s">
        <v>2922</v>
      </c>
      <c r="AF915" s="62"/>
      <c r="AG915" s="53">
        <f>(0.012*1.4+0.06*0.94)*0.86</f>
        <v>6.2951999999999994E-2</v>
      </c>
      <c r="AH915" s="54">
        <f>(2.3/0.75/2)*0.79</f>
        <v>1.2113333333333334</v>
      </c>
      <c r="AI915" s="54"/>
      <c r="AJ915" s="192">
        <v>9530</v>
      </c>
      <c r="AK915" s="62"/>
      <c r="AL915" s="62">
        <v>3.0000000000000001E-3</v>
      </c>
      <c r="AM915" s="61" t="s">
        <v>1489</v>
      </c>
      <c r="AN915" s="62">
        <v>210</v>
      </c>
      <c r="AO915" s="61" t="s">
        <v>2923</v>
      </c>
      <c r="AP915" s="59" t="str">
        <f>IFERROR(VLOOKUP($A915,[2]Mssp!$A$5:$BE$1463,AP$4+1,0),0)</f>
        <v>F128871-1</v>
      </c>
      <c r="AQ915" s="59" t="str">
        <f>IFERROR(VLOOKUP($A915,[2]Mssp!$A$5:$BE$1463,AQ$4+1,0),0)</f>
        <v>F128871-2</v>
      </c>
      <c r="AR915" s="59" t="str">
        <f>IFERROR(VLOOKUP($A915,[2]Mssp!$A$5:$BE$1463,AR$4+1,0),0)</f>
        <v>F128871-3</v>
      </c>
      <c r="AS915" s="59" t="str">
        <f>IFERROR(VLOOKUP($A915,[2]Mssp!$A$5:$BE$1463,AS$4+1,0),0)</f>
        <v>F128871-4</v>
      </c>
      <c r="AT915" s="59" t="str">
        <f>IFERROR(VLOOKUP($A915,[2]Mssp!$A$5:$BE$1463,AT$4+1,0),0)</f>
        <v>F128871-5</v>
      </c>
      <c r="AU915" s="59" t="str">
        <f>IFERROR(VLOOKUP($A915,[2]Mssp!$A$5:$BE$1463,AU$4+1,0),0)</f>
        <v>F128871-6</v>
      </c>
      <c r="AV915" s="59">
        <f>IFERROR(VLOOKUP($A915,[2]Mssp!$A$5:$BE$1463,AV$4+1,0),0)</f>
        <v>0</v>
      </c>
      <c r="AW915" s="59">
        <f>IFERROR(VLOOKUP($A915,[2]Mssp!$A$5:$BE$1463,AW$4+1,0),0)</f>
        <v>0</v>
      </c>
      <c r="AX915" s="59">
        <f>IFERROR(VLOOKUP($A915,[2]Mssp!$A$5:$BE$1463,AX$4+1,0),0)</f>
        <v>0</v>
      </c>
      <c r="AY915" s="59" t="str">
        <f>IFERROR(VLOOKUP($A915,[2]Mssp!$A$5:$BE$1463,AY$4+2,0),0)</f>
        <v>420x1100</v>
      </c>
      <c r="AZ915" s="59">
        <f>IFERROR(VLOOKUP($A915,[2]Mssp!$A$5:$BE$1463,AZ$4+2,0),0)</f>
        <v>0</v>
      </c>
      <c r="BA915" s="141"/>
      <c r="BB915" s="61" t="s">
        <v>952</v>
      </c>
      <c r="BC915" s="165"/>
      <c r="BD915" s="166"/>
      <c r="BE915" s="167"/>
      <c r="BF915" s="168"/>
      <c r="BG915" s="167"/>
      <c r="BH915" s="168"/>
      <c r="BI915" s="169"/>
      <c r="BJ915" s="168"/>
      <c r="BK915" s="134"/>
      <c r="BL915" s="168"/>
      <c r="BM915" s="167"/>
      <c r="BN915" s="168"/>
      <c r="BO915" s="62"/>
      <c r="BP915" s="168"/>
      <c r="BQ915" s="168"/>
      <c r="BR915" s="168"/>
      <c r="BS915" s="135"/>
      <c r="BT915" s="176"/>
      <c r="BU915" s="167"/>
      <c r="BV915" s="168"/>
      <c r="BW915" s="167"/>
      <c r="BX915" s="168"/>
      <c r="BY915" s="167"/>
      <c r="BZ915" s="176"/>
      <c r="CA915" s="167"/>
      <c r="CB915" s="168"/>
      <c r="CC915" s="167"/>
      <c r="CD915" s="168"/>
      <c r="CE915" s="62"/>
      <c r="CF915" s="62"/>
      <c r="CG915" s="9"/>
      <c r="CH915" s="9"/>
      <c r="CI915" s="9"/>
      <c r="CJ915" s="9"/>
      <c r="CK915" s="9"/>
      <c r="CL915" s="9"/>
      <c r="CM915" s="9"/>
      <c r="CN915" s="9"/>
      <c r="CO915" s="9"/>
      <c r="CP915" s="9"/>
    </row>
    <row r="916" spans="1:94" ht="30" x14ac:dyDescent="0.25">
      <c r="A916" s="127" t="s">
        <v>2924</v>
      </c>
      <c r="B916" s="51" t="s">
        <v>2925</v>
      </c>
      <c r="C916" s="62"/>
      <c r="D916" s="84">
        <v>2</v>
      </c>
      <c r="E916" s="62" t="s">
        <v>484</v>
      </c>
      <c r="F916" s="62">
        <v>6</v>
      </c>
      <c r="G916" s="62"/>
      <c r="H916" s="50">
        <f>VLOOKUP($A916,'[1]ma sp 02'!$A$5:$BD$1101,H$1,0)</f>
        <v>0.01</v>
      </c>
      <c r="I916" s="50">
        <f>VLOOKUP($A916,'[1]ma sp 02'!$A$5:$BD$1101,I$1,0)</f>
        <v>0</v>
      </c>
      <c r="J916" s="50">
        <f>VLOOKUP($A916,'[1]ma sp 02'!$A$5:$BD$1101,J$1,0)</f>
        <v>0.17499999999999999</v>
      </c>
      <c r="K916" s="50">
        <f>VLOOKUP($A916,'[1]ma sp 02'!$A$5:$BD$1101,K$1,0)</f>
        <v>0.01</v>
      </c>
      <c r="L916" s="50">
        <f>VLOOKUP($A916,'[1]ma sp 02'!$A$5:$BD$1101,L$1,0)</f>
        <v>0.01</v>
      </c>
      <c r="M916" s="50">
        <f>VLOOKUP($A916,'[1]ma sp 02'!$A$5:$BD$1101,M$1,0)</f>
        <v>0</v>
      </c>
      <c r="N916" s="50">
        <f>VLOOKUP($A916,'[1]ma sp 02'!$A$5:$BD$1101,N$1,0)</f>
        <v>0</v>
      </c>
      <c r="O916" s="50">
        <f>VLOOKUP($A916,'[1]ma sp 02'!$A$5:$BD$1101,O$1,0)</f>
        <v>0</v>
      </c>
      <c r="P916" s="50">
        <f>VLOOKUP($A916,'[1]ma sp 02'!$A$5:$BD$1101,P$1,0)</f>
        <v>0.01</v>
      </c>
      <c r="Q916" s="50">
        <f>VLOOKUP($A916,'[1]ma sp 02'!$A$5:$BD$1101,Q$1,0)</f>
        <v>0</v>
      </c>
      <c r="R916" s="50">
        <f>VLOOKUP($A916,'[1]ma sp 02'!$A$5:$BD$1101,R$1,0)</f>
        <v>0.01</v>
      </c>
      <c r="S916" s="50">
        <f>VLOOKUP($A916,'[1]ma sp 02'!$A$5:$BD$1101,S$1,0)</f>
        <v>0</v>
      </c>
      <c r="T916" s="50">
        <f>VLOOKUP($A916,'[1]ma sp 02'!$A$5:$BD$1101,T$1,0)</f>
        <v>0</v>
      </c>
      <c r="U916" s="50">
        <f>VLOOKUP($A916,'[1]ma sp 02'!$A$5:$BD$1101,U$1,0)</f>
        <v>0</v>
      </c>
      <c r="V916" s="50">
        <f>VLOOKUP($A916,'[1]ma sp 02'!$A$5:$BD$1101,V$1,0)</f>
        <v>0</v>
      </c>
      <c r="W916" s="50">
        <f>VLOOKUP($A916,'[1]ma sp 02'!$A$5:$BD$1101,W$1,0)</f>
        <v>0</v>
      </c>
      <c r="X916" s="50"/>
      <c r="Y916" s="62"/>
      <c r="Z916" s="62"/>
      <c r="AA916" s="62"/>
      <c r="AB916" s="62"/>
      <c r="AC916" s="62"/>
      <c r="AD916" s="62"/>
      <c r="AE916" s="62" t="s">
        <v>2926</v>
      </c>
      <c r="AF916" s="62"/>
      <c r="AG916" s="53">
        <f>(0.012*1.4+0.06*0.94)*0.76</f>
        <v>5.5631999999999994E-2</v>
      </c>
      <c r="AH916" s="54">
        <f>(2.3/0.75/2)*0.75</f>
        <v>1.1499999999999999</v>
      </c>
      <c r="AI916" s="54"/>
      <c r="AJ916" s="192">
        <v>9530</v>
      </c>
      <c r="AK916" s="62"/>
      <c r="AL916" s="62">
        <v>3.0000000000000001E-3</v>
      </c>
      <c r="AM916" s="61" t="s">
        <v>1489</v>
      </c>
      <c r="AN916" s="62">
        <v>260</v>
      </c>
      <c r="AO916" s="61" t="s">
        <v>2923</v>
      </c>
      <c r="AP916" s="59" t="str">
        <f>IFERROR(VLOOKUP($A916,[2]Mssp!$A$5:$BE$1463,AP$4+1,0),0)</f>
        <v>F128870-1</v>
      </c>
      <c r="AQ916" s="59" t="str">
        <f>IFERROR(VLOOKUP($A916,[2]Mssp!$A$5:$BE$1463,AQ$4+1,0),0)</f>
        <v>F128870-2</v>
      </c>
      <c r="AR916" s="59" t="str">
        <f>IFERROR(VLOOKUP($A916,[2]Mssp!$A$5:$BE$1463,AR$4+1,0),0)</f>
        <v>F128870-3</v>
      </c>
      <c r="AS916" s="59" t="str">
        <f>IFERROR(VLOOKUP($A916,[2]Mssp!$A$5:$BE$1463,AS$4+1,0),0)</f>
        <v>F128870-4</v>
      </c>
      <c r="AT916" s="59" t="str">
        <f>IFERROR(VLOOKUP($A916,[2]Mssp!$A$5:$BE$1463,AT$4+1,0),0)</f>
        <v>F128870-5</v>
      </c>
      <c r="AU916" s="59" t="str">
        <f>IFERROR(VLOOKUP($A916,[2]Mssp!$A$5:$BE$1463,AU$4+1,0),0)</f>
        <v>F128870-6</v>
      </c>
      <c r="AV916" s="59">
        <f>IFERROR(VLOOKUP($A916,[2]Mssp!$A$5:$BE$1463,AV$4+1,0),0)</f>
        <v>0</v>
      </c>
      <c r="AW916" s="59">
        <f>IFERROR(VLOOKUP($A916,[2]Mssp!$A$5:$BE$1463,AW$4+1,0),0)</f>
        <v>0</v>
      </c>
      <c r="AX916" s="59">
        <f>IFERROR(VLOOKUP($A916,[2]Mssp!$A$5:$BE$1463,AX$4+1,0),0)</f>
        <v>0</v>
      </c>
      <c r="AY916" s="59" t="str">
        <f>IFERROR(VLOOKUP($A916,[2]Mssp!$A$5:$BE$1463,AY$4+2,0),0)</f>
        <v>520x870</v>
      </c>
      <c r="AZ916" s="59">
        <f>IFERROR(VLOOKUP($A916,[2]Mssp!$A$5:$BE$1463,AZ$4+2,0),0)</f>
        <v>0</v>
      </c>
      <c r="BA916" s="141"/>
      <c r="BB916" s="61"/>
      <c r="BC916" s="165"/>
      <c r="BD916" s="166"/>
      <c r="BE916" s="167"/>
      <c r="BF916" s="168"/>
      <c r="BG916" s="167"/>
      <c r="BH916" s="168"/>
      <c r="BI916" s="169"/>
      <c r="BJ916" s="168"/>
      <c r="BK916" s="134"/>
      <c r="BL916" s="168"/>
      <c r="BM916" s="167"/>
      <c r="BN916" s="168"/>
      <c r="BO916" s="62"/>
      <c r="BP916" s="168"/>
      <c r="BQ916" s="168"/>
      <c r="BR916" s="168"/>
      <c r="BS916" s="135"/>
      <c r="BT916" s="176"/>
      <c r="BU916" s="167"/>
      <c r="BV916" s="168"/>
      <c r="BW916" s="167"/>
      <c r="BX916" s="168"/>
      <c r="BY916" s="167"/>
      <c r="BZ916" s="176"/>
      <c r="CA916" s="167"/>
      <c r="CB916" s="168"/>
      <c r="CC916" s="167"/>
      <c r="CD916" s="168"/>
      <c r="CE916" s="62"/>
      <c r="CF916" s="62"/>
      <c r="CG916" s="9"/>
      <c r="CH916" s="9"/>
      <c r="CI916" s="9"/>
      <c r="CJ916" s="9"/>
      <c r="CK916" s="9"/>
      <c r="CL916" s="9"/>
      <c r="CM916" s="9"/>
      <c r="CN916" s="9"/>
      <c r="CO916" s="9"/>
      <c r="CP916" s="9"/>
    </row>
    <row r="917" spans="1:94" ht="30" x14ac:dyDescent="0.25">
      <c r="A917" s="127" t="s">
        <v>2927</v>
      </c>
      <c r="B917" s="51" t="s">
        <v>2928</v>
      </c>
      <c r="C917" s="62"/>
      <c r="D917" s="84">
        <v>2</v>
      </c>
      <c r="E917" s="62" t="s">
        <v>748</v>
      </c>
      <c r="F917" s="62">
        <v>6</v>
      </c>
      <c r="G917" s="62"/>
      <c r="H917" s="50">
        <f>VLOOKUP($A917,'[1]ma sp 02'!$A$5:$BD$1101,H$1,0)</f>
        <v>1.325</v>
      </c>
      <c r="I917" s="50">
        <f>VLOOKUP($A917,'[1]ma sp 02'!$A$5:$BD$1101,I$1,0)</f>
        <v>0</v>
      </c>
      <c r="J917" s="50">
        <f>VLOOKUP($A917,'[1]ma sp 02'!$A$5:$BD$1101,J$1,0)</f>
        <v>3.1</v>
      </c>
      <c r="K917" s="50">
        <f>VLOOKUP($A917,'[1]ma sp 02'!$A$5:$BD$1101,K$1,0)</f>
        <v>0.01</v>
      </c>
      <c r="L917" s="50">
        <f>VLOOKUP($A917,'[1]ma sp 02'!$A$5:$BD$1101,L$1,0)</f>
        <v>1.0409999999999999</v>
      </c>
      <c r="M917" s="50">
        <f>VLOOKUP($A917,'[1]ma sp 02'!$A$5:$BD$1101,M$1,0)</f>
        <v>0.75700000000000001</v>
      </c>
      <c r="N917" s="50">
        <f>VLOOKUP($A917,'[1]ma sp 02'!$A$5:$BD$1101,N$1,0)</f>
        <v>0</v>
      </c>
      <c r="O917" s="50">
        <f>VLOOKUP($A917,'[1]ma sp 02'!$A$5:$BD$1101,O$1,0)</f>
        <v>0</v>
      </c>
      <c r="P917" s="50">
        <f>VLOOKUP($A917,'[1]ma sp 02'!$A$5:$BD$1101,P$1,0)</f>
        <v>0.01</v>
      </c>
      <c r="Q917" s="50">
        <f>VLOOKUP($A917,'[1]ma sp 02'!$A$5:$BD$1101,Q$1,0)</f>
        <v>0</v>
      </c>
      <c r="R917" s="50">
        <f>VLOOKUP($A917,'[1]ma sp 02'!$A$5:$BD$1101,R$1,0)</f>
        <v>0</v>
      </c>
      <c r="S917" s="50">
        <f>VLOOKUP($A917,'[1]ma sp 02'!$A$5:$BD$1101,S$1,0)</f>
        <v>0</v>
      </c>
      <c r="T917" s="50">
        <f>VLOOKUP($A917,'[1]ma sp 02'!$A$5:$BD$1101,T$1,0)</f>
        <v>0</v>
      </c>
      <c r="U917" s="50">
        <f>VLOOKUP($A917,'[1]ma sp 02'!$A$5:$BD$1101,U$1,0)</f>
        <v>0</v>
      </c>
      <c r="V917" s="50">
        <f>VLOOKUP($A917,'[1]ma sp 02'!$A$5:$BD$1101,V$1,0)</f>
        <v>0</v>
      </c>
      <c r="W917" s="50">
        <f>VLOOKUP($A917,'[1]ma sp 02'!$A$5:$BD$1101,W$1,0)</f>
        <v>0</v>
      </c>
      <c r="X917" s="50"/>
      <c r="Y917" s="62"/>
      <c r="Z917" s="62"/>
      <c r="AA917" s="62"/>
      <c r="AB917" s="62"/>
      <c r="AC917" s="62"/>
      <c r="AD917" s="62"/>
      <c r="AE917" s="62" t="s">
        <v>2929</v>
      </c>
      <c r="AF917" s="62"/>
      <c r="AG917" s="53">
        <f>(0.012*1.4+0.085*0.94)*0.9</f>
        <v>8.7029999999999996E-2</v>
      </c>
      <c r="AH917" s="54">
        <f>(2.3/0.75/2)*0.89</f>
        <v>1.3646666666666665</v>
      </c>
      <c r="AI917" s="54"/>
      <c r="AJ917" s="192">
        <v>9530</v>
      </c>
      <c r="AK917" s="62"/>
      <c r="AL917" s="62">
        <v>3.0000000000000001E-3</v>
      </c>
      <c r="AM917" s="61" t="s">
        <v>1489</v>
      </c>
      <c r="AN917" s="62">
        <v>285</v>
      </c>
      <c r="AO917" s="61" t="s">
        <v>2923</v>
      </c>
      <c r="AP917" s="59" t="str">
        <f>IFERROR(VLOOKUP($A917,[2]Mssp!$A$5:$BE$1463,AP$4+1,0),0)</f>
        <v>F128869-1</v>
      </c>
      <c r="AQ917" s="59" t="str">
        <f>IFERROR(VLOOKUP($A917,[2]Mssp!$A$5:$BE$1463,AQ$4+1,0),0)</f>
        <v>F128869-2</v>
      </c>
      <c r="AR917" s="59" t="str">
        <f>IFERROR(VLOOKUP($A917,[2]Mssp!$A$5:$BE$1463,AR$4+1,0),0)</f>
        <v>F128869-3</v>
      </c>
      <c r="AS917" s="59" t="str">
        <f>IFERROR(VLOOKUP($A917,[2]Mssp!$A$5:$BE$1463,AS$4+1,0),0)</f>
        <v>F128869-4</v>
      </c>
      <c r="AT917" s="59" t="str">
        <f>IFERROR(VLOOKUP($A917,[2]Mssp!$A$5:$BE$1463,AT$4+1,0),0)</f>
        <v>F128869-5</v>
      </c>
      <c r="AU917" s="59" t="str">
        <f>IFERROR(VLOOKUP($A917,[2]Mssp!$A$5:$BE$1463,AU$4+1,0),0)</f>
        <v>F128869-6</v>
      </c>
      <c r="AV917" s="59">
        <f>IFERROR(VLOOKUP($A917,[2]Mssp!$A$5:$BE$1463,AV$4+1,0),0)</f>
        <v>0</v>
      </c>
      <c r="AW917" s="59">
        <f>IFERROR(VLOOKUP($A917,[2]Mssp!$A$5:$BE$1463,AW$4+1,0),0)</f>
        <v>0</v>
      </c>
      <c r="AX917" s="59">
        <f>IFERROR(VLOOKUP($A917,[2]Mssp!$A$5:$BE$1463,AX$4+1,0),0)</f>
        <v>0</v>
      </c>
      <c r="AY917" s="59" t="str">
        <f>IFERROR(VLOOKUP($A917,[2]Mssp!$A$5:$BE$1463,AY$4+2,0),0)</f>
        <v>570x1100</v>
      </c>
      <c r="AZ917" s="59">
        <f>IFERROR(VLOOKUP($A917,[2]Mssp!$A$5:$BE$1463,AZ$4+2,0),0)</f>
        <v>0</v>
      </c>
      <c r="BA917" s="141"/>
      <c r="BB917" s="61"/>
      <c r="BC917" s="165"/>
      <c r="BD917" s="166"/>
      <c r="BE917" s="167"/>
      <c r="BF917" s="168"/>
      <c r="BG917" s="167"/>
      <c r="BH917" s="168"/>
      <c r="BI917" s="169"/>
      <c r="BJ917" s="168"/>
      <c r="BK917" s="134"/>
      <c r="BL917" s="168"/>
      <c r="BM917" s="167"/>
      <c r="BN917" s="168"/>
      <c r="BO917" s="62"/>
      <c r="BP917" s="168"/>
      <c r="BQ917" s="168"/>
      <c r="BR917" s="168"/>
      <c r="BS917" s="135"/>
      <c r="BT917" s="176"/>
      <c r="BU917" s="167"/>
      <c r="BV917" s="168"/>
      <c r="BW917" s="167"/>
      <c r="BX917" s="168"/>
      <c r="BY917" s="167"/>
      <c r="BZ917" s="176"/>
      <c r="CA917" s="167"/>
      <c r="CB917" s="168"/>
      <c r="CC917" s="167"/>
      <c r="CD917" s="168"/>
      <c r="CE917" s="62"/>
      <c r="CF917" s="62"/>
      <c r="CG917" s="9"/>
      <c r="CH917" s="9"/>
      <c r="CI917" s="9"/>
      <c r="CJ917" s="9"/>
      <c r="CK917" s="9"/>
      <c r="CL917" s="9"/>
      <c r="CM917" s="9"/>
      <c r="CN917" s="9"/>
      <c r="CO917" s="9"/>
      <c r="CP917" s="9"/>
    </row>
    <row r="918" spans="1:94" ht="30" x14ac:dyDescent="0.25">
      <c r="A918" s="127" t="s">
        <v>2930</v>
      </c>
      <c r="B918" s="51" t="s">
        <v>2931</v>
      </c>
      <c r="C918" s="62"/>
      <c r="D918" s="84">
        <v>1</v>
      </c>
      <c r="E918" s="62" t="s">
        <v>1781</v>
      </c>
      <c r="F918" s="62">
        <v>6</v>
      </c>
      <c r="G918" s="62"/>
      <c r="H918" s="50">
        <f>VLOOKUP($A918,'[1]ma sp 02'!$A$5:$BD$1101,H$1,0)</f>
        <v>0.01</v>
      </c>
      <c r="I918" s="50">
        <f>VLOOKUP($A918,'[1]ma sp 02'!$A$5:$BD$1101,I$1,0)</f>
        <v>0</v>
      </c>
      <c r="J918" s="50">
        <f>VLOOKUP($A918,'[1]ma sp 02'!$A$5:$BD$1101,J$1,0)</f>
        <v>0.2</v>
      </c>
      <c r="K918" s="50">
        <f>VLOOKUP($A918,'[1]ma sp 02'!$A$5:$BD$1101,K$1,0)</f>
        <v>0.125</v>
      </c>
      <c r="L918" s="50">
        <f>VLOOKUP($A918,'[1]ma sp 02'!$A$5:$BD$1101,L$1,0)</f>
        <v>0.01</v>
      </c>
      <c r="M918" s="50">
        <f>VLOOKUP($A918,'[1]ma sp 02'!$A$5:$BD$1101,M$1,0)</f>
        <v>0</v>
      </c>
      <c r="N918" s="50">
        <f>VLOOKUP($A918,'[1]ma sp 02'!$A$5:$BD$1101,N$1,0)</f>
        <v>0</v>
      </c>
      <c r="O918" s="50">
        <f>VLOOKUP($A918,'[1]ma sp 02'!$A$5:$BD$1101,O$1,0)</f>
        <v>0</v>
      </c>
      <c r="P918" s="50">
        <f>VLOOKUP($A918,'[1]ma sp 02'!$A$5:$BD$1101,P$1,0)</f>
        <v>0.125</v>
      </c>
      <c r="Q918" s="50">
        <f>VLOOKUP($A918,'[1]ma sp 02'!$A$5:$BD$1101,Q$1,0)</f>
        <v>0</v>
      </c>
      <c r="R918" s="50">
        <f>VLOOKUP($A918,'[1]ma sp 02'!$A$5:$BD$1101,R$1,0)</f>
        <v>0.249</v>
      </c>
      <c r="S918" s="50">
        <f>VLOOKUP($A918,'[1]ma sp 02'!$A$5:$BD$1101,S$1,0)</f>
        <v>0</v>
      </c>
      <c r="T918" s="50">
        <f>VLOOKUP($A918,'[1]ma sp 02'!$A$5:$BD$1101,T$1,0)</f>
        <v>0</v>
      </c>
      <c r="U918" s="50">
        <f>VLOOKUP($A918,'[1]ma sp 02'!$A$5:$BD$1101,U$1,0)</f>
        <v>0</v>
      </c>
      <c r="V918" s="50">
        <f>VLOOKUP($A918,'[1]ma sp 02'!$A$5:$BD$1101,V$1,0)</f>
        <v>0</v>
      </c>
      <c r="W918" s="50">
        <f>VLOOKUP($A918,'[1]ma sp 02'!$A$5:$BD$1101,W$1,0)</f>
        <v>0</v>
      </c>
      <c r="X918" s="50"/>
      <c r="Y918" s="62"/>
      <c r="Z918" s="62"/>
      <c r="AA918" s="62"/>
      <c r="AB918" s="62"/>
      <c r="AC918" s="62"/>
      <c r="AD918" s="62"/>
      <c r="AE918" s="62" t="s">
        <v>1583</v>
      </c>
      <c r="AF918" s="62"/>
      <c r="AG918" s="53">
        <f>(0.015*1.15+0.09*0.94)*0.67</f>
        <v>6.8239499999999995E-2</v>
      </c>
      <c r="AH918" s="54">
        <f>(3/0.75/2)*0.68</f>
        <v>1.36</v>
      </c>
      <c r="AI918" s="54"/>
      <c r="AJ918" s="192">
        <v>9530</v>
      </c>
      <c r="AK918" s="62"/>
      <c r="AL918" s="62">
        <v>3.0000000000000001E-3</v>
      </c>
      <c r="AM918" s="61" t="s">
        <v>1489</v>
      </c>
      <c r="AN918" s="62">
        <v>422</v>
      </c>
      <c r="AO918" s="61" t="s">
        <v>2923</v>
      </c>
      <c r="AP918" s="59" t="str">
        <f>IFERROR(VLOOKUP($A918,[2]Mssp!$A$5:$BE$1463,AP$4+1,0),0)</f>
        <v>F128868-1</v>
      </c>
      <c r="AQ918" s="59" t="str">
        <f>IFERROR(VLOOKUP($A918,[2]Mssp!$A$5:$BE$1463,AQ$4+1,0),0)</f>
        <v>F128868-2</v>
      </c>
      <c r="AR918" s="59" t="str">
        <f>IFERROR(VLOOKUP($A918,[2]Mssp!$A$5:$BE$1463,AR$4+1,0),0)</f>
        <v>F128868-3</v>
      </c>
      <c r="AS918" s="59" t="str">
        <f>IFERROR(VLOOKUP($A918,[2]Mssp!$A$5:$BE$1463,AS$4+1,0),0)</f>
        <v>F128868-4</v>
      </c>
      <c r="AT918" s="59" t="str">
        <f>IFERROR(VLOOKUP($A918,[2]Mssp!$A$5:$BE$1463,AT$4+1,0),0)</f>
        <v>F128868-5</v>
      </c>
      <c r="AU918" s="59" t="str">
        <f>IFERROR(VLOOKUP($A918,[2]Mssp!$A$5:$BE$1463,AU$4+1,0),0)</f>
        <v>F128868-6</v>
      </c>
      <c r="AV918" s="59">
        <f>IFERROR(VLOOKUP($A918,[2]Mssp!$A$5:$BE$1463,AV$4+1,0),0)</f>
        <v>0</v>
      </c>
      <c r="AW918" s="59">
        <f>IFERROR(VLOOKUP($A918,[2]Mssp!$A$5:$BE$1463,AW$4+1,0),0)</f>
        <v>0</v>
      </c>
      <c r="AX918" s="59">
        <f>IFERROR(VLOOKUP($A918,[2]Mssp!$A$5:$BE$1463,AX$4+1,0),0)</f>
        <v>0</v>
      </c>
      <c r="AY918" s="59" t="str">
        <f>IFERROR(VLOOKUP($A918,[2]Mssp!$A$5:$BE$1463,AY$4+2,0),0)</f>
        <v>422x870</v>
      </c>
      <c r="AZ918" s="59">
        <f>IFERROR(VLOOKUP($A918,[2]Mssp!$A$5:$BE$1463,AZ$4+2,0),0)</f>
        <v>0</v>
      </c>
      <c r="BA918" s="141"/>
      <c r="BB918" s="61" t="s">
        <v>952</v>
      </c>
      <c r="BC918" s="165"/>
      <c r="BD918" s="166"/>
      <c r="BE918" s="167"/>
      <c r="BF918" s="168"/>
      <c r="BG918" s="167"/>
      <c r="BH918" s="168"/>
      <c r="BI918" s="169"/>
      <c r="BJ918" s="168"/>
      <c r="BK918" s="134"/>
      <c r="BL918" s="168"/>
      <c r="BM918" s="167"/>
      <c r="BN918" s="168"/>
      <c r="BO918" s="62"/>
      <c r="BP918" s="168"/>
      <c r="BQ918" s="168"/>
      <c r="BR918" s="168"/>
      <c r="BS918" s="135"/>
      <c r="BT918" s="176"/>
      <c r="BU918" s="167"/>
      <c r="BV918" s="168"/>
      <c r="BW918" s="167"/>
      <c r="BX918" s="168"/>
      <c r="BY918" s="167"/>
      <c r="BZ918" s="176"/>
      <c r="CA918" s="167"/>
      <c r="CB918" s="168"/>
      <c r="CC918" s="167"/>
      <c r="CD918" s="168"/>
      <c r="CE918" s="62"/>
      <c r="CF918" s="62"/>
      <c r="CG918" s="9"/>
      <c r="CH918" s="9"/>
      <c r="CI918" s="9"/>
      <c r="CJ918" s="9"/>
      <c r="CK918" s="9"/>
      <c r="CL918" s="9"/>
      <c r="CM918" s="9"/>
      <c r="CN918" s="9"/>
      <c r="CO918" s="9"/>
      <c r="CP918" s="9"/>
    </row>
    <row r="919" spans="1:94" ht="30" x14ac:dyDescent="0.25">
      <c r="A919" s="127" t="s">
        <v>2932</v>
      </c>
      <c r="B919" s="51" t="s">
        <v>2933</v>
      </c>
      <c r="C919" s="62"/>
      <c r="D919" s="84">
        <v>1</v>
      </c>
      <c r="E919" s="62" t="s">
        <v>2223</v>
      </c>
      <c r="F919" s="62">
        <v>6</v>
      </c>
      <c r="G919" s="62"/>
      <c r="H919" s="50">
        <f>VLOOKUP($A919,'[1]ma sp 02'!$A$5:$BD$1101,H$1,0)</f>
        <v>0.01</v>
      </c>
      <c r="I919" s="50">
        <f>VLOOKUP($A919,'[1]ma sp 02'!$A$5:$BD$1101,I$1,0)</f>
        <v>0</v>
      </c>
      <c r="J919" s="50">
        <f>VLOOKUP($A919,'[1]ma sp 02'!$A$5:$BD$1101,J$1,0)</f>
        <v>0.17</v>
      </c>
      <c r="K919" s="50">
        <f>VLOOKUP($A919,'[1]ma sp 02'!$A$5:$BD$1101,K$1,0)</f>
        <v>0.01</v>
      </c>
      <c r="L919" s="50">
        <f>VLOOKUP($A919,'[1]ma sp 02'!$A$5:$BD$1101,L$1,0)</f>
        <v>0.14099999999999999</v>
      </c>
      <c r="M919" s="50">
        <f>VLOOKUP($A919,'[1]ma sp 02'!$A$5:$BD$1101,M$1,0)</f>
        <v>0</v>
      </c>
      <c r="N919" s="50">
        <f>VLOOKUP($A919,'[1]ma sp 02'!$A$5:$BD$1101,N$1,0)</f>
        <v>0</v>
      </c>
      <c r="O919" s="50">
        <f>VLOOKUP($A919,'[1]ma sp 02'!$A$5:$BD$1101,O$1,0)</f>
        <v>0</v>
      </c>
      <c r="P919" s="50">
        <f>VLOOKUP($A919,'[1]ma sp 02'!$A$5:$BD$1101,P$1,0)</f>
        <v>0.14099999999999999</v>
      </c>
      <c r="Q919" s="50">
        <f>VLOOKUP($A919,'[1]ma sp 02'!$A$5:$BD$1101,Q$1,0)</f>
        <v>0</v>
      </c>
      <c r="R919" s="50">
        <f>VLOOKUP($A919,'[1]ma sp 02'!$A$5:$BD$1101,R$1,0)</f>
        <v>0.01</v>
      </c>
      <c r="S919" s="50">
        <f>VLOOKUP($A919,'[1]ma sp 02'!$A$5:$BD$1101,S$1,0)</f>
        <v>0</v>
      </c>
      <c r="T919" s="50">
        <f>VLOOKUP($A919,'[1]ma sp 02'!$A$5:$BD$1101,T$1,0)</f>
        <v>0</v>
      </c>
      <c r="U919" s="50">
        <f>VLOOKUP($A919,'[1]ma sp 02'!$A$5:$BD$1101,U$1,0)</f>
        <v>0</v>
      </c>
      <c r="V919" s="50">
        <f>VLOOKUP($A919,'[1]ma sp 02'!$A$5:$BD$1101,V$1,0)</f>
        <v>0</v>
      </c>
      <c r="W919" s="50">
        <f>VLOOKUP($A919,'[1]ma sp 02'!$A$5:$BD$1101,W$1,0)</f>
        <v>0</v>
      </c>
      <c r="X919" s="50"/>
      <c r="Y919" s="62"/>
      <c r="Z919" s="62"/>
      <c r="AA919" s="62"/>
      <c r="AB919" s="62"/>
      <c r="AC919" s="62"/>
      <c r="AD919" s="62"/>
      <c r="AE919" s="62" t="s">
        <v>2224</v>
      </c>
      <c r="AF919" s="62"/>
      <c r="AG919" s="53">
        <f>(0.015*1.15+0.13*0.94)*0.75</f>
        <v>0.1045875</v>
      </c>
      <c r="AH919" s="54">
        <f>(3/0.75/2)*0.74</f>
        <v>1.48</v>
      </c>
      <c r="AI919" s="54"/>
      <c r="AJ919" s="192">
        <v>9530</v>
      </c>
      <c r="AK919" s="62"/>
      <c r="AL919" s="62">
        <v>3.0000000000000001E-3</v>
      </c>
      <c r="AM919" s="61" t="s">
        <v>1489</v>
      </c>
      <c r="AN919" s="62">
        <v>530</v>
      </c>
      <c r="AO919" s="61" t="s">
        <v>2923</v>
      </c>
      <c r="AP919" s="59" t="str">
        <f>IFERROR(VLOOKUP($A919,[2]Mssp!$A$5:$BE$1463,AP$4+1,0),0)</f>
        <v>F128867-1</v>
      </c>
      <c r="AQ919" s="59" t="str">
        <f>IFERROR(VLOOKUP($A919,[2]Mssp!$A$5:$BE$1463,AQ$4+1,0),0)</f>
        <v>F128867-2</v>
      </c>
      <c r="AR919" s="59" t="str">
        <f>IFERROR(VLOOKUP($A919,[2]Mssp!$A$5:$BE$1463,AR$4+1,0),0)</f>
        <v>F128867-3</v>
      </c>
      <c r="AS919" s="59" t="str">
        <f>IFERROR(VLOOKUP($A919,[2]Mssp!$A$5:$BE$1463,AS$4+1,0),0)</f>
        <v>F128867-4</v>
      </c>
      <c r="AT919" s="59" t="str">
        <f>IFERROR(VLOOKUP($A919,[2]Mssp!$A$5:$BE$1463,AT$4+1,0),0)</f>
        <v>F128867-5</v>
      </c>
      <c r="AU919" s="59" t="str">
        <f>IFERROR(VLOOKUP($A919,[2]Mssp!$A$5:$BE$1463,AU$4+1,0),0)</f>
        <v>F128867-6</v>
      </c>
      <c r="AV919" s="59">
        <f>IFERROR(VLOOKUP($A919,[2]Mssp!$A$5:$BE$1463,AV$4+1,0),0)</f>
        <v>0</v>
      </c>
      <c r="AW919" s="59">
        <f>IFERROR(VLOOKUP($A919,[2]Mssp!$A$5:$BE$1463,AW$4+1,0),0)</f>
        <v>0</v>
      </c>
      <c r="AX919" s="59">
        <f>IFERROR(VLOOKUP($A919,[2]Mssp!$A$5:$BE$1463,AX$4+1,0),0)</f>
        <v>0</v>
      </c>
      <c r="AY919" s="59" t="str">
        <f>IFERROR(VLOOKUP($A919,[2]Mssp!$A$5:$BE$1463,AY$4+2,0),0)</f>
        <v>530x870</v>
      </c>
      <c r="AZ919" s="59">
        <f>IFERROR(VLOOKUP($A919,[2]Mssp!$A$5:$BE$1463,AZ$4+2,0),0)</f>
        <v>0</v>
      </c>
      <c r="BA919" s="141"/>
      <c r="BB919" s="61" t="s">
        <v>952</v>
      </c>
      <c r="BC919" s="165"/>
      <c r="BD919" s="166"/>
      <c r="BE919" s="167"/>
      <c r="BF919" s="168"/>
      <c r="BG919" s="167"/>
      <c r="BH919" s="168"/>
      <c r="BI919" s="169"/>
      <c r="BJ919" s="168"/>
      <c r="BK919" s="134"/>
      <c r="BL919" s="168"/>
      <c r="BM919" s="167"/>
      <c r="BN919" s="168"/>
      <c r="BO919" s="62"/>
      <c r="BP919" s="168"/>
      <c r="BQ919" s="168"/>
      <c r="BR919" s="168"/>
      <c r="BS919" s="135"/>
      <c r="BT919" s="176"/>
      <c r="BU919" s="167"/>
      <c r="BV919" s="168"/>
      <c r="BW919" s="167"/>
      <c r="BX919" s="168"/>
      <c r="BY919" s="167"/>
      <c r="BZ919" s="176"/>
      <c r="CA919" s="167"/>
      <c r="CB919" s="168"/>
      <c r="CC919" s="167"/>
      <c r="CD919" s="168"/>
      <c r="CE919" s="62"/>
      <c r="CF919" s="62"/>
      <c r="CG919" s="9"/>
      <c r="CH919" s="9"/>
      <c r="CI919" s="9"/>
      <c r="CJ919" s="9"/>
      <c r="CK919" s="9"/>
      <c r="CL919" s="9"/>
      <c r="CM919" s="9"/>
      <c r="CN919" s="9"/>
      <c r="CO919" s="9"/>
      <c r="CP919" s="9"/>
    </row>
    <row r="920" spans="1:94" ht="30" x14ac:dyDescent="0.25">
      <c r="A920" s="127" t="s">
        <v>2934</v>
      </c>
      <c r="B920" s="51" t="s">
        <v>2935</v>
      </c>
      <c r="C920" s="62"/>
      <c r="D920" s="84">
        <v>2</v>
      </c>
      <c r="E920" s="62" t="s">
        <v>299</v>
      </c>
      <c r="F920" s="62">
        <v>7</v>
      </c>
      <c r="G920" s="62"/>
      <c r="H920" s="50">
        <f>VLOOKUP($A920,'[1]ma sp 02'!$A$5:$BD$1101,H$1,0)</f>
        <v>0</v>
      </c>
      <c r="I920" s="50">
        <f>VLOOKUP($A920,'[1]ma sp 02'!$A$5:$BD$1101,I$1,0)</f>
        <v>2.3879999999999999</v>
      </c>
      <c r="J920" s="50">
        <f>VLOOKUP($A920,'[1]ma sp 02'!$A$5:$BD$1101,J$1,0)</f>
        <v>1.0549999999999999</v>
      </c>
      <c r="K920" s="50">
        <f>VLOOKUP($A920,'[1]ma sp 02'!$A$5:$BD$1101,K$1,0)</f>
        <v>0.217</v>
      </c>
      <c r="L920" s="50">
        <f>VLOOKUP($A920,'[1]ma sp 02'!$A$5:$BD$1101,L$1,0)</f>
        <v>1.8919999999999999</v>
      </c>
      <c r="M920" s="50">
        <f>VLOOKUP($A920,'[1]ma sp 02'!$A$5:$BD$1101,M$1,0)</f>
        <v>0.496</v>
      </c>
      <c r="N920" s="50">
        <f>VLOOKUP($A920,'[1]ma sp 02'!$A$5:$BD$1101,N$1,0)</f>
        <v>0</v>
      </c>
      <c r="O920" s="50">
        <f>VLOOKUP($A920,'[1]ma sp 02'!$A$5:$BD$1101,O$1,0)</f>
        <v>3.1E-2</v>
      </c>
      <c r="P920" s="50">
        <f>VLOOKUP($A920,'[1]ma sp 02'!$A$5:$BD$1101,P$1,0)</f>
        <v>0</v>
      </c>
      <c r="Q920" s="50">
        <f>VLOOKUP($A920,'[1]ma sp 02'!$A$5:$BD$1101,Q$1,0)</f>
        <v>0</v>
      </c>
      <c r="R920" s="50">
        <f>VLOOKUP($A920,'[1]ma sp 02'!$A$5:$BD$1101,R$1,0)</f>
        <v>0.01</v>
      </c>
      <c r="S920" s="50">
        <f>VLOOKUP($A920,'[1]ma sp 02'!$A$5:$BD$1101,S$1,0)</f>
        <v>0</v>
      </c>
      <c r="T920" s="50">
        <f>VLOOKUP($A920,'[1]ma sp 02'!$A$5:$BD$1101,T$1,0)</f>
        <v>0</v>
      </c>
      <c r="U920" s="50">
        <f>VLOOKUP($A920,'[1]ma sp 02'!$A$5:$BD$1101,U$1,0)</f>
        <v>0</v>
      </c>
      <c r="V920" s="50">
        <f>VLOOKUP($A920,'[1]ma sp 02'!$A$5:$BD$1101,V$1,0)</f>
        <v>0</v>
      </c>
      <c r="W920" s="50">
        <f>VLOOKUP($A920,'[1]ma sp 02'!$A$5:$BD$1101,W$1,0)</f>
        <v>0</v>
      </c>
      <c r="X920" s="50"/>
      <c r="Y920" s="62"/>
      <c r="Z920" s="62"/>
      <c r="AA920" s="62"/>
      <c r="AB920" s="62"/>
      <c r="AC920" s="62"/>
      <c r="AD920" s="62"/>
      <c r="AE920" s="62" t="s">
        <v>1934</v>
      </c>
      <c r="AF920" s="62"/>
      <c r="AG920" s="53">
        <f>(0.02*0.91+0.055*0.925)*0.82</f>
        <v>5.6641499999999997E-2</v>
      </c>
      <c r="AH920" s="54">
        <f>(3/0.75/2)*0.81</f>
        <v>1.62</v>
      </c>
      <c r="AI920" s="54"/>
      <c r="AJ920" s="192">
        <v>9530</v>
      </c>
      <c r="AK920" s="62"/>
      <c r="AL920" s="62">
        <v>3.0000000000000001E-3</v>
      </c>
      <c r="AM920" s="61" t="s">
        <v>1489</v>
      </c>
      <c r="AN920" s="62">
        <v>250</v>
      </c>
      <c r="AO920" s="61" t="s">
        <v>1935</v>
      </c>
      <c r="AP920" s="59" t="str">
        <f>IFERROR(VLOOKUP($A920,[2]Mssp!$A$5:$BE$1463,AP$4+1,0),0)</f>
        <v>F128863-1</v>
      </c>
      <c r="AQ920" s="59" t="str">
        <f>IFERROR(VLOOKUP($A920,[2]Mssp!$A$5:$BE$1463,AQ$4+1,0),0)</f>
        <v>F128863-2</v>
      </c>
      <c r="AR920" s="59" t="str">
        <f>IFERROR(VLOOKUP($A920,[2]Mssp!$A$5:$BE$1463,AR$4+1,0),0)</f>
        <v>F128863-3</v>
      </c>
      <c r="AS920" s="59" t="str">
        <f>IFERROR(VLOOKUP($A920,[2]Mssp!$A$5:$BE$1463,AS$4+1,0),0)</f>
        <v>F128863-4</v>
      </c>
      <c r="AT920" s="59" t="str">
        <f>IFERROR(VLOOKUP($A920,[2]Mssp!$A$5:$BE$1463,AT$4+1,0),0)</f>
        <v>F128863-5</v>
      </c>
      <c r="AU920" s="59" t="str">
        <f>IFERROR(VLOOKUP($A920,[2]Mssp!$A$5:$BE$1463,AU$4+1,0),0)</f>
        <v>F128863-6</v>
      </c>
      <c r="AV920" s="59" t="str">
        <f>IFERROR(VLOOKUP($A920,[2]Mssp!$A$5:$BE$1463,AV$4+1,0),0)</f>
        <v>F128863-7</v>
      </c>
      <c r="AW920" s="59">
        <f>IFERROR(VLOOKUP($A920,[2]Mssp!$A$5:$BE$1463,AW$4+1,0),0)</f>
        <v>0</v>
      </c>
      <c r="AX920" s="59">
        <f>IFERROR(VLOOKUP($A920,[2]Mssp!$A$5:$BE$1463,AX$4+1,0),0)</f>
        <v>0</v>
      </c>
      <c r="AY920" s="59" t="str">
        <f>IFERROR(VLOOKUP($A920,[2]Mssp!$A$5:$BE$1463,AY$4+2,0),0)</f>
        <v>500x870</v>
      </c>
      <c r="AZ920" s="59">
        <f>IFERROR(VLOOKUP($A920,[2]Mssp!$A$5:$BE$1463,AZ$4+2,0),0)</f>
        <v>0</v>
      </c>
      <c r="BA920" s="141"/>
      <c r="BB920" s="61" t="s">
        <v>952</v>
      </c>
      <c r="BC920" s="165"/>
      <c r="BD920" s="166"/>
      <c r="BE920" s="167"/>
      <c r="BF920" s="168"/>
      <c r="BG920" s="167"/>
      <c r="BH920" s="168"/>
      <c r="BI920" s="169"/>
      <c r="BJ920" s="168"/>
      <c r="BK920" s="134"/>
      <c r="BL920" s="168"/>
      <c r="BM920" s="167"/>
      <c r="BN920" s="168"/>
      <c r="BO920" s="62"/>
      <c r="BP920" s="168"/>
      <c r="BQ920" s="168"/>
      <c r="BR920" s="168"/>
      <c r="BS920" s="135"/>
      <c r="BT920" s="176"/>
      <c r="BU920" s="167"/>
      <c r="BV920" s="168"/>
      <c r="BW920" s="167"/>
      <c r="BX920" s="168"/>
      <c r="BY920" s="167"/>
      <c r="BZ920" s="176"/>
      <c r="CA920" s="167"/>
      <c r="CB920" s="168"/>
      <c r="CC920" s="167"/>
      <c r="CD920" s="168"/>
      <c r="CE920" s="62"/>
      <c r="CF920" s="62"/>
      <c r="CG920" s="9"/>
      <c r="CH920" s="9"/>
      <c r="CI920" s="9"/>
      <c r="CJ920" s="9"/>
      <c r="CK920" s="9"/>
      <c r="CL920" s="9"/>
      <c r="CM920" s="9"/>
      <c r="CN920" s="9"/>
      <c r="CO920" s="9"/>
      <c r="CP920" s="9"/>
    </row>
    <row r="921" spans="1:94" ht="30" x14ac:dyDescent="0.25">
      <c r="A921" s="127" t="s">
        <v>2936</v>
      </c>
      <c r="B921" s="51" t="s">
        <v>2937</v>
      </c>
      <c r="C921" s="62"/>
      <c r="D921" s="84">
        <v>11</v>
      </c>
      <c r="E921" s="62" t="s">
        <v>841</v>
      </c>
      <c r="F921" s="62">
        <v>6</v>
      </c>
      <c r="G921" s="62" t="s">
        <v>184</v>
      </c>
      <c r="H921" s="50">
        <f>VLOOKUP($A921,'[1]ma sp 02'!$A$5:$BD$1101,H$1,0)</f>
        <v>0.17199999999999999</v>
      </c>
      <c r="I921" s="50">
        <f>VLOOKUP($A921,'[1]ma sp 02'!$A$5:$BD$1101,I$1,0)</f>
        <v>4.992</v>
      </c>
      <c r="J921" s="50">
        <f>VLOOKUP($A921,'[1]ma sp 02'!$A$5:$BD$1101,J$1,0)</f>
        <v>0.17199999999999999</v>
      </c>
      <c r="K921" s="50">
        <f>VLOOKUP($A921,'[1]ma sp 02'!$A$5:$BD$1101,K$1,0)</f>
        <v>0</v>
      </c>
      <c r="L921" s="50">
        <f>VLOOKUP($A921,'[1]ma sp 02'!$A$5:$BD$1101,L$1,0)</f>
        <v>0</v>
      </c>
      <c r="M921" s="50">
        <f>VLOOKUP($A921,'[1]ma sp 02'!$A$5:$BD$1101,M$1,0)</f>
        <v>0</v>
      </c>
      <c r="N921" s="50">
        <f>VLOOKUP($A921,'[1]ma sp 02'!$A$5:$BD$1101,N$1,0)</f>
        <v>0</v>
      </c>
      <c r="O921" s="50">
        <f>VLOOKUP($A921,'[1]ma sp 02'!$A$5:$BD$1101,O$1,0)</f>
        <v>0.01</v>
      </c>
      <c r="P921" s="50">
        <f>VLOOKUP($A921,'[1]ma sp 02'!$A$5:$BD$1101,P$1,0)</f>
        <v>0.30099999999999999</v>
      </c>
      <c r="Q921" s="50">
        <f>VLOOKUP($A921,'[1]ma sp 02'!$A$5:$BD$1101,Q$1,0)</f>
        <v>0</v>
      </c>
      <c r="R921" s="50">
        <f>VLOOKUP($A921,'[1]ma sp 02'!$A$5:$BD$1101,R$1,0)</f>
        <v>0</v>
      </c>
      <c r="S921" s="50">
        <f>VLOOKUP($A921,'[1]ma sp 02'!$A$5:$BD$1101,S$1,0)</f>
        <v>0</v>
      </c>
      <c r="T921" s="50">
        <f>VLOOKUP($A921,'[1]ma sp 02'!$A$5:$BD$1101,T$1,0)</f>
        <v>0.01</v>
      </c>
      <c r="U921" s="50">
        <f>VLOOKUP($A921,'[1]ma sp 02'!$A$5:$BD$1101,U$1,0)</f>
        <v>0</v>
      </c>
      <c r="V921" s="50">
        <f>VLOOKUP($A921,'[1]ma sp 02'!$A$5:$BD$1101,V$1,0)</f>
        <v>0</v>
      </c>
      <c r="W921" s="50">
        <f>VLOOKUP($A921,'[1]ma sp 02'!$A$5:$BD$1101,W$1,0)</f>
        <v>0</v>
      </c>
      <c r="X921" s="50"/>
      <c r="Y921" s="62"/>
      <c r="Z921" s="62"/>
      <c r="AA921" s="62"/>
      <c r="AB921" s="62"/>
      <c r="AC921" s="62"/>
      <c r="AD921" s="62"/>
      <c r="AE921" s="62" t="s">
        <v>842</v>
      </c>
      <c r="AF921" s="62"/>
      <c r="AG921" s="53">
        <f>(0.03*0.91+0.025*0.91)*0.74</f>
        <v>3.7037E-2</v>
      </c>
      <c r="AH921" s="54">
        <f>(2.3/0.75/2)*0.73</f>
        <v>1.1193333333333333</v>
      </c>
      <c r="AI921" s="54"/>
      <c r="AJ921" s="192">
        <v>9530</v>
      </c>
      <c r="AK921" s="62"/>
      <c r="AL921" s="62">
        <v>2.3E-3</v>
      </c>
      <c r="AM921" s="61" t="s">
        <v>1489</v>
      </c>
      <c r="AN921" s="62">
        <v>154</v>
      </c>
      <c r="AO921" s="61" t="s">
        <v>204</v>
      </c>
      <c r="AP921" s="59" t="str">
        <f>IFERROR(VLOOKUP($A921,[2]Mssp!$A$5:$BE$1463,AP$4+1,0),0)</f>
        <v>F128848-1</v>
      </c>
      <c r="AQ921" s="59" t="str">
        <f>IFERROR(VLOOKUP($A921,[2]Mssp!$A$5:$BE$1463,AQ$4+1,0),0)</f>
        <v>F128848-2</v>
      </c>
      <c r="AR921" s="59" t="str">
        <f>IFERROR(VLOOKUP($A921,[2]Mssp!$A$5:$BE$1463,AR$4+1,0),0)</f>
        <v>F128848-3</v>
      </c>
      <c r="AS921" s="59" t="str">
        <f>IFERROR(VLOOKUP($A921,[2]Mssp!$A$5:$BE$1463,AS$4+1,0),0)</f>
        <v>F128848-4</v>
      </c>
      <c r="AT921" s="59" t="str">
        <f>IFERROR(VLOOKUP($A921,[2]Mssp!$A$5:$BE$1463,AT$4+1,0),0)</f>
        <v>F128848-5</v>
      </c>
      <c r="AU921" s="59" t="str">
        <f>IFERROR(VLOOKUP($A921,[2]Mssp!$A$5:$BE$1463,AU$4+1,0),0)</f>
        <v>F128848-6</v>
      </c>
      <c r="AV921" s="59">
        <f>IFERROR(VLOOKUP($A921,[2]Mssp!$A$5:$BE$1463,AV$4+1,0),0)</f>
        <v>0</v>
      </c>
      <c r="AW921" s="59">
        <f>IFERROR(VLOOKUP($A921,[2]Mssp!$A$5:$BE$1463,AW$4+1,0),0)</f>
        <v>0</v>
      </c>
      <c r="AX921" s="59">
        <f>IFERROR(VLOOKUP($A921,[2]Mssp!$A$5:$BE$1463,AX$4+1,0),0)</f>
        <v>0</v>
      </c>
      <c r="AY921" s="59" t="str">
        <f>IFERROR(VLOOKUP($A921,[2]Mssp!$A$5:$BE$1463,AY$4+2,0),0)</f>
        <v>462x860</v>
      </c>
      <c r="AZ921" s="59">
        <f>IFERROR(VLOOKUP($A921,[2]Mssp!$A$5:$BE$1463,AZ$4+2,0),0)</f>
        <v>0</v>
      </c>
      <c r="BA921" s="141"/>
      <c r="BB921" s="61" t="s">
        <v>952</v>
      </c>
      <c r="BC921" s="165"/>
      <c r="BD921" s="166"/>
      <c r="BE921" s="167"/>
      <c r="BF921" s="168"/>
      <c r="BG921" s="167"/>
      <c r="BH921" s="168"/>
      <c r="BI921" s="169"/>
      <c r="BJ921" s="168"/>
      <c r="BK921" s="134"/>
      <c r="BL921" s="168"/>
      <c r="BM921" s="167"/>
      <c r="BN921" s="168"/>
      <c r="BO921" s="62"/>
      <c r="BP921" s="168"/>
      <c r="BQ921" s="168"/>
      <c r="BR921" s="168"/>
      <c r="BS921" s="135"/>
      <c r="BT921" s="176"/>
      <c r="BU921" s="167"/>
      <c r="BV921" s="168"/>
      <c r="BW921" s="167"/>
      <c r="BX921" s="168"/>
      <c r="BY921" s="167"/>
      <c r="BZ921" s="176"/>
      <c r="CA921" s="167"/>
      <c r="CB921" s="168"/>
      <c r="CC921" s="167"/>
      <c r="CD921" s="168"/>
      <c r="CE921" s="62"/>
      <c r="CF921" s="62"/>
      <c r="CG921" s="9"/>
      <c r="CH921" s="9"/>
      <c r="CI921" s="9"/>
      <c r="CJ921" s="9"/>
      <c r="CK921" s="9"/>
      <c r="CL921" s="9"/>
      <c r="CM921" s="9"/>
      <c r="CN921" s="9"/>
      <c r="CO921" s="9"/>
      <c r="CP921" s="9"/>
    </row>
    <row r="922" spans="1:94" ht="45" x14ac:dyDescent="0.25">
      <c r="A922" s="127" t="s">
        <v>2938</v>
      </c>
      <c r="B922" s="51" t="s">
        <v>2939</v>
      </c>
      <c r="C922" s="62"/>
      <c r="D922" s="84">
        <v>2</v>
      </c>
      <c r="E922" s="62" t="s">
        <v>973</v>
      </c>
      <c r="F922" s="62"/>
      <c r="G922" s="62"/>
      <c r="H922" s="50">
        <f>VLOOKUP($A922,'[1]ma sp 02'!$A$5:$BD$1101,H$1,0)</f>
        <v>0</v>
      </c>
      <c r="I922" s="50">
        <f>VLOOKUP($A922,'[1]ma sp 02'!$A$5:$BD$1101,I$1,0)</f>
        <v>0</v>
      </c>
      <c r="J922" s="50">
        <f>VLOOKUP($A922,'[1]ma sp 02'!$A$5:$BD$1101,J$1,0)</f>
        <v>0</v>
      </c>
      <c r="K922" s="50">
        <f>VLOOKUP($A922,'[1]ma sp 02'!$A$5:$BD$1101,K$1,0)</f>
        <v>0</v>
      </c>
      <c r="L922" s="50">
        <f>VLOOKUP($A922,'[1]ma sp 02'!$A$5:$BD$1101,L$1,0)</f>
        <v>0</v>
      </c>
      <c r="M922" s="50">
        <f>VLOOKUP($A922,'[1]ma sp 02'!$A$5:$BD$1101,M$1,0)</f>
        <v>0</v>
      </c>
      <c r="N922" s="50">
        <f>VLOOKUP($A922,'[1]ma sp 02'!$A$5:$BD$1101,N$1,0)</f>
        <v>0</v>
      </c>
      <c r="O922" s="50">
        <f>VLOOKUP($A922,'[1]ma sp 02'!$A$5:$BD$1101,O$1,0)</f>
        <v>0</v>
      </c>
      <c r="P922" s="50">
        <f>VLOOKUP($A922,'[1]ma sp 02'!$A$5:$BD$1101,P$1,0)</f>
        <v>0</v>
      </c>
      <c r="Q922" s="50">
        <f>VLOOKUP($A922,'[1]ma sp 02'!$A$5:$BD$1101,Q$1,0)</f>
        <v>0</v>
      </c>
      <c r="R922" s="50">
        <f>VLOOKUP($A922,'[1]ma sp 02'!$A$5:$BD$1101,R$1,0)</f>
        <v>0</v>
      </c>
      <c r="S922" s="50">
        <f>VLOOKUP($A922,'[1]ma sp 02'!$A$5:$BD$1101,S$1,0)</f>
        <v>0</v>
      </c>
      <c r="T922" s="50">
        <f>VLOOKUP($A922,'[1]ma sp 02'!$A$5:$BD$1101,T$1,0)</f>
        <v>0</v>
      </c>
      <c r="U922" s="50">
        <f>VLOOKUP($A922,'[1]ma sp 02'!$A$5:$BD$1101,U$1,0)</f>
        <v>0</v>
      </c>
      <c r="V922" s="50">
        <f>VLOOKUP($A922,'[1]ma sp 02'!$A$5:$BD$1101,V$1,0)</f>
        <v>0</v>
      </c>
      <c r="W922" s="50">
        <f>VLOOKUP($A922,'[1]ma sp 02'!$A$5:$BD$1101,W$1,0)</f>
        <v>0</v>
      </c>
      <c r="X922" s="50"/>
      <c r="Y922" s="62"/>
      <c r="Z922" s="62"/>
      <c r="AA922" s="62"/>
      <c r="AB922" s="62"/>
      <c r="AC922" s="62"/>
      <c r="AD922" s="62"/>
      <c r="AE922" s="62" t="s">
        <v>159</v>
      </c>
      <c r="AF922" s="62"/>
      <c r="AG922" s="53">
        <f>(0.015*1.15+0.065*0.925)*0.8</f>
        <v>6.1900000000000004E-2</v>
      </c>
      <c r="AH922" s="54">
        <f>(2.3/0.75/2)*0.79</f>
        <v>1.2113333333333334</v>
      </c>
      <c r="AI922" s="54"/>
      <c r="AJ922" s="192">
        <v>9530</v>
      </c>
      <c r="AK922" s="62"/>
      <c r="AL922" s="62">
        <v>2.3E-3</v>
      </c>
      <c r="AM922" s="61" t="s">
        <v>74</v>
      </c>
      <c r="AN922" s="62">
        <v>255</v>
      </c>
      <c r="AO922" s="61" t="s">
        <v>2940</v>
      </c>
      <c r="AP922" s="59">
        <f>IFERROR(VLOOKUP($A922,[2]Mssp!$A$5:$BE$1463,AP$4+1,0),0)</f>
        <v>0</v>
      </c>
      <c r="AQ922" s="59">
        <f>IFERROR(VLOOKUP($A922,[2]Mssp!$A$5:$BE$1463,AQ$4+1,0),0)</f>
        <v>0</v>
      </c>
      <c r="AR922" s="59">
        <f>IFERROR(VLOOKUP($A922,[2]Mssp!$A$5:$BE$1463,AR$4+1,0),0)</f>
        <v>0</v>
      </c>
      <c r="AS922" s="59">
        <f>IFERROR(VLOOKUP($A922,[2]Mssp!$A$5:$BE$1463,AS$4+1,0),0)</f>
        <v>0</v>
      </c>
      <c r="AT922" s="59">
        <f>IFERROR(VLOOKUP($A922,[2]Mssp!$A$5:$BE$1463,AT$4+1,0),0)</f>
        <v>0</v>
      </c>
      <c r="AU922" s="59">
        <f>IFERROR(VLOOKUP($A922,[2]Mssp!$A$5:$BE$1463,AU$4+1,0),0)</f>
        <v>0</v>
      </c>
      <c r="AV922" s="59">
        <f>IFERROR(VLOOKUP($A922,[2]Mssp!$A$5:$BE$1463,AV$4+1,0),0)</f>
        <v>0</v>
      </c>
      <c r="AW922" s="59">
        <f>IFERROR(VLOOKUP($A922,[2]Mssp!$A$5:$BE$1463,AW$4+1,0),0)</f>
        <v>0</v>
      </c>
      <c r="AX922" s="59">
        <f>IFERROR(VLOOKUP($A922,[2]Mssp!$A$5:$BE$1463,AX$4+1,0),0)</f>
        <v>0</v>
      </c>
      <c r="AY922" s="59">
        <f>IFERROR(VLOOKUP($A922,[2]Mssp!$A$5:$BE$1463,AY$4+2,0),0)</f>
        <v>0</v>
      </c>
      <c r="AZ922" s="59">
        <f>IFERROR(VLOOKUP($A922,[2]Mssp!$A$5:$BE$1463,AZ$4+2,0),0)</f>
        <v>0</v>
      </c>
      <c r="BA922" s="141"/>
      <c r="BB922" s="61" t="s">
        <v>1894</v>
      </c>
      <c r="BC922" s="165"/>
      <c r="BD922" s="166"/>
      <c r="BE922" s="167"/>
      <c r="BF922" s="168"/>
      <c r="BG922" s="167"/>
      <c r="BH922" s="168"/>
      <c r="BI922" s="169"/>
      <c r="BJ922" s="168"/>
      <c r="BK922" s="134"/>
      <c r="BL922" s="168"/>
      <c r="BM922" s="167"/>
      <c r="BN922" s="168"/>
      <c r="BO922" s="62"/>
      <c r="BP922" s="168"/>
      <c r="BQ922" s="168"/>
      <c r="BR922" s="168"/>
      <c r="BS922" s="135"/>
      <c r="BT922" s="176"/>
      <c r="BU922" s="167"/>
      <c r="BV922" s="168"/>
      <c r="BW922" s="167"/>
      <c r="BX922" s="168"/>
      <c r="BY922" s="167"/>
      <c r="BZ922" s="176"/>
      <c r="CA922" s="167"/>
      <c r="CB922" s="168"/>
      <c r="CC922" s="167"/>
      <c r="CD922" s="168"/>
      <c r="CE922" s="62"/>
      <c r="CF922" s="62"/>
      <c r="CG922" s="9"/>
      <c r="CH922" s="9"/>
      <c r="CI922" s="9"/>
      <c r="CJ922" s="9"/>
      <c r="CK922" s="9"/>
      <c r="CL922" s="9"/>
      <c r="CM922" s="9"/>
      <c r="CN922" s="9"/>
      <c r="CO922" s="9"/>
      <c r="CP922" s="9"/>
    </row>
    <row r="923" spans="1:94" ht="45" x14ac:dyDescent="0.25">
      <c r="A923" s="127" t="s">
        <v>2941</v>
      </c>
      <c r="B923" s="51" t="s">
        <v>2942</v>
      </c>
      <c r="C923" s="62"/>
      <c r="D923" s="84">
        <v>2</v>
      </c>
      <c r="E923" s="62" t="s">
        <v>2943</v>
      </c>
      <c r="F923" s="62">
        <v>8</v>
      </c>
      <c r="G923" s="62"/>
      <c r="H923" s="50">
        <f>VLOOKUP($A923,'[1]ma sp 02'!$A$5:$BD$1101,H$1,0)</f>
        <v>0.628</v>
      </c>
      <c r="I923" s="50">
        <f>VLOOKUP($A923,'[1]ma sp 02'!$A$5:$BD$1101,I$1,0)</f>
        <v>14.44</v>
      </c>
      <c r="J923" s="50">
        <f>VLOOKUP($A923,'[1]ma sp 02'!$A$5:$BD$1101,J$1,0)</f>
        <v>0</v>
      </c>
      <c r="K923" s="50">
        <f>VLOOKUP($A923,'[1]ma sp 02'!$A$5:$BD$1101,K$1,0)</f>
        <v>0.86399999999999999</v>
      </c>
      <c r="L923" s="50">
        <f>VLOOKUP($A923,'[1]ma sp 02'!$A$5:$BD$1101,L$1,0)</f>
        <v>10.755000000000001</v>
      </c>
      <c r="M923" s="50">
        <f>VLOOKUP($A923,'[1]ma sp 02'!$A$5:$BD$1101,M$1,0)</f>
        <v>0.314</v>
      </c>
      <c r="N923" s="50">
        <f>VLOOKUP($A923,'[1]ma sp 02'!$A$5:$BD$1101,N$1,0)</f>
        <v>0</v>
      </c>
      <c r="O923" s="50">
        <f>VLOOKUP($A923,'[1]ma sp 02'!$A$5:$BD$1101,O$1,0)</f>
        <v>0.23599999999999999</v>
      </c>
      <c r="P923" s="50">
        <f>VLOOKUP($A923,'[1]ma sp 02'!$A$5:$BD$1101,P$1,0)</f>
        <v>1.256</v>
      </c>
      <c r="Q923" s="50">
        <f>VLOOKUP($A923,'[1]ma sp 02'!$A$5:$BD$1101,Q$1,0)</f>
        <v>0</v>
      </c>
      <c r="R923" s="50">
        <f>VLOOKUP($A923,'[1]ma sp 02'!$A$5:$BD$1101,R$1,0)</f>
        <v>0</v>
      </c>
      <c r="S923" s="50">
        <f>VLOOKUP($A923,'[1]ma sp 02'!$A$5:$BD$1101,S$1,0)</f>
        <v>0</v>
      </c>
      <c r="T923" s="50">
        <f>VLOOKUP($A923,'[1]ma sp 02'!$A$5:$BD$1101,T$1,0)</f>
        <v>7.9000000000000001E-2</v>
      </c>
      <c r="U923" s="50">
        <f>VLOOKUP($A923,'[1]ma sp 02'!$A$5:$BD$1101,U$1,0)</f>
        <v>0</v>
      </c>
      <c r="V923" s="50">
        <f>VLOOKUP($A923,'[1]ma sp 02'!$A$5:$BD$1101,V$1,0)</f>
        <v>0</v>
      </c>
      <c r="W923" s="50">
        <f>VLOOKUP($A923,'[1]ma sp 02'!$A$5:$BD$1101,W$1,0)</f>
        <v>0</v>
      </c>
      <c r="X923" s="50"/>
      <c r="Y923" s="62"/>
      <c r="Z923" s="62"/>
      <c r="AA923" s="62"/>
      <c r="AB923" s="62"/>
      <c r="AC923" s="62"/>
      <c r="AD923" s="62"/>
      <c r="AE923" s="62" t="s">
        <v>2944</v>
      </c>
      <c r="AF923" s="62"/>
      <c r="AG923" s="53">
        <f>(0.02*0.91+0.05*0.94)*0.71</f>
        <v>4.6292000000000007E-2</v>
      </c>
      <c r="AH923" s="54">
        <f>(2.5/0.75/2)*0.72</f>
        <v>1.2</v>
      </c>
      <c r="AI923" s="54"/>
      <c r="AJ923" s="192">
        <v>9530</v>
      </c>
      <c r="AK923" s="62"/>
      <c r="AL923" s="62">
        <v>3.0000000000000001E-3</v>
      </c>
      <c r="AM923" s="61" t="s">
        <v>1489</v>
      </c>
      <c r="AN923" s="62">
        <v>248</v>
      </c>
      <c r="AO923" s="61" t="s">
        <v>2945</v>
      </c>
      <c r="AP923" s="59" t="str">
        <f>IFERROR(VLOOKUP($A923,[2]Mssp!$A$5:$BE$1463,AP$4+1,0),0)</f>
        <v>F128941-1</v>
      </c>
      <c r="AQ923" s="59" t="str">
        <f>IFERROR(VLOOKUP($A923,[2]Mssp!$A$5:$BE$1463,AQ$4+1,0),0)</f>
        <v>F128941-2</v>
      </c>
      <c r="AR923" s="59" t="str">
        <f>IFERROR(VLOOKUP($A923,[2]Mssp!$A$5:$BE$1463,AR$4+1,0),0)</f>
        <v>F128941-3</v>
      </c>
      <c r="AS923" s="59" t="str">
        <f>IFERROR(VLOOKUP($A923,[2]Mssp!$A$5:$BE$1463,AS$4+1,0),0)</f>
        <v>F128941-4</v>
      </c>
      <c r="AT923" s="59" t="str">
        <f>IFERROR(VLOOKUP($A923,[2]Mssp!$A$5:$BE$1463,AT$4+1,0),0)</f>
        <v>F128941-5</v>
      </c>
      <c r="AU923" s="59" t="str">
        <f>IFERROR(VLOOKUP($A923,[2]Mssp!$A$5:$BE$1463,AU$4+1,0),0)</f>
        <v>F128941-6</v>
      </c>
      <c r="AV923" s="59" t="str">
        <f>IFERROR(VLOOKUP($A923,[2]Mssp!$A$5:$BE$1463,AV$4+1,0),0)</f>
        <v>F128941-7</v>
      </c>
      <c r="AW923" s="59" t="str">
        <f>IFERROR(VLOOKUP($A923,[2]Mssp!$A$5:$BE$1463,AW$4+1,0),0)</f>
        <v>F128941-8</v>
      </c>
      <c r="AX923" s="59">
        <f>IFERROR(VLOOKUP($A923,[2]Mssp!$A$5:$BE$1463,AX$4+1,0),0)</f>
        <v>0</v>
      </c>
      <c r="AY923" s="59" t="str">
        <f>IFERROR(VLOOKUP($A923,[2]Mssp!$A$5:$BE$1463,AY$4+2,0),0)</f>
        <v>496x870</v>
      </c>
      <c r="AZ923" s="59">
        <f>IFERROR(VLOOKUP($A923,[2]Mssp!$A$5:$BE$1463,AZ$4+2,0),0)</f>
        <v>0</v>
      </c>
      <c r="BA923" s="141"/>
      <c r="BB923" s="61" t="s">
        <v>1894</v>
      </c>
      <c r="BC923" s="165"/>
      <c r="BD923" s="166"/>
      <c r="BE923" s="167"/>
      <c r="BF923" s="168"/>
      <c r="BG923" s="167"/>
      <c r="BH923" s="168"/>
      <c r="BI923" s="169"/>
      <c r="BJ923" s="168"/>
      <c r="BK923" s="134"/>
      <c r="BL923" s="168"/>
      <c r="BM923" s="167"/>
      <c r="BN923" s="168"/>
      <c r="BO923" s="62"/>
      <c r="BP923" s="168"/>
      <c r="BQ923" s="168"/>
      <c r="BR923" s="168"/>
      <c r="BS923" s="135"/>
      <c r="BT923" s="176"/>
      <c r="BU923" s="167"/>
      <c r="BV923" s="168"/>
      <c r="BW923" s="167"/>
      <c r="BX923" s="168"/>
      <c r="BY923" s="167"/>
      <c r="BZ923" s="176"/>
      <c r="CA923" s="167"/>
      <c r="CB923" s="168"/>
      <c r="CC923" s="167"/>
      <c r="CD923" s="168"/>
      <c r="CE923" s="62"/>
      <c r="CF923" s="62"/>
      <c r="CG923" s="9"/>
      <c r="CH923" s="9"/>
      <c r="CI923" s="9"/>
      <c r="CJ923" s="9"/>
      <c r="CK923" s="9"/>
      <c r="CL923" s="9"/>
      <c r="CM923" s="9"/>
      <c r="CN923" s="9"/>
      <c r="CO923" s="9"/>
      <c r="CP923" s="9"/>
    </row>
    <row r="924" spans="1:94" ht="45" x14ac:dyDescent="0.25">
      <c r="A924" s="127" t="s">
        <v>2946</v>
      </c>
      <c r="B924" s="51" t="s">
        <v>2947</v>
      </c>
      <c r="C924" s="62"/>
      <c r="D924" s="84">
        <v>1</v>
      </c>
      <c r="E924" s="62" t="s">
        <v>2731</v>
      </c>
      <c r="F924" s="62"/>
      <c r="G924" s="62"/>
      <c r="H924" s="50">
        <f>VLOOKUP($A924,'[1]ma sp 02'!$A$5:$BD$1101,H$1,0)</f>
        <v>0</v>
      </c>
      <c r="I924" s="50">
        <f>VLOOKUP($A924,'[1]ma sp 02'!$A$5:$BD$1101,I$1,0)</f>
        <v>0</v>
      </c>
      <c r="J924" s="50">
        <f>VLOOKUP($A924,'[1]ma sp 02'!$A$5:$BD$1101,J$1,0)</f>
        <v>0</v>
      </c>
      <c r="K924" s="50">
        <f>VLOOKUP($A924,'[1]ma sp 02'!$A$5:$BD$1101,K$1,0)</f>
        <v>0</v>
      </c>
      <c r="L924" s="50">
        <f>VLOOKUP($A924,'[1]ma sp 02'!$A$5:$BD$1101,L$1,0)</f>
        <v>0</v>
      </c>
      <c r="M924" s="50">
        <f>VLOOKUP($A924,'[1]ma sp 02'!$A$5:$BD$1101,M$1,0)</f>
        <v>0</v>
      </c>
      <c r="N924" s="50">
        <f>VLOOKUP($A924,'[1]ma sp 02'!$A$5:$BD$1101,N$1,0)</f>
        <v>0</v>
      </c>
      <c r="O924" s="50">
        <f>VLOOKUP($A924,'[1]ma sp 02'!$A$5:$BD$1101,O$1,0)</f>
        <v>0</v>
      </c>
      <c r="P924" s="50">
        <f>VLOOKUP($A924,'[1]ma sp 02'!$A$5:$BD$1101,P$1,0)</f>
        <v>0</v>
      </c>
      <c r="Q924" s="50">
        <f>VLOOKUP($A924,'[1]ma sp 02'!$A$5:$BD$1101,Q$1,0)</f>
        <v>0</v>
      </c>
      <c r="R924" s="50">
        <f>VLOOKUP($A924,'[1]ma sp 02'!$A$5:$BD$1101,R$1,0)</f>
        <v>0</v>
      </c>
      <c r="S924" s="50">
        <f>VLOOKUP($A924,'[1]ma sp 02'!$A$5:$BD$1101,S$1,0)</f>
        <v>0</v>
      </c>
      <c r="T924" s="50">
        <f>VLOOKUP($A924,'[1]ma sp 02'!$A$5:$BD$1101,T$1,0)</f>
        <v>0</v>
      </c>
      <c r="U924" s="50">
        <f>VLOOKUP($A924,'[1]ma sp 02'!$A$5:$BD$1101,U$1,0)</f>
        <v>0</v>
      </c>
      <c r="V924" s="50">
        <f>VLOOKUP($A924,'[1]ma sp 02'!$A$5:$BD$1101,V$1,0)</f>
        <v>0</v>
      </c>
      <c r="W924" s="50">
        <f>VLOOKUP($A924,'[1]ma sp 02'!$A$5:$BD$1101,W$1,0)</f>
        <v>0</v>
      </c>
      <c r="X924" s="50"/>
      <c r="Y924" s="62"/>
      <c r="Z924" s="62"/>
      <c r="AA924" s="62"/>
      <c r="AB924" s="62"/>
      <c r="AC924" s="62"/>
      <c r="AD924" s="62"/>
      <c r="AE924" s="62" t="s">
        <v>2732</v>
      </c>
      <c r="AF924" s="62"/>
      <c r="AG924" s="53">
        <f>(0.015*1.15+0.065*0.925)*0.74</f>
        <v>5.7257499999999996E-2</v>
      </c>
      <c r="AH924" s="54">
        <f>(2.3/0.75/2)*0.73</f>
        <v>1.1193333333333333</v>
      </c>
      <c r="AI924" s="54"/>
      <c r="AJ924" s="192">
        <v>9530</v>
      </c>
      <c r="AK924" s="62"/>
      <c r="AL924" s="62">
        <v>2.3E-3</v>
      </c>
      <c r="AM924" s="61" t="s">
        <v>74</v>
      </c>
      <c r="AN924" s="62">
        <v>260</v>
      </c>
      <c r="AO924" s="61" t="s">
        <v>2676</v>
      </c>
      <c r="AP924" s="59">
        <f>IFERROR(VLOOKUP($A924,[2]Mssp!$A$5:$BE$1463,AP$4+1,0),0)</f>
        <v>0</v>
      </c>
      <c r="AQ924" s="59">
        <f>IFERROR(VLOOKUP($A924,[2]Mssp!$A$5:$BE$1463,AQ$4+1,0),0)</f>
        <v>0</v>
      </c>
      <c r="AR924" s="59">
        <f>IFERROR(VLOOKUP($A924,[2]Mssp!$A$5:$BE$1463,AR$4+1,0),0)</f>
        <v>0</v>
      </c>
      <c r="AS924" s="59">
        <f>IFERROR(VLOOKUP($A924,[2]Mssp!$A$5:$BE$1463,AS$4+1,0),0)</f>
        <v>0</v>
      </c>
      <c r="AT924" s="59">
        <f>IFERROR(VLOOKUP($A924,[2]Mssp!$A$5:$BE$1463,AT$4+1,0),0)</f>
        <v>0</v>
      </c>
      <c r="AU924" s="59">
        <f>IFERROR(VLOOKUP($A924,[2]Mssp!$A$5:$BE$1463,AU$4+1,0),0)</f>
        <v>0</v>
      </c>
      <c r="AV924" s="59">
        <f>IFERROR(VLOOKUP($A924,[2]Mssp!$A$5:$BE$1463,AV$4+1,0),0)</f>
        <v>0</v>
      </c>
      <c r="AW924" s="59">
        <f>IFERROR(VLOOKUP($A924,[2]Mssp!$A$5:$BE$1463,AW$4+1,0),0)</f>
        <v>0</v>
      </c>
      <c r="AX924" s="59">
        <f>IFERROR(VLOOKUP($A924,[2]Mssp!$A$5:$BE$1463,AX$4+1,0),0)</f>
        <v>0</v>
      </c>
      <c r="AY924" s="59">
        <f>IFERROR(VLOOKUP($A924,[2]Mssp!$A$5:$BE$1463,AY$4+2,0),0)</f>
        <v>0</v>
      </c>
      <c r="AZ924" s="59">
        <f>IFERROR(VLOOKUP($A924,[2]Mssp!$A$5:$BE$1463,AZ$4+2,0),0)</f>
        <v>0</v>
      </c>
      <c r="BA924" s="141"/>
      <c r="BB924" s="61" t="s">
        <v>1894</v>
      </c>
      <c r="BC924" s="165"/>
      <c r="BD924" s="166"/>
      <c r="BE924" s="167"/>
      <c r="BF924" s="168"/>
      <c r="BG924" s="167"/>
      <c r="BH924" s="168"/>
      <c r="BI924" s="169"/>
      <c r="BJ924" s="168"/>
      <c r="BK924" s="134"/>
      <c r="BL924" s="168"/>
      <c r="BM924" s="167"/>
      <c r="BN924" s="168"/>
      <c r="BO924" s="62"/>
      <c r="BP924" s="168"/>
      <c r="BQ924" s="168"/>
      <c r="BR924" s="168"/>
      <c r="BS924" s="135"/>
      <c r="BT924" s="176"/>
      <c r="BU924" s="167"/>
      <c r="BV924" s="168"/>
      <c r="BW924" s="167"/>
      <c r="BX924" s="168"/>
      <c r="BY924" s="167"/>
      <c r="BZ924" s="176"/>
      <c r="CA924" s="167"/>
      <c r="CB924" s="168"/>
      <c r="CC924" s="167"/>
      <c r="CD924" s="168"/>
      <c r="CE924" s="62"/>
      <c r="CF924" s="62"/>
      <c r="CG924" s="9"/>
      <c r="CH924" s="9"/>
      <c r="CI924" s="9"/>
      <c r="CJ924" s="9"/>
      <c r="CK924" s="9"/>
      <c r="CL924" s="9"/>
      <c r="CM924" s="9"/>
      <c r="CN924" s="9"/>
      <c r="CO924" s="9"/>
      <c r="CP924" s="9"/>
    </row>
    <row r="925" spans="1:94" ht="30" x14ac:dyDescent="0.25">
      <c r="A925" s="127" t="s">
        <v>2948</v>
      </c>
      <c r="B925" s="51" t="s">
        <v>2949</v>
      </c>
      <c r="C925" s="62"/>
      <c r="D925" s="84">
        <v>3</v>
      </c>
      <c r="E925" s="62" t="s">
        <v>2825</v>
      </c>
      <c r="F925" s="62"/>
      <c r="G925" s="62"/>
      <c r="H925" s="50">
        <f>VLOOKUP($A925,'[1]ma sp 02'!$A$5:$BD$1101,H$1,0)</f>
        <v>0</v>
      </c>
      <c r="I925" s="50">
        <f>VLOOKUP($A925,'[1]ma sp 02'!$A$5:$BD$1101,I$1,0)</f>
        <v>0</v>
      </c>
      <c r="J925" s="50">
        <f>VLOOKUP($A925,'[1]ma sp 02'!$A$5:$BD$1101,J$1,0)</f>
        <v>0</v>
      </c>
      <c r="K925" s="50">
        <f>VLOOKUP($A925,'[1]ma sp 02'!$A$5:$BD$1101,K$1,0)</f>
        <v>0</v>
      </c>
      <c r="L925" s="50">
        <f>VLOOKUP($A925,'[1]ma sp 02'!$A$5:$BD$1101,L$1,0)</f>
        <v>0</v>
      </c>
      <c r="M925" s="50">
        <f>VLOOKUP($A925,'[1]ma sp 02'!$A$5:$BD$1101,M$1,0)</f>
        <v>0</v>
      </c>
      <c r="N925" s="50">
        <f>VLOOKUP($A925,'[1]ma sp 02'!$A$5:$BD$1101,N$1,0)</f>
        <v>0</v>
      </c>
      <c r="O925" s="50">
        <f>VLOOKUP($A925,'[1]ma sp 02'!$A$5:$BD$1101,O$1,0)</f>
        <v>0</v>
      </c>
      <c r="P925" s="50">
        <f>VLOOKUP($A925,'[1]ma sp 02'!$A$5:$BD$1101,P$1,0)</f>
        <v>0</v>
      </c>
      <c r="Q925" s="50">
        <f>VLOOKUP($A925,'[1]ma sp 02'!$A$5:$BD$1101,Q$1,0)</f>
        <v>0</v>
      </c>
      <c r="R925" s="50">
        <f>VLOOKUP($A925,'[1]ma sp 02'!$A$5:$BD$1101,R$1,0)</f>
        <v>0</v>
      </c>
      <c r="S925" s="50">
        <f>VLOOKUP($A925,'[1]ma sp 02'!$A$5:$BD$1101,S$1,0)</f>
        <v>0</v>
      </c>
      <c r="T925" s="50">
        <f>VLOOKUP($A925,'[1]ma sp 02'!$A$5:$BD$1101,T$1,0)</f>
        <v>0</v>
      </c>
      <c r="U925" s="50">
        <f>VLOOKUP($A925,'[1]ma sp 02'!$A$5:$BD$1101,U$1,0)</f>
        <v>0</v>
      </c>
      <c r="V925" s="50">
        <f>VLOOKUP($A925,'[1]ma sp 02'!$A$5:$BD$1101,V$1,0)</f>
        <v>0</v>
      </c>
      <c r="W925" s="50">
        <f>VLOOKUP($A925,'[1]ma sp 02'!$A$5:$BD$1101,W$1,0)</f>
        <v>0</v>
      </c>
      <c r="X925" s="50"/>
      <c r="Y925" s="62"/>
      <c r="Z925" s="62"/>
      <c r="AA925" s="62"/>
      <c r="AB925" s="62"/>
      <c r="AC925" s="62"/>
      <c r="AD925" s="62"/>
      <c r="AE925" s="62" t="s">
        <v>2950</v>
      </c>
      <c r="AF925" s="62"/>
      <c r="AG925" s="53">
        <f>(0.012*1.4+0.055*0.925)*0.92</f>
        <v>6.2261000000000004E-2</v>
      </c>
      <c r="AH925" s="54">
        <f>(2.5/0.75/2)*0.91</f>
        <v>1.5166666666666668</v>
      </c>
      <c r="AI925" s="54"/>
      <c r="AJ925" s="192">
        <v>9530</v>
      </c>
      <c r="AK925" s="62"/>
      <c r="AL925" s="62">
        <v>2.5000000000000001E-3</v>
      </c>
      <c r="AM925" s="61" t="s">
        <v>1489</v>
      </c>
      <c r="AN925" s="62"/>
      <c r="AO925" s="61" t="s">
        <v>2872</v>
      </c>
      <c r="AP925" s="59">
        <f>IFERROR(VLOOKUP($A925,[2]Mssp!$A$5:$BE$1463,AP$4+1,0),0)</f>
        <v>0</v>
      </c>
      <c r="AQ925" s="59">
        <f>IFERROR(VLOOKUP($A925,[2]Mssp!$A$5:$BE$1463,AQ$4+1,0),0)</f>
        <v>0</v>
      </c>
      <c r="AR925" s="59">
        <f>IFERROR(VLOOKUP($A925,[2]Mssp!$A$5:$BE$1463,AR$4+1,0),0)</f>
        <v>0</v>
      </c>
      <c r="AS925" s="59">
        <f>IFERROR(VLOOKUP($A925,[2]Mssp!$A$5:$BE$1463,AS$4+1,0),0)</f>
        <v>0</v>
      </c>
      <c r="AT925" s="59">
        <f>IFERROR(VLOOKUP($A925,[2]Mssp!$A$5:$BE$1463,AT$4+1,0),0)</f>
        <v>0</v>
      </c>
      <c r="AU925" s="59">
        <f>IFERROR(VLOOKUP($A925,[2]Mssp!$A$5:$BE$1463,AU$4+1,0),0)</f>
        <v>0</v>
      </c>
      <c r="AV925" s="59">
        <f>IFERROR(VLOOKUP($A925,[2]Mssp!$A$5:$BE$1463,AV$4+1,0),0)</f>
        <v>0</v>
      </c>
      <c r="AW925" s="59">
        <f>IFERROR(VLOOKUP($A925,[2]Mssp!$A$5:$BE$1463,AW$4+1,0),0)</f>
        <v>0</v>
      </c>
      <c r="AX925" s="59">
        <f>IFERROR(VLOOKUP($A925,[2]Mssp!$A$5:$BE$1463,AX$4+1,0),0)</f>
        <v>0</v>
      </c>
      <c r="AY925" s="59">
        <f>IFERROR(VLOOKUP($A925,[2]Mssp!$A$5:$BE$1463,AY$4+2,0),0)</f>
        <v>0</v>
      </c>
      <c r="AZ925" s="59">
        <f>IFERROR(VLOOKUP($A925,[2]Mssp!$A$5:$BE$1463,AZ$4+2,0),0)</f>
        <v>0</v>
      </c>
      <c r="BA925" s="141"/>
      <c r="BB925" s="61" t="s">
        <v>1894</v>
      </c>
      <c r="BC925" s="165"/>
      <c r="BD925" s="166"/>
      <c r="BE925" s="167"/>
      <c r="BF925" s="168"/>
      <c r="BG925" s="167"/>
      <c r="BH925" s="168"/>
      <c r="BI925" s="169"/>
      <c r="BJ925" s="168"/>
      <c r="BK925" s="134"/>
      <c r="BL925" s="168"/>
      <c r="BM925" s="167"/>
      <c r="BN925" s="168"/>
      <c r="BO925" s="62"/>
      <c r="BP925" s="168"/>
      <c r="BQ925" s="168"/>
      <c r="BR925" s="168"/>
      <c r="BS925" s="135"/>
      <c r="BT925" s="176"/>
      <c r="BU925" s="167"/>
      <c r="BV925" s="168"/>
      <c r="BW925" s="167"/>
      <c r="BX925" s="168"/>
      <c r="BY925" s="167"/>
      <c r="BZ925" s="176"/>
      <c r="CA925" s="167"/>
      <c r="CB925" s="168"/>
      <c r="CC925" s="167"/>
      <c r="CD925" s="168"/>
      <c r="CE925" s="62"/>
      <c r="CF925" s="62"/>
      <c r="CG925" s="9"/>
      <c r="CH925" s="9"/>
      <c r="CI925" s="9"/>
      <c r="CJ925" s="9"/>
      <c r="CK925" s="9"/>
      <c r="CL925" s="9"/>
      <c r="CM925" s="9"/>
      <c r="CN925" s="9"/>
      <c r="CO925" s="9"/>
      <c r="CP925" s="9"/>
    </row>
    <row r="926" spans="1:94" ht="30" x14ac:dyDescent="0.25">
      <c r="A926" s="127" t="s">
        <v>2951</v>
      </c>
      <c r="B926" s="51" t="s">
        <v>2952</v>
      </c>
      <c r="C926" s="62"/>
      <c r="D926" s="84">
        <v>3</v>
      </c>
      <c r="E926" s="62" t="s">
        <v>2825</v>
      </c>
      <c r="F926" s="62"/>
      <c r="G926" s="62"/>
      <c r="H926" s="50" t="e">
        <f>VLOOKUP($A926,'[1]ma sp 02'!$A$5:$BD$1101,H$1,0)</f>
        <v>#N/A</v>
      </c>
      <c r="I926" s="50" t="e">
        <f>VLOOKUP($A926,'[1]ma sp 02'!$A$5:$BD$1101,I$1,0)</f>
        <v>#N/A</v>
      </c>
      <c r="J926" s="50" t="e">
        <f>VLOOKUP($A926,'[1]ma sp 02'!$A$5:$BD$1101,J$1,0)</f>
        <v>#N/A</v>
      </c>
      <c r="K926" s="50" t="e">
        <f>VLOOKUP($A926,'[1]ma sp 02'!$A$5:$BD$1101,K$1,0)</f>
        <v>#N/A</v>
      </c>
      <c r="L926" s="50" t="e">
        <f>VLOOKUP($A926,'[1]ma sp 02'!$A$5:$BD$1101,L$1,0)</f>
        <v>#N/A</v>
      </c>
      <c r="M926" s="50" t="e">
        <f>VLOOKUP($A926,'[1]ma sp 02'!$A$5:$BD$1101,M$1,0)</f>
        <v>#N/A</v>
      </c>
      <c r="N926" s="50" t="e">
        <f>VLOOKUP($A926,'[1]ma sp 02'!$A$5:$BD$1101,N$1,0)</f>
        <v>#N/A</v>
      </c>
      <c r="O926" s="50" t="e">
        <f>VLOOKUP($A926,'[1]ma sp 02'!$A$5:$BD$1101,O$1,0)</f>
        <v>#N/A</v>
      </c>
      <c r="P926" s="50" t="e">
        <f>VLOOKUP($A926,'[1]ma sp 02'!$A$5:$BD$1101,P$1,0)</f>
        <v>#N/A</v>
      </c>
      <c r="Q926" s="50" t="e">
        <f>VLOOKUP($A926,'[1]ma sp 02'!$A$5:$BD$1101,Q$1,0)</f>
        <v>#N/A</v>
      </c>
      <c r="R926" s="50" t="e">
        <f>VLOOKUP($A926,'[1]ma sp 02'!$A$5:$BD$1101,R$1,0)</f>
        <v>#N/A</v>
      </c>
      <c r="S926" s="50" t="e">
        <f>VLOOKUP($A926,'[1]ma sp 02'!$A$5:$BD$1101,S$1,0)</f>
        <v>#N/A</v>
      </c>
      <c r="T926" s="50" t="e">
        <f>VLOOKUP($A926,'[1]ma sp 02'!$A$5:$BD$1101,T$1,0)</f>
        <v>#N/A</v>
      </c>
      <c r="U926" s="50" t="e">
        <f>VLOOKUP($A926,'[1]ma sp 02'!$A$5:$BD$1101,U$1,0)</f>
        <v>#N/A</v>
      </c>
      <c r="V926" s="50" t="e">
        <f>VLOOKUP($A926,'[1]ma sp 02'!$A$5:$BD$1101,V$1,0)</f>
        <v>#N/A</v>
      </c>
      <c r="W926" s="50" t="e">
        <f>VLOOKUP($A926,'[1]ma sp 02'!$A$5:$BD$1101,W$1,0)</f>
        <v>#N/A</v>
      </c>
      <c r="X926" s="50"/>
      <c r="Y926" s="62"/>
      <c r="Z926" s="62"/>
      <c r="AA926" s="62"/>
      <c r="AB926" s="62"/>
      <c r="AC926" s="62"/>
      <c r="AD926" s="62"/>
      <c r="AE926" s="62" t="s">
        <v>2953</v>
      </c>
      <c r="AF926" s="62"/>
      <c r="AG926" s="53">
        <f>(0.012*1.4+0.055*0.925)*0.92</f>
        <v>6.2261000000000004E-2</v>
      </c>
      <c r="AH926" s="54">
        <f>(3/0.75/2)*0.91</f>
        <v>1.82</v>
      </c>
      <c r="AI926" s="54"/>
      <c r="AJ926" s="192">
        <v>9530</v>
      </c>
      <c r="AK926" s="62"/>
      <c r="AL926" s="62">
        <v>3.0000000000000001E-3</v>
      </c>
      <c r="AM926" s="61" t="s">
        <v>1489</v>
      </c>
      <c r="AN926" s="62"/>
      <c r="AO926" s="61" t="s">
        <v>2872</v>
      </c>
      <c r="AP926" s="59" t="str">
        <f>IFERROR(VLOOKUP('[3]T.H LSX'!$D710,[2]Mssp!$A$5:$BE$1463,AP$4+1,0),0)</f>
        <v>21040440-1</v>
      </c>
      <c r="AQ926" s="59" t="str">
        <f>IFERROR(VLOOKUP('[3]T.H LSX'!$D710,[2]Mssp!$A$5:$BE$1463,AQ$4+1,0),0)</f>
        <v>21020566-2</v>
      </c>
      <c r="AR926" s="59">
        <f>IFERROR(VLOOKUP('[3]T.H LSX'!$D710,[2]Mssp!$A$5:$BE$1463,AR$4+1,0),0)</f>
        <v>0</v>
      </c>
      <c r="AS926" s="59">
        <f>IFERROR(VLOOKUP('[3]T.H LSX'!$D710,[2]Mssp!$A$5:$BE$1463,AS$4+1,0),0)</f>
        <v>0</v>
      </c>
      <c r="AT926" s="59">
        <f>IFERROR(VLOOKUP('[3]T.H LSX'!$D710,[2]Mssp!$A$5:$BE$1463,AT$4+1,0),0)</f>
        <v>0</v>
      </c>
      <c r="AU926" s="59">
        <f>IFERROR(VLOOKUP('[3]T.H LSX'!$D710,[2]Mssp!$A$5:$BE$1463,AU$4+1,0),0)</f>
        <v>0</v>
      </c>
      <c r="AV926" s="59">
        <f>IFERROR(VLOOKUP('[3]T.H LSX'!$D710,[2]Mssp!$A$5:$BE$1463,AV$4+1,0),0)</f>
        <v>0</v>
      </c>
      <c r="AW926" s="59">
        <f>IFERROR(VLOOKUP('[3]T.H LSX'!$D710,[2]Mssp!$A$5:$BE$1463,AW$4+1,0),0)</f>
        <v>0</v>
      </c>
      <c r="AX926" s="59">
        <f>IFERROR(VLOOKUP('[3]T.H LSX'!$D710,[2]Mssp!$A$5:$BE$1463,AX$4+1,0),0)</f>
        <v>0</v>
      </c>
      <c r="AY926" s="59" t="str">
        <f>IFERROR(VLOOKUP('[3]T.H LSX'!$D710,[2]Mssp!$A$5:$BE$1463,AY$4+2,0),0)</f>
        <v>540x870</v>
      </c>
      <c r="AZ926" s="59">
        <f>IFERROR(VLOOKUP('[3]T.H LSX'!$D710,[2]Mssp!$A$5:$BE$1463,AZ$4+2,0),0)</f>
        <v>0</v>
      </c>
      <c r="BA926" s="141"/>
      <c r="BB926" s="61" t="s">
        <v>1894</v>
      </c>
      <c r="BC926" s="165"/>
      <c r="BD926" s="166"/>
      <c r="BE926" s="167"/>
      <c r="BF926" s="168"/>
      <c r="BG926" s="167"/>
      <c r="BH926" s="168"/>
      <c r="BI926" s="169"/>
      <c r="BJ926" s="168"/>
      <c r="BK926" s="134"/>
      <c r="BL926" s="168"/>
      <c r="BM926" s="167"/>
      <c r="BN926" s="168"/>
      <c r="BO926" s="62"/>
      <c r="BP926" s="168"/>
      <c r="BQ926" s="168"/>
      <c r="BR926" s="168"/>
      <c r="BS926" s="135"/>
      <c r="BT926" s="176"/>
      <c r="BU926" s="167"/>
      <c r="BV926" s="168"/>
      <c r="BW926" s="167"/>
      <c r="BX926" s="168"/>
      <c r="BY926" s="167"/>
      <c r="BZ926" s="176"/>
      <c r="CA926" s="167"/>
      <c r="CB926" s="168"/>
      <c r="CC926" s="167"/>
      <c r="CD926" s="168"/>
      <c r="CE926" s="62"/>
      <c r="CF926" s="62"/>
      <c r="CG926" s="9"/>
      <c r="CH926" s="9"/>
      <c r="CI926" s="9"/>
      <c r="CJ926" s="9"/>
      <c r="CK926" s="9"/>
      <c r="CL926" s="9"/>
      <c r="CM926" s="9"/>
      <c r="CN926" s="9"/>
      <c r="CO926" s="9"/>
      <c r="CP926" s="9"/>
    </row>
    <row r="927" spans="1:94" ht="45" x14ac:dyDescent="0.25">
      <c r="A927" s="127" t="s">
        <v>2954</v>
      </c>
      <c r="B927" s="51" t="s">
        <v>2955</v>
      </c>
      <c r="C927" s="62"/>
      <c r="D927" s="84">
        <v>2</v>
      </c>
      <c r="E927" s="62" t="s">
        <v>2213</v>
      </c>
      <c r="F927" s="62">
        <v>5</v>
      </c>
      <c r="G927" s="62"/>
      <c r="H927" s="50">
        <f>VLOOKUP($A927,'[1]ma sp 02'!$A$5:$BD$1101,H$1,0)</f>
        <v>0.23</v>
      </c>
      <c r="I927" s="50">
        <f>VLOOKUP($A927,'[1]ma sp 02'!$A$5:$BD$1101,I$1,0)</f>
        <v>9.6679999999999993</v>
      </c>
      <c r="J927" s="50">
        <f>VLOOKUP($A927,'[1]ma sp 02'!$A$5:$BD$1101,J$1,0)</f>
        <v>0</v>
      </c>
      <c r="K927" s="50">
        <f>VLOOKUP($A927,'[1]ma sp 02'!$A$5:$BD$1101,K$1,0)</f>
        <v>0</v>
      </c>
      <c r="L927" s="50">
        <f>VLOOKUP($A927,'[1]ma sp 02'!$A$5:$BD$1101,L$1,0)</f>
        <v>1.151</v>
      </c>
      <c r="M927" s="50">
        <f>VLOOKUP($A927,'[1]ma sp 02'!$A$5:$BD$1101,M$1,0)</f>
        <v>4.6040000000000001</v>
      </c>
      <c r="N927" s="50">
        <f>VLOOKUP($A927,'[1]ma sp 02'!$A$5:$BD$1101,N$1,0)</f>
        <v>0</v>
      </c>
      <c r="O927" s="50">
        <f>VLOOKUP($A927,'[1]ma sp 02'!$A$5:$BD$1101,O$1,0)</f>
        <v>0.4</v>
      </c>
      <c r="P927" s="50">
        <f>VLOOKUP($A927,'[1]ma sp 02'!$A$5:$BD$1101,P$1,0)</f>
        <v>0.01</v>
      </c>
      <c r="Q927" s="50">
        <f>VLOOKUP($A927,'[1]ma sp 02'!$A$5:$BD$1101,Q$1,0)</f>
        <v>0</v>
      </c>
      <c r="R927" s="50">
        <f>VLOOKUP($A927,'[1]ma sp 02'!$A$5:$BD$1101,R$1,0)</f>
        <v>0.01</v>
      </c>
      <c r="S927" s="50">
        <f>VLOOKUP($A927,'[1]ma sp 02'!$A$5:$BD$1101,S$1,0)</f>
        <v>0</v>
      </c>
      <c r="T927" s="50">
        <f>VLOOKUP($A927,'[1]ma sp 02'!$A$5:$BD$1101,T$1,0)</f>
        <v>0</v>
      </c>
      <c r="U927" s="50">
        <f>VLOOKUP($A927,'[1]ma sp 02'!$A$5:$BD$1101,U$1,0)</f>
        <v>0</v>
      </c>
      <c r="V927" s="50">
        <f>VLOOKUP($A927,'[1]ma sp 02'!$A$5:$BD$1101,V$1,0)</f>
        <v>0</v>
      </c>
      <c r="W927" s="50">
        <f>VLOOKUP($A927,'[1]ma sp 02'!$A$5:$BD$1101,W$1,0)</f>
        <v>0</v>
      </c>
      <c r="X927" s="50"/>
      <c r="Y927" s="62"/>
      <c r="Z927" s="62"/>
      <c r="AA927" s="62"/>
      <c r="AB927" s="62"/>
      <c r="AC927" s="62"/>
      <c r="AD927" s="62"/>
      <c r="AE927" s="62" t="s">
        <v>2653</v>
      </c>
      <c r="AF927" s="62" t="s">
        <v>1355</v>
      </c>
      <c r="AG927" s="53">
        <f>(0.02*0.91+0.012*1.4+0.075*0.925)*0.72</f>
        <v>7.5150000000000008E-2</v>
      </c>
      <c r="AH927" s="54">
        <f>(3/0.75/2)*0.71</f>
        <v>1.42</v>
      </c>
      <c r="AI927" s="54">
        <f>(3/0.75/2)*0.71</f>
        <v>1.42</v>
      </c>
      <c r="AJ927" s="192">
        <v>9530</v>
      </c>
      <c r="AK927" s="62">
        <v>9530</v>
      </c>
      <c r="AL927" s="62" t="s">
        <v>2268</v>
      </c>
      <c r="AM927" s="61" t="s">
        <v>2758</v>
      </c>
      <c r="AN927" s="62">
        <v>105</v>
      </c>
      <c r="AO927" s="61" t="s">
        <v>2956</v>
      </c>
      <c r="AP927" s="59" t="str">
        <f>IFERROR(VLOOKUP($A927,[2]Mssp!$A$5:$BE$1463,AP$4+1,0),0)</f>
        <v>21110828-1</v>
      </c>
      <c r="AQ927" s="59" t="str">
        <f>IFERROR(VLOOKUP($A927,[2]Mssp!$A$5:$BE$1463,AQ$4+1,0),0)</f>
        <v>21090608-2</v>
      </c>
      <c r="AR927" s="59" t="str">
        <f>IFERROR(VLOOKUP($A927,[2]Mssp!$A$5:$BE$1463,AR$4+1,0),0)</f>
        <v>21070623-3</v>
      </c>
      <c r="AS927" s="59" t="str">
        <f>IFERROR(VLOOKUP($A927,[2]Mssp!$A$5:$BE$1463,AS$4+1,0),0)</f>
        <v>21070623-4</v>
      </c>
      <c r="AT927" s="59" t="str">
        <f>IFERROR(VLOOKUP($A927,[2]Mssp!$A$5:$BE$1463,AT$4+1,0),0)</f>
        <v>21070623-5</v>
      </c>
      <c r="AU927" s="59">
        <f>IFERROR(VLOOKUP($A927,[2]Mssp!$A$5:$BE$1463,AU$4+1,0),0)</f>
        <v>0</v>
      </c>
      <c r="AV927" s="59">
        <f>IFERROR(VLOOKUP($A927,[2]Mssp!$A$5:$BE$1463,AV$4+1,0),0)</f>
        <v>0</v>
      </c>
      <c r="AW927" s="59">
        <f>IFERROR(VLOOKUP($A927,[2]Mssp!$A$5:$BE$1463,AW$4+1,0),0)</f>
        <v>0</v>
      </c>
      <c r="AX927" s="59">
        <f>IFERROR(VLOOKUP($A927,[2]Mssp!$A$5:$BE$1463,AX$4+1,0),0)</f>
        <v>0</v>
      </c>
      <c r="AY927" s="59" t="str">
        <f>IFERROR(VLOOKUP($A927,[2]Mssp!$A$5:$BE$1463,AY$4+2,0),0)</f>
        <v>420x870</v>
      </c>
      <c r="AZ927" s="59">
        <f>IFERROR(VLOOKUP($A927,[2]Mssp!$A$5:$BE$1463,AZ$4+2,0),0)</f>
        <v>0</v>
      </c>
      <c r="BA927" s="141"/>
      <c r="BB927" s="61" t="s">
        <v>1894</v>
      </c>
      <c r="BC927" s="165"/>
      <c r="BD927" s="166"/>
      <c r="BE927" s="167"/>
      <c r="BF927" s="168"/>
      <c r="BG927" s="167"/>
      <c r="BH927" s="168"/>
      <c r="BI927" s="169"/>
      <c r="BJ927" s="168"/>
      <c r="BK927" s="134"/>
      <c r="BL927" s="168"/>
      <c r="BM927" s="167"/>
      <c r="BN927" s="168"/>
      <c r="BO927" s="62"/>
      <c r="BP927" s="168"/>
      <c r="BQ927" s="168"/>
      <c r="BR927" s="168"/>
      <c r="BS927" s="135"/>
      <c r="BT927" s="176"/>
      <c r="BU927" s="167"/>
      <c r="BV927" s="168"/>
      <c r="BW927" s="167"/>
      <c r="BX927" s="168"/>
      <c r="BY927" s="167"/>
      <c r="BZ927" s="176"/>
      <c r="CA927" s="167"/>
      <c r="CB927" s="168"/>
      <c r="CC927" s="167"/>
      <c r="CD927" s="168"/>
      <c r="CE927" s="62"/>
      <c r="CF927" s="62"/>
      <c r="CG927" s="9"/>
      <c r="CH927" s="9"/>
      <c r="CI927" s="9"/>
      <c r="CJ927" s="9"/>
      <c r="CK927" s="9"/>
      <c r="CL927" s="9"/>
      <c r="CM927" s="9"/>
      <c r="CN927" s="9"/>
      <c r="CO927" s="9"/>
      <c r="CP927" s="9"/>
    </row>
    <row r="928" spans="1:94" ht="45" x14ac:dyDescent="0.25">
      <c r="A928" s="127" t="s">
        <v>2957</v>
      </c>
      <c r="B928" s="51" t="s">
        <v>2958</v>
      </c>
      <c r="C928" s="62"/>
      <c r="D928" s="84">
        <v>2</v>
      </c>
      <c r="E928" s="62" t="s">
        <v>2213</v>
      </c>
      <c r="F928" s="62">
        <v>5</v>
      </c>
      <c r="G928" s="62"/>
      <c r="H928" s="50">
        <f>VLOOKUP($A928,'[1]ma sp 02'!$A$5:$BD$1101,H$1,0)</f>
        <v>0.36899999999999999</v>
      </c>
      <c r="I928" s="50">
        <f>VLOOKUP($A928,'[1]ma sp 02'!$A$5:$BD$1101,I$1,0)</f>
        <v>5.2889999999999997</v>
      </c>
      <c r="J928" s="50">
        <f>VLOOKUP($A928,'[1]ma sp 02'!$A$5:$BD$1101,J$1,0)</f>
        <v>1.599</v>
      </c>
      <c r="K928" s="50">
        <f>VLOOKUP($A928,'[1]ma sp 02'!$A$5:$BD$1101,K$1,0)</f>
        <v>0</v>
      </c>
      <c r="L928" s="50">
        <f>VLOOKUP($A928,'[1]ma sp 02'!$A$5:$BD$1101,L$1,0)</f>
        <v>0</v>
      </c>
      <c r="M928" s="50">
        <f>VLOOKUP($A928,'[1]ma sp 02'!$A$5:$BD$1101,M$1,0)</f>
        <v>0</v>
      </c>
      <c r="N928" s="50">
        <f>VLOOKUP($A928,'[1]ma sp 02'!$A$5:$BD$1101,N$1,0)</f>
        <v>0</v>
      </c>
      <c r="O928" s="50">
        <f>VLOOKUP($A928,'[1]ma sp 02'!$A$5:$BD$1101,O$1,0)</f>
        <v>0</v>
      </c>
      <c r="P928" s="50">
        <f>VLOOKUP($A928,'[1]ma sp 02'!$A$5:$BD$1101,P$1,0)</f>
        <v>0.123</v>
      </c>
      <c r="Q928" s="50">
        <f>VLOOKUP($A928,'[1]ma sp 02'!$A$5:$BD$1101,Q$1,0)</f>
        <v>0</v>
      </c>
      <c r="R928" s="50">
        <f>VLOOKUP($A928,'[1]ma sp 02'!$A$5:$BD$1101,R$1,0)</f>
        <v>0.246</v>
      </c>
      <c r="S928" s="50">
        <f>VLOOKUP($A928,'[1]ma sp 02'!$A$5:$BD$1101,S$1,0)</f>
        <v>0</v>
      </c>
      <c r="T928" s="50">
        <f>VLOOKUP($A928,'[1]ma sp 02'!$A$5:$BD$1101,T$1,0)</f>
        <v>0</v>
      </c>
      <c r="U928" s="50">
        <f>VLOOKUP($A928,'[1]ma sp 02'!$A$5:$BD$1101,U$1,0)</f>
        <v>0</v>
      </c>
      <c r="V928" s="50">
        <f>VLOOKUP($A928,'[1]ma sp 02'!$A$5:$BD$1101,V$1,0)</f>
        <v>0</v>
      </c>
      <c r="W928" s="50">
        <f>VLOOKUP($A928,'[1]ma sp 02'!$A$5:$BD$1101,W$1,0)</f>
        <v>0.01</v>
      </c>
      <c r="X928" s="50"/>
      <c r="Y928" s="62"/>
      <c r="Z928" s="62"/>
      <c r="AA928" s="62"/>
      <c r="AB928" s="62"/>
      <c r="AC928" s="62"/>
      <c r="AD928" s="62"/>
      <c r="AE928" s="62" t="s">
        <v>2653</v>
      </c>
      <c r="AF928" s="62" t="s">
        <v>1355</v>
      </c>
      <c r="AG928" s="53">
        <f>(0.02*0.91+0.012*1.4+0.075*0.925)*0.72</f>
        <v>7.5150000000000008E-2</v>
      </c>
      <c r="AH928" s="54">
        <f>(3/0.75/2)*0.71</f>
        <v>1.42</v>
      </c>
      <c r="AI928" s="54">
        <f>(3/0.75/2)*0.71</f>
        <v>1.42</v>
      </c>
      <c r="AJ928" s="192">
        <v>9530</v>
      </c>
      <c r="AK928" s="62">
        <v>9530</v>
      </c>
      <c r="AL928" s="62" t="s">
        <v>2268</v>
      </c>
      <c r="AM928" s="61" t="s">
        <v>2758</v>
      </c>
      <c r="AN928" s="62">
        <v>105</v>
      </c>
      <c r="AO928" s="61" t="s">
        <v>2956</v>
      </c>
      <c r="AP928" s="59" t="str">
        <f>IFERROR(VLOOKUP($A928,[2]Mssp!$A$5:$BE$1463,AP$4+1,0),0)</f>
        <v>21070624-1</v>
      </c>
      <c r="AQ928" s="59" t="str">
        <f>IFERROR(VLOOKUP($A928,[2]Mssp!$A$5:$BE$1463,AQ$4+1,0),0)</f>
        <v>21090608-2</v>
      </c>
      <c r="AR928" s="59" t="str">
        <f>IFERROR(VLOOKUP($A928,[2]Mssp!$A$5:$BE$1463,AR$4+1,0),0)</f>
        <v>21070624-3</v>
      </c>
      <c r="AS928" s="59" t="str">
        <f>IFERROR(VLOOKUP($A928,[2]Mssp!$A$5:$BE$1463,AS$4+1,0),0)</f>
        <v>21070624-4</v>
      </c>
      <c r="AT928" s="59" t="str">
        <f>IFERROR(VLOOKUP($A928,[2]Mssp!$A$5:$BE$1463,AT$4+1,0),0)</f>
        <v>21070623-5</v>
      </c>
      <c r="AU928" s="59">
        <f>IFERROR(VLOOKUP($A928,[2]Mssp!$A$5:$BE$1463,AU$4+1,0),0)</f>
        <v>0</v>
      </c>
      <c r="AV928" s="59">
        <f>IFERROR(VLOOKUP($A928,[2]Mssp!$A$5:$BE$1463,AV$4+1,0),0)</f>
        <v>0</v>
      </c>
      <c r="AW928" s="59">
        <f>IFERROR(VLOOKUP($A928,[2]Mssp!$A$5:$BE$1463,AW$4+1,0),0)</f>
        <v>0</v>
      </c>
      <c r="AX928" s="59">
        <f>IFERROR(VLOOKUP($A928,[2]Mssp!$A$5:$BE$1463,AX$4+1,0),0)</f>
        <v>0</v>
      </c>
      <c r="AY928" s="59" t="str">
        <f>IFERROR(VLOOKUP($A928,[2]Mssp!$A$5:$BE$1463,AY$4+2,0),0)</f>
        <v>420x870</v>
      </c>
      <c r="AZ928" s="59">
        <f>IFERROR(VLOOKUP($A928,[2]Mssp!$A$5:$BE$1463,AZ$4+2,0),0)</f>
        <v>0</v>
      </c>
      <c r="BA928" s="141"/>
      <c r="BB928" s="61" t="s">
        <v>1894</v>
      </c>
      <c r="BC928" s="165"/>
      <c r="BD928" s="166"/>
      <c r="BE928" s="167"/>
      <c r="BF928" s="168"/>
      <c r="BG928" s="167"/>
      <c r="BH928" s="168"/>
      <c r="BI928" s="169"/>
      <c r="BJ928" s="168"/>
      <c r="BK928" s="134"/>
      <c r="BL928" s="168"/>
      <c r="BM928" s="167"/>
      <c r="BN928" s="168"/>
      <c r="BO928" s="62"/>
      <c r="BP928" s="168"/>
      <c r="BQ928" s="168"/>
      <c r="BR928" s="168"/>
      <c r="BS928" s="135"/>
      <c r="BT928" s="176"/>
      <c r="BU928" s="167"/>
      <c r="BV928" s="168"/>
      <c r="BW928" s="167"/>
      <c r="BX928" s="168"/>
      <c r="BY928" s="167"/>
      <c r="BZ928" s="176"/>
      <c r="CA928" s="167"/>
      <c r="CB928" s="168"/>
      <c r="CC928" s="167"/>
      <c r="CD928" s="168"/>
      <c r="CE928" s="62"/>
      <c r="CF928" s="62"/>
      <c r="CG928" s="9"/>
      <c r="CH928" s="9"/>
      <c r="CI928" s="9"/>
      <c r="CJ928" s="9"/>
      <c r="CK928" s="9"/>
      <c r="CL928" s="9"/>
      <c r="CM928" s="9"/>
      <c r="CN928" s="9"/>
      <c r="CO928" s="9"/>
      <c r="CP928" s="9"/>
    </row>
    <row r="929" spans="1:94" ht="30" x14ac:dyDescent="0.25">
      <c r="A929" s="127" t="s">
        <v>2959</v>
      </c>
      <c r="B929" s="51" t="s">
        <v>2960</v>
      </c>
      <c r="C929" s="62"/>
      <c r="D929" s="84">
        <v>2</v>
      </c>
      <c r="E929" s="62" t="s">
        <v>712</v>
      </c>
      <c r="F929" s="62">
        <v>2</v>
      </c>
      <c r="G929" s="62"/>
      <c r="H929" s="50">
        <f>VLOOKUP($A929,'[1]ma sp 02'!$A$5:$BD$1101,H$1,0)</f>
        <v>0</v>
      </c>
      <c r="I929" s="50">
        <f>VLOOKUP($A929,'[1]ma sp 02'!$A$5:$BD$1101,I$1,0)</f>
        <v>7.0579999999999998</v>
      </c>
      <c r="J929" s="50">
        <f>VLOOKUP($A929,'[1]ma sp 02'!$A$5:$BD$1101,J$1,0)</f>
        <v>0</v>
      </c>
      <c r="K929" s="50">
        <f>VLOOKUP($A929,'[1]ma sp 02'!$A$5:$BD$1101,K$1,0)</f>
        <v>0</v>
      </c>
      <c r="L929" s="50">
        <f>VLOOKUP($A929,'[1]ma sp 02'!$A$5:$BD$1101,L$1,0)</f>
        <v>0</v>
      </c>
      <c r="M929" s="50">
        <f>VLOOKUP($A929,'[1]ma sp 02'!$A$5:$BD$1101,M$1,0)</f>
        <v>2.3530000000000002</v>
      </c>
      <c r="N929" s="50">
        <f>VLOOKUP($A929,'[1]ma sp 02'!$A$5:$BD$1101,N$1,0)</f>
        <v>2.5</v>
      </c>
      <c r="O929" s="50">
        <f>VLOOKUP($A929,'[1]ma sp 02'!$A$5:$BD$1101,O$1,0)</f>
        <v>0</v>
      </c>
      <c r="P929" s="50">
        <f>VLOOKUP($A929,'[1]ma sp 02'!$A$5:$BD$1101,P$1,0)</f>
        <v>0</v>
      </c>
      <c r="Q929" s="50">
        <f>VLOOKUP($A929,'[1]ma sp 02'!$A$5:$BD$1101,Q$1,0)</f>
        <v>0</v>
      </c>
      <c r="R929" s="50">
        <f>VLOOKUP($A929,'[1]ma sp 02'!$A$5:$BD$1101,R$1,0)</f>
        <v>0</v>
      </c>
      <c r="S929" s="50">
        <f>VLOOKUP($A929,'[1]ma sp 02'!$A$5:$BD$1101,S$1,0)</f>
        <v>0.01</v>
      </c>
      <c r="T929" s="50">
        <f>VLOOKUP($A929,'[1]ma sp 02'!$A$5:$BD$1101,T$1,0)</f>
        <v>0</v>
      </c>
      <c r="U929" s="50">
        <f>VLOOKUP($A929,'[1]ma sp 02'!$A$5:$BD$1101,U$1,0)</f>
        <v>0</v>
      </c>
      <c r="V929" s="50">
        <f>VLOOKUP($A929,'[1]ma sp 02'!$A$5:$BD$1101,V$1,0)</f>
        <v>0</v>
      </c>
      <c r="W929" s="50">
        <f>VLOOKUP($A929,'[1]ma sp 02'!$A$5:$BD$1101,W$1,0)</f>
        <v>0</v>
      </c>
      <c r="X929" s="50"/>
      <c r="Y929" s="62"/>
      <c r="Z929" s="62"/>
      <c r="AA929" s="62"/>
      <c r="AB929" s="62"/>
      <c r="AC929" s="62"/>
      <c r="AD929" s="62"/>
      <c r="AE929" s="62" t="s">
        <v>2961</v>
      </c>
      <c r="AF929" s="62"/>
      <c r="AG929" s="53">
        <f>(0.02*0.91+0.045*0.925)*0.58</f>
        <v>3.46985E-2</v>
      </c>
      <c r="AH929" s="54">
        <f>(2.3/0.75/2)*0.57</f>
        <v>0.87399999999999989</v>
      </c>
      <c r="AI929" s="54"/>
      <c r="AJ929" s="192">
        <v>9530</v>
      </c>
      <c r="AK929" s="62"/>
      <c r="AL929" s="62">
        <v>2.3E-3</v>
      </c>
      <c r="AM929" s="61" t="s">
        <v>1489</v>
      </c>
      <c r="AN929" s="62">
        <v>152</v>
      </c>
      <c r="AO929" s="61" t="s">
        <v>1129</v>
      </c>
      <c r="AP929" s="59" t="str">
        <f>IFERROR(VLOOKUP($A929,[2]Mssp!$A$5:$BE$1463,AP$4+1,0),0)</f>
        <v>21070622-1</v>
      </c>
      <c r="AQ929" s="59" t="str">
        <f>IFERROR(VLOOKUP($A929,[2]Mssp!$A$5:$BE$1463,AQ$4+1,0),0)</f>
        <v>21070622-2</v>
      </c>
      <c r="AR929" s="59">
        <f>IFERROR(VLOOKUP($A929,[2]Mssp!$A$5:$BE$1463,AR$4+1,0),0)</f>
        <v>0</v>
      </c>
      <c r="AS929" s="59">
        <f>IFERROR(VLOOKUP($A929,[2]Mssp!$A$5:$BE$1463,AS$4+1,0),0)</f>
        <v>0</v>
      </c>
      <c r="AT929" s="59">
        <f>IFERROR(VLOOKUP($A929,[2]Mssp!$A$5:$BE$1463,AT$4+1,0),0)</f>
        <v>0</v>
      </c>
      <c r="AU929" s="59">
        <f>IFERROR(VLOOKUP($A929,[2]Mssp!$A$5:$BE$1463,AU$4+1,0),0)</f>
        <v>0</v>
      </c>
      <c r="AV929" s="59">
        <f>IFERROR(VLOOKUP($A929,[2]Mssp!$A$5:$BE$1463,AV$4+1,0),0)</f>
        <v>0</v>
      </c>
      <c r="AW929" s="59">
        <f>IFERROR(VLOOKUP($A929,[2]Mssp!$A$5:$BE$1463,AW$4+1,0),0)</f>
        <v>0</v>
      </c>
      <c r="AX929" s="59">
        <f>IFERROR(VLOOKUP($A929,[2]Mssp!$A$5:$BE$1463,AX$4+1,0),0)</f>
        <v>0</v>
      </c>
      <c r="AY929" s="59" t="str">
        <f>IFERROR(VLOOKUP($A929,[2]Mssp!$A$5:$BE$1463,AY$4+2,0),0)</f>
        <v>456x870</v>
      </c>
      <c r="AZ929" s="59">
        <f>IFERROR(VLOOKUP($A929,[2]Mssp!$A$5:$BE$1463,AZ$4+2,0),0)</f>
        <v>0</v>
      </c>
      <c r="BA929" s="141"/>
      <c r="BB929" s="61" t="s">
        <v>952</v>
      </c>
      <c r="BC929" s="165"/>
      <c r="BD929" s="166"/>
      <c r="BE929" s="167"/>
      <c r="BF929" s="168"/>
      <c r="BG929" s="167"/>
      <c r="BH929" s="168"/>
      <c r="BI929" s="169"/>
      <c r="BJ929" s="168"/>
      <c r="BK929" s="134"/>
      <c r="BL929" s="168"/>
      <c r="BM929" s="167"/>
      <c r="BN929" s="168"/>
      <c r="BO929" s="62"/>
      <c r="BP929" s="168"/>
      <c r="BQ929" s="168"/>
      <c r="BR929" s="168"/>
      <c r="BS929" s="135"/>
      <c r="BT929" s="176"/>
      <c r="BU929" s="167"/>
      <c r="BV929" s="168"/>
      <c r="BW929" s="167"/>
      <c r="BX929" s="168"/>
      <c r="BY929" s="167"/>
      <c r="BZ929" s="176"/>
      <c r="CA929" s="167"/>
      <c r="CB929" s="168"/>
      <c r="CC929" s="167"/>
      <c r="CD929" s="168"/>
      <c r="CE929" s="62"/>
      <c r="CF929" s="62"/>
      <c r="CG929" s="9"/>
      <c r="CH929" s="9"/>
      <c r="CI929" s="9"/>
      <c r="CJ929" s="9"/>
      <c r="CK929" s="9"/>
      <c r="CL929" s="9"/>
      <c r="CM929" s="9"/>
      <c r="CN929" s="9"/>
      <c r="CO929" s="9"/>
      <c r="CP929" s="9"/>
    </row>
    <row r="930" spans="1:94" ht="45" x14ac:dyDescent="0.25">
      <c r="A930" s="127" t="s">
        <v>2962</v>
      </c>
      <c r="B930" s="51" t="s">
        <v>2963</v>
      </c>
      <c r="C930" s="62"/>
      <c r="D930" s="84">
        <v>2</v>
      </c>
      <c r="E930" s="62" t="s">
        <v>2964</v>
      </c>
      <c r="F930" s="62">
        <v>8</v>
      </c>
      <c r="G930" s="62"/>
      <c r="H930" s="50">
        <f>VLOOKUP($A930,'[1]ma sp 02'!$A$5:$BD$1101,H$1,0)</f>
        <v>0.01</v>
      </c>
      <c r="I930" s="50">
        <f>VLOOKUP($A930,'[1]ma sp 02'!$A$5:$BD$1101,I$1,0)</f>
        <v>6.16</v>
      </c>
      <c r="J930" s="50">
        <f>VLOOKUP($A930,'[1]ma sp 02'!$A$5:$BD$1101,J$1,0)</f>
        <v>7.1999999999999995E-2</v>
      </c>
      <c r="K930" s="50">
        <f>VLOOKUP($A930,'[1]ma sp 02'!$A$5:$BD$1101,K$1,0)</f>
        <v>0.14299999999999999</v>
      </c>
      <c r="L930" s="50">
        <f>VLOOKUP($A930,'[1]ma sp 02'!$A$5:$BD$1101,L$1,0)</f>
        <v>0.501</v>
      </c>
      <c r="M930" s="50">
        <f>VLOOKUP($A930,'[1]ma sp 02'!$A$5:$BD$1101,M$1,0)</f>
        <v>0</v>
      </c>
      <c r="N930" s="50">
        <f>VLOOKUP($A930,'[1]ma sp 02'!$A$5:$BD$1101,N$1,0)</f>
        <v>0</v>
      </c>
      <c r="O930" s="50">
        <f>VLOOKUP($A930,'[1]ma sp 02'!$A$5:$BD$1101,O$1,0)</f>
        <v>0</v>
      </c>
      <c r="P930" s="50">
        <f>VLOOKUP($A930,'[1]ma sp 02'!$A$5:$BD$1101,P$1,0)</f>
        <v>0.01</v>
      </c>
      <c r="Q930" s="50">
        <f>VLOOKUP($A930,'[1]ma sp 02'!$A$5:$BD$1101,Q$1,0)</f>
        <v>0</v>
      </c>
      <c r="R930" s="50">
        <f>VLOOKUP($A930,'[1]ma sp 02'!$A$5:$BD$1101,R$1,0)</f>
        <v>0.28699999999999998</v>
      </c>
      <c r="S930" s="50">
        <f>VLOOKUP($A930,'[1]ma sp 02'!$A$5:$BD$1101,S$1,0)</f>
        <v>0</v>
      </c>
      <c r="T930" s="50">
        <f>VLOOKUP($A930,'[1]ma sp 02'!$A$5:$BD$1101,T$1,0)</f>
        <v>0</v>
      </c>
      <c r="U930" s="50">
        <f>VLOOKUP($A930,'[1]ma sp 02'!$A$5:$BD$1101,U$1,0)</f>
        <v>0</v>
      </c>
      <c r="V930" s="50">
        <f>VLOOKUP($A930,'[1]ma sp 02'!$A$5:$BD$1101,V$1,0)</f>
        <v>0</v>
      </c>
      <c r="W930" s="50">
        <f>VLOOKUP($A930,'[1]ma sp 02'!$A$5:$BD$1101,W$1,0)</f>
        <v>0.01</v>
      </c>
      <c r="X930" s="50"/>
      <c r="Y930" s="62"/>
      <c r="Z930" s="62"/>
      <c r="AA930" s="62"/>
      <c r="AB930" s="62"/>
      <c r="AC930" s="62"/>
      <c r="AD930" s="62"/>
      <c r="AE930" s="62" t="s">
        <v>1432</v>
      </c>
      <c r="AF930" s="62" t="s">
        <v>2965</v>
      </c>
      <c r="AG930" s="53">
        <f>(0.012*1.4+0.012*1.4+0.05*0.925)*0.91</f>
        <v>7.2663500000000006E-2</v>
      </c>
      <c r="AH930" s="54">
        <f>(3/0.75/2)*0.9</f>
        <v>1.8</v>
      </c>
      <c r="AI930" s="54">
        <f>(3/0.75/2)*0.9</f>
        <v>1.8</v>
      </c>
      <c r="AJ930" s="192">
        <v>9530</v>
      </c>
      <c r="AK930" s="62">
        <v>9530</v>
      </c>
      <c r="AL930" s="62" t="s">
        <v>2268</v>
      </c>
      <c r="AM930" s="61" t="s">
        <v>2758</v>
      </c>
      <c r="AN930" s="62">
        <v>140</v>
      </c>
      <c r="AO930" s="61" t="s">
        <v>2704</v>
      </c>
      <c r="AP930" s="59" t="str">
        <f>IFERROR(VLOOKUP($A930,[2]Mssp!$A$5:$BE$1463,AP$4+1,0),0)</f>
        <v>21070819-1</v>
      </c>
      <c r="AQ930" s="59" t="str">
        <f>IFERROR(VLOOKUP($A930,[2]Mssp!$A$5:$BE$1463,AQ$4+1,0),0)</f>
        <v>21070819-2</v>
      </c>
      <c r="AR930" s="59" t="str">
        <f>IFERROR(VLOOKUP($A930,[2]Mssp!$A$5:$BE$1463,AR$4+1,0),0)</f>
        <v>21070819-3</v>
      </c>
      <c r="AS930" s="59" t="str">
        <f>IFERROR(VLOOKUP($A930,[2]Mssp!$A$5:$BE$1463,AS$4+1,0),0)</f>
        <v>21070819-4</v>
      </c>
      <c r="AT930" s="59" t="str">
        <f>IFERROR(VLOOKUP($A930,[2]Mssp!$A$5:$BE$1463,AT$4+1,0),0)</f>
        <v>21070819-5</v>
      </c>
      <c r="AU930" s="59" t="str">
        <f>IFERROR(VLOOKUP($A930,[2]Mssp!$A$5:$BE$1463,AU$4+1,0),0)</f>
        <v>21070819-6</v>
      </c>
      <c r="AV930" s="59" t="str">
        <f>IFERROR(VLOOKUP($A930,[2]Mssp!$A$5:$BE$1463,AV$4+1,0),0)</f>
        <v>21070819-7</v>
      </c>
      <c r="AW930" s="59" t="str">
        <f>IFERROR(VLOOKUP($A930,[2]Mssp!$A$5:$BE$1463,AW$4+1,0),0)</f>
        <v>21070819-8</v>
      </c>
      <c r="AX930" s="59">
        <f>IFERROR(VLOOKUP($A930,[2]Mssp!$A$5:$BE$1463,AX$4+1,0),0)</f>
        <v>0</v>
      </c>
      <c r="AY930" s="59" t="str">
        <f>IFERROR(VLOOKUP($A930,[2]Mssp!$A$5:$BE$1463,AY$4+2,0),0)</f>
        <v>420x1100</v>
      </c>
      <c r="AZ930" s="59">
        <f>IFERROR(VLOOKUP($A930,[2]Mssp!$A$5:$BE$1463,AZ$4+2,0),0)</f>
        <v>0</v>
      </c>
      <c r="BA930" s="141"/>
      <c r="BB930" s="61" t="s">
        <v>1894</v>
      </c>
      <c r="BC930" s="165"/>
      <c r="BD930" s="166"/>
      <c r="BE930" s="167"/>
      <c r="BF930" s="168"/>
      <c r="BG930" s="167"/>
      <c r="BH930" s="168"/>
      <c r="BI930" s="169"/>
      <c r="BJ930" s="168"/>
      <c r="BK930" s="134"/>
      <c r="BL930" s="168"/>
      <c r="BM930" s="167"/>
      <c r="BN930" s="168"/>
      <c r="BO930" s="62"/>
      <c r="BP930" s="168"/>
      <c r="BQ930" s="168"/>
      <c r="BR930" s="168"/>
      <c r="BS930" s="135"/>
      <c r="BT930" s="176"/>
      <c r="BU930" s="167"/>
      <c r="BV930" s="168"/>
      <c r="BW930" s="167"/>
      <c r="BX930" s="168"/>
      <c r="BY930" s="167"/>
      <c r="BZ930" s="176"/>
      <c r="CA930" s="167"/>
      <c r="CB930" s="168"/>
      <c r="CC930" s="167"/>
      <c r="CD930" s="168"/>
      <c r="CE930" s="62"/>
      <c r="CF930" s="62"/>
      <c r="CG930" s="9"/>
      <c r="CH930" s="9"/>
      <c r="CI930" s="9"/>
      <c r="CJ930" s="9"/>
      <c r="CK930" s="9"/>
      <c r="CL930" s="9"/>
      <c r="CM930" s="9"/>
      <c r="CN930" s="9"/>
      <c r="CO930" s="9"/>
      <c r="CP930" s="9"/>
    </row>
    <row r="931" spans="1:94" ht="45" x14ac:dyDescent="0.25">
      <c r="A931" s="127" t="s">
        <v>2966</v>
      </c>
      <c r="B931" s="51" t="s">
        <v>2967</v>
      </c>
      <c r="C931" s="62"/>
      <c r="D931" s="84">
        <v>1</v>
      </c>
      <c r="E931" s="62" t="s">
        <v>712</v>
      </c>
      <c r="F931" s="62">
        <v>4</v>
      </c>
      <c r="G931" s="62"/>
      <c r="H931" s="50">
        <f>VLOOKUP($A931,'[1]ma sp 02'!$A$5:$BD$1101,H$1,0)</f>
        <v>0.01</v>
      </c>
      <c r="I931" s="50">
        <f>VLOOKUP($A931,'[1]ma sp 02'!$A$5:$BD$1101,I$1,0)</f>
        <v>4.4889999999999999</v>
      </c>
      <c r="J931" s="50">
        <f>VLOOKUP($A931,'[1]ma sp 02'!$A$5:$BD$1101,J$1,0)</f>
        <v>0</v>
      </c>
      <c r="K931" s="50">
        <f>VLOOKUP($A931,'[1]ma sp 02'!$A$5:$BD$1101,K$1,0)</f>
        <v>0</v>
      </c>
      <c r="L931" s="50">
        <f>VLOOKUP($A931,'[1]ma sp 02'!$A$5:$BD$1101,L$1,0)</f>
        <v>0</v>
      </c>
      <c r="M931" s="50">
        <f>VLOOKUP($A931,'[1]ma sp 02'!$A$5:$BD$1101,M$1,0)</f>
        <v>0</v>
      </c>
      <c r="N931" s="50">
        <f>VLOOKUP($A931,'[1]ma sp 02'!$A$5:$BD$1101,N$1,0)</f>
        <v>0</v>
      </c>
      <c r="O931" s="50">
        <f>VLOOKUP($A931,'[1]ma sp 02'!$A$5:$BD$1101,O$1,0)</f>
        <v>0</v>
      </c>
      <c r="P931" s="50">
        <f>VLOOKUP($A931,'[1]ma sp 02'!$A$5:$BD$1101,P$1,0)</f>
        <v>0</v>
      </c>
      <c r="Q931" s="50">
        <f>VLOOKUP($A931,'[1]ma sp 02'!$A$5:$BD$1101,Q$1,0)</f>
        <v>0</v>
      </c>
      <c r="R931" s="50">
        <f>VLOOKUP($A931,'[1]ma sp 02'!$A$5:$BD$1101,R$1,0)</f>
        <v>0</v>
      </c>
      <c r="S931" s="50">
        <f>VLOOKUP($A931,'[1]ma sp 02'!$A$5:$BD$1101,S$1,0)</f>
        <v>5.5E-2</v>
      </c>
      <c r="T931" s="50">
        <f>VLOOKUP($A931,'[1]ma sp 02'!$A$5:$BD$1101,T$1,0)</f>
        <v>0</v>
      </c>
      <c r="U931" s="50">
        <f>VLOOKUP($A931,'[1]ma sp 02'!$A$5:$BD$1101,U$1,0)</f>
        <v>0</v>
      </c>
      <c r="V931" s="50">
        <f>VLOOKUP($A931,'[1]ma sp 02'!$A$5:$BD$1101,V$1,0)</f>
        <v>0</v>
      </c>
      <c r="W931" s="50">
        <f>VLOOKUP($A931,'[1]ma sp 02'!$A$5:$BD$1101,W$1,0)</f>
        <v>0.01</v>
      </c>
      <c r="X931" s="50"/>
      <c r="Y931" s="62"/>
      <c r="Z931" s="62"/>
      <c r="AA931" s="62"/>
      <c r="AB931" s="62"/>
      <c r="AC931" s="62"/>
      <c r="AD931" s="62"/>
      <c r="AE931" s="62" t="s">
        <v>2968</v>
      </c>
      <c r="AF931" s="62"/>
      <c r="AG931" s="53">
        <f>(0.02*0.91+0.035*0.91)*0.58</f>
        <v>2.9028999999999999E-2</v>
      </c>
      <c r="AH931" s="54">
        <f>(3/0.75/2)*0.57</f>
        <v>1.1399999999999999</v>
      </c>
      <c r="AI931" s="54"/>
      <c r="AJ931" s="192">
        <v>9530</v>
      </c>
      <c r="AK931" s="62"/>
      <c r="AL931" s="62">
        <v>3.0000000000000001E-3</v>
      </c>
      <c r="AM931" s="61" t="s">
        <v>2758</v>
      </c>
      <c r="AN931" s="62">
        <v>110</v>
      </c>
      <c r="AO931" s="61" t="s">
        <v>2969</v>
      </c>
      <c r="AP931" s="59" t="str">
        <f>IFERROR(VLOOKUP($A931,[2]Mssp!$A$5:$BE$1463,AP$4+1,0),0)</f>
        <v>21070988-1</v>
      </c>
      <c r="AQ931" s="59" t="str">
        <f>IFERROR(VLOOKUP($A931,[2]Mssp!$A$5:$BE$1463,AQ$4+1,0),0)</f>
        <v>21070988-2</v>
      </c>
      <c r="AR931" s="59" t="str">
        <f>IFERROR(VLOOKUP($A931,[2]Mssp!$A$5:$BE$1463,AR$4+1,0),0)</f>
        <v>21070988-3</v>
      </c>
      <c r="AS931" s="59">
        <f>IFERROR(VLOOKUP($A931,[2]Mssp!$A$5:$BE$1463,AS$4+1,0),0)</f>
        <v>0</v>
      </c>
      <c r="AT931" s="59">
        <f>IFERROR(VLOOKUP($A931,[2]Mssp!$A$5:$BE$1463,AT$4+1,0),0)</f>
        <v>0</v>
      </c>
      <c r="AU931" s="59">
        <f>IFERROR(VLOOKUP($A931,[2]Mssp!$A$5:$BE$1463,AU$4+1,0),0)</f>
        <v>0</v>
      </c>
      <c r="AV931" s="59">
        <f>IFERROR(VLOOKUP($A931,[2]Mssp!$A$5:$BE$1463,AV$4+1,0),0)</f>
        <v>0</v>
      </c>
      <c r="AW931" s="59">
        <f>IFERROR(VLOOKUP($A931,[2]Mssp!$A$5:$BE$1463,AW$4+1,0),0)</f>
        <v>0</v>
      </c>
      <c r="AX931" s="59">
        <f>IFERROR(VLOOKUP($A931,[2]Mssp!$A$5:$BE$1463,AX$4+1,0),0)</f>
        <v>0</v>
      </c>
      <c r="AY931" s="59" t="str">
        <f>IFERROR(VLOOKUP($A931,[2]Mssp!$A$5:$BE$1463,AY$4+2,0),0)</f>
        <v>440x870</v>
      </c>
      <c r="AZ931" s="59">
        <f>IFERROR(VLOOKUP($A931,[2]Mssp!$A$5:$BE$1463,AZ$4+2,0),0)</f>
        <v>0</v>
      </c>
      <c r="BA931" s="141"/>
      <c r="BB931" s="61"/>
      <c r="BC931" s="165"/>
      <c r="BD931" s="166"/>
      <c r="BE931" s="167"/>
      <c r="BF931" s="168"/>
      <c r="BG931" s="167"/>
      <c r="BH931" s="168"/>
      <c r="BI931" s="169"/>
      <c r="BJ931" s="168"/>
      <c r="BK931" s="134"/>
      <c r="BL931" s="168"/>
      <c r="BM931" s="167"/>
      <c r="BN931" s="168"/>
      <c r="BO931" s="62"/>
      <c r="BP931" s="168"/>
      <c r="BQ931" s="168"/>
      <c r="BR931" s="168"/>
      <c r="BS931" s="135"/>
      <c r="BT931" s="176"/>
      <c r="BU931" s="167"/>
      <c r="BV931" s="168"/>
      <c r="BW931" s="167"/>
      <c r="BX931" s="168"/>
      <c r="BY931" s="167"/>
      <c r="BZ931" s="176"/>
      <c r="CA931" s="167"/>
      <c r="CB931" s="168"/>
      <c r="CC931" s="167"/>
      <c r="CD931" s="168"/>
      <c r="CE931" s="62"/>
      <c r="CF931" s="62"/>
      <c r="CG931" s="9"/>
      <c r="CH931" s="9"/>
      <c r="CI931" s="9"/>
      <c r="CJ931" s="9"/>
      <c r="CK931" s="9"/>
      <c r="CL931" s="9"/>
      <c r="CM931" s="9"/>
      <c r="CN931" s="9"/>
      <c r="CO931" s="9"/>
      <c r="CP931" s="9"/>
    </row>
    <row r="932" spans="1:94" ht="45" x14ac:dyDescent="0.25">
      <c r="A932" s="127" t="s">
        <v>2970</v>
      </c>
      <c r="B932" s="51" t="s">
        <v>2971</v>
      </c>
      <c r="C932" s="62"/>
      <c r="D932" s="84">
        <v>1</v>
      </c>
      <c r="E932" s="62" t="s">
        <v>712</v>
      </c>
      <c r="F932" s="62">
        <v>4</v>
      </c>
      <c r="G932" s="62"/>
      <c r="H932" s="50">
        <f>VLOOKUP($A932,'[1]ma sp 02'!$A$5:$BD$1101,H$1,0)</f>
        <v>0.27900000000000003</v>
      </c>
      <c r="I932" s="50">
        <f>VLOOKUP($A932,'[1]ma sp 02'!$A$5:$BD$1101,I$1,0)</f>
        <v>5.5259999999999998</v>
      </c>
      <c r="J932" s="50">
        <f>VLOOKUP($A932,'[1]ma sp 02'!$A$5:$BD$1101,J$1,0)</f>
        <v>0.78100000000000003</v>
      </c>
      <c r="K932" s="50">
        <f>VLOOKUP($A932,'[1]ma sp 02'!$A$5:$BD$1101,K$1,0)</f>
        <v>0.44700000000000001</v>
      </c>
      <c r="L932" s="50">
        <f>VLOOKUP($A932,'[1]ma sp 02'!$A$5:$BD$1101,L$1,0)</f>
        <v>0</v>
      </c>
      <c r="M932" s="50">
        <f>VLOOKUP($A932,'[1]ma sp 02'!$A$5:$BD$1101,M$1,0)</f>
        <v>2.121</v>
      </c>
      <c r="N932" s="50">
        <f>VLOOKUP($A932,'[1]ma sp 02'!$A$5:$BD$1101,N$1,0)</f>
        <v>1.8979999999999999</v>
      </c>
      <c r="O932" s="50">
        <f>VLOOKUP($A932,'[1]ma sp 02'!$A$5:$BD$1101,O$1,0)</f>
        <v>0</v>
      </c>
      <c r="P932" s="50">
        <f>VLOOKUP($A932,'[1]ma sp 02'!$A$5:$BD$1101,P$1,0)</f>
        <v>0</v>
      </c>
      <c r="Q932" s="50">
        <f>VLOOKUP($A932,'[1]ma sp 02'!$A$5:$BD$1101,Q$1,0)</f>
        <v>0</v>
      </c>
      <c r="R932" s="50">
        <f>VLOOKUP($A932,'[1]ma sp 02'!$A$5:$BD$1101,R$1,0)</f>
        <v>0.83699999999999997</v>
      </c>
      <c r="S932" s="50">
        <f>VLOOKUP($A932,'[1]ma sp 02'!$A$5:$BD$1101,S$1,0)</f>
        <v>0.01</v>
      </c>
      <c r="T932" s="50">
        <f>VLOOKUP($A932,'[1]ma sp 02'!$A$5:$BD$1101,T$1,0)</f>
        <v>0</v>
      </c>
      <c r="U932" s="50">
        <f>VLOOKUP($A932,'[1]ma sp 02'!$A$5:$BD$1101,U$1,0)</f>
        <v>0</v>
      </c>
      <c r="V932" s="50">
        <f>VLOOKUP($A932,'[1]ma sp 02'!$A$5:$BD$1101,V$1,0)</f>
        <v>0</v>
      </c>
      <c r="W932" s="50">
        <f>VLOOKUP($A932,'[1]ma sp 02'!$A$5:$BD$1101,W$1,0)</f>
        <v>0.01</v>
      </c>
      <c r="X932" s="50"/>
      <c r="Y932" s="62"/>
      <c r="Z932" s="62"/>
      <c r="AA932" s="62"/>
      <c r="AB932" s="62"/>
      <c r="AC932" s="62"/>
      <c r="AD932" s="62"/>
      <c r="AE932" s="62" t="s">
        <v>2968</v>
      </c>
      <c r="AF932" s="62"/>
      <c r="AG932" s="53">
        <f>(0.02*0.91+0.035*0.91)*0.58</f>
        <v>2.9028999999999999E-2</v>
      </c>
      <c r="AH932" s="54">
        <f>(3/0.75/2)*0.57</f>
        <v>1.1399999999999999</v>
      </c>
      <c r="AI932" s="54"/>
      <c r="AJ932" s="192">
        <v>9530</v>
      </c>
      <c r="AK932" s="62"/>
      <c r="AL932" s="62">
        <v>3.0000000000000001E-3</v>
      </c>
      <c r="AM932" s="61" t="s">
        <v>2758</v>
      </c>
      <c r="AN932" s="62">
        <v>110</v>
      </c>
      <c r="AO932" s="61" t="s">
        <v>2972</v>
      </c>
      <c r="AP932" s="59" t="str">
        <f>IFERROR(VLOOKUP($A932,[2]Mssp!$A$5:$BE$1463,AP$4+1,0),0)</f>
        <v>21070989-1</v>
      </c>
      <c r="AQ932" s="59" t="str">
        <f>IFERROR(VLOOKUP($A932,[2]Mssp!$A$5:$BE$1463,AQ$4+1,0),0)</f>
        <v>21090502-2</v>
      </c>
      <c r="AR932" s="59" t="str">
        <f>IFERROR(VLOOKUP($A932,[2]Mssp!$A$5:$BE$1463,AR$4+1,0),0)</f>
        <v>21090502-3</v>
      </c>
      <c r="AS932" s="59" t="str">
        <f>IFERROR(VLOOKUP($A932,[2]Mssp!$A$5:$BE$1463,AS$4+1,0),0)</f>
        <v>21090502-4</v>
      </c>
      <c r="AT932" s="59">
        <f>IFERROR(VLOOKUP($A932,[2]Mssp!$A$5:$BE$1463,AT$4+1,0),0)</f>
        <v>0</v>
      </c>
      <c r="AU932" s="59">
        <f>IFERROR(VLOOKUP($A932,[2]Mssp!$A$5:$BE$1463,AU$4+1,0),0)</f>
        <v>0</v>
      </c>
      <c r="AV932" s="59">
        <f>IFERROR(VLOOKUP($A932,[2]Mssp!$A$5:$BE$1463,AV$4+1,0),0)</f>
        <v>0</v>
      </c>
      <c r="AW932" s="59">
        <f>IFERROR(VLOOKUP($A932,[2]Mssp!$A$5:$BE$1463,AW$4+1,0),0)</f>
        <v>0</v>
      </c>
      <c r="AX932" s="59">
        <f>IFERROR(VLOOKUP($A932,[2]Mssp!$A$5:$BE$1463,AX$4+1,0),0)</f>
        <v>0</v>
      </c>
      <c r="AY932" s="59" t="str">
        <f>IFERROR(VLOOKUP($A932,[2]Mssp!$A$5:$BE$1463,AY$4+2,0),0)</f>
        <v>440x870</v>
      </c>
      <c r="AZ932" s="59">
        <f>IFERROR(VLOOKUP($A932,[2]Mssp!$A$5:$BE$1463,AZ$4+2,0),0)</f>
        <v>0</v>
      </c>
      <c r="BA932" s="141"/>
      <c r="BB932" s="61"/>
      <c r="BC932" s="165"/>
      <c r="BD932" s="166"/>
      <c r="BE932" s="167"/>
      <c r="BF932" s="168"/>
      <c r="BG932" s="167"/>
      <c r="BH932" s="168"/>
      <c r="BI932" s="169"/>
      <c r="BJ932" s="168"/>
      <c r="BK932" s="134"/>
      <c r="BL932" s="168"/>
      <c r="BM932" s="167"/>
      <c r="BN932" s="168"/>
      <c r="BO932" s="62"/>
      <c r="BP932" s="168"/>
      <c r="BQ932" s="168"/>
      <c r="BR932" s="168"/>
      <c r="BS932" s="135"/>
      <c r="BT932" s="176"/>
      <c r="BU932" s="167"/>
      <c r="BV932" s="168"/>
      <c r="BW932" s="167"/>
      <c r="BX932" s="168"/>
      <c r="BY932" s="167"/>
      <c r="BZ932" s="176"/>
      <c r="CA932" s="167"/>
      <c r="CB932" s="168"/>
      <c r="CC932" s="167"/>
      <c r="CD932" s="168"/>
      <c r="CE932" s="62"/>
      <c r="CF932" s="62"/>
      <c r="CG932" s="9"/>
      <c r="CH932" s="9"/>
      <c r="CI932" s="9"/>
      <c r="CJ932" s="9"/>
      <c r="CK932" s="9"/>
      <c r="CL932" s="9"/>
      <c r="CM932" s="9"/>
      <c r="CN932" s="9"/>
      <c r="CO932" s="9"/>
      <c r="CP932" s="9"/>
    </row>
    <row r="933" spans="1:94" ht="30" x14ac:dyDescent="0.25">
      <c r="A933" s="127" t="s">
        <v>2973</v>
      </c>
      <c r="B933" s="51" t="s">
        <v>2974</v>
      </c>
      <c r="C933" s="62"/>
      <c r="D933" s="84">
        <v>3</v>
      </c>
      <c r="E933" s="62" t="s">
        <v>351</v>
      </c>
      <c r="F933" s="62">
        <v>5</v>
      </c>
      <c r="G933" s="62"/>
      <c r="H933" s="50">
        <f>VLOOKUP($A933,'[1]ma sp 02'!$A$5:$BD$1101,H$1,0)</f>
        <v>0.53400000000000003</v>
      </c>
      <c r="I933" s="50">
        <f>VLOOKUP($A933,'[1]ma sp 02'!$A$5:$BD$1101,I$1,0)</f>
        <v>1.4950000000000001</v>
      </c>
      <c r="J933" s="50">
        <f>VLOOKUP($A933,'[1]ma sp 02'!$A$5:$BD$1101,J$1,0)</f>
        <v>0.01</v>
      </c>
      <c r="K933" s="50">
        <f>VLOOKUP($A933,'[1]ma sp 02'!$A$5:$BD$1101,K$1,0)</f>
        <v>0.01</v>
      </c>
      <c r="L933" s="50">
        <f>VLOOKUP($A933,'[1]ma sp 02'!$A$5:$BD$1101,L$1,0)</f>
        <v>0.107</v>
      </c>
      <c r="M933" s="50">
        <f>VLOOKUP($A933,'[1]ma sp 02'!$A$5:$BD$1101,M$1,0)</f>
        <v>3.4180000000000001</v>
      </c>
      <c r="N933" s="50">
        <f>VLOOKUP($A933,'[1]ma sp 02'!$A$5:$BD$1101,N$1,0)</f>
        <v>0</v>
      </c>
      <c r="O933" s="50">
        <f>VLOOKUP($A933,'[1]ma sp 02'!$A$5:$BD$1101,O$1,0)</f>
        <v>0</v>
      </c>
      <c r="P933" s="50">
        <f>VLOOKUP($A933,'[1]ma sp 02'!$A$5:$BD$1101,P$1,0)</f>
        <v>0</v>
      </c>
      <c r="Q933" s="50">
        <f>VLOOKUP($A933,'[1]ma sp 02'!$A$5:$BD$1101,Q$1,0)</f>
        <v>0</v>
      </c>
      <c r="R933" s="50">
        <f>VLOOKUP($A933,'[1]ma sp 02'!$A$5:$BD$1101,R$1,0)</f>
        <v>0</v>
      </c>
      <c r="S933" s="50">
        <f>VLOOKUP($A933,'[1]ma sp 02'!$A$5:$BD$1101,S$1,0)</f>
        <v>0</v>
      </c>
      <c r="T933" s="50">
        <f>VLOOKUP($A933,'[1]ma sp 02'!$A$5:$BD$1101,T$1,0)</f>
        <v>0</v>
      </c>
      <c r="U933" s="50">
        <f>VLOOKUP($A933,'[1]ma sp 02'!$A$5:$BD$1101,U$1,0)</f>
        <v>0</v>
      </c>
      <c r="V933" s="50">
        <f>VLOOKUP($A933,'[1]ma sp 02'!$A$5:$BD$1101,V$1,0)</f>
        <v>0</v>
      </c>
      <c r="W933" s="50">
        <f>VLOOKUP($A933,'[1]ma sp 02'!$A$5:$BD$1101,W$1,0)</f>
        <v>0</v>
      </c>
      <c r="X933" s="50"/>
      <c r="Y933" s="62"/>
      <c r="Z933" s="62"/>
      <c r="AA933" s="62"/>
      <c r="AB933" s="62"/>
      <c r="AC933" s="62"/>
      <c r="AD933" s="62"/>
      <c r="AE933" s="62" t="s">
        <v>352</v>
      </c>
      <c r="AF933" s="62" t="s">
        <v>2425</v>
      </c>
      <c r="AG933" s="53">
        <f>(0.012*1.4+0.012*1.4+0.1*0.925)*0.8</f>
        <v>0.10088000000000003</v>
      </c>
      <c r="AH933" s="54">
        <f>(2.5/0.75/2)*0.79</f>
        <v>1.3166666666666669</v>
      </c>
      <c r="AI933" s="54">
        <f>(2.5/0.75/2)*0.79</f>
        <v>1.3166666666666669</v>
      </c>
      <c r="AJ933" s="192">
        <v>9530</v>
      </c>
      <c r="AK933" s="62">
        <v>9530</v>
      </c>
      <c r="AL933" s="62" t="s">
        <v>1901</v>
      </c>
      <c r="AM933" s="61" t="s">
        <v>1489</v>
      </c>
      <c r="AN933" s="62">
        <v>190</v>
      </c>
      <c r="AO933" s="61" t="s">
        <v>2427</v>
      </c>
      <c r="AP933" s="59" t="str">
        <f>IFERROR(VLOOKUP($A933,[2]Mssp!$A$5:$BE$1463,AP$4+1,0),0)</f>
        <v>21070998-1</v>
      </c>
      <c r="AQ933" s="59" t="str">
        <f>IFERROR(VLOOKUP($A933,[2]Mssp!$A$5:$BE$1463,AQ$4+1,0),0)</f>
        <v>21070998-2</v>
      </c>
      <c r="AR933" s="59" t="str">
        <f>IFERROR(VLOOKUP($A933,[2]Mssp!$A$5:$BE$1463,AR$4+1,0),0)</f>
        <v>21070998-3</v>
      </c>
      <c r="AS933" s="59" t="str">
        <f>IFERROR(VLOOKUP($A933,[2]Mssp!$A$5:$BE$1463,AS$4+1,0),0)</f>
        <v>21070998-4</v>
      </c>
      <c r="AT933" s="59" t="str">
        <f>IFERROR(VLOOKUP($A933,[2]Mssp!$A$5:$BE$1463,AT$4+1,0),0)</f>
        <v>20120064-5</v>
      </c>
      <c r="AU933" s="59">
        <f>IFERROR(VLOOKUP($A933,[2]Mssp!$A$5:$BE$1463,AU$4+1,0),0)</f>
        <v>0</v>
      </c>
      <c r="AV933" s="59">
        <f>IFERROR(VLOOKUP($A933,[2]Mssp!$A$5:$BE$1463,AV$4+1,0),0)</f>
        <v>0</v>
      </c>
      <c r="AW933" s="59">
        <f>IFERROR(VLOOKUP($A933,[2]Mssp!$A$5:$BE$1463,AW$4+1,0),0)</f>
        <v>0</v>
      </c>
      <c r="AX933" s="59">
        <f>IFERROR(VLOOKUP($A933,[2]Mssp!$A$5:$BE$1463,AX$4+1,0),0)</f>
        <v>0</v>
      </c>
      <c r="AY933" s="59" t="str">
        <f>IFERROR(VLOOKUP($A933,[2]Mssp!$A$5:$BE$1463,AY$4+2,0),0)</f>
        <v>570x870</v>
      </c>
      <c r="AZ933" s="59">
        <f>IFERROR(VLOOKUP($A933,[2]Mssp!$A$5:$BE$1463,AZ$4+2,0),0)</f>
        <v>0</v>
      </c>
      <c r="BA933" s="141"/>
      <c r="BB933" s="61" t="s">
        <v>952</v>
      </c>
      <c r="BC933" s="165"/>
      <c r="BD933" s="166"/>
      <c r="BE933" s="167"/>
      <c r="BF933" s="168"/>
      <c r="BG933" s="167"/>
      <c r="BH933" s="168"/>
      <c r="BI933" s="169"/>
      <c r="BJ933" s="168"/>
      <c r="BK933" s="134"/>
      <c r="BL933" s="168"/>
      <c r="BM933" s="167"/>
      <c r="BN933" s="168"/>
      <c r="BO933" s="62"/>
      <c r="BP933" s="168"/>
      <c r="BQ933" s="168"/>
      <c r="BR933" s="168"/>
      <c r="BS933" s="135"/>
      <c r="BT933" s="176"/>
      <c r="BU933" s="167"/>
      <c r="BV933" s="168"/>
      <c r="BW933" s="167"/>
      <c r="BX933" s="168"/>
      <c r="BY933" s="167"/>
      <c r="BZ933" s="176"/>
      <c r="CA933" s="167"/>
      <c r="CB933" s="168"/>
      <c r="CC933" s="167"/>
      <c r="CD933" s="168"/>
      <c r="CE933" s="62"/>
      <c r="CF933" s="62"/>
      <c r="CG933" s="9"/>
      <c r="CH933" s="9"/>
      <c r="CI933" s="9"/>
      <c r="CJ933" s="9"/>
      <c r="CK933" s="9"/>
      <c r="CL933" s="9"/>
      <c r="CM933" s="9"/>
      <c r="CN933" s="9"/>
      <c r="CO933" s="9"/>
      <c r="CP933" s="9"/>
    </row>
    <row r="934" spans="1:94" ht="30" x14ac:dyDescent="0.25">
      <c r="A934" s="127" t="s">
        <v>2975</v>
      </c>
      <c r="B934" s="51" t="s">
        <v>2976</v>
      </c>
      <c r="C934" s="62"/>
      <c r="D934" s="84">
        <v>3</v>
      </c>
      <c r="E934" s="62" t="s">
        <v>351</v>
      </c>
      <c r="F934" s="62">
        <v>5</v>
      </c>
      <c r="G934" s="62"/>
      <c r="H934" s="50">
        <f>VLOOKUP($A934,'[1]ma sp 02'!$A$5:$BD$1101,H$1,0)</f>
        <v>0.01</v>
      </c>
      <c r="I934" s="50">
        <f>VLOOKUP($A934,'[1]ma sp 02'!$A$5:$BD$1101,I$1,0)</f>
        <v>0.01</v>
      </c>
      <c r="J934" s="50">
        <f>VLOOKUP($A934,'[1]ma sp 02'!$A$5:$BD$1101,J$1,0)</f>
        <v>0</v>
      </c>
      <c r="K934" s="50">
        <f>VLOOKUP($A934,'[1]ma sp 02'!$A$5:$BD$1101,K$1,0)</f>
        <v>0.95299999999999996</v>
      </c>
      <c r="L934" s="50">
        <f>VLOOKUP($A934,'[1]ma sp 02'!$A$5:$BD$1101,L$1,0)</f>
        <v>0.106</v>
      </c>
      <c r="M934" s="50">
        <f>VLOOKUP($A934,'[1]ma sp 02'!$A$5:$BD$1101,M$1,0)</f>
        <v>0</v>
      </c>
      <c r="N934" s="50">
        <f>VLOOKUP($A934,'[1]ma sp 02'!$A$5:$BD$1101,N$1,0)</f>
        <v>0</v>
      </c>
      <c r="O934" s="50">
        <f>VLOOKUP($A934,'[1]ma sp 02'!$A$5:$BD$1101,O$1,0)</f>
        <v>0</v>
      </c>
      <c r="P934" s="50">
        <f>VLOOKUP($A934,'[1]ma sp 02'!$A$5:$BD$1101,P$1,0)</f>
        <v>0</v>
      </c>
      <c r="Q934" s="50">
        <f>VLOOKUP($A934,'[1]ma sp 02'!$A$5:$BD$1101,Q$1,0)</f>
        <v>0</v>
      </c>
      <c r="R934" s="50">
        <f>VLOOKUP($A934,'[1]ma sp 02'!$A$5:$BD$1101,R$1,0)</f>
        <v>0</v>
      </c>
      <c r="S934" s="50">
        <f>VLOOKUP($A934,'[1]ma sp 02'!$A$5:$BD$1101,S$1,0)</f>
        <v>0</v>
      </c>
      <c r="T934" s="50">
        <f>VLOOKUP($A934,'[1]ma sp 02'!$A$5:$BD$1101,T$1,0)</f>
        <v>0</v>
      </c>
      <c r="U934" s="50">
        <f>VLOOKUP($A934,'[1]ma sp 02'!$A$5:$BD$1101,U$1,0)</f>
        <v>0</v>
      </c>
      <c r="V934" s="50">
        <f>VLOOKUP($A934,'[1]ma sp 02'!$A$5:$BD$1101,V$1,0)</f>
        <v>0</v>
      </c>
      <c r="W934" s="50">
        <f>VLOOKUP($A934,'[1]ma sp 02'!$A$5:$BD$1101,W$1,0)</f>
        <v>0</v>
      </c>
      <c r="X934" s="50"/>
      <c r="Y934" s="62"/>
      <c r="Z934" s="62"/>
      <c r="AA934" s="62"/>
      <c r="AB934" s="62"/>
      <c r="AC934" s="62"/>
      <c r="AD934" s="62"/>
      <c r="AE934" s="62" t="s">
        <v>352</v>
      </c>
      <c r="AF934" s="62" t="s">
        <v>2425</v>
      </c>
      <c r="AG934" s="53">
        <f>(0.012*1.4+0.012*1.4+0.1*0.925)*0.8</f>
        <v>0.10088000000000003</v>
      </c>
      <c r="AH934" s="54">
        <f>(2.5/0.75/2)*0.79</f>
        <v>1.3166666666666669</v>
      </c>
      <c r="AI934" s="54">
        <f>(2.5/0.75/2)*0.79</f>
        <v>1.3166666666666669</v>
      </c>
      <c r="AJ934" s="192">
        <v>9530</v>
      </c>
      <c r="AK934" s="62">
        <v>9530</v>
      </c>
      <c r="AL934" s="62" t="s">
        <v>1901</v>
      </c>
      <c r="AM934" s="61" t="s">
        <v>1489</v>
      </c>
      <c r="AN934" s="62">
        <v>190</v>
      </c>
      <c r="AO934" s="61" t="s">
        <v>2427</v>
      </c>
      <c r="AP934" s="59" t="str">
        <f>IFERROR(VLOOKUP($A934,[2]Mssp!$A$5:$BE$1463,AP$4+1,0),0)</f>
        <v>21070999-1</v>
      </c>
      <c r="AQ934" s="59" t="str">
        <f>IFERROR(VLOOKUP($A934,[2]Mssp!$A$5:$BE$1463,AQ$4+1,0),0)</f>
        <v>21070999-2</v>
      </c>
      <c r="AR934" s="59" t="str">
        <f>IFERROR(VLOOKUP($A934,[2]Mssp!$A$5:$BE$1463,AR$4+1,0),0)</f>
        <v>21070999-3</v>
      </c>
      <c r="AS934" s="59" t="str">
        <f>IFERROR(VLOOKUP($A934,[2]Mssp!$A$5:$BE$1463,AS$4+1,0),0)</f>
        <v>21070999-4</v>
      </c>
      <c r="AT934" s="59" t="str">
        <f>IFERROR(VLOOKUP($A934,[2]Mssp!$A$5:$BE$1463,AT$4+1,0),0)</f>
        <v>20120064-5</v>
      </c>
      <c r="AU934" s="59">
        <f>IFERROR(VLOOKUP($A934,[2]Mssp!$A$5:$BE$1463,AU$4+1,0),0)</f>
        <v>0</v>
      </c>
      <c r="AV934" s="59">
        <f>IFERROR(VLOOKUP($A934,[2]Mssp!$A$5:$BE$1463,AV$4+1,0),0)</f>
        <v>0</v>
      </c>
      <c r="AW934" s="59">
        <f>IFERROR(VLOOKUP($A934,[2]Mssp!$A$5:$BE$1463,AW$4+1,0),0)</f>
        <v>0</v>
      </c>
      <c r="AX934" s="59">
        <f>IFERROR(VLOOKUP($A934,[2]Mssp!$A$5:$BE$1463,AX$4+1,0),0)</f>
        <v>0</v>
      </c>
      <c r="AY934" s="59" t="str">
        <f>IFERROR(VLOOKUP($A934,[2]Mssp!$A$5:$BE$1463,AY$4+2,0),0)</f>
        <v>570x870</v>
      </c>
      <c r="AZ934" s="59">
        <f>IFERROR(VLOOKUP($A934,[2]Mssp!$A$5:$BE$1463,AZ$4+2,0),0)</f>
        <v>0</v>
      </c>
      <c r="BA934" s="141"/>
      <c r="BB934" s="61" t="s">
        <v>952</v>
      </c>
      <c r="BC934" s="165"/>
      <c r="BD934" s="166"/>
      <c r="BE934" s="167"/>
      <c r="BF934" s="168"/>
      <c r="BG934" s="167"/>
      <c r="BH934" s="168"/>
      <c r="BI934" s="169"/>
      <c r="BJ934" s="168"/>
      <c r="BK934" s="134"/>
      <c r="BL934" s="168"/>
      <c r="BM934" s="167"/>
      <c r="BN934" s="168"/>
      <c r="BO934" s="62"/>
      <c r="BP934" s="168"/>
      <c r="BQ934" s="168"/>
      <c r="BR934" s="168"/>
      <c r="BS934" s="135"/>
      <c r="BT934" s="176"/>
      <c r="BU934" s="167"/>
      <c r="BV934" s="168"/>
      <c r="BW934" s="167"/>
      <c r="BX934" s="168"/>
      <c r="BY934" s="167"/>
      <c r="BZ934" s="176"/>
      <c r="CA934" s="167"/>
      <c r="CB934" s="168"/>
      <c r="CC934" s="167"/>
      <c r="CD934" s="168"/>
      <c r="CE934" s="62"/>
      <c r="CF934" s="62"/>
      <c r="CG934" s="9"/>
      <c r="CH934" s="9"/>
      <c r="CI934" s="9"/>
      <c r="CJ934" s="9"/>
      <c r="CK934" s="9"/>
      <c r="CL934" s="9"/>
      <c r="CM934" s="9"/>
      <c r="CN934" s="9"/>
      <c r="CO934" s="9"/>
      <c r="CP934" s="9"/>
    </row>
    <row r="935" spans="1:94" ht="45" x14ac:dyDescent="0.25">
      <c r="A935" s="127" t="s">
        <v>2977</v>
      </c>
      <c r="B935" s="51" t="s">
        <v>2978</v>
      </c>
      <c r="C935" s="62"/>
      <c r="D935" s="84">
        <v>1</v>
      </c>
      <c r="E935" s="62" t="s">
        <v>712</v>
      </c>
      <c r="F935" s="62">
        <v>4</v>
      </c>
      <c r="G935" s="62"/>
      <c r="H935" s="50">
        <f>VLOOKUP($A935,'[1]ma sp 02'!$A$5:$BD$1101,H$1,0)</f>
        <v>0.27800000000000002</v>
      </c>
      <c r="I935" s="50">
        <f>VLOOKUP($A935,'[1]ma sp 02'!$A$5:$BD$1101,I$1,0)</f>
        <v>4.5049999999999999</v>
      </c>
      <c r="J935" s="50">
        <f>VLOOKUP($A935,'[1]ma sp 02'!$A$5:$BD$1101,J$1,0)</f>
        <v>0.66700000000000004</v>
      </c>
      <c r="K935" s="50">
        <f>VLOOKUP($A935,'[1]ma sp 02'!$A$5:$BD$1101,K$1,0)</f>
        <v>0</v>
      </c>
      <c r="L935" s="50">
        <f>VLOOKUP($A935,'[1]ma sp 02'!$A$5:$BD$1101,L$1,0)</f>
        <v>0</v>
      </c>
      <c r="M935" s="50">
        <f>VLOOKUP($A935,'[1]ma sp 02'!$A$5:$BD$1101,M$1,0)</f>
        <v>0</v>
      </c>
      <c r="N935" s="50">
        <f>VLOOKUP($A935,'[1]ma sp 02'!$A$5:$BD$1101,N$1,0)</f>
        <v>0</v>
      </c>
      <c r="O935" s="50">
        <f>VLOOKUP($A935,'[1]ma sp 02'!$A$5:$BD$1101,O$1,0)</f>
        <v>0.33400000000000002</v>
      </c>
      <c r="P935" s="50">
        <f>VLOOKUP($A935,'[1]ma sp 02'!$A$5:$BD$1101,P$1,0)</f>
        <v>0</v>
      </c>
      <c r="Q935" s="50">
        <f>VLOOKUP($A935,'[1]ma sp 02'!$A$5:$BD$1101,Q$1,0)</f>
        <v>0</v>
      </c>
      <c r="R935" s="50">
        <f>VLOOKUP($A935,'[1]ma sp 02'!$A$5:$BD$1101,R$1,0)</f>
        <v>0</v>
      </c>
      <c r="S935" s="50">
        <f>VLOOKUP($A935,'[1]ma sp 02'!$A$5:$BD$1101,S$1,0)</f>
        <v>0.01</v>
      </c>
      <c r="T935" s="50">
        <f>VLOOKUP($A935,'[1]ma sp 02'!$A$5:$BD$1101,T$1,0)</f>
        <v>0</v>
      </c>
      <c r="U935" s="50">
        <f>VLOOKUP($A935,'[1]ma sp 02'!$A$5:$BD$1101,U$1,0)</f>
        <v>0</v>
      </c>
      <c r="V935" s="50">
        <f>VLOOKUP($A935,'[1]ma sp 02'!$A$5:$BD$1101,V$1,0)</f>
        <v>0</v>
      </c>
      <c r="W935" s="50">
        <f>VLOOKUP($A935,'[1]ma sp 02'!$A$5:$BD$1101,W$1,0)</f>
        <v>0.01</v>
      </c>
      <c r="X935" s="50"/>
      <c r="Y935" s="62"/>
      <c r="Z935" s="62"/>
      <c r="AA935" s="62"/>
      <c r="AB935" s="62"/>
      <c r="AC935" s="62"/>
      <c r="AD935" s="62"/>
      <c r="AE935" s="62" t="s">
        <v>2968</v>
      </c>
      <c r="AF935" s="62"/>
      <c r="AG935" s="53">
        <f>(0.02*0.91+0.035*0.91)*0.58</f>
        <v>2.9028999999999999E-2</v>
      </c>
      <c r="AH935" s="54">
        <f>(3/0.75/2)*0.57</f>
        <v>1.1399999999999999</v>
      </c>
      <c r="AI935" s="54"/>
      <c r="AJ935" s="192">
        <v>9530</v>
      </c>
      <c r="AK935" s="62"/>
      <c r="AL935" s="62">
        <v>3.0000000000000001E-3</v>
      </c>
      <c r="AM935" s="61" t="s">
        <v>2758</v>
      </c>
      <c r="AN935" s="62">
        <v>110</v>
      </c>
      <c r="AO935" s="61" t="s">
        <v>2979</v>
      </c>
      <c r="AP935" s="59">
        <f>IFERROR(VLOOKUP($A935,[2]Mssp!$A$5:$BE$1463,AP$4+1,0),0)</f>
        <v>0</v>
      </c>
      <c r="AQ935" s="59">
        <f>IFERROR(VLOOKUP($A935,[2]Mssp!$A$5:$BE$1463,AQ$4+1,0),0)</f>
        <v>0</v>
      </c>
      <c r="AR935" s="59">
        <f>IFERROR(VLOOKUP($A935,[2]Mssp!$A$5:$BE$1463,AR$4+1,0),0)</f>
        <v>0</v>
      </c>
      <c r="AS935" s="59">
        <f>IFERROR(VLOOKUP($A935,[2]Mssp!$A$5:$BE$1463,AS$4+1,0),0)</f>
        <v>0</v>
      </c>
      <c r="AT935" s="59">
        <f>IFERROR(VLOOKUP($A935,[2]Mssp!$A$5:$BE$1463,AT$4+1,0),0)</f>
        <v>0</v>
      </c>
      <c r="AU935" s="59">
        <f>IFERROR(VLOOKUP($A935,[2]Mssp!$A$5:$BE$1463,AU$4+1,0),0)</f>
        <v>0</v>
      </c>
      <c r="AV935" s="59">
        <f>IFERROR(VLOOKUP($A935,[2]Mssp!$A$5:$BE$1463,AV$4+1,0),0)</f>
        <v>0</v>
      </c>
      <c r="AW935" s="59">
        <f>IFERROR(VLOOKUP($A935,[2]Mssp!$A$5:$BE$1463,AW$4+1,0),0)</f>
        <v>0</v>
      </c>
      <c r="AX935" s="59">
        <f>IFERROR(VLOOKUP($A935,[2]Mssp!$A$5:$BE$1463,AX$4+1,0),0)</f>
        <v>0</v>
      </c>
      <c r="AY935" s="59">
        <f>IFERROR(VLOOKUP($A935,[2]Mssp!$A$5:$BE$1463,AY$4+2,0),0)</f>
        <v>0</v>
      </c>
      <c r="AZ935" s="59">
        <f>IFERROR(VLOOKUP($A935,[2]Mssp!$A$5:$BE$1463,AZ$4+2,0),0)</f>
        <v>0</v>
      </c>
      <c r="BA935" s="141"/>
      <c r="BB935" s="61" t="s">
        <v>1894</v>
      </c>
      <c r="BC935" s="165"/>
      <c r="BD935" s="166"/>
      <c r="BE935" s="167"/>
      <c r="BF935" s="168"/>
      <c r="BG935" s="167"/>
      <c r="BH935" s="168"/>
      <c r="BI935" s="169"/>
      <c r="BJ935" s="168"/>
      <c r="BK935" s="134"/>
      <c r="BL935" s="168"/>
      <c r="BM935" s="167"/>
      <c r="BN935" s="168"/>
      <c r="BO935" s="62"/>
      <c r="BP935" s="168"/>
      <c r="BQ935" s="168"/>
      <c r="BR935" s="168"/>
      <c r="BS935" s="135"/>
      <c r="BT935" s="176"/>
      <c r="BU935" s="167"/>
      <c r="BV935" s="168"/>
      <c r="BW935" s="167"/>
      <c r="BX935" s="168"/>
      <c r="BY935" s="167"/>
      <c r="BZ935" s="176"/>
      <c r="CA935" s="167"/>
      <c r="CB935" s="168"/>
      <c r="CC935" s="167"/>
      <c r="CD935" s="168"/>
      <c r="CE935" s="62"/>
      <c r="CF935" s="62"/>
      <c r="CG935" s="9"/>
      <c r="CH935" s="9"/>
      <c r="CI935" s="9"/>
      <c r="CJ935" s="9"/>
      <c r="CK935" s="9"/>
      <c r="CL935" s="9"/>
      <c r="CM935" s="9"/>
      <c r="CN935" s="9"/>
      <c r="CO935" s="9"/>
      <c r="CP935" s="9"/>
    </row>
    <row r="936" spans="1:94" ht="45" x14ac:dyDescent="0.25">
      <c r="A936" s="127" t="s">
        <v>2980</v>
      </c>
      <c r="B936" s="51" t="s">
        <v>2981</v>
      </c>
      <c r="C936" s="62"/>
      <c r="D936" s="84">
        <v>2</v>
      </c>
      <c r="E936" s="62" t="s">
        <v>2111</v>
      </c>
      <c r="F936" s="62">
        <v>8</v>
      </c>
      <c r="G936" s="62"/>
      <c r="H936" s="50">
        <f>VLOOKUP($A936,'[1]ma sp 02'!$A$5:$BD$1101,H$1,0)</f>
        <v>0.13200000000000001</v>
      </c>
      <c r="I936" s="50">
        <f>VLOOKUP($A936,'[1]ma sp 02'!$A$5:$BD$1101,I$1,0)</f>
        <v>4.0609999999999999</v>
      </c>
      <c r="J936" s="50">
        <f>VLOOKUP($A936,'[1]ma sp 02'!$A$5:$BD$1101,J$1,0)</f>
        <v>0.752</v>
      </c>
      <c r="K936" s="50">
        <f>VLOOKUP($A936,'[1]ma sp 02'!$A$5:$BD$1101,K$1,0)</f>
        <v>3.7999999999999999E-2</v>
      </c>
      <c r="L936" s="50">
        <f>VLOOKUP($A936,'[1]ma sp 02'!$A$5:$BD$1101,L$1,0)</f>
        <v>1.6359999999999999</v>
      </c>
      <c r="M936" s="50">
        <f>VLOOKUP($A936,'[1]ma sp 02'!$A$5:$BD$1101,M$1,0)</f>
        <v>0.42499999999999999</v>
      </c>
      <c r="N936" s="50">
        <f>VLOOKUP($A936,'[1]ma sp 02'!$A$5:$BD$1101,N$1,0)</f>
        <v>0</v>
      </c>
      <c r="O936" s="50">
        <f>VLOOKUP($A936,'[1]ma sp 02'!$A$5:$BD$1101,O$1,0)</f>
        <v>0</v>
      </c>
      <c r="P936" s="50">
        <f>VLOOKUP($A936,'[1]ma sp 02'!$A$5:$BD$1101,P$1,0)</f>
        <v>7.4999999999999997E-2</v>
      </c>
      <c r="Q936" s="50">
        <f>VLOOKUP($A936,'[1]ma sp 02'!$A$5:$BD$1101,Q$1,0)</f>
        <v>0</v>
      </c>
      <c r="R936" s="50">
        <f>VLOOKUP($A936,'[1]ma sp 02'!$A$5:$BD$1101,R$1,0)</f>
        <v>0.22600000000000001</v>
      </c>
      <c r="S936" s="50">
        <f>VLOOKUP($A936,'[1]ma sp 02'!$A$5:$BD$1101,S$1,0)</f>
        <v>0</v>
      </c>
      <c r="T936" s="50">
        <f>VLOOKUP($A936,'[1]ma sp 02'!$A$5:$BD$1101,T$1,0)</f>
        <v>0</v>
      </c>
      <c r="U936" s="50">
        <f>VLOOKUP($A936,'[1]ma sp 02'!$A$5:$BD$1101,U$1,0)</f>
        <v>0</v>
      </c>
      <c r="V936" s="50">
        <f>VLOOKUP($A936,'[1]ma sp 02'!$A$5:$BD$1101,V$1,0)</f>
        <v>0</v>
      </c>
      <c r="W936" s="50">
        <f>VLOOKUP($A936,'[1]ma sp 02'!$A$5:$BD$1101,W$1,0)</f>
        <v>0</v>
      </c>
      <c r="X936" s="50"/>
      <c r="Y936" s="62"/>
      <c r="Z936" s="62"/>
      <c r="AA936" s="62"/>
      <c r="AB936" s="62"/>
      <c r="AC936" s="62"/>
      <c r="AD936" s="62"/>
      <c r="AE936" s="62" t="s">
        <v>2982</v>
      </c>
      <c r="AF936" s="62"/>
      <c r="AG936" s="53">
        <f>(0.02*0.91+0.025*0.91)*0.98</f>
        <v>4.0131E-2</v>
      </c>
      <c r="AH936" s="54">
        <f>(2.3/0.75/2)*0.97</f>
        <v>1.4873333333333332</v>
      </c>
      <c r="AI936" s="54"/>
      <c r="AJ936" s="192">
        <v>9530</v>
      </c>
      <c r="AK936" s="62"/>
      <c r="AL936" s="62">
        <v>2.3E-3</v>
      </c>
      <c r="AM936" s="61" t="s">
        <v>2983</v>
      </c>
      <c r="AN936" s="62">
        <v>380</v>
      </c>
      <c r="AO936" s="61" t="s">
        <v>2158</v>
      </c>
      <c r="AP936" s="59" t="str">
        <f>IFERROR(VLOOKUP($A936,[2]Mssp!$A$5:$BE$1463,AP$4+1,0),0)</f>
        <v>F129076-1</v>
      </c>
      <c r="AQ936" s="59" t="str">
        <f>IFERROR(VLOOKUP($A936,[2]Mssp!$A$5:$BE$1463,AQ$4+1,0),0)</f>
        <v>F129076G1-2</v>
      </c>
      <c r="AR936" s="59" t="str">
        <f>IFERROR(VLOOKUP($A936,[2]Mssp!$A$5:$BE$1463,AR$4+1,0),0)</f>
        <v>F129076-3</v>
      </c>
      <c r="AS936" s="59" t="str">
        <f>IFERROR(VLOOKUP($A936,[2]Mssp!$A$5:$BE$1463,AS$4+1,0),0)</f>
        <v>F129076-4</v>
      </c>
      <c r="AT936" s="59" t="str">
        <f>IFERROR(VLOOKUP($A936,[2]Mssp!$A$5:$BE$1463,AT$4+1,0),0)</f>
        <v>F129076-5</v>
      </c>
      <c r="AU936" s="59" t="str">
        <f>IFERROR(VLOOKUP($A936,[2]Mssp!$A$5:$BE$1463,AU$4+1,0),0)</f>
        <v>F129076-6</v>
      </c>
      <c r="AV936" s="59" t="str">
        <f>IFERROR(VLOOKUP($A936,[2]Mssp!$A$5:$BE$1463,AV$4+1,0),0)</f>
        <v>F129076-7</v>
      </c>
      <c r="AW936" s="59" t="str">
        <f>IFERROR(VLOOKUP($A936,[2]Mssp!$A$5:$BE$1463,AW$4+1,0),0)</f>
        <v>F129076-8</v>
      </c>
      <c r="AX936" s="59">
        <f>IFERROR(VLOOKUP($A936,[2]Mssp!$A$5:$BE$1463,AX$4+1,0),0)</f>
        <v>0</v>
      </c>
      <c r="AY936" s="59" t="str">
        <f>IFERROR(VLOOKUP($A936,[2]Mssp!$A$5:$BE$1463,AY$4+2,0),0)</f>
        <v>760x1100</v>
      </c>
      <c r="AZ936" s="59">
        <f>IFERROR(VLOOKUP($A936,[2]Mssp!$A$5:$BE$1463,AZ$4+2,0),0)</f>
        <v>0</v>
      </c>
      <c r="BA936" s="141"/>
      <c r="BB936" s="61" t="s">
        <v>1894</v>
      </c>
      <c r="BC936" s="165"/>
      <c r="BD936" s="166"/>
      <c r="BE936" s="167"/>
      <c r="BF936" s="168"/>
      <c r="BG936" s="167"/>
      <c r="BH936" s="168"/>
      <c r="BI936" s="169"/>
      <c r="BJ936" s="168"/>
      <c r="BK936" s="134"/>
      <c r="BL936" s="168"/>
      <c r="BM936" s="167"/>
      <c r="BN936" s="168"/>
      <c r="BO936" s="62"/>
      <c r="BP936" s="168"/>
      <c r="BQ936" s="168"/>
      <c r="BR936" s="168"/>
      <c r="BS936" s="135"/>
      <c r="BT936" s="176"/>
      <c r="BU936" s="167"/>
      <c r="BV936" s="168"/>
      <c r="BW936" s="167"/>
      <c r="BX936" s="168"/>
      <c r="BY936" s="167"/>
      <c r="BZ936" s="176"/>
      <c r="CA936" s="167"/>
      <c r="CB936" s="168"/>
      <c r="CC936" s="167"/>
      <c r="CD936" s="168"/>
      <c r="CE936" s="62"/>
      <c r="CF936" s="62"/>
      <c r="CG936" s="9"/>
      <c r="CH936" s="9"/>
      <c r="CI936" s="9"/>
      <c r="CJ936" s="9"/>
      <c r="CK936" s="9"/>
      <c r="CL936" s="9"/>
      <c r="CM936" s="9"/>
      <c r="CN936" s="9"/>
      <c r="CO936" s="9"/>
      <c r="CP936" s="9"/>
    </row>
    <row r="937" spans="1:94" ht="30" x14ac:dyDescent="0.25">
      <c r="A937" s="127" t="s">
        <v>2984</v>
      </c>
      <c r="B937" s="51" t="s">
        <v>2985</v>
      </c>
      <c r="C937" s="62"/>
      <c r="D937" s="84">
        <v>3</v>
      </c>
      <c r="E937" s="62" t="s">
        <v>351</v>
      </c>
      <c r="F937" s="62"/>
      <c r="G937" s="62"/>
      <c r="H937" s="50">
        <f>VLOOKUP($A937,'[1]ma sp 02'!$A$5:$BD$1101,H$1,0)</f>
        <v>0</v>
      </c>
      <c r="I937" s="50">
        <f>VLOOKUP($A937,'[1]ma sp 02'!$A$5:$BD$1101,I$1,0)</f>
        <v>0</v>
      </c>
      <c r="J937" s="50">
        <f>VLOOKUP($A937,'[1]ma sp 02'!$A$5:$BD$1101,J$1,0)</f>
        <v>0</v>
      </c>
      <c r="K937" s="50">
        <f>VLOOKUP($A937,'[1]ma sp 02'!$A$5:$BD$1101,K$1,0)</f>
        <v>0</v>
      </c>
      <c r="L937" s="50">
        <f>VLOOKUP($A937,'[1]ma sp 02'!$A$5:$BD$1101,L$1,0)</f>
        <v>0</v>
      </c>
      <c r="M937" s="50">
        <f>VLOOKUP($A937,'[1]ma sp 02'!$A$5:$BD$1101,M$1,0)</f>
        <v>0</v>
      </c>
      <c r="N937" s="50">
        <f>VLOOKUP($A937,'[1]ma sp 02'!$A$5:$BD$1101,N$1,0)</f>
        <v>0</v>
      </c>
      <c r="O937" s="50">
        <f>VLOOKUP($A937,'[1]ma sp 02'!$A$5:$BD$1101,O$1,0)</f>
        <v>0</v>
      </c>
      <c r="P937" s="50">
        <f>VLOOKUP($A937,'[1]ma sp 02'!$A$5:$BD$1101,P$1,0)</f>
        <v>0</v>
      </c>
      <c r="Q937" s="50">
        <f>VLOOKUP($A937,'[1]ma sp 02'!$A$5:$BD$1101,Q$1,0)</f>
        <v>0</v>
      </c>
      <c r="R937" s="50">
        <f>VLOOKUP($A937,'[1]ma sp 02'!$A$5:$BD$1101,R$1,0)</f>
        <v>0</v>
      </c>
      <c r="S937" s="50">
        <f>VLOOKUP($A937,'[1]ma sp 02'!$A$5:$BD$1101,S$1,0)</f>
        <v>0</v>
      </c>
      <c r="T937" s="50">
        <f>VLOOKUP($A937,'[1]ma sp 02'!$A$5:$BD$1101,T$1,0)</f>
        <v>0</v>
      </c>
      <c r="U937" s="50">
        <f>VLOOKUP($A937,'[1]ma sp 02'!$A$5:$BD$1101,U$1,0)</f>
        <v>0</v>
      </c>
      <c r="V937" s="50">
        <f>VLOOKUP($A937,'[1]ma sp 02'!$A$5:$BD$1101,V$1,0)</f>
        <v>0</v>
      </c>
      <c r="W937" s="50">
        <f>VLOOKUP($A937,'[1]ma sp 02'!$A$5:$BD$1101,W$1,0)</f>
        <v>0</v>
      </c>
      <c r="X937" s="50"/>
      <c r="Y937" s="62"/>
      <c r="Z937" s="62"/>
      <c r="AA937" s="62"/>
      <c r="AB937" s="62"/>
      <c r="AC937" s="62"/>
      <c r="AD937" s="62"/>
      <c r="AE937" s="62" t="s">
        <v>1797</v>
      </c>
      <c r="AF937" s="62" t="s">
        <v>2986</v>
      </c>
      <c r="AG937" s="53">
        <f>(0.012*1.4+0.006*2.71+0.1*0.925)*0.8</f>
        <v>0.10044800000000001</v>
      </c>
      <c r="AH937" s="54">
        <f>(3/0.75/2)*0.79</f>
        <v>1.58</v>
      </c>
      <c r="AI937" s="54">
        <f>(3/0.75/2)*0.79</f>
        <v>1.58</v>
      </c>
      <c r="AJ937" s="192">
        <v>9530</v>
      </c>
      <c r="AK937" s="62">
        <v>9530</v>
      </c>
      <c r="AL937" s="62" t="s">
        <v>2023</v>
      </c>
      <c r="AM937" s="61" t="s">
        <v>74</v>
      </c>
      <c r="AN937" s="62">
        <v>175</v>
      </c>
      <c r="AO937" s="61" t="s">
        <v>2872</v>
      </c>
      <c r="AP937" s="59">
        <f>IFERROR(VLOOKUP($A937,[2]Mssp!$A$5:$BE$1463,AP$4+1,0),0)</f>
        <v>0</v>
      </c>
      <c r="AQ937" s="59">
        <f>IFERROR(VLOOKUP($A937,[2]Mssp!$A$5:$BE$1463,AQ$4+1,0),0)</f>
        <v>0</v>
      </c>
      <c r="AR937" s="59">
        <f>IFERROR(VLOOKUP($A937,[2]Mssp!$A$5:$BE$1463,AR$4+1,0),0)</f>
        <v>0</v>
      </c>
      <c r="AS937" s="59">
        <f>IFERROR(VLOOKUP($A937,[2]Mssp!$A$5:$BE$1463,AS$4+1,0),0)</f>
        <v>0</v>
      </c>
      <c r="AT937" s="59">
        <f>IFERROR(VLOOKUP($A937,[2]Mssp!$A$5:$BE$1463,AT$4+1,0),0)</f>
        <v>0</v>
      </c>
      <c r="AU937" s="59">
        <f>IFERROR(VLOOKUP($A937,[2]Mssp!$A$5:$BE$1463,AU$4+1,0),0)</f>
        <v>0</v>
      </c>
      <c r="AV937" s="59">
        <f>IFERROR(VLOOKUP($A937,[2]Mssp!$A$5:$BE$1463,AV$4+1,0),0)</f>
        <v>0</v>
      </c>
      <c r="AW937" s="59">
        <f>IFERROR(VLOOKUP($A937,[2]Mssp!$A$5:$BE$1463,AW$4+1,0),0)</f>
        <v>0</v>
      </c>
      <c r="AX937" s="59">
        <f>IFERROR(VLOOKUP($A937,[2]Mssp!$A$5:$BE$1463,AX$4+1,0),0)</f>
        <v>0</v>
      </c>
      <c r="AY937" s="59">
        <f>IFERROR(VLOOKUP($A937,[2]Mssp!$A$5:$BE$1463,AY$4+2,0),0)</f>
        <v>0</v>
      </c>
      <c r="AZ937" s="59">
        <f>IFERROR(VLOOKUP($A937,[2]Mssp!$A$5:$BE$1463,AZ$4+2,0),0)</f>
        <v>0</v>
      </c>
      <c r="BA937" s="141"/>
      <c r="BB937" s="61" t="s">
        <v>1894</v>
      </c>
      <c r="BC937" s="165"/>
      <c r="BD937" s="166"/>
      <c r="BE937" s="167"/>
      <c r="BF937" s="168"/>
      <c r="BG937" s="167"/>
      <c r="BH937" s="168"/>
      <c r="BI937" s="169"/>
      <c r="BJ937" s="168"/>
      <c r="BK937" s="134"/>
      <c r="BL937" s="168"/>
      <c r="BM937" s="167"/>
      <c r="BN937" s="168"/>
      <c r="BO937" s="62"/>
      <c r="BP937" s="168"/>
      <c r="BQ937" s="168"/>
      <c r="BR937" s="168"/>
      <c r="BS937" s="135"/>
      <c r="BT937" s="176"/>
      <c r="BU937" s="167"/>
      <c r="BV937" s="168"/>
      <c r="BW937" s="167"/>
      <c r="BX937" s="168"/>
      <c r="BY937" s="167"/>
      <c r="BZ937" s="176"/>
      <c r="CA937" s="167"/>
      <c r="CB937" s="168"/>
      <c r="CC937" s="167"/>
      <c r="CD937" s="168"/>
      <c r="CE937" s="62"/>
      <c r="CF937" s="62"/>
      <c r="CG937" s="9"/>
      <c r="CH937" s="9"/>
      <c r="CI937" s="9"/>
      <c r="CJ937" s="9"/>
      <c r="CK937" s="9"/>
      <c r="CL937" s="9"/>
      <c r="CM937" s="9"/>
      <c r="CN937" s="9"/>
      <c r="CO937" s="9"/>
      <c r="CP937" s="9"/>
    </row>
    <row r="938" spans="1:94" ht="30" x14ac:dyDescent="0.25">
      <c r="A938" s="127" t="s">
        <v>2987</v>
      </c>
      <c r="B938" s="51" t="s">
        <v>2988</v>
      </c>
      <c r="C938" s="62"/>
      <c r="D938" s="84">
        <v>3</v>
      </c>
      <c r="E938" s="62" t="s">
        <v>973</v>
      </c>
      <c r="F938" s="62"/>
      <c r="G938" s="62"/>
      <c r="H938" s="50">
        <f>VLOOKUP($A938,'[1]ma sp 02'!$A$5:$BD$1101,H$1,0)</f>
        <v>0</v>
      </c>
      <c r="I938" s="50">
        <f>VLOOKUP($A938,'[1]ma sp 02'!$A$5:$BD$1101,I$1,0)</f>
        <v>0</v>
      </c>
      <c r="J938" s="50">
        <f>VLOOKUP($A938,'[1]ma sp 02'!$A$5:$BD$1101,J$1,0)</f>
        <v>0</v>
      </c>
      <c r="K938" s="50">
        <f>VLOOKUP($A938,'[1]ma sp 02'!$A$5:$BD$1101,K$1,0)</f>
        <v>0</v>
      </c>
      <c r="L938" s="50">
        <f>VLOOKUP($A938,'[1]ma sp 02'!$A$5:$BD$1101,L$1,0)</f>
        <v>0</v>
      </c>
      <c r="M938" s="50">
        <f>VLOOKUP($A938,'[1]ma sp 02'!$A$5:$BD$1101,M$1,0)</f>
        <v>0</v>
      </c>
      <c r="N938" s="50">
        <f>VLOOKUP($A938,'[1]ma sp 02'!$A$5:$BD$1101,N$1,0)</f>
        <v>0</v>
      </c>
      <c r="O938" s="50">
        <f>VLOOKUP($A938,'[1]ma sp 02'!$A$5:$BD$1101,O$1,0)</f>
        <v>0</v>
      </c>
      <c r="P938" s="50">
        <f>VLOOKUP($A938,'[1]ma sp 02'!$A$5:$BD$1101,P$1,0)</f>
        <v>0</v>
      </c>
      <c r="Q938" s="50">
        <f>VLOOKUP($A938,'[1]ma sp 02'!$A$5:$BD$1101,Q$1,0)</f>
        <v>0</v>
      </c>
      <c r="R938" s="50">
        <f>VLOOKUP($A938,'[1]ma sp 02'!$A$5:$BD$1101,R$1,0)</f>
        <v>0</v>
      </c>
      <c r="S938" s="50">
        <f>VLOOKUP($A938,'[1]ma sp 02'!$A$5:$BD$1101,S$1,0)</f>
        <v>0</v>
      </c>
      <c r="T938" s="50">
        <f>VLOOKUP($A938,'[1]ma sp 02'!$A$5:$BD$1101,T$1,0)</f>
        <v>0</v>
      </c>
      <c r="U938" s="50">
        <f>VLOOKUP($A938,'[1]ma sp 02'!$A$5:$BD$1101,U$1,0)</f>
        <v>0</v>
      </c>
      <c r="V938" s="50">
        <f>VLOOKUP($A938,'[1]ma sp 02'!$A$5:$BD$1101,V$1,0)</f>
        <v>0</v>
      </c>
      <c r="W938" s="50">
        <f>VLOOKUP($A938,'[1]ma sp 02'!$A$5:$BD$1101,W$1,0)</f>
        <v>0</v>
      </c>
      <c r="X938" s="50"/>
      <c r="Y938" s="62"/>
      <c r="Z938" s="62"/>
      <c r="AA938" s="62"/>
      <c r="AB938" s="62"/>
      <c r="AC938" s="62"/>
      <c r="AD938" s="62"/>
      <c r="AE938" s="62" t="s">
        <v>943</v>
      </c>
      <c r="AF938" s="62"/>
      <c r="AG938" s="53">
        <f>(0.015*1.15+0.075*0.94)*0.8</f>
        <v>7.0199999999999999E-2</v>
      </c>
      <c r="AH938" s="54">
        <f>(2.3/0.75/2)*0.78</f>
        <v>1.196</v>
      </c>
      <c r="AI938" s="54"/>
      <c r="AJ938" s="192">
        <v>9530</v>
      </c>
      <c r="AK938" s="62"/>
      <c r="AL938" s="62">
        <v>2.3E-3</v>
      </c>
      <c r="AM938" s="61" t="s">
        <v>1489</v>
      </c>
      <c r="AN938" s="62">
        <v>1000</v>
      </c>
      <c r="AO938" s="61" t="s">
        <v>2989</v>
      </c>
      <c r="AP938" s="59">
        <f>IFERROR(VLOOKUP($A938,[2]Mssp!$A$5:$BE$1463,AP$4+1,0),0)</f>
        <v>0</v>
      </c>
      <c r="AQ938" s="59">
        <f>IFERROR(VLOOKUP($A938,[2]Mssp!$A$5:$BE$1463,AQ$4+1,0),0)</f>
        <v>0</v>
      </c>
      <c r="AR938" s="59">
        <f>IFERROR(VLOOKUP($A938,[2]Mssp!$A$5:$BE$1463,AR$4+1,0),0)</f>
        <v>0</v>
      </c>
      <c r="AS938" s="59">
        <f>IFERROR(VLOOKUP($A938,[2]Mssp!$A$5:$BE$1463,AS$4+1,0),0)</f>
        <v>0</v>
      </c>
      <c r="AT938" s="59">
        <f>IFERROR(VLOOKUP($A938,[2]Mssp!$A$5:$BE$1463,AT$4+1,0),0)</f>
        <v>0</v>
      </c>
      <c r="AU938" s="59">
        <f>IFERROR(VLOOKUP($A938,[2]Mssp!$A$5:$BE$1463,AU$4+1,0),0)</f>
        <v>0</v>
      </c>
      <c r="AV938" s="59">
        <f>IFERROR(VLOOKUP($A938,[2]Mssp!$A$5:$BE$1463,AV$4+1,0),0)</f>
        <v>0</v>
      </c>
      <c r="AW938" s="59">
        <f>IFERROR(VLOOKUP($A938,[2]Mssp!$A$5:$BE$1463,AW$4+1,0),0)</f>
        <v>0</v>
      </c>
      <c r="AX938" s="59">
        <f>IFERROR(VLOOKUP($A938,[2]Mssp!$A$5:$BE$1463,AX$4+1,0),0)</f>
        <v>0</v>
      </c>
      <c r="AY938" s="59">
        <f>IFERROR(VLOOKUP($A938,[2]Mssp!$A$5:$BE$1463,AY$4+2,0),0)</f>
        <v>0</v>
      </c>
      <c r="AZ938" s="59">
        <f>IFERROR(VLOOKUP($A938,[2]Mssp!$A$5:$BE$1463,AZ$4+2,0),0)</f>
        <v>0</v>
      </c>
      <c r="BA938" s="141"/>
      <c r="BB938" s="61" t="s">
        <v>952</v>
      </c>
      <c r="BC938" s="165"/>
      <c r="BD938" s="166"/>
      <c r="BE938" s="167"/>
      <c r="BF938" s="168"/>
      <c r="BG938" s="167"/>
      <c r="BH938" s="168"/>
      <c r="BI938" s="169"/>
      <c r="BJ938" s="168"/>
      <c r="BK938" s="134"/>
      <c r="BL938" s="168"/>
      <c r="BM938" s="167"/>
      <c r="BN938" s="168"/>
      <c r="BO938" s="62"/>
      <c r="BP938" s="168"/>
      <c r="BQ938" s="168"/>
      <c r="BR938" s="168"/>
      <c r="BS938" s="135"/>
      <c r="BT938" s="176"/>
      <c r="BU938" s="167"/>
      <c r="BV938" s="168"/>
      <c r="BW938" s="167"/>
      <c r="BX938" s="168"/>
      <c r="BY938" s="167"/>
      <c r="BZ938" s="176"/>
      <c r="CA938" s="167"/>
      <c r="CB938" s="168"/>
      <c r="CC938" s="167"/>
      <c r="CD938" s="168"/>
      <c r="CE938" s="62"/>
      <c r="CF938" s="62"/>
      <c r="CG938" s="9"/>
      <c r="CH938" s="9"/>
      <c r="CI938" s="9"/>
      <c r="CJ938" s="9"/>
      <c r="CK938" s="9"/>
      <c r="CL938" s="9"/>
      <c r="CM938" s="9"/>
      <c r="CN938" s="9"/>
      <c r="CO938" s="9"/>
      <c r="CP938" s="9"/>
    </row>
    <row r="939" spans="1:94" x14ac:dyDescent="0.25">
      <c r="A939" s="127" t="s">
        <v>2990</v>
      </c>
      <c r="B939" s="51" t="s">
        <v>2991</v>
      </c>
      <c r="C939" s="62"/>
      <c r="D939" s="84">
        <v>2</v>
      </c>
      <c r="E939" s="62" t="s">
        <v>178</v>
      </c>
      <c r="F939" s="62">
        <v>7</v>
      </c>
      <c r="G939" s="62"/>
      <c r="H939" s="50">
        <f>VLOOKUP($A939,'[1]ma sp 02'!$A$5:$BD$1101,H$1,0)</f>
        <v>5.8000000000000003E-2</v>
      </c>
      <c r="I939" s="50">
        <f>VLOOKUP($A939,'[1]ma sp 02'!$A$5:$BD$1101,I$1,0)</f>
        <v>0</v>
      </c>
      <c r="J939" s="50">
        <f>VLOOKUP($A939,'[1]ma sp 02'!$A$5:$BD$1101,J$1,0)</f>
        <v>5.8000000000000003E-2</v>
      </c>
      <c r="K939" s="50">
        <f>VLOOKUP($A939,'[1]ma sp 02'!$A$5:$BD$1101,K$1,0)</f>
        <v>5.8000000000000003E-2</v>
      </c>
      <c r="L939" s="50">
        <f>VLOOKUP($A939,'[1]ma sp 02'!$A$5:$BD$1101,L$1,0)</f>
        <v>1.165</v>
      </c>
      <c r="M939" s="50">
        <f>VLOOKUP($A939,'[1]ma sp 02'!$A$5:$BD$1101,M$1,0)</f>
        <v>1.631</v>
      </c>
      <c r="N939" s="50">
        <f>VLOOKUP($A939,'[1]ma sp 02'!$A$5:$BD$1101,N$1,0)</f>
        <v>0</v>
      </c>
      <c r="O939" s="50">
        <f>VLOOKUP($A939,'[1]ma sp 02'!$A$5:$BD$1101,O$1,0)</f>
        <v>0.01</v>
      </c>
      <c r="P939" s="50">
        <f>VLOOKUP($A939,'[1]ma sp 02'!$A$5:$BD$1101,P$1,0)</f>
        <v>0</v>
      </c>
      <c r="Q939" s="50">
        <f>VLOOKUP($A939,'[1]ma sp 02'!$A$5:$BD$1101,Q$1,0)</f>
        <v>0.34899999999999998</v>
      </c>
      <c r="R939" s="50">
        <f>VLOOKUP($A939,'[1]ma sp 02'!$A$5:$BD$1101,R$1,0)</f>
        <v>0</v>
      </c>
      <c r="S939" s="50">
        <f>VLOOKUP($A939,'[1]ma sp 02'!$A$5:$BD$1101,S$1,0)</f>
        <v>0</v>
      </c>
      <c r="T939" s="50">
        <f>VLOOKUP($A939,'[1]ma sp 02'!$A$5:$BD$1101,T$1,0)</f>
        <v>0</v>
      </c>
      <c r="U939" s="50">
        <f>VLOOKUP($A939,'[1]ma sp 02'!$A$5:$BD$1101,U$1,0)</f>
        <v>0</v>
      </c>
      <c r="V939" s="50">
        <f>VLOOKUP($A939,'[1]ma sp 02'!$A$5:$BD$1101,V$1,0)</f>
        <v>0</v>
      </c>
      <c r="W939" s="50">
        <f>VLOOKUP($A939,'[1]ma sp 02'!$A$5:$BD$1101,W$1,0)</f>
        <v>0</v>
      </c>
      <c r="X939" s="50"/>
      <c r="Y939" s="62"/>
      <c r="Z939" s="62"/>
      <c r="AA939" s="62"/>
      <c r="AB939" s="62"/>
      <c r="AC939" s="62"/>
      <c r="AD939" s="62"/>
      <c r="AE939" s="62" t="s">
        <v>179</v>
      </c>
      <c r="AF939" s="62"/>
      <c r="AG939" s="53">
        <f>(0.02*0.91+0.075*0.94)*0.8</f>
        <v>7.0960000000000009E-2</v>
      </c>
      <c r="AH939" s="54">
        <f>(2/0.75/2)*0.72</f>
        <v>0.96</v>
      </c>
      <c r="AI939" s="54"/>
      <c r="AJ939" s="192">
        <v>9530</v>
      </c>
      <c r="AK939" s="62"/>
      <c r="AL939" s="62">
        <v>2E-3</v>
      </c>
      <c r="AM939" s="61" t="s">
        <v>1489</v>
      </c>
      <c r="AN939" s="62">
        <v>266</v>
      </c>
      <c r="AO939" s="61" t="s">
        <v>180</v>
      </c>
      <c r="AP939" s="59" t="str">
        <f>IFERROR(VLOOKUP($A939,[2]Mssp!$A$5:$BE$1463,AP$4+1,0),0)</f>
        <v>21110160-1</v>
      </c>
      <c r="AQ939" s="59" t="str">
        <f>IFERROR(VLOOKUP($A939,[2]Mssp!$A$5:$BE$1463,AQ$4+1,0),0)</f>
        <v>21110160-2</v>
      </c>
      <c r="AR939" s="59" t="str">
        <f>IFERROR(VLOOKUP($A939,[2]Mssp!$A$5:$BE$1463,AR$4+1,0),0)</f>
        <v>21110160-3</v>
      </c>
      <c r="AS939" s="59" t="str">
        <f>IFERROR(VLOOKUP($A939,[2]Mssp!$A$5:$BE$1463,AS$4+1,0),0)</f>
        <v>21110160-4</v>
      </c>
      <c r="AT939" s="59" t="str">
        <f>IFERROR(VLOOKUP($A939,[2]Mssp!$A$5:$BE$1463,AT$4+1,0),0)</f>
        <v>21110160-5</v>
      </c>
      <c r="AU939" s="59" t="str">
        <f>IFERROR(VLOOKUP($A939,[2]Mssp!$A$5:$BE$1463,AU$4+1,0),0)</f>
        <v>21110160-6</v>
      </c>
      <c r="AV939" s="59" t="str">
        <f>IFERROR(VLOOKUP($A939,[2]Mssp!$A$5:$BE$1463,AV$4+1,0),0)</f>
        <v>21110160-7</v>
      </c>
      <c r="AW939" s="59">
        <f>IFERROR(VLOOKUP($A939,[2]Mssp!$A$5:$BE$1463,AW$4+1,0),0)</f>
        <v>0</v>
      </c>
      <c r="AX939" s="59">
        <f>IFERROR(VLOOKUP($A939,[2]Mssp!$A$5:$BE$1463,AX$4+1,0),0)</f>
        <v>0</v>
      </c>
      <c r="AY939" s="59" t="str">
        <f>IFERROR(VLOOKUP($A939,[2]Mssp!$A$5:$BE$1463,AY$4+2,0),0)</f>
        <v>532x870</v>
      </c>
      <c r="AZ939" s="59">
        <f>IFERROR(VLOOKUP($A939,[2]Mssp!$A$5:$BE$1463,AZ$4+2,0),0)</f>
        <v>0</v>
      </c>
      <c r="BA939" s="141"/>
      <c r="BB939" s="61"/>
      <c r="BC939" s="165"/>
      <c r="BD939" s="166"/>
      <c r="BE939" s="167"/>
      <c r="BF939" s="168"/>
      <c r="BG939" s="167"/>
      <c r="BH939" s="168"/>
      <c r="BI939" s="169"/>
      <c r="BJ939" s="168"/>
      <c r="BK939" s="134"/>
      <c r="BL939" s="168"/>
      <c r="BM939" s="167"/>
      <c r="BN939" s="168"/>
      <c r="BO939" s="62"/>
      <c r="BP939" s="168"/>
      <c r="BQ939" s="168"/>
      <c r="BR939" s="168"/>
      <c r="BS939" s="135"/>
      <c r="BT939" s="176"/>
      <c r="BU939" s="167"/>
      <c r="BV939" s="168"/>
      <c r="BW939" s="167"/>
      <c r="BX939" s="168"/>
      <c r="BY939" s="167"/>
      <c r="BZ939" s="176"/>
      <c r="CA939" s="167"/>
      <c r="CB939" s="168"/>
      <c r="CC939" s="167"/>
      <c r="CD939" s="168"/>
      <c r="CE939" s="62"/>
      <c r="CF939" s="62"/>
      <c r="CG939" s="9"/>
      <c r="CH939" s="9"/>
      <c r="CI939" s="9"/>
      <c r="CJ939" s="9"/>
      <c r="CK939" s="9"/>
      <c r="CL939" s="9"/>
      <c r="CM939" s="9"/>
      <c r="CN939" s="9"/>
      <c r="CO939" s="9"/>
      <c r="CP939" s="9"/>
    </row>
    <row r="940" spans="1:94" ht="30" x14ac:dyDescent="0.25">
      <c r="A940" s="127" t="s">
        <v>2992</v>
      </c>
      <c r="B940" s="51" t="s">
        <v>2993</v>
      </c>
      <c r="C940" s="62"/>
      <c r="D940" s="84">
        <v>5</v>
      </c>
      <c r="E940" s="62" t="s">
        <v>2659</v>
      </c>
      <c r="F940" s="62">
        <v>2</v>
      </c>
      <c r="G940" s="62"/>
      <c r="H940" s="50">
        <f>VLOOKUP($A940,'[1]ma sp 02'!$A$5:$BD$1101,H$1,0)</f>
        <v>0.01</v>
      </c>
      <c r="I940" s="50">
        <f>VLOOKUP($A940,'[1]ma sp 02'!$A$5:$BD$1101,I$1,0)</f>
        <v>0</v>
      </c>
      <c r="J940" s="50">
        <f>VLOOKUP($A940,'[1]ma sp 02'!$A$5:$BD$1101,J$1,0)</f>
        <v>0</v>
      </c>
      <c r="K940" s="50">
        <f>VLOOKUP($A940,'[1]ma sp 02'!$A$5:$BD$1101,K$1,0)</f>
        <v>0.20699999999999999</v>
      </c>
      <c r="L940" s="50">
        <f>VLOOKUP($A940,'[1]ma sp 02'!$A$5:$BD$1101,L$1,0)</f>
        <v>1.8939999999999999</v>
      </c>
      <c r="M940" s="50">
        <f>VLOOKUP($A940,'[1]ma sp 02'!$A$5:$BD$1101,M$1,0)</f>
        <v>6.9000000000000006E-2</v>
      </c>
      <c r="N940" s="50">
        <f>VLOOKUP($A940,'[1]ma sp 02'!$A$5:$BD$1101,N$1,0)</f>
        <v>0</v>
      </c>
      <c r="O940" s="50">
        <f>VLOOKUP($A940,'[1]ma sp 02'!$A$5:$BD$1101,O$1,0)</f>
        <v>0.01</v>
      </c>
      <c r="P940" s="50">
        <f>VLOOKUP($A940,'[1]ma sp 02'!$A$5:$BD$1101,P$1,0)</f>
        <v>0</v>
      </c>
      <c r="Q940" s="50">
        <f>VLOOKUP($A940,'[1]ma sp 02'!$A$5:$BD$1101,Q$1,0)</f>
        <v>0</v>
      </c>
      <c r="R940" s="50">
        <f>VLOOKUP($A940,'[1]ma sp 02'!$A$5:$BD$1101,R$1,0)</f>
        <v>0</v>
      </c>
      <c r="S940" s="50">
        <f>VLOOKUP($A940,'[1]ma sp 02'!$A$5:$BD$1101,S$1,0)</f>
        <v>0</v>
      </c>
      <c r="T940" s="50">
        <f>VLOOKUP($A940,'[1]ma sp 02'!$A$5:$BD$1101,T$1,0)</f>
        <v>0</v>
      </c>
      <c r="U940" s="50">
        <f>VLOOKUP($A940,'[1]ma sp 02'!$A$5:$BD$1101,U$1,0)</f>
        <v>0</v>
      </c>
      <c r="V940" s="50">
        <f>VLOOKUP($A940,'[1]ma sp 02'!$A$5:$BD$1101,V$1,0)</f>
        <v>0</v>
      </c>
      <c r="W940" s="50">
        <f>VLOOKUP($A940,'[1]ma sp 02'!$A$5:$BD$1101,W$1,0)</f>
        <v>0</v>
      </c>
      <c r="X940" s="50"/>
      <c r="Y940" s="62"/>
      <c r="Z940" s="62"/>
      <c r="AA940" s="62"/>
      <c r="AB940" s="62"/>
      <c r="AC940" s="62"/>
      <c r="AD940" s="62"/>
      <c r="AE940" s="62" t="s">
        <v>2994</v>
      </c>
      <c r="AF940" s="62"/>
      <c r="AG940" s="53">
        <f>(0.02*0.91+0.025*0.94)*0.92</f>
        <v>3.8364000000000002E-2</v>
      </c>
      <c r="AH940" s="54">
        <f>(2/0.75/2)*0.91</f>
        <v>1.2133333333333334</v>
      </c>
      <c r="AI940" s="54"/>
      <c r="AJ940" s="192">
        <v>9530</v>
      </c>
      <c r="AK940" s="62"/>
      <c r="AL940" s="193">
        <v>2E-3</v>
      </c>
      <c r="AM940" s="61" t="s">
        <v>1489</v>
      </c>
      <c r="AN940" s="62">
        <v>175</v>
      </c>
      <c r="AO940" s="61" t="s">
        <v>1736</v>
      </c>
      <c r="AP940" s="59" t="str">
        <f>IFERROR(VLOOKUP($A940,[2]Mssp!$A$5:$BE$1463,AP$4+1,0),0)</f>
        <v>21080413-1</v>
      </c>
      <c r="AQ940" s="59" t="str">
        <f>IFERROR(VLOOKUP($A940,[2]Mssp!$A$5:$BE$1463,AQ$4+1,0),0)</f>
        <v>21080413-2</v>
      </c>
      <c r="AR940" s="59">
        <f>IFERROR(VLOOKUP($A940,[2]Mssp!$A$5:$BE$1463,AR$4+1,0),0)</f>
        <v>0</v>
      </c>
      <c r="AS940" s="59">
        <f>IFERROR(VLOOKUP($A940,[2]Mssp!$A$5:$BE$1463,AS$4+1,0),0)</f>
        <v>0</v>
      </c>
      <c r="AT940" s="59">
        <f>IFERROR(VLOOKUP($A940,[2]Mssp!$A$5:$BE$1463,AT$4+1,0),0)</f>
        <v>0</v>
      </c>
      <c r="AU940" s="59">
        <f>IFERROR(VLOOKUP($A940,[2]Mssp!$A$5:$BE$1463,AU$4+1,0),0)</f>
        <v>0</v>
      </c>
      <c r="AV940" s="59">
        <f>IFERROR(VLOOKUP($A940,[2]Mssp!$A$5:$BE$1463,AV$4+1,0),0)</f>
        <v>0</v>
      </c>
      <c r="AW940" s="59">
        <f>IFERROR(VLOOKUP($A940,[2]Mssp!$A$5:$BE$1463,AW$4+1,0),0)</f>
        <v>0</v>
      </c>
      <c r="AX940" s="59">
        <f>IFERROR(VLOOKUP($A940,[2]Mssp!$A$5:$BE$1463,AX$4+1,0),0)</f>
        <v>0</v>
      </c>
      <c r="AY940" s="59" t="str">
        <f>IFERROR(VLOOKUP($A940,[2]Mssp!$A$5:$BE$1463,AY$4+2,0),0)</f>
        <v>525x1100</v>
      </c>
      <c r="AZ940" s="59">
        <f>IFERROR(VLOOKUP($A940,[2]Mssp!$A$5:$BE$1463,AZ$4+2,0),0)</f>
        <v>0</v>
      </c>
      <c r="BA940" s="141"/>
      <c r="BB940" s="61" t="s">
        <v>952</v>
      </c>
      <c r="BC940" s="165"/>
      <c r="BD940" s="166"/>
      <c r="BE940" s="167"/>
      <c r="BF940" s="168"/>
      <c r="BG940" s="167"/>
      <c r="BH940" s="168"/>
      <c r="BI940" s="169"/>
      <c r="BJ940" s="168"/>
      <c r="BK940" s="134"/>
      <c r="BL940" s="168"/>
      <c r="BM940" s="167"/>
      <c r="BN940" s="168"/>
      <c r="BO940" s="62"/>
      <c r="BP940" s="168"/>
      <c r="BQ940" s="168"/>
      <c r="BR940" s="168"/>
      <c r="BS940" s="135"/>
      <c r="BT940" s="176"/>
      <c r="BU940" s="167"/>
      <c r="BV940" s="168"/>
      <c r="BW940" s="167"/>
      <c r="BX940" s="168"/>
      <c r="BY940" s="167"/>
      <c r="BZ940" s="176"/>
      <c r="CA940" s="167"/>
      <c r="CB940" s="168"/>
      <c r="CC940" s="167"/>
      <c r="CD940" s="168"/>
      <c r="CE940" s="62"/>
      <c r="CF940" s="62"/>
      <c r="CG940" s="9"/>
      <c r="CH940" s="9"/>
      <c r="CI940" s="9"/>
      <c r="CJ940" s="9"/>
      <c r="CK940" s="9"/>
      <c r="CL940" s="9"/>
      <c r="CM940" s="9"/>
      <c r="CN940" s="9"/>
      <c r="CO940" s="9"/>
      <c r="CP940" s="9"/>
    </row>
    <row r="941" spans="1:94" ht="45" x14ac:dyDescent="0.25">
      <c r="A941" s="127" t="s">
        <v>2995</v>
      </c>
      <c r="B941" s="51" t="s">
        <v>2996</v>
      </c>
      <c r="C941" s="62"/>
      <c r="D941" s="84">
        <v>2</v>
      </c>
      <c r="E941" s="62" t="s">
        <v>2997</v>
      </c>
      <c r="F941" s="62">
        <v>8</v>
      </c>
      <c r="G941" s="62"/>
      <c r="H941" s="50">
        <f>VLOOKUP($A941,'[1]ma sp 02'!$A$5:$BD$1101,H$1,0)</f>
        <v>0.14499999999999999</v>
      </c>
      <c r="I941" s="50">
        <f>VLOOKUP($A941,'[1]ma sp 02'!$A$5:$BD$1101,I$1,0)</f>
        <v>4.53</v>
      </c>
      <c r="J941" s="50">
        <f>VLOOKUP($A941,'[1]ma sp 02'!$A$5:$BD$1101,J$1,0)</f>
        <v>2.4E-2</v>
      </c>
      <c r="K941" s="50">
        <f>VLOOKUP($A941,'[1]ma sp 02'!$A$5:$BD$1101,K$1,0)</f>
        <v>0.12</v>
      </c>
      <c r="L941" s="50">
        <f>VLOOKUP($A941,'[1]ma sp 02'!$A$5:$BD$1101,L$1,0)</f>
        <v>0.24099999999999999</v>
      </c>
      <c r="M941" s="50">
        <f>VLOOKUP($A941,'[1]ma sp 02'!$A$5:$BD$1101,M$1,0)</f>
        <v>9.6000000000000002E-2</v>
      </c>
      <c r="N941" s="50">
        <f>VLOOKUP($A941,'[1]ma sp 02'!$A$5:$BD$1101,N$1,0)</f>
        <v>0.89200000000000002</v>
      </c>
      <c r="O941" s="50">
        <f>VLOOKUP($A941,'[1]ma sp 02'!$A$5:$BD$1101,O$1,0)</f>
        <v>0</v>
      </c>
      <c r="P941" s="50">
        <f>VLOOKUP($A941,'[1]ma sp 02'!$A$5:$BD$1101,P$1,0)</f>
        <v>0</v>
      </c>
      <c r="Q941" s="50">
        <f>VLOOKUP($A941,'[1]ma sp 02'!$A$5:$BD$1101,Q$1,0)</f>
        <v>0.33700000000000002</v>
      </c>
      <c r="R941" s="50">
        <f>VLOOKUP($A941,'[1]ma sp 02'!$A$5:$BD$1101,R$1,0)</f>
        <v>0</v>
      </c>
      <c r="S941" s="50">
        <f>VLOOKUP($A941,'[1]ma sp 02'!$A$5:$BD$1101,S$1,0)</f>
        <v>0.01</v>
      </c>
      <c r="T941" s="50">
        <f>VLOOKUP($A941,'[1]ma sp 02'!$A$5:$BD$1101,T$1,0)</f>
        <v>0.01</v>
      </c>
      <c r="U941" s="50">
        <f>VLOOKUP($A941,'[1]ma sp 02'!$A$5:$BD$1101,U$1,0)</f>
        <v>0</v>
      </c>
      <c r="V941" s="50">
        <f>VLOOKUP($A941,'[1]ma sp 02'!$A$5:$BD$1101,V$1,0)</f>
        <v>0</v>
      </c>
      <c r="W941" s="50">
        <f>VLOOKUP($A941,'[1]ma sp 02'!$A$5:$BD$1101,W$1,0)</f>
        <v>0</v>
      </c>
      <c r="X941" s="50"/>
      <c r="Y941" s="62"/>
      <c r="Z941" s="62"/>
      <c r="AA941" s="62"/>
      <c r="AB941" s="62"/>
      <c r="AC941" s="62"/>
      <c r="AD941" s="62"/>
      <c r="AE941" s="62" t="s">
        <v>2998</v>
      </c>
      <c r="AF941" s="62"/>
      <c r="AG941" s="53">
        <f>(0.02*0.91+0.035*0.91)*0.95</f>
        <v>4.7547499999999999E-2</v>
      </c>
      <c r="AH941" s="54">
        <f>(2.3/0.75/2)*0.94</f>
        <v>1.4413333333333331</v>
      </c>
      <c r="AI941" s="54"/>
      <c r="AJ941" s="192">
        <v>9530</v>
      </c>
      <c r="AK941" s="62"/>
      <c r="AL941" s="62">
        <v>2.3E-3</v>
      </c>
      <c r="AM941" s="61" t="s">
        <v>2983</v>
      </c>
      <c r="AN941" s="62">
        <v>360</v>
      </c>
      <c r="AO941" s="61" t="s">
        <v>2158</v>
      </c>
      <c r="AP941" s="59" t="str">
        <f>IFERROR(VLOOKUP($A941,[2]Mssp!$A$5:$BE$1463,AP$4+1,0),0)</f>
        <v>F129178-1</v>
      </c>
      <c r="AQ941" s="59" t="str">
        <f>IFERROR(VLOOKUP($A941,[2]Mssp!$A$5:$BE$1463,AQ$4+1,0),0)</f>
        <v>F129178-2</v>
      </c>
      <c r="AR941" s="59" t="str">
        <f>IFERROR(VLOOKUP($A941,[2]Mssp!$A$5:$BE$1463,AR$4+1,0),0)</f>
        <v>F129178-3</v>
      </c>
      <c r="AS941" s="59" t="str">
        <f>IFERROR(VLOOKUP($A941,[2]Mssp!$A$5:$BE$1463,AS$4+1,0),0)</f>
        <v>F129178-4</v>
      </c>
      <c r="AT941" s="59" t="str">
        <f>IFERROR(VLOOKUP($A941,[2]Mssp!$A$5:$BE$1463,AT$4+1,0),0)</f>
        <v>F129178-5</v>
      </c>
      <c r="AU941" s="59" t="str">
        <f>IFERROR(VLOOKUP($A941,[2]Mssp!$A$5:$BE$1463,AU$4+1,0),0)</f>
        <v>F129178-6</v>
      </c>
      <c r="AV941" s="59" t="str">
        <f>IFERROR(VLOOKUP($A941,[2]Mssp!$A$5:$BE$1463,AV$4+1,0),0)</f>
        <v>F129178-7</v>
      </c>
      <c r="AW941" s="59" t="str">
        <f>IFERROR(VLOOKUP($A941,[2]Mssp!$A$5:$BE$1463,AW$4+1,0),0)</f>
        <v>F129178-8</v>
      </c>
      <c r="AX941" s="59">
        <f>IFERROR(VLOOKUP($A941,[2]Mssp!$A$5:$BE$1463,AX$4+1,0),0)</f>
        <v>0</v>
      </c>
      <c r="AY941" s="59" t="str">
        <f>IFERROR(VLOOKUP($A941,[2]Mssp!$A$5:$BE$1463,AY$4+2,0),0)</f>
        <v>720x1100</v>
      </c>
      <c r="AZ941" s="59">
        <f>IFERROR(VLOOKUP($A941,[2]Mssp!$A$5:$BE$1463,AZ$4+2,0),0)</f>
        <v>0</v>
      </c>
      <c r="BA941" s="141"/>
      <c r="BB941" s="61" t="s">
        <v>1894</v>
      </c>
      <c r="BC941" s="165"/>
      <c r="BD941" s="166"/>
      <c r="BE941" s="167"/>
      <c r="BF941" s="168"/>
      <c r="BG941" s="167"/>
      <c r="BH941" s="168"/>
      <c r="BI941" s="169"/>
      <c r="BJ941" s="168"/>
      <c r="BK941" s="134"/>
      <c r="BL941" s="168"/>
      <c r="BM941" s="167"/>
      <c r="BN941" s="168"/>
      <c r="BO941" s="62"/>
      <c r="BP941" s="168"/>
      <c r="BQ941" s="168"/>
      <c r="BR941" s="168"/>
      <c r="BS941" s="135"/>
      <c r="BT941" s="176"/>
      <c r="BU941" s="167"/>
      <c r="BV941" s="168"/>
      <c r="BW941" s="167"/>
      <c r="BX941" s="168"/>
      <c r="BY941" s="167"/>
      <c r="BZ941" s="176"/>
      <c r="CA941" s="167"/>
      <c r="CB941" s="168"/>
      <c r="CC941" s="167"/>
      <c r="CD941" s="168"/>
      <c r="CE941" s="62"/>
      <c r="CF941" s="62"/>
      <c r="CG941" s="9"/>
      <c r="CH941" s="9"/>
      <c r="CI941" s="9"/>
      <c r="CJ941" s="9"/>
      <c r="CK941" s="9"/>
      <c r="CL941" s="9"/>
      <c r="CM941" s="9"/>
      <c r="CN941" s="9"/>
      <c r="CO941" s="9"/>
      <c r="CP941" s="9"/>
    </row>
    <row r="942" spans="1:94" ht="45" x14ac:dyDescent="0.25">
      <c r="A942" s="127" t="s">
        <v>2999</v>
      </c>
      <c r="B942" s="51" t="s">
        <v>3000</v>
      </c>
      <c r="C942" s="62"/>
      <c r="D942" s="84">
        <v>5</v>
      </c>
      <c r="E942" s="62" t="s">
        <v>3001</v>
      </c>
      <c r="F942" s="62">
        <v>4</v>
      </c>
      <c r="G942" s="62"/>
      <c r="H942" s="50">
        <f>VLOOKUP($A942,'[1]ma sp 02'!$A$5:$BD$1101,H$1,0)</f>
        <v>0.19700000000000001</v>
      </c>
      <c r="I942" s="50">
        <f>VLOOKUP($A942,'[1]ma sp 02'!$A$5:$BD$1101,I$1,0)</f>
        <v>4.1139999999999999</v>
      </c>
      <c r="J942" s="50">
        <f>VLOOKUP($A942,'[1]ma sp 02'!$A$5:$BD$1101,J$1,0)</f>
        <v>0</v>
      </c>
      <c r="K942" s="50">
        <f>VLOOKUP($A942,'[1]ma sp 02'!$A$5:$BD$1101,K$1,0)</f>
        <v>0</v>
      </c>
      <c r="L942" s="50">
        <f>VLOOKUP($A942,'[1]ma sp 02'!$A$5:$BD$1101,L$1,0)</f>
        <v>0</v>
      </c>
      <c r="M942" s="50">
        <f>VLOOKUP($A942,'[1]ma sp 02'!$A$5:$BD$1101,M$1,0)</f>
        <v>0.69799999999999995</v>
      </c>
      <c r="N942" s="50">
        <f>VLOOKUP($A942,'[1]ma sp 02'!$A$5:$BD$1101,N$1,0)</f>
        <v>0</v>
      </c>
      <c r="O942" s="50">
        <f>VLOOKUP($A942,'[1]ma sp 02'!$A$5:$BD$1101,O$1,0)</f>
        <v>0</v>
      </c>
      <c r="P942" s="50">
        <f>VLOOKUP($A942,'[1]ma sp 02'!$A$5:$BD$1101,P$1,0)</f>
        <v>0</v>
      </c>
      <c r="Q942" s="50">
        <f>VLOOKUP($A942,'[1]ma sp 02'!$A$5:$BD$1101,Q$1,0)</f>
        <v>0</v>
      </c>
      <c r="R942" s="50">
        <f>VLOOKUP($A942,'[1]ma sp 02'!$A$5:$BD$1101,R$1,0)</f>
        <v>0</v>
      </c>
      <c r="S942" s="50">
        <f>VLOOKUP($A942,'[1]ma sp 02'!$A$5:$BD$1101,S$1,0)</f>
        <v>0</v>
      </c>
      <c r="T942" s="50">
        <f>VLOOKUP($A942,'[1]ma sp 02'!$A$5:$BD$1101,T$1,0)</f>
        <v>0.01</v>
      </c>
      <c r="U942" s="50">
        <f>VLOOKUP($A942,'[1]ma sp 02'!$A$5:$BD$1101,U$1,0)</f>
        <v>0</v>
      </c>
      <c r="V942" s="50">
        <f>VLOOKUP($A942,'[1]ma sp 02'!$A$5:$BD$1101,V$1,0)</f>
        <v>0</v>
      </c>
      <c r="W942" s="50">
        <f>VLOOKUP($A942,'[1]ma sp 02'!$A$5:$BD$1101,W$1,0)</f>
        <v>0</v>
      </c>
      <c r="X942" s="50"/>
      <c r="Y942" s="62"/>
      <c r="Z942" s="62"/>
      <c r="AA942" s="62"/>
      <c r="AB942" s="62"/>
      <c r="AC942" s="62"/>
      <c r="AD942" s="62"/>
      <c r="AE942" s="62" t="s">
        <v>3002</v>
      </c>
      <c r="AF942" s="62"/>
      <c r="AG942" s="53">
        <f>(0.02*0.91+0.025*0.91)*1.03</f>
        <v>4.2178500000000001E-2</v>
      </c>
      <c r="AH942" s="54">
        <f>(2.3/0.75/2)*1.02</f>
        <v>1.5639999999999998</v>
      </c>
      <c r="AI942" s="54"/>
      <c r="AJ942" s="192">
        <v>9530</v>
      </c>
      <c r="AK942" s="62"/>
      <c r="AL942" s="62">
        <v>2.3E-3</v>
      </c>
      <c r="AM942" s="61" t="s">
        <v>1489</v>
      </c>
      <c r="AN942" s="62">
        <v>110</v>
      </c>
      <c r="AO942" s="61" t="s">
        <v>2158</v>
      </c>
      <c r="AP942" s="59" t="str">
        <f>IFERROR(VLOOKUP($A942,[2]Mssp!$A$5:$BE$1463,AP$4+1,0),0)</f>
        <v>F129179NG1-1</v>
      </c>
      <c r="AQ942" s="59" t="str">
        <f>IFERROR(VLOOKUP($A942,[2]Mssp!$A$5:$BE$1463,AQ$4+1,0),0)</f>
        <v>F129179-2</v>
      </c>
      <c r="AR942" s="59" t="str">
        <f>IFERROR(VLOOKUP($A942,[2]Mssp!$A$5:$BE$1463,AR$4+1,0),0)</f>
        <v>F129179-3</v>
      </c>
      <c r="AS942" s="59" t="str">
        <f>IFERROR(VLOOKUP($A942,[2]Mssp!$A$5:$BE$1463,AS$4+1,0),0)</f>
        <v>F129179-4</v>
      </c>
      <c r="AT942" s="59">
        <f>IFERROR(VLOOKUP($A942,[2]Mssp!$A$5:$BE$1463,AT$4+1,0),0)</f>
        <v>0</v>
      </c>
      <c r="AU942" s="59">
        <f>IFERROR(VLOOKUP($A942,[2]Mssp!$A$5:$BE$1463,AU$4+1,0),0)</f>
        <v>0</v>
      </c>
      <c r="AV942" s="59">
        <f>IFERROR(VLOOKUP($A942,[2]Mssp!$A$5:$BE$1463,AV$4+1,0),0)</f>
        <v>0</v>
      </c>
      <c r="AW942" s="59">
        <f>IFERROR(VLOOKUP($A942,[2]Mssp!$A$5:$BE$1463,AW$4+1,0),0)</f>
        <v>0</v>
      </c>
      <c r="AX942" s="59">
        <f>IFERROR(VLOOKUP($A942,[2]Mssp!$A$5:$BE$1463,AX$4+1,0),0)</f>
        <v>0</v>
      </c>
      <c r="AY942" s="59" t="str">
        <f>IFERROR(VLOOKUP($A942,[2]Mssp!$A$5:$BE$1463,AY$4+2,0),0)</f>
        <v>440x1250</v>
      </c>
      <c r="AZ942" s="59">
        <f>IFERROR(VLOOKUP($A942,[2]Mssp!$A$5:$BE$1463,AZ$4+2,0),0)</f>
        <v>0</v>
      </c>
      <c r="BA942" s="141"/>
      <c r="BB942" s="61" t="s">
        <v>952</v>
      </c>
      <c r="BC942" s="165"/>
      <c r="BD942" s="166"/>
      <c r="BE942" s="167"/>
      <c r="BF942" s="168"/>
      <c r="BG942" s="167"/>
      <c r="BH942" s="168"/>
      <c r="BI942" s="169"/>
      <c r="BJ942" s="168"/>
      <c r="BK942" s="134"/>
      <c r="BL942" s="168"/>
      <c r="BM942" s="167"/>
      <c r="BN942" s="168"/>
      <c r="BO942" s="62"/>
      <c r="BP942" s="168"/>
      <c r="BQ942" s="168"/>
      <c r="BR942" s="168"/>
      <c r="BS942" s="135"/>
      <c r="BT942" s="176"/>
      <c r="BU942" s="167"/>
      <c r="BV942" s="168"/>
      <c r="BW942" s="167"/>
      <c r="BX942" s="168"/>
      <c r="BY942" s="167"/>
      <c r="BZ942" s="176"/>
      <c r="CA942" s="167"/>
      <c r="CB942" s="168"/>
      <c r="CC942" s="167"/>
      <c r="CD942" s="168"/>
      <c r="CE942" s="62"/>
      <c r="CF942" s="62"/>
      <c r="CG942" s="9"/>
      <c r="CH942" s="9"/>
      <c r="CI942" s="9"/>
      <c r="CJ942" s="9"/>
      <c r="CK942" s="9"/>
      <c r="CL942" s="9"/>
      <c r="CM942" s="9"/>
      <c r="CN942" s="9"/>
      <c r="CO942" s="9"/>
      <c r="CP942" s="9"/>
    </row>
    <row r="943" spans="1:94" ht="45" x14ac:dyDescent="0.25">
      <c r="A943" s="127" t="s">
        <v>3003</v>
      </c>
      <c r="B943" s="51" t="s">
        <v>3004</v>
      </c>
      <c r="C943" s="62"/>
      <c r="D943" s="84">
        <v>3</v>
      </c>
      <c r="E943" s="62" t="s">
        <v>3005</v>
      </c>
      <c r="F943" s="62">
        <v>2</v>
      </c>
      <c r="G943" s="62"/>
      <c r="H943" s="50">
        <f>VLOOKUP($A943,'[1]ma sp 02'!$A$5:$BD$1101,H$1,0)</f>
        <v>0.39400000000000002</v>
      </c>
      <c r="I943" s="50">
        <f>VLOOKUP($A943,'[1]ma sp 02'!$A$5:$BD$1101,I$1,0)</f>
        <v>0</v>
      </c>
      <c r="J943" s="50">
        <f>VLOOKUP($A943,'[1]ma sp 02'!$A$5:$BD$1101,J$1,0)</f>
        <v>0.157</v>
      </c>
      <c r="K943" s="50">
        <f>VLOOKUP($A943,'[1]ma sp 02'!$A$5:$BD$1101,K$1,0)</f>
        <v>0</v>
      </c>
      <c r="L943" s="50">
        <f>VLOOKUP($A943,'[1]ma sp 02'!$A$5:$BD$1101,L$1,0)</f>
        <v>0</v>
      </c>
      <c r="M943" s="50">
        <f>VLOOKUP($A943,'[1]ma sp 02'!$A$5:$BD$1101,M$1,0)</f>
        <v>4.33</v>
      </c>
      <c r="N943" s="50">
        <f>VLOOKUP($A943,'[1]ma sp 02'!$A$5:$BD$1101,N$1,0)</f>
        <v>1.575</v>
      </c>
      <c r="O943" s="50">
        <f>VLOOKUP($A943,'[1]ma sp 02'!$A$5:$BD$1101,O$1,0)</f>
        <v>0</v>
      </c>
      <c r="P943" s="50">
        <f>VLOOKUP($A943,'[1]ma sp 02'!$A$5:$BD$1101,P$1,0)</f>
        <v>0</v>
      </c>
      <c r="Q943" s="50">
        <f>VLOOKUP($A943,'[1]ma sp 02'!$A$5:$BD$1101,Q$1,0)</f>
        <v>0</v>
      </c>
      <c r="R943" s="50">
        <f>VLOOKUP($A943,'[1]ma sp 02'!$A$5:$BD$1101,R$1,0)</f>
        <v>0</v>
      </c>
      <c r="S943" s="50">
        <f>VLOOKUP($A943,'[1]ma sp 02'!$A$5:$BD$1101,S$1,0)</f>
        <v>0</v>
      </c>
      <c r="T943" s="50">
        <f>VLOOKUP($A943,'[1]ma sp 02'!$A$5:$BD$1101,T$1,0)</f>
        <v>0.19700000000000001</v>
      </c>
      <c r="U943" s="50">
        <f>VLOOKUP($A943,'[1]ma sp 02'!$A$5:$BD$1101,U$1,0)</f>
        <v>0</v>
      </c>
      <c r="V943" s="50">
        <f>VLOOKUP($A943,'[1]ma sp 02'!$A$5:$BD$1101,V$1,0)</f>
        <v>0</v>
      </c>
      <c r="W943" s="50">
        <f>VLOOKUP($A943,'[1]ma sp 02'!$A$5:$BD$1101,W$1,0)</f>
        <v>0</v>
      </c>
      <c r="X943" s="50"/>
      <c r="Y943" s="62"/>
      <c r="Z943" s="62"/>
      <c r="AA943" s="62"/>
      <c r="AB943" s="62"/>
      <c r="AC943" s="62"/>
      <c r="AD943" s="62"/>
      <c r="AE943" s="62" t="s">
        <v>3006</v>
      </c>
      <c r="AF943" s="62"/>
      <c r="AG943" s="53">
        <f>(0.02*0.91+0.025*0.91)*1.07</f>
        <v>4.3816500000000001E-2</v>
      </c>
      <c r="AH943" s="54">
        <f>(2.3/0.75/2)*1.02</f>
        <v>1.5639999999999998</v>
      </c>
      <c r="AI943" s="54"/>
      <c r="AJ943" s="192">
        <v>9530</v>
      </c>
      <c r="AK943" s="62"/>
      <c r="AL943" s="62">
        <v>2.3E-3</v>
      </c>
      <c r="AM943" s="61" t="s">
        <v>3007</v>
      </c>
      <c r="AN943" s="62">
        <v>240</v>
      </c>
      <c r="AO943" s="61" t="s">
        <v>2158</v>
      </c>
      <c r="AP943" s="59" t="str">
        <f>IFERROR(VLOOKUP($A943,[2]Mssp!$A$5:$BE$1463,AP$4+1,0),0)</f>
        <v>F129215-1</v>
      </c>
      <c r="AQ943" s="59" t="str">
        <f>IFERROR(VLOOKUP($A943,[2]Mssp!$A$5:$BE$1463,AQ$4+1,0),0)</f>
        <v>F129215-2</v>
      </c>
      <c r="AR943" s="59">
        <f>IFERROR(VLOOKUP($A943,[2]Mssp!$A$5:$BE$1463,AR$4+1,0),0)</f>
        <v>0</v>
      </c>
      <c r="AS943" s="59">
        <f>IFERROR(VLOOKUP($A943,[2]Mssp!$A$5:$BE$1463,AS$4+1,0),0)</f>
        <v>0</v>
      </c>
      <c r="AT943" s="59">
        <f>IFERROR(VLOOKUP($A943,[2]Mssp!$A$5:$BE$1463,AT$4+1,0),0)</f>
        <v>0</v>
      </c>
      <c r="AU943" s="59">
        <f>IFERROR(VLOOKUP($A943,[2]Mssp!$A$5:$BE$1463,AU$4+1,0),0)</f>
        <v>0</v>
      </c>
      <c r="AV943" s="59">
        <f>IFERROR(VLOOKUP($A943,[2]Mssp!$A$5:$BE$1463,AV$4+1,0),0)</f>
        <v>0</v>
      </c>
      <c r="AW943" s="59">
        <f>IFERROR(VLOOKUP($A943,[2]Mssp!$A$5:$BE$1463,AW$4+1,0),0)</f>
        <v>0</v>
      </c>
      <c r="AX943" s="59">
        <f>IFERROR(VLOOKUP($A943,[2]Mssp!$A$5:$BE$1463,AX$4+1,0),0)</f>
        <v>0</v>
      </c>
      <c r="AY943" s="59" t="str">
        <f>IFERROR(VLOOKUP($A943,[2]Mssp!$A$5:$BE$1463,AY$4+2,0),0)</f>
        <v>480x1250</v>
      </c>
      <c r="AZ943" s="59">
        <f>IFERROR(VLOOKUP($A943,[2]Mssp!$A$5:$BE$1463,AZ$4+2,0),0)</f>
        <v>0</v>
      </c>
      <c r="BA943" s="141"/>
      <c r="BB943" s="61" t="s">
        <v>1894</v>
      </c>
      <c r="BC943" s="165"/>
      <c r="BD943" s="166"/>
      <c r="BE943" s="167"/>
      <c r="BF943" s="168"/>
      <c r="BG943" s="167"/>
      <c r="BH943" s="168"/>
      <c r="BI943" s="169"/>
      <c r="BJ943" s="168"/>
      <c r="BK943" s="134"/>
      <c r="BL943" s="168"/>
      <c r="BM943" s="167"/>
      <c r="BN943" s="168"/>
      <c r="BO943" s="62"/>
      <c r="BP943" s="168"/>
      <c r="BQ943" s="168"/>
      <c r="BR943" s="168"/>
      <c r="BS943" s="135"/>
      <c r="BT943" s="176"/>
      <c r="BU943" s="167"/>
      <c r="BV943" s="168"/>
      <c r="BW943" s="167"/>
      <c r="BX943" s="168"/>
      <c r="BY943" s="167"/>
      <c r="BZ943" s="176"/>
      <c r="CA943" s="167"/>
      <c r="CB943" s="168"/>
      <c r="CC943" s="167"/>
      <c r="CD943" s="168"/>
      <c r="CE943" s="62"/>
      <c r="CF943" s="62"/>
      <c r="CG943" s="9"/>
      <c r="CH943" s="9"/>
      <c r="CI943" s="9"/>
      <c r="CJ943" s="9"/>
      <c r="CK943" s="9"/>
      <c r="CL943" s="9"/>
      <c r="CM943" s="9"/>
      <c r="CN943" s="9"/>
      <c r="CO943" s="9"/>
      <c r="CP943" s="9"/>
    </row>
    <row r="944" spans="1:94" ht="45" x14ac:dyDescent="0.25">
      <c r="A944" s="127" t="s">
        <v>3008</v>
      </c>
      <c r="B944" s="51" t="s">
        <v>3009</v>
      </c>
      <c r="C944" s="62"/>
      <c r="D944" s="84">
        <v>6</v>
      </c>
      <c r="E944" s="62" t="s">
        <v>3010</v>
      </c>
      <c r="F944" s="62"/>
      <c r="G944" s="62"/>
      <c r="H944" s="50">
        <f>VLOOKUP($A944,'[1]ma sp 02'!$A$5:$BD$1101,H$1,0)</f>
        <v>0</v>
      </c>
      <c r="I944" s="50">
        <f>VLOOKUP($A944,'[1]ma sp 02'!$A$5:$BD$1101,I$1,0)</f>
        <v>0</v>
      </c>
      <c r="J944" s="50">
        <f>VLOOKUP($A944,'[1]ma sp 02'!$A$5:$BD$1101,J$1,0)</f>
        <v>0</v>
      </c>
      <c r="K944" s="50">
        <f>VLOOKUP($A944,'[1]ma sp 02'!$A$5:$BD$1101,K$1,0)</f>
        <v>0</v>
      </c>
      <c r="L944" s="50">
        <f>VLOOKUP($A944,'[1]ma sp 02'!$A$5:$BD$1101,L$1,0)</f>
        <v>0</v>
      </c>
      <c r="M944" s="50">
        <f>VLOOKUP($A944,'[1]ma sp 02'!$A$5:$BD$1101,M$1,0)</f>
        <v>0</v>
      </c>
      <c r="N944" s="50">
        <f>VLOOKUP($A944,'[1]ma sp 02'!$A$5:$BD$1101,N$1,0)</f>
        <v>0</v>
      </c>
      <c r="O944" s="50">
        <f>VLOOKUP($A944,'[1]ma sp 02'!$A$5:$BD$1101,O$1,0)</f>
        <v>0</v>
      </c>
      <c r="P944" s="50">
        <f>VLOOKUP($A944,'[1]ma sp 02'!$A$5:$BD$1101,P$1,0)</f>
        <v>0</v>
      </c>
      <c r="Q944" s="50">
        <f>VLOOKUP($A944,'[1]ma sp 02'!$A$5:$BD$1101,Q$1,0)</f>
        <v>0</v>
      </c>
      <c r="R944" s="50">
        <f>VLOOKUP($A944,'[1]ma sp 02'!$A$5:$BD$1101,R$1,0)</f>
        <v>0</v>
      </c>
      <c r="S944" s="50">
        <f>VLOOKUP($A944,'[1]ma sp 02'!$A$5:$BD$1101,S$1,0)</f>
        <v>0</v>
      </c>
      <c r="T944" s="50">
        <f>VLOOKUP($A944,'[1]ma sp 02'!$A$5:$BD$1101,T$1,0)</f>
        <v>0</v>
      </c>
      <c r="U944" s="50">
        <f>VLOOKUP($A944,'[1]ma sp 02'!$A$5:$BD$1101,U$1,0)</f>
        <v>0</v>
      </c>
      <c r="V944" s="50">
        <f>VLOOKUP($A944,'[1]ma sp 02'!$A$5:$BD$1101,V$1,0)</f>
        <v>0</v>
      </c>
      <c r="W944" s="50">
        <f>VLOOKUP($A944,'[1]ma sp 02'!$A$5:$BD$1101,W$1,0)</f>
        <v>0</v>
      </c>
      <c r="X944" s="50"/>
      <c r="Y944" s="62"/>
      <c r="Z944" s="62"/>
      <c r="AA944" s="62"/>
      <c r="AB944" s="62"/>
      <c r="AC944" s="62"/>
      <c r="AD944" s="62"/>
      <c r="AE944" s="62" t="s">
        <v>2193</v>
      </c>
      <c r="AF944" s="62" t="s">
        <v>3011</v>
      </c>
      <c r="AG944" s="53">
        <f>(0.055*0.91+0.006*2.71+0.07*0.925)*0.76</f>
        <v>9.9605600000000002E-2</v>
      </c>
      <c r="AH944" s="54">
        <f>(3/0.75/2)*0.75</f>
        <v>1.5</v>
      </c>
      <c r="AI944" s="54">
        <f>(3/0.75/2)*0.75</f>
        <v>1.5</v>
      </c>
      <c r="AJ944" s="192">
        <v>9530</v>
      </c>
      <c r="AK944" s="192">
        <v>9530</v>
      </c>
      <c r="AL944" s="62" t="s">
        <v>3012</v>
      </c>
      <c r="AM944" s="61" t="s">
        <v>1489</v>
      </c>
      <c r="AN944" s="62">
        <v>135</v>
      </c>
      <c r="AO944" s="61" t="s">
        <v>3013</v>
      </c>
      <c r="AP944" s="59">
        <f>IFERROR(VLOOKUP($A944,[2]Mssp!$A$5:$BE$1463,AP$4+1,0),0)</f>
        <v>0</v>
      </c>
      <c r="AQ944" s="59">
        <f>IFERROR(VLOOKUP($A944,[2]Mssp!$A$5:$BE$1463,AQ$4+1,0),0)</f>
        <v>0</v>
      </c>
      <c r="AR944" s="59">
        <f>IFERROR(VLOOKUP($A944,[2]Mssp!$A$5:$BE$1463,AR$4+1,0),0)</f>
        <v>0</v>
      </c>
      <c r="AS944" s="59">
        <f>IFERROR(VLOOKUP($A944,[2]Mssp!$A$5:$BE$1463,AS$4+1,0),0)</f>
        <v>0</v>
      </c>
      <c r="AT944" s="59">
        <f>IFERROR(VLOOKUP($A944,[2]Mssp!$A$5:$BE$1463,AT$4+1,0),0)</f>
        <v>0</v>
      </c>
      <c r="AU944" s="59">
        <f>IFERROR(VLOOKUP($A944,[2]Mssp!$A$5:$BE$1463,AU$4+1,0),0)</f>
        <v>0</v>
      </c>
      <c r="AV944" s="59">
        <f>IFERROR(VLOOKUP($A944,[2]Mssp!$A$5:$BE$1463,AV$4+1,0),0)</f>
        <v>0</v>
      </c>
      <c r="AW944" s="59">
        <f>IFERROR(VLOOKUP($A944,[2]Mssp!$A$5:$BE$1463,AW$4+1,0),0)</f>
        <v>0</v>
      </c>
      <c r="AX944" s="59">
        <f>IFERROR(VLOOKUP($A944,[2]Mssp!$A$5:$BE$1463,AX$4+1,0),0)</f>
        <v>0</v>
      </c>
      <c r="AY944" s="59">
        <f>IFERROR(VLOOKUP($A944,[2]Mssp!$A$5:$BE$1463,AY$4+2,0),0)</f>
        <v>0</v>
      </c>
      <c r="AZ944" s="59">
        <f>IFERROR(VLOOKUP($A944,[2]Mssp!$A$5:$BE$1463,AZ$4+2,0),0)</f>
        <v>0</v>
      </c>
      <c r="BA944" s="141"/>
      <c r="BB944" s="61" t="s">
        <v>952</v>
      </c>
      <c r="BC944" s="165"/>
      <c r="BD944" s="166"/>
      <c r="BE944" s="167"/>
      <c r="BF944" s="168"/>
      <c r="BG944" s="167"/>
      <c r="BH944" s="168"/>
      <c r="BI944" s="169"/>
      <c r="BJ944" s="168"/>
      <c r="BK944" s="134"/>
      <c r="BL944" s="168"/>
      <c r="BM944" s="167"/>
      <c r="BN944" s="168"/>
      <c r="BO944" s="62"/>
      <c r="BP944" s="168"/>
      <c r="BQ944" s="168"/>
      <c r="BR944" s="168"/>
      <c r="BS944" s="135"/>
      <c r="BT944" s="176"/>
      <c r="BU944" s="167"/>
      <c r="BV944" s="168"/>
      <c r="BW944" s="167"/>
      <c r="BX944" s="168"/>
      <c r="BY944" s="167"/>
      <c r="BZ944" s="176"/>
      <c r="CA944" s="167"/>
      <c r="CB944" s="168"/>
      <c r="CC944" s="167"/>
      <c r="CD944" s="168"/>
      <c r="CE944" s="62"/>
      <c r="CF944" s="62"/>
      <c r="CG944" s="9"/>
      <c r="CH944" s="9"/>
      <c r="CI944" s="9"/>
      <c r="CJ944" s="9"/>
      <c r="CK944" s="9"/>
      <c r="CL944" s="9"/>
      <c r="CM944" s="9"/>
      <c r="CN944" s="9"/>
      <c r="CO944" s="9"/>
      <c r="CP944" s="9"/>
    </row>
    <row r="945" spans="1:94" ht="45" x14ac:dyDescent="0.25">
      <c r="A945" s="127" t="s">
        <v>3014</v>
      </c>
      <c r="B945" s="51" t="s">
        <v>3015</v>
      </c>
      <c r="C945" s="62"/>
      <c r="D945" s="84">
        <v>1</v>
      </c>
      <c r="E945" s="62" t="s">
        <v>3016</v>
      </c>
      <c r="F945" s="62">
        <v>8</v>
      </c>
      <c r="G945" s="62"/>
      <c r="H945" s="50">
        <f>VLOOKUP($A945,'[1]ma sp 02'!$A$5:$BD$1101,H$1,0)</f>
        <v>0</v>
      </c>
      <c r="I945" s="50">
        <f>VLOOKUP($A945,'[1]ma sp 02'!$A$5:$BD$1101,I$1,0)</f>
        <v>3.2970000000000002</v>
      </c>
      <c r="J945" s="50">
        <f>VLOOKUP($A945,'[1]ma sp 02'!$A$5:$BD$1101,J$1,0)</f>
        <v>0.01</v>
      </c>
      <c r="K945" s="50">
        <f>VLOOKUP($A945,'[1]ma sp 02'!$A$5:$BD$1101,K$1,0)</f>
        <v>0.27200000000000002</v>
      </c>
      <c r="L945" s="50">
        <f>VLOOKUP($A945,'[1]ma sp 02'!$A$5:$BD$1101,L$1,0)</f>
        <v>0.11899999999999999</v>
      </c>
      <c r="M945" s="50">
        <f>VLOOKUP($A945,'[1]ma sp 02'!$A$5:$BD$1101,M$1,0)</f>
        <v>0</v>
      </c>
      <c r="N945" s="50">
        <f>VLOOKUP($A945,'[1]ma sp 02'!$A$5:$BD$1101,N$1,0)</f>
        <v>0.27200000000000002</v>
      </c>
      <c r="O945" s="50">
        <f>VLOOKUP($A945,'[1]ma sp 02'!$A$5:$BD$1101,O$1,0)</f>
        <v>0</v>
      </c>
      <c r="P945" s="50">
        <f>VLOOKUP($A945,'[1]ma sp 02'!$A$5:$BD$1101,P$1,0)</f>
        <v>0</v>
      </c>
      <c r="Q945" s="50">
        <f>VLOOKUP($A945,'[1]ma sp 02'!$A$5:$BD$1101,Q$1,0)</f>
        <v>6.8000000000000005E-2</v>
      </c>
      <c r="R945" s="50">
        <f>VLOOKUP($A945,'[1]ma sp 02'!$A$5:$BD$1101,R$1,0)</f>
        <v>0</v>
      </c>
      <c r="S945" s="50">
        <f>VLOOKUP($A945,'[1]ma sp 02'!$A$5:$BD$1101,S$1,0)</f>
        <v>0</v>
      </c>
      <c r="T945" s="50">
        <f>VLOOKUP($A945,'[1]ma sp 02'!$A$5:$BD$1101,T$1,0)</f>
        <v>1.7000000000000001E-2</v>
      </c>
      <c r="U945" s="50">
        <f>VLOOKUP($A945,'[1]ma sp 02'!$A$5:$BD$1101,U$1,0)</f>
        <v>0</v>
      </c>
      <c r="V945" s="50">
        <f>VLOOKUP($A945,'[1]ma sp 02'!$A$5:$BD$1101,V$1,0)</f>
        <v>0</v>
      </c>
      <c r="W945" s="50">
        <f>VLOOKUP($A945,'[1]ma sp 02'!$A$5:$BD$1101,W$1,0)</f>
        <v>0</v>
      </c>
      <c r="X945" s="50"/>
      <c r="Y945" s="62"/>
      <c r="Z945" s="62"/>
      <c r="AA945" s="62"/>
      <c r="AB945" s="62"/>
      <c r="AC945" s="62"/>
      <c r="AD945" s="62"/>
      <c r="AE945" s="62" t="s">
        <v>3017</v>
      </c>
      <c r="AF945" s="62"/>
      <c r="AG945" s="53">
        <f>(0.03*0.91+0.03*0.91)*0.65</f>
        <v>3.5490000000000001E-2</v>
      </c>
      <c r="AH945" s="54">
        <f>(2.3/0.75/2)*0.64</f>
        <v>0.98133333333333328</v>
      </c>
      <c r="AI945" s="54"/>
      <c r="AJ945" s="192">
        <v>9530</v>
      </c>
      <c r="AK945" s="62"/>
      <c r="AL945" s="62">
        <v>2.3E-3</v>
      </c>
      <c r="AM945" s="61" t="s">
        <v>128</v>
      </c>
      <c r="AN945" s="62">
        <v>290</v>
      </c>
      <c r="AO945" s="61" t="s">
        <v>2158</v>
      </c>
      <c r="AP945" s="59" t="str">
        <f>IFERROR(VLOOKUP($A945,[2]Mssp!$A$5:$BE$1463,AP$4+1,0),0)</f>
        <v>F130146-1</v>
      </c>
      <c r="AQ945" s="59" t="str">
        <f>IFERROR(VLOOKUP($A945,[2]Mssp!$A$5:$BE$1463,AQ$4+1,0),0)</f>
        <v>F130146-2</v>
      </c>
      <c r="AR945" s="59" t="str">
        <f>IFERROR(VLOOKUP($A945,[2]Mssp!$A$5:$BE$1463,AR$4+1,0),0)</f>
        <v>F130146-3</v>
      </c>
      <c r="AS945" s="59" t="str">
        <f>IFERROR(VLOOKUP($A945,[2]Mssp!$A$5:$BE$1463,AS$4+1,0),0)</f>
        <v>F130146-4</v>
      </c>
      <c r="AT945" s="59" t="str">
        <f>IFERROR(VLOOKUP($A945,[2]Mssp!$A$5:$BE$1463,AT$4+1,0),0)</f>
        <v>F130146-5</v>
      </c>
      <c r="AU945" s="59" t="str">
        <f>IFERROR(VLOOKUP($A945,[2]Mssp!$A$5:$BE$1463,AU$4+1,0),0)</f>
        <v>F130146-6</v>
      </c>
      <c r="AV945" s="59" t="str">
        <f>IFERROR(VLOOKUP($A945,[2]Mssp!$A$5:$BE$1463,AV$4+1,0),0)</f>
        <v>F130146-7</v>
      </c>
      <c r="AW945" s="59" t="str">
        <f>IFERROR(VLOOKUP($A945,[2]Mssp!$A$5:$BE$1463,AW$4+1,0),0)</f>
        <v>F129228-8</v>
      </c>
      <c r="AX945" s="59">
        <f>IFERROR(VLOOKUP($A945,[2]Mssp!$A$5:$BE$1463,AX$4+1,0),0)</f>
        <v>0</v>
      </c>
      <c r="AY945" s="59" t="str">
        <f>IFERROR(VLOOKUP($A945,[2]Mssp!$A$5:$BE$1463,AY$4+2,0),0)</f>
        <v xml:space="preserve">580x870 </v>
      </c>
      <c r="AZ945" s="59">
        <f>IFERROR(VLOOKUP($A945,[2]Mssp!$A$5:$BE$1463,AZ$4+2,0),0)</f>
        <v>0</v>
      </c>
      <c r="BA945" s="141">
        <v>1100</v>
      </c>
      <c r="BB945" s="61" t="s">
        <v>1894</v>
      </c>
      <c r="BC945" s="165"/>
      <c r="BD945" s="166"/>
      <c r="BE945" s="167"/>
      <c r="BF945" s="168"/>
      <c r="BG945" s="167"/>
      <c r="BH945" s="168"/>
      <c r="BI945" s="169"/>
      <c r="BJ945" s="168"/>
      <c r="BK945" s="134"/>
      <c r="BL945" s="168"/>
      <c r="BM945" s="167"/>
      <c r="BN945" s="168"/>
      <c r="BO945" s="62"/>
      <c r="BP945" s="168"/>
      <c r="BQ945" s="168"/>
      <c r="BR945" s="168"/>
      <c r="BS945" s="135"/>
      <c r="BT945" s="176"/>
      <c r="BU945" s="167"/>
      <c r="BV945" s="168"/>
      <c r="BW945" s="167"/>
      <c r="BX945" s="168"/>
      <c r="BY945" s="167"/>
      <c r="BZ945" s="176"/>
      <c r="CA945" s="167"/>
      <c r="CB945" s="168"/>
      <c r="CC945" s="167"/>
      <c r="CD945" s="168"/>
      <c r="CE945" s="62"/>
      <c r="CF945" s="62"/>
      <c r="CG945" s="9"/>
      <c r="CH945" s="9"/>
      <c r="CI945" s="9"/>
      <c r="CJ945" s="9"/>
      <c r="CK945" s="9"/>
      <c r="CL945" s="9"/>
      <c r="CM945" s="9"/>
      <c r="CN945" s="9"/>
      <c r="CO945" s="9"/>
      <c r="CP945" s="9"/>
    </row>
    <row r="946" spans="1:94" ht="45" x14ac:dyDescent="0.25">
      <c r="A946" s="127" t="s">
        <v>3018</v>
      </c>
      <c r="B946" s="51" t="s">
        <v>3019</v>
      </c>
      <c r="C946" s="62"/>
      <c r="D946" s="84">
        <v>1</v>
      </c>
      <c r="E946" s="62" t="s">
        <v>3016</v>
      </c>
      <c r="F946" s="62">
        <v>8</v>
      </c>
      <c r="G946" s="62"/>
      <c r="H946" s="50">
        <f>VLOOKUP($A946,'[1]ma sp 02'!$A$5:$BD$1101,H$1,0)</f>
        <v>7.6999999999999999E-2</v>
      </c>
      <c r="I946" s="50">
        <f>VLOOKUP($A946,'[1]ma sp 02'!$A$5:$BD$1101,I$1,0)</f>
        <v>4.6050000000000004</v>
      </c>
      <c r="J946" s="50">
        <f>VLOOKUP($A946,'[1]ma sp 02'!$A$5:$BD$1101,J$1,0)</f>
        <v>0.01</v>
      </c>
      <c r="K946" s="50">
        <f>VLOOKUP($A946,'[1]ma sp 02'!$A$5:$BD$1101,K$1,0)</f>
        <v>0.10299999999999999</v>
      </c>
      <c r="L946" s="50">
        <f>VLOOKUP($A946,'[1]ma sp 02'!$A$5:$BD$1101,L$1,0)</f>
        <v>0.35</v>
      </c>
      <c r="M946" s="50">
        <f>VLOOKUP($A946,'[1]ma sp 02'!$A$5:$BD$1101,M$1,0)</f>
        <v>5.0999999999999997E-2</v>
      </c>
      <c r="N946" s="50">
        <f>VLOOKUP($A946,'[1]ma sp 02'!$A$5:$BD$1101,N$1,0)</f>
        <v>0.44400000000000001</v>
      </c>
      <c r="O946" s="50">
        <f>VLOOKUP($A946,'[1]ma sp 02'!$A$5:$BD$1101,O$1,0)</f>
        <v>0</v>
      </c>
      <c r="P946" s="50">
        <f>VLOOKUP($A946,'[1]ma sp 02'!$A$5:$BD$1101,P$1,0)</f>
        <v>1.427</v>
      </c>
      <c r="Q946" s="50">
        <f>VLOOKUP($A946,'[1]ma sp 02'!$A$5:$BD$1101,Q$1,0)</f>
        <v>6.8000000000000005E-2</v>
      </c>
      <c r="R946" s="50">
        <f>VLOOKUP($A946,'[1]ma sp 02'!$A$5:$BD$1101,R$1,0)</f>
        <v>0</v>
      </c>
      <c r="S946" s="50">
        <f>VLOOKUP($A946,'[1]ma sp 02'!$A$5:$BD$1101,S$1,0)</f>
        <v>0</v>
      </c>
      <c r="T946" s="50">
        <f>VLOOKUP($A946,'[1]ma sp 02'!$A$5:$BD$1101,T$1,0)</f>
        <v>0</v>
      </c>
      <c r="U946" s="50">
        <f>VLOOKUP($A946,'[1]ma sp 02'!$A$5:$BD$1101,U$1,0)</f>
        <v>0</v>
      </c>
      <c r="V946" s="50">
        <f>VLOOKUP($A946,'[1]ma sp 02'!$A$5:$BD$1101,V$1,0)</f>
        <v>0</v>
      </c>
      <c r="W946" s="50">
        <f>VLOOKUP($A946,'[1]ma sp 02'!$A$5:$BD$1101,W$1,0)</f>
        <v>0</v>
      </c>
      <c r="X946" s="50"/>
      <c r="Y946" s="62"/>
      <c r="Z946" s="62"/>
      <c r="AA946" s="62"/>
      <c r="AB946" s="62"/>
      <c r="AC946" s="62"/>
      <c r="AD946" s="62"/>
      <c r="AE946" s="62" t="s">
        <v>3017</v>
      </c>
      <c r="AF946" s="62"/>
      <c r="AG946" s="53">
        <f>(0.03*0.91+0.03*0.91)*0.65</f>
        <v>3.5490000000000001E-2</v>
      </c>
      <c r="AH946" s="54">
        <f>(2.3/0.75/2)*0.64</f>
        <v>0.98133333333333328</v>
      </c>
      <c r="AI946" s="54"/>
      <c r="AJ946" s="192">
        <v>9530</v>
      </c>
      <c r="AK946" s="62"/>
      <c r="AL946" s="62">
        <v>2.3E-3</v>
      </c>
      <c r="AM946" s="61" t="s">
        <v>128</v>
      </c>
      <c r="AN946" s="62">
        <v>290</v>
      </c>
      <c r="AO946" s="61" t="s">
        <v>2158</v>
      </c>
      <c r="AP946" s="59" t="str">
        <f>IFERROR(VLOOKUP($A946,[2]Mssp!$A$5:$BE$1463,AP$4+1,0),0)</f>
        <v>F129228G2-1</v>
      </c>
      <c r="AQ946" s="59" t="str">
        <f>IFERROR(VLOOKUP($A946,[2]Mssp!$A$5:$BE$1463,AQ$4+1,0),0)</f>
        <v>F129228G2-2</v>
      </c>
      <c r="AR946" s="59" t="str">
        <f>IFERROR(VLOOKUP($A946,[2]Mssp!$A$5:$BE$1463,AR$4+1,0),0)</f>
        <v>F129228G2-3</v>
      </c>
      <c r="AS946" s="59" t="str">
        <f>IFERROR(VLOOKUP($A946,[2]Mssp!$A$5:$BE$1463,AS$4+1,0),0)</f>
        <v>F129228G2-4</v>
      </c>
      <c r="AT946" s="59" t="str">
        <f>IFERROR(VLOOKUP($A946,[2]Mssp!$A$5:$BE$1463,AT$4+1,0),0)</f>
        <v>F129228G2-5</v>
      </c>
      <c r="AU946" s="59" t="str">
        <f>IFERROR(VLOOKUP($A946,[2]Mssp!$A$5:$BE$1463,AU$4+1,0),0)</f>
        <v>F129228G2-6</v>
      </c>
      <c r="AV946" s="59" t="str">
        <f>IFERROR(VLOOKUP($A946,[2]Mssp!$A$5:$BE$1463,AV$4+1,0),0)</f>
        <v>F129228G2-7</v>
      </c>
      <c r="AW946" s="59" t="str">
        <f>IFERROR(VLOOKUP($A946,[2]Mssp!$A$5:$BE$1463,AW$4+1,0),0)</f>
        <v>F129228-8</v>
      </c>
      <c r="AX946" s="59" t="str">
        <f>IFERROR(VLOOKUP($A946,[2]Mssp!$A$5:$BE$1463,AX$4+1,0),0)</f>
        <v>F129228-8 mới</v>
      </c>
      <c r="AY946" s="59" t="str">
        <f>IFERROR(VLOOKUP($A946,[2]Mssp!$A$5:$BE$1463,AY$4+2,0),0)</f>
        <v xml:space="preserve">580x870 </v>
      </c>
      <c r="AZ946" s="59">
        <f>IFERROR(VLOOKUP($A946,[2]Mssp!$A$5:$BE$1463,AZ$4+2,0),0)</f>
        <v>0</v>
      </c>
      <c r="BA946" s="141">
        <v>1500</v>
      </c>
      <c r="BB946" s="61" t="s">
        <v>1894</v>
      </c>
      <c r="BC946" s="165"/>
      <c r="BD946" s="166"/>
      <c r="BE946" s="167"/>
      <c r="BF946" s="168"/>
      <c r="BG946" s="167"/>
      <c r="BH946" s="168"/>
      <c r="BI946" s="169"/>
      <c r="BJ946" s="168"/>
      <c r="BK946" s="134"/>
      <c r="BL946" s="168"/>
      <c r="BM946" s="167"/>
      <c r="BN946" s="168"/>
      <c r="BO946" s="62"/>
      <c r="BP946" s="168"/>
      <c r="BQ946" s="168"/>
      <c r="BR946" s="168"/>
      <c r="BS946" s="135"/>
      <c r="BT946" s="176"/>
      <c r="BU946" s="167"/>
      <c r="BV946" s="168"/>
      <c r="BW946" s="167"/>
      <c r="BX946" s="168"/>
      <c r="BY946" s="167"/>
      <c r="BZ946" s="176"/>
      <c r="CA946" s="167"/>
      <c r="CB946" s="168"/>
      <c r="CC946" s="167"/>
      <c r="CD946" s="168"/>
      <c r="CE946" s="62"/>
      <c r="CF946" s="62"/>
      <c r="CG946" s="9"/>
      <c r="CH946" s="9"/>
      <c r="CI946" s="9"/>
      <c r="CJ946" s="9"/>
      <c r="CK946" s="9"/>
      <c r="CL946" s="9"/>
      <c r="CM946" s="9"/>
      <c r="CN946" s="9"/>
      <c r="CO946" s="9"/>
      <c r="CP946" s="9"/>
    </row>
    <row r="947" spans="1:94" ht="45" x14ac:dyDescent="0.25">
      <c r="A947" s="127" t="s">
        <v>3020</v>
      </c>
      <c r="B947" s="51" t="s">
        <v>3021</v>
      </c>
      <c r="C947" s="62"/>
      <c r="D947" s="84">
        <v>4</v>
      </c>
      <c r="E947" s="62" t="s">
        <v>3022</v>
      </c>
      <c r="F947" s="62">
        <v>8</v>
      </c>
      <c r="G947" s="62"/>
      <c r="H947" s="50">
        <f>VLOOKUP($A947,'[1]ma sp 02'!$A$5:$BD$1101,H$1,0)</f>
        <v>0.109</v>
      </c>
      <c r="I947" s="50">
        <f>VLOOKUP($A947,'[1]ma sp 02'!$A$5:$BD$1101,I$1,0)</f>
        <v>4.8609999999999998</v>
      </c>
      <c r="J947" s="50">
        <f>VLOOKUP($A947,'[1]ma sp 02'!$A$5:$BD$1101,J$1,0)</f>
        <v>4.1000000000000002E-2</v>
      </c>
      <c r="K947" s="50">
        <f>VLOOKUP($A947,'[1]ma sp 02'!$A$5:$BD$1101,K$1,0)</f>
        <v>0.68300000000000005</v>
      </c>
      <c r="L947" s="50">
        <f>VLOOKUP($A947,'[1]ma sp 02'!$A$5:$BD$1101,L$1,0)</f>
        <v>0.39600000000000002</v>
      </c>
      <c r="M947" s="50">
        <f>VLOOKUP($A947,'[1]ma sp 02'!$A$5:$BD$1101,M$1,0)</f>
        <v>0</v>
      </c>
      <c r="N947" s="50">
        <f>VLOOKUP($A947,'[1]ma sp 02'!$A$5:$BD$1101,N$1,0)</f>
        <v>0.51900000000000002</v>
      </c>
      <c r="O947" s="50">
        <f>VLOOKUP($A947,'[1]ma sp 02'!$A$5:$BD$1101,O$1,0)</f>
        <v>0</v>
      </c>
      <c r="P947" s="50">
        <f>VLOOKUP($A947,'[1]ma sp 02'!$A$5:$BD$1101,P$1,0)</f>
        <v>0</v>
      </c>
      <c r="Q947" s="50">
        <f>VLOOKUP($A947,'[1]ma sp 02'!$A$5:$BD$1101,Q$1,0)</f>
        <v>2.7E-2</v>
      </c>
      <c r="R947" s="50">
        <f>VLOOKUP($A947,'[1]ma sp 02'!$A$5:$BD$1101,R$1,0)</f>
        <v>0</v>
      </c>
      <c r="S947" s="50">
        <f>VLOOKUP($A947,'[1]ma sp 02'!$A$5:$BD$1101,S$1,0)</f>
        <v>0.01</v>
      </c>
      <c r="T947" s="50">
        <f>VLOOKUP($A947,'[1]ma sp 02'!$A$5:$BD$1101,T$1,0)</f>
        <v>0</v>
      </c>
      <c r="U947" s="50">
        <f>VLOOKUP($A947,'[1]ma sp 02'!$A$5:$BD$1101,U$1,0)</f>
        <v>0</v>
      </c>
      <c r="V947" s="50">
        <f>VLOOKUP($A947,'[1]ma sp 02'!$A$5:$BD$1101,V$1,0)</f>
        <v>0</v>
      </c>
      <c r="W947" s="50">
        <f>VLOOKUP($A947,'[1]ma sp 02'!$A$5:$BD$1101,W$1,0)</f>
        <v>0</v>
      </c>
      <c r="X947" s="50"/>
      <c r="Y947" s="62"/>
      <c r="Z947" s="62"/>
      <c r="AA947" s="62"/>
      <c r="AB947" s="62"/>
      <c r="AC947" s="62"/>
      <c r="AD947" s="62"/>
      <c r="AE947" s="62" t="s">
        <v>3023</v>
      </c>
      <c r="AF947" s="62"/>
      <c r="AG947" s="53">
        <f>(0.02*0.91+0.025*0.91)*0.94</f>
        <v>3.8492999999999999E-2</v>
      </c>
      <c r="AH947" s="54">
        <f>(2/0.75/2)*0.93</f>
        <v>1.24</v>
      </c>
      <c r="AI947" s="54"/>
      <c r="AJ947" s="192">
        <v>9530</v>
      </c>
      <c r="AK947" s="62"/>
      <c r="AL947" s="62">
        <v>2E-3</v>
      </c>
      <c r="AM947" s="61" t="s">
        <v>1489</v>
      </c>
      <c r="AN947" s="62">
        <v>150</v>
      </c>
      <c r="AO947" s="61" t="s">
        <v>2158</v>
      </c>
      <c r="AP947" s="59" t="str">
        <f>IFERROR(VLOOKUP($A947,[2]Mssp!$A$5:$BE$1463,AP$4+1,0),0)</f>
        <v>F129227-1</v>
      </c>
      <c r="AQ947" s="59" t="str">
        <f>IFERROR(VLOOKUP($A947,[2]Mssp!$A$5:$BE$1463,AQ$4+1,0),0)</f>
        <v>F129227-2</v>
      </c>
      <c r="AR947" s="59" t="str">
        <f>IFERROR(VLOOKUP($A947,[2]Mssp!$A$5:$BE$1463,AR$4+1,0),0)</f>
        <v>F129227-3</v>
      </c>
      <c r="AS947" s="59" t="str">
        <f>IFERROR(VLOOKUP($A947,[2]Mssp!$A$5:$BE$1463,AS$4+1,0),0)</f>
        <v>F129227-4</v>
      </c>
      <c r="AT947" s="59" t="str">
        <f>IFERROR(VLOOKUP($A947,[2]Mssp!$A$5:$BE$1463,AT$4+1,0),0)</f>
        <v>F129227-5</v>
      </c>
      <c r="AU947" s="59" t="str">
        <f>IFERROR(VLOOKUP($A947,[2]Mssp!$A$5:$BE$1463,AU$4+1,0),0)</f>
        <v>F129227-6</v>
      </c>
      <c r="AV947" s="59" t="str">
        <f>IFERROR(VLOOKUP($A947,[2]Mssp!$A$5:$BE$1463,AV$4+1,0),0)</f>
        <v>F129227-7</v>
      </c>
      <c r="AW947" s="59" t="str">
        <f>IFERROR(VLOOKUP($A947,[2]Mssp!$A$5:$BE$1463,AW$4+1,0),0)</f>
        <v>F129227-8</v>
      </c>
      <c r="AX947" s="59">
        <f>IFERROR(VLOOKUP($A947,[2]Mssp!$A$5:$BE$1463,AX$4+1,0),0)</f>
        <v>0</v>
      </c>
      <c r="AY947" s="59" t="str">
        <f>IFERROR(VLOOKUP($A947,[2]Mssp!$A$5:$BE$1463,AY$4+2,0),0)</f>
        <v>450x1100</v>
      </c>
      <c r="AZ947" s="59">
        <f>IFERROR(VLOOKUP($A947,[2]Mssp!$A$5:$BE$1463,AZ$4+2,0),0)</f>
        <v>0</v>
      </c>
      <c r="BA947" s="141" t="s">
        <v>144</v>
      </c>
      <c r="BB947" s="61" t="s">
        <v>1894</v>
      </c>
      <c r="BC947" s="165"/>
      <c r="BD947" s="166"/>
      <c r="BE947" s="167"/>
      <c r="BF947" s="168"/>
      <c r="BG947" s="167"/>
      <c r="BH947" s="168"/>
      <c r="BI947" s="169"/>
      <c r="BJ947" s="168"/>
      <c r="BK947" s="134"/>
      <c r="BL947" s="168"/>
      <c r="BM947" s="167"/>
      <c r="BN947" s="168"/>
      <c r="BO947" s="62"/>
      <c r="BP947" s="168"/>
      <c r="BQ947" s="168"/>
      <c r="BR947" s="168"/>
      <c r="BS947" s="135"/>
      <c r="BT947" s="176"/>
      <c r="BU947" s="167"/>
      <c r="BV947" s="168"/>
      <c r="BW947" s="167"/>
      <c r="BX947" s="168"/>
      <c r="BY947" s="167"/>
      <c r="BZ947" s="176"/>
      <c r="CA947" s="167"/>
      <c r="CB947" s="168"/>
      <c r="CC947" s="167"/>
      <c r="CD947" s="168"/>
      <c r="CE947" s="62"/>
      <c r="CF947" s="62"/>
      <c r="CG947" s="9"/>
      <c r="CH947" s="9"/>
      <c r="CI947" s="9"/>
      <c r="CJ947" s="9"/>
      <c r="CK947" s="9"/>
      <c r="CL947" s="9"/>
      <c r="CM947" s="9"/>
      <c r="CN947" s="9"/>
      <c r="CO947" s="9"/>
      <c r="CP947" s="9"/>
    </row>
    <row r="948" spans="1:94" ht="30" x14ac:dyDescent="0.25">
      <c r="A948" s="127" t="s">
        <v>3024</v>
      </c>
      <c r="B948" s="51" t="s">
        <v>3025</v>
      </c>
      <c r="C948" s="62"/>
      <c r="D948" s="84">
        <v>2</v>
      </c>
      <c r="E948" s="62" t="s">
        <v>178</v>
      </c>
      <c r="F948" s="62"/>
      <c r="G948" s="62"/>
      <c r="H948" s="50">
        <f>VLOOKUP($A948,'[1]ma sp 02'!$A$5:$BD$1101,H$1,0)</f>
        <v>0</v>
      </c>
      <c r="I948" s="50">
        <f>VLOOKUP($A948,'[1]ma sp 02'!$A$5:$BD$1101,I$1,0)</f>
        <v>0</v>
      </c>
      <c r="J948" s="50">
        <f>VLOOKUP($A948,'[1]ma sp 02'!$A$5:$BD$1101,J$1,0)</f>
        <v>0</v>
      </c>
      <c r="K948" s="50">
        <f>VLOOKUP($A948,'[1]ma sp 02'!$A$5:$BD$1101,K$1,0)</f>
        <v>0</v>
      </c>
      <c r="L948" s="50">
        <f>VLOOKUP($A948,'[1]ma sp 02'!$A$5:$BD$1101,L$1,0)</f>
        <v>0</v>
      </c>
      <c r="M948" s="50">
        <f>VLOOKUP($A948,'[1]ma sp 02'!$A$5:$BD$1101,M$1,0)</f>
        <v>0</v>
      </c>
      <c r="N948" s="50">
        <f>VLOOKUP($A948,'[1]ma sp 02'!$A$5:$BD$1101,N$1,0)</f>
        <v>0</v>
      </c>
      <c r="O948" s="50">
        <f>VLOOKUP($A948,'[1]ma sp 02'!$A$5:$BD$1101,O$1,0)</f>
        <v>0</v>
      </c>
      <c r="P948" s="50">
        <f>VLOOKUP($A948,'[1]ma sp 02'!$A$5:$BD$1101,P$1,0)</f>
        <v>0</v>
      </c>
      <c r="Q948" s="50">
        <f>VLOOKUP($A948,'[1]ma sp 02'!$A$5:$BD$1101,Q$1,0)</f>
        <v>0</v>
      </c>
      <c r="R948" s="50">
        <f>VLOOKUP($A948,'[1]ma sp 02'!$A$5:$BD$1101,R$1,0)</f>
        <v>0</v>
      </c>
      <c r="S948" s="50">
        <f>VLOOKUP($A948,'[1]ma sp 02'!$A$5:$BD$1101,S$1,0)</f>
        <v>0</v>
      </c>
      <c r="T948" s="50">
        <f>VLOOKUP($A948,'[1]ma sp 02'!$A$5:$BD$1101,T$1,0)</f>
        <v>0</v>
      </c>
      <c r="U948" s="50">
        <f>VLOOKUP($A948,'[1]ma sp 02'!$A$5:$BD$1101,U$1,0)</f>
        <v>0</v>
      </c>
      <c r="V948" s="50">
        <f>VLOOKUP($A948,'[1]ma sp 02'!$A$5:$BD$1101,V$1,0)</f>
        <v>0</v>
      </c>
      <c r="W948" s="50">
        <f>VLOOKUP($A948,'[1]ma sp 02'!$A$5:$BD$1101,W$1,0)</f>
        <v>0</v>
      </c>
      <c r="X948" s="50"/>
      <c r="Y948" s="62"/>
      <c r="Z948" s="62"/>
      <c r="AA948" s="62"/>
      <c r="AB948" s="62"/>
      <c r="AC948" s="62"/>
      <c r="AD948" s="62"/>
      <c r="AE948" s="62" t="s">
        <v>3026</v>
      </c>
      <c r="AF948" s="62"/>
      <c r="AG948" s="53">
        <f>(0.02*0.91+0.055*0.925)*0.73</f>
        <v>5.0424749999999997E-2</v>
      </c>
      <c r="AH948" s="54">
        <f>(2.3/0.75/2)*0.72</f>
        <v>1.1039999999999999</v>
      </c>
      <c r="AI948" s="54"/>
      <c r="AJ948" s="62">
        <v>9530</v>
      </c>
      <c r="AK948" s="62"/>
      <c r="AL948" s="9">
        <v>2E-3</v>
      </c>
      <c r="AM948" s="61" t="s">
        <v>1489</v>
      </c>
      <c r="AN948" s="62"/>
      <c r="AO948" s="61" t="s">
        <v>180</v>
      </c>
      <c r="AP948" s="59">
        <f>IFERROR(VLOOKUP($A948,[2]Mssp!$A$5:$BE$1463,AP$4+1,0),0)</f>
        <v>0</v>
      </c>
      <c r="AQ948" s="59">
        <f>IFERROR(VLOOKUP($A948,[2]Mssp!$A$5:$BE$1463,AQ$4+1,0),0)</f>
        <v>0</v>
      </c>
      <c r="AR948" s="59">
        <f>IFERROR(VLOOKUP($A948,[2]Mssp!$A$5:$BE$1463,AR$4+1,0),0)</f>
        <v>0</v>
      </c>
      <c r="AS948" s="59">
        <f>IFERROR(VLOOKUP($A948,[2]Mssp!$A$5:$BE$1463,AS$4+1,0),0)</f>
        <v>0</v>
      </c>
      <c r="AT948" s="59">
        <f>IFERROR(VLOOKUP($A948,[2]Mssp!$A$5:$BE$1463,AT$4+1,0),0)</f>
        <v>0</v>
      </c>
      <c r="AU948" s="59">
        <f>IFERROR(VLOOKUP($A948,[2]Mssp!$A$5:$BE$1463,AU$4+1,0),0)</f>
        <v>0</v>
      </c>
      <c r="AV948" s="59">
        <f>IFERROR(VLOOKUP($A948,[2]Mssp!$A$5:$BE$1463,AV$4+1,0),0)</f>
        <v>0</v>
      </c>
      <c r="AW948" s="59">
        <f>IFERROR(VLOOKUP($A948,[2]Mssp!$A$5:$BE$1463,AW$4+1,0),0)</f>
        <v>0</v>
      </c>
      <c r="AX948" s="59">
        <f>IFERROR(VLOOKUP($A948,[2]Mssp!$A$5:$BE$1463,AX$4+1,0),0)</f>
        <v>0</v>
      </c>
      <c r="AY948" s="59">
        <f>IFERROR(VLOOKUP($A948,[2]Mssp!$A$5:$BE$1463,AY$4+2,0),0)</f>
        <v>0</v>
      </c>
      <c r="AZ948" s="59">
        <f>IFERROR(VLOOKUP($A948,[2]Mssp!$A$5:$BE$1463,AZ$4+2,0),0)</f>
        <v>0</v>
      </c>
      <c r="BA948" s="141"/>
      <c r="BB948" s="61" t="s">
        <v>952</v>
      </c>
      <c r="BC948" s="165"/>
      <c r="BD948" s="166"/>
      <c r="BE948" s="167"/>
      <c r="BF948" s="168"/>
      <c r="BG948" s="167"/>
      <c r="BH948" s="168"/>
      <c r="BI948" s="169"/>
      <c r="BJ948" s="168"/>
      <c r="BK948" s="134"/>
      <c r="BL948" s="168"/>
      <c r="BM948" s="167"/>
      <c r="BN948" s="168"/>
      <c r="BO948" s="62"/>
      <c r="BP948" s="168"/>
      <c r="BQ948" s="168"/>
      <c r="BR948" s="168"/>
      <c r="BS948" s="135"/>
      <c r="BT948" s="176"/>
      <c r="BU948" s="167"/>
      <c r="BV948" s="168"/>
      <c r="BW948" s="167"/>
      <c r="BX948" s="168"/>
      <c r="BY948" s="167"/>
      <c r="BZ948" s="176"/>
      <c r="CA948" s="167"/>
      <c r="CB948" s="168"/>
      <c r="CC948" s="167"/>
      <c r="CD948" s="168"/>
      <c r="CE948" s="62"/>
      <c r="CF948" s="62"/>
      <c r="CG948" s="9"/>
      <c r="CH948" s="9"/>
      <c r="CI948" s="9"/>
      <c r="CJ948" s="9"/>
      <c r="CK948" s="9"/>
      <c r="CL948" s="9"/>
      <c r="CM948" s="9"/>
      <c r="CN948" s="9"/>
      <c r="CO948" s="9"/>
      <c r="CP948" s="9"/>
    </row>
    <row r="949" spans="1:94" ht="45" x14ac:dyDescent="0.25">
      <c r="A949" s="127" t="s">
        <v>3027</v>
      </c>
      <c r="B949" s="51" t="s">
        <v>3028</v>
      </c>
      <c r="C949" s="62"/>
      <c r="D949" s="84">
        <v>2</v>
      </c>
      <c r="E949" s="62" t="s">
        <v>2728</v>
      </c>
      <c r="F949" s="62">
        <v>1</v>
      </c>
      <c r="G949" s="62"/>
      <c r="H949" s="50">
        <f>VLOOKUP($A949,'[1]ma sp 02'!$A$5:$BD$1101,H$1,0)</f>
        <v>0.22500000000000001</v>
      </c>
      <c r="I949" s="50">
        <f>VLOOKUP($A949,'[1]ma sp 02'!$A$5:$BD$1101,I$1,0)</f>
        <v>0</v>
      </c>
      <c r="J949" s="50">
        <f>VLOOKUP($A949,'[1]ma sp 02'!$A$5:$BD$1101,J$1,0)</f>
        <v>0</v>
      </c>
      <c r="K949" s="50">
        <f>VLOOKUP($A949,'[1]ma sp 02'!$A$5:$BD$1101,K$1,0)</f>
        <v>0</v>
      </c>
      <c r="L949" s="50">
        <f>VLOOKUP($A949,'[1]ma sp 02'!$A$5:$BD$1101,L$1,0)</f>
        <v>0</v>
      </c>
      <c r="M949" s="50">
        <f>VLOOKUP($A949,'[1]ma sp 02'!$A$5:$BD$1101,M$1,0)</f>
        <v>0</v>
      </c>
      <c r="N949" s="50">
        <f>VLOOKUP($A949,'[1]ma sp 02'!$A$5:$BD$1101,N$1,0)</f>
        <v>0</v>
      </c>
      <c r="O949" s="50">
        <f>VLOOKUP($A949,'[1]ma sp 02'!$A$5:$BD$1101,O$1,0)</f>
        <v>0</v>
      </c>
      <c r="P949" s="50">
        <f>VLOOKUP($A949,'[1]ma sp 02'!$A$5:$BD$1101,P$1,0)</f>
        <v>0</v>
      </c>
      <c r="Q949" s="50">
        <f>VLOOKUP($A949,'[1]ma sp 02'!$A$5:$BD$1101,Q$1,0)</f>
        <v>0</v>
      </c>
      <c r="R949" s="50">
        <f>VLOOKUP($A949,'[1]ma sp 02'!$A$5:$BD$1101,R$1,0)</f>
        <v>0</v>
      </c>
      <c r="S949" s="50">
        <f>VLOOKUP($A949,'[1]ma sp 02'!$A$5:$BD$1101,S$1,0)</f>
        <v>0</v>
      </c>
      <c r="T949" s="50">
        <f>VLOOKUP($A949,'[1]ma sp 02'!$A$5:$BD$1101,T$1,0)</f>
        <v>0</v>
      </c>
      <c r="U949" s="50">
        <f>VLOOKUP($A949,'[1]ma sp 02'!$A$5:$BD$1101,U$1,0)</f>
        <v>0</v>
      </c>
      <c r="V949" s="50">
        <f>VLOOKUP($A949,'[1]ma sp 02'!$A$5:$BD$1101,V$1,0)</f>
        <v>0</v>
      </c>
      <c r="W949" s="50">
        <f>VLOOKUP($A949,'[1]ma sp 02'!$A$5:$BD$1101,W$1,0)</f>
        <v>0</v>
      </c>
      <c r="X949" s="50"/>
      <c r="Y949" s="62"/>
      <c r="Z949" s="62"/>
      <c r="AA949" s="62"/>
      <c r="AB949" s="62"/>
      <c r="AC949" s="62"/>
      <c r="AD949" s="62"/>
      <c r="AE949" s="62" t="s">
        <v>3029</v>
      </c>
      <c r="AF949" s="62"/>
      <c r="AG949" s="53">
        <f>(0.015*1.15+0.085*0.94)*0.76</f>
        <v>7.3833999999999997E-2</v>
      </c>
      <c r="AH949" s="54">
        <f>(2.3/0.75/2)*0.75</f>
        <v>1.1499999999999999</v>
      </c>
      <c r="AI949" s="54"/>
      <c r="AJ949" s="192">
        <v>9530</v>
      </c>
      <c r="AK949" s="62"/>
      <c r="AL949" s="62">
        <v>2.3E-3</v>
      </c>
      <c r="AM949" s="61" t="s">
        <v>1489</v>
      </c>
      <c r="AN949" s="62">
        <v>245</v>
      </c>
      <c r="AO949" s="61" t="s">
        <v>3013</v>
      </c>
      <c r="AP949" s="59" t="str">
        <f>IFERROR(VLOOKUP($A949,[2]Mssp!$A$5:$BE$1463,AP$4+1,0),0)</f>
        <v>F129222-1</v>
      </c>
      <c r="AQ949" s="59">
        <f>IFERROR(VLOOKUP($A949,[2]Mssp!$A$5:$BE$1463,AQ$4+1,0),0)</f>
        <v>0</v>
      </c>
      <c r="AR949" s="59">
        <f>IFERROR(VLOOKUP($A949,[2]Mssp!$A$5:$BE$1463,AR$4+1,0),0)</f>
        <v>0</v>
      </c>
      <c r="AS949" s="59">
        <f>IFERROR(VLOOKUP($A949,[2]Mssp!$A$5:$BE$1463,AS$4+1,0),0)</f>
        <v>0</v>
      </c>
      <c r="AT949" s="59">
        <f>IFERROR(VLOOKUP($A949,[2]Mssp!$A$5:$BE$1463,AT$4+1,0),0)</f>
        <v>0</v>
      </c>
      <c r="AU949" s="59">
        <f>IFERROR(VLOOKUP($A949,[2]Mssp!$A$5:$BE$1463,AU$4+1,0),0)</f>
        <v>0</v>
      </c>
      <c r="AV949" s="59">
        <f>IFERROR(VLOOKUP($A949,[2]Mssp!$A$5:$BE$1463,AV$4+1,0),0)</f>
        <v>0</v>
      </c>
      <c r="AW949" s="59">
        <f>IFERROR(VLOOKUP($A949,[2]Mssp!$A$5:$BE$1463,AW$4+1,0),0)</f>
        <v>0</v>
      </c>
      <c r="AX949" s="59">
        <f>IFERROR(VLOOKUP($A949,[2]Mssp!$A$5:$BE$1463,AX$4+1,0),0)</f>
        <v>0</v>
      </c>
      <c r="AY949" s="59" t="str">
        <f>IFERROR(VLOOKUP($A949,[2]Mssp!$A$5:$BE$1463,AY$4+2,0),0)</f>
        <v>490x870</v>
      </c>
      <c r="AZ949" s="59">
        <f>IFERROR(VLOOKUP($A949,[2]Mssp!$A$5:$BE$1463,AZ$4+2,0),0)</f>
        <v>0</v>
      </c>
      <c r="BA949" s="141"/>
      <c r="BB949" s="61" t="s">
        <v>952</v>
      </c>
      <c r="BC949" s="165"/>
      <c r="BD949" s="166"/>
      <c r="BE949" s="167"/>
      <c r="BF949" s="168"/>
      <c r="BG949" s="167"/>
      <c r="BH949" s="168"/>
      <c r="BI949" s="169"/>
      <c r="BJ949" s="168"/>
      <c r="BK949" s="134"/>
      <c r="BL949" s="168"/>
      <c r="BM949" s="167"/>
      <c r="BN949" s="168"/>
      <c r="BO949" s="62"/>
      <c r="BP949" s="168"/>
      <c r="BQ949" s="168"/>
      <c r="BR949" s="168"/>
      <c r="BS949" s="135"/>
      <c r="BT949" s="176"/>
      <c r="BU949" s="167"/>
      <c r="BV949" s="168"/>
      <c r="BW949" s="167"/>
      <c r="BX949" s="168"/>
      <c r="BY949" s="167"/>
      <c r="BZ949" s="176"/>
      <c r="CA949" s="167"/>
      <c r="CB949" s="168"/>
      <c r="CC949" s="167"/>
      <c r="CD949" s="168"/>
      <c r="CE949" s="62"/>
      <c r="CF949" s="62"/>
      <c r="CG949" s="9"/>
      <c r="CH949" s="9"/>
      <c r="CI949" s="9"/>
      <c r="CJ949" s="9"/>
      <c r="CK949" s="9"/>
      <c r="CL949" s="9"/>
      <c r="CM949" s="9"/>
      <c r="CN949" s="9"/>
      <c r="CO949" s="9"/>
      <c r="CP949" s="9"/>
    </row>
    <row r="950" spans="1:94" ht="30" x14ac:dyDescent="0.25">
      <c r="A950" s="127" t="s">
        <v>3030</v>
      </c>
      <c r="B950" s="51" t="s">
        <v>3031</v>
      </c>
      <c r="C950" s="62"/>
      <c r="D950" s="84">
        <v>1</v>
      </c>
      <c r="E950" s="62" t="s">
        <v>393</v>
      </c>
      <c r="F950" s="62">
        <v>5</v>
      </c>
      <c r="G950" s="62"/>
      <c r="H950" s="50">
        <f>VLOOKUP($A950,'[1]ma sp 02'!$A$5:$BD$1101,H$1,0)</f>
        <v>1.1000000000000001</v>
      </c>
      <c r="I950" s="50">
        <f>VLOOKUP($A950,'[1]ma sp 02'!$A$5:$BD$1101,I$1,0)</f>
        <v>2.589</v>
      </c>
      <c r="J950" s="50">
        <f>VLOOKUP($A950,'[1]ma sp 02'!$A$5:$BD$1101,J$1,0)</f>
        <v>0</v>
      </c>
      <c r="K950" s="50">
        <f>VLOOKUP($A950,'[1]ma sp 02'!$A$5:$BD$1101,K$1,0)</f>
        <v>0.71199999999999997</v>
      </c>
      <c r="L950" s="50">
        <f>VLOOKUP($A950,'[1]ma sp 02'!$A$5:$BD$1101,L$1,0)</f>
        <v>0.71199999999999997</v>
      </c>
      <c r="M950" s="50">
        <f>VLOOKUP($A950,'[1]ma sp 02'!$A$5:$BD$1101,M$1,0)</f>
        <v>0</v>
      </c>
      <c r="N950" s="50">
        <f>VLOOKUP($A950,'[1]ma sp 02'!$A$5:$BD$1101,N$1,0)</f>
        <v>0</v>
      </c>
      <c r="O950" s="50">
        <f>VLOOKUP($A950,'[1]ma sp 02'!$A$5:$BD$1101,O$1,0)</f>
        <v>0</v>
      </c>
      <c r="P950" s="50">
        <f>VLOOKUP($A950,'[1]ma sp 02'!$A$5:$BD$1101,P$1,0)</f>
        <v>6.5000000000000002E-2</v>
      </c>
      <c r="Q950" s="50">
        <f>VLOOKUP($A950,'[1]ma sp 02'!$A$5:$BD$1101,Q$1,0)</f>
        <v>0</v>
      </c>
      <c r="R950" s="50">
        <f>VLOOKUP($A950,'[1]ma sp 02'!$A$5:$BD$1101,R$1,0)</f>
        <v>0</v>
      </c>
      <c r="S950" s="50">
        <f>VLOOKUP($A950,'[1]ma sp 02'!$A$5:$BD$1101,S$1,0)</f>
        <v>0</v>
      </c>
      <c r="T950" s="50">
        <f>VLOOKUP($A950,'[1]ma sp 02'!$A$5:$BD$1101,T$1,0)</f>
        <v>0</v>
      </c>
      <c r="U950" s="50">
        <f>VLOOKUP($A950,'[1]ma sp 02'!$A$5:$BD$1101,U$1,0)</f>
        <v>0</v>
      </c>
      <c r="V950" s="50">
        <f>VLOOKUP($A950,'[1]ma sp 02'!$A$5:$BD$1101,V$1,0)</f>
        <v>0</v>
      </c>
      <c r="W950" s="50">
        <f>VLOOKUP($A950,'[1]ma sp 02'!$A$5:$BD$1101,W$1,0)</f>
        <v>0</v>
      </c>
      <c r="X950" s="50"/>
      <c r="Y950" s="62"/>
      <c r="Z950" s="62"/>
      <c r="AA950" s="62"/>
      <c r="AB950" s="62"/>
      <c r="AC950" s="62"/>
      <c r="AD950" s="62"/>
      <c r="AE950" s="62" t="s">
        <v>738</v>
      </c>
      <c r="AF950" s="62" t="s">
        <v>2894</v>
      </c>
      <c r="AG950" s="53">
        <f>(0.012*1.4+0.006*2.71+0.12*0.925)*0.66</f>
        <v>9.50796E-2</v>
      </c>
      <c r="AH950" s="54">
        <f>(3/0.75/2)*0.65</f>
        <v>1.3</v>
      </c>
      <c r="AI950" s="54">
        <f>(3/0.75/2)*0.65</f>
        <v>1.3</v>
      </c>
      <c r="AJ950" s="192">
        <v>9530</v>
      </c>
      <c r="AK950" s="192">
        <v>9530</v>
      </c>
      <c r="AL950" s="62" t="s">
        <v>3012</v>
      </c>
      <c r="AM950" s="61" t="s">
        <v>74</v>
      </c>
      <c r="AN950" s="62">
        <v>240</v>
      </c>
      <c r="AO950" s="61" t="s">
        <v>3032</v>
      </c>
      <c r="AP950" s="59" t="str">
        <f>IFERROR(VLOOKUP($A950,[2]Mssp!$A$5:$BE$1463,AP$4+1,0),0)</f>
        <v>21080518-1</v>
      </c>
      <c r="AQ950" s="59" t="str">
        <f>IFERROR(VLOOKUP($A950,[2]Mssp!$A$5:$BE$1463,AQ$4+1,0),0)</f>
        <v>21080518-2</v>
      </c>
      <c r="AR950" s="59" t="str">
        <f>IFERROR(VLOOKUP($A950,[2]Mssp!$A$5:$BE$1463,AR$4+1,0),0)</f>
        <v>21080518-3</v>
      </c>
      <c r="AS950" s="59" t="str">
        <f>IFERROR(VLOOKUP($A950,[2]Mssp!$A$5:$BE$1463,AS$4+1,0),0)</f>
        <v>21080518-4</v>
      </c>
      <c r="AT950" s="59" t="str">
        <f>IFERROR(VLOOKUP($A950,[2]Mssp!$A$5:$BE$1463,AT$4+1,0),0)</f>
        <v>21080518-5</v>
      </c>
      <c r="AU950" s="59">
        <f>IFERROR(VLOOKUP($A950,[2]Mssp!$A$5:$BE$1463,AU$4+1,0),0)</f>
        <v>0</v>
      </c>
      <c r="AV950" s="59">
        <f>IFERROR(VLOOKUP($A950,[2]Mssp!$A$5:$BE$1463,AV$4+1,0),0)</f>
        <v>0</v>
      </c>
      <c r="AW950" s="59">
        <f>IFERROR(VLOOKUP($A950,[2]Mssp!$A$5:$BE$1463,AW$4+1,0),0)</f>
        <v>0</v>
      </c>
      <c r="AX950" s="59">
        <f>IFERROR(VLOOKUP($A950,[2]Mssp!$A$5:$BE$1463,AX$4+1,0),0)</f>
        <v>0</v>
      </c>
      <c r="AY950" s="59" t="str">
        <f>IFERROR(VLOOKUP($A950,[2]Mssp!$A$5:$BE$1463,AY$4+2,0),0)</f>
        <v>480x870</v>
      </c>
      <c r="AZ950" s="59">
        <f>IFERROR(VLOOKUP($A950,[2]Mssp!$A$5:$BE$1463,AZ$4+2,0),0)</f>
        <v>0</v>
      </c>
      <c r="BA950" s="141"/>
      <c r="BB950" s="61" t="s">
        <v>1894</v>
      </c>
      <c r="BC950" s="165"/>
      <c r="BD950" s="166"/>
      <c r="BE950" s="167"/>
      <c r="BF950" s="168"/>
      <c r="BG950" s="167"/>
      <c r="BH950" s="168"/>
      <c r="BI950" s="169"/>
      <c r="BJ950" s="168"/>
      <c r="BK950" s="134"/>
      <c r="BL950" s="168"/>
      <c r="BM950" s="167"/>
      <c r="BN950" s="168"/>
      <c r="BO950" s="62"/>
      <c r="BP950" s="168"/>
      <c r="BQ950" s="168"/>
      <c r="BR950" s="168"/>
      <c r="BS950" s="135"/>
      <c r="BT950" s="176"/>
      <c r="BU950" s="167"/>
      <c r="BV950" s="168"/>
      <c r="BW950" s="167"/>
      <c r="BX950" s="168"/>
      <c r="BY950" s="167"/>
      <c r="BZ950" s="176"/>
      <c r="CA950" s="167"/>
      <c r="CB950" s="168"/>
      <c r="CC950" s="167"/>
      <c r="CD950" s="168"/>
      <c r="CE950" s="62"/>
      <c r="CF950" s="62"/>
      <c r="CG950" s="9"/>
      <c r="CH950" s="9"/>
      <c r="CI950" s="9"/>
      <c r="CJ950" s="9"/>
      <c r="CK950" s="9"/>
      <c r="CL950" s="9"/>
      <c r="CM950" s="9"/>
      <c r="CN950" s="9"/>
      <c r="CO950" s="9"/>
      <c r="CP950" s="9"/>
    </row>
    <row r="951" spans="1:94" ht="30" x14ac:dyDescent="0.25">
      <c r="A951" s="127" t="s">
        <v>3033</v>
      </c>
      <c r="B951" s="51" t="s">
        <v>3034</v>
      </c>
      <c r="C951" s="62"/>
      <c r="D951" s="84">
        <v>1</v>
      </c>
      <c r="E951" s="62" t="s">
        <v>2494</v>
      </c>
      <c r="F951" s="62">
        <v>2</v>
      </c>
      <c r="G951" s="62"/>
      <c r="H951" s="50">
        <f>VLOOKUP($A951,'[1]ma sp 02'!$A$5:$BD$1101,H$1,0)</f>
        <v>0</v>
      </c>
      <c r="I951" s="50">
        <f>VLOOKUP($A951,'[1]ma sp 02'!$A$5:$BD$1101,I$1,0)</f>
        <v>0</v>
      </c>
      <c r="J951" s="50">
        <f>VLOOKUP($A951,'[1]ma sp 02'!$A$5:$BD$1101,J$1,0)</f>
        <v>0</v>
      </c>
      <c r="K951" s="50">
        <f>VLOOKUP($A951,'[1]ma sp 02'!$A$5:$BD$1101,K$1,0)</f>
        <v>0</v>
      </c>
      <c r="L951" s="50">
        <f>VLOOKUP($A951,'[1]ma sp 02'!$A$5:$BD$1101,L$1,0)</f>
        <v>0</v>
      </c>
      <c r="M951" s="50">
        <f>VLOOKUP($A951,'[1]ma sp 02'!$A$5:$BD$1101,M$1,0)</f>
        <v>0</v>
      </c>
      <c r="N951" s="50">
        <f>VLOOKUP($A951,'[1]ma sp 02'!$A$5:$BD$1101,N$1,0)</f>
        <v>0</v>
      </c>
      <c r="O951" s="50">
        <f>VLOOKUP($A951,'[1]ma sp 02'!$A$5:$BD$1101,O$1,0)</f>
        <v>0</v>
      </c>
      <c r="P951" s="50">
        <f>VLOOKUP($A951,'[1]ma sp 02'!$A$5:$BD$1101,P$1,0)</f>
        <v>0</v>
      </c>
      <c r="Q951" s="50">
        <f>VLOOKUP($A951,'[1]ma sp 02'!$A$5:$BD$1101,Q$1,0)</f>
        <v>0</v>
      </c>
      <c r="R951" s="50">
        <f>VLOOKUP($A951,'[1]ma sp 02'!$A$5:$BD$1101,R$1,0)</f>
        <v>0</v>
      </c>
      <c r="S951" s="50">
        <f>VLOOKUP($A951,'[1]ma sp 02'!$A$5:$BD$1101,S$1,0)</f>
        <v>0</v>
      </c>
      <c r="T951" s="50">
        <f>VLOOKUP($A951,'[1]ma sp 02'!$A$5:$BD$1101,T$1,0)</f>
        <v>0</v>
      </c>
      <c r="U951" s="50">
        <f>VLOOKUP($A951,'[1]ma sp 02'!$A$5:$BD$1101,U$1,0)</f>
        <v>0</v>
      </c>
      <c r="V951" s="50">
        <f>VLOOKUP($A951,'[1]ma sp 02'!$A$5:$BD$1101,V$1,0)</f>
        <v>0</v>
      </c>
      <c r="W951" s="50">
        <f>VLOOKUP($A951,'[1]ma sp 02'!$A$5:$BD$1101,W$1,0)</f>
        <v>0</v>
      </c>
      <c r="X951" s="50"/>
      <c r="Y951" s="62"/>
      <c r="Z951" s="62"/>
      <c r="AA951" s="62"/>
      <c r="AB951" s="62"/>
      <c r="AC951" s="62"/>
      <c r="AD951" s="62"/>
      <c r="AE951" s="62"/>
      <c r="AF951" s="62"/>
      <c r="AG951" s="53">
        <f>(0.012*1.4*0.84)</f>
        <v>1.4111999999999998E-2</v>
      </c>
      <c r="AH951" s="54"/>
      <c r="AI951" s="54"/>
      <c r="AJ951" s="192"/>
      <c r="AK951" s="62"/>
      <c r="AL951" s="62"/>
      <c r="AM951" s="61" t="s">
        <v>1489</v>
      </c>
      <c r="AN951" s="62"/>
      <c r="AO951" s="61" t="s">
        <v>3035</v>
      </c>
      <c r="AP951" s="59">
        <f>IFERROR(VLOOKUP($A951,[2]Mssp!$A$5:$BE$1463,AP$4+1,0),0)</f>
        <v>0</v>
      </c>
      <c r="AQ951" s="59">
        <f>IFERROR(VLOOKUP($A951,[2]Mssp!$A$5:$BE$1463,AQ$4+1,0),0)</f>
        <v>0</v>
      </c>
      <c r="AR951" s="59">
        <f>IFERROR(VLOOKUP($A951,[2]Mssp!$A$5:$BE$1463,AR$4+1,0),0)</f>
        <v>0</v>
      </c>
      <c r="AS951" s="59">
        <f>IFERROR(VLOOKUP($A951,[2]Mssp!$A$5:$BE$1463,AS$4+1,0),0)</f>
        <v>0</v>
      </c>
      <c r="AT951" s="59">
        <f>IFERROR(VLOOKUP($A951,[2]Mssp!$A$5:$BE$1463,AT$4+1,0),0)</f>
        <v>0</v>
      </c>
      <c r="AU951" s="59">
        <f>IFERROR(VLOOKUP($A951,[2]Mssp!$A$5:$BE$1463,AU$4+1,0),0)</f>
        <v>0</v>
      </c>
      <c r="AV951" s="59">
        <f>IFERROR(VLOOKUP($A951,[2]Mssp!$A$5:$BE$1463,AV$4+1,0),0)</f>
        <v>0</v>
      </c>
      <c r="AW951" s="59">
        <f>IFERROR(VLOOKUP($A951,[2]Mssp!$A$5:$BE$1463,AW$4+1,0),0)</f>
        <v>0</v>
      </c>
      <c r="AX951" s="59">
        <f>IFERROR(VLOOKUP($A951,[2]Mssp!$A$5:$BE$1463,AX$4+1,0),0)</f>
        <v>0</v>
      </c>
      <c r="AY951" s="59">
        <f>IFERROR(VLOOKUP($A951,[2]Mssp!$A$5:$BE$1463,AY$4+2,0),0)</f>
        <v>0</v>
      </c>
      <c r="AZ951" s="59">
        <f>IFERROR(VLOOKUP($A951,[2]Mssp!$A$5:$BE$1463,AZ$4+2,0),0)</f>
        <v>0</v>
      </c>
      <c r="BA951" s="141"/>
      <c r="BB951" s="61" t="s">
        <v>952</v>
      </c>
      <c r="BC951" s="165"/>
      <c r="BD951" s="166"/>
      <c r="BE951" s="167"/>
      <c r="BF951" s="168"/>
      <c r="BG951" s="167"/>
      <c r="BH951" s="168"/>
      <c r="BI951" s="169"/>
      <c r="BJ951" s="168"/>
      <c r="BK951" s="134"/>
      <c r="BL951" s="168"/>
      <c r="BM951" s="167"/>
      <c r="BN951" s="168"/>
      <c r="BO951" s="62"/>
      <c r="BP951" s="168"/>
      <c r="BQ951" s="168"/>
      <c r="BR951" s="168"/>
      <c r="BS951" s="135"/>
      <c r="BT951" s="176"/>
      <c r="BU951" s="167"/>
      <c r="BV951" s="168"/>
      <c r="BW951" s="167"/>
      <c r="BX951" s="168"/>
      <c r="BY951" s="167"/>
      <c r="BZ951" s="176"/>
      <c r="CA951" s="167"/>
      <c r="CB951" s="168"/>
      <c r="CC951" s="167"/>
      <c r="CD951" s="168"/>
      <c r="CE951" s="62"/>
      <c r="CF951" s="62"/>
      <c r="CG951" s="9"/>
      <c r="CH951" s="9"/>
      <c r="CI951" s="9"/>
      <c r="CJ951" s="9"/>
      <c r="CK951" s="9"/>
      <c r="CL951" s="9"/>
      <c r="CM951" s="9"/>
      <c r="CN951" s="9"/>
      <c r="CO951" s="9"/>
      <c r="CP951" s="9"/>
    </row>
    <row r="952" spans="1:94" ht="45" x14ac:dyDescent="0.25">
      <c r="A952" s="127" t="s">
        <v>3036</v>
      </c>
      <c r="B952" s="51" t="s">
        <v>3037</v>
      </c>
      <c r="C952" s="62"/>
      <c r="D952" s="84">
        <v>1</v>
      </c>
      <c r="E952" s="62" t="s">
        <v>1422</v>
      </c>
      <c r="F952" s="62">
        <v>4</v>
      </c>
      <c r="G952" s="62"/>
      <c r="H952" s="50">
        <f>VLOOKUP($A952,'[1]ma sp 02'!$A$5:$BD$1101,H$1,0)</f>
        <v>0.20599999999999999</v>
      </c>
      <c r="I952" s="50">
        <f>VLOOKUP($A952,'[1]ma sp 02'!$A$5:$BD$1101,I$1,0)</f>
        <v>4.33</v>
      </c>
      <c r="J952" s="50">
        <f>VLOOKUP($A952,'[1]ma sp 02'!$A$5:$BD$1101,J$1,0)</f>
        <v>1.546</v>
      </c>
      <c r="K952" s="50">
        <f>VLOOKUP($A952,'[1]ma sp 02'!$A$5:$BD$1101,K$1,0)</f>
        <v>0</v>
      </c>
      <c r="L952" s="50">
        <f>VLOOKUP($A952,'[1]ma sp 02'!$A$5:$BD$1101,L$1,0)</f>
        <v>0</v>
      </c>
      <c r="M952" s="50">
        <f>VLOOKUP($A952,'[1]ma sp 02'!$A$5:$BD$1101,M$1,0)</f>
        <v>0.309</v>
      </c>
      <c r="N952" s="50">
        <f>VLOOKUP($A952,'[1]ma sp 02'!$A$5:$BD$1101,N$1,0)</f>
        <v>0</v>
      </c>
      <c r="O952" s="50">
        <f>VLOOKUP($A952,'[1]ma sp 02'!$A$5:$BD$1101,O$1,0)</f>
        <v>0</v>
      </c>
      <c r="P952" s="50">
        <f>VLOOKUP($A952,'[1]ma sp 02'!$A$5:$BD$1101,P$1,0)</f>
        <v>0</v>
      </c>
      <c r="Q952" s="50">
        <f>VLOOKUP($A952,'[1]ma sp 02'!$A$5:$BD$1101,Q$1,0)</f>
        <v>0</v>
      </c>
      <c r="R952" s="50">
        <f>VLOOKUP($A952,'[1]ma sp 02'!$A$5:$BD$1101,R$1,0)</f>
        <v>0.01</v>
      </c>
      <c r="S952" s="50">
        <f>VLOOKUP($A952,'[1]ma sp 02'!$A$5:$BD$1101,S$1,0)</f>
        <v>0</v>
      </c>
      <c r="T952" s="50">
        <f>VLOOKUP($A952,'[1]ma sp 02'!$A$5:$BD$1101,T$1,0)</f>
        <v>0</v>
      </c>
      <c r="U952" s="50">
        <f>VLOOKUP($A952,'[1]ma sp 02'!$A$5:$BD$1101,U$1,0)</f>
        <v>0</v>
      </c>
      <c r="V952" s="50">
        <f>VLOOKUP($A952,'[1]ma sp 02'!$A$5:$BD$1101,V$1,0)</f>
        <v>0</v>
      </c>
      <c r="W952" s="50">
        <f>VLOOKUP($A952,'[1]ma sp 02'!$A$5:$BD$1101,W$1,0)</f>
        <v>0</v>
      </c>
      <c r="X952" s="50"/>
      <c r="Y952" s="62"/>
      <c r="Z952" s="62"/>
      <c r="AA952" s="62"/>
      <c r="AB952" s="62"/>
      <c r="AC952" s="62"/>
      <c r="AD952" s="62"/>
      <c r="AE952" s="61" t="s">
        <v>3038</v>
      </c>
      <c r="AF952" s="62"/>
      <c r="AG952" s="53">
        <f>(0.02*0.91+0.035*0.91)*0.62</f>
        <v>3.1031000000000003E-2</v>
      </c>
      <c r="AH952" s="54">
        <f>(3/0.75/2)*0.61</f>
        <v>1.22</v>
      </c>
      <c r="AI952" s="54"/>
      <c r="AJ952" s="192"/>
      <c r="AK952" s="62">
        <v>9530</v>
      </c>
      <c r="AL952" s="62">
        <v>3.0000000000000001E-3</v>
      </c>
      <c r="AM952" s="61" t="s">
        <v>2758</v>
      </c>
      <c r="AN952" s="62">
        <v>124</v>
      </c>
      <c r="AO952" s="61" t="s">
        <v>3039</v>
      </c>
      <c r="AP952" s="59" t="str">
        <f>IFERROR(VLOOKUP($A952,[2]Mssp!$A$5:$BE$1463,AP$4+1,0),0)</f>
        <v>21090114-1</v>
      </c>
      <c r="AQ952" s="59" t="str">
        <f>IFERROR(VLOOKUP($A952,[2]Mssp!$A$5:$BE$1463,AQ$4+1,0),0)</f>
        <v>21090114-2</v>
      </c>
      <c r="AR952" s="59" t="str">
        <f>IFERROR(VLOOKUP($A952,[2]Mssp!$A$5:$BE$1463,AR$4+1,0),0)</f>
        <v>21090114-3</v>
      </c>
      <c r="AS952" s="59" t="str">
        <f>IFERROR(VLOOKUP($A952,[2]Mssp!$A$5:$BE$1463,AS$4+1,0),0)</f>
        <v>21090114-4</v>
      </c>
      <c r="AT952" s="59">
        <f>IFERROR(VLOOKUP($A952,[2]Mssp!$A$5:$BE$1463,AT$4+1,0),0)</f>
        <v>0</v>
      </c>
      <c r="AU952" s="59">
        <f>IFERROR(VLOOKUP($A952,[2]Mssp!$A$5:$BE$1463,AU$4+1,0),0)</f>
        <v>0</v>
      </c>
      <c r="AV952" s="59">
        <f>IFERROR(VLOOKUP($A952,[2]Mssp!$A$5:$BE$1463,AV$4+1,0),0)</f>
        <v>0</v>
      </c>
      <c r="AW952" s="59">
        <f>IFERROR(VLOOKUP($A952,[2]Mssp!$A$5:$BE$1463,AW$4+1,0),0)</f>
        <v>0</v>
      </c>
      <c r="AX952" s="59">
        <f>IFERROR(VLOOKUP($A952,[2]Mssp!$A$5:$BE$1463,AX$4+1,0),0)</f>
        <v>0</v>
      </c>
      <c r="AY952" s="59" t="str">
        <f>IFERROR(VLOOKUP($A952,[2]Mssp!$A$5:$BE$1463,AY$4+2,0),0)</f>
        <v>496x870</v>
      </c>
      <c r="AZ952" s="59">
        <f>IFERROR(VLOOKUP($A952,[2]Mssp!$A$5:$BE$1463,AZ$4+2,0),0)</f>
        <v>0</v>
      </c>
      <c r="BA952" s="141"/>
      <c r="BB952" s="61" t="s">
        <v>1894</v>
      </c>
      <c r="BC952" s="165"/>
      <c r="BD952" s="166"/>
      <c r="BE952" s="167"/>
      <c r="BF952" s="168"/>
      <c r="BG952" s="167"/>
      <c r="BH952" s="168"/>
      <c r="BI952" s="169"/>
      <c r="BJ952" s="168"/>
      <c r="BK952" s="134"/>
      <c r="BL952" s="168"/>
      <c r="BM952" s="167"/>
      <c r="BN952" s="168"/>
      <c r="BO952" s="62"/>
      <c r="BP952" s="168"/>
      <c r="BQ952" s="168"/>
      <c r="BR952" s="168"/>
      <c r="BS952" s="135"/>
      <c r="BT952" s="176"/>
      <c r="BU952" s="167"/>
      <c r="BV952" s="168"/>
      <c r="BW952" s="167"/>
      <c r="BX952" s="168"/>
      <c r="BY952" s="167"/>
      <c r="BZ952" s="176"/>
      <c r="CA952" s="167"/>
      <c r="CB952" s="168"/>
      <c r="CC952" s="167"/>
      <c r="CD952" s="168"/>
      <c r="CE952" s="62"/>
      <c r="CF952" s="62"/>
      <c r="CG952" s="9"/>
      <c r="CH952" s="9"/>
      <c r="CI952" s="9"/>
      <c r="CJ952" s="9"/>
      <c r="CK952" s="9"/>
      <c r="CL952" s="9"/>
      <c r="CM952" s="9"/>
      <c r="CN952" s="9"/>
      <c r="CO952" s="9"/>
      <c r="CP952" s="9"/>
    </row>
    <row r="953" spans="1:94" ht="45" x14ac:dyDescent="0.25">
      <c r="A953" s="127" t="s">
        <v>3040</v>
      </c>
      <c r="B953" s="51" t="s">
        <v>3041</v>
      </c>
      <c r="C953" s="62"/>
      <c r="D953" s="84">
        <v>2</v>
      </c>
      <c r="E953" s="62" t="s">
        <v>3042</v>
      </c>
      <c r="F953" s="62">
        <v>8</v>
      </c>
      <c r="G953" s="62"/>
      <c r="H953" s="50">
        <f>VLOOKUP($A953,'[1]ma sp 02'!$A$5:$BD$1101,H$1,0)</f>
        <v>0</v>
      </c>
      <c r="I953" s="50">
        <f>VLOOKUP($A953,'[1]ma sp 02'!$A$5:$BD$1101,I$1,0)</f>
        <v>4.3529999999999998</v>
      </c>
      <c r="J953" s="50">
        <f>VLOOKUP($A953,'[1]ma sp 02'!$A$5:$BD$1101,J$1,0)</f>
        <v>0.01</v>
      </c>
      <c r="K953" s="50">
        <f>VLOOKUP($A953,'[1]ma sp 02'!$A$5:$BD$1101,K$1,0)</f>
        <v>4.5999999999999999E-2</v>
      </c>
      <c r="L953" s="50">
        <f>VLOOKUP($A953,'[1]ma sp 02'!$A$5:$BD$1101,L$1,0)</f>
        <v>0.38600000000000001</v>
      </c>
      <c r="M953" s="50">
        <f>VLOOKUP($A953,'[1]ma sp 02'!$A$5:$BD$1101,M$1,0)</f>
        <v>0.49399999999999999</v>
      </c>
      <c r="N953" s="50">
        <f>VLOOKUP($A953,'[1]ma sp 02'!$A$5:$BD$1101,N$1,0)</f>
        <v>6.2E-2</v>
      </c>
      <c r="O953" s="50">
        <f>VLOOKUP($A953,'[1]ma sp 02'!$A$5:$BD$1101,O$1,0)</f>
        <v>0</v>
      </c>
      <c r="P953" s="50">
        <f>VLOOKUP($A953,'[1]ma sp 02'!$A$5:$BD$1101,P$1,0)</f>
        <v>0</v>
      </c>
      <c r="Q953" s="50">
        <f>VLOOKUP($A953,'[1]ma sp 02'!$A$5:$BD$1101,Q$1,0)</f>
        <v>6.2E-2</v>
      </c>
      <c r="R953" s="50">
        <f>VLOOKUP($A953,'[1]ma sp 02'!$A$5:$BD$1101,R$1,0)</f>
        <v>0</v>
      </c>
      <c r="S953" s="50">
        <f>VLOOKUP($A953,'[1]ma sp 02'!$A$5:$BD$1101,S$1,0)</f>
        <v>0</v>
      </c>
      <c r="T953" s="50">
        <f>VLOOKUP($A953,'[1]ma sp 02'!$A$5:$BD$1101,T$1,0)</f>
        <v>0</v>
      </c>
      <c r="U953" s="50">
        <f>VLOOKUP($A953,'[1]ma sp 02'!$A$5:$BD$1101,U$1,0)</f>
        <v>0</v>
      </c>
      <c r="V953" s="50">
        <f>VLOOKUP($A953,'[1]ma sp 02'!$A$5:$BD$1101,V$1,0)</f>
        <v>0</v>
      </c>
      <c r="W953" s="50">
        <f>VLOOKUP($A953,'[1]ma sp 02'!$A$5:$BD$1101,W$1,0)</f>
        <v>0</v>
      </c>
      <c r="X953" s="50"/>
      <c r="Y953" s="62"/>
      <c r="Z953" s="62"/>
      <c r="AA953" s="62"/>
      <c r="AB953" s="62"/>
      <c r="AC953" s="62"/>
      <c r="AD953" s="62"/>
      <c r="AE953" s="62" t="s">
        <v>3043</v>
      </c>
      <c r="AF953" s="62"/>
      <c r="AG953" s="53">
        <f>(0.02*0.91+0.05*0.91)*1.12</f>
        <v>7.1344000000000019E-2</v>
      </c>
      <c r="AH953" s="54">
        <f>(2.3/0.75/2)*1.11</f>
        <v>1.702</v>
      </c>
      <c r="AI953" s="54"/>
      <c r="AJ953" s="62">
        <v>9530</v>
      </c>
      <c r="AK953" s="62"/>
      <c r="AL953" s="9">
        <v>2.3E-3</v>
      </c>
      <c r="AM953" s="61" t="s">
        <v>74</v>
      </c>
      <c r="AN953" s="62">
        <v>350</v>
      </c>
      <c r="AO953" s="61" t="s">
        <v>2206</v>
      </c>
      <c r="AP953" s="59" t="str">
        <f>IFERROR(VLOOKUP($A953,[2]Mssp!$A$5:$BE$1463,AP$4+1,0),0)</f>
        <v>F129291-1</v>
      </c>
      <c r="AQ953" s="59" t="str">
        <f>IFERROR(VLOOKUP($A953,[2]Mssp!$A$5:$BE$1463,AQ$4+1,0),0)</f>
        <v>F129291-2</v>
      </c>
      <c r="AR953" s="59" t="str">
        <f>IFERROR(VLOOKUP($A953,[2]Mssp!$A$5:$BE$1463,AR$4+1,0),0)</f>
        <v>F129291-3</v>
      </c>
      <c r="AS953" s="59" t="str">
        <f>IFERROR(VLOOKUP($A953,[2]Mssp!$A$5:$BE$1463,AS$4+1,0),0)</f>
        <v>F129291-4</v>
      </c>
      <c r="AT953" s="59" t="str">
        <f>IFERROR(VLOOKUP($A953,[2]Mssp!$A$5:$BE$1463,AT$4+1,0),0)</f>
        <v>F129291-5</v>
      </c>
      <c r="AU953" s="59" t="str">
        <f>IFERROR(VLOOKUP($A953,[2]Mssp!$A$5:$BE$1463,AU$4+1,0),0)</f>
        <v>F129291-6</v>
      </c>
      <c r="AV953" s="59" t="str">
        <f>IFERROR(VLOOKUP($A953,[2]Mssp!$A$5:$BE$1463,AV$4+1,0),0)</f>
        <v>F129291-7</v>
      </c>
      <c r="AW953" s="59" t="str">
        <f>IFERROR(VLOOKUP($A953,[2]Mssp!$A$5:$BE$1463,AW$4+1,0),0)</f>
        <v>F129291-8</v>
      </c>
      <c r="AX953" s="59">
        <f>IFERROR(VLOOKUP($A953,[2]Mssp!$A$5:$BE$1463,AX$4+1,0),0)</f>
        <v>0</v>
      </c>
      <c r="AY953" s="59" t="str">
        <f>IFERROR(VLOOKUP($A953,[2]Mssp!$A$5:$BE$1463,AY$4+2,0),0)</f>
        <v>700x1250</v>
      </c>
      <c r="AZ953" s="59">
        <f>IFERROR(VLOOKUP($A953,[2]Mssp!$A$5:$BE$1463,AZ$4+2,0),0)</f>
        <v>0</v>
      </c>
      <c r="BA953" s="141"/>
      <c r="BB953" s="61" t="s">
        <v>1894</v>
      </c>
      <c r="BC953" s="165"/>
      <c r="BD953" s="166"/>
      <c r="BE953" s="167"/>
      <c r="BF953" s="168"/>
      <c r="BG953" s="167"/>
      <c r="BH953" s="168"/>
      <c r="BI953" s="169"/>
      <c r="BJ953" s="168"/>
      <c r="BK953" s="134"/>
      <c r="BL953" s="168"/>
      <c r="BM953" s="167"/>
      <c r="BN953" s="168"/>
      <c r="BO953" s="62"/>
      <c r="BP953" s="168"/>
      <c r="BQ953" s="168"/>
      <c r="BR953" s="168"/>
      <c r="BS953" s="135"/>
      <c r="BT953" s="176"/>
      <c r="BU953" s="167"/>
      <c r="BV953" s="168"/>
      <c r="BW953" s="167"/>
      <c r="BX953" s="168"/>
      <c r="BY953" s="167"/>
      <c r="BZ953" s="176"/>
      <c r="CA953" s="167"/>
      <c r="CB953" s="168"/>
      <c r="CC953" s="167"/>
      <c r="CD953" s="168"/>
      <c r="CE953" s="62"/>
      <c r="CF953" s="62"/>
      <c r="CG953" s="9"/>
      <c r="CH953" s="9"/>
      <c r="CI953" s="9"/>
      <c r="CJ953" s="9"/>
      <c r="CK953" s="9"/>
      <c r="CL953" s="9"/>
      <c r="CM953" s="9"/>
      <c r="CN953" s="9"/>
      <c r="CO953" s="9"/>
      <c r="CP953" s="9"/>
    </row>
    <row r="954" spans="1:94" ht="45" x14ac:dyDescent="0.25">
      <c r="A954" s="127" t="s">
        <v>3044</v>
      </c>
      <c r="B954" s="51" t="s">
        <v>3045</v>
      </c>
      <c r="C954" s="62"/>
      <c r="D954" s="84">
        <v>1</v>
      </c>
      <c r="E954" s="62" t="s">
        <v>712</v>
      </c>
      <c r="F954" s="62">
        <v>4</v>
      </c>
      <c r="G954" s="62"/>
      <c r="H954" s="50">
        <f>VLOOKUP($A954,'[1]ma sp 02'!$A$5:$BD$1101,H$1,0)</f>
        <v>0.11</v>
      </c>
      <c r="I954" s="50">
        <f>VLOOKUP($A954,'[1]ma sp 02'!$A$5:$BD$1101,I$1,0)</f>
        <v>4.3970000000000002</v>
      </c>
      <c r="J954" s="50">
        <f>VLOOKUP($A954,'[1]ma sp 02'!$A$5:$BD$1101,J$1,0)</f>
        <v>0.111</v>
      </c>
      <c r="K954" s="50">
        <f>VLOOKUP($A954,'[1]ma sp 02'!$A$5:$BD$1101,K$1,0)</f>
        <v>0</v>
      </c>
      <c r="L954" s="50">
        <f>VLOOKUP($A954,'[1]ma sp 02'!$A$5:$BD$1101,L$1,0)</f>
        <v>0</v>
      </c>
      <c r="M954" s="50">
        <f>VLOOKUP($A954,'[1]ma sp 02'!$A$5:$BD$1101,M$1,0)</f>
        <v>0</v>
      </c>
      <c r="N954" s="50">
        <f>VLOOKUP($A954,'[1]ma sp 02'!$A$5:$BD$1101,N$1,0)</f>
        <v>0</v>
      </c>
      <c r="O954" s="50">
        <f>VLOOKUP($A954,'[1]ma sp 02'!$A$5:$BD$1101,O$1,0)</f>
        <v>0.55700000000000005</v>
      </c>
      <c r="P954" s="50">
        <f>VLOOKUP($A954,'[1]ma sp 02'!$A$5:$BD$1101,P$1,0)</f>
        <v>0</v>
      </c>
      <c r="Q954" s="50">
        <f>VLOOKUP($A954,'[1]ma sp 02'!$A$5:$BD$1101,Q$1,0)</f>
        <v>0</v>
      </c>
      <c r="R954" s="50">
        <f>VLOOKUP($A954,'[1]ma sp 02'!$A$5:$BD$1101,R$1,0)</f>
        <v>0</v>
      </c>
      <c r="S954" s="50">
        <f>VLOOKUP($A954,'[1]ma sp 02'!$A$5:$BD$1101,S$1,0)</f>
        <v>0</v>
      </c>
      <c r="T954" s="50">
        <f>VLOOKUP($A954,'[1]ma sp 02'!$A$5:$BD$1101,T$1,0)</f>
        <v>0.55700000000000005</v>
      </c>
      <c r="U954" s="50">
        <f>VLOOKUP($A954,'[1]ma sp 02'!$A$5:$BD$1101,U$1,0)</f>
        <v>0</v>
      </c>
      <c r="V954" s="50">
        <f>VLOOKUP($A954,'[1]ma sp 02'!$A$5:$BD$1101,V$1,0)</f>
        <v>0</v>
      </c>
      <c r="W954" s="50">
        <f>VLOOKUP($A954,'[1]ma sp 02'!$A$5:$BD$1101,W$1,0)</f>
        <v>0.01</v>
      </c>
      <c r="X954" s="50"/>
      <c r="Y954" s="62"/>
      <c r="Z954" s="62"/>
      <c r="AA954" s="62"/>
      <c r="AB954" s="62"/>
      <c r="AC954" s="62"/>
      <c r="AD954" s="62"/>
      <c r="AE954" s="62" t="s">
        <v>2968</v>
      </c>
      <c r="AF954" s="62"/>
      <c r="AG954" s="53">
        <f>(0.02*0.91+0.035*0.91)*0.58</f>
        <v>2.9028999999999999E-2</v>
      </c>
      <c r="AH954" s="54">
        <f>(3/0.75/2)*0.57</f>
        <v>1.1399999999999999</v>
      </c>
      <c r="AI954" s="54"/>
      <c r="AJ954" s="192">
        <v>9530</v>
      </c>
      <c r="AK954" s="62"/>
      <c r="AL954" s="62">
        <v>3.0000000000000001E-3</v>
      </c>
      <c r="AM954" s="61" t="s">
        <v>2758</v>
      </c>
      <c r="AN954" s="62">
        <v>114</v>
      </c>
      <c r="AO954" s="61" t="s">
        <v>3039</v>
      </c>
      <c r="AP954" s="59" t="str">
        <f>IFERROR(VLOOKUP($A954,[2]Mssp!$A$5:$BE$1463,AP$4+1,0),0)</f>
        <v>21090115-1</v>
      </c>
      <c r="AQ954" s="59" t="str">
        <f>IFERROR(VLOOKUP($A954,[2]Mssp!$A$5:$BE$1463,AQ$4+1,0),0)</f>
        <v>21090115-2</v>
      </c>
      <c r="AR954" s="59" t="str">
        <f>IFERROR(VLOOKUP($A954,[2]Mssp!$A$5:$BE$1463,AR$4+1,0),0)</f>
        <v>21090115-3</v>
      </c>
      <c r="AS954" s="59" t="str">
        <f>IFERROR(VLOOKUP($A954,[2]Mssp!$A$5:$BE$1463,AS$4+1,0),0)</f>
        <v>21090115-4</v>
      </c>
      <c r="AT954" s="59">
        <f>IFERROR(VLOOKUP($A954,[2]Mssp!$A$5:$BE$1463,AT$4+1,0),0)</f>
        <v>0</v>
      </c>
      <c r="AU954" s="59">
        <f>IFERROR(VLOOKUP($A954,[2]Mssp!$A$5:$BE$1463,AU$4+1,0),0)</f>
        <v>0</v>
      </c>
      <c r="AV954" s="59">
        <f>IFERROR(VLOOKUP($A954,[2]Mssp!$A$5:$BE$1463,AV$4+1,0),0)</f>
        <v>0</v>
      </c>
      <c r="AW954" s="59">
        <f>IFERROR(VLOOKUP($A954,[2]Mssp!$A$5:$BE$1463,AW$4+1,0),0)</f>
        <v>0</v>
      </c>
      <c r="AX954" s="59">
        <f>IFERROR(VLOOKUP($A954,[2]Mssp!$A$5:$BE$1463,AX$4+1,0),0)</f>
        <v>0</v>
      </c>
      <c r="AY954" s="59" t="str">
        <f>IFERROR(VLOOKUP($A954,[2]Mssp!$A$5:$BE$1463,AY$4+2,0),0)</f>
        <v>456x870</v>
      </c>
      <c r="AZ954" s="59">
        <f>IFERROR(VLOOKUP($A954,[2]Mssp!$A$5:$BE$1463,AZ$4+2,0),0)</f>
        <v>0</v>
      </c>
      <c r="BA954" s="141"/>
      <c r="BB954" s="61"/>
      <c r="BC954" s="165"/>
      <c r="BD954" s="166"/>
      <c r="BE954" s="167"/>
      <c r="BF954" s="168"/>
      <c r="BG954" s="167"/>
      <c r="BH954" s="168"/>
      <c r="BI954" s="169"/>
      <c r="BJ954" s="168"/>
      <c r="BK954" s="134"/>
      <c r="BL954" s="168"/>
      <c r="BM954" s="167"/>
      <c r="BN954" s="168"/>
      <c r="BO954" s="62"/>
      <c r="BP954" s="168"/>
      <c r="BQ954" s="168"/>
      <c r="BR954" s="168"/>
      <c r="BS954" s="135"/>
      <c r="BT954" s="176"/>
      <c r="BU954" s="167"/>
      <c r="BV954" s="168"/>
      <c r="BW954" s="167"/>
      <c r="BX954" s="168"/>
      <c r="BY954" s="167"/>
      <c r="BZ954" s="176"/>
      <c r="CA954" s="167"/>
      <c r="CB954" s="168"/>
      <c r="CC954" s="167"/>
      <c r="CD954" s="168"/>
      <c r="CE954" s="62"/>
      <c r="CF954" s="62"/>
      <c r="CG954" s="9"/>
      <c r="CH954" s="9"/>
      <c r="CI954" s="9"/>
      <c r="CJ954" s="9"/>
      <c r="CK954" s="9"/>
      <c r="CL954" s="9"/>
      <c r="CM954" s="9"/>
      <c r="CN954" s="9"/>
      <c r="CO954" s="9"/>
      <c r="CP954" s="9"/>
    </row>
    <row r="955" spans="1:94" ht="30" x14ac:dyDescent="0.25">
      <c r="A955" s="127" t="s">
        <v>3046</v>
      </c>
      <c r="B955" s="51" t="s">
        <v>3047</v>
      </c>
      <c r="C955" s="62"/>
      <c r="D955" s="84">
        <v>4</v>
      </c>
      <c r="E955" s="62" t="s">
        <v>3048</v>
      </c>
      <c r="F955" s="62">
        <v>7</v>
      </c>
      <c r="G955" s="62"/>
      <c r="H955" s="50">
        <f>VLOOKUP($A955,'[1]ma sp 02'!$A$5:$BD$1101,H$1,0)</f>
        <v>0</v>
      </c>
      <c r="I955" s="50">
        <f>VLOOKUP($A955,'[1]ma sp 02'!$A$5:$BD$1101,I$1,0)</f>
        <v>6.47</v>
      </c>
      <c r="J955" s="50">
        <f>VLOOKUP($A955,'[1]ma sp 02'!$A$5:$BD$1101,J$1,0)</f>
        <v>0</v>
      </c>
      <c r="K955" s="50">
        <f>VLOOKUP($A955,'[1]ma sp 02'!$A$5:$BD$1101,K$1,0)</f>
        <v>0</v>
      </c>
      <c r="L955" s="50">
        <f>VLOOKUP($A955,'[1]ma sp 02'!$A$5:$BD$1101,L$1,0)</f>
        <v>0.57099999999999995</v>
      </c>
      <c r="M955" s="50">
        <f>VLOOKUP($A955,'[1]ma sp 02'!$A$5:$BD$1101,M$1,0)</f>
        <v>1.1419999999999999</v>
      </c>
      <c r="N955" s="50">
        <f>VLOOKUP($A955,'[1]ma sp 02'!$A$5:$BD$1101,N$1,0)</f>
        <v>0</v>
      </c>
      <c r="O955" s="50">
        <f>VLOOKUP($A955,'[1]ma sp 02'!$A$5:$BD$1101,O$1,0)</f>
        <v>0.01</v>
      </c>
      <c r="P955" s="50">
        <f>VLOOKUP($A955,'[1]ma sp 02'!$A$5:$BD$1101,P$1,0)</f>
        <v>0</v>
      </c>
      <c r="Q955" s="50">
        <f>VLOOKUP($A955,'[1]ma sp 02'!$A$5:$BD$1101,Q$1,0)</f>
        <v>0</v>
      </c>
      <c r="R955" s="50">
        <f>VLOOKUP($A955,'[1]ma sp 02'!$A$5:$BD$1101,R$1,0)</f>
        <v>0</v>
      </c>
      <c r="S955" s="50">
        <f>VLOOKUP($A955,'[1]ma sp 02'!$A$5:$BD$1101,S$1,0)</f>
        <v>0</v>
      </c>
      <c r="T955" s="50">
        <f>VLOOKUP($A955,'[1]ma sp 02'!$A$5:$BD$1101,T$1,0)</f>
        <v>0</v>
      </c>
      <c r="U955" s="50">
        <f>VLOOKUP($A955,'[1]ma sp 02'!$A$5:$BD$1101,U$1,0)</f>
        <v>0</v>
      </c>
      <c r="V955" s="50">
        <f>VLOOKUP($A955,'[1]ma sp 02'!$A$5:$BD$1101,V$1,0)</f>
        <v>0</v>
      </c>
      <c r="W955" s="50">
        <f>VLOOKUP($A955,'[1]ma sp 02'!$A$5:$BD$1101,W$1,0)</f>
        <v>0</v>
      </c>
      <c r="X955" s="50"/>
      <c r="Y955" s="62"/>
      <c r="Z955" s="62"/>
      <c r="AA955" s="62"/>
      <c r="AB955" s="62"/>
      <c r="AC955" s="62"/>
      <c r="AD955" s="62"/>
      <c r="AE955" s="62" t="s">
        <v>174</v>
      </c>
      <c r="AF955" s="62"/>
      <c r="AG955" s="53">
        <f>(0.03*0.91+0.025*0.91)*0.78</f>
        <v>3.9039000000000004E-2</v>
      </c>
      <c r="AH955" s="54">
        <f>(2.3/0.75/2)*0.77</f>
        <v>1.1806666666666665</v>
      </c>
      <c r="AI955" s="54"/>
      <c r="AJ955" s="192">
        <v>9530</v>
      </c>
      <c r="AK955" s="62"/>
      <c r="AL955" s="62">
        <v>2.3E-3</v>
      </c>
      <c r="AM955" s="61" t="s">
        <v>1489</v>
      </c>
      <c r="AN955" s="62">
        <v>130</v>
      </c>
      <c r="AO955" s="61" t="s">
        <v>2704</v>
      </c>
      <c r="AP955" s="59" t="str">
        <f>IFERROR(VLOOKUP($A955,[2]Mssp!$A$5:$BE$1463,AP$4+1,0),0)</f>
        <v>21090460-1</v>
      </c>
      <c r="AQ955" s="59" t="str">
        <f>IFERROR(VLOOKUP($A955,[2]Mssp!$A$5:$BE$1463,AQ$4+1,0),0)</f>
        <v>21090460-2</v>
      </c>
      <c r="AR955" s="59" t="str">
        <f>IFERROR(VLOOKUP($A955,[2]Mssp!$A$5:$BE$1463,AR$4+1,0),0)</f>
        <v>21090460-3</v>
      </c>
      <c r="AS955" s="59" t="str">
        <f>IFERROR(VLOOKUP($A955,[2]Mssp!$A$5:$BE$1463,AS$4+1,0),0)</f>
        <v>21090460-4</v>
      </c>
      <c r="AT955" s="59" t="str">
        <f>IFERROR(VLOOKUP($A955,[2]Mssp!$A$5:$BE$1463,AT$4+1,0),0)</f>
        <v>21090460-5</v>
      </c>
      <c r="AU955" s="59" t="str">
        <f>IFERROR(VLOOKUP($A955,[2]Mssp!$A$5:$BE$1463,AU$4+1,0),0)</f>
        <v>21090460-6</v>
      </c>
      <c r="AV955" s="59" t="str">
        <f>IFERROR(VLOOKUP($A955,[2]Mssp!$A$5:$BE$1463,AV$4+1,0),0)</f>
        <v>21090460-7</v>
      </c>
      <c r="AW955" s="59">
        <f>IFERROR(VLOOKUP($A955,[2]Mssp!$A$5:$BE$1463,AW$4+1,0),0)</f>
        <v>0</v>
      </c>
      <c r="AX955" s="59">
        <f>IFERROR(VLOOKUP($A955,[2]Mssp!$A$5:$BE$1463,AX$4+1,0),0)</f>
        <v>0</v>
      </c>
      <c r="AY955" s="59" t="str">
        <f>IFERROR(VLOOKUP($A955,[2]Mssp!$A$5:$BE$1463,AY$4+2,0),0)</f>
        <v>520x870</v>
      </c>
      <c r="AZ955" s="59">
        <f>IFERROR(VLOOKUP($A955,[2]Mssp!$A$5:$BE$1463,AZ$4+2,0),0)</f>
        <v>0</v>
      </c>
      <c r="BA955" s="141"/>
      <c r="BB955" s="61" t="s">
        <v>952</v>
      </c>
      <c r="BC955" s="165"/>
      <c r="BD955" s="166"/>
      <c r="BE955" s="167"/>
      <c r="BF955" s="168"/>
      <c r="BG955" s="167"/>
      <c r="BH955" s="168"/>
      <c r="BI955" s="169"/>
      <c r="BJ955" s="168"/>
      <c r="BK955" s="134"/>
      <c r="BL955" s="168"/>
      <c r="BM955" s="167"/>
      <c r="BN955" s="168"/>
      <c r="BO955" s="62"/>
      <c r="BP955" s="168"/>
      <c r="BQ955" s="168"/>
      <c r="BR955" s="168"/>
      <c r="BS955" s="135"/>
      <c r="BT955" s="176"/>
      <c r="BU955" s="167"/>
      <c r="BV955" s="168"/>
      <c r="BW955" s="167"/>
      <c r="BX955" s="168"/>
      <c r="BY955" s="167"/>
      <c r="BZ955" s="176"/>
      <c r="CA955" s="167"/>
      <c r="CB955" s="168"/>
      <c r="CC955" s="167"/>
      <c r="CD955" s="168"/>
      <c r="CE955" s="62"/>
      <c r="CF955" s="62"/>
      <c r="CG955" s="9"/>
      <c r="CH955" s="9"/>
      <c r="CI955" s="9"/>
      <c r="CJ955" s="9"/>
      <c r="CK955" s="9"/>
      <c r="CL955" s="9"/>
      <c r="CM955" s="9"/>
      <c r="CN955" s="9"/>
      <c r="CO955" s="9"/>
      <c r="CP955" s="9"/>
    </row>
    <row r="956" spans="1:94" ht="45" x14ac:dyDescent="0.25">
      <c r="A956" s="194" t="s">
        <v>3049</v>
      </c>
      <c r="B956" s="51" t="s">
        <v>3050</v>
      </c>
      <c r="C956" s="62"/>
      <c r="D956" s="84">
        <v>2</v>
      </c>
      <c r="E956" s="62" t="s">
        <v>592</v>
      </c>
      <c r="F956" s="62">
        <v>7</v>
      </c>
      <c r="G956" s="62"/>
      <c r="H956" s="50">
        <f>VLOOKUP($A956,'[1]ma sp 02'!$A$5:$BD$1101,H$1,0)</f>
        <v>0.61</v>
      </c>
      <c r="I956" s="50">
        <f>VLOOKUP($A956,'[1]ma sp 02'!$A$5:$BD$1101,I$1,0)</f>
        <v>0</v>
      </c>
      <c r="J956" s="50">
        <f>VLOOKUP($A956,'[1]ma sp 02'!$A$5:$BD$1101,J$1,0)</f>
        <v>0.10199999999999999</v>
      </c>
      <c r="K956" s="50">
        <f>VLOOKUP($A956,'[1]ma sp 02'!$A$5:$BD$1101,K$1,0)</f>
        <v>1.1180000000000001</v>
      </c>
      <c r="L956" s="50">
        <f>VLOOKUP($A956,'[1]ma sp 02'!$A$5:$BD$1101,L$1,0)</f>
        <v>0.01</v>
      </c>
      <c r="M956" s="50">
        <f>VLOOKUP($A956,'[1]ma sp 02'!$A$5:$BD$1101,M$1,0)</f>
        <v>1.2190000000000001</v>
      </c>
      <c r="N956" s="50">
        <f>VLOOKUP($A956,'[1]ma sp 02'!$A$5:$BD$1101,N$1,0)</f>
        <v>0</v>
      </c>
      <c r="O956" s="50">
        <f>VLOOKUP($A956,'[1]ma sp 02'!$A$5:$BD$1101,O$1,0)</f>
        <v>0</v>
      </c>
      <c r="P956" s="50">
        <f>VLOOKUP($A956,'[1]ma sp 02'!$A$5:$BD$1101,P$1,0)</f>
        <v>0</v>
      </c>
      <c r="Q956" s="50">
        <f>VLOOKUP($A956,'[1]ma sp 02'!$A$5:$BD$1101,Q$1,0)</f>
        <v>0</v>
      </c>
      <c r="R956" s="50">
        <f>VLOOKUP($A956,'[1]ma sp 02'!$A$5:$BD$1101,R$1,0)</f>
        <v>0</v>
      </c>
      <c r="S956" s="50">
        <f>VLOOKUP($A956,'[1]ma sp 02'!$A$5:$BD$1101,S$1,0)</f>
        <v>0</v>
      </c>
      <c r="T956" s="50">
        <f>VLOOKUP($A956,'[1]ma sp 02'!$A$5:$BD$1101,T$1,0)</f>
        <v>0</v>
      </c>
      <c r="U956" s="50">
        <f>VLOOKUP($A956,'[1]ma sp 02'!$A$5:$BD$1101,U$1,0)</f>
        <v>0</v>
      </c>
      <c r="V956" s="50">
        <f>VLOOKUP($A956,'[1]ma sp 02'!$A$5:$BD$1101,V$1,0)</f>
        <v>0</v>
      </c>
      <c r="W956" s="50">
        <f>VLOOKUP($A956,'[1]ma sp 02'!$A$5:$BD$1101,W$1,0)</f>
        <v>0</v>
      </c>
      <c r="X956" s="50"/>
      <c r="Y956" s="62"/>
      <c r="Z956" s="62"/>
      <c r="AA956" s="62"/>
      <c r="AB956" s="62"/>
      <c r="AC956" s="62"/>
      <c r="AD956" s="62"/>
      <c r="AE956" s="62" t="s">
        <v>3051</v>
      </c>
      <c r="AF956" s="62"/>
      <c r="AG956" s="53">
        <f>(0.012*1.4+0.025*0.91)*0.64</f>
        <v>2.5312000000000001E-2</v>
      </c>
      <c r="AH956" s="54">
        <f>(2/0.75/2)*0.57</f>
        <v>0.7599999999999999</v>
      </c>
      <c r="AI956" s="54"/>
      <c r="AJ956" s="192">
        <v>9530</v>
      </c>
      <c r="AK956" s="62"/>
      <c r="AL956" s="62">
        <v>2E-3</v>
      </c>
      <c r="AM956" s="61" t="s">
        <v>1489</v>
      </c>
      <c r="AN956" s="62"/>
      <c r="AO956" s="61" t="s">
        <v>2945</v>
      </c>
      <c r="AP956" s="59" t="str">
        <f>IFERROR(VLOOKUP($A956,[2]Mssp!$A$5:$BE$1463,AP$4+1,0),0)</f>
        <v>F129430-1</v>
      </c>
      <c r="AQ956" s="59" t="str">
        <f>IFERROR(VLOOKUP($A956,[2]Mssp!$A$5:$BE$1463,AQ$4+1,0),0)</f>
        <v>F129430-2</v>
      </c>
      <c r="AR956" s="59" t="str">
        <f>IFERROR(VLOOKUP($A956,[2]Mssp!$A$5:$BE$1463,AR$4+1,0),0)</f>
        <v>F129430-3</v>
      </c>
      <c r="AS956" s="59" t="str">
        <f>IFERROR(VLOOKUP($A956,[2]Mssp!$A$5:$BE$1463,AS$4+1,0),0)</f>
        <v>F129430-4</v>
      </c>
      <c r="AT956" s="59" t="str">
        <f>IFERROR(VLOOKUP($A956,[2]Mssp!$A$5:$BE$1463,AT$4+1,0),0)</f>
        <v>F129430-5</v>
      </c>
      <c r="AU956" s="59" t="str">
        <f>IFERROR(VLOOKUP($A956,[2]Mssp!$A$5:$BE$1463,AU$4+1,0),0)</f>
        <v>F129430-6</v>
      </c>
      <c r="AV956" s="59" t="str">
        <f>IFERROR(VLOOKUP($A956,[2]Mssp!$A$5:$BE$1463,AV$4+1,0),0)</f>
        <v>F129430-7</v>
      </c>
      <c r="AW956" s="59">
        <f>IFERROR(VLOOKUP($A956,[2]Mssp!$A$5:$BE$1463,AW$4+1,0),0)</f>
        <v>0</v>
      </c>
      <c r="AX956" s="59">
        <f>IFERROR(VLOOKUP($A956,[2]Mssp!$A$5:$BE$1463,AX$4+1,0),0)</f>
        <v>0</v>
      </c>
      <c r="AY956" s="59" t="str">
        <f>IFERROR(VLOOKUP($A956,[2]Mssp!$A$5:$BE$1463,AY$4+2,0),0)</f>
        <v>436x870</v>
      </c>
      <c r="AZ956" s="59">
        <f>IFERROR(VLOOKUP($A956,[2]Mssp!$A$5:$BE$1463,AZ$4+2,0),0)</f>
        <v>0</v>
      </c>
      <c r="BA956" s="141"/>
      <c r="BB956" s="61" t="s">
        <v>952</v>
      </c>
      <c r="BC956" s="165"/>
      <c r="BD956" s="166"/>
      <c r="BE956" s="167"/>
      <c r="BF956" s="168"/>
      <c r="BG956" s="167"/>
      <c r="BH956" s="168"/>
      <c r="BI956" s="169"/>
      <c r="BJ956" s="168"/>
      <c r="BK956" s="134"/>
      <c r="BL956" s="168"/>
      <c r="BM956" s="167"/>
      <c r="BN956" s="168"/>
      <c r="BO956" s="62"/>
      <c r="BP956" s="168"/>
      <c r="BQ956" s="168"/>
      <c r="BR956" s="168"/>
      <c r="BS956" s="135"/>
      <c r="BT956" s="176"/>
      <c r="BU956" s="167"/>
      <c r="BV956" s="168"/>
      <c r="BW956" s="167"/>
      <c r="BX956" s="168"/>
      <c r="BY956" s="167"/>
      <c r="BZ956" s="176"/>
      <c r="CA956" s="167"/>
      <c r="CB956" s="168"/>
      <c r="CC956" s="167"/>
      <c r="CD956" s="168"/>
      <c r="CE956" s="62"/>
      <c r="CF956" s="62"/>
      <c r="CG956" s="9"/>
      <c r="CH956" s="9"/>
      <c r="CI956" s="9"/>
      <c r="CJ956" s="9"/>
      <c r="CK956" s="9"/>
      <c r="CL956" s="9"/>
      <c r="CM956" s="9"/>
      <c r="CN956" s="9"/>
      <c r="CO956" s="9"/>
      <c r="CP956" s="9"/>
    </row>
    <row r="957" spans="1:94" ht="45" x14ac:dyDescent="0.25">
      <c r="A957" s="127" t="s">
        <v>3052</v>
      </c>
      <c r="B957" s="51" t="s">
        <v>3053</v>
      </c>
      <c r="C957" s="62"/>
      <c r="D957" s="84">
        <v>5</v>
      </c>
      <c r="E957" s="62" t="s">
        <v>1525</v>
      </c>
      <c r="F957" s="62">
        <v>3</v>
      </c>
      <c r="G957" s="62"/>
      <c r="H957" s="50">
        <f>VLOOKUP($A957,'[1]ma sp 02'!$A$5:$BD$1101,H$1,0)</f>
        <v>0.01</v>
      </c>
      <c r="I957" s="50">
        <f>VLOOKUP($A957,'[1]ma sp 02'!$A$5:$BD$1101,I$1,0)</f>
        <v>3.2</v>
      </c>
      <c r="J957" s="50">
        <f>VLOOKUP($A957,'[1]ma sp 02'!$A$5:$BD$1101,J$1,0)</f>
        <v>0</v>
      </c>
      <c r="K957" s="50">
        <f>VLOOKUP($A957,'[1]ma sp 02'!$A$5:$BD$1101,K$1,0)</f>
        <v>0</v>
      </c>
      <c r="L957" s="50">
        <f>VLOOKUP($A957,'[1]ma sp 02'!$A$5:$BD$1101,L$1,0)</f>
        <v>0</v>
      </c>
      <c r="M957" s="50">
        <f>VLOOKUP($A957,'[1]ma sp 02'!$A$5:$BD$1101,M$1,0)</f>
        <v>0.26</v>
      </c>
      <c r="N957" s="50">
        <f>VLOOKUP($A957,'[1]ma sp 02'!$A$5:$BD$1101,N$1,0)</f>
        <v>0</v>
      </c>
      <c r="O957" s="50">
        <f>VLOOKUP($A957,'[1]ma sp 02'!$A$5:$BD$1101,O$1,0)</f>
        <v>0</v>
      </c>
      <c r="P957" s="50">
        <f>VLOOKUP($A957,'[1]ma sp 02'!$A$5:$BD$1101,P$1,0)</f>
        <v>0</v>
      </c>
      <c r="Q957" s="50">
        <f>VLOOKUP($A957,'[1]ma sp 02'!$A$5:$BD$1101,Q$1,0)</f>
        <v>0</v>
      </c>
      <c r="R957" s="50">
        <f>VLOOKUP($A957,'[1]ma sp 02'!$A$5:$BD$1101,R$1,0)</f>
        <v>0</v>
      </c>
      <c r="S957" s="50">
        <f>VLOOKUP($A957,'[1]ma sp 02'!$A$5:$BD$1101,S$1,0)</f>
        <v>0</v>
      </c>
      <c r="T957" s="50">
        <f>VLOOKUP($A957,'[1]ma sp 02'!$A$5:$BD$1101,T$1,0)</f>
        <v>0.15</v>
      </c>
      <c r="U957" s="50">
        <f>VLOOKUP($A957,'[1]ma sp 02'!$A$5:$BD$1101,U$1,0)</f>
        <v>0</v>
      </c>
      <c r="V957" s="50">
        <f>VLOOKUP($A957,'[1]ma sp 02'!$A$5:$BD$1101,V$1,0)</f>
        <v>0</v>
      </c>
      <c r="W957" s="50">
        <f>VLOOKUP($A957,'[1]ma sp 02'!$A$5:$BD$1101,W$1,0)</f>
        <v>0</v>
      </c>
      <c r="X957" s="50"/>
      <c r="Y957" s="62"/>
      <c r="Z957" s="62"/>
      <c r="AA957" s="62"/>
      <c r="AB957" s="62"/>
      <c r="AC957" s="62"/>
      <c r="AD957" s="62"/>
      <c r="AE957" s="62" t="s">
        <v>1526</v>
      </c>
      <c r="AF957" s="62"/>
      <c r="AG957" s="53">
        <f>(0.02*0.91+0.025*0.91)*0.955</f>
        <v>3.9107249999999996E-2</v>
      </c>
      <c r="AH957" s="54">
        <f>(2.5/0.75/2)*0.955</f>
        <v>1.5916666666666666</v>
      </c>
      <c r="AI957" s="54"/>
      <c r="AJ957" s="192">
        <v>9530</v>
      </c>
      <c r="AK957" s="62"/>
      <c r="AL957" s="62">
        <v>2.5000000000000001E-3</v>
      </c>
      <c r="AM957" s="61" t="s">
        <v>1489</v>
      </c>
      <c r="AN957" s="62">
        <v>107</v>
      </c>
      <c r="AO957" s="61" t="s">
        <v>2158</v>
      </c>
      <c r="AP957" s="59" t="str">
        <f>IFERROR(VLOOKUP($A957,[2]Mssp!$A$5:$BE$1463,AP$4+1,0),0)</f>
        <v>F129446-1</v>
      </c>
      <c r="AQ957" s="59" t="str">
        <f>IFERROR(VLOOKUP($A957,[2]Mssp!$A$5:$BE$1463,AQ$4+1,0),0)</f>
        <v>F129446-2</v>
      </c>
      <c r="AR957" s="59" t="str">
        <f>IFERROR(VLOOKUP($A957,[2]Mssp!$A$5:$BE$1463,AR$4+1,0),0)</f>
        <v>F129446-3</v>
      </c>
      <c r="AS957" s="59">
        <f>IFERROR(VLOOKUP($A957,[2]Mssp!$A$5:$BE$1463,AS$4+1,0),0)</f>
        <v>0</v>
      </c>
      <c r="AT957" s="59">
        <f>IFERROR(VLOOKUP($A957,[2]Mssp!$A$5:$BE$1463,AT$4+1,0),0)</f>
        <v>0</v>
      </c>
      <c r="AU957" s="59">
        <f>IFERROR(VLOOKUP($A957,[2]Mssp!$A$5:$BE$1463,AU$4+1,0),0)</f>
        <v>0</v>
      </c>
      <c r="AV957" s="59">
        <f>IFERROR(VLOOKUP($A957,[2]Mssp!$A$5:$BE$1463,AV$4+1,0),0)</f>
        <v>0</v>
      </c>
      <c r="AW957" s="59">
        <f>IFERROR(VLOOKUP($A957,[2]Mssp!$A$5:$BE$1463,AW$4+1,0),0)</f>
        <v>0</v>
      </c>
      <c r="AX957" s="59">
        <f>IFERROR(VLOOKUP($A957,[2]Mssp!$A$5:$BE$1463,AX$4+1,0),0)</f>
        <v>0</v>
      </c>
      <c r="AY957" s="59" t="str">
        <f>IFERROR(VLOOKUP($A957,[2]Mssp!$A$5:$BE$1463,AY$4+2,0),0)</f>
        <v>428x1100</v>
      </c>
      <c r="AZ957" s="59">
        <f>IFERROR(VLOOKUP($A957,[2]Mssp!$A$5:$BE$1463,AZ$4+2,0),0)</f>
        <v>0</v>
      </c>
      <c r="BA957" s="141"/>
      <c r="BB957" s="61" t="s">
        <v>1894</v>
      </c>
      <c r="BC957" s="165"/>
      <c r="BD957" s="166"/>
      <c r="BE957" s="167"/>
      <c r="BF957" s="168"/>
      <c r="BG957" s="167"/>
      <c r="BH957" s="168"/>
      <c r="BI957" s="169"/>
      <c r="BJ957" s="168"/>
      <c r="BK957" s="134"/>
      <c r="BL957" s="168"/>
      <c r="BM957" s="167"/>
      <c r="BN957" s="168"/>
      <c r="BO957" s="62"/>
      <c r="BP957" s="168"/>
      <c r="BQ957" s="168"/>
      <c r="BR957" s="168"/>
      <c r="BS957" s="135"/>
      <c r="BT957" s="176"/>
      <c r="BU957" s="167"/>
      <c r="BV957" s="168"/>
      <c r="BW957" s="167"/>
      <c r="BX957" s="168"/>
      <c r="BY957" s="167"/>
      <c r="BZ957" s="176"/>
      <c r="CA957" s="167"/>
      <c r="CB957" s="168"/>
      <c r="CC957" s="167"/>
      <c r="CD957" s="168"/>
      <c r="CE957" s="62"/>
      <c r="CF957" s="62"/>
      <c r="CG957" s="9"/>
      <c r="CH957" s="9"/>
      <c r="CI957" s="9"/>
      <c r="CJ957" s="9"/>
      <c r="CK957" s="9"/>
      <c r="CL957" s="9"/>
      <c r="CM957" s="9"/>
      <c r="CN957" s="9"/>
      <c r="CO957" s="9"/>
      <c r="CP957" s="9"/>
    </row>
    <row r="958" spans="1:94" ht="45" x14ac:dyDescent="0.25">
      <c r="A958" s="127" t="s">
        <v>3054</v>
      </c>
      <c r="B958" s="72" t="s">
        <v>3055</v>
      </c>
      <c r="C958" s="62"/>
      <c r="D958" s="84">
        <v>4</v>
      </c>
      <c r="E958" s="62" t="s">
        <v>3056</v>
      </c>
      <c r="F958" s="62">
        <v>2</v>
      </c>
      <c r="G958" s="62"/>
      <c r="H958" s="50">
        <f>VLOOKUP($A958,'[1]ma sp 02'!$A$5:$BD$1101,H$1,0)</f>
        <v>0</v>
      </c>
      <c r="I958" s="50">
        <f>VLOOKUP($A958,'[1]ma sp 02'!$A$5:$BD$1101,I$1,0)</f>
        <v>4.0460000000000003</v>
      </c>
      <c r="J958" s="50">
        <f>VLOOKUP($A958,'[1]ma sp 02'!$A$5:$BD$1101,J$1,0)</f>
        <v>0</v>
      </c>
      <c r="K958" s="50">
        <f>VLOOKUP($A958,'[1]ma sp 02'!$A$5:$BD$1101,K$1,0)</f>
        <v>1.349</v>
      </c>
      <c r="L958" s="50">
        <f>VLOOKUP($A958,'[1]ma sp 02'!$A$5:$BD$1101,L$1,0)</f>
        <v>0</v>
      </c>
      <c r="M958" s="50">
        <f>VLOOKUP($A958,'[1]ma sp 02'!$A$5:$BD$1101,M$1,0)</f>
        <v>0</v>
      </c>
      <c r="N958" s="50">
        <f>VLOOKUP($A958,'[1]ma sp 02'!$A$5:$BD$1101,N$1,0)</f>
        <v>0</v>
      </c>
      <c r="O958" s="50">
        <f>VLOOKUP($A958,'[1]ma sp 02'!$A$5:$BD$1101,O$1,0)</f>
        <v>0</v>
      </c>
      <c r="P958" s="50">
        <f>VLOOKUP($A958,'[1]ma sp 02'!$A$5:$BD$1101,P$1,0)</f>
        <v>0</v>
      </c>
      <c r="Q958" s="50">
        <f>VLOOKUP($A958,'[1]ma sp 02'!$A$5:$BD$1101,Q$1,0)</f>
        <v>0</v>
      </c>
      <c r="R958" s="50">
        <f>VLOOKUP($A958,'[1]ma sp 02'!$A$5:$BD$1101,R$1,0)</f>
        <v>0.01</v>
      </c>
      <c r="S958" s="50">
        <f>VLOOKUP($A958,'[1]ma sp 02'!$A$5:$BD$1101,S$1,0)</f>
        <v>0</v>
      </c>
      <c r="T958" s="50">
        <f>VLOOKUP($A958,'[1]ma sp 02'!$A$5:$BD$1101,T$1,0)</f>
        <v>0</v>
      </c>
      <c r="U958" s="50">
        <f>VLOOKUP($A958,'[1]ma sp 02'!$A$5:$BD$1101,U$1,0)</f>
        <v>0</v>
      </c>
      <c r="V958" s="50">
        <f>VLOOKUP($A958,'[1]ma sp 02'!$A$5:$BD$1101,V$1,0)</f>
        <v>0</v>
      </c>
      <c r="W958" s="50">
        <f>VLOOKUP($A958,'[1]ma sp 02'!$A$5:$BD$1101,W$1,0)</f>
        <v>0.01</v>
      </c>
      <c r="X958" s="50"/>
      <c r="Y958" s="62"/>
      <c r="Z958" s="62"/>
      <c r="AA958" s="62"/>
      <c r="AB958" s="62"/>
      <c r="AC958" s="62"/>
      <c r="AD958" s="62"/>
      <c r="AE958" s="62" t="s">
        <v>3057</v>
      </c>
      <c r="AF958" s="62" t="s">
        <v>3058</v>
      </c>
      <c r="AG958" s="53">
        <f>(0.03*0.91+0.012*1.4+0.035*0.925)*0.668</f>
        <v>5.1085300000000014E-2</v>
      </c>
      <c r="AH958" s="54">
        <f>(2.3/0.75/2)*0.658</f>
        <v>1.0089333333333332</v>
      </c>
      <c r="AI958" s="54">
        <f>(2.3/0.75/2)*0.658</f>
        <v>1.0089333333333332</v>
      </c>
      <c r="AJ958" s="192">
        <v>9530</v>
      </c>
      <c r="AK958" s="62">
        <v>9530</v>
      </c>
      <c r="AL958" s="62" t="s">
        <v>3059</v>
      </c>
      <c r="AM958" s="61" t="s">
        <v>1489</v>
      </c>
      <c r="AN958" s="62">
        <v>125</v>
      </c>
      <c r="AO958" s="61" t="s">
        <v>3060</v>
      </c>
      <c r="AP958" s="59" t="str">
        <f>IFERROR(VLOOKUP($A958,[2]Mssp!$A$5:$BE$1463,AP$4+1,0),0)</f>
        <v>21090631-1</v>
      </c>
      <c r="AQ958" s="59" t="str">
        <f>IFERROR(VLOOKUP($A958,[2]Mssp!$A$5:$BE$1463,AQ$4+1,0),0)</f>
        <v>21090631-2</v>
      </c>
      <c r="AR958" s="59">
        <f>IFERROR(VLOOKUP($A958,[2]Mssp!$A$5:$BE$1463,AR$4+1,0),0)</f>
        <v>0</v>
      </c>
      <c r="AS958" s="59">
        <f>IFERROR(VLOOKUP($A958,[2]Mssp!$A$5:$BE$1463,AS$4+1,0),0)</f>
        <v>0</v>
      </c>
      <c r="AT958" s="59">
        <f>IFERROR(VLOOKUP($A958,[2]Mssp!$A$5:$BE$1463,AT$4+1,0),0)</f>
        <v>0</v>
      </c>
      <c r="AU958" s="59">
        <f>IFERROR(VLOOKUP($A958,[2]Mssp!$A$5:$BE$1463,AU$4+1,0),0)</f>
        <v>0</v>
      </c>
      <c r="AV958" s="59">
        <f>IFERROR(VLOOKUP($A958,[2]Mssp!$A$5:$BE$1463,AV$4+1,0),0)</f>
        <v>0</v>
      </c>
      <c r="AW958" s="59">
        <f>IFERROR(VLOOKUP($A958,[2]Mssp!$A$5:$BE$1463,AW$4+1,0),0)</f>
        <v>0</v>
      </c>
      <c r="AX958" s="59">
        <f>IFERROR(VLOOKUP($A958,[2]Mssp!$A$5:$BE$1463,AX$4+1,0),0)</f>
        <v>0</v>
      </c>
      <c r="AY958" s="59" t="str">
        <f>IFERROR(VLOOKUP($A958,[2]Mssp!$A$5:$BE$1463,AY$4+2,0),0)</f>
        <v>500x870</v>
      </c>
      <c r="AZ958" s="59">
        <f>IFERROR(VLOOKUP($A958,[2]Mssp!$A$5:$BE$1463,AZ$4+2,0),0)</f>
        <v>0</v>
      </c>
      <c r="BA958" s="141"/>
      <c r="BB958" s="61" t="s">
        <v>952</v>
      </c>
      <c r="BC958" s="165"/>
      <c r="BD958" s="166"/>
      <c r="BE958" s="167"/>
      <c r="BF958" s="168"/>
      <c r="BG958" s="167"/>
      <c r="BH958" s="168"/>
      <c r="BI958" s="169"/>
      <c r="BJ958" s="168"/>
      <c r="BK958" s="134"/>
      <c r="BL958" s="168"/>
      <c r="BM958" s="167"/>
      <c r="BN958" s="168"/>
      <c r="BO958" s="62"/>
      <c r="BP958" s="168"/>
      <c r="BQ958" s="168"/>
      <c r="BR958" s="168"/>
      <c r="BS958" s="135"/>
      <c r="BT958" s="176"/>
      <c r="BU958" s="167"/>
      <c r="BV958" s="168"/>
      <c r="BW958" s="167"/>
      <c r="BX958" s="168"/>
      <c r="BY958" s="167"/>
      <c r="BZ958" s="176"/>
      <c r="CA958" s="167"/>
      <c r="CB958" s="168"/>
      <c r="CC958" s="167"/>
      <c r="CD958" s="168"/>
      <c r="CE958" s="62"/>
      <c r="CF958" s="62"/>
      <c r="CG958" s="9"/>
      <c r="CH958" s="9"/>
      <c r="CI958" s="9"/>
      <c r="CJ958" s="9"/>
      <c r="CK958" s="9"/>
      <c r="CL958" s="9"/>
      <c r="CM958" s="9"/>
      <c r="CN958" s="9"/>
      <c r="CO958" s="9"/>
      <c r="CP958" s="9"/>
    </row>
    <row r="959" spans="1:94" ht="30" x14ac:dyDescent="0.25">
      <c r="A959" s="127" t="s">
        <v>3061</v>
      </c>
      <c r="B959" s="51" t="s">
        <v>3062</v>
      </c>
      <c r="C959" s="62"/>
      <c r="D959" s="84">
        <v>3</v>
      </c>
      <c r="E959" s="62" t="s">
        <v>1023</v>
      </c>
      <c r="F959" s="62">
        <v>5</v>
      </c>
      <c r="G959" s="62"/>
      <c r="H959" s="50">
        <f>VLOOKUP($A959,'[1]ma sp 02'!$A$5:$BD$1101,H$1,0)</f>
        <v>0.28799999999999998</v>
      </c>
      <c r="I959" s="50">
        <f>VLOOKUP($A959,'[1]ma sp 02'!$A$5:$BD$1101,I$1,0)</f>
        <v>3.677</v>
      </c>
      <c r="J959" s="50">
        <f>VLOOKUP($A959,'[1]ma sp 02'!$A$5:$BD$1101,J$1,0)</f>
        <v>0.31</v>
      </c>
      <c r="K959" s="50">
        <f>VLOOKUP($A959,'[1]ma sp 02'!$A$5:$BD$1101,K$1,0)</f>
        <v>0.28799999999999998</v>
      </c>
      <c r="L959" s="50">
        <f>VLOOKUP($A959,'[1]ma sp 02'!$A$5:$BD$1101,L$1,0)</f>
        <v>0.88600000000000001</v>
      </c>
      <c r="M959" s="50">
        <f>VLOOKUP($A959,'[1]ma sp 02'!$A$5:$BD$1101,M$1,0)</f>
        <v>1.2849999999999999</v>
      </c>
      <c r="N959" s="50">
        <f>VLOOKUP($A959,'[1]ma sp 02'!$A$5:$BD$1101,N$1,0)</f>
        <v>0</v>
      </c>
      <c r="O959" s="50">
        <f>VLOOKUP($A959,'[1]ma sp 02'!$A$5:$BD$1101,O$1,0)</f>
        <v>0</v>
      </c>
      <c r="P959" s="50">
        <f>VLOOKUP($A959,'[1]ma sp 02'!$A$5:$BD$1101,P$1,0)</f>
        <v>0</v>
      </c>
      <c r="Q959" s="50">
        <f>VLOOKUP($A959,'[1]ma sp 02'!$A$5:$BD$1101,Q$1,0)</f>
        <v>0</v>
      </c>
      <c r="R959" s="50">
        <f>VLOOKUP($A959,'[1]ma sp 02'!$A$5:$BD$1101,R$1,0)</f>
        <v>0</v>
      </c>
      <c r="S959" s="50">
        <f>VLOOKUP($A959,'[1]ma sp 02'!$A$5:$BD$1101,S$1,0)</f>
        <v>0</v>
      </c>
      <c r="T959" s="50">
        <f>VLOOKUP($A959,'[1]ma sp 02'!$A$5:$BD$1101,T$1,0)</f>
        <v>0</v>
      </c>
      <c r="U959" s="50">
        <f>VLOOKUP($A959,'[1]ma sp 02'!$A$5:$BD$1101,U$1,0)</f>
        <v>0</v>
      </c>
      <c r="V959" s="50">
        <f>VLOOKUP($A959,'[1]ma sp 02'!$A$5:$BD$1101,V$1,0)</f>
        <v>0</v>
      </c>
      <c r="W959" s="50">
        <f>VLOOKUP($A959,'[1]ma sp 02'!$A$5:$BD$1101,W$1,0)</f>
        <v>0</v>
      </c>
      <c r="X959" s="50"/>
      <c r="Y959" s="62"/>
      <c r="Z959" s="62"/>
      <c r="AA959" s="62"/>
      <c r="AB959" s="62"/>
      <c r="AC959" s="62"/>
      <c r="AD959" s="62"/>
      <c r="AE959" s="62" t="s">
        <v>1797</v>
      </c>
      <c r="AF959" s="62" t="s">
        <v>610</v>
      </c>
      <c r="AG959" s="53">
        <f>(0.03*0.91+0.006*2.71+0.08*0.925)*0.8</f>
        <v>9.404800000000002E-2</v>
      </c>
      <c r="AH959" s="54">
        <f>(2.3/0.75/2)*0.79</f>
        <v>1.2113333333333334</v>
      </c>
      <c r="AI959" s="54">
        <f>(2.5/0.75/2)*0.79</f>
        <v>1.3166666666666669</v>
      </c>
      <c r="AJ959" s="192">
        <v>9530</v>
      </c>
      <c r="AK959" s="62">
        <v>9530</v>
      </c>
      <c r="AL959" s="62" t="s">
        <v>995</v>
      </c>
      <c r="AM959" s="61" t="s">
        <v>74</v>
      </c>
      <c r="AN959" s="62">
        <v>190</v>
      </c>
      <c r="AO959" s="61" t="s">
        <v>2621</v>
      </c>
      <c r="AP959" s="59" t="str">
        <f>IFERROR(VLOOKUP($A959,[2]Mssp!$A$5:$BE$1463,AP$4+1,0),0)</f>
        <v>21090672-1</v>
      </c>
      <c r="AQ959" s="59" t="str">
        <f>IFERROR(VLOOKUP($A959,[2]Mssp!$A$5:$BE$1463,AQ$4+1,0),0)</f>
        <v>21090672-2</v>
      </c>
      <c r="AR959" s="59" t="str">
        <f>IFERROR(VLOOKUP($A959,[2]Mssp!$A$5:$BE$1463,AR$4+1,0),0)</f>
        <v>21090672-3</v>
      </c>
      <c r="AS959" s="59" t="str">
        <f>IFERROR(VLOOKUP($A959,[2]Mssp!$A$5:$BE$1463,AS$4+1,0),0)</f>
        <v>21090672-4</v>
      </c>
      <c r="AT959" s="59" t="str">
        <f>IFERROR(VLOOKUP($A959,[2]Mssp!$A$5:$BE$1463,AT$4+1,0),0)</f>
        <v>21090672-5</v>
      </c>
      <c r="AU959" s="59">
        <f>IFERROR(VLOOKUP($A959,[2]Mssp!$A$5:$BE$1463,AU$4+1,0),0)</f>
        <v>0</v>
      </c>
      <c r="AV959" s="59">
        <f>IFERROR(VLOOKUP($A959,[2]Mssp!$A$5:$BE$1463,AV$4+1,0),0)</f>
        <v>0</v>
      </c>
      <c r="AW959" s="59">
        <f>IFERROR(VLOOKUP($A959,[2]Mssp!$A$5:$BE$1463,AW$4+1,0),0)</f>
        <v>0</v>
      </c>
      <c r="AX959" s="59">
        <f>IFERROR(VLOOKUP($A959,[2]Mssp!$A$5:$BE$1463,AX$4+1,0),0)</f>
        <v>0</v>
      </c>
      <c r="AY959" s="59" t="str">
        <f>IFERROR(VLOOKUP($A959,[2]Mssp!$A$5:$BE$1463,AY$4+2,0),0)</f>
        <v>760x870</v>
      </c>
      <c r="AZ959" s="59">
        <f>IFERROR(VLOOKUP($A959,[2]Mssp!$A$5:$BE$1463,AZ$4+2,0),0)</f>
        <v>0</v>
      </c>
      <c r="BA959" s="141"/>
      <c r="BB959" s="61" t="s">
        <v>1894</v>
      </c>
      <c r="BC959" s="165"/>
      <c r="BD959" s="166"/>
      <c r="BE959" s="167"/>
      <c r="BF959" s="168"/>
      <c r="BG959" s="167"/>
      <c r="BH959" s="168"/>
      <c r="BI959" s="169"/>
      <c r="BJ959" s="168"/>
      <c r="BK959" s="134"/>
      <c r="BL959" s="168"/>
      <c r="BM959" s="167"/>
      <c r="BN959" s="168"/>
      <c r="BO959" s="62"/>
      <c r="BP959" s="168"/>
      <c r="BQ959" s="168"/>
      <c r="BR959" s="168"/>
      <c r="BS959" s="135"/>
      <c r="BT959" s="176"/>
      <c r="BU959" s="167"/>
      <c r="BV959" s="168"/>
      <c r="BW959" s="167"/>
      <c r="BX959" s="168"/>
      <c r="BY959" s="167"/>
      <c r="BZ959" s="176"/>
      <c r="CA959" s="167"/>
      <c r="CB959" s="168"/>
      <c r="CC959" s="167"/>
      <c r="CD959" s="168"/>
      <c r="CE959" s="62"/>
      <c r="CF959" s="62"/>
      <c r="CG959" s="9"/>
      <c r="CH959" s="9"/>
      <c r="CI959" s="9"/>
      <c r="CJ959" s="9"/>
      <c r="CK959" s="9"/>
      <c r="CL959" s="9"/>
      <c r="CM959" s="9"/>
      <c r="CN959" s="9"/>
      <c r="CO959" s="9"/>
      <c r="CP959" s="9"/>
    </row>
    <row r="960" spans="1:94" ht="30" x14ac:dyDescent="0.25">
      <c r="A960" s="127" t="s">
        <v>3063</v>
      </c>
      <c r="B960" s="51" t="s">
        <v>3064</v>
      </c>
      <c r="C960" s="62"/>
      <c r="D960" s="84">
        <v>3</v>
      </c>
      <c r="E960" s="62" t="s">
        <v>351</v>
      </c>
      <c r="F960" s="62">
        <v>5</v>
      </c>
      <c r="G960" s="62"/>
      <c r="H960" s="50">
        <f>VLOOKUP($A960,'[1]ma sp 02'!$A$5:$BD$1101,H$1,0)</f>
        <v>0.01</v>
      </c>
      <c r="I960" s="50">
        <f>VLOOKUP($A960,'[1]ma sp 02'!$A$5:$BD$1101,I$1,0)</f>
        <v>6.8760000000000003</v>
      </c>
      <c r="J960" s="50">
        <f>VLOOKUP($A960,'[1]ma sp 02'!$A$5:$BD$1101,J$1,0)</f>
        <v>0.48</v>
      </c>
      <c r="K960" s="50">
        <f>VLOOKUP($A960,'[1]ma sp 02'!$A$5:$BD$1101,K$1,0)</f>
        <v>0.01</v>
      </c>
      <c r="L960" s="50">
        <f>VLOOKUP($A960,'[1]ma sp 02'!$A$5:$BD$1101,L$1,0)</f>
        <v>1.7589999999999999</v>
      </c>
      <c r="M960" s="50">
        <f>VLOOKUP($A960,'[1]ma sp 02'!$A$5:$BD$1101,M$1,0)</f>
        <v>2.0779999999999998</v>
      </c>
      <c r="N960" s="50">
        <f>VLOOKUP($A960,'[1]ma sp 02'!$A$5:$BD$1101,N$1,0)</f>
        <v>0</v>
      </c>
      <c r="O960" s="50">
        <f>VLOOKUP($A960,'[1]ma sp 02'!$A$5:$BD$1101,O$1,0)</f>
        <v>0</v>
      </c>
      <c r="P960" s="50">
        <f>VLOOKUP($A960,'[1]ma sp 02'!$A$5:$BD$1101,P$1,0)</f>
        <v>0</v>
      </c>
      <c r="Q960" s="50">
        <f>VLOOKUP($A960,'[1]ma sp 02'!$A$5:$BD$1101,Q$1,0)</f>
        <v>0</v>
      </c>
      <c r="R960" s="50">
        <f>VLOOKUP($A960,'[1]ma sp 02'!$A$5:$BD$1101,R$1,0)</f>
        <v>0</v>
      </c>
      <c r="S960" s="50">
        <f>VLOOKUP($A960,'[1]ma sp 02'!$A$5:$BD$1101,S$1,0)</f>
        <v>0</v>
      </c>
      <c r="T960" s="50">
        <f>VLOOKUP($A960,'[1]ma sp 02'!$A$5:$BD$1101,T$1,0)</f>
        <v>0</v>
      </c>
      <c r="U960" s="50">
        <f>VLOOKUP($A960,'[1]ma sp 02'!$A$5:$BD$1101,U$1,0)</f>
        <v>0</v>
      </c>
      <c r="V960" s="50">
        <f>VLOOKUP($A960,'[1]ma sp 02'!$A$5:$BD$1101,V$1,0)</f>
        <v>0</v>
      </c>
      <c r="W960" s="50">
        <f>VLOOKUP($A960,'[1]ma sp 02'!$A$5:$BD$1101,W$1,0)</f>
        <v>0</v>
      </c>
      <c r="X960" s="50"/>
      <c r="Y960" s="62"/>
      <c r="Z960" s="62"/>
      <c r="AA960" s="62"/>
      <c r="AB960" s="62"/>
      <c r="AC960" s="62"/>
      <c r="AD960" s="62"/>
      <c r="AE960" s="62" t="s">
        <v>352</v>
      </c>
      <c r="AF960" s="62" t="s">
        <v>2117</v>
      </c>
      <c r="AG960" s="53">
        <f>(0.012*1.4+0.012*1.4+0.085*0.925)*0.8</f>
        <v>8.9780000000000026E-2</v>
      </c>
      <c r="AH960" s="54">
        <f>(2.3/0.75/2)*0.79</f>
        <v>1.2113333333333334</v>
      </c>
      <c r="AI960" s="54">
        <f>(2.3/0.75/2)*0.79</f>
        <v>1.2113333333333334</v>
      </c>
      <c r="AJ960" s="192">
        <v>9530</v>
      </c>
      <c r="AK960" s="62">
        <v>9530</v>
      </c>
      <c r="AL960" s="62" t="s">
        <v>354</v>
      </c>
      <c r="AM960" s="61" t="s">
        <v>1489</v>
      </c>
      <c r="AN960" s="62">
        <v>190</v>
      </c>
      <c r="AO960" s="61" t="s">
        <v>2173</v>
      </c>
      <c r="AP960" s="59" t="str">
        <f>IFERROR(VLOOKUP($A960,[2]Mssp!$A$5:$BE$1463,AP$4+1,0),0)</f>
        <v>21090876-1</v>
      </c>
      <c r="AQ960" s="59" t="str">
        <f>IFERROR(VLOOKUP($A960,[2]Mssp!$A$5:$BE$1463,AQ$4+1,0),0)</f>
        <v>21090876-2</v>
      </c>
      <c r="AR960" s="59" t="str">
        <f>IFERROR(VLOOKUP($A960,[2]Mssp!$A$5:$BE$1463,AR$4+1,0),0)</f>
        <v>21090876-3</v>
      </c>
      <c r="AS960" s="59" t="str">
        <f>IFERROR(VLOOKUP($A960,[2]Mssp!$A$5:$BE$1463,AS$4+1,0),0)</f>
        <v>21090876-4</v>
      </c>
      <c r="AT960" s="59" t="str">
        <f>IFERROR(VLOOKUP($A960,[2]Mssp!$A$5:$BE$1463,AT$4+1,0),0)</f>
        <v>21090876-5</v>
      </c>
      <c r="AU960" s="59">
        <f>IFERROR(VLOOKUP($A960,[2]Mssp!$A$5:$BE$1463,AU$4+1,0),0)</f>
        <v>0</v>
      </c>
      <c r="AV960" s="59">
        <f>IFERROR(VLOOKUP($A960,[2]Mssp!$A$5:$BE$1463,AV$4+1,0),0)</f>
        <v>0</v>
      </c>
      <c r="AW960" s="59">
        <f>IFERROR(VLOOKUP($A960,[2]Mssp!$A$5:$BE$1463,AW$4+1,0),0)</f>
        <v>0</v>
      </c>
      <c r="AX960" s="59">
        <f>IFERROR(VLOOKUP($A960,[2]Mssp!$A$5:$BE$1463,AX$4+1,0),0)</f>
        <v>0</v>
      </c>
      <c r="AY960" s="59" t="str">
        <f>IFERROR(VLOOKUP($A960,[2]Mssp!$A$5:$BE$1463,AY$4+2,0),0)</f>
        <v>570x870</v>
      </c>
      <c r="AZ960" s="59">
        <f>IFERROR(VLOOKUP($A960,[2]Mssp!$A$5:$BE$1463,AZ$4+2,0),0)</f>
        <v>0</v>
      </c>
      <c r="BA960" s="141" t="s">
        <v>1936</v>
      </c>
      <c r="BB960" s="61" t="s">
        <v>952</v>
      </c>
      <c r="BC960" s="165"/>
      <c r="BD960" s="166"/>
      <c r="BE960" s="167"/>
      <c r="BF960" s="168"/>
      <c r="BG960" s="167"/>
      <c r="BH960" s="168"/>
      <c r="BI960" s="169"/>
      <c r="BJ960" s="168"/>
      <c r="BK960" s="134"/>
      <c r="BL960" s="168"/>
      <c r="BM960" s="167"/>
      <c r="BN960" s="168"/>
      <c r="BO960" s="62"/>
      <c r="BP960" s="168"/>
      <c r="BQ960" s="168"/>
      <c r="BR960" s="168"/>
      <c r="BS960" s="135"/>
      <c r="BT960" s="176"/>
      <c r="BU960" s="167"/>
      <c r="BV960" s="168"/>
      <c r="BW960" s="167"/>
      <c r="BX960" s="168"/>
      <c r="BY960" s="167"/>
      <c r="BZ960" s="176"/>
      <c r="CA960" s="167"/>
      <c r="CB960" s="168"/>
      <c r="CC960" s="167"/>
      <c r="CD960" s="168"/>
      <c r="CE960" s="62"/>
      <c r="CF960" s="62"/>
      <c r="CG960" s="9"/>
      <c r="CH960" s="9"/>
      <c r="CI960" s="9"/>
      <c r="CJ960" s="9"/>
      <c r="CK960" s="9"/>
      <c r="CL960" s="9"/>
      <c r="CM960" s="9"/>
      <c r="CN960" s="9"/>
      <c r="CO960" s="9"/>
      <c r="CP960" s="9"/>
    </row>
    <row r="961" spans="1:94" ht="30" x14ac:dyDescent="0.25">
      <c r="A961" s="127" t="s">
        <v>3065</v>
      </c>
      <c r="B961" s="51" t="s">
        <v>3066</v>
      </c>
      <c r="C961" s="62"/>
      <c r="D961" s="84">
        <v>2</v>
      </c>
      <c r="E961" s="62" t="s">
        <v>299</v>
      </c>
      <c r="F961" s="62">
        <v>8</v>
      </c>
      <c r="G961" s="62"/>
      <c r="H961" s="50">
        <f>VLOOKUP($A961,'[1]ma sp 02'!$A$5:$BD$1101,H$1,0)</f>
        <v>0.156</v>
      </c>
      <c r="I961" s="50">
        <f>VLOOKUP($A961,'[1]ma sp 02'!$A$5:$BD$1101,I$1,0)</f>
        <v>1.867</v>
      </c>
      <c r="J961" s="50">
        <f>VLOOKUP($A961,'[1]ma sp 02'!$A$5:$BD$1101,J$1,0)</f>
        <v>0.373</v>
      </c>
      <c r="K961" s="50">
        <f>VLOOKUP($A961,'[1]ma sp 02'!$A$5:$BD$1101,K$1,0)</f>
        <v>0.747</v>
      </c>
      <c r="L961" s="50">
        <f>VLOOKUP($A961,'[1]ma sp 02'!$A$5:$BD$1101,L$1,0)</f>
        <v>3.1E-2</v>
      </c>
      <c r="M961" s="50">
        <f>VLOOKUP($A961,'[1]ma sp 02'!$A$5:$BD$1101,M$1,0)</f>
        <v>0.124</v>
      </c>
      <c r="N961" s="50">
        <f>VLOOKUP($A961,'[1]ma sp 02'!$A$5:$BD$1101,N$1,0)</f>
        <v>0</v>
      </c>
      <c r="O961" s="50">
        <f>VLOOKUP($A961,'[1]ma sp 02'!$A$5:$BD$1101,O$1,0)</f>
        <v>0</v>
      </c>
      <c r="P961" s="50">
        <f>VLOOKUP($A961,'[1]ma sp 02'!$A$5:$BD$1101,P$1,0)</f>
        <v>9.2999999999999999E-2</v>
      </c>
      <c r="Q961" s="50">
        <f>VLOOKUP($A961,'[1]ma sp 02'!$A$5:$BD$1101,Q$1,0)</f>
        <v>0</v>
      </c>
      <c r="R961" s="50">
        <f>VLOOKUP($A961,'[1]ma sp 02'!$A$5:$BD$1101,R$1,0)</f>
        <v>0</v>
      </c>
      <c r="S961" s="50">
        <f>VLOOKUP($A961,'[1]ma sp 02'!$A$5:$BD$1101,S$1,0)</f>
        <v>0</v>
      </c>
      <c r="T961" s="50">
        <f>VLOOKUP($A961,'[1]ma sp 02'!$A$5:$BD$1101,T$1,0)</f>
        <v>3.1E-2</v>
      </c>
      <c r="U961" s="50">
        <f>VLOOKUP($A961,'[1]ma sp 02'!$A$5:$BD$1101,U$1,0)</f>
        <v>0</v>
      </c>
      <c r="V961" s="50">
        <f>VLOOKUP($A961,'[1]ma sp 02'!$A$5:$BD$1101,V$1,0)</f>
        <v>9.2999999999999999E-2</v>
      </c>
      <c r="W961" s="50">
        <f>VLOOKUP($A961,'[1]ma sp 02'!$A$5:$BD$1101,W$1,0)</f>
        <v>0</v>
      </c>
      <c r="X961" s="50"/>
      <c r="Y961" s="62"/>
      <c r="Z961" s="62"/>
      <c r="AA961" s="62"/>
      <c r="AB961" s="62"/>
      <c r="AC961" s="62"/>
      <c r="AD961" s="62"/>
      <c r="AE961" s="62" t="s">
        <v>1934</v>
      </c>
      <c r="AF961" s="62"/>
      <c r="AG961" s="53">
        <f>(0.02*0.91+0.055*0.925)*0.82</f>
        <v>5.6641499999999997E-2</v>
      </c>
      <c r="AH961" s="54">
        <f>(3/0.75/2)*0.81</f>
        <v>1.62</v>
      </c>
      <c r="AI961" s="54"/>
      <c r="AJ961" s="192">
        <v>9530</v>
      </c>
      <c r="AK961" s="62"/>
      <c r="AL961" s="62">
        <v>3.0000000000000001E-3</v>
      </c>
      <c r="AM961" s="61" t="s">
        <v>1489</v>
      </c>
      <c r="AN961" s="62"/>
      <c r="AO961" s="61" t="s">
        <v>2721</v>
      </c>
      <c r="AP961" s="59" t="str">
        <f>IFERROR(VLOOKUP($A961,[2]Mssp!$A$5:$BE$1463,AP$4+1,0),0)</f>
        <v>F129730-1</v>
      </c>
      <c r="AQ961" s="59" t="str">
        <f>IFERROR(VLOOKUP($A961,[2]Mssp!$A$5:$BE$1463,AQ$4+1,0),0)</f>
        <v>F129730-2</v>
      </c>
      <c r="AR961" s="59" t="str">
        <f>IFERROR(VLOOKUP($A961,[2]Mssp!$A$5:$BE$1463,AR$4+1,0),0)</f>
        <v>F129730-3</v>
      </c>
      <c r="AS961" s="59" t="str">
        <f>IFERROR(VLOOKUP($A961,[2]Mssp!$A$5:$BE$1463,AS$4+1,0),0)</f>
        <v>F129730-4</v>
      </c>
      <c r="AT961" s="59" t="str">
        <f>IFERROR(VLOOKUP($A961,[2]Mssp!$A$5:$BE$1463,AT$4+1,0),0)</f>
        <v>F129730-5</v>
      </c>
      <c r="AU961" s="59" t="str">
        <f>IFERROR(VLOOKUP($A961,[2]Mssp!$A$5:$BE$1463,AU$4+1,0),0)</f>
        <v>F129730-6</v>
      </c>
      <c r="AV961" s="59" t="str">
        <f>IFERROR(VLOOKUP($A961,[2]Mssp!$A$5:$BE$1463,AV$4+1,0),0)</f>
        <v>F129730-7</v>
      </c>
      <c r="AW961" s="59" t="str">
        <f>IFERROR(VLOOKUP($A961,[2]Mssp!$A$5:$BE$1463,AW$4+1,0),0)</f>
        <v>F129730-8</v>
      </c>
      <c r="AX961" s="59">
        <f>IFERROR(VLOOKUP($A961,[2]Mssp!$A$5:$BE$1463,AX$4+1,0),0)</f>
        <v>0</v>
      </c>
      <c r="AY961" s="59" t="str">
        <f>IFERROR(VLOOKUP($A961,[2]Mssp!$A$5:$BE$1463,AY$4+2,0),0)</f>
        <v>500x870</v>
      </c>
      <c r="AZ961" s="59">
        <f>IFERROR(VLOOKUP($A961,[2]Mssp!$A$5:$BE$1463,AZ$4+2,0),0)</f>
        <v>0</v>
      </c>
      <c r="BA961" s="141" t="s">
        <v>1936</v>
      </c>
      <c r="BB961" s="61" t="s">
        <v>952</v>
      </c>
      <c r="BC961" s="165"/>
      <c r="BD961" s="166"/>
      <c r="BE961" s="167"/>
      <c r="BF961" s="168"/>
      <c r="BG961" s="167"/>
      <c r="BH961" s="168"/>
      <c r="BI961" s="169"/>
      <c r="BJ961" s="168"/>
      <c r="BK961" s="134"/>
      <c r="BL961" s="168"/>
      <c r="BM961" s="167"/>
      <c r="BN961" s="168"/>
      <c r="BO961" s="62"/>
      <c r="BP961" s="168"/>
      <c r="BQ961" s="168"/>
      <c r="BR961" s="168"/>
      <c r="BS961" s="135"/>
      <c r="BT961" s="176"/>
      <c r="BU961" s="167"/>
      <c r="BV961" s="168"/>
      <c r="BW961" s="167"/>
      <c r="BX961" s="168"/>
      <c r="BY961" s="167"/>
      <c r="BZ961" s="176"/>
      <c r="CA961" s="167"/>
      <c r="CB961" s="168"/>
      <c r="CC961" s="167"/>
      <c r="CD961" s="168"/>
      <c r="CE961" s="62"/>
      <c r="CF961" s="62"/>
      <c r="CG961" s="9"/>
      <c r="CH961" s="9"/>
      <c r="CI961" s="9"/>
      <c r="CJ961" s="9"/>
      <c r="CK961" s="9"/>
      <c r="CL961" s="9"/>
      <c r="CM961" s="9"/>
      <c r="CN961" s="9"/>
      <c r="CO961" s="9"/>
      <c r="CP961" s="9"/>
    </row>
    <row r="962" spans="1:94" ht="30" x14ac:dyDescent="0.25">
      <c r="A962" s="127" t="s">
        <v>3067</v>
      </c>
      <c r="B962" s="51" t="s">
        <v>3068</v>
      </c>
      <c r="C962" s="62"/>
      <c r="D962" s="84">
        <v>3</v>
      </c>
      <c r="E962" s="62" t="s">
        <v>2111</v>
      </c>
      <c r="F962" s="62">
        <v>8</v>
      </c>
      <c r="G962" s="62"/>
      <c r="H962" s="50">
        <f>VLOOKUP($A962,'[1]ma sp 02'!$A$5:$BD$1101,H$1,0)</f>
        <v>0.61699999999999999</v>
      </c>
      <c r="I962" s="50">
        <f>VLOOKUP($A962,'[1]ma sp 02'!$A$5:$BD$1101,I$1,0)</f>
        <v>5.9660000000000002</v>
      </c>
      <c r="J962" s="50">
        <f>VLOOKUP($A962,'[1]ma sp 02'!$A$5:$BD$1101,J$1,0)</f>
        <v>0.20599999999999999</v>
      </c>
      <c r="K962" s="50">
        <f>VLOOKUP($A962,'[1]ma sp 02'!$A$5:$BD$1101,K$1,0)</f>
        <v>0</v>
      </c>
      <c r="L962" s="50">
        <f>VLOOKUP($A962,'[1]ma sp 02'!$A$5:$BD$1101,L$1,0)</f>
        <v>0.51400000000000001</v>
      </c>
      <c r="M962" s="50">
        <f>VLOOKUP($A962,'[1]ma sp 02'!$A$5:$BD$1101,M$1,0)</f>
        <v>0.72</v>
      </c>
      <c r="N962" s="50">
        <f>VLOOKUP($A962,'[1]ma sp 02'!$A$5:$BD$1101,N$1,0)</f>
        <v>0</v>
      </c>
      <c r="O962" s="50">
        <f>VLOOKUP($A962,'[1]ma sp 02'!$A$5:$BD$1101,O$1,0)</f>
        <v>0</v>
      </c>
      <c r="P962" s="50">
        <f>VLOOKUP($A962,'[1]ma sp 02'!$A$5:$BD$1101,P$1,0)</f>
        <v>0</v>
      </c>
      <c r="Q962" s="50">
        <f>VLOOKUP($A962,'[1]ma sp 02'!$A$5:$BD$1101,Q$1,0)</f>
        <v>0.309</v>
      </c>
      <c r="R962" s="50">
        <f>VLOOKUP($A962,'[1]ma sp 02'!$A$5:$BD$1101,R$1,0)</f>
        <v>0</v>
      </c>
      <c r="S962" s="50">
        <f>VLOOKUP($A962,'[1]ma sp 02'!$A$5:$BD$1101,S$1,0)</f>
        <v>0</v>
      </c>
      <c r="T962" s="50">
        <f>VLOOKUP($A962,'[1]ma sp 02'!$A$5:$BD$1101,T$1,0)</f>
        <v>0</v>
      </c>
      <c r="U962" s="50">
        <f>VLOOKUP($A962,'[1]ma sp 02'!$A$5:$BD$1101,U$1,0)</f>
        <v>0</v>
      </c>
      <c r="V962" s="50">
        <f>VLOOKUP($A962,'[1]ma sp 02'!$A$5:$BD$1101,V$1,0)</f>
        <v>0</v>
      </c>
      <c r="W962" s="50">
        <f>VLOOKUP($A962,'[1]ma sp 02'!$A$5:$BD$1101,W$1,0)</f>
        <v>5.0999999999999997E-2</v>
      </c>
      <c r="X962" s="50"/>
      <c r="Y962" s="62"/>
      <c r="Z962" s="62"/>
      <c r="AA962" s="62"/>
      <c r="AB962" s="62"/>
      <c r="AC962" s="62"/>
      <c r="AD962" s="62"/>
      <c r="AE962" s="62" t="s">
        <v>3069</v>
      </c>
      <c r="AF962" s="62"/>
      <c r="AG962" s="53">
        <f>(0.02*0.91+0.055*0.925)*0.98</f>
        <v>6.769349999999999E-2</v>
      </c>
      <c r="AH962" s="54">
        <f>(3/0.75/2)*0.97</f>
        <v>1.94</v>
      </c>
      <c r="AI962" s="54"/>
      <c r="AJ962" s="192">
        <v>9530</v>
      </c>
      <c r="AK962" s="62"/>
      <c r="AL962" s="62">
        <v>3.0000000000000001E-3</v>
      </c>
      <c r="AM962" s="61" t="s">
        <v>1489</v>
      </c>
      <c r="AN962" s="62"/>
      <c r="AO962" s="61" t="s">
        <v>2721</v>
      </c>
      <c r="AP962" s="59" t="str">
        <f>IFERROR(VLOOKUP($A962,[2]Mssp!$A$5:$BE$1463,AP$4+1,0),0)</f>
        <v>F129732-1</v>
      </c>
      <c r="AQ962" s="59" t="str">
        <f>IFERROR(VLOOKUP($A962,[2]Mssp!$A$5:$BE$1463,AQ$4+1,0),0)</f>
        <v>F129732-2</v>
      </c>
      <c r="AR962" s="59" t="str">
        <f>IFERROR(VLOOKUP($A962,[2]Mssp!$A$5:$BE$1463,AR$4+1,0),0)</f>
        <v>F129732-3</v>
      </c>
      <c r="AS962" s="59" t="str">
        <f>IFERROR(VLOOKUP($A962,[2]Mssp!$A$5:$BE$1463,AS$4+1,0),0)</f>
        <v>F129732-4</v>
      </c>
      <c r="AT962" s="59" t="str">
        <f>IFERROR(VLOOKUP($A962,[2]Mssp!$A$5:$BE$1463,AT$4+1,0),0)</f>
        <v>F129732-5</v>
      </c>
      <c r="AU962" s="59" t="str">
        <f>IFERROR(VLOOKUP($A962,[2]Mssp!$A$5:$BE$1463,AU$4+1,0),0)</f>
        <v>F129732-6</v>
      </c>
      <c r="AV962" s="59" t="str">
        <f>IFERROR(VLOOKUP($A962,[2]Mssp!$A$5:$BE$1463,AV$4+1,0),0)</f>
        <v>F129732-7</v>
      </c>
      <c r="AW962" s="59" t="str">
        <f>IFERROR(VLOOKUP($A962,[2]Mssp!$A$5:$BE$1463,AW$4+1,0),0)</f>
        <v>F129732-8</v>
      </c>
      <c r="AX962" s="59">
        <f>IFERROR(VLOOKUP($A962,[2]Mssp!$A$5:$BE$1463,AX$4+1,0),0)</f>
        <v>0</v>
      </c>
      <c r="AY962" s="59" t="str">
        <f>IFERROR(VLOOKUP($A962,[2]Mssp!$A$5:$BE$1463,AY$4+2,0),0)</f>
        <v>420x1100</v>
      </c>
      <c r="AZ962" s="59">
        <f>IFERROR(VLOOKUP($A962,[2]Mssp!$A$5:$BE$1463,AZ$4+2,0),0)</f>
        <v>0</v>
      </c>
      <c r="BA962" s="141" t="s">
        <v>1936</v>
      </c>
      <c r="BB962" s="61" t="s">
        <v>952</v>
      </c>
      <c r="BC962" s="165"/>
      <c r="BD962" s="166"/>
      <c r="BE962" s="167"/>
      <c r="BF962" s="168"/>
      <c r="BG962" s="167"/>
      <c r="BH962" s="168"/>
      <c r="BI962" s="169"/>
      <c r="BJ962" s="168"/>
      <c r="BK962" s="134"/>
      <c r="BL962" s="168"/>
      <c r="BM962" s="167"/>
      <c r="BN962" s="168"/>
      <c r="BO962" s="62"/>
      <c r="BP962" s="168"/>
      <c r="BQ962" s="168"/>
      <c r="BR962" s="168"/>
      <c r="BS962" s="135"/>
      <c r="BT962" s="176"/>
      <c r="BU962" s="167"/>
      <c r="BV962" s="168"/>
      <c r="BW962" s="167"/>
      <c r="BX962" s="168"/>
      <c r="BY962" s="167"/>
      <c r="BZ962" s="176"/>
      <c r="CA962" s="167"/>
      <c r="CB962" s="168"/>
      <c r="CC962" s="167"/>
      <c r="CD962" s="168"/>
      <c r="CE962" s="62"/>
      <c r="CF962" s="62"/>
      <c r="CG962" s="9"/>
      <c r="CH962" s="9"/>
      <c r="CI962" s="9"/>
      <c r="CJ962" s="9"/>
      <c r="CK962" s="9"/>
      <c r="CL962" s="9"/>
      <c r="CM962" s="9"/>
      <c r="CN962" s="9"/>
      <c r="CO962" s="9"/>
      <c r="CP962" s="9"/>
    </row>
    <row r="963" spans="1:94" ht="30" x14ac:dyDescent="0.25">
      <c r="A963" s="127" t="s">
        <v>3070</v>
      </c>
      <c r="B963" s="51" t="s">
        <v>3071</v>
      </c>
      <c r="C963" s="62"/>
      <c r="D963" s="84">
        <v>2</v>
      </c>
      <c r="E963" s="62" t="s">
        <v>299</v>
      </c>
      <c r="F963" s="62">
        <v>8</v>
      </c>
      <c r="G963" s="62"/>
      <c r="H963" s="50">
        <f>VLOOKUP($A963,'[1]ma sp 02'!$A$5:$BD$1101,H$1,0)</f>
        <v>0.59799999999999998</v>
      </c>
      <c r="I963" s="50">
        <f>VLOOKUP($A963,'[1]ma sp 02'!$A$5:$BD$1101,I$1,0)</f>
        <v>4.41</v>
      </c>
      <c r="J963" s="50">
        <f>VLOOKUP($A963,'[1]ma sp 02'!$A$5:$BD$1101,J$1,0)</f>
        <v>0</v>
      </c>
      <c r="K963" s="50">
        <f>VLOOKUP($A963,'[1]ma sp 02'!$A$5:$BD$1101,K$1,0)</f>
        <v>2.2429999999999999</v>
      </c>
      <c r="L963" s="50">
        <f>VLOOKUP($A963,'[1]ma sp 02'!$A$5:$BD$1101,L$1,0)</f>
        <v>0.01</v>
      </c>
      <c r="M963" s="50">
        <f>VLOOKUP($A963,'[1]ma sp 02'!$A$5:$BD$1101,M$1,0)</f>
        <v>2.2429999999999999</v>
      </c>
      <c r="N963" s="50">
        <f>VLOOKUP($A963,'[1]ma sp 02'!$A$5:$BD$1101,N$1,0)</f>
        <v>0</v>
      </c>
      <c r="O963" s="50">
        <f>VLOOKUP($A963,'[1]ma sp 02'!$A$5:$BD$1101,O$1,0)</f>
        <v>0</v>
      </c>
      <c r="P963" s="50">
        <f>VLOOKUP($A963,'[1]ma sp 02'!$A$5:$BD$1101,P$1,0)</f>
        <v>0.01</v>
      </c>
      <c r="Q963" s="50">
        <f>VLOOKUP($A963,'[1]ma sp 02'!$A$5:$BD$1101,Q$1,0)</f>
        <v>0</v>
      </c>
      <c r="R963" s="50">
        <f>VLOOKUP($A963,'[1]ma sp 02'!$A$5:$BD$1101,R$1,0)</f>
        <v>0.224</v>
      </c>
      <c r="S963" s="50">
        <f>VLOOKUP($A963,'[1]ma sp 02'!$A$5:$BD$1101,S$1,0)</f>
        <v>0</v>
      </c>
      <c r="T963" s="50">
        <f>VLOOKUP($A963,'[1]ma sp 02'!$A$5:$BD$1101,T$1,0)</f>
        <v>0</v>
      </c>
      <c r="U963" s="50">
        <f>VLOOKUP($A963,'[1]ma sp 02'!$A$5:$BD$1101,U$1,0)</f>
        <v>0</v>
      </c>
      <c r="V963" s="50">
        <f>VLOOKUP($A963,'[1]ma sp 02'!$A$5:$BD$1101,V$1,0)</f>
        <v>0</v>
      </c>
      <c r="W963" s="50">
        <f>VLOOKUP($A963,'[1]ma sp 02'!$A$5:$BD$1101,W$1,0)</f>
        <v>0.01</v>
      </c>
      <c r="X963" s="50"/>
      <c r="Y963" s="62"/>
      <c r="Z963" s="62"/>
      <c r="AA963" s="62"/>
      <c r="AB963" s="62"/>
      <c r="AC963" s="62"/>
      <c r="AD963" s="62"/>
      <c r="AE963" s="62" t="s">
        <v>1934</v>
      </c>
      <c r="AF963" s="62"/>
      <c r="AG963" s="53">
        <f>(0.02*0.91+0.055*0.925)*0.82</f>
        <v>5.6641499999999997E-2</v>
      </c>
      <c r="AH963" s="54">
        <f>(3/0.75/2)*0.81</f>
        <v>1.62</v>
      </c>
      <c r="AI963" s="54"/>
      <c r="AJ963" s="192">
        <v>9530</v>
      </c>
      <c r="AK963" s="62"/>
      <c r="AL963" s="62">
        <v>3.0000000000000001E-3</v>
      </c>
      <c r="AM963" s="61" t="s">
        <v>1489</v>
      </c>
      <c r="AN963" s="62"/>
      <c r="AO963" s="61" t="s">
        <v>2721</v>
      </c>
      <c r="AP963" s="59" t="str">
        <f>IFERROR(VLOOKUP($A963,[2]Mssp!$A$5:$BE$1463,AP$4+1,0),0)</f>
        <v>F129728-1</v>
      </c>
      <c r="AQ963" s="59" t="str">
        <f>IFERROR(VLOOKUP($A963,[2]Mssp!$A$5:$BE$1463,AQ$4+1,0),0)</f>
        <v>F129728-2</v>
      </c>
      <c r="AR963" s="59" t="str">
        <f>IFERROR(VLOOKUP($A963,[2]Mssp!$A$5:$BE$1463,AR$4+1,0),0)</f>
        <v>F129728-3</v>
      </c>
      <c r="AS963" s="59" t="str">
        <f>IFERROR(VLOOKUP($A963,[2]Mssp!$A$5:$BE$1463,AS$4+1,0),0)</f>
        <v>F129728-4</v>
      </c>
      <c r="AT963" s="59" t="str">
        <f>IFERROR(VLOOKUP($A963,[2]Mssp!$A$5:$BE$1463,AT$4+1,0),0)</f>
        <v>F129728-5</v>
      </c>
      <c r="AU963" s="59" t="str">
        <f>IFERROR(VLOOKUP($A963,[2]Mssp!$A$5:$BE$1463,AU$4+1,0),0)</f>
        <v>F129728-6</v>
      </c>
      <c r="AV963" s="59" t="str">
        <f>IFERROR(VLOOKUP($A963,[2]Mssp!$A$5:$BE$1463,AV$4+1,0),0)</f>
        <v>F129728-7</v>
      </c>
      <c r="AW963" s="59" t="str">
        <f>IFERROR(VLOOKUP($A963,[2]Mssp!$A$5:$BE$1463,AW$4+1,0),0)</f>
        <v>F129730-8</v>
      </c>
      <c r="AX963" s="59">
        <f>IFERROR(VLOOKUP($A963,[2]Mssp!$A$5:$BE$1463,AX$4+1,0),0)</f>
        <v>0</v>
      </c>
      <c r="AY963" s="59" t="str">
        <f>IFERROR(VLOOKUP($A963,[2]Mssp!$A$5:$BE$1463,AY$4+2,0),0)</f>
        <v>500x870</v>
      </c>
      <c r="AZ963" s="59">
        <f>IFERROR(VLOOKUP($A963,[2]Mssp!$A$5:$BE$1463,AZ$4+2,0),0)</f>
        <v>0</v>
      </c>
      <c r="BA963" s="141" t="s">
        <v>1936</v>
      </c>
      <c r="BB963" s="61" t="s">
        <v>952</v>
      </c>
      <c r="BC963" s="165"/>
      <c r="BD963" s="166"/>
      <c r="BE963" s="167"/>
      <c r="BF963" s="168"/>
      <c r="BG963" s="167"/>
      <c r="BH963" s="168"/>
      <c r="BI963" s="169"/>
      <c r="BJ963" s="168"/>
      <c r="BK963" s="134"/>
      <c r="BL963" s="168"/>
      <c r="BM963" s="167"/>
      <c r="BN963" s="168"/>
      <c r="BO963" s="62"/>
      <c r="BP963" s="168"/>
      <c r="BQ963" s="168"/>
      <c r="BR963" s="168"/>
      <c r="BS963" s="135"/>
      <c r="BT963" s="176"/>
      <c r="BU963" s="167"/>
      <c r="BV963" s="168"/>
      <c r="BW963" s="167"/>
      <c r="BX963" s="168"/>
      <c r="BY963" s="167"/>
      <c r="BZ963" s="176"/>
      <c r="CA963" s="167"/>
      <c r="CB963" s="168"/>
      <c r="CC963" s="167"/>
      <c r="CD963" s="168"/>
      <c r="CE963" s="62"/>
      <c r="CF963" s="62"/>
      <c r="CG963" s="9"/>
      <c r="CH963" s="9"/>
      <c r="CI963" s="9"/>
      <c r="CJ963" s="9"/>
      <c r="CK963" s="9"/>
      <c r="CL963" s="9"/>
      <c r="CM963" s="9"/>
      <c r="CN963" s="9"/>
      <c r="CO963" s="9"/>
      <c r="CP963" s="9"/>
    </row>
    <row r="964" spans="1:94" ht="30" x14ac:dyDescent="0.25">
      <c r="A964" s="127" t="s">
        <v>3072</v>
      </c>
      <c r="B964" s="51" t="s">
        <v>3073</v>
      </c>
      <c r="C964" s="62"/>
      <c r="D964" s="84">
        <v>2</v>
      </c>
      <c r="E964" s="62" t="s">
        <v>2111</v>
      </c>
      <c r="F964" s="62">
        <v>8</v>
      </c>
      <c r="G964" s="62"/>
      <c r="H964" s="50">
        <f>VLOOKUP($A964,'[1]ma sp 02'!$A$5:$BD$1101,H$1,0)</f>
        <v>0.40300000000000002</v>
      </c>
      <c r="I964" s="50">
        <f>VLOOKUP($A964,'[1]ma sp 02'!$A$5:$BD$1101,I$1,0)</f>
        <v>3.371</v>
      </c>
      <c r="J964" s="50">
        <f>VLOOKUP($A964,'[1]ma sp 02'!$A$5:$BD$1101,J$1,0)</f>
        <v>0.30199999999999999</v>
      </c>
      <c r="K964" s="50">
        <f>VLOOKUP($A964,'[1]ma sp 02'!$A$5:$BD$1101,K$1,0)</f>
        <v>0</v>
      </c>
      <c r="L964" s="50">
        <f>VLOOKUP($A964,'[1]ma sp 02'!$A$5:$BD$1101,L$1,0)</f>
        <v>0</v>
      </c>
      <c r="M964" s="50">
        <f>VLOOKUP($A964,'[1]ma sp 02'!$A$5:$BD$1101,M$1,0)</f>
        <v>0</v>
      </c>
      <c r="N964" s="50">
        <f>VLOOKUP($A964,'[1]ma sp 02'!$A$5:$BD$1101,N$1,0)</f>
        <v>0</v>
      </c>
      <c r="O964" s="50">
        <f>VLOOKUP($A964,'[1]ma sp 02'!$A$5:$BD$1101,O$1,0)</f>
        <v>0</v>
      </c>
      <c r="P964" s="50">
        <f>VLOOKUP($A964,'[1]ma sp 02'!$A$5:$BD$1101,P$1,0)</f>
        <v>0.05</v>
      </c>
      <c r="Q964" s="50">
        <f>VLOOKUP($A964,'[1]ma sp 02'!$A$5:$BD$1101,Q$1,0)</f>
        <v>0</v>
      </c>
      <c r="R964" s="50">
        <f>VLOOKUP($A964,'[1]ma sp 02'!$A$5:$BD$1101,R$1,0)</f>
        <v>0</v>
      </c>
      <c r="S964" s="50">
        <f>VLOOKUP($A964,'[1]ma sp 02'!$A$5:$BD$1101,S$1,0)</f>
        <v>0</v>
      </c>
      <c r="T964" s="50">
        <f>VLOOKUP($A964,'[1]ma sp 02'!$A$5:$BD$1101,T$1,0)</f>
        <v>0</v>
      </c>
      <c r="U964" s="50">
        <f>VLOOKUP($A964,'[1]ma sp 02'!$A$5:$BD$1101,U$1,0)</f>
        <v>0</v>
      </c>
      <c r="V964" s="50">
        <f>VLOOKUP($A964,'[1]ma sp 02'!$A$5:$BD$1101,V$1,0)</f>
        <v>0.151</v>
      </c>
      <c r="W964" s="50">
        <f>VLOOKUP($A964,'[1]ma sp 02'!$A$5:$BD$1101,W$1,0)</f>
        <v>0</v>
      </c>
      <c r="X964" s="50"/>
      <c r="Y964" s="62"/>
      <c r="Z964" s="62"/>
      <c r="AA964" s="62"/>
      <c r="AB964" s="62"/>
      <c r="AC964" s="62"/>
      <c r="AD964" s="62"/>
      <c r="AE964" s="62" t="s">
        <v>3069</v>
      </c>
      <c r="AF964" s="62"/>
      <c r="AG964" s="53">
        <f>(0.02*0.91+0.055*0.925)*0.98</f>
        <v>6.769349999999999E-2</v>
      </c>
      <c r="AH964" s="54">
        <f>(3/0.75/2)*0.97</f>
        <v>1.94</v>
      </c>
      <c r="AI964" s="54"/>
      <c r="AJ964" s="192">
        <v>9530</v>
      </c>
      <c r="AK964" s="62"/>
      <c r="AL964" s="62">
        <v>3.0000000000000001E-3</v>
      </c>
      <c r="AM964" s="61" t="s">
        <v>1489</v>
      </c>
      <c r="AN964" s="62"/>
      <c r="AO964" s="61" t="s">
        <v>2721</v>
      </c>
      <c r="AP964" s="59" t="str">
        <f>IFERROR(VLOOKUP($A964,[2]Mssp!$A$5:$BE$1463,AP$4+1,0),0)</f>
        <v>F129731-1</v>
      </c>
      <c r="AQ964" s="59" t="str">
        <f>IFERROR(VLOOKUP($A964,[2]Mssp!$A$5:$BE$1463,AQ$4+1,0),0)</f>
        <v>F129731-2</v>
      </c>
      <c r="AR964" s="59" t="str">
        <f>IFERROR(VLOOKUP($A964,[2]Mssp!$A$5:$BE$1463,AR$4+1,0),0)</f>
        <v>F129731-3</v>
      </c>
      <c r="AS964" s="59" t="str">
        <f>IFERROR(VLOOKUP($A964,[2]Mssp!$A$5:$BE$1463,AS$4+1,0),0)</f>
        <v>F129731-4</v>
      </c>
      <c r="AT964" s="59" t="str">
        <f>IFERROR(VLOOKUP($A964,[2]Mssp!$A$5:$BE$1463,AT$4+1,0),0)</f>
        <v>F129731-5</v>
      </c>
      <c r="AU964" s="59" t="str">
        <f>IFERROR(VLOOKUP($A964,[2]Mssp!$A$5:$BE$1463,AU$4+1,0),0)</f>
        <v>F129731-6</v>
      </c>
      <c r="AV964" s="59" t="str">
        <f>IFERROR(VLOOKUP($A964,[2]Mssp!$A$5:$BE$1463,AV$4+1,0),0)</f>
        <v>F129731-7</v>
      </c>
      <c r="AW964" s="59" t="str">
        <f>IFERROR(VLOOKUP($A964,[2]Mssp!$A$5:$BE$1463,AW$4+1,0),0)</f>
        <v>F129732-8</v>
      </c>
      <c r="AX964" s="59">
        <f>IFERROR(VLOOKUP($A964,[2]Mssp!$A$5:$BE$1463,AX$4+1,0),0)</f>
        <v>0</v>
      </c>
      <c r="AY964" s="59" t="str">
        <f>IFERROR(VLOOKUP($A964,[2]Mssp!$A$5:$BE$1463,AY$4+2,0),0)</f>
        <v>420x1100</v>
      </c>
      <c r="AZ964" s="59">
        <f>IFERROR(VLOOKUP($A964,[2]Mssp!$A$5:$BE$1463,AZ$4+2,0),0)</f>
        <v>0</v>
      </c>
      <c r="BA964" s="141" t="s">
        <v>1936</v>
      </c>
      <c r="BB964" s="61" t="s">
        <v>952</v>
      </c>
      <c r="BC964" s="165"/>
      <c r="BD964" s="166"/>
      <c r="BE964" s="167"/>
      <c r="BF964" s="168"/>
      <c r="BG964" s="167"/>
      <c r="BH964" s="168"/>
      <c r="BI964" s="169"/>
      <c r="BJ964" s="168"/>
      <c r="BK964" s="134"/>
      <c r="BL964" s="168"/>
      <c r="BM964" s="167"/>
      <c r="BN964" s="168"/>
      <c r="BO964" s="62"/>
      <c r="BP964" s="168"/>
      <c r="BQ964" s="168"/>
      <c r="BR964" s="168"/>
      <c r="BS964" s="135"/>
      <c r="BT964" s="176"/>
      <c r="BU964" s="167"/>
      <c r="BV964" s="168"/>
      <c r="BW964" s="167"/>
      <c r="BX964" s="168"/>
      <c r="BY964" s="167"/>
      <c r="BZ964" s="176"/>
      <c r="CA964" s="167"/>
      <c r="CB964" s="168"/>
      <c r="CC964" s="167"/>
      <c r="CD964" s="168"/>
      <c r="CE964" s="62"/>
      <c r="CF964" s="62"/>
      <c r="CG964" s="9"/>
      <c r="CH964" s="9"/>
      <c r="CI964" s="9"/>
      <c r="CJ964" s="9"/>
      <c r="CK964" s="9"/>
      <c r="CL964" s="9"/>
      <c r="CM964" s="9"/>
      <c r="CN964" s="9"/>
      <c r="CO964" s="9"/>
      <c r="CP964" s="9"/>
    </row>
    <row r="965" spans="1:94" ht="30" x14ac:dyDescent="0.25">
      <c r="A965" s="127" t="s">
        <v>3074</v>
      </c>
      <c r="B965" s="51" t="s">
        <v>3075</v>
      </c>
      <c r="C965" s="62"/>
      <c r="D965" s="84">
        <v>5</v>
      </c>
      <c r="E965" s="62" t="s">
        <v>455</v>
      </c>
      <c r="F965" s="62">
        <v>3</v>
      </c>
      <c r="G965" s="62"/>
      <c r="H965" s="50">
        <f>VLOOKUP($A965,'[1]ma sp 02'!$A$5:$BD$1101,H$1,0)</f>
        <v>0</v>
      </c>
      <c r="I965" s="50">
        <f>VLOOKUP($A965,'[1]ma sp 02'!$A$5:$BD$1101,I$1,0)</f>
        <v>0</v>
      </c>
      <c r="J965" s="50">
        <f>VLOOKUP($A965,'[1]ma sp 02'!$A$5:$BD$1101,J$1,0)</f>
        <v>2.0259999999999998</v>
      </c>
      <c r="K965" s="50">
        <f>VLOOKUP($A965,'[1]ma sp 02'!$A$5:$BD$1101,K$1,0)</f>
        <v>0</v>
      </c>
      <c r="L965" s="50">
        <f>VLOOKUP($A965,'[1]ma sp 02'!$A$5:$BD$1101,L$1,0)</f>
        <v>3.0390000000000001</v>
      </c>
      <c r="M965" s="50">
        <f>VLOOKUP($A965,'[1]ma sp 02'!$A$5:$BD$1101,M$1,0)</f>
        <v>0</v>
      </c>
      <c r="N965" s="50">
        <f>VLOOKUP($A965,'[1]ma sp 02'!$A$5:$BD$1101,N$1,0)</f>
        <v>0</v>
      </c>
      <c r="O965" s="50">
        <f>VLOOKUP($A965,'[1]ma sp 02'!$A$5:$BD$1101,O$1,0)</f>
        <v>0.10100000000000001</v>
      </c>
      <c r="P965" s="50">
        <f>VLOOKUP($A965,'[1]ma sp 02'!$A$5:$BD$1101,P$1,0)</f>
        <v>0</v>
      </c>
      <c r="Q965" s="50">
        <f>VLOOKUP($A965,'[1]ma sp 02'!$A$5:$BD$1101,Q$1,0)</f>
        <v>0.01</v>
      </c>
      <c r="R965" s="50">
        <f>VLOOKUP($A965,'[1]ma sp 02'!$A$5:$BD$1101,R$1,0)</f>
        <v>0.01</v>
      </c>
      <c r="S965" s="50">
        <f>VLOOKUP($A965,'[1]ma sp 02'!$A$5:$BD$1101,S$1,0)</f>
        <v>0</v>
      </c>
      <c r="T965" s="50">
        <f>VLOOKUP($A965,'[1]ma sp 02'!$A$5:$BD$1101,T$1,0)</f>
        <v>0</v>
      </c>
      <c r="U965" s="50">
        <f>VLOOKUP($A965,'[1]ma sp 02'!$A$5:$BD$1101,U$1,0)</f>
        <v>0</v>
      </c>
      <c r="V965" s="50">
        <f>VLOOKUP($A965,'[1]ma sp 02'!$A$5:$BD$1101,V$1,0)</f>
        <v>0</v>
      </c>
      <c r="W965" s="50">
        <f>VLOOKUP($A965,'[1]ma sp 02'!$A$5:$BD$1101,W$1,0)</f>
        <v>0</v>
      </c>
      <c r="X965" s="50"/>
      <c r="Y965" s="62"/>
      <c r="Z965" s="62"/>
      <c r="AA965" s="62"/>
      <c r="AB965" s="62"/>
      <c r="AC965" s="62"/>
      <c r="AD965" s="62"/>
      <c r="AE965" s="62" t="s">
        <v>2624</v>
      </c>
      <c r="AF965" s="62" t="s">
        <v>3076</v>
      </c>
      <c r="AG965" s="53">
        <f>(0.012*1.4+0.006*2.71+0.06*0.91)*0.77</f>
        <v>6.7498200000000008E-2</v>
      </c>
      <c r="AH965" s="54">
        <f>(2.5/0.75/2)*0.76</f>
        <v>1.2666666666666668</v>
      </c>
      <c r="AI965" s="54">
        <f>(2.5/0.75/2)*0.76</f>
        <v>1.2666666666666668</v>
      </c>
      <c r="AJ965" s="192">
        <v>9530</v>
      </c>
      <c r="AK965" s="62">
        <v>9530</v>
      </c>
      <c r="AL965" s="62" t="s">
        <v>3077</v>
      </c>
      <c r="AM965" s="61"/>
      <c r="AN965" s="62">
        <v>57</v>
      </c>
      <c r="AO965" s="61" t="s">
        <v>3078</v>
      </c>
      <c r="AP965" s="59" t="str">
        <f>IFERROR(VLOOKUP($A965,[2]Mssp!$A$5:$BE$1463,AP$4+1,0),0)</f>
        <v>21100114-1</v>
      </c>
      <c r="AQ965" s="59" t="str">
        <f>IFERROR(VLOOKUP($A965,[2]Mssp!$A$5:$BE$1463,AQ$4+1,0),0)</f>
        <v>21100114-2</v>
      </c>
      <c r="AR965" s="59" t="str">
        <f>IFERROR(VLOOKUP($A965,[2]Mssp!$A$5:$BE$1463,AR$4+1,0),0)</f>
        <v>21100114-3</v>
      </c>
      <c r="AS965" s="59">
        <f>IFERROR(VLOOKUP($A965,[2]Mssp!$A$5:$BE$1463,AS$4+1,0),0)</f>
        <v>0</v>
      </c>
      <c r="AT965" s="59">
        <f>IFERROR(VLOOKUP($A965,[2]Mssp!$A$5:$BE$1463,AT$4+1,0),0)</f>
        <v>0</v>
      </c>
      <c r="AU965" s="59">
        <f>IFERROR(VLOOKUP($A965,[2]Mssp!$A$5:$BE$1463,AU$4+1,0),0)</f>
        <v>0</v>
      </c>
      <c r="AV965" s="59">
        <f>IFERROR(VLOOKUP($A965,[2]Mssp!$A$5:$BE$1463,AV$4+1,0),0)</f>
        <v>0</v>
      </c>
      <c r="AW965" s="59">
        <f>IFERROR(VLOOKUP($A965,[2]Mssp!$A$5:$BE$1463,AW$4+1,0),0)</f>
        <v>0</v>
      </c>
      <c r="AX965" s="59">
        <f>IFERROR(VLOOKUP($A965,[2]Mssp!$A$5:$BE$1463,AX$4+1,0),0)</f>
        <v>0</v>
      </c>
      <c r="AY965" s="59" t="str">
        <f>IFERROR(VLOOKUP($A965,[2]Mssp!$A$5:$BE$1463,AY$4+2,0),0)</f>
        <v>456x870</v>
      </c>
      <c r="AZ965" s="59">
        <f>IFERROR(VLOOKUP($A965,[2]Mssp!$A$5:$BE$1463,AZ$4+2,0),0)</f>
        <v>0</v>
      </c>
      <c r="BA965" s="141" t="s">
        <v>1936</v>
      </c>
      <c r="BB965" s="61" t="s">
        <v>952</v>
      </c>
      <c r="BC965" s="165"/>
      <c r="BD965" s="166"/>
      <c r="BE965" s="167"/>
      <c r="BF965" s="168"/>
      <c r="BG965" s="167"/>
      <c r="BH965" s="168"/>
      <c r="BI965" s="169"/>
      <c r="BJ965" s="168"/>
      <c r="BK965" s="134"/>
      <c r="BL965" s="168"/>
      <c r="BM965" s="167"/>
      <c r="BN965" s="168"/>
      <c r="BO965" s="62"/>
      <c r="BP965" s="168"/>
      <c r="BQ965" s="168"/>
      <c r="BR965" s="168"/>
      <c r="BS965" s="135"/>
      <c r="BT965" s="176"/>
      <c r="BU965" s="167"/>
      <c r="BV965" s="168"/>
      <c r="BW965" s="167"/>
      <c r="BX965" s="168"/>
      <c r="BY965" s="167"/>
      <c r="BZ965" s="176"/>
      <c r="CA965" s="167"/>
      <c r="CB965" s="168"/>
      <c r="CC965" s="167"/>
      <c r="CD965" s="168"/>
      <c r="CE965" s="62"/>
      <c r="CF965" s="62"/>
      <c r="CG965" s="9"/>
      <c r="CH965" s="9"/>
      <c r="CI965" s="9"/>
      <c r="CJ965" s="9"/>
      <c r="CK965" s="9"/>
      <c r="CL965" s="9"/>
      <c r="CM965" s="9"/>
      <c r="CN965" s="9"/>
      <c r="CO965" s="9"/>
      <c r="CP965" s="9"/>
    </row>
    <row r="966" spans="1:94" ht="30" x14ac:dyDescent="0.25">
      <c r="A966" s="127" t="s">
        <v>3079</v>
      </c>
      <c r="B966" s="51" t="s">
        <v>3080</v>
      </c>
      <c r="C966" s="62"/>
      <c r="D966" s="84">
        <v>7</v>
      </c>
      <c r="E966" s="62" t="s">
        <v>3081</v>
      </c>
      <c r="F966" s="62">
        <v>2</v>
      </c>
      <c r="G966" s="62"/>
      <c r="H966" s="50">
        <f>VLOOKUP($A966,'[1]ma sp 02'!$A$5:$BD$1101,H$1,0)</f>
        <v>0</v>
      </c>
      <c r="I966" s="50">
        <f>VLOOKUP($A966,'[1]ma sp 02'!$A$5:$BD$1101,I$1,0)</f>
        <v>0</v>
      </c>
      <c r="J966" s="50">
        <f>VLOOKUP($A966,'[1]ma sp 02'!$A$5:$BD$1101,J$1,0)</f>
        <v>1.583</v>
      </c>
      <c r="K966" s="50">
        <f>VLOOKUP($A966,'[1]ma sp 02'!$A$5:$BD$1101,K$1,0)</f>
        <v>0.67900000000000005</v>
      </c>
      <c r="L966" s="50">
        <f>VLOOKUP($A966,'[1]ma sp 02'!$A$5:$BD$1101,L$1,0)</f>
        <v>3.3929999999999998</v>
      </c>
      <c r="M966" s="50">
        <f>VLOOKUP($A966,'[1]ma sp 02'!$A$5:$BD$1101,M$1,0)</f>
        <v>0</v>
      </c>
      <c r="N966" s="50">
        <f>VLOOKUP($A966,'[1]ma sp 02'!$A$5:$BD$1101,N$1,0)</f>
        <v>0</v>
      </c>
      <c r="O966" s="50">
        <f>VLOOKUP($A966,'[1]ma sp 02'!$A$5:$BD$1101,O$1,0)</f>
        <v>0.01</v>
      </c>
      <c r="P966" s="50">
        <f>VLOOKUP($A966,'[1]ma sp 02'!$A$5:$BD$1101,P$1,0)</f>
        <v>0</v>
      </c>
      <c r="Q966" s="50">
        <f>VLOOKUP($A966,'[1]ma sp 02'!$A$5:$BD$1101,Q$1,0)</f>
        <v>0.01</v>
      </c>
      <c r="R966" s="50">
        <f>VLOOKUP($A966,'[1]ma sp 02'!$A$5:$BD$1101,R$1,0)</f>
        <v>0</v>
      </c>
      <c r="S966" s="50">
        <f>VLOOKUP($A966,'[1]ma sp 02'!$A$5:$BD$1101,S$1,0)</f>
        <v>0</v>
      </c>
      <c r="T966" s="50">
        <f>VLOOKUP($A966,'[1]ma sp 02'!$A$5:$BD$1101,T$1,0)</f>
        <v>0</v>
      </c>
      <c r="U966" s="50">
        <f>VLOOKUP($A966,'[1]ma sp 02'!$A$5:$BD$1101,U$1,0)</f>
        <v>0</v>
      </c>
      <c r="V966" s="50">
        <f>VLOOKUP($A966,'[1]ma sp 02'!$A$5:$BD$1101,V$1,0)</f>
        <v>0</v>
      </c>
      <c r="W966" s="50">
        <f>VLOOKUP($A966,'[1]ma sp 02'!$A$5:$BD$1101,W$1,0)</f>
        <v>0</v>
      </c>
      <c r="X966" s="50"/>
      <c r="Y966" s="62"/>
      <c r="Z966" s="62"/>
      <c r="AA966" s="62"/>
      <c r="AB966" s="62"/>
      <c r="AC966" s="62"/>
      <c r="AD966" s="62"/>
      <c r="AE966" s="62" t="s">
        <v>3082</v>
      </c>
      <c r="AF966" s="62" t="s">
        <v>3083</v>
      </c>
      <c r="AG966" s="53">
        <f>(0.012*1.4+0.006*2.71+0.06*0.91)*0.776</f>
        <v>6.802416E-2</v>
      </c>
      <c r="AH966" s="54">
        <f>(2.5/0.75/2)*0.766</f>
        <v>1.2766666666666668</v>
      </c>
      <c r="AI966" s="54">
        <f>(2.5/0.75/2)*0.766</f>
        <v>1.2766666666666668</v>
      </c>
      <c r="AJ966" s="192">
        <v>9530</v>
      </c>
      <c r="AK966" s="62">
        <v>9530</v>
      </c>
      <c r="AL966" s="62" t="s">
        <v>3077</v>
      </c>
      <c r="AM966" s="61" t="s">
        <v>1489</v>
      </c>
      <c r="AN966" s="62">
        <v>80</v>
      </c>
      <c r="AO966" s="61" t="s">
        <v>3078</v>
      </c>
      <c r="AP966" s="59" t="str">
        <f>IFERROR(VLOOKUP($A966,[2]Mssp!$A$5:$BE$1463,AP$4+1,0),0)</f>
        <v>21100090-1</v>
      </c>
      <c r="AQ966" s="59" t="str">
        <f>IFERROR(VLOOKUP($A966,[2]Mssp!$A$5:$BE$1463,AQ$4+1,0),0)</f>
        <v>21100090-2</v>
      </c>
      <c r="AR966" s="59">
        <f>IFERROR(VLOOKUP($A966,[2]Mssp!$A$5:$BE$1463,AR$4+1,0),0)</f>
        <v>0</v>
      </c>
      <c r="AS966" s="59">
        <f>IFERROR(VLOOKUP($A966,[2]Mssp!$A$5:$BE$1463,AS$4+1,0),0)</f>
        <v>0</v>
      </c>
      <c r="AT966" s="59">
        <f>IFERROR(VLOOKUP($A966,[2]Mssp!$A$5:$BE$1463,AT$4+1,0),0)</f>
        <v>0</v>
      </c>
      <c r="AU966" s="59">
        <f>IFERROR(VLOOKUP($A966,[2]Mssp!$A$5:$BE$1463,AU$4+1,0),0)</f>
        <v>0</v>
      </c>
      <c r="AV966" s="59">
        <f>IFERROR(VLOOKUP($A966,[2]Mssp!$A$5:$BE$1463,AV$4+1,0),0)</f>
        <v>0</v>
      </c>
      <c r="AW966" s="59">
        <f>IFERROR(VLOOKUP($A966,[2]Mssp!$A$5:$BE$1463,AW$4+1,0),0)</f>
        <v>0</v>
      </c>
      <c r="AX966" s="59">
        <f>IFERROR(VLOOKUP($A966,[2]Mssp!$A$5:$BE$1463,AX$4+1,0),0)</f>
        <v>0</v>
      </c>
      <c r="AY966" s="59" t="str">
        <f>IFERROR(VLOOKUP($A966,[2]Mssp!$A$5:$BE$1463,AY$4+2,0),0)</f>
        <v>480x870</v>
      </c>
      <c r="AZ966" s="59">
        <f>IFERROR(VLOOKUP($A966,[2]Mssp!$A$5:$BE$1463,AZ$4+2,0),0)</f>
        <v>0</v>
      </c>
      <c r="BA966" s="141" t="s">
        <v>1936</v>
      </c>
      <c r="BB966" s="61" t="s">
        <v>952</v>
      </c>
      <c r="BC966" s="165"/>
      <c r="BD966" s="166"/>
      <c r="BE966" s="167"/>
      <c r="BF966" s="168"/>
      <c r="BG966" s="167"/>
      <c r="BH966" s="168"/>
      <c r="BI966" s="169"/>
      <c r="BJ966" s="168"/>
      <c r="BK966" s="134"/>
      <c r="BL966" s="168"/>
      <c r="BM966" s="167"/>
      <c r="BN966" s="168"/>
      <c r="BO966" s="62"/>
      <c r="BP966" s="168"/>
      <c r="BQ966" s="168"/>
      <c r="BR966" s="168"/>
      <c r="BS966" s="135"/>
      <c r="BT966" s="176"/>
      <c r="BU966" s="167"/>
      <c r="BV966" s="168"/>
      <c r="BW966" s="167"/>
      <c r="BX966" s="168"/>
      <c r="BY966" s="167"/>
      <c r="BZ966" s="176"/>
      <c r="CA966" s="167"/>
      <c r="CB966" s="168"/>
      <c r="CC966" s="167"/>
      <c r="CD966" s="168"/>
      <c r="CE966" s="62"/>
      <c r="CF966" s="62"/>
      <c r="CG966" s="9"/>
      <c r="CH966" s="9"/>
      <c r="CI966" s="9"/>
      <c r="CJ966" s="9"/>
      <c r="CK966" s="9"/>
      <c r="CL966" s="9"/>
      <c r="CM966" s="9"/>
      <c r="CN966" s="9"/>
      <c r="CO966" s="9"/>
      <c r="CP966" s="9"/>
    </row>
    <row r="967" spans="1:94" ht="30" x14ac:dyDescent="0.25">
      <c r="A967" s="127" t="s">
        <v>3084</v>
      </c>
      <c r="B967" s="51" t="s">
        <v>3085</v>
      </c>
      <c r="C967" s="62"/>
      <c r="D967" s="84">
        <v>11</v>
      </c>
      <c r="E967" s="62" t="s">
        <v>841</v>
      </c>
      <c r="F967" s="62">
        <v>6</v>
      </c>
      <c r="G967" s="62" t="s">
        <v>184</v>
      </c>
      <c r="H967" s="50">
        <f>VLOOKUP($A967,'[1]ma sp 02'!$A$5:$BD$1101,H$1,0)</f>
        <v>0.43099999999999999</v>
      </c>
      <c r="I967" s="50">
        <f>VLOOKUP($A967,'[1]ma sp 02'!$A$5:$BD$1101,I$1,0)</f>
        <v>5.0380000000000003</v>
      </c>
      <c r="J967" s="50">
        <f>VLOOKUP($A967,'[1]ma sp 02'!$A$5:$BD$1101,J$1,0)</f>
        <v>1.7649999999999999</v>
      </c>
      <c r="K967" s="50">
        <f>VLOOKUP($A967,'[1]ma sp 02'!$A$5:$BD$1101,K$1,0)</f>
        <v>0.25800000000000001</v>
      </c>
      <c r="L967" s="50">
        <f>VLOOKUP($A967,'[1]ma sp 02'!$A$5:$BD$1101,L$1,0)</f>
        <v>0.75</v>
      </c>
      <c r="M967" s="50">
        <f>VLOOKUP($A967,'[1]ma sp 02'!$A$5:$BD$1101,M$1,0)</f>
        <v>0.60299999999999998</v>
      </c>
      <c r="N967" s="50">
        <f>VLOOKUP($A967,'[1]ma sp 02'!$A$5:$BD$1101,N$1,0)</f>
        <v>0</v>
      </c>
      <c r="O967" s="50">
        <f>VLOOKUP($A967,'[1]ma sp 02'!$A$5:$BD$1101,O$1,0)</f>
        <v>1.5069999999999999</v>
      </c>
      <c r="P967" s="50">
        <f>VLOOKUP($A967,'[1]ma sp 02'!$A$5:$BD$1101,P$1,0)</f>
        <v>0</v>
      </c>
      <c r="Q967" s="50">
        <f>VLOOKUP($A967,'[1]ma sp 02'!$A$5:$BD$1101,Q$1,0)</f>
        <v>0</v>
      </c>
      <c r="R967" s="50">
        <f>VLOOKUP($A967,'[1]ma sp 02'!$A$5:$BD$1101,R$1,0)</f>
        <v>0</v>
      </c>
      <c r="S967" s="50">
        <f>VLOOKUP($A967,'[1]ma sp 02'!$A$5:$BD$1101,S$1,0)</f>
        <v>0.215</v>
      </c>
      <c r="T967" s="50">
        <f>VLOOKUP($A967,'[1]ma sp 02'!$A$5:$BD$1101,T$1,0)</f>
        <v>0</v>
      </c>
      <c r="U967" s="50">
        <f>VLOOKUP($A967,'[1]ma sp 02'!$A$5:$BD$1101,U$1,0)</f>
        <v>0</v>
      </c>
      <c r="V967" s="50">
        <f>VLOOKUP($A967,'[1]ma sp 02'!$A$5:$BD$1101,V$1,0)</f>
        <v>0</v>
      </c>
      <c r="W967" s="50">
        <f>VLOOKUP($A967,'[1]ma sp 02'!$A$5:$BD$1101,W$1,0)</f>
        <v>0</v>
      </c>
      <c r="X967" s="50"/>
      <c r="Y967" s="62"/>
      <c r="Z967" s="62"/>
      <c r="AA967" s="62"/>
      <c r="AB967" s="62"/>
      <c r="AC967" s="62"/>
      <c r="AD967" s="62"/>
      <c r="AE967" s="62" t="s">
        <v>842</v>
      </c>
      <c r="AF967" s="62"/>
      <c r="AG967" s="53">
        <f>(0.03*0.91+0.025*0.91)*0.74</f>
        <v>3.7037E-2</v>
      </c>
      <c r="AH967" s="54">
        <f>(2.3/0.75/2)*0.73</f>
        <v>1.1193333333333333</v>
      </c>
      <c r="AI967" s="54"/>
      <c r="AJ967" s="192">
        <v>9530</v>
      </c>
      <c r="AK967" s="62"/>
      <c r="AL967" s="62">
        <v>2.3E-3</v>
      </c>
      <c r="AM967" s="61" t="s">
        <v>1489</v>
      </c>
      <c r="AN967" s="62">
        <v>154</v>
      </c>
      <c r="AO967" s="61" t="s">
        <v>204</v>
      </c>
      <c r="AP967" s="59" t="str">
        <f>IFERROR(VLOOKUP($A967,[2]Mssp!$A$5:$BE$1463,AP$4+1,0),0)</f>
        <v>21101042-1</v>
      </c>
      <c r="AQ967" s="59" t="str">
        <f>IFERROR(VLOOKUP($A967,[2]Mssp!$A$5:$BE$1463,AQ$4+1,0),0)</f>
        <v>21101042-2</v>
      </c>
      <c r="AR967" s="59" t="str">
        <f>IFERROR(VLOOKUP($A967,[2]Mssp!$A$5:$BE$1463,AR$4+1,0),0)</f>
        <v>21101042-3</v>
      </c>
      <c r="AS967" s="59" t="str">
        <f>IFERROR(VLOOKUP($A967,[2]Mssp!$A$5:$BE$1463,AS$4+1,0),0)</f>
        <v>21101042-4</v>
      </c>
      <c r="AT967" s="59" t="str">
        <f>IFERROR(VLOOKUP($A967,[2]Mssp!$A$5:$BE$1463,AT$4+1,0),0)</f>
        <v>21101042-5</v>
      </c>
      <c r="AU967" s="59" t="str">
        <f>IFERROR(VLOOKUP($A967,[2]Mssp!$A$5:$BE$1463,AU$4+1,0),0)</f>
        <v>21101042-6</v>
      </c>
      <c r="AV967" s="59" t="str">
        <f>IFERROR(VLOOKUP($A967,[2]Mssp!$A$5:$BE$1463,AV$4+1,0),0)</f>
        <v>21101042-7</v>
      </c>
      <c r="AW967" s="59" t="str">
        <f>IFERROR(VLOOKUP($A967,[2]Mssp!$A$5:$BE$1463,AW$4+1,0),0)</f>
        <v>21101042-8</v>
      </c>
      <c r="AX967" s="59">
        <f>IFERROR(VLOOKUP($A967,[2]Mssp!$A$5:$BE$1463,AX$4+1,0),0)</f>
        <v>0</v>
      </c>
      <c r="AY967" s="59" t="str">
        <f>IFERROR(VLOOKUP($A967,[2]Mssp!$A$5:$BE$1463,AY$4+2,0),0)</f>
        <v>462x860</v>
      </c>
      <c r="AZ967" s="59">
        <f>IFERROR(VLOOKUP($A967,[2]Mssp!$A$5:$BE$1463,AZ$4+2,0),0)</f>
        <v>0</v>
      </c>
      <c r="BA967" s="141"/>
      <c r="BB967" s="61"/>
      <c r="BC967" s="165"/>
      <c r="BD967" s="166"/>
      <c r="BE967" s="167"/>
      <c r="BF967" s="168"/>
      <c r="BG967" s="167"/>
      <c r="BH967" s="168"/>
      <c r="BI967" s="169"/>
      <c r="BJ967" s="168"/>
      <c r="BK967" s="134"/>
      <c r="BL967" s="168"/>
      <c r="BM967" s="167"/>
      <c r="BN967" s="168"/>
      <c r="BO967" s="62"/>
      <c r="BP967" s="168"/>
      <c r="BQ967" s="168"/>
      <c r="BR967" s="168"/>
      <c r="BS967" s="135"/>
      <c r="BT967" s="176"/>
      <c r="BU967" s="167"/>
      <c r="BV967" s="168"/>
      <c r="BW967" s="167"/>
      <c r="BX967" s="168"/>
      <c r="BY967" s="167"/>
      <c r="BZ967" s="176"/>
      <c r="CA967" s="167"/>
      <c r="CB967" s="168"/>
      <c r="CC967" s="167"/>
      <c r="CD967" s="168"/>
      <c r="CE967" s="62"/>
      <c r="CF967" s="62"/>
      <c r="CG967" s="9"/>
      <c r="CH967" s="9"/>
      <c r="CI967" s="9"/>
      <c r="CJ967" s="9"/>
      <c r="CK967" s="9"/>
      <c r="CL967" s="9"/>
      <c r="CM967" s="9"/>
      <c r="CN967" s="9"/>
      <c r="CO967" s="9"/>
      <c r="CP967" s="9"/>
    </row>
    <row r="968" spans="1:94" ht="30" x14ac:dyDescent="0.25">
      <c r="A968" s="127" t="s">
        <v>3086</v>
      </c>
      <c r="B968" s="51" t="s">
        <v>3087</v>
      </c>
      <c r="C968" s="62"/>
      <c r="D968" s="84">
        <v>3</v>
      </c>
      <c r="E968" s="62" t="s">
        <v>351</v>
      </c>
      <c r="F968" s="62">
        <v>5</v>
      </c>
      <c r="G968" s="62"/>
      <c r="H968" s="50">
        <f>VLOOKUP($A968,'[1]ma sp 02'!$A$5:$BD$1101,H$1,0)</f>
        <v>0.01</v>
      </c>
      <c r="I968" s="50">
        <f>VLOOKUP($A968,'[1]ma sp 02'!$A$5:$BD$1101,I$1,0)</f>
        <v>2.9220000000000002</v>
      </c>
      <c r="J968" s="50">
        <f>VLOOKUP($A968,'[1]ma sp 02'!$A$5:$BD$1101,J$1,0)</f>
        <v>3.1309999999999998</v>
      </c>
      <c r="K968" s="50">
        <f>VLOOKUP($A968,'[1]ma sp 02'!$A$5:$BD$1101,K$1,0)</f>
        <v>0.01</v>
      </c>
      <c r="L968" s="50">
        <f>VLOOKUP($A968,'[1]ma sp 02'!$A$5:$BD$1101,L$1,0)</f>
        <v>5.5309999999999997</v>
      </c>
      <c r="M968" s="50">
        <f>VLOOKUP($A968,'[1]ma sp 02'!$A$5:$BD$1101,M$1,0)</f>
        <v>1.4610000000000001</v>
      </c>
      <c r="N968" s="50">
        <f>VLOOKUP($A968,'[1]ma sp 02'!$A$5:$BD$1101,N$1,0)</f>
        <v>0</v>
      </c>
      <c r="O968" s="50">
        <f>VLOOKUP($A968,'[1]ma sp 02'!$A$5:$BD$1101,O$1,0)</f>
        <v>0</v>
      </c>
      <c r="P968" s="50">
        <f>VLOOKUP($A968,'[1]ma sp 02'!$A$5:$BD$1101,P$1,0)</f>
        <v>0</v>
      </c>
      <c r="Q968" s="50">
        <f>VLOOKUP($A968,'[1]ma sp 02'!$A$5:$BD$1101,Q$1,0)</f>
        <v>0</v>
      </c>
      <c r="R968" s="50">
        <f>VLOOKUP($A968,'[1]ma sp 02'!$A$5:$BD$1101,R$1,0)</f>
        <v>0</v>
      </c>
      <c r="S968" s="50">
        <f>VLOOKUP($A968,'[1]ma sp 02'!$A$5:$BD$1101,S$1,0)</f>
        <v>0</v>
      </c>
      <c r="T968" s="50">
        <f>VLOOKUP($A968,'[1]ma sp 02'!$A$5:$BD$1101,T$1,0)</f>
        <v>0</v>
      </c>
      <c r="U968" s="50">
        <f>VLOOKUP($A968,'[1]ma sp 02'!$A$5:$BD$1101,U$1,0)</f>
        <v>0</v>
      </c>
      <c r="V968" s="50">
        <f>VLOOKUP($A968,'[1]ma sp 02'!$A$5:$BD$1101,V$1,0)</f>
        <v>0</v>
      </c>
      <c r="W968" s="50">
        <f>VLOOKUP($A968,'[1]ma sp 02'!$A$5:$BD$1101,W$1,0)</f>
        <v>0</v>
      </c>
      <c r="X968" s="50"/>
      <c r="Y968" s="62"/>
      <c r="Z968" s="62"/>
      <c r="AA968" s="62"/>
      <c r="AB968" s="62"/>
      <c r="AC968" s="62"/>
      <c r="AD968" s="62"/>
      <c r="AE968" s="62" t="s">
        <v>352</v>
      </c>
      <c r="AF968" s="62" t="s">
        <v>2425</v>
      </c>
      <c r="AG968" s="53">
        <f>(0.012*1.4+0.012*1.4+0.1*0.925)*0.8</f>
        <v>0.10088000000000003</v>
      </c>
      <c r="AH968" s="54">
        <f>(2.5/0.75/2)*0.79</f>
        <v>1.3166666666666669</v>
      </c>
      <c r="AI968" s="54">
        <f>(2.5/0.75/2)*0.79</f>
        <v>1.3166666666666669</v>
      </c>
      <c r="AJ968" s="192">
        <v>9530</v>
      </c>
      <c r="AK968" s="62">
        <v>9530</v>
      </c>
      <c r="AL968" s="62" t="s">
        <v>3077</v>
      </c>
      <c r="AM968" s="61" t="s">
        <v>1489</v>
      </c>
      <c r="AN968" s="62">
        <v>190</v>
      </c>
      <c r="AO968" s="61" t="s">
        <v>2621</v>
      </c>
      <c r="AP968" s="59" t="str">
        <f>IFERROR(VLOOKUP($A968,[2]Mssp!$A$5:$BE$1463,AP$4+1,0),0)</f>
        <v>21100667-1</v>
      </c>
      <c r="AQ968" s="59" t="str">
        <f>IFERROR(VLOOKUP($A968,[2]Mssp!$A$5:$BE$1463,AQ$4+1,0),0)</f>
        <v>21100667-2</v>
      </c>
      <c r="AR968" s="59" t="str">
        <f>IFERROR(VLOOKUP($A968,[2]Mssp!$A$5:$BE$1463,AR$4+1,0),0)</f>
        <v>21100667-3</v>
      </c>
      <c r="AS968" s="59" t="str">
        <f>IFERROR(VLOOKUP($A968,[2]Mssp!$A$5:$BE$1463,AS$4+1,0),0)</f>
        <v>21100667-4</v>
      </c>
      <c r="AT968" s="59" t="str">
        <f>IFERROR(VLOOKUP($A968,[2]Mssp!$A$5:$BE$1463,AT$4+1,0),0)</f>
        <v>21100667-5</v>
      </c>
      <c r="AU968" s="59">
        <f>IFERROR(VLOOKUP($A968,[2]Mssp!$A$5:$BE$1463,AU$4+1,0),0)</f>
        <v>0</v>
      </c>
      <c r="AV968" s="59">
        <f>IFERROR(VLOOKUP($A968,[2]Mssp!$A$5:$BE$1463,AV$4+1,0),0)</f>
        <v>0</v>
      </c>
      <c r="AW968" s="59">
        <f>IFERROR(VLOOKUP($A968,[2]Mssp!$A$5:$BE$1463,AW$4+1,0),0)</f>
        <v>0</v>
      </c>
      <c r="AX968" s="59">
        <f>IFERROR(VLOOKUP($A968,[2]Mssp!$A$5:$BE$1463,AX$4+1,0),0)</f>
        <v>0</v>
      </c>
      <c r="AY968" s="59" t="str">
        <f>IFERROR(VLOOKUP($A968,[2]Mssp!$A$5:$BE$1463,AY$4+2,0),0)</f>
        <v>570x870</v>
      </c>
      <c r="AZ968" s="59">
        <f>IFERROR(VLOOKUP($A968,[2]Mssp!$A$5:$BE$1463,AZ$4+2,0),0)</f>
        <v>0</v>
      </c>
      <c r="BA968" s="141" t="s">
        <v>1936</v>
      </c>
      <c r="BB968" s="61" t="s">
        <v>952</v>
      </c>
      <c r="BC968" s="165"/>
      <c r="BD968" s="166"/>
      <c r="BE968" s="167"/>
      <c r="BF968" s="168"/>
      <c r="BG968" s="167"/>
      <c r="BH968" s="168"/>
      <c r="BI968" s="169"/>
      <c r="BJ968" s="168"/>
      <c r="BK968" s="134"/>
      <c r="BL968" s="168"/>
      <c r="BM968" s="167"/>
      <c r="BN968" s="168"/>
      <c r="BO968" s="62"/>
      <c r="BP968" s="168"/>
      <c r="BQ968" s="168"/>
      <c r="BR968" s="168"/>
      <c r="BS968" s="135"/>
      <c r="BT968" s="176"/>
      <c r="BU968" s="167"/>
      <c r="BV968" s="168"/>
      <c r="BW968" s="167"/>
      <c r="BX968" s="168"/>
      <c r="BY968" s="167"/>
      <c r="BZ968" s="176"/>
      <c r="CA968" s="167"/>
      <c r="CB968" s="168"/>
      <c r="CC968" s="167"/>
      <c r="CD968" s="168"/>
      <c r="CE968" s="62"/>
      <c r="CF968" s="62"/>
      <c r="CG968" s="9"/>
      <c r="CH968" s="9"/>
      <c r="CI968" s="9"/>
      <c r="CJ968" s="9"/>
      <c r="CK968" s="9"/>
      <c r="CL968" s="9"/>
      <c r="CM968" s="9"/>
      <c r="CN968" s="9"/>
      <c r="CO968" s="9"/>
      <c r="CP968" s="9"/>
    </row>
    <row r="969" spans="1:94" ht="30" x14ac:dyDescent="0.25">
      <c r="A969" s="127" t="s">
        <v>3088</v>
      </c>
      <c r="B969" s="51" t="s">
        <v>3089</v>
      </c>
      <c r="C969" s="62"/>
      <c r="D969" s="84">
        <v>3</v>
      </c>
      <c r="E969" s="62" t="s">
        <v>351</v>
      </c>
      <c r="F969" s="62">
        <v>5</v>
      </c>
      <c r="G969" s="62"/>
      <c r="H969" s="50">
        <f>VLOOKUP($A969,'[1]ma sp 02'!$A$5:$BD$1101,H$1,0)</f>
        <v>0.64700000000000002</v>
      </c>
      <c r="I969" s="50">
        <f>VLOOKUP($A969,'[1]ma sp 02'!$A$5:$BD$1101,I$1,0)</f>
        <v>4.532</v>
      </c>
      <c r="J969" s="50">
        <f>VLOOKUP($A969,'[1]ma sp 02'!$A$5:$BD$1101,J$1,0)</f>
        <v>1.2949999999999999</v>
      </c>
      <c r="K969" s="50">
        <f>VLOOKUP($A969,'[1]ma sp 02'!$A$5:$BD$1101,K$1,0)</f>
        <v>0.432</v>
      </c>
      <c r="L969" s="50">
        <f>VLOOKUP($A969,'[1]ma sp 02'!$A$5:$BD$1101,L$1,0)</f>
        <v>2.4820000000000002</v>
      </c>
      <c r="M969" s="50">
        <f>VLOOKUP($A969,'[1]ma sp 02'!$A$5:$BD$1101,M$1,0)</f>
        <v>1.726</v>
      </c>
      <c r="N969" s="50">
        <f>VLOOKUP($A969,'[1]ma sp 02'!$A$5:$BD$1101,N$1,0)</f>
        <v>0</v>
      </c>
      <c r="O969" s="50">
        <f>VLOOKUP($A969,'[1]ma sp 02'!$A$5:$BD$1101,O$1,0)</f>
        <v>0</v>
      </c>
      <c r="P969" s="50">
        <f>VLOOKUP($A969,'[1]ma sp 02'!$A$5:$BD$1101,P$1,0)</f>
        <v>0</v>
      </c>
      <c r="Q969" s="50">
        <f>VLOOKUP($A969,'[1]ma sp 02'!$A$5:$BD$1101,Q$1,0)</f>
        <v>0</v>
      </c>
      <c r="R969" s="50">
        <f>VLOOKUP($A969,'[1]ma sp 02'!$A$5:$BD$1101,R$1,0)</f>
        <v>0</v>
      </c>
      <c r="S969" s="50">
        <f>VLOOKUP($A969,'[1]ma sp 02'!$A$5:$BD$1101,S$1,0)</f>
        <v>0</v>
      </c>
      <c r="T969" s="50">
        <f>VLOOKUP($A969,'[1]ma sp 02'!$A$5:$BD$1101,T$1,0)</f>
        <v>0</v>
      </c>
      <c r="U969" s="50">
        <f>VLOOKUP($A969,'[1]ma sp 02'!$A$5:$BD$1101,U$1,0)</f>
        <v>0</v>
      </c>
      <c r="V969" s="50">
        <f>VLOOKUP($A969,'[1]ma sp 02'!$A$5:$BD$1101,V$1,0)</f>
        <v>0</v>
      </c>
      <c r="W969" s="50">
        <f>VLOOKUP($A969,'[1]ma sp 02'!$A$5:$BD$1101,W$1,0)</f>
        <v>0</v>
      </c>
      <c r="X969" s="50"/>
      <c r="Y969" s="62"/>
      <c r="Z969" s="62"/>
      <c r="AA969" s="62"/>
      <c r="AB969" s="62"/>
      <c r="AC969" s="62"/>
      <c r="AD969" s="62"/>
      <c r="AE969" s="62" t="s">
        <v>352</v>
      </c>
      <c r="AF969" s="62" t="s">
        <v>2425</v>
      </c>
      <c r="AG969" s="53">
        <f>(0.012*1.4+0.012*1.4+0.1*0.925)*0.8</f>
        <v>0.10088000000000003</v>
      </c>
      <c r="AH969" s="54">
        <f>(2.5/0.75/2)*0.79</f>
        <v>1.3166666666666669</v>
      </c>
      <c r="AI969" s="54">
        <f>(2.5/0.75/2)*0.79</f>
        <v>1.3166666666666669</v>
      </c>
      <c r="AJ969" s="192">
        <v>9530</v>
      </c>
      <c r="AK969" s="62">
        <v>9530</v>
      </c>
      <c r="AL969" s="62" t="s">
        <v>3077</v>
      </c>
      <c r="AM969" s="61" t="s">
        <v>1489</v>
      </c>
      <c r="AN969" s="62">
        <v>190</v>
      </c>
      <c r="AO969" s="61" t="s">
        <v>2621</v>
      </c>
      <c r="AP969" s="59" t="str">
        <f>IFERROR(VLOOKUP($A969,[2]Mssp!$A$5:$BE$1463,AP$4+1,0),0)</f>
        <v>21100668-1</v>
      </c>
      <c r="AQ969" s="59" t="str">
        <f>IFERROR(VLOOKUP($A969,[2]Mssp!$A$5:$BE$1463,AQ$4+1,0),0)</f>
        <v>21100668-2</v>
      </c>
      <c r="AR969" s="59" t="str">
        <f>IFERROR(VLOOKUP($A969,[2]Mssp!$A$5:$BE$1463,AR$4+1,0),0)</f>
        <v>21100668-3</v>
      </c>
      <c r="AS969" s="59" t="str">
        <f>IFERROR(VLOOKUP($A969,[2]Mssp!$A$5:$BE$1463,AS$4+1,0),0)</f>
        <v>21100668-4</v>
      </c>
      <c r="AT969" s="59" t="str">
        <f>IFERROR(VLOOKUP($A969,[2]Mssp!$A$5:$BE$1463,AT$4+1,0),0)</f>
        <v>21100667-5</v>
      </c>
      <c r="AU969" s="59">
        <f>IFERROR(VLOOKUP($A969,[2]Mssp!$A$5:$BE$1463,AU$4+1,0),0)</f>
        <v>0</v>
      </c>
      <c r="AV969" s="59">
        <f>IFERROR(VLOOKUP($A969,[2]Mssp!$A$5:$BE$1463,AV$4+1,0),0)</f>
        <v>0</v>
      </c>
      <c r="AW969" s="59">
        <f>IFERROR(VLOOKUP($A969,[2]Mssp!$A$5:$BE$1463,AW$4+1,0),0)</f>
        <v>0</v>
      </c>
      <c r="AX969" s="59">
        <f>IFERROR(VLOOKUP($A969,[2]Mssp!$A$5:$BE$1463,AX$4+1,0),0)</f>
        <v>0</v>
      </c>
      <c r="AY969" s="59" t="str">
        <f>IFERROR(VLOOKUP($A969,[2]Mssp!$A$5:$BE$1463,AY$4+2,0),0)</f>
        <v>570x870</v>
      </c>
      <c r="AZ969" s="59">
        <f>IFERROR(VLOOKUP($A969,[2]Mssp!$A$5:$BE$1463,AZ$4+2,0),0)</f>
        <v>0</v>
      </c>
      <c r="BA969" s="141" t="s">
        <v>1936</v>
      </c>
      <c r="BB969" s="61" t="s">
        <v>952</v>
      </c>
      <c r="BC969" s="165"/>
      <c r="BD969" s="166"/>
      <c r="BE969" s="167"/>
      <c r="BF969" s="168"/>
      <c r="BG969" s="167"/>
      <c r="BH969" s="168"/>
      <c r="BI969" s="169"/>
      <c r="BJ969" s="168"/>
      <c r="BK969" s="134"/>
      <c r="BL969" s="168"/>
      <c r="BM969" s="167"/>
      <c r="BN969" s="168"/>
      <c r="BO969" s="62"/>
      <c r="BP969" s="168"/>
      <c r="BQ969" s="168"/>
      <c r="BR969" s="168"/>
      <c r="BS969" s="135"/>
      <c r="BT969" s="176"/>
      <c r="BU969" s="167"/>
      <c r="BV969" s="168"/>
      <c r="BW969" s="167"/>
      <c r="BX969" s="168"/>
      <c r="BY969" s="167"/>
      <c r="BZ969" s="176"/>
      <c r="CA969" s="167"/>
      <c r="CB969" s="168"/>
      <c r="CC969" s="167"/>
      <c r="CD969" s="168"/>
      <c r="CE969" s="62"/>
      <c r="CF969" s="62"/>
      <c r="CG969" s="9"/>
      <c r="CH969" s="9"/>
      <c r="CI969" s="9"/>
      <c r="CJ969" s="9"/>
      <c r="CK969" s="9"/>
      <c r="CL969" s="9"/>
      <c r="CM969" s="9"/>
      <c r="CN969" s="9"/>
      <c r="CO969" s="9"/>
      <c r="CP969" s="9"/>
    </row>
    <row r="970" spans="1:94" ht="30" x14ac:dyDescent="0.25">
      <c r="A970" s="127" t="s">
        <v>3090</v>
      </c>
      <c r="B970" s="51" t="s">
        <v>3091</v>
      </c>
      <c r="C970" s="62"/>
      <c r="D970" s="84">
        <v>1</v>
      </c>
      <c r="E970" s="62" t="s">
        <v>1781</v>
      </c>
      <c r="F970" s="62">
        <v>6</v>
      </c>
      <c r="G970" s="62"/>
      <c r="H970" s="50">
        <f>VLOOKUP($A970,'[1]ma sp 02'!$A$5:$BD$1101,H$1,0)</f>
        <v>0.748</v>
      </c>
      <c r="I970" s="50">
        <f>VLOOKUP($A970,'[1]ma sp 02'!$A$5:$BD$1101,I$1,0)</f>
        <v>5.1100000000000003</v>
      </c>
      <c r="J970" s="50">
        <f>VLOOKUP($A970,'[1]ma sp 02'!$A$5:$BD$1101,J$1,0)</f>
        <v>0.249</v>
      </c>
      <c r="K970" s="50">
        <f>VLOOKUP($A970,'[1]ma sp 02'!$A$5:$BD$1101,K$1,0)</f>
        <v>0.499</v>
      </c>
      <c r="L970" s="50">
        <f>VLOOKUP($A970,'[1]ma sp 02'!$A$5:$BD$1101,L$1,0)</f>
        <v>0.374</v>
      </c>
      <c r="M970" s="50">
        <f>VLOOKUP($A970,'[1]ma sp 02'!$A$5:$BD$1101,M$1,0)</f>
        <v>0</v>
      </c>
      <c r="N970" s="50">
        <f>VLOOKUP($A970,'[1]ma sp 02'!$A$5:$BD$1101,N$1,0)</f>
        <v>0</v>
      </c>
      <c r="O970" s="50">
        <f>VLOOKUP($A970,'[1]ma sp 02'!$A$5:$BD$1101,O$1,0)</f>
        <v>0</v>
      </c>
      <c r="P970" s="50">
        <f>VLOOKUP($A970,'[1]ma sp 02'!$A$5:$BD$1101,P$1,0)</f>
        <v>0</v>
      </c>
      <c r="Q970" s="50">
        <f>VLOOKUP($A970,'[1]ma sp 02'!$A$5:$BD$1101,Q$1,0)</f>
        <v>0</v>
      </c>
      <c r="R970" s="50">
        <f>VLOOKUP($A970,'[1]ma sp 02'!$A$5:$BD$1101,R$1,0)</f>
        <v>0</v>
      </c>
      <c r="S970" s="50">
        <f>VLOOKUP($A970,'[1]ma sp 02'!$A$5:$BD$1101,S$1,0)</f>
        <v>0.01</v>
      </c>
      <c r="T970" s="50">
        <f>VLOOKUP($A970,'[1]ma sp 02'!$A$5:$BD$1101,T$1,0)</f>
        <v>0</v>
      </c>
      <c r="U970" s="50">
        <f>VLOOKUP($A970,'[1]ma sp 02'!$A$5:$BD$1101,U$1,0)</f>
        <v>0</v>
      </c>
      <c r="V970" s="50">
        <f>VLOOKUP($A970,'[1]ma sp 02'!$A$5:$BD$1101,V$1,0)</f>
        <v>0</v>
      </c>
      <c r="W970" s="50">
        <f>VLOOKUP($A970,'[1]ma sp 02'!$A$5:$BD$1101,W$1,0)</f>
        <v>0</v>
      </c>
      <c r="X970" s="50"/>
      <c r="Y970" s="62"/>
      <c r="Z970" s="62"/>
      <c r="AA970" s="62"/>
      <c r="AB970" s="62"/>
      <c r="AC970" s="62"/>
      <c r="AD970" s="62"/>
      <c r="AE970" s="62" t="s">
        <v>3092</v>
      </c>
      <c r="AF970" s="62"/>
      <c r="AG970" s="53">
        <f>(0.015*1.15+0.115*0.925)*0.66</f>
        <v>8.1592500000000012E-2</v>
      </c>
      <c r="AH970" s="54">
        <f>(3/0.75/2)*0.66</f>
        <v>1.32</v>
      </c>
      <c r="AI970" s="54"/>
      <c r="AJ970" s="192">
        <v>9530</v>
      </c>
      <c r="AK970" s="62"/>
      <c r="AL970" s="62">
        <v>3.0000000000000001E-3</v>
      </c>
      <c r="AM970" s="61" t="s">
        <v>128</v>
      </c>
      <c r="AN970" s="62">
        <v>470</v>
      </c>
      <c r="AO970" s="61" t="s">
        <v>2774</v>
      </c>
      <c r="AP970" s="59" t="str">
        <f>IFERROR(VLOOKUP($A970,[2]Mssp!$A$5:$BE$1463,AP$4+1,0),0)</f>
        <v>21100670-1</v>
      </c>
      <c r="AQ970" s="59" t="str">
        <f>IFERROR(VLOOKUP($A970,[2]Mssp!$A$5:$BE$1463,AQ$4+1,0),0)</f>
        <v>21100670-2</v>
      </c>
      <c r="AR970" s="59" t="str">
        <f>IFERROR(VLOOKUP($A970,[2]Mssp!$A$5:$BE$1463,AR$4+1,0),0)</f>
        <v>21100670-3</v>
      </c>
      <c r="AS970" s="59" t="str">
        <f>IFERROR(VLOOKUP($A970,[2]Mssp!$A$5:$BE$1463,AS$4+1,0),0)</f>
        <v>21100670-4</v>
      </c>
      <c r="AT970" s="59" t="str">
        <f>IFERROR(VLOOKUP($A970,[2]Mssp!$A$5:$BE$1463,AT$4+1,0),0)</f>
        <v>21100670-5</v>
      </c>
      <c r="AU970" s="59" t="str">
        <f>IFERROR(VLOOKUP($A970,[2]Mssp!$A$5:$BE$1463,AU$4+1,0),0)</f>
        <v>21100670-6</v>
      </c>
      <c r="AV970" s="59" t="str">
        <f>IFERROR(VLOOKUP($A970,[2]Mssp!$A$5:$BE$1463,AV$4+1,0),0)</f>
        <v>21100670-7</v>
      </c>
      <c r="AW970" s="59">
        <f>IFERROR(VLOOKUP($A970,[2]Mssp!$A$5:$BE$1463,AW$4+1,0),0)</f>
        <v>0</v>
      </c>
      <c r="AX970" s="59">
        <f>IFERROR(VLOOKUP($A970,[2]Mssp!$A$5:$BE$1463,AX$4+1,0),0)</f>
        <v>0</v>
      </c>
      <c r="AY970" s="59" t="str">
        <f>IFERROR(VLOOKUP($A970,[2]Mssp!$A$5:$BE$1463,AY$4+2,0),0)</f>
        <v>470x870</v>
      </c>
      <c r="AZ970" s="59">
        <f>IFERROR(VLOOKUP($A970,[2]Mssp!$A$5:$BE$1463,AZ$4+2,0),0)</f>
        <v>0</v>
      </c>
      <c r="BA970" s="141"/>
      <c r="BB970" s="61" t="s">
        <v>1894</v>
      </c>
      <c r="BC970" s="165"/>
      <c r="BD970" s="166"/>
      <c r="BE970" s="167"/>
      <c r="BF970" s="168"/>
      <c r="BG970" s="167"/>
      <c r="BH970" s="168"/>
      <c r="BI970" s="169"/>
      <c r="BJ970" s="168"/>
      <c r="BK970" s="134"/>
      <c r="BL970" s="168"/>
      <c r="BM970" s="167"/>
      <c r="BN970" s="168"/>
      <c r="BO970" s="62"/>
      <c r="BP970" s="168"/>
      <c r="BQ970" s="168"/>
      <c r="BR970" s="168"/>
      <c r="BS970" s="135"/>
      <c r="BT970" s="176"/>
      <c r="BU970" s="167"/>
      <c r="BV970" s="168"/>
      <c r="BW970" s="167"/>
      <c r="BX970" s="168"/>
      <c r="BY970" s="167"/>
      <c r="BZ970" s="176"/>
      <c r="CA970" s="167"/>
      <c r="CB970" s="168"/>
      <c r="CC970" s="167"/>
      <c r="CD970" s="168"/>
      <c r="CE970" s="62"/>
      <c r="CF970" s="62"/>
      <c r="CG970" s="9"/>
      <c r="CH970" s="9"/>
      <c r="CI970" s="9"/>
      <c r="CJ970" s="9"/>
      <c r="CK970" s="9"/>
      <c r="CL970" s="9"/>
      <c r="CM970" s="9"/>
      <c r="CN970" s="9"/>
      <c r="CO970" s="9"/>
      <c r="CP970" s="9"/>
    </row>
    <row r="971" spans="1:94" ht="45" x14ac:dyDescent="0.25">
      <c r="A971" s="127" t="s">
        <v>3093</v>
      </c>
      <c r="B971" s="51" t="s">
        <v>3094</v>
      </c>
      <c r="C971" s="62"/>
      <c r="D971" s="84">
        <v>5</v>
      </c>
      <c r="E971" s="62" t="s">
        <v>2659</v>
      </c>
      <c r="F971" s="62">
        <v>2</v>
      </c>
      <c r="G971" s="62"/>
      <c r="H971" s="50">
        <f>VLOOKUP($A971,'[1]ma sp 02'!$A$5:$BD$1101,H$1,0)</f>
        <v>5.8999999999999997E-2</v>
      </c>
      <c r="I971" s="50">
        <f>VLOOKUP($A971,'[1]ma sp 02'!$A$5:$BD$1101,I$1,0)</f>
        <v>0</v>
      </c>
      <c r="J971" s="50">
        <f>VLOOKUP($A971,'[1]ma sp 02'!$A$5:$BD$1101,J$1,0)</f>
        <v>0.66400000000000003</v>
      </c>
      <c r="K971" s="50">
        <f>VLOOKUP($A971,'[1]ma sp 02'!$A$5:$BD$1101,K$1,0)</f>
        <v>0</v>
      </c>
      <c r="L971" s="50">
        <f>VLOOKUP($A971,'[1]ma sp 02'!$A$5:$BD$1101,L$1,0)</f>
        <v>0.65400000000000003</v>
      </c>
      <c r="M971" s="50">
        <f>VLOOKUP($A971,'[1]ma sp 02'!$A$5:$BD$1101,M$1,0)</f>
        <v>0.495</v>
      </c>
      <c r="N971" s="50">
        <f>VLOOKUP($A971,'[1]ma sp 02'!$A$5:$BD$1101,N$1,0)</f>
        <v>0</v>
      </c>
      <c r="O971" s="50">
        <f>VLOOKUP($A971,'[1]ma sp 02'!$A$5:$BD$1101,O$1,0)</f>
        <v>0.01</v>
      </c>
      <c r="P971" s="50">
        <f>VLOOKUP($A971,'[1]ma sp 02'!$A$5:$BD$1101,P$1,0)</f>
        <v>0.188</v>
      </c>
      <c r="Q971" s="50">
        <f>VLOOKUP($A971,'[1]ma sp 02'!$A$5:$BD$1101,Q$1,0)</f>
        <v>0.13900000000000001</v>
      </c>
      <c r="R971" s="50">
        <f>VLOOKUP($A971,'[1]ma sp 02'!$A$5:$BD$1101,R$1,0)</f>
        <v>0</v>
      </c>
      <c r="S971" s="50">
        <f>VLOOKUP($A971,'[1]ma sp 02'!$A$5:$BD$1101,S$1,0)</f>
        <v>0</v>
      </c>
      <c r="T971" s="50">
        <f>VLOOKUP($A971,'[1]ma sp 02'!$A$5:$BD$1101,T$1,0)</f>
        <v>0</v>
      </c>
      <c r="U971" s="50">
        <f>VLOOKUP($A971,'[1]ma sp 02'!$A$5:$BD$1101,U$1,0)</f>
        <v>0</v>
      </c>
      <c r="V971" s="50">
        <f>VLOOKUP($A971,'[1]ma sp 02'!$A$5:$BD$1101,V$1,0)</f>
        <v>0</v>
      </c>
      <c r="W971" s="50">
        <f>VLOOKUP($A971,'[1]ma sp 02'!$A$5:$BD$1101,W$1,0)</f>
        <v>0</v>
      </c>
      <c r="X971" s="50"/>
      <c r="Y971" s="62"/>
      <c r="Z971" s="62"/>
      <c r="AA971" s="62"/>
      <c r="AB971" s="62"/>
      <c r="AC971" s="62"/>
      <c r="AD971" s="62"/>
      <c r="AE971" s="62" t="s">
        <v>2994</v>
      </c>
      <c r="AF971" s="62"/>
      <c r="AG971" s="53">
        <f>(0.02*0.91+0.025*0.94)*0.92</f>
        <v>3.8364000000000002E-2</v>
      </c>
      <c r="AH971" s="54">
        <f>(2/0.75/2)*0.91</f>
        <v>1.2133333333333334</v>
      </c>
      <c r="AI971" s="54"/>
      <c r="AJ971" s="192">
        <v>9530</v>
      </c>
      <c r="AK971" s="62"/>
      <c r="AL971" s="193">
        <v>2E-3</v>
      </c>
      <c r="AM971" s="61" t="s">
        <v>1489</v>
      </c>
      <c r="AN971" s="62">
        <v>155</v>
      </c>
      <c r="AO971" s="61" t="s">
        <v>3095</v>
      </c>
      <c r="AP971" s="59" t="str">
        <f>IFERROR(VLOOKUP($A971,[2]Mssp!$A$5:$BE$1463,AP$4+1,0),0)</f>
        <v>21100714-1</v>
      </c>
      <c r="AQ971" s="59" t="str">
        <f>IFERROR(VLOOKUP($A971,[2]Mssp!$A$5:$BE$1463,AQ$4+1,0),0)</f>
        <v>21100714-2</v>
      </c>
      <c r="AR971" s="59">
        <f>IFERROR(VLOOKUP($A971,[2]Mssp!$A$5:$BE$1463,AR$4+1,0),0)</f>
        <v>0</v>
      </c>
      <c r="AS971" s="59">
        <f>IFERROR(VLOOKUP($A971,[2]Mssp!$A$5:$BE$1463,AS$4+1,0),0)</f>
        <v>0</v>
      </c>
      <c r="AT971" s="59">
        <f>IFERROR(VLOOKUP($A971,[2]Mssp!$A$5:$BE$1463,AT$4+1,0),0)</f>
        <v>0</v>
      </c>
      <c r="AU971" s="59">
        <f>IFERROR(VLOOKUP($A971,[2]Mssp!$A$5:$BE$1463,AU$4+1,0),0)</f>
        <v>0</v>
      </c>
      <c r="AV971" s="59">
        <f>IFERROR(VLOOKUP($A971,[2]Mssp!$A$5:$BE$1463,AV$4+1,0),0)</f>
        <v>0</v>
      </c>
      <c r="AW971" s="59">
        <f>IFERROR(VLOOKUP($A971,[2]Mssp!$A$5:$BE$1463,AW$4+1,0),0)</f>
        <v>0</v>
      </c>
      <c r="AX971" s="59">
        <f>IFERROR(VLOOKUP($A971,[2]Mssp!$A$5:$BE$1463,AX$4+1,0),0)</f>
        <v>0</v>
      </c>
      <c r="AY971" s="59" t="str">
        <f>IFERROR(VLOOKUP($A971,[2]Mssp!$A$5:$BE$1463,AY$4+2,0),0)</f>
        <v>465x1100</v>
      </c>
      <c r="AZ971" s="59">
        <f>IFERROR(VLOOKUP($A971,[2]Mssp!$A$5:$BE$1463,AZ$4+2,0),0)</f>
        <v>0</v>
      </c>
      <c r="BA971" s="141"/>
      <c r="BB971" s="61" t="s">
        <v>952</v>
      </c>
      <c r="BC971" s="165"/>
      <c r="BD971" s="166"/>
      <c r="BE971" s="167"/>
      <c r="BF971" s="168"/>
      <c r="BG971" s="167"/>
      <c r="BH971" s="168"/>
      <c r="BI971" s="169"/>
      <c r="BJ971" s="168"/>
      <c r="BK971" s="134"/>
      <c r="BL971" s="168"/>
      <c r="BM971" s="167"/>
      <c r="BN971" s="168"/>
      <c r="BO971" s="62"/>
      <c r="BP971" s="168"/>
      <c r="BQ971" s="168"/>
      <c r="BR971" s="168"/>
      <c r="BS971" s="135"/>
      <c r="BT971" s="176"/>
      <c r="BU971" s="167"/>
      <c r="BV971" s="168"/>
      <c r="BW971" s="167"/>
      <c r="BX971" s="168"/>
      <c r="BY971" s="167"/>
      <c r="BZ971" s="176"/>
      <c r="CA971" s="167"/>
      <c r="CB971" s="168"/>
      <c r="CC971" s="167"/>
      <c r="CD971" s="168"/>
      <c r="CE971" s="62"/>
      <c r="CF971" s="62"/>
      <c r="CG971" s="9"/>
      <c r="CH971" s="9"/>
      <c r="CI971" s="9"/>
      <c r="CJ971" s="9"/>
      <c r="CK971" s="9"/>
      <c r="CL971" s="9"/>
      <c r="CM971" s="9"/>
      <c r="CN971" s="9"/>
      <c r="CO971" s="9"/>
      <c r="CP971" s="9"/>
    </row>
    <row r="972" spans="1:94" ht="45" x14ac:dyDescent="0.25">
      <c r="A972" s="127" t="s">
        <v>3096</v>
      </c>
      <c r="B972" s="51" t="s">
        <v>3097</v>
      </c>
      <c r="C972" s="62"/>
      <c r="D972" s="84">
        <v>1</v>
      </c>
      <c r="E972" s="62" t="s">
        <v>2274</v>
      </c>
      <c r="F972" s="62">
        <v>7</v>
      </c>
      <c r="G972" s="62"/>
      <c r="H972" s="50">
        <f>VLOOKUP($A972,'[1]ma sp 02'!$A$5:$BD$1101,H$1,0)</f>
        <v>9.0800000000000006E-2</v>
      </c>
      <c r="I972" s="50">
        <f>VLOOKUP($A972,'[1]ma sp 02'!$A$5:$BD$1101,I$1,0)</f>
        <v>0.54500000000000004</v>
      </c>
      <c r="J972" s="50">
        <f>VLOOKUP($A972,'[1]ma sp 02'!$A$5:$BD$1101,J$1,0)</f>
        <v>3.6309999999999998</v>
      </c>
      <c r="K972" s="50">
        <f>VLOOKUP($A972,'[1]ma sp 02'!$A$5:$BD$1101,K$1,0)</f>
        <v>0.54500000000000004</v>
      </c>
      <c r="L972" s="50">
        <f>VLOOKUP($A972,'[1]ma sp 02'!$A$5:$BD$1101,L$1,0)</f>
        <v>7.2619999999999996</v>
      </c>
      <c r="M972" s="50">
        <f>VLOOKUP($A972,'[1]ma sp 02'!$A$5:$BD$1101,M$1,0)</f>
        <v>0</v>
      </c>
      <c r="N972" s="50">
        <f>VLOOKUP($A972,'[1]ma sp 02'!$A$5:$BD$1101,N$1,0)</f>
        <v>0</v>
      </c>
      <c r="O972" s="50">
        <f>VLOOKUP($A972,'[1]ma sp 02'!$A$5:$BD$1101,O$1,0)</f>
        <v>0</v>
      </c>
      <c r="P972" s="50">
        <f>VLOOKUP($A972,'[1]ma sp 02'!$A$5:$BD$1101,P$1,0)</f>
        <v>2.9049999999999998</v>
      </c>
      <c r="Q972" s="50">
        <f>VLOOKUP($A972,'[1]ma sp 02'!$A$5:$BD$1101,Q$1,0)</f>
        <v>3.2679999999999998</v>
      </c>
      <c r="R972" s="50">
        <f>VLOOKUP($A972,'[1]ma sp 02'!$A$5:$BD$1101,R$1,0)</f>
        <v>0</v>
      </c>
      <c r="S972" s="50">
        <f>VLOOKUP($A972,'[1]ma sp 02'!$A$5:$BD$1101,S$1,0)</f>
        <v>0</v>
      </c>
      <c r="T972" s="50">
        <f>VLOOKUP($A972,'[1]ma sp 02'!$A$5:$BD$1101,T$1,0)</f>
        <v>0.01</v>
      </c>
      <c r="U972" s="50">
        <f>VLOOKUP($A972,'[1]ma sp 02'!$A$5:$BD$1101,U$1,0)</f>
        <v>0</v>
      </c>
      <c r="V972" s="50">
        <f>VLOOKUP($A972,'[1]ma sp 02'!$A$5:$BD$1101,V$1,0)</f>
        <v>0</v>
      </c>
      <c r="W972" s="50">
        <f>VLOOKUP($A972,'[1]ma sp 02'!$A$5:$BD$1101,W$1,0)</f>
        <v>0</v>
      </c>
      <c r="X972" s="50"/>
      <c r="Y972" s="62"/>
      <c r="Z972" s="62"/>
      <c r="AA972" s="62"/>
      <c r="AB972" s="62"/>
      <c r="AC972" s="62"/>
      <c r="AD972" s="62"/>
      <c r="AE972" s="62" t="s">
        <v>3098</v>
      </c>
      <c r="AF972" s="62"/>
      <c r="AG972" s="53">
        <f>(0.02*0.91+0.045*0.94)*0.59</f>
        <v>3.5694999999999998E-2</v>
      </c>
      <c r="AH972" s="54">
        <f>(3/0.75/2)*0.58</f>
        <v>1.1599999999999999</v>
      </c>
      <c r="AI972" s="54"/>
      <c r="AJ972" s="192">
        <v>9530</v>
      </c>
      <c r="AK972" s="62"/>
      <c r="AL972" s="62">
        <v>3.0000000000000001E-3</v>
      </c>
      <c r="AM972" s="61" t="s">
        <v>3099</v>
      </c>
      <c r="AN972" s="62">
        <v>170</v>
      </c>
      <c r="AO972" s="61" t="s">
        <v>2945</v>
      </c>
      <c r="AP972" s="59" t="str">
        <f>IFERROR(VLOOKUP($A972,[2]Mssp!$A$5:$BE$1463,AP$4+1,0),0)</f>
        <v>F129707-1</v>
      </c>
      <c r="AQ972" s="59" t="str">
        <f>IFERROR(VLOOKUP($A972,[2]Mssp!$A$5:$BE$1463,AQ$4+1,0),0)</f>
        <v>F129707-2</v>
      </c>
      <c r="AR972" s="59" t="str">
        <f>IFERROR(VLOOKUP($A972,[2]Mssp!$A$5:$BE$1463,AR$4+1,0),0)</f>
        <v>F129707-3</v>
      </c>
      <c r="AS972" s="59" t="str">
        <f>IFERROR(VLOOKUP($A972,[2]Mssp!$A$5:$BE$1463,AS$4+1,0),0)</f>
        <v>F129707-4</v>
      </c>
      <c r="AT972" s="59" t="str">
        <f>IFERROR(VLOOKUP($A972,[2]Mssp!$A$5:$BE$1463,AT$4+1,0),0)</f>
        <v>F129707-5</v>
      </c>
      <c r="AU972" s="59" t="str">
        <f>IFERROR(VLOOKUP($A972,[2]Mssp!$A$5:$BE$1463,AU$4+1,0),0)</f>
        <v>F129707-6</v>
      </c>
      <c r="AV972" s="59" t="str">
        <f>IFERROR(VLOOKUP($A972,[2]Mssp!$A$5:$BE$1463,AV$4+1,0),0)</f>
        <v>F129707-7</v>
      </c>
      <c r="AW972" s="59">
        <f>IFERROR(VLOOKUP($A972,[2]Mssp!$A$5:$BE$1463,AW$4+1,0),0)</f>
        <v>0</v>
      </c>
      <c r="AX972" s="59">
        <f>IFERROR(VLOOKUP($A972,[2]Mssp!$A$5:$BE$1463,AX$4+1,0),0)</f>
        <v>0</v>
      </c>
      <c r="AY972" s="59" t="str">
        <f>IFERROR(VLOOKUP($A972,[2]Mssp!$A$5:$BE$1463,AY$4+2,0),0)</f>
        <v>510x870</v>
      </c>
      <c r="AZ972" s="59">
        <f>IFERROR(VLOOKUP($A972,[2]Mssp!$A$5:$BE$1463,AZ$4+2,0),0)</f>
        <v>0</v>
      </c>
      <c r="BA972" s="141"/>
      <c r="BB972" s="61"/>
      <c r="BC972" s="165"/>
      <c r="BD972" s="166"/>
      <c r="BE972" s="167"/>
      <c r="BF972" s="168"/>
      <c r="BG972" s="167"/>
      <c r="BH972" s="168"/>
      <c r="BI972" s="169"/>
      <c r="BJ972" s="168"/>
      <c r="BK972" s="134"/>
      <c r="BL972" s="168"/>
      <c r="BM972" s="167"/>
      <c r="BN972" s="168"/>
      <c r="BO972" s="62"/>
      <c r="BP972" s="168"/>
      <c r="BQ972" s="168"/>
      <c r="BR972" s="168"/>
      <c r="BS972" s="135"/>
      <c r="BT972" s="176"/>
      <c r="BU972" s="167"/>
      <c r="BV972" s="168"/>
      <c r="BW972" s="167"/>
      <c r="BX972" s="168"/>
      <c r="BY972" s="167"/>
      <c r="BZ972" s="176"/>
      <c r="CA972" s="167"/>
      <c r="CB972" s="168"/>
      <c r="CC972" s="167"/>
      <c r="CD972" s="168"/>
      <c r="CE972" s="62"/>
      <c r="CF972" s="62"/>
      <c r="CG972" s="9"/>
      <c r="CH972" s="9"/>
      <c r="CI972" s="9"/>
      <c r="CJ972" s="9"/>
      <c r="CK972" s="9"/>
      <c r="CL972" s="9"/>
      <c r="CM972" s="9"/>
      <c r="CN972" s="9"/>
      <c r="CO972" s="9"/>
      <c r="CP972" s="9"/>
    </row>
    <row r="973" spans="1:94" ht="45" x14ac:dyDescent="0.25">
      <c r="A973" s="127" t="s">
        <v>3100</v>
      </c>
      <c r="B973" s="51" t="s">
        <v>3101</v>
      </c>
      <c r="C973" s="62"/>
      <c r="D973" s="84">
        <v>5</v>
      </c>
      <c r="E973" s="62" t="s">
        <v>1525</v>
      </c>
      <c r="F973" s="62">
        <v>2</v>
      </c>
      <c r="G973" s="62"/>
      <c r="H973" s="50">
        <f>VLOOKUP($A973,'[1]ma sp 02'!$A$5:$BD$1101,H$1,0)</f>
        <v>0.26700000000000002</v>
      </c>
      <c r="I973" s="50">
        <f>VLOOKUP($A973,'[1]ma sp 02'!$A$5:$BD$1101,I$1,0)</f>
        <v>0</v>
      </c>
      <c r="J973" s="50">
        <f>VLOOKUP($A973,'[1]ma sp 02'!$A$5:$BD$1101,J$1,0)</f>
        <v>0</v>
      </c>
      <c r="K973" s="50">
        <f>VLOOKUP($A973,'[1]ma sp 02'!$A$5:$BD$1101,K$1,0)</f>
        <v>1.526</v>
      </c>
      <c r="L973" s="50">
        <f>VLOOKUP($A973,'[1]ma sp 02'!$A$5:$BD$1101,L$1,0)</f>
        <v>0.56299999999999994</v>
      </c>
      <c r="M973" s="50">
        <f>VLOOKUP($A973,'[1]ma sp 02'!$A$5:$BD$1101,M$1,0)</f>
        <v>0.38500000000000001</v>
      </c>
      <c r="N973" s="50">
        <f>VLOOKUP($A973,'[1]ma sp 02'!$A$5:$BD$1101,N$1,0)</f>
        <v>0</v>
      </c>
      <c r="O973" s="50">
        <f>VLOOKUP($A973,'[1]ma sp 02'!$A$5:$BD$1101,O$1,0)</f>
        <v>0</v>
      </c>
      <c r="P973" s="50">
        <f>VLOOKUP($A973,'[1]ma sp 02'!$A$5:$BD$1101,P$1,0)</f>
        <v>1.5409999999999999</v>
      </c>
      <c r="Q973" s="50">
        <f>VLOOKUP($A973,'[1]ma sp 02'!$A$5:$BD$1101,Q$1,0)</f>
        <v>0.26700000000000002</v>
      </c>
      <c r="R973" s="50">
        <f>VLOOKUP($A973,'[1]ma sp 02'!$A$5:$BD$1101,R$1,0)</f>
        <v>0</v>
      </c>
      <c r="S973" s="50">
        <f>VLOOKUP($A973,'[1]ma sp 02'!$A$5:$BD$1101,S$1,0)</f>
        <v>0</v>
      </c>
      <c r="T973" s="50">
        <f>VLOOKUP($A973,'[1]ma sp 02'!$A$5:$BD$1101,T$1,0)</f>
        <v>0</v>
      </c>
      <c r="U973" s="50">
        <f>VLOOKUP($A973,'[1]ma sp 02'!$A$5:$BD$1101,U$1,0)</f>
        <v>0</v>
      </c>
      <c r="V973" s="50">
        <f>VLOOKUP($A973,'[1]ma sp 02'!$A$5:$BD$1101,V$1,0)</f>
        <v>0</v>
      </c>
      <c r="W973" s="50">
        <f>VLOOKUP($A973,'[1]ma sp 02'!$A$5:$BD$1101,W$1,0)</f>
        <v>0</v>
      </c>
      <c r="X973" s="50"/>
      <c r="Y973" s="62"/>
      <c r="Z973" s="62"/>
      <c r="AA973" s="62"/>
      <c r="AB973" s="62"/>
      <c r="AC973" s="62"/>
      <c r="AD973" s="62"/>
      <c r="AE973" s="62" t="s">
        <v>1526</v>
      </c>
      <c r="AF973" s="62"/>
      <c r="AG973" s="53">
        <f>(0.02*0.91+0.025*0.91)*0.955</f>
        <v>3.9107249999999996E-2</v>
      </c>
      <c r="AH973" s="54">
        <f>(2/0.75/2)*0.955</f>
        <v>1.2733333333333332</v>
      </c>
      <c r="AI973" s="54"/>
      <c r="AJ973" s="192">
        <v>9530</v>
      </c>
      <c r="AK973" s="62"/>
      <c r="AL973" s="62">
        <v>2E-3</v>
      </c>
      <c r="AM973" s="61" t="s">
        <v>1489</v>
      </c>
      <c r="AN973" s="62">
        <v>107</v>
      </c>
      <c r="AO973" s="61" t="s">
        <v>2158</v>
      </c>
      <c r="AP973" s="59" t="str">
        <f>IFERROR(VLOOKUP($A973,[2]Mssp!$A$5:$BE$1463,AP$4+1,0),0)</f>
        <v>21101146-1</v>
      </c>
      <c r="AQ973" s="59" t="str">
        <f>IFERROR(VLOOKUP($A973,[2]Mssp!$A$5:$BE$1463,AQ$4+1,0),0)</f>
        <v>21101146-2</v>
      </c>
      <c r="AR973" s="59">
        <f>IFERROR(VLOOKUP($A973,[2]Mssp!$A$5:$BE$1463,AR$4+1,0),0)</f>
        <v>0</v>
      </c>
      <c r="AS973" s="59">
        <f>IFERROR(VLOOKUP($A973,[2]Mssp!$A$5:$BE$1463,AS$4+1,0),0)</f>
        <v>0</v>
      </c>
      <c r="AT973" s="59">
        <f>IFERROR(VLOOKUP($A973,[2]Mssp!$A$5:$BE$1463,AT$4+1,0),0)</f>
        <v>0</v>
      </c>
      <c r="AU973" s="59">
        <f>IFERROR(VLOOKUP($A973,[2]Mssp!$A$5:$BE$1463,AU$4+1,0),0)</f>
        <v>0</v>
      </c>
      <c r="AV973" s="59">
        <f>IFERROR(VLOOKUP($A973,[2]Mssp!$A$5:$BE$1463,AV$4+1,0),0)</f>
        <v>0</v>
      </c>
      <c r="AW973" s="59">
        <f>IFERROR(VLOOKUP($A973,[2]Mssp!$A$5:$BE$1463,AW$4+1,0),0)</f>
        <v>0</v>
      </c>
      <c r="AX973" s="59">
        <f>IFERROR(VLOOKUP($A973,[2]Mssp!$A$5:$BE$1463,AX$4+1,0),0)</f>
        <v>0</v>
      </c>
      <c r="AY973" s="59" t="str">
        <f>IFERROR(VLOOKUP($A973,[2]Mssp!$A$5:$BE$1463,AY$4+2,0),0)</f>
        <v>428x1100</v>
      </c>
      <c r="AZ973" s="59">
        <f>IFERROR(VLOOKUP($A973,[2]Mssp!$A$5:$BE$1463,AZ$4+2,0),0)</f>
        <v>0</v>
      </c>
      <c r="BA973" s="141" t="s">
        <v>1418</v>
      </c>
      <c r="BB973" s="61" t="s">
        <v>1894</v>
      </c>
      <c r="BC973" s="165"/>
      <c r="BD973" s="166"/>
      <c r="BE973" s="167"/>
      <c r="BF973" s="168"/>
      <c r="BG973" s="167"/>
      <c r="BH973" s="168"/>
      <c r="BI973" s="169"/>
      <c r="BJ973" s="168"/>
      <c r="BK973" s="134"/>
      <c r="BL973" s="168"/>
      <c r="BM973" s="167"/>
      <c r="BN973" s="168"/>
      <c r="BO973" s="62"/>
      <c r="BP973" s="168"/>
      <c r="BQ973" s="168"/>
      <c r="BR973" s="168"/>
      <c r="BS973" s="135"/>
      <c r="BT973" s="176"/>
      <c r="BU973" s="167"/>
      <c r="BV973" s="168"/>
      <c r="BW973" s="167"/>
      <c r="BX973" s="168"/>
      <c r="BY973" s="167"/>
      <c r="BZ973" s="176"/>
      <c r="CA973" s="167"/>
      <c r="CB973" s="168"/>
      <c r="CC973" s="167"/>
      <c r="CD973" s="168"/>
      <c r="CE973" s="62"/>
      <c r="CF973" s="62"/>
      <c r="CG973" s="9"/>
      <c r="CH973" s="9"/>
      <c r="CI973" s="9"/>
      <c r="CJ973" s="9"/>
      <c r="CK973" s="9"/>
      <c r="CL973" s="9"/>
      <c r="CM973" s="9"/>
      <c r="CN973" s="9"/>
      <c r="CO973" s="9"/>
      <c r="CP973" s="9"/>
    </row>
    <row r="974" spans="1:94" ht="30" x14ac:dyDescent="0.25">
      <c r="A974" s="127" t="s">
        <v>3102</v>
      </c>
      <c r="B974" s="51" t="s">
        <v>3103</v>
      </c>
      <c r="C974" s="62"/>
      <c r="D974" s="84"/>
      <c r="E974" s="62" t="s">
        <v>1036</v>
      </c>
      <c r="F974" s="62"/>
      <c r="G974" s="62"/>
      <c r="H974" s="50">
        <f>VLOOKUP($A974,'[1]ma sp 02'!$A$5:$BD$1101,H$1,0)</f>
        <v>0</v>
      </c>
      <c r="I974" s="50">
        <f>VLOOKUP($A974,'[1]ma sp 02'!$A$5:$BD$1101,I$1,0)</f>
        <v>0</v>
      </c>
      <c r="J974" s="50">
        <f>VLOOKUP($A974,'[1]ma sp 02'!$A$5:$BD$1101,J$1,0)</f>
        <v>0</v>
      </c>
      <c r="K974" s="50">
        <f>VLOOKUP($A974,'[1]ma sp 02'!$A$5:$BD$1101,K$1,0)</f>
        <v>0</v>
      </c>
      <c r="L974" s="50">
        <f>VLOOKUP($A974,'[1]ma sp 02'!$A$5:$BD$1101,L$1,0)</f>
        <v>0</v>
      </c>
      <c r="M974" s="50">
        <f>VLOOKUP($A974,'[1]ma sp 02'!$A$5:$BD$1101,M$1,0)</f>
        <v>0</v>
      </c>
      <c r="N974" s="50">
        <f>VLOOKUP($A974,'[1]ma sp 02'!$A$5:$BD$1101,N$1,0)</f>
        <v>0</v>
      </c>
      <c r="O974" s="50">
        <f>VLOOKUP($A974,'[1]ma sp 02'!$A$5:$BD$1101,O$1,0)</f>
        <v>0</v>
      </c>
      <c r="P974" s="50">
        <f>VLOOKUP($A974,'[1]ma sp 02'!$A$5:$BD$1101,P$1,0)</f>
        <v>0</v>
      </c>
      <c r="Q974" s="50">
        <f>VLOOKUP($A974,'[1]ma sp 02'!$A$5:$BD$1101,Q$1,0)</f>
        <v>0</v>
      </c>
      <c r="R974" s="50">
        <f>VLOOKUP($A974,'[1]ma sp 02'!$A$5:$BD$1101,R$1,0)</f>
        <v>0</v>
      </c>
      <c r="S974" s="50">
        <f>VLOOKUP($A974,'[1]ma sp 02'!$A$5:$BD$1101,S$1,0)</f>
        <v>0</v>
      </c>
      <c r="T974" s="50">
        <f>VLOOKUP($A974,'[1]ma sp 02'!$A$5:$BD$1101,T$1,0)</f>
        <v>0</v>
      </c>
      <c r="U974" s="50">
        <f>VLOOKUP($A974,'[1]ma sp 02'!$A$5:$BD$1101,U$1,0)</f>
        <v>0</v>
      </c>
      <c r="V974" s="50">
        <f>VLOOKUP($A974,'[1]ma sp 02'!$A$5:$BD$1101,V$1,0)</f>
        <v>0</v>
      </c>
      <c r="W974" s="50">
        <f>VLOOKUP($A974,'[1]ma sp 02'!$A$5:$BD$1101,W$1,0)</f>
        <v>0</v>
      </c>
      <c r="X974" s="50"/>
      <c r="Y974" s="62"/>
      <c r="Z974" s="62"/>
      <c r="AA974" s="62"/>
      <c r="AB974" s="62"/>
      <c r="AC974" s="62"/>
      <c r="AD974" s="62"/>
      <c r="AE974" s="62" t="s">
        <v>3104</v>
      </c>
      <c r="AF974" s="62"/>
      <c r="AG974" s="53">
        <f>(0.015*0.91+0.065*0.925)*0.998</f>
        <v>7.3627450000000011E-2</v>
      </c>
      <c r="AH974" s="54">
        <f>(2/0.75/2)*0.998</f>
        <v>1.3306666666666667</v>
      </c>
      <c r="AI974" s="54"/>
      <c r="AJ974" s="192" t="s">
        <v>1881</v>
      </c>
      <c r="AK974" s="62"/>
      <c r="AL974" s="62">
        <v>1.1999999999999999E-3</v>
      </c>
      <c r="AM974" s="61" t="s">
        <v>74</v>
      </c>
      <c r="AN974" s="62">
        <v>250</v>
      </c>
      <c r="AO974" s="61" t="s">
        <v>2589</v>
      </c>
      <c r="AP974" s="59">
        <f>IFERROR(VLOOKUP($A974,[2]Mssp!$A$5:$BE$1463,AP$4+1,0),0)</f>
        <v>0</v>
      </c>
      <c r="AQ974" s="59">
        <f>IFERROR(VLOOKUP($A974,[2]Mssp!$A$5:$BE$1463,AQ$4+1,0),0)</f>
        <v>0</v>
      </c>
      <c r="AR974" s="59">
        <f>IFERROR(VLOOKUP($A974,[2]Mssp!$A$5:$BE$1463,AR$4+1,0),0)</f>
        <v>0</v>
      </c>
      <c r="AS974" s="59">
        <f>IFERROR(VLOOKUP($A974,[2]Mssp!$A$5:$BE$1463,AS$4+1,0),0)</f>
        <v>0</v>
      </c>
      <c r="AT974" s="59">
        <f>IFERROR(VLOOKUP($A974,[2]Mssp!$A$5:$BE$1463,AT$4+1,0),0)</f>
        <v>0</v>
      </c>
      <c r="AU974" s="59">
        <f>IFERROR(VLOOKUP($A974,[2]Mssp!$A$5:$BE$1463,AU$4+1,0),0)</f>
        <v>0</v>
      </c>
      <c r="AV974" s="59">
        <f>IFERROR(VLOOKUP($A974,[2]Mssp!$A$5:$BE$1463,AV$4+1,0),0)</f>
        <v>0</v>
      </c>
      <c r="AW974" s="59">
        <f>IFERROR(VLOOKUP($A974,[2]Mssp!$A$5:$BE$1463,AW$4+1,0),0)</f>
        <v>0</v>
      </c>
      <c r="AX974" s="59">
        <f>IFERROR(VLOOKUP($A974,[2]Mssp!$A$5:$BE$1463,AX$4+1,0),0)</f>
        <v>0</v>
      </c>
      <c r="AY974" s="59">
        <f>IFERROR(VLOOKUP($A974,[2]Mssp!$A$5:$BE$1463,AY$4+2,0),0)</f>
        <v>0</v>
      </c>
      <c r="AZ974" s="59">
        <f>IFERROR(VLOOKUP($A974,[2]Mssp!$A$5:$BE$1463,AZ$4+2,0),0)</f>
        <v>0</v>
      </c>
      <c r="BA974" s="141" t="s">
        <v>3105</v>
      </c>
      <c r="BB974" s="61" t="s">
        <v>1894</v>
      </c>
      <c r="BC974" s="165"/>
      <c r="BD974" s="166"/>
      <c r="BE974" s="167"/>
      <c r="BF974" s="168"/>
      <c r="BG974" s="167"/>
      <c r="BH974" s="168"/>
      <c r="BI974" s="169"/>
      <c r="BJ974" s="168"/>
      <c r="BK974" s="134"/>
      <c r="BL974" s="168"/>
      <c r="BM974" s="167"/>
      <c r="BN974" s="168"/>
      <c r="BO974" s="62"/>
      <c r="BP974" s="168"/>
      <c r="BQ974" s="168"/>
      <c r="BR974" s="168"/>
      <c r="BS974" s="135"/>
      <c r="BT974" s="176"/>
      <c r="BU974" s="167"/>
      <c r="BV974" s="168"/>
      <c r="BW974" s="167"/>
      <c r="BX974" s="168"/>
      <c r="BY974" s="167"/>
      <c r="BZ974" s="176"/>
      <c r="CA974" s="167"/>
      <c r="CB974" s="168"/>
      <c r="CC974" s="167"/>
      <c r="CD974" s="168"/>
      <c r="CE974" s="62"/>
      <c r="CF974" s="62"/>
      <c r="CG974" s="9"/>
      <c r="CH974" s="9"/>
      <c r="CI974" s="9"/>
      <c r="CJ974" s="9"/>
      <c r="CK974" s="9"/>
      <c r="CL974" s="9"/>
      <c r="CM974" s="9"/>
      <c r="CN974" s="9"/>
      <c r="CO974" s="9"/>
      <c r="CP974" s="9"/>
    </row>
    <row r="975" spans="1:94" ht="30" x14ac:dyDescent="0.25">
      <c r="A975" s="127" t="s">
        <v>3106</v>
      </c>
      <c r="B975" s="51" t="s">
        <v>3107</v>
      </c>
      <c r="C975" s="62"/>
      <c r="D975" s="84">
        <v>1</v>
      </c>
      <c r="E975" s="62" t="s">
        <v>315</v>
      </c>
      <c r="F975" s="62">
        <v>5</v>
      </c>
      <c r="G975" s="62"/>
      <c r="H975" s="50">
        <f>VLOOKUP($A975,'[1]ma sp 02'!$A$5:$BD$1101,H$1,0)</f>
        <v>0</v>
      </c>
      <c r="I975" s="50">
        <f>VLOOKUP($A975,'[1]ma sp 02'!$A$5:$BD$1101,I$1,0)</f>
        <v>3.5710000000000002</v>
      </c>
      <c r="J975" s="50">
        <f>VLOOKUP($A975,'[1]ma sp 02'!$A$5:$BD$1101,J$1,0)</f>
        <v>0.98199999999999998</v>
      </c>
      <c r="K975" s="50">
        <f>VLOOKUP($A975,'[1]ma sp 02'!$A$5:$BD$1101,K$1,0)</f>
        <v>0</v>
      </c>
      <c r="L975" s="50">
        <f>VLOOKUP($A975,'[1]ma sp 02'!$A$5:$BD$1101,L$1,0)</f>
        <v>9.0180000000000007</v>
      </c>
      <c r="M975" s="50">
        <f>VLOOKUP($A975,'[1]ma sp 02'!$A$5:$BD$1101,M$1,0)</f>
        <v>2</v>
      </c>
      <c r="N975" s="50">
        <f>VLOOKUP($A975,'[1]ma sp 02'!$A$5:$BD$1101,N$1,0)</f>
        <v>0</v>
      </c>
      <c r="O975" s="50">
        <f>VLOOKUP($A975,'[1]ma sp 02'!$A$5:$BD$1101,O$1,0)</f>
        <v>0.01</v>
      </c>
      <c r="P975" s="50">
        <f>VLOOKUP($A975,'[1]ma sp 02'!$A$5:$BD$1101,P$1,0)</f>
        <v>0.53600000000000003</v>
      </c>
      <c r="Q975" s="50">
        <f>VLOOKUP($A975,'[1]ma sp 02'!$A$5:$BD$1101,Q$1,0)</f>
        <v>0</v>
      </c>
      <c r="R975" s="50">
        <f>VLOOKUP($A975,'[1]ma sp 02'!$A$5:$BD$1101,R$1,0)</f>
        <v>0</v>
      </c>
      <c r="S975" s="50">
        <f>VLOOKUP($A975,'[1]ma sp 02'!$A$5:$BD$1101,S$1,0)</f>
        <v>0</v>
      </c>
      <c r="T975" s="50">
        <f>VLOOKUP($A975,'[1]ma sp 02'!$A$5:$BD$1101,T$1,0)</f>
        <v>0</v>
      </c>
      <c r="U975" s="50">
        <f>VLOOKUP($A975,'[1]ma sp 02'!$A$5:$BD$1101,U$1,0)</f>
        <v>0</v>
      </c>
      <c r="V975" s="50">
        <f>VLOOKUP($A975,'[1]ma sp 02'!$A$5:$BD$1101,V$1,0)</f>
        <v>0</v>
      </c>
      <c r="W975" s="50">
        <f>VLOOKUP($A975,'[1]ma sp 02'!$A$5:$BD$1101,W$1,0)</f>
        <v>0</v>
      </c>
      <c r="X975" s="50"/>
      <c r="Y975" s="62"/>
      <c r="Z975" s="62"/>
      <c r="AA975" s="62"/>
      <c r="AB975" s="62"/>
      <c r="AC975" s="62"/>
      <c r="AD975" s="62"/>
      <c r="AE975" s="62" t="s">
        <v>2341</v>
      </c>
      <c r="AF975" s="62" t="s">
        <v>1758</v>
      </c>
      <c r="AG975" s="71">
        <f>(0.012*1.4+0.006*2.71+0.06*0.91)*0.82</f>
        <v>7.1881199999999992E-2</v>
      </c>
      <c r="AH975" s="153">
        <f>(2.3/0.75/2)*0.81</f>
        <v>1.242</v>
      </c>
      <c r="AI975" s="63">
        <f>(2.3/0.75/2)*0.81</f>
        <v>1.242</v>
      </c>
      <c r="AJ975" s="58">
        <v>9530</v>
      </c>
      <c r="AK975" s="58">
        <v>9530</v>
      </c>
      <c r="AL975" s="62" t="s">
        <v>1700</v>
      </c>
      <c r="AM975" s="61" t="s">
        <v>1489</v>
      </c>
      <c r="AN975" s="62">
        <v>150</v>
      </c>
      <c r="AO975" s="61" t="s">
        <v>1724</v>
      </c>
      <c r="AP975" s="59" t="str">
        <f>IFERROR(VLOOKUP($A975,[2]Mssp!$A$5:$BE$1463,AP$4+1,0),0)</f>
        <v>21110097-1</v>
      </c>
      <c r="AQ975" s="59" t="str">
        <f>IFERROR(VLOOKUP($A975,[2]Mssp!$A$5:$BE$1463,AQ$4+1,0),0)</f>
        <v>21110097-2</v>
      </c>
      <c r="AR975" s="59" t="str">
        <f>IFERROR(VLOOKUP($A975,[2]Mssp!$A$5:$BE$1463,AR$4+1,0),0)</f>
        <v>21110097-3</v>
      </c>
      <c r="AS975" s="59" t="str">
        <f>IFERROR(VLOOKUP($A975,[2]Mssp!$A$5:$BE$1463,AS$4+1,0),0)</f>
        <v>21110097-4</v>
      </c>
      <c r="AT975" s="59" t="str">
        <f>IFERROR(VLOOKUP($A975,[2]Mssp!$A$5:$BE$1463,AT$4+1,0),0)</f>
        <v>21110097-5</v>
      </c>
      <c r="AU975" s="59">
        <f>IFERROR(VLOOKUP($A975,[2]Mssp!$A$5:$BE$1463,AU$4+1,0),0)</f>
        <v>0</v>
      </c>
      <c r="AV975" s="59">
        <f>IFERROR(VLOOKUP($A975,[2]Mssp!$A$5:$BE$1463,AV$4+1,0),0)</f>
        <v>0</v>
      </c>
      <c r="AW975" s="59">
        <f>IFERROR(VLOOKUP($A975,[2]Mssp!$A$5:$BE$1463,AW$4+1,0),0)</f>
        <v>0</v>
      </c>
      <c r="AX975" s="59">
        <f>IFERROR(VLOOKUP($A975,[2]Mssp!$A$5:$BE$1463,AX$4+1,0),0)</f>
        <v>0</v>
      </c>
      <c r="AY975" s="59" t="str">
        <f>IFERROR(VLOOKUP($A975,[2]Mssp!$A$5:$BE$1463,AY$4+2,0),0)</f>
        <v>450x1100</v>
      </c>
      <c r="AZ975" s="59">
        <f>IFERROR(VLOOKUP($A975,[2]Mssp!$A$5:$BE$1463,AZ$4+2,0),0)</f>
        <v>0</v>
      </c>
      <c r="BA975" s="141" t="s">
        <v>1936</v>
      </c>
      <c r="BB975" s="61" t="s">
        <v>952</v>
      </c>
      <c r="BC975" s="165"/>
      <c r="BD975" s="166"/>
      <c r="BE975" s="167"/>
      <c r="BF975" s="168"/>
      <c r="BG975" s="167"/>
      <c r="BH975" s="168"/>
      <c r="BI975" s="169"/>
      <c r="BJ975" s="168"/>
      <c r="BK975" s="134"/>
      <c r="BL975" s="168"/>
      <c r="BM975" s="167"/>
      <c r="BN975" s="168"/>
      <c r="BO975" s="62"/>
      <c r="BP975" s="168"/>
      <c r="BQ975" s="168"/>
      <c r="BR975" s="168"/>
      <c r="BS975" s="135"/>
      <c r="BT975" s="176"/>
      <c r="BU975" s="167"/>
      <c r="BV975" s="168"/>
      <c r="BW975" s="167"/>
      <c r="BX975" s="168"/>
      <c r="BY975" s="167"/>
      <c r="BZ975" s="176"/>
      <c r="CA975" s="167"/>
      <c r="CB975" s="168"/>
      <c r="CC975" s="167"/>
      <c r="CD975" s="168"/>
      <c r="CE975" s="62"/>
      <c r="CF975" s="62"/>
      <c r="CG975" s="9"/>
      <c r="CH975" s="9"/>
      <c r="CI975" s="9"/>
      <c r="CJ975" s="9"/>
      <c r="CK975" s="9"/>
      <c r="CL975" s="9"/>
      <c r="CM975" s="9"/>
      <c r="CN975" s="9"/>
      <c r="CO975" s="9"/>
      <c r="CP975" s="9"/>
    </row>
    <row r="976" spans="1:94" x14ac:dyDescent="0.25">
      <c r="A976" s="127" t="s">
        <v>3108</v>
      </c>
      <c r="B976" s="51" t="s">
        <v>3109</v>
      </c>
      <c r="C976" s="62"/>
      <c r="D976" s="84">
        <v>2</v>
      </c>
      <c r="E976" s="62" t="s">
        <v>1768</v>
      </c>
      <c r="F976" s="62">
        <v>6</v>
      </c>
      <c r="G976" s="62"/>
      <c r="H976" s="50">
        <f>VLOOKUP($A976,'[1]ma sp 02'!$A$5:$BD$1101,H$1,0)</f>
        <v>3.488</v>
      </c>
      <c r="I976" s="50">
        <f>VLOOKUP($A976,'[1]ma sp 02'!$A$5:$BD$1101,I$1,0)</f>
        <v>2.6539999999999999</v>
      </c>
      <c r="J976" s="50">
        <f>VLOOKUP($A976,'[1]ma sp 02'!$A$5:$BD$1101,J$1,0)</f>
        <v>0.30299999999999999</v>
      </c>
      <c r="K976" s="50">
        <f>VLOOKUP($A976,'[1]ma sp 02'!$A$5:$BD$1101,K$1,0)</f>
        <v>0.30299999999999999</v>
      </c>
      <c r="L976" s="50">
        <f>VLOOKUP($A976,'[1]ma sp 02'!$A$5:$BD$1101,L$1,0)</f>
        <v>0</v>
      </c>
      <c r="M976" s="50">
        <f>VLOOKUP($A976,'[1]ma sp 02'!$A$5:$BD$1101,M$1,0)</f>
        <v>1.365</v>
      </c>
      <c r="N976" s="50">
        <f>VLOOKUP($A976,'[1]ma sp 02'!$A$5:$BD$1101,N$1,0)</f>
        <v>0</v>
      </c>
      <c r="O976" s="50">
        <f>VLOOKUP($A976,'[1]ma sp 02'!$A$5:$BD$1101,O$1,0)</f>
        <v>0</v>
      </c>
      <c r="P976" s="50">
        <f>VLOOKUP($A976,'[1]ma sp 02'!$A$5:$BD$1101,P$1,0)</f>
        <v>0</v>
      </c>
      <c r="Q976" s="50">
        <f>VLOOKUP($A976,'[1]ma sp 02'!$A$5:$BD$1101,Q$1,0)</f>
        <v>0</v>
      </c>
      <c r="R976" s="50">
        <f>VLOOKUP($A976,'[1]ma sp 02'!$A$5:$BD$1101,R$1,0)</f>
        <v>0</v>
      </c>
      <c r="S976" s="50">
        <f>VLOOKUP($A976,'[1]ma sp 02'!$A$5:$BD$1101,S$1,0)</f>
        <v>0</v>
      </c>
      <c r="T976" s="50">
        <f>VLOOKUP($A976,'[1]ma sp 02'!$A$5:$BD$1101,T$1,0)</f>
        <v>0</v>
      </c>
      <c r="U976" s="50">
        <f>VLOOKUP($A976,'[1]ma sp 02'!$A$5:$BD$1101,U$1,0)</f>
        <v>0</v>
      </c>
      <c r="V976" s="50">
        <f>VLOOKUP($A976,'[1]ma sp 02'!$A$5:$BD$1101,V$1,0)</f>
        <v>0</v>
      </c>
      <c r="W976" s="50">
        <f>VLOOKUP($A976,'[1]ma sp 02'!$A$5:$BD$1101,W$1,0)</f>
        <v>0</v>
      </c>
      <c r="X976" s="50"/>
      <c r="Y976" s="62"/>
      <c r="Z976" s="62"/>
      <c r="AA976" s="62"/>
      <c r="AB976" s="62"/>
      <c r="AC976" s="62"/>
      <c r="AD976" s="62"/>
      <c r="AE976" s="62" t="s">
        <v>2646</v>
      </c>
      <c r="AF976" s="62"/>
      <c r="AG976" s="71">
        <f>(0.02*0.91+0.055*0.91)*0.85</f>
        <v>5.8012500000000002E-2</v>
      </c>
      <c r="AH976" s="153">
        <f>(2/0.75/2)*0.85</f>
        <v>1.1333333333333333</v>
      </c>
      <c r="AI976" s="54"/>
      <c r="AJ976" s="58">
        <v>9530</v>
      </c>
      <c r="AK976" s="62"/>
      <c r="AL976" s="62">
        <v>2E-3</v>
      </c>
      <c r="AM976" s="61" t="s">
        <v>1489</v>
      </c>
      <c r="AN976" s="62">
        <v>237</v>
      </c>
      <c r="AO976" s="61" t="s">
        <v>180</v>
      </c>
      <c r="AP976" s="59" t="str">
        <f>IFERROR(VLOOKUP($A976,[2]Mssp!$A$5:$BE$1463,AP$4+1,0),0)</f>
        <v>21110161-1</v>
      </c>
      <c r="AQ976" s="59" t="str">
        <f>IFERROR(VLOOKUP($A976,[2]Mssp!$A$5:$BE$1463,AQ$4+1,0),0)</f>
        <v>21110161-2</v>
      </c>
      <c r="AR976" s="59" t="str">
        <f>IFERROR(VLOOKUP($A976,[2]Mssp!$A$5:$BE$1463,AR$4+1,0),0)</f>
        <v>21110161-3</v>
      </c>
      <c r="AS976" s="59" t="str">
        <f>IFERROR(VLOOKUP($A976,[2]Mssp!$A$5:$BE$1463,AS$4+1,0),0)</f>
        <v>21110161-4</v>
      </c>
      <c r="AT976" s="59" t="str">
        <f>IFERROR(VLOOKUP($A976,[2]Mssp!$A$5:$BE$1463,AT$4+1,0),0)</f>
        <v>21110161-5</v>
      </c>
      <c r="AU976" s="59" t="str">
        <f>IFERROR(VLOOKUP($A976,[2]Mssp!$A$5:$BE$1463,AU$4+1,0),0)</f>
        <v>21110161-6</v>
      </c>
      <c r="AV976" s="59">
        <f>IFERROR(VLOOKUP($A976,[2]Mssp!$A$5:$BE$1463,AV$4+1,0),0)</f>
        <v>0</v>
      </c>
      <c r="AW976" s="59">
        <f>IFERROR(VLOOKUP($A976,[2]Mssp!$A$5:$BE$1463,AW$4+1,0),0)</f>
        <v>0</v>
      </c>
      <c r="AX976" s="59">
        <f>IFERROR(VLOOKUP($A976,[2]Mssp!$A$5:$BE$1463,AX$4+1,0),0)</f>
        <v>0</v>
      </c>
      <c r="AY976" s="59" t="str">
        <f>IFERROR(VLOOKUP($A976,[2]Mssp!$A$5:$BE$1463,AY$4+2,0),0)</f>
        <v>474x1100</v>
      </c>
      <c r="AZ976" s="59">
        <f>IFERROR(VLOOKUP($A976,[2]Mssp!$A$5:$BE$1463,AZ$4+2,0),0)</f>
        <v>0</v>
      </c>
      <c r="BA976" s="141"/>
      <c r="BB976" s="61"/>
      <c r="BC976" s="165"/>
      <c r="BD976" s="166"/>
      <c r="BE976" s="167"/>
      <c r="BF976" s="168"/>
      <c r="BG976" s="167"/>
      <c r="BH976" s="168"/>
      <c r="BI976" s="169"/>
      <c r="BJ976" s="168"/>
      <c r="BK976" s="134"/>
      <c r="BL976" s="168"/>
      <c r="BM976" s="167"/>
      <c r="BN976" s="168"/>
      <c r="BO976" s="62"/>
      <c r="BP976" s="168"/>
      <c r="BQ976" s="168"/>
      <c r="BR976" s="168"/>
      <c r="BS976" s="135"/>
      <c r="BT976" s="176"/>
      <c r="BU976" s="167"/>
      <c r="BV976" s="168"/>
      <c r="BW976" s="167"/>
      <c r="BX976" s="168"/>
      <c r="BY976" s="167"/>
      <c r="BZ976" s="176"/>
      <c r="CA976" s="167"/>
      <c r="CB976" s="168"/>
      <c r="CC976" s="167"/>
      <c r="CD976" s="168"/>
      <c r="CE976" s="62"/>
      <c r="CF976" s="62"/>
      <c r="CG976" s="9"/>
      <c r="CH976" s="9"/>
      <c r="CI976" s="9"/>
      <c r="CJ976" s="9"/>
      <c r="CK976" s="9"/>
      <c r="CL976" s="9"/>
      <c r="CM976" s="9"/>
      <c r="CN976" s="9"/>
      <c r="CO976" s="9"/>
      <c r="CP976" s="9"/>
    </row>
    <row r="977" spans="1:94" ht="30" x14ac:dyDescent="0.25">
      <c r="A977" s="127" t="s">
        <v>3110</v>
      </c>
      <c r="B977" s="51" t="s">
        <v>3111</v>
      </c>
      <c r="C977" s="62"/>
      <c r="D977" s="84">
        <v>3</v>
      </c>
      <c r="E977" s="62" t="s">
        <v>351</v>
      </c>
      <c r="F977" s="62">
        <v>1</v>
      </c>
      <c r="G977" s="62"/>
      <c r="H977" s="50">
        <f>VLOOKUP($A977,'[1]ma sp 02'!$A$5:$BD$1101,H$1,0)</f>
        <v>0</v>
      </c>
      <c r="I977" s="50">
        <f>VLOOKUP($A977,'[1]ma sp 02'!$A$5:$BD$1101,I$1,0)</f>
        <v>0</v>
      </c>
      <c r="J977" s="50">
        <f>VLOOKUP($A977,'[1]ma sp 02'!$A$5:$BD$1101,J$1,0)</f>
        <v>0</v>
      </c>
      <c r="K977" s="50">
        <f>VLOOKUP($A977,'[1]ma sp 02'!$A$5:$BD$1101,K$1,0)</f>
        <v>0</v>
      </c>
      <c r="L977" s="50">
        <f>VLOOKUP($A977,'[1]ma sp 02'!$A$5:$BD$1101,L$1,0)</f>
        <v>0.91</v>
      </c>
      <c r="M977" s="50">
        <f>VLOOKUP($A977,'[1]ma sp 02'!$A$5:$BD$1101,M$1,0)</f>
        <v>0</v>
      </c>
      <c r="N977" s="50">
        <f>VLOOKUP($A977,'[1]ma sp 02'!$A$5:$BD$1101,N$1,0)</f>
        <v>0</v>
      </c>
      <c r="O977" s="50">
        <f>VLOOKUP($A977,'[1]ma sp 02'!$A$5:$BD$1101,O$1,0)</f>
        <v>0.01</v>
      </c>
      <c r="P977" s="50">
        <f>VLOOKUP($A977,'[1]ma sp 02'!$A$5:$BD$1101,P$1,0)</f>
        <v>0.01</v>
      </c>
      <c r="Q977" s="50">
        <f>VLOOKUP($A977,'[1]ma sp 02'!$A$5:$BD$1101,Q$1,0)</f>
        <v>0</v>
      </c>
      <c r="R977" s="50">
        <f>VLOOKUP($A977,'[1]ma sp 02'!$A$5:$BD$1101,R$1,0)</f>
        <v>0</v>
      </c>
      <c r="S977" s="50">
        <f>VLOOKUP($A977,'[1]ma sp 02'!$A$5:$BD$1101,S$1,0)</f>
        <v>0</v>
      </c>
      <c r="T977" s="50">
        <f>VLOOKUP($A977,'[1]ma sp 02'!$A$5:$BD$1101,T$1,0)</f>
        <v>0</v>
      </c>
      <c r="U977" s="50">
        <f>VLOOKUP($A977,'[1]ma sp 02'!$A$5:$BD$1101,U$1,0)</f>
        <v>0</v>
      </c>
      <c r="V977" s="50">
        <f>VLOOKUP($A977,'[1]ma sp 02'!$A$5:$BD$1101,V$1,0)</f>
        <v>0</v>
      </c>
      <c r="W977" s="50">
        <f>VLOOKUP($A977,'[1]ma sp 02'!$A$5:$BD$1101,W$1,0)</f>
        <v>0</v>
      </c>
      <c r="X977" s="50"/>
      <c r="Y977" s="62"/>
      <c r="Z977" s="62"/>
      <c r="AA977" s="62"/>
      <c r="AB977" s="62"/>
      <c r="AC977" s="62"/>
      <c r="AD977" s="62"/>
      <c r="AE977" s="62" t="s">
        <v>1797</v>
      </c>
      <c r="AF977" s="62" t="s">
        <v>2022</v>
      </c>
      <c r="AG977" s="71">
        <f>(0.012*1.4+0.006*2.71+0.12*0.925)*0.79</f>
        <v>0.1138074</v>
      </c>
      <c r="AH977" s="153">
        <f>(3/0.75/2)*0.79</f>
        <v>1.58</v>
      </c>
      <c r="AI977" s="153">
        <f>(3/0.75/2)*0.79</f>
        <v>1.58</v>
      </c>
      <c r="AJ977" s="58">
        <v>9530</v>
      </c>
      <c r="AK977" s="58">
        <v>9530</v>
      </c>
      <c r="AL977" s="62" t="s">
        <v>3112</v>
      </c>
      <c r="AM977" s="61" t="s">
        <v>74</v>
      </c>
      <c r="AN977" s="62">
        <v>90</v>
      </c>
      <c r="AO977" s="61" t="s">
        <v>3113</v>
      </c>
      <c r="AP977" s="59" t="str">
        <f>IFERROR(VLOOKUP($A977,[2]Mssp!$A$5:$BE$1463,AP$4+1,0),0)</f>
        <v>21110393-1</v>
      </c>
      <c r="AQ977" s="59">
        <f>IFERROR(VLOOKUP($A977,[2]Mssp!$A$5:$BE$1463,AQ$4+1,0),0)</f>
        <v>0</v>
      </c>
      <c r="AR977" s="59">
        <f>IFERROR(VLOOKUP($A977,[2]Mssp!$A$5:$BE$1463,AR$4+1,0),0)</f>
        <v>0</v>
      </c>
      <c r="AS977" s="59">
        <f>IFERROR(VLOOKUP($A977,[2]Mssp!$A$5:$BE$1463,AS$4+1,0),0)</f>
        <v>0</v>
      </c>
      <c r="AT977" s="59">
        <f>IFERROR(VLOOKUP($A977,[2]Mssp!$A$5:$BE$1463,AT$4+1,0),0)</f>
        <v>0</v>
      </c>
      <c r="AU977" s="59">
        <f>IFERROR(VLOOKUP($A977,[2]Mssp!$A$5:$BE$1463,AU$4+1,0),0)</f>
        <v>0</v>
      </c>
      <c r="AV977" s="59">
        <f>IFERROR(VLOOKUP($A977,[2]Mssp!$A$5:$BE$1463,AV$4+1,0),0)</f>
        <v>0</v>
      </c>
      <c r="AW977" s="59">
        <f>IFERROR(VLOOKUP($A977,[2]Mssp!$A$5:$BE$1463,AW$4+1,0),0)</f>
        <v>0</v>
      </c>
      <c r="AX977" s="59">
        <f>IFERROR(VLOOKUP($A977,[2]Mssp!$A$5:$BE$1463,AX$4+1,0),0)</f>
        <v>0</v>
      </c>
      <c r="AY977" s="59" t="str">
        <f>IFERROR(VLOOKUP($A977,[2]Mssp!$A$5:$BE$1463,AY$4+2,0),0)</f>
        <v>450x870</v>
      </c>
      <c r="AZ977" s="59">
        <f>IFERROR(VLOOKUP($A977,[2]Mssp!$A$5:$BE$1463,AZ$4+2,0),0)</f>
        <v>0</v>
      </c>
      <c r="BA977" s="141"/>
      <c r="BB977" s="61"/>
      <c r="BC977" s="165"/>
      <c r="BD977" s="166"/>
      <c r="BE977" s="167"/>
      <c r="BF977" s="168"/>
      <c r="BG977" s="167"/>
      <c r="BH977" s="168"/>
      <c r="BI977" s="169"/>
      <c r="BJ977" s="168"/>
      <c r="BK977" s="134"/>
      <c r="BL977" s="168"/>
      <c r="BM977" s="167"/>
      <c r="BN977" s="168"/>
      <c r="BO977" s="62"/>
      <c r="BP977" s="168"/>
      <c r="BQ977" s="168"/>
      <c r="BR977" s="168"/>
      <c r="BS977" s="135"/>
      <c r="BT977" s="176"/>
      <c r="BU977" s="167"/>
      <c r="BV977" s="168"/>
      <c r="BW977" s="167"/>
      <c r="BX977" s="168"/>
      <c r="BY977" s="167"/>
      <c r="BZ977" s="176"/>
      <c r="CA977" s="167"/>
      <c r="CB977" s="168"/>
      <c r="CC977" s="167"/>
      <c r="CD977" s="168"/>
      <c r="CE977" s="62"/>
      <c r="CF977" s="62"/>
      <c r="CG977" s="9"/>
      <c r="CH977" s="9"/>
      <c r="CI977" s="9"/>
      <c r="CJ977" s="9"/>
      <c r="CK977" s="9"/>
      <c r="CL977" s="9"/>
      <c r="CM977" s="9"/>
      <c r="CN977" s="9"/>
      <c r="CO977" s="9"/>
      <c r="CP977" s="9"/>
    </row>
    <row r="978" spans="1:94" ht="60" x14ac:dyDescent="0.25">
      <c r="A978" s="127" t="s">
        <v>3114</v>
      </c>
      <c r="B978" s="51" t="s">
        <v>3115</v>
      </c>
      <c r="C978" s="62"/>
      <c r="D978" s="84">
        <v>2</v>
      </c>
      <c r="E978" s="62" t="s">
        <v>748</v>
      </c>
      <c r="F978" s="62">
        <v>7</v>
      </c>
      <c r="G978" s="62"/>
      <c r="H978" s="50">
        <f>VLOOKUP($A978,'[1]ma sp 02'!$A$5:$BD$1101,H$1,0)</f>
        <v>0.376</v>
      </c>
      <c r="I978" s="50">
        <f>VLOOKUP($A978,'[1]ma sp 02'!$A$5:$BD$1101,I$1,0)</f>
        <v>2.0659999999999998</v>
      </c>
      <c r="J978" s="50">
        <f>VLOOKUP($A978,'[1]ma sp 02'!$A$5:$BD$1101,J$1,0)</f>
        <v>0.84499999999999997</v>
      </c>
      <c r="K978" s="50">
        <f>VLOOKUP($A978,'[1]ma sp 02'!$A$5:$BD$1101,K$1,0)</f>
        <v>0.56299999999999994</v>
      </c>
      <c r="L978" s="50">
        <f>VLOOKUP($A978,'[1]ma sp 02'!$A$5:$BD$1101,L$1,0)</f>
        <v>1.54</v>
      </c>
      <c r="M978" s="50">
        <f>VLOOKUP($A978,'[1]ma sp 02'!$A$5:$BD$1101,M$1,0)</f>
        <v>2.8170000000000002</v>
      </c>
      <c r="N978" s="50">
        <f>VLOOKUP($A978,'[1]ma sp 02'!$A$5:$BD$1101,N$1,0)</f>
        <v>0</v>
      </c>
      <c r="O978" s="50">
        <f>VLOOKUP($A978,'[1]ma sp 02'!$A$5:$BD$1101,O$1,0)</f>
        <v>0.188</v>
      </c>
      <c r="P978" s="50">
        <f>VLOOKUP($A978,'[1]ma sp 02'!$A$5:$BD$1101,P$1,0)</f>
        <v>0</v>
      </c>
      <c r="Q978" s="50">
        <f>VLOOKUP($A978,'[1]ma sp 02'!$A$5:$BD$1101,Q$1,0)</f>
        <v>0</v>
      </c>
      <c r="R978" s="50">
        <f>VLOOKUP($A978,'[1]ma sp 02'!$A$5:$BD$1101,R$1,0)</f>
        <v>0</v>
      </c>
      <c r="S978" s="50">
        <f>VLOOKUP($A978,'[1]ma sp 02'!$A$5:$BD$1101,S$1,0)</f>
        <v>0</v>
      </c>
      <c r="T978" s="50">
        <f>VLOOKUP($A978,'[1]ma sp 02'!$A$5:$BD$1101,T$1,0)</f>
        <v>0</v>
      </c>
      <c r="U978" s="50">
        <f>VLOOKUP($A978,'[1]ma sp 02'!$A$5:$BD$1101,U$1,0)</f>
        <v>0</v>
      </c>
      <c r="V978" s="50">
        <f>VLOOKUP($A978,'[1]ma sp 02'!$A$5:$BD$1101,V$1,0)</f>
        <v>0</v>
      </c>
      <c r="W978" s="50">
        <f>VLOOKUP($A978,'[1]ma sp 02'!$A$5:$BD$1101,W$1,0)</f>
        <v>0</v>
      </c>
      <c r="X978" s="50"/>
      <c r="Y978" s="62"/>
      <c r="Z978" s="62"/>
      <c r="AA978" s="62"/>
      <c r="AB978" s="62"/>
      <c r="AC978" s="62"/>
      <c r="AD978" s="62"/>
      <c r="AE978" s="58" t="s">
        <v>749</v>
      </c>
      <c r="AF978" s="62"/>
      <c r="AG978" s="71">
        <f>(0.012*1.4+0.082*0.925)*0.9</f>
        <v>8.3385000000000001E-2</v>
      </c>
      <c r="AH978" s="63">
        <f>(2.3/0.75/2)*0.89</f>
        <v>1.3646666666666665</v>
      </c>
      <c r="AI978" s="63"/>
      <c r="AJ978" s="58">
        <v>9530</v>
      </c>
      <c r="AK978" s="57"/>
      <c r="AL978" s="58">
        <v>2.3E-3</v>
      </c>
      <c r="AM978" s="52" t="s">
        <v>1104</v>
      </c>
      <c r="AN978" s="58">
        <v>310</v>
      </c>
      <c r="AO978" s="52" t="s">
        <v>527</v>
      </c>
      <c r="AP978" s="59" t="str">
        <f>IFERROR(VLOOKUP($A978,[2]Mssp!$A$5:$BE$1463,AP$4+1,0),0)</f>
        <v>21110592-1</v>
      </c>
      <c r="AQ978" s="59" t="str">
        <f>IFERROR(VLOOKUP($A978,[2]Mssp!$A$5:$BE$1463,AQ$4+1,0),0)</f>
        <v>21110592-2</v>
      </c>
      <c r="AR978" s="59" t="str">
        <f>IFERROR(VLOOKUP($A978,[2]Mssp!$A$5:$BE$1463,AR$4+1,0),0)</f>
        <v>21110592-3</v>
      </c>
      <c r="AS978" s="59" t="str">
        <f>IFERROR(VLOOKUP($A978,[2]Mssp!$A$5:$BE$1463,AS$4+1,0),0)</f>
        <v>21110592-4</v>
      </c>
      <c r="AT978" s="59" t="str">
        <f>IFERROR(VLOOKUP($A978,[2]Mssp!$A$5:$BE$1463,AT$4+1,0),0)</f>
        <v>21110592-5</v>
      </c>
      <c r="AU978" s="59" t="str">
        <f>IFERROR(VLOOKUP($A978,[2]Mssp!$A$5:$BE$1463,AU$4+1,0),0)</f>
        <v>21110592-6</v>
      </c>
      <c r="AV978" s="59" t="str">
        <f>IFERROR(VLOOKUP($A978,[2]Mssp!$A$5:$BE$1463,AV$4+1,0),0)</f>
        <v>21110592-7</v>
      </c>
      <c r="AW978" s="59">
        <f>IFERROR(VLOOKUP($A978,[2]Mssp!$A$5:$BE$1463,AW$4+1,0),0)</f>
        <v>0</v>
      </c>
      <c r="AX978" s="59">
        <f>IFERROR(VLOOKUP($A978,[2]Mssp!$A$5:$BE$1463,AX$4+1,0),0)</f>
        <v>0</v>
      </c>
      <c r="AY978" s="59" t="str">
        <f>IFERROR(VLOOKUP($A978,[2]Mssp!$A$5:$BE$1463,AY$4+2,0),0)</f>
        <v>620x1100</v>
      </c>
      <c r="AZ978" s="59">
        <f>IFERROR(VLOOKUP($A978,[2]Mssp!$A$5:$BE$1463,AZ$4+2,0),0)</f>
        <v>0</v>
      </c>
      <c r="BA978" s="141" t="s">
        <v>3116</v>
      </c>
      <c r="BB978" s="61" t="s">
        <v>235</v>
      </c>
      <c r="BC978" s="165"/>
      <c r="BD978" s="166"/>
      <c r="BE978" s="167"/>
      <c r="BF978" s="168"/>
      <c r="BG978" s="167"/>
      <c r="BH978" s="168"/>
      <c r="BI978" s="169"/>
      <c r="BJ978" s="168"/>
      <c r="BK978" s="134"/>
      <c r="BL978" s="168"/>
      <c r="BM978" s="167"/>
      <c r="BN978" s="168"/>
      <c r="BO978" s="62"/>
      <c r="BP978" s="168"/>
      <c r="BQ978" s="168"/>
      <c r="BR978" s="168"/>
      <c r="BS978" s="135"/>
      <c r="BT978" s="176"/>
      <c r="BU978" s="167"/>
      <c r="BV978" s="168"/>
      <c r="BW978" s="167"/>
      <c r="BX978" s="168"/>
      <c r="BY978" s="167"/>
      <c r="BZ978" s="176"/>
      <c r="CA978" s="167"/>
      <c r="CB978" s="168"/>
      <c r="CC978" s="167"/>
      <c r="CD978" s="168"/>
      <c r="CE978" s="62"/>
      <c r="CF978" s="62"/>
      <c r="CG978" s="9"/>
      <c r="CH978" s="9"/>
      <c r="CI978" s="9"/>
      <c r="CJ978" s="9"/>
      <c r="CK978" s="9"/>
      <c r="CL978" s="9"/>
      <c r="CM978" s="9"/>
      <c r="CN978" s="9"/>
      <c r="CO978" s="9"/>
      <c r="CP978" s="9"/>
    </row>
    <row r="979" spans="1:94" ht="30" x14ac:dyDescent="0.25">
      <c r="A979" s="127" t="s">
        <v>3117</v>
      </c>
      <c r="B979" s="51" t="s">
        <v>3118</v>
      </c>
      <c r="C979" s="62"/>
      <c r="D979" s="84">
        <v>1</v>
      </c>
      <c r="E979" s="62" t="s">
        <v>1107</v>
      </c>
      <c r="F979" s="62">
        <v>6</v>
      </c>
      <c r="G979" s="62"/>
      <c r="H979" s="50">
        <f>VLOOKUP($A979,'[1]ma sp 02'!$A$5:$BD$1101,H$1,0)</f>
        <v>0.316</v>
      </c>
      <c r="I979" s="50">
        <f>VLOOKUP($A979,'[1]ma sp 02'!$A$5:$BD$1101,I$1,0)</f>
        <v>0</v>
      </c>
      <c r="J979" s="50">
        <f>VLOOKUP($A979,'[1]ma sp 02'!$A$5:$BD$1101,J$1,0)</f>
        <v>0</v>
      </c>
      <c r="K979" s="50">
        <f>VLOOKUP($A979,'[1]ma sp 02'!$A$5:$BD$1101,K$1,0)</f>
        <v>1.8939999999999999</v>
      </c>
      <c r="L979" s="50">
        <f>VLOOKUP($A979,'[1]ma sp 02'!$A$5:$BD$1101,L$1,0)</f>
        <v>10.891</v>
      </c>
      <c r="M979" s="50">
        <f>VLOOKUP($A979,'[1]ma sp 02'!$A$5:$BD$1101,M$1,0)</f>
        <v>4.1040000000000001</v>
      </c>
      <c r="N979" s="50">
        <f>VLOOKUP($A979,'[1]ma sp 02'!$A$5:$BD$1101,N$1,0)</f>
        <v>0</v>
      </c>
      <c r="O979" s="50">
        <f>VLOOKUP($A979,'[1]ma sp 02'!$A$5:$BD$1101,O$1,0)</f>
        <v>0.01</v>
      </c>
      <c r="P979" s="50">
        <f>VLOOKUP($A979,'[1]ma sp 02'!$A$5:$BD$1101,P$1,0)</f>
        <v>3.157</v>
      </c>
      <c r="Q979" s="50">
        <f>VLOOKUP($A979,'[1]ma sp 02'!$A$5:$BD$1101,Q$1,0)</f>
        <v>0</v>
      </c>
      <c r="R979" s="50">
        <f>VLOOKUP($A979,'[1]ma sp 02'!$A$5:$BD$1101,R$1,0)</f>
        <v>0</v>
      </c>
      <c r="S979" s="50">
        <f>VLOOKUP($A979,'[1]ma sp 02'!$A$5:$BD$1101,S$1,0)</f>
        <v>0</v>
      </c>
      <c r="T979" s="50">
        <f>VLOOKUP($A979,'[1]ma sp 02'!$A$5:$BD$1101,T$1,0)</f>
        <v>0</v>
      </c>
      <c r="U979" s="50">
        <f>VLOOKUP($A979,'[1]ma sp 02'!$A$5:$BD$1101,U$1,0)</f>
        <v>0</v>
      </c>
      <c r="V979" s="50">
        <f>VLOOKUP($A979,'[1]ma sp 02'!$A$5:$BD$1101,V$1,0)</f>
        <v>0</v>
      </c>
      <c r="W979" s="50">
        <f>VLOOKUP($A979,'[1]ma sp 02'!$A$5:$BD$1101,W$1,0)</f>
        <v>0</v>
      </c>
      <c r="X979" s="50"/>
      <c r="Y979" s="62"/>
      <c r="Z979" s="62"/>
      <c r="AA979" s="62"/>
      <c r="AB979" s="62"/>
      <c r="AC979" s="62"/>
      <c r="AD979" s="62"/>
      <c r="AE979" s="62"/>
      <c r="AF979" s="62"/>
      <c r="AG979" s="71"/>
      <c r="AH979" s="153"/>
      <c r="AI979" s="153"/>
      <c r="AJ979" s="58"/>
      <c r="AK979" s="58"/>
      <c r="AL979" s="62"/>
      <c r="AM979" s="61"/>
      <c r="AN979" s="62"/>
      <c r="AO979" s="52" t="s">
        <v>527</v>
      </c>
      <c r="AP979" s="59" t="str">
        <f>IFERROR(VLOOKUP($A979,[2]Mssp!$A$5:$BE$1463,AP$4+1,0),0)</f>
        <v>21110591-1</v>
      </c>
      <c r="AQ979" s="59" t="str">
        <f>IFERROR(VLOOKUP($A979,[2]Mssp!$A$5:$BE$1463,AQ$4+1,0),0)</f>
        <v>21110591-2</v>
      </c>
      <c r="AR979" s="59" t="str">
        <f>IFERROR(VLOOKUP($A979,[2]Mssp!$A$5:$BE$1463,AR$4+1,0),0)</f>
        <v>21110591-3</v>
      </c>
      <c r="AS979" s="59" t="str">
        <f>IFERROR(VLOOKUP($A979,[2]Mssp!$A$5:$BE$1463,AS$4+1,0),0)</f>
        <v>21110591-4</v>
      </c>
      <c r="AT979" s="59" t="str">
        <f>IFERROR(VLOOKUP($A979,[2]Mssp!$A$5:$BE$1463,AT$4+1,0),0)</f>
        <v>21110591-5</v>
      </c>
      <c r="AU979" s="59" t="str">
        <f>IFERROR(VLOOKUP($A979,[2]Mssp!$A$5:$BE$1463,AU$4+1,0),0)</f>
        <v>21110591-6</v>
      </c>
      <c r="AV979" s="59">
        <f>IFERROR(VLOOKUP($A979,[2]Mssp!$A$5:$BE$1463,AV$4+1,0),0)</f>
        <v>0</v>
      </c>
      <c r="AW979" s="59">
        <f>IFERROR(VLOOKUP($A979,[2]Mssp!$A$5:$BE$1463,AW$4+1,0),0)</f>
        <v>0</v>
      </c>
      <c r="AX979" s="59">
        <f>IFERROR(VLOOKUP($A979,[2]Mssp!$A$5:$BE$1463,AX$4+1,0),0)</f>
        <v>0</v>
      </c>
      <c r="AY979" s="59" t="str">
        <f>IFERROR(VLOOKUP($A979,[2]Mssp!$A$5:$BE$1463,AY$4+2,0),0)</f>
        <v>850x1100</v>
      </c>
      <c r="AZ979" s="59">
        <f>IFERROR(VLOOKUP($A979,[2]Mssp!$A$5:$BE$1463,AZ$4+2,0),0)</f>
        <v>0</v>
      </c>
      <c r="BA979" s="141" t="s">
        <v>3119</v>
      </c>
      <c r="BB979" s="61" t="s">
        <v>3120</v>
      </c>
      <c r="BC979" s="165"/>
      <c r="BD979" s="166"/>
      <c r="BE979" s="167"/>
      <c r="BF979" s="168"/>
      <c r="BG979" s="167"/>
      <c r="BH979" s="168"/>
      <c r="BI979" s="169"/>
      <c r="BJ979" s="168"/>
      <c r="BK979" s="134"/>
      <c r="BL979" s="168"/>
      <c r="BM979" s="167"/>
      <c r="BN979" s="168"/>
      <c r="BO979" s="62"/>
      <c r="BP979" s="168"/>
      <c r="BQ979" s="168"/>
      <c r="BR979" s="168"/>
      <c r="BS979" s="135"/>
      <c r="BT979" s="176"/>
      <c r="BU979" s="167"/>
      <c r="BV979" s="168"/>
      <c r="BW979" s="167"/>
      <c r="BX979" s="168"/>
      <c r="BY979" s="167"/>
      <c r="BZ979" s="176"/>
      <c r="CA979" s="167"/>
      <c r="CB979" s="168"/>
      <c r="CC979" s="167"/>
      <c r="CD979" s="168"/>
      <c r="CE979" s="62"/>
      <c r="CF979" s="62"/>
      <c r="CG979" s="9"/>
      <c r="CH979" s="9"/>
      <c r="CI979" s="9"/>
      <c r="CJ979" s="9"/>
      <c r="CK979" s="9"/>
      <c r="CL979" s="9"/>
      <c r="CM979" s="9"/>
      <c r="CN979" s="9"/>
      <c r="CO979" s="9"/>
      <c r="CP979" s="9"/>
    </row>
    <row r="980" spans="1:94" ht="45" x14ac:dyDescent="0.25">
      <c r="A980" s="158" t="s">
        <v>3121</v>
      </c>
      <c r="B980" s="159" t="s">
        <v>3122</v>
      </c>
      <c r="C980" s="62"/>
      <c r="D980" s="84">
        <v>1</v>
      </c>
      <c r="E980" s="62" t="s">
        <v>712</v>
      </c>
      <c r="F980" s="62">
        <v>3</v>
      </c>
      <c r="G980" s="62"/>
      <c r="H980" s="50">
        <f>VLOOKUP($A980,'[1]ma sp 02'!$A$5:$BD$1101,H$1,0)</f>
        <v>0.01</v>
      </c>
      <c r="I980" s="50">
        <f>VLOOKUP($A980,'[1]ma sp 02'!$A$5:$BD$1101,I$1,0)</f>
        <v>4.8630000000000004</v>
      </c>
      <c r="J980" s="50">
        <f>VLOOKUP($A980,'[1]ma sp 02'!$A$5:$BD$1101,J$1,0)</f>
        <v>0.36</v>
      </c>
      <c r="K980" s="50">
        <f>VLOOKUP($A980,'[1]ma sp 02'!$A$5:$BD$1101,K$1,0)</f>
        <v>0</v>
      </c>
      <c r="L980" s="50">
        <f>VLOOKUP($A980,'[1]ma sp 02'!$A$5:$BD$1101,L$1,0)</f>
        <v>0</v>
      </c>
      <c r="M980" s="50">
        <f>VLOOKUP($A980,'[1]ma sp 02'!$A$5:$BD$1101,M$1,0)</f>
        <v>0</v>
      </c>
      <c r="N980" s="50">
        <f>VLOOKUP($A980,'[1]ma sp 02'!$A$5:$BD$1101,N$1,0)</f>
        <v>0</v>
      </c>
      <c r="O980" s="50">
        <f>VLOOKUP($A980,'[1]ma sp 02'!$A$5:$BD$1101,O$1,0)</f>
        <v>0</v>
      </c>
      <c r="P980" s="50">
        <f>VLOOKUP($A980,'[1]ma sp 02'!$A$5:$BD$1101,P$1,0)</f>
        <v>0</v>
      </c>
      <c r="Q980" s="50">
        <f>VLOOKUP($A980,'[1]ma sp 02'!$A$5:$BD$1101,Q$1,0)</f>
        <v>0</v>
      </c>
      <c r="R980" s="50">
        <f>VLOOKUP($A980,'[1]ma sp 02'!$A$5:$BD$1101,R$1,0)</f>
        <v>0</v>
      </c>
      <c r="S980" s="50">
        <f>VLOOKUP($A980,'[1]ma sp 02'!$A$5:$BD$1101,S$1,0)</f>
        <v>0</v>
      </c>
      <c r="T980" s="50">
        <f>VLOOKUP($A980,'[1]ma sp 02'!$A$5:$BD$1101,T$1,0)</f>
        <v>0</v>
      </c>
      <c r="U980" s="50">
        <f>VLOOKUP($A980,'[1]ma sp 02'!$A$5:$BD$1101,U$1,0)</f>
        <v>0</v>
      </c>
      <c r="V980" s="50">
        <f>VLOOKUP($A980,'[1]ma sp 02'!$A$5:$BD$1101,V$1,0)</f>
        <v>0</v>
      </c>
      <c r="W980" s="50">
        <f>VLOOKUP($A980,'[1]ma sp 02'!$A$5:$BD$1101,W$1,0)</f>
        <v>0.01</v>
      </c>
      <c r="X980" s="50"/>
      <c r="Y980" s="62"/>
      <c r="Z980" s="62"/>
      <c r="AA980" s="62"/>
      <c r="AB980" s="62"/>
      <c r="AC980" s="62"/>
      <c r="AD980" s="62"/>
      <c r="AE980" s="62" t="s">
        <v>3123</v>
      </c>
      <c r="AF980" s="62"/>
      <c r="AG980" s="53">
        <f>(0.02*0.91+0.035*0.91)*0.58</f>
        <v>2.9028999999999999E-2</v>
      </c>
      <c r="AH980" s="54">
        <f>(3/0.75/2)*0.57</f>
        <v>1.1399999999999999</v>
      </c>
      <c r="AI980" s="54"/>
      <c r="AJ980" s="192">
        <v>9530</v>
      </c>
      <c r="AK980" s="62"/>
      <c r="AL980" s="62">
        <v>3.0000000000000001E-3</v>
      </c>
      <c r="AM980" s="61" t="s">
        <v>2758</v>
      </c>
      <c r="AN980" s="62">
        <v>110</v>
      </c>
      <c r="AO980" s="61" t="s">
        <v>3124</v>
      </c>
      <c r="AP980" s="59" t="str">
        <f>IFERROR(VLOOKUP($A980,[2]Mssp!$A$5:$BE$1463,AP$4+1,0),0)</f>
        <v>HD32111058-1</v>
      </c>
      <c r="AQ980" s="59" t="str">
        <f>IFERROR(VLOOKUP($A980,[2]Mssp!$A$5:$BE$1463,AQ$4+1,0),0)</f>
        <v>HD32111058-2</v>
      </c>
      <c r="AR980" s="59" t="str">
        <f>IFERROR(VLOOKUP($A980,[2]Mssp!$A$5:$BE$1463,AR$4+1,0),0)</f>
        <v>HD32111058-3</v>
      </c>
      <c r="AS980" s="59">
        <f>IFERROR(VLOOKUP($A980,[2]Mssp!$A$5:$BE$1463,AS$4+1,0),0)</f>
        <v>0</v>
      </c>
      <c r="AT980" s="59">
        <f>IFERROR(VLOOKUP($A980,[2]Mssp!$A$5:$BE$1463,AT$4+1,0),0)</f>
        <v>0</v>
      </c>
      <c r="AU980" s="59">
        <f>IFERROR(VLOOKUP($A980,[2]Mssp!$A$5:$BE$1463,AU$4+1,0),0)</f>
        <v>0</v>
      </c>
      <c r="AV980" s="59">
        <f>IFERROR(VLOOKUP($A980,[2]Mssp!$A$5:$BE$1463,AV$4+1,0),0)</f>
        <v>0</v>
      </c>
      <c r="AW980" s="59">
        <f>IFERROR(VLOOKUP($A980,[2]Mssp!$A$5:$BE$1463,AW$4+1,0),0)</f>
        <v>0</v>
      </c>
      <c r="AX980" s="59">
        <f>IFERROR(VLOOKUP($A980,[2]Mssp!$A$5:$BE$1463,AX$4+1,0),0)</f>
        <v>0</v>
      </c>
      <c r="AY980" s="59" t="str">
        <f>IFERROR(VLOOKUP($A980,[2]Mssp!$A$5:$BE$1463,AY$4+2,0),0)</f>
        <v>480x870</v>
      </c>
      <c r="AZ980" s="59">
        <f>IFERROR(VLOOKUP($A980,[2]Mssp!$A$5:$BE$1463,AZ$4+2,0),0)</f>
        <v>0</v>
      </c>
      <c r="BA980" s="141"/>
      <c r="BB980" s="61" t="s">
        <v>1894</v>
      </c>
      <c r="BC980" s="165"/>
      <c r="BD980" s="166"/>
      <c r="BE980" s="167"/>
      <c r="BF980" s="168"/>
      <c r="BG980" s="167"/>
      <c r="BH980" s="168"/>
      <c r="BI980" s="169"/>
      <c r="BJ980" s="168"/>
      <c r="BK980" s="134"/>
      <c r="BL980" s="168"/>
      <c r="BM980" s="167"/>
      <c r="BN980" s="168"/>
      <c r="BO980" s="62"/>
      <c r="BP980" s="168"/>
      <c r="BQ980" s="168"/>
      <c r="BR980" s="168"/>
      <c r="BS980" s="135"/>
      <c r="BT980" s="176"/>
      <c r="BU980" s="167"/>
      <c r="BV980" s="168"/>
      <c r="BW980" s="167"/>
      <c r="BX980" s="168"/>
      <c r="BY980" s="167"/>
      <c r="BZ980" s="176"/>
      <c r="CA980" s="167"/>
      <c r="CB980" s="168"/>
      <c r="CC980" s="167"/>
      <c r="CD980" s="168"/>
      <c r="CE980" s="62"/>
      <c r="CF980" s="62"/>
      <c r="CG980" s="9"/>
      <c r="CH980" s="9"/>
      <c r="CI980" s="9"/>
      <c r="CJ980" s="9"/>
      <c r="CK980" s="9"/>
      <c r="CL980" s="9"/>
      <c r="CM980" s="9"/>
      <c r="CN980" s="9"/>
      <c r="CO980" s="9"/>
      <c r="CP980" s="9"/>
    </row>
    <row r="981" spans="1:94" ht="30" x14ac:dyDescent="0.25">
      <c r="A981" s="127" t="s">
        <v>3125</v>
      </c>
      <c r="B981" s="51" t="s">
        <v>3126</v>
      </c>
      <c r="C981" s="124"/>
      <c r="D981" s="84">
        <v>1</v>
      </c>
      <c r="E981" s="62" t="s">
        <v>2336</v>
      </c>
      <c r="F981" s="62">
        <v>2</v>
      </c>
      <c r="G981" s="62"/>
      <c r="H981" s="50">
        <f>VLOOKUP($A981,'[1]ma sp 02'!$A$5:$BD$1101,H$1,0)</f>
        <v>0.88400000000000001</v>
      </c>
      <c r="I981" s="50">
        <f>VLOOKUP($A981,'[1]ma sp 02'!$A$5:$BD$1101,I$1,0)</f>
        <v>0</v>
      </c>
      <c r="J981" s="50">
        <f>VLOOKUP($A981,'[1]ma sp 02'!$A$5:$BD$1101,J$1,0)</f>
        <v>0</v>
      </c>
      <c r="K981" s="50">
        <f>VLOOKUP($A981,'[1]ma sp 02'!$A$5:$BD$1101,K$1,0)</f>
        <v>1.9890000000000001</v>
      </c>
      <c r="L981" s="50">
        <f>VLOOKUP($A981,'[1]ma sp 02'!$A$5:$BD$1101,L$1,0)</f>
        <v>0.88400000000000001</v>
      </c>
      <c r="M981" s="50">
        <f>VLOOKUP($A981,'[1]ma sp 02'!$A$5:$BD$1101,M$1,0)</f>
        <v>0</v>
      </c>
      <c r="N981" s="50">
        <f>VLOOKUP($A981,'[1]ma sp 02'!$A$5:$BD$1101,N$1,0)</f>
        <v>0</v>
      </c>
      <c r="O981" s="50">
        <f>VLOOKUP($A981,'[1]ma sp 02'!$A$5:$BD$1101,O$1,0)</f>
        <v>0</v>
      </c>
      <c r="P981" s="50">
        <f>VLOOKUP($A981,'[1]ma sp 02'!$A$5:$BD$1101,P$1,0)</f>
        <v>0.01</v>
      </c>
      <c r="Q981" s="50">
        <f>VLOOKUP($A981,'[1]ma sp 02'!$A$5:$BD$1101,Q$1,0)</f>
        <v>0</v>
      </c>
      <c r="R981" s="50">
        <f>VLOOKUP($A981,'[1]ma sp 02'!$A$5:$BD$1101,R$1,0)</f>
        <v>0</v>
      </c>
      <c r="S981" s="50">
        <f>VLOOKUP($A981,'[1]ma sp 02'!$A$5:$BD$1101,S$1,0)</f>
        <v>0</v>
      </c>
      <c r="T981" s="50">
        <f>VLOOKUP($A981,'[1]ma sp 02'!$A$5:$BD$1101,T$1,0)</f>
        <v>0</v>
      </c>
      <c r="U981" s="50">
        <f>VLOOKUP($A981,'[1]ma sp 02'!$A$5:$BD$1101,U$1,0)</f>
        <v>0</v>
      </c>
      <c r="V981" s="50">
        <f>VLOOKUP($A981,'[1]ma sp 02'!$A$5:$BD$1101,V$1,0)</f>
        <v>0</v>
      </c>
      <c r="W981" s="50">
        <f>VLOOKUP($A981,'[1]ma sp 02'!$A$5:$BD$1101,W$1,0)</f>
        <v>0</v>
      </c>
      <c r="X981" s="50"/>
      <c r="Y981" s="62"/>
      <c r="Z981" s="62"/>
      <c r="AA981" s="62"/>
      <c r="AB981" s="62"/>
      <c r="AC981" s="62"/>
      <c r="AD981" s="62"/>
      <c r="AE981" s="62" t="s">
        <v>2337</v>
      </c>
      <c r="AF981" s="62"/>
      <c r="AG981" s="53">
        <f>(0.06*0.98+0.03*0.925)*1.22</f>
        <v>0.105591</v>
      </c>
      <c r="AH981" s="54">
        <f>(2/0.75/2)*1.21</f>
        <v>1.6133333333333333</v>
      </c>
      <c r="AI981" s="153"/>
      <c r="AJ981" s="192">
        <v>9530</v>
      </c>
      <c r="AK981" s="58"/>
      <c r="AL981" s="62">
        <v>2E-3</v>
      </c>
      <c r="AM981" s="61" t="s">
        <v>1489</v>
      </c>
      <c r="AN981" s="62">
        <v>600</v>
      </c>
      <c r="AO981" s="61" t="s">
        <v>1977</v>
      </c>
      <c r="AP981" s="59" t="str">
        <f>IFERROR(VLOOKUP($A981,[2]Mssp!$A$5:$BE$1463,AP$4+1,0),0)</f>
        <v>21110743-1</v>
      </c>
      <c r="AQ981" s="59" t="str">
        <f>IFERROR(VLOOKUP($A981,[2]Mssp!$A$5:$BE$1463,AQ$4+1,0),0)</f>
        <v>21110743-2</v>
      </c>
      <c r="AR981" s="59">
        <f>IFERROR(VLOOKUP($A981,[2]Mssp!$A$5:$BE$1463,AR$4+1,0),0)</f>
        <v>0</v>
      </c>
      <c r="AS981" s="59">
        <f>IFERROR(VLOOKUP($A981,[2]Mssp!$A$5:$BE$1463,AS$4+1,0),0)</f>
        <v>0</v>
      </c>
      <c r="AT981" s="59">
        <f>IFERROR(VLOOKUP($A981,[2]Mssp!$A$5:$BE$1463,AT$4+1,0),0)</f>
        <v>0</v>
      </c>
      <c r="AU981" s="59">
        <f>IFERROR(VLOOKUP($A981,[2]Mssp!$A$5:$BE$1463,AU$4+1,0),0)</f>
        <v>0</v>
      </c>
      <c r="AV981" s="59">
        <f>IFERROR(VLOOKUP($A981,[2]Mssp!$A$5:$BE$1463,AV$4+1,0),0)</f>
        <v>0</v>
      </c>
      <c r="AW981" s="59">
        <f>IFERROR(VLOOKUP($A981,[2]Mssp!$A$5:$BE$1463,AW$4+1,0),0)</f>
        <v>0</v>
      </c>
      <c r="AX981" s="59">
        <f>IFERROR(VLOOKUP($A981,[2]Mssp!$A$5:$BE$1463,AX$4+1,0),0)</f>
        <v>0</v>
      </c>
      <c r="AY981" s="59" t="str">
        <f>IFERROR(VLOOKUP($A981,[2]Mssp!$A$5:$BE$1463,AY$4+2,0),0)</f>
        <v>600x1300</v>
      </c>
      <c r="AZ981" s="59">
        <f>IFERROR(VLOOKUP($A981,[2]Mssp!$A$5:$BE$1463,AZ$4+2,0),0)</f>
        <v>0</v>
      </c>
      <c r="BA981" s="141" t="s">
        <v>2359</v>
      </c>
      <c r="BB981" s="61" t="s">
        <v>3127</v>
      </c>
      <c r="BC981" s="165"/>
      <c r="BD981" s="166"/>
      <c r="BE981" s="167"/>
      <c r="BF981" s="168"/>
      <c r="BG981" s="167"/>
      <c r="BH981" s="168"/>
      <c r="BI981" s="169"/>
      <c r="BJ981" s="168"/>
      <c r="BK981" s="134"/>
      <c r="BL981" s="168"/>
      <c r="BM981" s="167"/>
      <c r="BN981" s="168"/>
      <c r="BO981" s="62"/>
      <c r="BP981" s="168"/>
      <c r="BQ981" s="168"/>
      <c r="BR981" s="168"/>
      <c r="BS981" s="135"/>
      <c r="BT981" s="176"/>
      <c r="BU981" s="167"/>
      <c r="BV981" s="168"/>
      <c r="BW981" s="167"/>
      <c r="BX981" s="168"/>
      <c r="BY981" s="167"/>
      <c r="BZ981" s="176"/>
      <c r="CA981" s="167"/>
      <c r="CB981" s="168"/>
      <c r="CC981" s="167"/>
      <c r="CD981" s="168"/>
      <c r="CE981" s="62"/>
      <c r="CF981" s="62"/>
      <c r="CG981" s="9"/>
      <c r="CH981" s="9"/>
      <c r="CI981" s="9"/>
      <c r="CJ981" s="9"/>
      <c r="CK981" s="9"/>
      <c r="CL981" s="9"/>
      <c r="CM981" s="9"/>
      <c r="CN981" s="9"/>
      <c r="CO981" s="9"/>
      <c r="CP981" s="9"/>
    </row>
    <row r="982" spans="1:94" ht="30" x14ac:dyDescent="0.25">
      <c r="A982" s="173" t="s">
        <v>3128</v>
      </c>
      <c r="B982" s="174" t="s">
        <v>3129</v>
      </c>
      <c r="C982" s="62"/>
      <c r="D982" s="84">
        <v>2</v>
      </c>
      <c r="E982" s="62" t="s">
        <v>3130</v>
      </c>
      <c r="F982" s="62">
        <v>6</v>
      </c>
      <c r="G982" s="62"/>
      <c r="H982" s="50">
        <f>VLOOKUP($A982,'[1]ma sp 02'!$A$5:$BD$1101,H$1,0)</f>
        <v>0.49199999999999999</v>
      </c>
      <c r="I982" s="50">
        <f>VLOOKUP($A982,'[1]ma sp 02'!$A$5:$BD$1101,I$1,0)</f>
        <v>4.306</v>
      </c>
      <c r="J982" s="50">
        <f>VLOOKUP($A982,'[1]ma sp 02'!$A$5:$BD$1101,J$1,0)</f>
        <v>0.123</v>
      </c>
      <c r="K982" s="50">
        <f>VLOOKUP($A982,'[1]ma sp 02'!$A$5:$BD$1101,K$1,0)</f>
        <v>0.123</v>
      </c>
      <c r="L982" s="50">
        <f>VLOOKUP($A982,'[1]ma sp 02'!$A$5:$BD$1101,L$1,0)</f>
        <v>0.246</v>
      </c>
      <c r="M982" s="50">
        <f>VLOOKUP($A982,'[1]ma sp 02'!$A$5:$BD$1101,M$1,0)</f>
        <v>0</v>
      </c>
      <c r="N982" s="50">
        <f>VLOOKUP($A982,'[1]ma sp 02'!$A$5:$BD$1101,N$1,0)</f>
        <v>0</v>
      </c>
      <c r="O982" s="50">
        <f>VLOOKUP($A982,'[1]ma sp 02'!$A$5:$BD$1101,O$1,0)</f>
        <v>0</v>
      </c>
      <c r="P982" s="50">
        <f>VLOOKUP($A982,'[1]ma sp 02'!$A$5:$BD$1101,P$1,0)</f>
        <v>0</v>
      </c>
      <c r="Q982" s="50">
        <f>VLOOKUP($A982,'[1]ma sp 02'!$A$5:$BD$1101,Q$1,0)</f>
        <v>0</v>
      </c>
      <c r="R982" s="50">
        <f>VLOOKUP($A982,'[1]ma sp 02'!$A$5:$BD$1101,R$1,0)</f>
        <v>0</v>
      </c>
      <c r="S982" s="50">
        <f>VLOOKUP($A982,'[1]ma sp 02'!$A$5:$BD$1101,S$1,0)</f>
        <v>0</v>
      </c>
      <c r="T982" s="50">
        <f>VLOOKUP($A982,'[1]ma sp 02'!$A$5:$BD$1101,T$1,0)</f>
        <v>0</v>
      </c>
      <c r="U982" s="50">
        <f>VLOOKUP($A982,'[1]ma sp 02'!$A$5:$BD$1101,U$1,0)</f>
        <v>0</v>
      </c>
      <c r="V982" s="50">
        <f>VLOOKUP($A982,'[1]ma sp 02'!$A$5:$BD$1101,V$1,0)</f>
        <v>0</v>
      </c>
      <c r="W982" s="50">
        <f>VLOOKUP($A982,'[1]ma sp 02'!$A$5:$BD$1101,W$1,0)</f>
        <v>0</v>
      </c>
      <c r="X982" s="50"/>
      <c r="Y982" s="62"/>
      <c r="Z982" s="62"/>
      <c r="AA982" s="62"/>
      <c r="AB982" s="62"/>
      <c r="AC982" s="62"/>
      <c r="AD982" s="62"/>
      <c r="AE982" s="62" t="s">
        <v>3131</v>
      </c>
      <c r="AF982" s="62"/>
      <c r="AG982" s="53">
        <f>(0.02*0.91+0.09*0.94)*0.87</f>
        <v>8.9436000000000002E-2</v>
      </c>
      <c r="AH982" s="54">
        <f>(2.3/0.75/2)*0.87</f>
        <v>1.3339999999999999</v>
      </c>
      <c r="AI982" s="153"/>
      <c r="AJ982" s="192">
        <v>9530</v>
      </c>
      <c r="AK982" s="58"/>
      <c r="AL982" s="62">
        <v>2.3E-3</v>
      </c>
      <c r="AM982" s="61" t="s">
        <v>74</v>
      </c>
      <c r="AN982" s="62">
        <v>300</v>
      </c>
      <c r="AO982" s="61" t="s">
        <v>387</v>
      </c>
      <c r="AP982" s="59" t="str">
        <f>IFERROR(VLOOKUP($A982,[2]Mssp!$A$5:$BE$1463,AP$4+1,0),0)</f>
        <v>21111065-1</v>
      </c>
      <c r="AQ982" s="59" t="str">
        <f>IFERROR(VLOOKUP($A982,[2]Mssp!$A$5:$BE$1463,AQ$4+1,0),0)</f>
        <v>21111065-2</v>
      </c>
      <c r="AR982" s="59" t="str">
        <f>IFERROR(VLOOKUP($A982,[2]Mssp!$A$5:$BE$1463,AR$4+1,0),0)</f>
        <v>21111065-3</v>
      </c>
      <c r="AS982" s="59" t="str">
        <f>IFERROR(VLOOKUP($A982,[2]Mssp!$A$5:$BE$1463,AS$4+1,0),0)</f>
        <v>21111065-4</v>
      </c>
      <c r="AT982" s="59" t="str">
        <f>IFERROR(VLOOKUP($A982,[2]Mssp!$A$5:$BE$1463,AT$4+1,0),0)</f>
        <v>21111065-5</v>
      </c>
      <c r="AU982" s="59">
        <f>IFERROR(VLOOKUP($A982,[2]Mssp!$A$5:$BE$1463,AU$4+1,0),0)</f>
        <v>0</v>
      </c>
      <c r="AV982" s="59">
        <f>IFERROR(VLOOKUP($A982,[2]Mssp!$A$5:$BE$1463,AV$4+1,0),0)</f>
        <v>0</v>
      </c>
      <c r="AW982" s="59">
        <f>IFERROR(VLOOKUP($A982,[2]Mssp!$A$5:$BE$1463,AW$4+1,0),0)</f>
        <v>0</v>
      </c>
      <c r="AX982" s="59">
        <f>IFERROR(VLOOKUP($A982,[2]Mssp!$A$5:$BE$1463,AX$4+1,0),0)</f>
        <v>0</v>
      </c>
      <c r="AY982" s="59" t="str">
        <f>IFERROR(VLOOKUP($A982,[2]Mssp!$A$5:$BE$1463,AY$4+2,0),0)</f>
        <v>600x1100</v>
      </c>
      <c r="AZ982" s="59">
        <f>IFERROR(VLOOKUP($A982,[2]Mssp!$A$5:$BE$1463,AZ$4+2,0),0)</f>
        <v>0</v>
      </c>
      <c r="BA982" s="141"/>
      <c r="BB982" s="61" t="s">
        <v>1894</v>
      </c>
      <c r="BC982" s="165"/>
      <c r="BD982" s="166"/>
      <c r="BE982" s="167"/>
      <c r="BF982" s="168"/>
      <c r="BG982" s="167"/>
      <c r="BH982" s="168"/>
      <c r="BI982" s="169"/>
      <c r="BJ982" s="168"/>
      <c r="BK982" s="134"/>
      <c r="BL982" s="168"/>
      <c r="BM982" s="167"/>
      <c r="BN982" s="168"/>
      <c r="BO982" s="62"/>
      <c r="BP982" s="168"/>
      <c r="BQ982" s="168"/>
      <c r="BR982" s="168"/>
      <c r="BS982" s="135"/>
      <c r="BT982" s="176"/>
      <c r="BU982" s="167"/>
      <c r="BV982" s="168"/>
      <c r="BW982" s="167"/>
      <c r="BX982" s="168"/>
      <c r="BY982" s="167"/>
      <c r="BZ982" s="176"/>
      <c r="CA982" s="167"/>
      <c r="CB982" s="168"/>
      <c r="CC982" s="167"/>
      <c r="CD982" s="168"/>
      <c r="CE982" s="62"/>
      <c r="CF982" s="62"/>
      <c r="CG982" s="9"/>
      <c r="CH982" s="9"/>
      <c r="CI982" s="9"/>
      <c r="CJ982" s="9"/>
      <c r="CK982" s="9"/>
      <c r="CL982" s="9"/>
      <c r="CM982" s="9"/>
      <c r="CN982" s="9"/>
      <c r="CO982" s="9"/>
      <c r="CP982" s="9"/>
    </row>
    <row r="983" spans="1:94" x14ac:dyDescent="0.25">
      <c r="A983" s="127" t="s">
        <v>3132</v>
      </c>
      <c r="B983" s="51"/>
      <c r="C983" s="62"/>
      <c r="D983" s="84"/>
      <c r="E983" s="62"/>
      <c r="F983" s="62"/>
      <c r="G983" s="62"/>
      <c r="H983" s="50">
        <f>VLOOKUP($A983,'[1]ma sp 02'!$A$5:$BD$1101,H$1,0)</f>
        <v>0</v>
      </c>
      <c r="I983" s="50">
        <f>VLOOKUP($A983,'[1]ma sp 02'!$A$5:$BD$1101,I$1,0)</f>
        <v>0</v>
      </c>
      <c r="J983" s="50">
        <f>VLOOKUP($A983,'[1]ma sp 02'!$A$5:$BD$1101,J$1,0)</f>
        <v>0</v>
      </c>
      <c r="K983" s="50">
        <f>VLOOKUP($A983,'[1]ma sp 02'!$A$5:$BD$1101,K$1,0)</f>
        <v>0</v>
      </c>
      <c r="L983" s="50">
        <f>VLOOKUP($A983,'[1]ma sp 02'!$A$5:$BD$1101,L$1,0)</f>
        <v>0</v>
      </c>
      <c r="M983" s="50">
        <f>VLOOKUP($A983,'[1]ma sp 02'!$A$5:$BD$1101,M$1,0)</f>
        <v>0</v>
      </c>
      <c r="N983" s="50">
        <f>VLOOKUP($A983,'[1]ma sp 02'!$A$5:$BD$1101,N$1,0)</f>
        <v>0</v>
      </c>
      <c r="O983" s="50">
        <f>VLOOKUP($A983,'[1]ma sp 02'!$A$5:$BD$1101,O$1,0)</f>
        <v>0</v>
      </c>
      <c r="P983" s="50">
        <f>VLOOKUP($A983,'[1]ma sp 02'!$A$5:$BD$1101,P$1,0)</f>
        <v>0</v>
      </c>
      <c r="Q983" s="50">
        <f>VLOOKUP($A983,'[1]ma sp 02'!$A$5:$BD$1101,Q$1,0)</f>
        <v>0</v>
      </c>
      <c r="R983" s="50">
        <f>VLOOKUP($A983,'[1]ma sp 02'!$A$5:$BD$1101,R$1,0)</f>
        <v>0</v>
      </c>
      <c r="S983" s="50">
        <f>VLOOKUP($A983,'[1]ma sp 02'!$A$5:$BD$1101,S$1,0)</f>
        <v>0</v>
      </c>
      <c r="T983" s="50">
        <f>VLOOKUP($A983,'[1]ma sp 02'!$A$5:$BD$1101,T$1,0)</f>
        <v>0</v>
      </c>
      <c r="U983" s="50">
        <f>VLOOKUP($A983,'[1]ma sp 02'!$A$5:$BD$1101,U$1,0)</f>
        <v>0</v>
      </c>
      <c r="V983" s="50">
        <f>VLOOKUP($A983,'[1]ma sp 02'!$A$5:$BD$1101,V$1,0)</f>
        <v>0</v>
      </c>
      <c r="W983" s="50">
        <f>VLOOKUP($A983,'[1]ma sp 02'!$A$5:$BD$1101,W$1,0)</f>
        <v>0</v>
      </c>
      <c r="X983" s="50"/>
      <c r="Y983" s="62"/>
      <c r="Z983" s="62"/>
      <c r="AA983" s="62"/>
      <c r="AB983" s="62"/>
      <c r="AC983" s="62"/>
      <c r="AD983" s="62"/>
      <c r="AE983" s="62"/>
      <c r="AF983" s="62"/>
      <c r="AG983" s="71"/>
      <c r="AH983" s="153"/>
      <c r="AI983" s="153"/>
      <c r="AJ983" s="58"/>
      <c r="AK983" s="58"/>
      <c r="AL983" s="62"/>
      <c r="AM983" s="61"/>
      <c r="AN983" s="62"/>
      <c r="AO983" s="61"/>
      <c r="AP983" s="59" t="str">
        <f>IFERROR(VLOOKUP($A983,[2]Mssp!$A$5:$BE$1463,AP$4+1,0),0)</f>
        <v>21120031-1</v>
      </c>
      <c r="AQ983" s="59" t="str">
        <f>IFERROR(VLOOKUP($A983,[2]Mssp!$A$5:$BE$1463,AQ$4+1,0),0)</f>
        <v>21120031-2</v>
      </c>
      <c r="AR983" s="59" t="str">
        <f>IFERROR(VLOOKUP($A983,[2]Mssp!$A$5:$BE$1463,AR$4+1,0),0)</f>
        <v>21120031-3</v>
      </c>
      <c r="AS983" s="59">
        <f>IFERROR(VLOOKUP($A983,[2]Mssp!$A$5:$BE$1463,AS$4+1,0),0)</f>
        <v>0</v>
      </c>
      <c r="AT983" s="59">
        <f>IFERROR(VLOOKUP($A983,[2]Mssp!$A$5:$BE$1463,AT$4+1,0),0)</f>
        <v>0</v>
      </c>
      <c r="AU983" s="59">
        <f>IFERROR(VLOOKUP($A983,[2]Mssp!$A$5:$BE$1463,AU$4+1,0),0)</f>
        <v>0</v>
      </c>
      <c r="AV983" s="59">
        <f>IFERROR(VLOOKUP($A983,[2]Mssp!$A$5:$BE$1463,AV$4+1,0),0)</f>
        <v>0</v>
      </c>
      <c r="AW983" s="59">
        <f>IFERROR(VLOOKUP($A983,[2]Mssp!$A$5:$BE$1463,AW$4+1,0),0)</f>
        <v>0</v>
      </c>
      <c r="AX983" s="59">
        <f>IFERROR(VLOOKUP($A983,[2]Mssp!$A$5:$BE$1463,AX$4+1,0),0)</f>
        <v>0</v>
      </c>
      <c r="AY983" s="59" t="str">
        <f>IFERROR(VLOOKUP($A983,[2]Mssp!$A$5:$BE$1463,AY$4+2,0),0)</f>
        <v>540x870</v>
      </c>
      <c r="AZ983" s="59">
        <f>IFERROR(VLOOKUP($A983,[2]Mssp!$A$5:$BE$1463,AZ$4+2,0),0)</f>
        <v>0</v>
      </c>
      <c r="BA983" s="141"/>
      <c r="BB983" s="61"/>
      <c r="BC983" s="165"/>
      <c r="BD983" s="166"/>
      <c r="BE983" s="167"/>
      <c r="BF983" s="168"/>
      <c r="BG983" s="167"/>
      <c r="BH983" s="168"/>
      <c r="BI983" s="169"/>
      <c r="BJ983" s="168"/>
      <c r="BK983" s="134"/>
      <c r="BL983" s="168"/>
      <c r="BM983" s="167"/>
      <c r="BN983" s="168"/>
      <c r="BO983" s="62"/>
      <c r="BP983" s="168"/>
      <c r="BQ983" s="168"/>
      <c r="BR983" s="168"/>
      <c r="BS983" s="135"/>
      <c r="BT983" s="176"/>
      <c r="BU983" s="167"/>
      <c r="BV983" s="168"/>
      <c r="BW983" s="167"/>
      <c r="BX983" s="168"/>
      <c r="BY983" s="167"/>
      <c r="BZ983" s="176"/>
      <c r="CA983" s="167"/>
      <c r="CB983" s="168"/>
      <c r="CC983" s="167"/>
      <c r="CD983" s="168"/>
      <c r="CE983" s="62"/>
      <c r="CF983" s="62"/>
      <c r="CG983" s="9"/>
      <c r="CH983" s="9"/>
      <c r="CI983" s="9"/>
      <c r="CJ983" s="9"/>
      <c r="CK983" s="9"/>
      <c r="CL983" s="9"/>
      <c r="CM983" s="9"/>
      <c r="CN983" s="9"/>
      <c r="CO983" s="9"/>
      <c r="CP983" s="9"/>
    </row>
    <row r="984" spans="1:94" ht="30" x14ac:dyDescent="0.25">
      <c r="A984" s="127" t="s">
        <v>3133</v>
      </c>
      <c r="B984" s="51" t="s">
        <v>3134</v>
      </c>
      <c r="C984" s="62"/>
      <c r="D984" s="84">
        <v>7</v>
      </c>
      <c r="E984" s="62" t="s">
        <v>158</v>
      </c>
      <c r="F984" s="62">
        <v>3</v>
      </c>
      <c r="G984" s="62"/>
      <c r="H984" s="50">
        <f>VLOOKUP($A984,'[1]ma sp 02'!$A$5:$BD$1101,H$1,0)</f>
        <v>0.84699999999999998</v>
      </c>
      <c r="I984" s="50">
        <f>VLOOKUP($A984,'[1]ma sp 02'!$A$5:$BD$1101,I$1,0)</f>
        <v>0</v>
      </c>
      <c r="J984" s="50">
        <f>VLOOKUP($A984,'[1]ma sp 02'!$A$5:$BD$1101,J$1,0)</f>
        <v>0</v>
      </c>
      <c r="K984" s="50">
        <f>VLOOKUP($A984,'[1]ma sp 02'!$A$5:$BD$1101,K$1,0)</f>
        <v>2.1179999999999999</v>
      </c>
      <c r="L984" s="50">
        <f>VLOOKUP($A984,'[1]ma sp 02'!$A$5:$BD$1101,L$1,0)</f>
        <v>0</v>
      </c>
      <c r="M984" s="50">
        <f>VLOOKUP($A984,'[1]ma sp 02'!$A$5:$BD$1101,M$1,0)</f>
        <v>0</v>
      </c>
      <c r="N984" s="50">
        <f>VLOOKUP($A984,'[1]ma sp 02'!$A$5:$BD$1101,N$1,0)</f>
        <v>0</v>
      </c>
      <c r="O984" s="50">
        <f>VLOOKUP($A984,'[1]ma sp 02'!$A$5:$BD$1101,O$1,0)</f>
        <v>0</v>
      </c>
      <c r="P984" s="50">
        <f>VLOOKUP($A984,'[1]ma sp 02'!$A$5:$BD$1101,P$1,0)</f>
        <v>5.931</v>
      </c>
      <c r="Q984" s="50">
        <f>VLOOKUP($A984,'[1]ma sp 02'!$A$5:$BD$1101,Q$1,0)</f>
        <v>0</v>
      </c>
      <c r="R984" s="50">
        <f>VLOOKUP($A984,'[1]ma sp 02'!$A$5:$BD$1101,R$1,0)</f>
        <v>0</v>
      </c>
      <c r="S984" s="50">
        <f>VLOOKUP($A984,'[1]ma sp 02'!$A$5:$BD$1101,S$1,0)</f>
        <v>0</v>
      </c>
      <c r="T984" s="50">
        <f>VLOOKUP($A984,'[1]ma sp 02'!$A$5:$BD$1101,T$1,0)</f>
        <v>0</v>
      </c>
      <c r="U984" s="50">
        <f>VLOOKUP($A984,'[1]ma sp 02'!$A$5:$BD$1101,U$1,0)</f>
        <v>0</v>
      </c>
      <c r="V984" s="50">
        <f>VLOOKUP($A984,'[1]ma sp 02'!$A$5:$BD$1101,V$1,0)</f>
        <v>0</v>
      </c>
      <c r="W984" s="50">
        <f>VLOOKUP($A984,'[1]ma sp 02'!$A$5:$BD$1101,W$1,0)</f>
        <v>0</v>
      </c>
      <c r="X984" s="50"/>
      <c r="Y984" s="62"/>
      <c r="Z984" s="62"/>
      <c r="AA984" s="62"/>
      <c r="AB984" s="62"/>
      <c r="AC984" s="62"/>
      <c r="AD984" s="62"/>
      <c r="AE984" s="62" t="s">
        <v>1797</v>
      </c>
      <c r="AF984" s="62" t="s">
        <v>2805</v>
      </c>
      <c r="AG984" s="71">
        <f>(0.02*0.91+0.006*2.71+0.055*0.925)*0.79</f>
        <v>6.7414650000000007E-2</v>
      </c>
      <c r="AH984" s="153">
        <f>(3/0.75/2)*0.79</f>
        <v>1.58</v>
      </c>
      <c r="AI984" s="153">
        <f>(3/0.75/2)*0.79</f>
        <v>1.58</v>
      </c>
      <c r="AJ984" s="58">
        <v>9530</v>
      </c>
      <c r="AK984" s="58">
        <v>9530</v>
      </c>
      <c r="AL984" s="62" t="s">
        <v>3077</v>
      </c>
      <c r="AM984" s="61" t="s">
        <v>1893</v>
      </c>
      <c r="AN984" s="62">
        <v>135</v>
      </c>
      <c r="AO984" s="61" t="s">
        <v>1959</v>
      </c>
      <c r="AP984" s="59" t="str">
        <f>IFERROR(VLOOKUP($A984,[2]Mssp!$A$5:$BE$1463,AP$4+1,0),0)</f>
        <v>21120032-1</v>
      </c>
      <c r="AQ984" s="59" t="str">
        <f>IFERROR(VLOOKUP($A984,[2]Mssp!$A$5:$BE$1463,AQ$4+1,0),0)</f>
        <v>21120031-2</v>
      </c>
      <c r="AR984" s="59" t="str">
        <f>IFERROR(VLOOKUP($A984,[2]Mssp!$A$5:$BE$1463,AR$4+1,0),0)</f>
        <v>21120031-3</v>
      </c>
      <c r="AS984" s="59">
        <f>IFERROR(VLOOKUP($A984,[2]Mssp!$A$5:$BE$1463,AS$4+1,0),0)</f>
        <v>0</v>
      </c>
      <c r="AT984" s="59">
        <f>IFERROR(VLOOKUP($A984,[2]Mssp!$A$5:$BE$1463,AT$4+1,0),0)</f>
        <v>0</v>
      </c>
      <c r="AU984" s="59">
        <f>IFERROR(VLOOKUP($A984,[2]Mssp!$A$5:$BE$1463,AU$4+1,0),0)</f>
        <v>0</v>
      </c>
      <c r="AV984" s="59">
        <f>IFERROR(VLOOKUP($A984,[2]Mssp!$A$5:$BE$1463,AV$4+1,0),0)</f>
        <v>0</v>
      </c>
      <c r="AW984" s="59">
        <f>IFERROR(VLOOKUP($A984,[2]Mssp!$A$5:$BE$1463,AW$4+1,0),0)</f>
        <v>0</v>
      </c>
      <c r="AX984" s="59">
        <f>IFERROR(VLOOKUP($A984,[2]Mssp!$A$5:$BE$1463,AX$4+1,0),0)</f>
        <v>0</v>
      </c>
      <c r="AY984" s="59" t="str">
        <f>IFERROR(VLOOKUP($A984,[2]Mssp!$A$5:$BE$1463,AY$4+2,0),0)</f>
        <v>540x870</v>
      </c>
      <c r="AZ984" s="59">
        <f>IFERROR(VLOOKUP($A984,[2]Mssp!$A$5:$BE$1463,AZ$4+2,0),0)</f>
        <v>0</v>
      </c>
      <c r="BA984" s="141"/>
      <c r="BB984" s="61"/>
      <c r="BC984" s="165"/>
      <c r="BD984" s="166"/>
      <c r="BE984" s="167"/>
      <c r="BF984" s="168"/>
      <c r="BG984" s="167"/>
      <c r="BH984" s="168"/>
      <c r="BI984" s="169"/>
      <c r="BJ984" s="168"/>
      <c r="BK984" s="134"/>
      <c r="BL984" s="168"/>
      <c r="BM984" s="167"/>
      <c r="BN984" s="168"/>
      <c r="BO984" s="62"/>
      <c r="BP984" s="168"/>
      <c r="BQ984" s="168"/>
      <c r="BR984" s="168"/>
      <c r="BS984" s="135"/>
      <c r="BT984" s="176"/>
      <c r="BU984" s="167"/>
      <c r="BV984" s="168"/>
      <c r="BW984" s="167"/>
      <c r="BX984" s="168"/>
      <c r="BY984" s="167"/>
      <c r="BZ984" s="176"/>
      <c r="CA984" s="167"/>
      <c r="CB984" s="168"/>
      <c r="CC984" s="167"/>
      <c r="CD984" s="168"/>
      <c r="CE984" s="62"/>
      <c r="CF984" s="62"/>
      <c r="CG984" s="9"/>
      <c r="CH984" s="9"/>
      <c r="CI984" s="9"/>
      <c r="CJ984" s="9"/>
      <c r="CK984" s="9"/>
      <c r="CL984" s="9"/>
      <c r="CM984" s="9"/>
      <c r="CN984" s="9"/>
      <c r="CO984" s="9"/>
      <c r="CP984" s="9"/>
    </row>
    <row r="985" spans="1:94" ht="30" x14ac:dyDescent="0.25">
      <c r="A985" s="127" t="s">
        <v>3135</v>
      </c>
      <c r="B985" s="51" t="s">
        <v>3136</v>
      </c>
      <c r="C985" s="62"/>
      <c r="D985" s="84">
        <v>7</v>
      </c>
      <c r="E985" s="62" t="s">
        <v>158</v>
      </c>
      <c r="F985" s="62">
        <v>3</v>
      </c>
      <c r="G985" s="62"/>
      <c r="H985" s="50">
        <f>VLOOKUP($A985,'[1]ma sp 02'!$A$5:$BD$1101,H$1,0)</f>
        <v>0.78800000000000003</v>
      </c>
      <c r="I985" s="50">
        <f>VLOOKUP($A985,'[1]ma sp 02'!$A$5:$BD$1101,I$1,0)</f>
        <v>0</v>
      </c>
      <c r="J985" s="50">
        <f>VLOOKUP($A985,'[1]ma sp 02'!$A$5:$BD$1101,J$1,0)</f>
        <v>0</v>
      </c>
      <c r="K985" s="50">
        <f>VLOOKUP($A985,'[1]ma sp 02'!$A$5:$BD$1101,K$1,0)</f>
        <v>0</v>
      </c>
      <c r="L985" s="50">
        <f>VLOOKUP($A985,'[1]ma sp 02'!$A$5:$BD$1101,L$1,0)</f>
        <v>0</v>
      </c>
      <c r="M985" s="50">
        <f>VLOOKUP($A985,'[1]ma sp 02'!$A$5:$BD$1101,M$1,0)</f>
        <v>0</v>
      </c>
      <c r="N985" s="50">
        <f>VLOOKUP($A985,'[1]ma sp 02'!$A$5:$BD$1101,N$1,0)</f>
        <v>0</v>
      </c>
      <c r="O985" s="50">
        <f>VLOOKUP($A985,'[1]ma sp 02'!$A$5:$BD$1101,O$1,0)</f>
        <v>0</v>
      </c>
      <c r="P985" s="50">
        <f>VLOOKUP($A985,'[1]ma sp 02'!$A$5:$BD$1101,P$1,0)</f>
        <v>0.01</v>
      </c>
      <c r="Q985" s="50">
        <f>VLOOKUP($A985,'[1]ma sp 02'!$A$5:$BD$1101,Q$1,0)</f>
        <v>0</v>
      </c>
      <c r="R985" s="50">
        <f>VLOOKUP($A985,'[1]ma sp 02'!$A$5:$BD$1101,R$1,0)</f>
        <v>0</v>
      </c>
      <c r="S985" s="50">
        <f>VLOOKUP($A985,'[1]ma sp 02'!$A$5:$BD$1101,S$1,0)</f>
        <v>0</v>
      </c>
      <c r="T985" s="50">
        <f>VLOOKUP($A985,'[1]ma sp 02'!$A$5:$BD$1101,T$1,0)</f>
        <v>0</v>
      </c>
      <c r="U985" s="50">
        <f>VLOOKUP($A985,'[1]ma sp 02'!$A$5:$BD$1101,U$1,0)</f>
        <v>0</v>
      </c>
      <c r="V985" s="50">
        <f>VLOOKUP($A985,'[1]ma sp 02'!$A$5:$BD$1101,V$1,0)</f>
        <v>0</v>
      </c>
      <c r="W985" s="50">
        <f>VLOOKUP($A985,'[1]ma sp 02'!$A$5:$BD$1101,W$1,0)</f>
        <v>0</v>
      </c>
      <c r="X985" s="50"/>
      <c r="Y985" s="62"/>
      <c r="Z985" s="62"/>
      <c r="AA985" s="62"/>
      <c r="AB985" s="62"/>
      <c r="AC985" s="62"/>
      <c r="AD985" s="62"/>
      <c r="AE985" s="62" t="s">
        <v>1797</v>
      </c>
      <c r="AF985" s="62" t="s">
        <v>2805</v>
      </c>
      <c r="AG985" s="71">
        <f>(0.02*0.91+0.006*2.71+0.055*0.925)*0.79</f>
        <v>6.7414650000000007E-2</v>
      </c>
      <c r="AH985" s="153">
        <f>(3/0.75/2)*0.79</f>
        <v>1.58</v>
      </c>
      <c r="AI985" s="153">
        <f>(3/0.75/2)*0.79</f>
        <v>1.58</v>
      </c>
      <c r="AJ985" s="58">
        <v>9530</v>
      </c>
      <c r="AK985" s="58">
        <v>9530</v>
      </c>
      <c r="AL985" s="62" t="s">
        <v>3077</v>
      </c>
      <c r="AM985" s="61" t="s">
        <v>1893</v>
      </c>
      <c r="AN985" s="62">
        <v>135</v>
      </c>
      <c r="AO985" s="61" t="s">
        <v>1959</v>
      </c>
      <c r="AP985" s="59" t="str">
        <f>IFERROR(VLOOKUP($A985,[2]Mssp!$A$5:$BE$1463,AP$4+1,0),0)</f>
        <v>21120033-1</v>
      </c>
      <c r="AQ985" s="59" t="str">
        <f>IFERROR(VLOOKUP($A985,[2]Mssp!$A$5:$BE$1463,AQ$4+1,0),0)</f>
        <v>21120031-2</v>
      </c>
      <c r="AR985" s="59" t="str">
        <f>IFERROR(VLOOKUP($A985,[2]Mssp!$A$5:$BE$1463,AR$4+1,0),0)</f>
        <v>21120031-3</v>
      </c>
      <c r="AS985" s="59">
        <f>IFERROR(VLOOKUP($A985,[2]Mssp!$A$5:$BE$1463,AS$4+1,0),0)</f>
        <v>0</v>
      </c>
      <c r="AT985" s="59">
        <f>IFERROR(VLOOKUP($A985,[2]Mssp!$A$5:$BE$1463,AT$4+1,0),0)</f>
        <v>0</v>
      </c>
      <c r="AU985" s="59">
        <f>IFERROR(VLOOKUP($A985,[2]Mssp!$A$5:$BE$1463,AU$4+1,0),0)</f>
        <v>0</v>
      </c>
      <c r="AV985" s="59">
        <f>IFERROR(VLOOKUP($A985,[2]Mssp!$A$5:$BE$1463,AV$4+1,0),0)</f>
        <v>0</v>
      </c>
      <c r="AW985" s="59">
        <f>IFERROR(VLOOKUP($A985,[2]Mssp!$A$5:$BE$1463,AW$4+1,0),0)</f>
        <v>0</v>
      </c>
      <c r="AX985" s="59">
        <f>IFERROR(VLOOKUP($A985,[2]Mssp!$A$5:$BE$1463,AX$4+1,0),0)</f>
        <v>0</v>
      </c>
      <c r="AY985" s="59" t="str">
        <f>IFERROR(VLOOKUP($A985,[2]Mssp!$A$5:$BE$1463,AY$4+2,0),0)</f>
        <v>540x870</v>
      </c>
      <c r="AZ985" s="59">
        <f>IFERROR(VLOOKUP($A985,[2]Mssp!$A$5:$BE$1463,AZ$4+2,0),0)</f>
        <v>0</v>
      </c>
      <c r="BA985" s="141"/>
      <c r="BB985" s="61" t="s">
        <v>1894</v>
      </c>
      <c r="BC985" s="165"/>
      <c r="BD985" s="166"/>
      <c r="BE985" s="167"/>
      <c r="BF985" s="168"/>
      <c r="BG985" s="167"/>
      <c r="BH985" s="168"/>
      <c r="BI985" s="169"/>
      <c r="BJ985" s="168"/>
      <c r="BK985" s="134"/>
      <c r="BL985" s="168"/>
      <c r="BM985" s="167"/>
      <c r="BN985" s="168"/>
      <c r="BO985" s="62"/>
      <c r="BP985" s="168"/>
      <c r="BQ985" s="168"/>
      <c r="BR985" s="168"/>
      <c r="BS985" s="135"/>
      <c r="BT985" s="176"/>
      <c r="BU985" s="167"/>
      <c r="BV985" s="168"/>
      <c r="BW985" s="167"/>
      <c r="BX985" s="168"/>
      <c r="BY985" s="167"/>
      <c r="BZ985" s="176"/>
      <c r="CA985" s="167"/>
      <c r="CB985" s="168"/>
      <c r="CC985" s="167"/>
      <c r="CD985" s="168"/>
      <c r="CE985" s="62"/>
      <c r="CF985" s="62"/>
      <c r="CG985" s="9"/>
      <c r="CH985" s="9"/>
      <c r="CI985" s="9"/>
      <c r="CJ985" s="9"/>
      <c r="CK985" s="9"/>
      <c r="CL985" s="9"/>
      <c r="CM985" s="9"/>
      <c r="CN985" s="9"/>
      <c r="CO985" s="9"/>
      <c r="CP985" s="9"/>
    </row>
    <row r="986" spans="1:94" x14ac:dyDescent="0.25">
      <c r="A986" s="127" t="s">
        <v>3137</v>
      </c>
      <c r="B986" s="51" t="s">
        <v>3138</v>
      </c>
      <c r="C986" s="62"/>
      <c r="D986" s="84">
        <v>2</v>
      </c>
      <c r="E986" s="62" t="s">
        <v>163</v>
      </c>
      <c r="F986" s="62">
        <v>7</v>
      </c>
      <c r="G986" s="62"/>
      <c r="H986" s="50">
        <f>VLOOKUP($A986,'[1]ma sp 02'!$A$5:$BD$1101,H$1,0)</f>
        <v>1.0549999999999999</v>
      </c>
      <c r="I986" s="50">
        <f>VLOOKUP($A986,'[1]ma sp 02'!$A$5:$BD$1101,I$1,0)</f>
        <v>4.4820000000000002</v>
      </c>
      <c r="J986" s="50">
        <f>VLOOKUP($A986,'[1]ma sp 02'!$A$5:$BD$1101,J$1,0)</f>
        <v>0.01</v>
      </c>
      <c r="K986" s="50">
        <f>VLOOKUP($A986,'[1]ma sp 02'!$A$5:$BD$1101,K$1,0)</f>
        <v>0</v>
      </c>
      <c r="L986" s="50">
        <f>VLOOKUP($A986,'[1]ma sp 02'!$A$5:$BD$1101,L$1,0)</f>
        <v>0.26400000000000001</v>
      </c>
      <c r="M986" s="50">
        <f>VLOOKUP($A986,'[1]ma sp 02'!$A$5:$BD$1101,M$1,0)</f>
        <v>0</v>
      </c>
      <c r="N986" s="50">
        <f>VLOOKUP($A986,'[1]ma sp 02'!$A$5:$BD$1101,N$1,0)</f>
        <v>0.52700000000000002</v>
      </c>
      <c r="O986" s="50">
        <f>VLOOKUP($A986,'[1]ma sp 02'!$A$5:$BD$1101,O$1,0)</f>
        <v>0.01</v>
      </c>
      <c r="P986" s="50">
        <f>VLOOKUP($A986,'[1]ma sp 02'!$A$5:$BD$1101,P$1,0)</f>
        <v>0</v>
      </c>
      <c r="Q986" s="50">
        <f>VLOOKUP($A986,'[1]ma sp 02'!$A$5:$BD$1101,Q$1,0)</f>
        <v>0</v>
      </c>
      <c r="R986" s="50">
        <f>VLOOKUP($A986,'[1]ma sp 02'!$A$5:$BD$1101,R$1,0)</f>
        <v>0</v>
      </c>
      <c r="S986" s="50">
        <f>VLOOKUP($A986,'[1]ma sp 02'!$A$5:$BD$1101,S$1,0)</f>
        <v>0.01</v>
      </c>
      <c r="T986" s="50">
        <f>VLOOKUP($A986,'[1]ma sp 02'!$A$5:$BD$1101,T$1,0)</f>
        <v>0</v>
      </c>
      <c r="U986" s="50">
        <f>VLOOKUP($A986,'[1]ma sp 02'!$A$5:$BD$1101,U$1,0)</f>
        <v>0</v>
      </c>
      <c r="V986" s="50">
        <f>VLOOKUP($A986,'[1]ma sp 02'!$A$5:$BD$1101,V$1,0)</f>
        <v>0</v>
      </c>
      <c r="W986" s="50">
        <f>VLOOKUP($A986,'[1]ma sp 02'!$A$5:$BD$1101,W$1,0)</f>
        <v>0</v>
      </c>
      <c r="X986" s="50"/>
      <c r="Y986" s="62"/>
      <c r="Z986" s="62"/>
      <c r="AA986" s="62"/>
      <c r="AB986" s="62"/>
      <c r="AC986" s="62"/>
      <c r="AD986" s="62"/>
      <c r="AE986" s="62" t="s">
        <v>3139</v>
      </c>
      <c r="AF986" s="62"/>
      <c r="AG986" s="71">
        <f>(0.02*0.91+0.055*0.91)*0.64</f>
        <v>4.3680000000000004E-2</v>
      </c>
      <c r="AH986" s="153">
        <f>(2/0.75/2)*0.63</f>
        <v>0.84</v>
      </c>
      <c r="AI986" s="54"/>
      <c r="AJ986" s="58">
        <v>9530</v>
      </c>
      <c r="AK986" s="62"/>
      <c r="AL986" s="62">
        <v>2E-3</v>
      </c>
      <c r="AM986" s="61" t="s">
        <v>1489</v>
      </c>
      <c r="AN986" s="62">
        <v>175</v>
      </c>
      <c r="AO986" s="61" t="s">
        <v>180</v>
      </c>
      <c r="AP986" s="59" t="str">
        <f>IFERROR(VLOOKUP($A986,[2]Mssp!$A$5:$BE$1463,AP$4+1,0),0)</f>
        <v>21120576-1</v>
      </c>
      <c r="AQ986" s="59" t="str">
        <f>IFERROR(VLOOKUP($A986,[2]Mssp!$A$5:$BE$1463,AQ$4+1,0),0)</f>
        <v>21111114-2</v>
      </c>
      <c r="AR986" s="59" t="str">
        <f>IFERROR(VLOOKUP($A986,[2]Mssp!$A$5:$BE$1463,AR$4+1,0),0)</f>
        <v>21111114-3</v>
      </c>
      <c r="AS986" s="59" t="str">
        <f>IFERROR(VLOOKUP($A986,[2]Mssp!$A$5:$BE$1463,AS$4+1,0),0)</f>
        <v>21111114-4</v>
      </c>
      <c r="AT986" s="59" t="str">
        <f>IFERROR(VLOOKUP($A986,[2]Mssp!$A$5:$BE$1463,AT$4+1,0),0)</f>
        <v>21111114-5</v>
      </c>
      <c r="AU986" s="59" t="str">
        <f>IFERROR(VLOOKUP($A986,[2]Mssp!$A$5:$BE$1463,AU$4+1,0),0)</f>
        <v>21111114-6</v>
      </c>
      <c r="AV986" s="59" t="str">
        <f>IFERROR(VLOOKUP($A986,[2]Mssp!$A$5:$BE$1463,AV$4+1,0),0)</f>
        <v>21111114-7</v>
      </c>
      <c r="AW986" s="59">
        <f>IFERROR(VLOOKUP($A986,[2]Mssp!$A$5:$BE$1463,AW$4+1,0),0)</f>
        <v>0</v>
      </c>
      <c r="AX986" s="59">
        <f>IFERROR(VLOOKUP($A986,[2]Mssp!$A$5:$BE$1463,AX$4+1,0),0)</f>
        <v>0</v>
      </c>
      <c r="AY986" s="59" t="str">
        <f>IFERROR(VLOOKUP($A986,[2]Mssp!$A$5:$BE$1463,AY$4+2,0),0)</f>
        <v>525x870</v>
      </c>
      <c r="AZ986" s="59">
        <f>IFERROR(VLOOKUP($A986,[2]Mssp!$A$5:$BE$1463,AZ$4+2,0),0)</f>
        <v>0</v>
      </c>
      <c r="BA986" s="141"/>
      <c r="BB986" s="61"/>
      <c r="BC986" s="165"/>
      <c r="BD986" s="166"/>
      <c r="BE986" s="167"/>
      <c r="BF986" s="168"/>
      <c r="BG986" s="167"/>
      <c r="BH986" s="168"/>
      <c r="BI986" s="169"/>
      <c r="BJ986" s="168"/>
      <c r="BK986" s="134"/>
      <c r="BL986" s="168"/>
      <c r="BM986" s="167"/>
      <c r="BN986" s="168"/>
      <c r="BO986" s="62"/>
      <c r="BP986" s="168"/>
      <c r="BQ986" s="168"/>
      <c r="BR986" s="168"/>
      <c r="BS986" s="135"/>
      <c r="BT986" s="176"/>
      <c r="BU986" s="167"/>
      <c r="BV986" s="168"/>
      <c r="BW986" s="167"/>
      <c r="BX986" s="168"/>
      <c r="BY986" s="167"/>
      <c r="BZ986" s="176"/>
      <c r="CA986" s="167"/>
      <c r="CB986" s="168"/>
      <c r="CC986" s="167"/>
      <c r="CD986" s="168"/>
      <c r="CE986" s="62"/>
      <c r="CF986" s="62"/>
      <c r="CG986" s="9"/>
      <c r="CH986" s="9"/>
      <c r="CI986" s="9"/>
      <c r="CJ986" s="9"/>
      <c r="CK986" s="9"/>
      <c r="CL986" s="9"/>
      <c r="CM986" s="9"/>
      <c r="CN986" s="9"/>
      <c r="CO986" s="9"/>
      <c r="CP986" s="9"/>
    </row>
    <row r="987" spans="1:94" ht="45" x14ac:dyDescent="0.25">
      <c r="A987" s="127" t="s">
        <v>3140</v>
      </c>
      <c r="B987" s="51" t="s">
        <v>3141</v>
      </c>
      <c r="C987" s="62"/>
      <c r="D987" s="84">
        <v>1</v>
      </c>
      <c r="E987" s="62" t="s">
        <v>1448</v>
      </c>
      <c r="F987" s="62">
        <v>5</v>
      </c>
      <c r="G987" s="62"/>
      <c r="H987" s="50">
        <f>VLOOKUP($A987,'[1]ma sp 02'!$A$5:$BD$1101,H$1,0)</f>
        <v>0.124</v>
      </c>
      <c r="I987" s="50">
        <f>VLOOKUP($A987,'[1]ma sp 02'!$A$5:$BD$1101,I$1,0)</f>
        <v>3.778</v>
      </c>
      <c r="J987" s="50">
        <f>VLOOKUP($A987,'[1]ma sp 02'!$A$5:$BD$1101,J$1,0)</f>
        <v>0</v>
      </c>
      <c r="K987" s="50">
        <f>VLOOKUP($A987,'[1]ma sp 02'!$A$5:$BD$1101,K$1,0)</f>
        <v>0</v>
      </c>
      <c r="L987" s="50">
        <f>VLOOKUP($A987,'[1]ma sp 02'!$A$5:$BD$1101,L$1,0)</f>
        <v>0</v>
      </c>
      <c r="M987" s="50">
        <f>VLOOKUP($A987,'[1]ma sp 02'!$A$5:$BD$1101,M$1,0)</f>
        <v>0.182</v>
      </c>
      <c r="N987" s="50">
        <f>VLOOKUP($A987,'[1]ma sp 02'!$A$5:$BD$1101,N$1,0)</f>
        <v>8.3000000000000004E-2</v>
      </c>
      <c r="O987" s="50">
        <f>VLOOKUP($A987,'[1]ma sp 02'!$A$5:$BD$1101,O$1,0)</f>
        <v>0</v>
      </c>
      <c r="P987" s="50">
        <f>VLOOKUP($A987,'[1]ma sp 02'!$A$5:$BD$1101,P$1,0)</f>
        <v>0</v>
      </c>
      <c r="Q987" s="50">
        <f>VLOOKUP($A987,'[1]ma sp 02'!$A$5:$BD$1101,Q$1,0)</f>
        <v>0</v>
      </c>
      <c r="R987" s="50">
        <f>VLOOKUP($A987,'[1]ma sp 02'!$A$5:$BD$1101,R$1,0)</f>
        <v>0</v>
      </c>
      <c r="S987" s="50">
        <f>VLOOKUP($A987,'[1]ma sp 02'!$A$5:$BD$1101,S$1,0)</f>
        <v>0</v>
      </c>
      <c r="T987" s="50">
        <f>VLOOKUP($A987,'[1]ma sp 02'!$A$5:$BD$1101,T$1,0)</f>
        <v>0</v>
      </c>
      <c r="U987" s="50">
        <f>VLOOKUP($A987,'[1]ma sp 02'!$A$5:$BD$1101,U$1,0)</f>
        <v>0</v>
      </c>
      <c r="V987" s="50">
        <f>VLOOKUP($A987,'[1]ma sp 02'!$A$5:$BD$1101,V$1,0)</f>
        <v>0</v>
      </c>
      <c r="W987" s="50">
        <f>VLOOKUP($A987,'[1]ma sp 02'!$A$5:$BD$1101,W$1,0)</f>
        <v>0</v>
      </c>
      <c r="X987" s="50"/>
      <c r="Y987" s="62"/>
      <c r="Z987" s="62"/>
      <c r="AA987" s="62"/>
      <c r="AB987" s="62"/>
      <c r="AC987" s="62"/>
      <c r="AD987" s="62"/>
      <c r="AE987" s="62" t="s">
        <v>3142</v>
      </c>
      <c r="AF987" s="62"/>
      <c r="AG987" s="53">
        <f>(0.02*0.91+0.035*0.91)*0.59</f>
        <v>2.95295E-2</v>
      </c>
      <c r="AH987" s="54">
        <f>(2.5/0.75/2)*0.58</f>
        <v>0.96666666666666667</v>
      </c>
      <c r="AI987" s="54"/>
      <c r="AJ987" s="192">
        <v>9530</v>
      </c>
      <c r="AK987" s="62"/>
      <c r="AL987" s="62">
        <v>2.5000000000000001E-3</v>
      </c>
      <c r="AM987" s="61" t="s">
        <v>2758</v>
      </c>
      <c r="AN987" s="62">
        <v>125</v>
      </c>
      <c r="AO987" s="61" t="s">
        <v>3143</v>
      </c>
      <c r="AP987" s="59" t="str">
        <f>IFERROR(VLOOKUP($A987,[2]Mssp!$A$5:$BE$1463,AP$4+1,0),0)</f>
        <v>21111206-1</v>
      </c>
      <c r="AQ987" s="59" t="str">
        <f>IFERROR(VLOOKUP($A987,[2]Mssp!$A$5:$BE$1463,AQ$4+1,0),0)</f>
        <v>21111206-2</v>
      </c>
      <c r="AR987" s="59" t="str">
        <f>IFERROR(VLOOKUP($A987,[2]Mssp!$A$5:$BE$1463,AR$4+1,0),0)</f>
        <v>21111206-3</v>
      </c>
      <c r="AS987" s="59" t="str">
        <f>IFERROR(VLOOKUP($A987,[2]Mssp!$A$5:$BE$1463,AS$4+1,0),0)</f>
        <v>21111206-4</v>
      </c>
      <c r="AT987" s="59" t="str">
        <f>IFERROR(VLOOKUP($A987,[2]Mssp!$A$5:$BE$1463,AT$4+1,0),0)</f>
        <v>21111206-5</v>
      </c>
      <c r="AU987" s="59">
        <f>IFERROR(VLOOKUP($A987,[2]Mssp!$A$5:$BE$1463,AU$4+1,0),0)</f>
        <v>0</v>
      </c>
      <c r="AV987" s="59">
        <f>IFERROR(VLOOKUP($A987,[2]Mssp!$A$5:$BE$1463,AV$4+1,0),0)</f>
        <v>0</v>
      </c>
      <c r="AW987" s="59">
        <f>IFERROR(VLOOKUP($A987,[2]Mssp!$A$5:$BE$1463,AW$4+1,0),0)</f>
        <v>0</v>
      </c>
      <c r="AX987" s="59">
        <f>IFERROR(VLOOKUP($A987,[2]Mssp!$A$5:$BE$1463,AX$4+1,0),0)</f>
        <v>0</v>
      </c>
      <c r="AY987" s="59" t="str">
        <f>IFERROR(VLOOKUP($A987,[2]Mssp!$A$5:$BE$1463,AY$4+2,0),0)</f>
        <v>500x870</v>
      </c>
      <c r="AZ987" s="59">
        <f>IFERROR(VLOOKUP($A987,[2]Mssp!$A$5:$BE$1463,AZ$4+2,0),0)</f>
        <v>0</v>
      </c>
      <c r="BA987" s="141"/>
      <c r="BB987" s="61" t="s">
        <v>1894</v>
      </c>
      <c r="BC987" s="165"/>
      <c r="BD987" s="166"/>
      <c r="BE987" s="167"/>
      <c r="BF987" s="168"/>
      <c r="BG987" s="167"/>
      <c r="BH987" s="168"/>
      <c r="BI987" s="169"/>
      <c r="BJ987" s="168"/>
      <c r="BK987" s="134"/>
      <c r="BL987" s="168"/>
      <c r="BM987" s="167"/>
      <c r="BN987" s="168"/>
      <c r="BO987" s="62"/>
      <c r="BP987" s="168"/>
      <c r="BQ987" s="168"/>
      <c r="BR987" s="168"/>
      <c r="BS987" s="135"/>
      <c r="BT987" s="176"/>
      <c r="BU987" s="167"/>
      <c r="BV987" s="168"/>
      <c r="BW987" s="167"/>
      <c r="BX987" s="168"/>
      <c r="BY987" s="167"/>
      <c r="BZ987" s="176"/>
      <c r="CA987" s="167"/>
      <c r="CB987" s="168"/>
      <c r="CC987" s="167"/>
      <c r="CD987" s="168"/>
      <c r="CE987" s="62"/>
      <c r="CF987" s="62"/>
      <c r="CG987" s="9"/>
      <c r="CH987" s="9"/>
      <c r="CI987" s="9"/>
      <c r="CJ987" s="9"/>
      <c r="CK987" s="9"/>
      <c r="CL987" s="9"/>
      <c r="CM987" s="9"/>
      <c r="CN987" s="9"/>
      <c r="CO987" s="9"/>
      <c r="CP987" s="9"/>
    </row>
    <row r="988" spans="1:94" ht="30" x14ac:dyDescent="0.25">
      <c r="A988" s="127" t="s">
        <v>3144</v>
      </c>
      <c r="B988" s="51" t="s">
        <v>3145</v>
      </c>
      <c r="C988" s="62"/>
      <c r="D988" s="84">
        <v>5</v>
      </c>
      <c r="E988" s="62" t="s">
        <v>455</v>
      </c>
      <c r="F988" s="62">
        <v>3</v>
      </c>
      <c r="G988" s="62"/>
      <c r="H988" s="50">
        <f>VLOOKUP($A988,'[1]ma sp 02'!$A$5:$BD$1101,H$1,0)</f>
        <v>0</v>
      </c>
      <c r="I988" s="50">
        <f>VLOOKUP($A988,'[1]ma sp 02'!$A$5:$BD$1101,I$1,0)</f>
        <v>3.8260000000000001</v>
      </c>
      <c r="J988" s="50">
        <f>VLOOKUP($A988,'[1]ma sp 02'!$A$5:$BD$1101,J$1,0)</f>
        <v>0</v>
      </c>
      <c r="K988" s="50">
        <f>VLOOKUP($A988,'[1]ma sp 02'!$A$5:$BD$1101,K$1,0)</f>
        <v>0</v>
      </c>
      <c r="L988" s="50">
        <f>VLOOKUP($A988,'[1]ma sp 02'!$A$5:$BD$1101,L$1,0)</f>
        <v>2.2509999999999999</v>
      </c>
      <c r="M988" s="50">
        <f>VLOOKUP($A988,'[1]ma sp 02'!$A$5:$BD$1101,M$1,0)</f>
        <v>0</v>
      </c>
      <c r="N988" s="50">
        <f>VLOOKUP($A988,'[1]ma sp 02'!$A$5:$BD$1101,N$1,0)</f>
        <v>0</v>
      </c>
      <c r="O988" s="50">
        <f>VLOOKUP($A988,'[1]ma sp 02'!$A$5:$BD$1101,O$1,0)</f>
        <v>0.01</v>
      </c>
      <c r="P988" s="50">
        <f>VLOOKUP($A988,'[1]ma sp 02'!$A$5:$BD$1101,P$1,0)</f>
        <v>0.67500000000000004</v>
      </c>
      <c r="Q988" s="50">
        <f>VLOOKUP($A988,'[1]ma sp 02'!$A$5:$BD$1101,Q$1,0)</f>
        <v>0</v>
      </c>
      <c r="R988" s="50">
        <f>VLOOKUP($A988,'[1]ma sp 02'!$A$5:$BD$1101,R$1,0)</f>
        <v>0</v>
      </c>
      <c r="S988" s="50">
        <f>VLOOKUP($A988,'[1]ma sp 02'!$A$5:$BD$1101,S$1,0)</f>
        <v>0</v>
      </c>
      <c r="T988" s="50">
        <f>VLOOKUP($A988,'[1]ma sp 02'!$A$5:$BD$1101,T$1,0)</f>
        <v>0</v>
      </c>
      <c r="U988" s="50">
        <f>VLOOKUP($A988,'[1]ma sp 02'!$A$5:$BD$1101,U$1,0)</f>
        <v>0</v>
      </c>
      <c r="V988" s="50">
        <f>VLOOKUP($A988,'[1]ma sp 02'!$A$5:$BD$1101,V$1,0)</f>
        <v>0</v>
      </c>
      <c r="W988" s="50">
        <f>VLOOKUP($A988,'[1]ma sp 02'!$A$5:$BD$1101,W$1,0)</f>
        <v>1.125</v>
      </c>
      <c r="X988" s="50"/>
      <c r="Y988" s="62"/>
      <c r="Z988" s="62"/>
      <c r="AA988" s="62"/>
      <c r="AB988" s="62"/>
      <c r="AC988" s="62"/>
      <c r="AD988" s="62"/>
      <c r="AE988" s="62" t="s">
        <v>2624</v>
      </c>
      <c r="AF988" s="62" t="s">
        <v>3076</v>
      </c>
      <c r="AG988" s="71">
        <f>(0.012*1.4+0.006*2.71+0.06*0.91)*0.76</f>
        <v>6.6621600000000003E-2</v>
      </c>
      <c r="AH988" s="153">
        <f>(2.5/0.75/2)*0.76</f>
        <v>1.2666666666666668</v>
      </c>
      <c r="AI988" s="153">
        <f>(2.5/0.75/2)*0.76</f>
        <v>1.2666666666666668</v>
      </c>
      <c r="AJ988" s="58">
        <v>9530</v>
      </c>
      <c r="AK988" s="58">
        <v>9530</v>
      </c>
      <c r="AL988" s="62" t="s">
        <v>3077</v>
      </c>
      <c r="AM988" s="61" t="s">
        <v>1489</v>
      </c>
      <c r="AN988" s="62">
        <v>57</v>
      </c>
      <c r="AO988" s="61" t="s">
        <v>3078</v>
      </c>
      <c r="AP988" s="59" t="str">
        <f>IFERROR(VLOOKUP($A988,[2]Mssp!$A$5:$BE$1463,AP$4+1,0),0)</f>
        <v>21120214-1</v>
      </c>
      <c r="AQ988" s="59" t="str">
        <f>IFERROR(VLOOKUP($A988,[2]Mssp!$A$5:$BE$1463,AQ$4+1,0),0)</f>
        <v>21120214-2</v>
      </c>
      <c r="AR988" s="59" t="str">
        <f>IFERROR(VLOOKUP($A988,[2]Mssp!$A$5:$BE$1463,AR$4+1,0),0)</f>
        <v>21120214-3</v>
      </c>
      <c r="AS988" s="59">
        <f>IFERROR(VLOOKUP($A988,[2]Mssp!$A$5:$BE$1463,AS$4+1,0),0)</f>
        <v>0</v>
      </c>
      <c r="AT988" s="59">
        <f>IFERROR(VLOOKUP($A988,[2]Mssp!$A$5:$BE$1463,AT$4+1,0),0)</f>
        <v>0</v>
      </c>
      <c r="AU988" s="59">
        <f>IFERROR(VLOOKUP($A988,[2]Mssp!$A$5:$BE$1463,AU$4+1,0),0)</f>
        <v>0</v>
      </c>
      <c r="AV988" s="59">
        <f>IFERROR(VLOOKUP($A988,[2]Mssp!$A$5:$BE$1463,AV$4+1,0),0)</f>
        <v>0</v>
      </c>
      <c r="AW988" s="59">
        <f>IFERROR(VLOOKUP($A988,[2]Mssp!$A$5:$BE$1463,AW$4+1,0),0)</f>
        <v>0</v>
      </c>
      <c r="AX988" s="59">
        <f>IFERROR(VLOOKUP($A988,[2]Mssp!$A$5:$BE$1463,AX$4+1,0),0)</f>
        <v>0</v>
      </c>
      <c r="AY988" s="59" t="str">
        <f>IFERROR(VLOOKUP($A988,[2]Mssp!$A$5:$BE$1463,AY$4+2,0),0)</f>
        <v>456x870</v>
      </c>
      <c r="AZ988" s="59">
        <f>IFERROR(VLOOKUP($A988,[2]Mssp!$A$5:$BE$1463,AZ$4+2,0),0)</f>
        <v>0</v>
      </c>
      <c r="BA988" s="141"/>
      <c r="BB988" s="61" t="s">
        <v>952</v>
      </c>
      <c r="BC988" s="165"/>
      <c r="BD988" s="166"/>
      <c r="BE988" s="167"/>
      <c r="BF988" s="168"/>
      <c r="BG988" s="167"/>
      <c r="BH988" s="168"/>
      <c r="BI988" s="169"/>
      <c r="BJ988" s="168"/>
      <c r="BK988" s="134"/>
      <c r="BL988" s="168"/>
      <c r="BM988" s="167"/>
      <c r="BN988" s="168"/>
      <c r="BO988" s="62"/>
      <c r="BP988" s="168"/>
      <c r="BQ988" s="168"/>
      <c r="BR988" s="168"/>
      <c r="BS988" s="135"/>
      <c r="BT988" s="176"/>
      <c r="BU988" s="167"/>
      <c r="BV988" s="168"/>
      <c r="BW988" s="167"/>
      <c r="BX988" s="168"/>
      <c r="BY988" s="167"/>
      <c r="BZ988" s="176"/>
      <c r="CA988" s="167"/>
      <c r="CB988" s="168"/>
      <c r="CC988" s="167"/>
      <c r="CD988" s="168"/>
      <c r="CE988" s="62"/>
      <c r="CF988" s="62"/>
      <c r="CG988" s="9"/>
      <c r="CH988" s="9"/>
      <c r="CI988" s="9"/>
      <c r="CJ988" s="9"/>
      <c r="CK988" s="9"/>
      <c r="CL988" s="9"/>
      <c r="CM988" s="9"/>
      <c r="CN988" s="9"/>
      <c r="CO988" s="9"/>
      <c r="CP988" s="9"/>
    </row>
    <row r="989" spans="1:94" ht="30" x14ac:dyDescent="0.25">
      <c r="A989" s="127" t="s">
        <v>3146</v>
      </c>
      <c r="B989" s="51" t="s">
        <v>3147</v>
      </c>
      <c r="C989" s="62"/>
      <c r="D989" s="84">
        <v>2</v>
      </c>
      <c r="E989" s="62" t="s">
        <v>299</v>
      </c>
      <c r="F989" s="62">
        <v>8</v>
      </c>
      <c r="G989" s="62"/>
      <c r="H989" s="50">
        <f>VLOOKUP($A989,'[1]ma sp 02'!$A$5:$BD$1101,H$1,0)</f>
        <v>0</v>
      </c>
      <c r="I989" s="50">
        <f>VLOOKUP($A989,'[1]ma sp 02'!$A$5:$BD$1101,I$1,0)</f>
        <v>3.25</v>
      </c>
      <c r="J989" s="50">
        <f>VLOOKUP($A989,'[1]ma sp 02'!$A$5:$BD$1101,J$1,0)</f>
        <v>0.505</v>
      </c>
      <c r="K989" s="50">
        <f>VLOOKUP($A989,'[1]ma sp 02'!$A$5:$BD$1101,K$1,0)</f>
        <v>0.158</v>
      </c>
      <c r="L989" s="50">
        <f>VLOOKUP($A989,'[1]ma sp 02'!$A$5:$BD$1101,L$1,0)</f>
        <v>6.3E-2</v>
      </c>
      <c r="M989" s="50">
        <f>VLOOKUP($A989,'[1]ma sp 02'!$A$5:$BD$1101,M$1,0)</f>
        <v>0.442</v>
      </c>
      <c r="N989" s="50">
        <f>VLOOKUP($A989,'[1]ma sp 02'!$A$5:$BD$1101,N$1,0)</f>
        <v>0</v>
      </c>
      <c r="O989" s="50">
        <f>VLOOKUP($A989,'[1]ma sp 02'!$A$5:$BD$1101,O$1,0)</f>
        <v>3.2000000000000001E-2</v>
      </c>
      <c r="P989" s="50">
        <f>VLOOKUP($A989,'[1]ma sp 02'!$A$5:$BD$1101,P$1,0)</f>
        <v>0</v>
      </c>
      <c r="Q989" s="50">
        <f>VLOOKUP($A989,'[1]ma sp 02'!$A$5:$BD$1101,Q$1,0)</f>
        <v>0</v>
      </c>
      <c r="R989" s="50">
        <f>VLOOKUP($A989,'[1]ma sp 02'!$A$5:$BD$1101,R$1,0)</f>
        <v>0.01</v>
      </c>
      <c r="S989" s="50">
        <f>VLOOKUP($A989,'[1]ma sp 02'!$A$5:$BD$1101,S$1,0)</f>
        <v>0</v>
      </c>
      <c r="T989" s="50">
        <f>VLOOKUP($A989,'[1]ma sp 02'!$A$5:$BD$1101,T$1,0)</f>
        <v>0</v>
      </c>
      <c r="U989" s="50">
        <f>VLOOKUP($A989,'[1]ma sp 02'!$A$5:$BD$1101,U$1,0)</f>
        <v>0</v>
      </c>
      <c r="V989" s="50">
        <f>VLOOKUP($A989,'[1]ma sp 02'!$A$5:$BD$1101,V$1,0)</f>
        <v>0</v>
      </c>
      <c r="W989" s="50">
        <f>VLOOKUP($A989,'[1]ma sp 02'!$A$5:$BD$1101,W$1,0)</f>
        <v>0.01</v>
      </c>
      <c r="X989" s="50"/>
      <c r="Y989" s="62"/>
      <c r="Z989" s="62"/>
      <c r="AA989" s="62"/>
      <c r="AB989" s="62"/>
      <c r="AC989" s="62"/>
      <c r="AD989" s="62"/>
      <c r="AE989" s="62" t="s">
        <v>1934</v>
      </c>
      <c r="AF989" s="62"/>
      <c r="AG989" s="71">
        <f>(0.02*0.91+0.055*0.925)*0.82</f>
        <v>5.6641499999999997E-2</v>
      </c>
      <c r="AH989" s="153">
        <f>(2.3/0.75/2)*0.81</f>
        <v>1.242</v>
      </c>
      <c r="AI989" s="153"/>
      <c r="AJ989" s="58" t="s">
        <v>1881</v>
      </c>
      <c r="AK989" s="58"/>
      <c r="AL989" s="62">
        <v>1.6999999999999999E-3</v>
      </c>
      <c r="AM989" s="61" t="s">
        <v>1489</v>
      </c>
      <c r="AN989" s="62">
        <v>260</v>
      </c>
      <c r="AO989" s="61" t="s">
        <v>1935</v>
      </c>
      <c r="AP989" s="59" t="str">
        <f>IFERROR(VLOOKUP($A989,[2]Mssp!$A$5:$BE$1463,AP$4+1,0),0)</f>
        <v>F130063-1</v>
      </c>
      <c r="AQ989" s="59" t="str">
        <f>IFERROR(VLOOKUP($A989,[2]Mssp!$A$5:$BE$1463,AQ$4+1,0),0)</f>
        <v>F130063-2</v>
      </c>
      <c r="AR989" s="59" t="str">
        <f>IFERROR(VLOOKUP($A989,[2]Mssp!$A$5:$BE$1463,AR$4+1,0),0)</f>
        <v>F130063-3</v>
      </c>
      <c r="AS989" s="59" t="str">
        <f>IFERROR(VLOOKUP($A989,[2]Mssp!$A$5:$BE$1463,AS$4+1,0),0)</f>
        <v>F130063-4</v>
      </c>
      <c r="AT989" s="59" t="str">
        <f>IFERROR(VLOOKUP($A989,[2]Mssp!$A$5:$BE$1463,AT$4+1,0),0)</f>
        <v>F130063-5</v>
      </c>
      <c r="AU989" s="59" t="str">
        <f>IFERROR(VLOOKUP($A989,[2]Mssp!$A$5:$BE$1463,AU$4+1,0),0)</f>
        <v>F130063-6</v>
      </c>
      <c r="AV989" s="59" t="str">
        <f>IFERROR(VLOOKUP($A989,[2]Mssp!$A$5:$BE$1463,AV$4+1,0),0)</f>
        <v>F130063-7</v>
      </c>
      <c r="AW989" s="59" t="str">
        <f>IFERROR(VLOOKUP($A989,[2]Mssp!$A$5:$BE$1463,AW$4+1,0),0)</f>
        <v>F130063-8</v>
      </c>
      <c r="AX989" s="59">
        <f>IFERROR(VLOOKUP($A989,[2]Mssp!$A$5:$BE$1463,AX$4+1,0),0)</f>
        <v>0</v>
      </c>
      <c r="AY989" s="59" t="str">
        <f>IFERROR(VLOOKUP($A989,[2]Mssp!$A$5:$BE$1463,AY$4+2,0),0)</f>
        <v>520x870</v>
      </c>
      <c r="AZ989" s="59">
        <f>IFERROR(VLOOKUP($A989,[2]Mssp!$A$5:$BE$1463,AZ$4+2,0),0)</f>
        <v>0</v>
      </c>
      <c r="BA989" s="141"/>
      <c r="BB989" s="61" t="s">
        <v>952</v>
      </c>
      <c r="BC989" s="165"/>
      <c r="BD989" s="166"/>
      <c r="BE989" s="167"/>
      <c r="BF989" s="168"/>
      <c r="BG989" s="167"/>
      <c r="BH989" s="168"/>
      <c r="BI989" s="169"/>
      <c r="BJ989" s="168"/>
      <c r="BK989" s="134"/>
      <c r="BL989" s="168"/>
      <c r="BM989" s="167"/>
      <c r="BN989" s="168"/>
      <c r="BO989" s="62"/>
      <c r="BP989" s="168"/>
      <c r="BQ989" s="168"/>
      <c r="BR989" s="168"/>
      <c r="BS989" s="135"/>
      <c r="BT989" s="176"/>
      <c r="BU989" s="167"/>
      <c r="BV989" s="168"/>
      <c r="BW989" s="167"/>
      <c r="BX989" s="168"/>
      <c r="BY989" s="167"/>
      <c r="BZ989" s="176"/>
      <c r="CA989" s="167"/>
      <c r="CB989" s="168"/>
      <c r="CC989" s="167"/>
      <c r="CD989" s="168"/>
      <c r="CE989" s="62"/>
      <c r="CF989" s="62"/>
      <c r="CG989" s="9"/>
      <c r="CH989" s="9"/>
      <c r="CI989" s="9"/>
      <c r="CJ989" s="9"/>
      <c r="CK989" s="9"/>
      <c r="CL989" s="9"/>
      <c r="CM989" s="9"/>
      <c r="CN989" s="9"/>
      <c r="CO989" s="9"/>
      <c r="CP989" s="9"/>
    </row>
    <row r="990" spans="1:94" ht="30" x14ac:dyDescent="0.25">
      <c r="A990" s="127" t="s">
        <v>3148</v>
      </c>
      <c r="B990" s="51" t="s">
        <v>3149</v>
      </c>
      <c r="C990" s="62"/>
      <c r="D990" s="84">
        <v>2</v>
      </c>
      <c r="E990" s="62" t="s">
        <v>299</v>
      </c>
      <c r="F990" s="62">
        <v>8</v>
      </c>
      <c r="G990" s="62"/>
      <c r="H990" s="50">
        <f>VLOOKUP($A990,'[1]ma sp 02'!$A$5:$BD$1101,H$1,0)</f>
        <v>0.126</v>
      </c>
      <c r="I990" s="50">
        <f>VLOOKUP($A990,'[1]ma sp 02'!$A$5:$BD$1101,I$1,0)</f>
        <v>2.7480000000000002</v>
      </c>
      <c r="J990" s="50">
        <f>VLOOKUP($A990,'[1]ma sp 02'!$A$5:$BD$1101,J$1,0)</f>
        <v>0</v>
      </c>
      <c r="K990" s="50">
        <f>VLOOKUP($A990,'[1]ma sp 02'!$A$5:$BD$1101,K$1,0)</f>
        <v>0.253</v>
      </c>
      <c r="L990" s="50">
        <f>VLOOKUP($A990,'[1]ma sp 02'!$A$5:$BD$1101,L$1,0)</f>
        <v>0.442</v>
      </c>
      <c r="M990" s="50">
        <f>VLOOKUP($A990,'[1]ma sp 02'!$A$5:$BD$1101,M$1,0)</f>
        <v>0.56899999999999995</v>
      </c>
      <c r="N990" s="50">
        <f>VLOOKUP($A990,'[1]ma sp 02'!$A$5:$BD$1101,N$1,0)</f>
        <v>0</v>
      </c>
      <c r="O990" s="50">
        <f>VLOOKUP($A990,'[1]ma sp 02'!$A$5:$BD$1101,O$1,0)</f>
        <v>0</v>
      </c>
      <c r="P990" s="50">
        <f>VLOOKUP($A990,'[1]ma sp 02'!$A$5:$BD$1101,P$1,0)</f>
        <v>0.253</v>
      </c>
      <c r="Q990" s="50">
        <f>VLOOKUP($A990,'[1]ma sp 02'!$A$5:$BD$1101,Q$1,0)</f>
        <v>3.2000000000000001E-2</v>
      </c>
      <c r="R990" s="50">
        <f>VLOOKUP($A990,'[1]ma sp 02'!$A$5:$BD$1101,R$1,0)</f>
        <v>3.2000000000000001E-2</v>
      </c>
      <c r="S990" s="50">
        <f>VLOOKUP($A990,'[1]ma sp 02'!$A$5:$BD$1101,S$1,0)</f>
        <v>0</v>
      </c>
      <c r="T990" s="50">
        <f>VLOOKUP($A990,'[1]ma sp 02'!$A$5:$BD$1101,T$1,0)</f>
        <v>0.01</v>
      </c>
      <c r="U990" s="50">
        <f>VLOOKUP($A990,'[1]ma sp 02'!$A$5:$BD$1101,U$1,0)</f>
        <v>0</v>
      </c>
      <c r="V990" s="50">
        <f>VLOOKUP($A990,'[1]ma sp 02'!$A$5:$BD$1101,V$1,0)</f>
        <v>0</v>
      </c>
      <c r="W990" s="50">
        <f>VLOOKUP($A990,'[1]ma sp 02'!$A$5:$BD$1101,W$1,0)</f>
        <v>0</v>
      </c>
      <c r="X990" s="50"/>
      <c r="Y990" s="62"/>
      <c r="Z990" s="62"/>
      <c r="AA990" s="62"/>
      <c r="AB990" s="62"/>
      <c r="AC990" s="62"/>
      <c r="AD990" s="62"/>
      <c r="AE990" s="62" t="s">
        <v>1934</v>
      </c>
      <c r="AF990" s="62"/>
      <c r="AG990" s="71">
        <f t="shared" ref="AG990:AG991" si="39">(0.02*0.91+0.055*0.925)*0.82</f>
        <v>5.6641499999999997E-2</v>
      </c>
      <c r="AH990" s="153">
        <f t="shared" ref="AH990:AH991" si="40">(2.3/0.75/2)*0.81</f>
        <v>1.242</v>
      </c>
      <c r="AI990" s="153"/>
      <c r="AJ990" s="58" t="s">
        <v>1881</v>
      </c>
      <c r="AK990" s="58"/>
      <c r="AL990" s="62">
        <v>1.6999999999999999E-3</v>
      </c>
      <c r="AM990" s="61" t="s">
        <v>1489</v>
      </c>
      <c r="AN990" s="62">
        <v>260</v>
      </c>
      <c r="AO990" s="61" t="s">
        <v>1935</v>
      </c>
      <c r="AP990" s="59" t="str">
        <f>IFERROR(VLOOKUP($A990,[2]Mssp!$A$5:$BE$1463,AP$4+1,0),0)</f>
        <v>F130064-1</v>
      </c>
      <c r="AQ990" s="59" t="str">
        <f>IFERROR(VLOOKUP($A990,[2]Mssp!$A$5:$BE$1463,AQ$4+1,0),0)</f>
        <v>F130064-2</v>
      </c>
      <c r="AR990" s="59" t="str">
        <f>IFERROR(VLOOKUP($A990,[2]Mssp!$A$5:$BE$1463,AR$4+1,0),0)</f>
        <v>F130063-3</v>
      </c>
      <c r="AS990" s="59" t="str">
        <f>IFERROR(VLOOKUP($A990,[2]Mssp!$A$5:$BE$1463,AS$4+1,0),0)</f>
        <v>F130064-4</v>
      </c>
      <c r="AT990" s="59" t="str">
        <f>IFERROR(VLOOKUP($A990,[2]Mssp!$A$5:$BE$1463,AT$4+1,0),0)</f>
        <v>F130064-5</v>
      </c>
      <c r="AU990" s="59" t="str">
        <f>IFERROR(VLOOKUP($A990,[2]Mssp!$A$5:$BE$1463,AU$4+1,0),0)</f>
        <v>F130064-6</v>
      </c>
      <c r="AV990" s="59" t="str">
        <f>IFERROR(VLOOKUP($A990,[2]Mssp!$A$5:$BE$1463,AV$4+1,0),0)</f>
        <v>F130064-7</v>
      </c>
      <c r="AW990" s="59" t="str">
        <f>IFERROR(VLOOKUP($A990,[2]Mssp!$A$5:$BE$1463,AW$4+1,0),0)</f>
        <v>F130064G1-8</v>
      </c>
      <c r="AX990" s="59">
        <f>IFERROR(VLOOKUP($A990,[2]Mssp!$A$5:$BE$1463,AX$4+1,0),0)</f>
        <v>0</v>
      </c>
      <c r="AY990" s="59" t="str">
        <f>IFERROR(VLOOKUP($A990,[2]Mssp!$A$5:$BE$1463,AY$4+2,0),0)</f>
        <v>520x870</v>
      </c>
      <c r="AZ990" s="59">
        <f>IFERROR(VLOOKUP($A990,[2]Mssp!$A$5:$BE$1463,AZ$4+2,0),0)</f>
        <v>0</v>
      </c>
      <c r="BA990" s="141"/>
      <c r="BB990" s="61" t="s">
        <v>952</v>
      </c>
      <c r="BC990" s="165"/>
      <c r="BD990" s="166"/>
      <c r="BE990" s="167"/>
      <c r="BF990" s="168"/>
      <c r="BG990" s="167"/>
      <c r="BH990" s="168"/>
      <c r="BI990" s="169"/>
      <c r="BJ990" s="168"/>
      <c r="BK990" s="134"/>
      <c r="BL990" s="168"/>
      <c r="BM990" s="167"/>
      <c r="BN990" s="168"/>
      <c r="BO990" s="62"/>
      <c r="BP990" s="168"/>
      <c r="BQ990" s="168"/>
      <c r="BR990" s="168"/>
      <c r="BS990" s="135"/>
      <c r="BT990" s="176"/>
      <c r="BU990" s="167"/>
      <c r="BV990" s="168"/>
      <c r="BW990" s="167"/>
      <c r="BX990" s="168"/>
      <c r="BY990" s="167"/>
      <c r="BZ990" s="176"/>
      <c r="CA990" s="167"/>
      <c r="CB990" s="168"/>
      <c r="CC990" s="167"/>
      <c r="CD990" s="168"/>
      <c r="CE990" s="62"/>
      <c r="CF990" s="62"/>
      <c r="CG990" s="9"/>
      <c r="CH990" s="9"/>
      <c r="CI990" s="9"/>
      <c r="CJ990" s="9"/>
      <c r="CK990" s="9"/>
      <c r="CL990" s="9"/>
      <c r="CM990" s="9"/>
      <c r="CN990" s="9"/>
      <c r="CO990" s="9"/>
      <c r="CP990" s="9"/>
    </row>
    <row r="991" spans="1:94" ht="30" x14ac:dyDescent="0.25">
      <c r="A991" s="127" t="s">
        <v>3150</v>
      </c>
      <c r="B991" s="51" t="s">
        <v>3151</v>
      </c>
      <c r="C991" s="62"/>
      <c r="D991" s="84">
        <v>2</v>
      </c>
      <c r="E991" s="62" t="s">
        <v>299</v>
      </c>
      <c r="F991" s="62">
        <v>8</v>
      </c>
      <c r="G991" s="62"/>
      <c r="H991" s="50">
        <f>VLOOKUP($A991,'[1]ma sp 02'!$A$5:$BD$1101,H$1,0)</f>
        <v>0</v>
      </c>
      <c r="I991" s="50">
        <f>VLOOKUP($A991,'[1]ma sp 02'!$A$5:$BD$1101,I$1,0)</f>
        <v>2.2759999999999998</v>
      </c>
      <c r="J991" s="50">
        <f>VLOOKUP($A991,'[1]ma sp 02'!$A$5:$BD$1101,J$1,0)</f>
        <v>0</v>
      </c>
      <c r="K991" s="50">
        <f>VLOOKUP($A991,'[1]ma sp 02'!$A$5:$BD$1101,K$1,0)</f>
        <v>0.56100000000000005</v>
      </c>
      <c r="L991" s="50">
        <f>VLOOKUP($A991,'[1]ma sp 02'!$A$5:$BD$1101,L$1,0)</f>
        <v>0</v>
      </c>
      <c r="M991" s="50">
        <f>VLOOKUP($A991,'[1]ma sp 02'!$A$5:$BD$1101,M$1,0)</f>
        <v>0.81100000000000005</v>
      </c>
      <c r="N991" s="50">
        <f>VLOOKUP($A991,'[1]ma sp 02'!$A$5:$BD$1101,N$1,0)</f>
        <v>0</v>
      </c>
      <c r="O991" s="50">
        <f>VLOOKUP($A991,'[1]ma sp 02'!$A$5:$BD$1101,O$1,0)</f>
        <v>0.01</v>
      </c>
      <c r="P991" s="50">
        <f>VLOOKUP($A991,'[1]ma sp 02'!$A$5:$BD$1101,P$1,0)</f>
        <v>0</v>
      </c>
      <c r="Q991" s="50">
        <f>VLOOKUP($A991,'[1]ma sp 02'!$A$5:$BD$1101,Q$1,0)</f>
        <v>0</v>
      </c>
      <c r="R991" s="50">
        <f>VLOOKUP($A991,'[1]ma sp 02'!$A$5:$BD$1101,R$1,0)</f>
        <v>0</v>
      </c>
      <c r="S991" s="50">
        <f>VLOOKUP($A991,'[1]ma sp 02'!$A$5:$BD$1101,S$1,0)</f>
        <v>0</v>
      </c>
      <c r="T991" s="50">
        <f>VLOOKUP($A991,'[1]ma sp 02'!$A$5:$BD$1101,T$1,0)</f>
        <v>0</v>
      </c>
      <c r="U991" s="50">
        <f>VLOOKUP($A991,'[1]ma sp 02'!$A$5:$BD$1101,U$1,0)</f>
        <v>0</v>
      </c>
      <c r="V991" s="50">
        <f>VLOOKUP($A991,'[1]ma sp 02'!$A$5:$BD$1101,V$1,0)</f>
        <v>0</v>
      </c>
      <c r="W991" s="50">
        <f>VLOOKUP($A991,'[1]ma sp 02'!$A$5:$BD$1101,W$1,0)</f>
        <v>0</v>
      </c>
      <c r="X991" s="50"/>
      <c r="Y991" s="62"/>
      <c r="Z991" s="62"/>
      <c r="AA991" s="62"/>
      <c r="AB991" s="62"/>
      <c r="AC991" s="62"/>
      <c r="AD991" s="62"/>
      <c r="AE991" s="62" t="s">
        <v>1934</v>
      </c>
      <c r="AF991" s="62"/>
      <c r="AG991" s="71">
        <f t="shared" si="39"/>
        <v>5.6641499999999997E-2</v>
      </c>
      <c r="AH991" s="153">
        <f t="shared" si="40"/>
        <v>1.242</v>
      </c>
      <c r="AI991" s="153"/>
      <c r="AJ991" s="58" t="s">
        <v>1881</v>
      </c>
      <c r="AK991" s="58"/>
      <c r="AL991" s="62">
        <v>1.6999999999999999E-3</v>
      </c>
      <c r="AM991" s="61" t="s">
        <v>1489</v>
      </c>
      <c r="AN991" s="62">
        <v>260</v>
      </c>
      <c r="AO991" s="61" t="s">
        <v>1935</v>
      </c>
      <c r="AP991" s="59">
        <f>IFERROR(VLOOKUP($A991,[2]Mssp!$A$5:$BE$1463,AP$4+1,0),0)</f>
        <v>0</v>
      </c>
      <c r="AQ991" s="59" t="str">
        <f>IFERROR(VLOOKUP($A991,[2]Mssp!$A$5:$BE$1463,AQ$4+1,0),0)</f>
        <v>F130065-2</v>
      </c>
      <c r="AR991" s="59" t="str">
        <f>IFERROR(VLOOKUP($A991,[2]Mssp!$A$5:$BE$1463,AR$4+1,0),0)</f>
        <v>F130065-3</v>
      </c>
      <c r="AS991" s="59" t="str">
        <f>IFERROR(VLOOKUP($A991,[2]Mssp!$A$5:$BE$1463,AS$4+1,0),0)</f>
        <v>F130065-4</v>
      </c>
      <c r="AT991" s="59" t="str">
        <f>IFERROR(VLOOKUP($A991,[2]Mssp!$A$5:$BE$1463,AT$4+1,0),0)</f>
        <v>F130065-5</v>
      </c>
      <c r="AU991" s="59" t="str">
        <f>IFERROR(VLOOKUP($A991,[2]Mssp!$A$5:$BE$1463,AU$4+1,0),0)</f>
        <v>F130065-6</v>
      </c>
      <c r="AV991" s="59" t="str">
        <f>IFERROR(VLOOKUP($A991,[2]Mssp!$A$5:$BE$1463,AV$4+1,0),0)</f>
        <v>F130065-7</v>
      </c>
      <c r="AW991" s="59" t="str">
        <f>IFERROR(VLOOKUP($A991,[2]Mssp!$A$5:$BE$1463,AW$4+1,0),0)</f>
        <v>F130063-8</v>
      </c>
      <c r="AX991" s="59">
        <f>IFERROR(VLOOKUP($A991,[2]Mssp!$A$5:$BE$1463,AX$4+1,0),0)</f>
        <v>0</v>
      </c>
      <c r="AY991" s="59" t="str">
        <f>IFERROR(VLOOKUP($A991,[2]Mssp!$A$5:$BE$1463,AY$4+2,0),0)</f>
        <v>520x870</v>
      </c>
      <c r="AZ991" s="59">
        <f>IFERROR(VLOOKUP($A991,[2]Mssp!$A$5:$BE$1463,AZ$4+2,0),0)</f>
        <v>0</v>
      </c>
      <c r="BA991" s="141"/>
      <c r="BB991" s="61" t="s">
        <v>952</v>
      </c>
      <c r="BC991" s="165"/>
      <c r="BD991" s="166"/>
      <c r="BE991" s="167"/>
      <c r="BF991" s="168"/>
      <c r="BG991" s="167"/>
      <c r="BH991" s="168"/>
      <c r="BI991" s="169"/>
      <c r="BJ991" s="168"/>
      <c r="BK991" s="134"/>
      <c r="BL991" s="168"/>
      <c r="BM991" s="167"/>
      <c r="BN991" s="168"/>
      <c r="BO991" s="62"/>
      <c r="BP991" s="168"/>
      <c r="BQ991" s="168"/>
      <c r="BR991" s="168"/>
      <c r="BS991" s="135"/>
      <c r="BT991" s="176"/>
      <c r="BU991" s="167"/>
      <c r="BV991" s="168"/>
      <c r="BW991" s="167"/>
      <c r="BX991" s="168"/>
      <c r="BY991" s="167"/>
      <c r="BZ991" s="176"/>
      <c r="CA991" s="167"/>
      <c r="CB991" s="168"/>
      <c r="CC991" s="167"/>
      <c r="CD991" s="168"/>
      <c r="CE991" s="62"/>
      <c r="CF991" s="62"/>
      <c r="CG991" s="9"/>
      <c r="CH991" s="9"/>
      <c r="CI991" s="9"/>
      <c r="CJ991" s="9"/>
      <c r="CK991" s="9"/>
      <c r="CL991" s="9"/>
      <c r="CM991" s="9"/>
      <c r="CN991" s="9"/>
      <c r="CO991" s="9"/>
      <c r="CP991" s="9"/>
    </row>
    <row r="992" spans="1:94" ht="30" x14ac:dyDescent="0.25">
      <c r="A992" s="127" t="s">
        <v>3152</v>
      </c>
      <c r="B992" s="51" t="s">
        <v>3153</v>
      </c>
      <c r="C992" s="62"/>
      <c r="D992" s="84">
        <v>2</v>
      </c>
      <c r="E992" s="62" t="s">
        <v>299</v>
      </c>
      <c r="F992" s="62">
        <v>8</v>
      </c>
      <c r="G992" s="62"/>
      <c r="H992" s="50">
        <f>VLOOKUP($A992,'[1]ma sp 02'!$A$5:$BD$1101,H$1,0)</f>
        <v>0.06</v>
      </c>
      <c r="I992" s="50">
        <f>VLOOKUP($A992,'[1]ma sp 02'!$A$5:$BD$1101,I$1,0)</f>
        <v>2.048</v>
      </c>
      <c r="J992" s="50">
        <f>VLOOKUP($A992,'[1]ma sp 02'!$A$5:$BD$1101,J$1,0)</f>
        <v>0.63200000000000001</v>
      </c>
      <c r="K992" s="50">
        <f>VLOOKUP($A992,'[1]ma sp 02'!$A$5:$BD$1101,K$1,0)</f>
        <v>0.01</v>
      </c>
      <c r="L992" s="50">
        <f>VLOOKUP($A992,'[1]ma sp 02'!$A$5:$BD$1101,L$1,0)</f>
        <v>0.78300000000000003</v>
      </c>
      <c r="M992" s="50">
        <f>VLOOKUP($A992,'[1]ma sp 02'!$A$5:$BD$1101,M$1,0)</f>
        <v>0.42199999999999999</v>
      </c>
      <c r="N992" s="50">
        <f>VLOOKUP($A992,'[1]ma sp 02'!$A$5:$BD$1101,N$1,0)</f>
        <v>0</v>
      </c>
      <c r="O992" s="50">
        <f>VLOOKUP($A992,'[1]ma sp 02'!$A$5:$BD$1101,O$1,0)</f>
        <v>0.01</v>
      </c>
      <c r="P992" s="50">
        <f>VLOOKUP($A992,'[1]ma sp 02'!$A$5:$BD$1101,P$1,0)</f>
        <v>0</v>
      </c>
      <c r="Q992" s="50">
        <f>VLOOKUP($A992,'[1]ma sp 02'!$A$5:$BD$1101,Q$1,0)</f>
        <v>0</v>
      </c>
      <c r="R992" s="50">
        <f>VLOOKUP($A992,'[1]ma sp 02'!$A$5:$BD$1101,R$1,0)</f>
        <v>0</v>
      </c>
      <c r="S992" s="50">
        <f>VLOOKUP($A992,'[1]ma sp 02'!$A$5:$BD$1101,S$1,0)</f>
        <v>0</v>
      </c>
      <c r="T992" s="50">
        <f>VLOOKUP($A992,'[1]ma sp 02'!$A$5:$BD$1101,T$1,0)</f>
        <v>0</v>
      </c>
      <c r="U992" s="50">
        <f>VLOOKUP($A992,'[1]ma sp 02'!$A$5:$BD$1101,U$1,0)</f>
        <v>0</v>
      </c>
      <c r="V992" s="50">
        <f>VLOOKUP($A992,'[1]ma sp 02'!$A$5:$BD$1101,V$1,0)</f>
        <v>0</v>
      </c>
      <c r="W992" s="50">
        <f>VLOOKUP($A992,'[1]ma sp 02'!$A$5:$BD$1101,W$1,0)</f>
        <v>0</v>
      </c>
      <c r="X992" s="50"/>
      <c r="Y992" s="62"/>
      <c r="Z992" s="62"/>
      <c r="AA992" s="62"/>
      <c r="AB992" s="62"/>
      <c r="AC992" s="62"/>
      <c r="AD992" s="62"/>
      <c r="AE992" s="62" t="s">
        <v>1934</v>
      </c>
      <c r="AF992" s="62"/>
      <c r="AG992" s="71">
        <f>(0.02*0.91+0.055*0.925)*0.82</f>
        <v>5.6641499999999997E-2</v>
      </c>
      <c r="AH992" s="153">
        <f>(2.3/0.75/2)*0.81</f>
        <v>1.242</v>
      </c>
      <c r="AI992" s="153"/>
      <c r="AJ992" s="58" t="s">
        <v>1881</v>
      </c>
      <c r="AK992" s="58"/>
      <c r="AL992" s="62">
        <v>1.6999999999999999E-3</v>
      </c>
      <c r="AM992" s="61" t="s">
        <v>1489</v>
      </c>
      <c r="AN992" s="62">
        <v>260</v>
      </c>
      <c r="AO992" s="61" t="s">
        <v>1935</v>
      </c>
      <c r="AP992" s="59" t="str">
        <f>IFERROR(VLOOKUP($A992,[2]Mssp!$A$5:$BE$1463,AP$4+1,0),0)</f>
        <v>F130066-1</v>
      </c>
      <c r="AQ992" s="59" t="str">
        <f>IFERROR(VLOOKUP($A992,[2]Mssp!$A$5:$BE$1463,AQ$4+1,0),0)</f>
        <v>F130063-2</v>
      </c>
      <c r="AR992" s="59" t="str">
        <f>IFERROR(VLOOKUP($A992,[2]Mssp!$A$5:$BE$1463,AR$4+1,0),0)</f>
        <v>F130066-3</v>
      </c>
      <c r="AS992" s="59" t="str">
        <f>IFERROR(VLOOKUP($A992,[2]Mssp!$A$5:$BE$1463,AS$4+1,0),0)</f>
        <v>F130066-4</v>
      </c>
      <c r="AT992" s="59" t="str">
        <f>IFERROR(VLOOKUP($A992,[2]Mssp!$A$5:$BE$1463,AT$4+1,0),0)</f>
        <v>F130066-5</v>
      </c>
      <c r="AU992" s="59" t="str">
        <f>IFERROR(VLOOKUP($A992,[2]Mssp!$A$5:$BE$1463,AU$4+1,0),0)</f>
        <v>F130066-6</v>
      </c>
      <c r="AV992" s="59" t="str">
        <f>IFERROR(VLOOKUP($A992,[2]Mssp!$A$5:$BE$1463,AV$4+1,0),0)</f>
        <v>F130066-7</v>
      </c>
      <c r="AW992" s="59" t="str">
        <f>IFERROR(VLOOKUP($A992,[2]Mssp!$A$5:$BE$1463,AW$4+1,0),0)</f>
        <v>F130063-8</v>
      </c>
      <c r="AX992" s="59">
        <f>IFERROR(VLOOKUP($A992,[2]Mssp!$A$5:$BE$1463,AX$4+1,0),0)</f>
        <v>0</v>
      </c>
      <c r="AY992" s="59" t="str">
        <f>IFERROR(VLOOKUP($A992,[2]Mssp!$A$5:$BE$1463,AY$4+2,0),0)</f>
        <v>520x870</v>
      </c>
      <c r="AZ992" s="59">
        <f>IFERROR(VLOOKUP($A992,[2]Mssp!$A$5:$BE$1463,AZ$4+2,0),0)</f>
        <v>0</v>
      </c>
      <c r="BA992" s="141"/>
      <c r="BB992" s="61" t="s">
        <v>952</v>
      </c>
      <c r="BC992" s="165"/>
      <c r="BD992" s="166"/>
      <c r="BE992" s="167"/>
      <c r="BF992" s="168"/>
      <c r="BG992" s="167"/>
      <c r="BH992" s="168"/>
      <c r="BI992" s="169"/>
      <c r="BJ992" s="168"/>
      <c r="BK992" s="134"/>
      <c r="BL992" s="168"/>
      <c r="BM992" s="167"/>
      <c r="BN992" s="168"/>
      <c r="BO992" s="62"/>
      <c r="BP992" s="168"/>
      <c r="BQ992" s="168"/>
      <c r="BR992" s="168"/>
      <c r="BS992" s="135"/>
      <c r="BT992" s="176"/>
      <c r="BU992" s="167"/>
      <c r="BV992" s="168"/>
      <c r="BW992" s="167"/>
      <c r="BX992" s="168"/>
      <c r="BY992" s="167"/>
      <c r="BZ992" s="176"/>
      <c r="CA992" s="167"/>
      <c r="CB992" s="168"/>
      <c r="CC992" s="167"/>
      <c r="CD992" s="168"/>
      <c r="CE992" s="62"/>
      <c r="CF992" s="62"/>
      <c r="CG992" s="9"/>
      <c r="CH992" s="9"/>
      <c r="CI992" s="9"/>
      <c r="CJ992" s="9"/>
      <c r="CK992" s="9"/>
      <c r="CL992" s="9"/>
      <c r="CM992" s="9"/>
      <c r="CN992" s="9"/>
      <c r="CO992" s="9"/>
      <c r="CP992" s="9"/>
    </row>
    <row r="993" spans="1:94" ht="45" x14ac:dyDescent="0.25">
      <c r="A993" s="127" t="s">
        <v>3154</v>
      </c>
      <c r="B993" s="51" t="s">
        <v>3155</v>
      </c>
      <c r="C993" s="62"/>
      <c r="D993" s="84">
        <v>4</v>
      </c>
      <c r="E993" s="62" t="s">
        <v>1422</v>
      </c>
      <c r="F993" s="62">
        <v>5</v>
      </c>
      <c r="G993" s="62" t="s">
        <v>184</v>
      </c>
      <c r="H993" s="50">
        <f>VLOOKUP($A993,'[1]ma sp 02'!$A$5:$BD$1101,H$1,0)</f>
        <v>9.7000000000000003E-2</v>
      </c>
      <c r="I993" s="50">
        <f>VLOOKUP($A993,'[1]ma sp 02'!$A$5:$BD$1101,I$1,0)</f>
        <v>2.4369999999999998</v>
      </c>
      <c r="J993" s="50">
        <f>VLOOKUP($A993,'[1]ma sp 02'!$A$5:$BD$1101,J$1,0)</f>
        <v>0</v>
      </c>
      <c r="K993" s="50">
        <f>VLOOKUP($A993,'[1]ma sp 02'!$A$5:$BD$1101,K$1,0)</f>
        <v>7.8E-2</v>
      </c>
      <c r="L993" s="50">
        <f>VLOOKUP($A993,'[1]ma sp 02'!$A$5:$BD$1101,L$1,0)</f>
        <v>0.11700000000000001</v>
      </c>
      <c r="M993" s="50">
        <f>VLOOKUP($A993,'[1]ma sp 02'!$A$5:$BD$1101,M$1,0)</f>
        <v>0</v>
      </c>
      <c r="N993" s="50">
        <f>VLOOKUP($A993,'[1]ma sp 02'!$A$5:$BD$1101,N$1,0)</f>
        <v>0</v>
      </c>
      <c r="O993" s="50">
        <f>VLOOKUP($A993,'[1]ma sp 02'!$A$5:$BD$1101,O$1,0)</f>
        <v>9.7000000000000003E-2</v>
      </c>
      <c r="P993" s="50">
        <f>VLOOKUP($A993,'[1]ma sp 02'!$A$5:$BD$1101,P$1,0)</f>
        <v>0</v>
      </c>
      <c r="Q993" s="50">
        <f>VLOOKUP($A993,'[1]ma sp 02'!$A$5:$BD$1101,Q$1,0)</f>
        <v>7.8E-2</v>
      </c>
      <c r="R993" s="50">
        <f>VLOOKUP($A993,'[1]ma sp 02'!$A$5:$BD$1101,R$1,0)</f>
        <v>0</v>
      </c>
      <c r="S993" s="50">
        <f>VLOOKUP($A993,'[1]ma sp 02'!$A$5:$BD$1101,S$1,0)</f>
        <v>0</v>
      </c>
      <c r="T993" s="50">
        <f>VLOOKUP($A993,'[1]ma sp 02'!$A$5:$BD$1101,T$1,0)</f>
        <v>1.9E-2</v>
      </c>
      <c r="U993" s="50">
        <f>VLOOKUP($A993,'[1]ma sp 02'!$A$5:$BD$1101,U$1,0)</f>
        <v>0</v>
      </c>
      <c r="V993" s="50">
        <f>VLOOKUP($A993,'[1]ma sp 02'!$A$5:$BD$1101,V$1,0)</f>
        <v>0</v>
      </c>
      <c r="W993" s="50">
        <f>VLOOKUP($A993,'[1]ma sp 02'!$A$5:$BD$1101,W$1,0)</f>
        <v>0</v>
      </c>
      <c r="X993" s="50">
        <v>5</v>
      </c>
      <c r="Y993" s="62"/>
      <c r="Z993" s="62"/>
      <c r="AA993" s="62"/>
      <c r="AB993" s="62"/>
      <c r="AC993" s="62"/>
      <c r="AD993" s="62"/>
      <c r="AE993" s="62" t="s">
        <v>1688</v>
      </c>
      <c r="AF993" s="62" t="s">
        <v>1689</v>
      </c>
      <c r="AG993" s="71">
        <v>6.4377699999999996E-2</v>
      </c>
      <c r="AH993" s="153">
        <v>0.93533333333333324</v>
      </c>
      <c r="AI993" s="153">
        <v>0.93533333333333324</v>
      </c>
      <c r="AJ993" s="58">
        <v>9530</v>
      </c>
      <c r="AK993" s="58">
        <v>9530</v>
      </c>
      <c r="AL993" s="62" t="s">
        <v>354</v>
      </c>
      <c r="AM993" s="61" t="s">
        <v>74</v>
      </c>
      <c r="AN993" s="62">
        <v>55</v>
      </c>
      <c r="AO993" s="61" t="s">
        <v>3156</v>
      </c>
      <c r="AP993" s="59" t="str">
        <f>IFERROR(VLOOKUP($A993,[2]Mssp!$A$5:$BE$1463,AP$4+1,0),0)</f>
        <v>F130081-0</v>
      </c>
      <c r="AQ993" s="59" t="str">
        <f>IFERROR(VLOOKUP($A993,[2]Mssp!$A$5:$BE$1463,AQ$4+1,0),0)</f>
        <v>F130081-1</v>
      </c>
      <c r="AR993" s="59" t="str">
        <f>IFERROR(VLOOKUP($A993,[2]Mssp!$A$5:$BE$1463,AR$4+1,0),0)</f>
        <v>F122657G21-2</v>
      </c>
      <c r="AS993" s="59" t="str">
        <f>IFERROR(VLOOKUP($A993,[2]Mssp!$A$5:$BE$1463,AS$4+1,0),0)</f>
        <v>F122657G15-3</v>
      </c>
      <c r="AT993" s="59" t="str">
        <f>IFERROR(VLOOKUP($A993,[2]Mssp!$A$5:$BE$1463,AT$4+1,0),0)</f>
        <v>F122657G17-4</v>
      </c>
      <c r="AU993" s="59">
        <f>IFERROR(VLOOKUP($A993,[2]Mssp!$A$5:$BE$1463,AU$4+1,0),0)</f>
        <v>0</v>
      </c>
      <c r="AV993" s="59">
        <f>IFERROR(VLOOKUP($A993,[2]Mssp!$A$5:$BE$1463,AV$4+1,0),0)</f>
        <v>0</v>
      </c>
      <c r="AW993" s="59">
        <f>IFERROR(VLOOKUP($A993,[2]Mssp!$A$5:$BE$1463,AW$4+1,0),0)</f>
        <v>0</v>
      </c>
      <c r="AX993" s="59">
        <f>IFERROR(VLOOKUP($A993,[2]Mssp!$A$5:$BE$1463,AX$4+1,0),0)</f>
        <v>0</v>
      </c>
      <c r="AY993" s="59" t="str">
        <f>IFERROR(VLOOKUP($A993,[2]Mssp!$A$5:$BE$1463,AY$4+2,0),0)</f>
        <v>440x750</v>
      </c>
      <c r="AZ993" s="59">
        <f>IFERROR(VLOOKUP($A993,[2]Mssp!$A$5:$BE$1463,AZ$4+2,0),0)</f>
        <v>0</v>
      </c>
      <c r="BA993" s="141"/>
      <c r="BB993" s="61" t="s">
        <v>1894</v>
      </c>
      <c r="BC993" s="165"/>
      <c r="BD993" s="166"/>
      <c r="BE993" s="167"/>
      <c r="BF993" s="168"/>
      <c r="BG993" s="167"/>
      <c r="BH993" s="168"/>
      <c r="BI993" s="169"/>
      <c r="BJ993" s="168"/>
      <c r="BK993" s="134"/>
      <c r="BL993" s="168"/>
      <c r="BM993" s="167"/>
      <c r="BN993" s="168"/>
      <c r="BO993" s="62"/>
      <c r="BP993" s="168"/>
      <c r="BQ993" s="168"/>
      <c r="BR993" s="168"/>
      <c r="BS993" s="135"/>
      <c r="BT993" s="176"/>
      <c r="BU993" s="167"/>
      <c r="BV993" s="168"/>
      <c r="BW993" s="167"/>
      <c r="BX993" s="168"/>
      <c r="BY993" s="167"/>
      <c r="BZ993" s="176"/>
      <c r="CA993" s="167"/>
      <c r="CB993" s="168"/>
      <c r="CC993" s="167"/>
      <c r="CD993" s="168"/>
      <c r="CE993" s="62"/>
      <c r="CF993" s="62"/>
      <c r="CG993" s="9"/>
      <c r="CH993" s="9"/>
      <c r="CI993" s="9"/>
      <c r="CJ993" s="9"/>
      <c r="CK993" s="9"/>
      <c r="CL993" s="9"/>
      <c r="CM993" s="9"/>
      <c r="CN993" s="9"/>
      <c r="CO993" s="9"/>
      <c r="CP993" s="9"/>
    </row>
    <row r="994" spans="1:94" ht="30" x14ac:dyDescent="0.25">
      <c r="A994" s="127" t="s">
        <v>3157</v>
      </c>
      <c r="B994" s="51" t="s">
        <v>3158</v>
      </c>
      <c r="C994" s="62"/>
      <c r="D994" s="84">
        <v>3</v>
      </c>
      <c r="E994" s="62" t="s">
        <v>2111</v>
      </c>
      <c r="F994" s="62">
        <v>2</v>
      </c>
      <c r="G994" s="62"/>
      <c r="H994" s="50">
        <f>VLOOKUP($A994,'[1]ma sp 02'!$A$5:$BD$1101,H$1,0)</f>
        <v>0</v>
      </c>
      <c r="I994" s="50">
        <f>VLOOKUP($A994,'[1]ma sp 02'!$A$5:$BD$1101,I$1,0)</f>
        <v>0.80200000000000005</v>
      </c>
      <c r="J994" s="50">
        <f>VLOOKUP($A994,'[1]ma sp 02'!$A$5:$BD$1101,J$1,0)</f>
        <v>0</v>
      </c>
      <c r="K994" s="50">
        <f>VLOOKUP($A994,'[1]ma sp 02'!$A$5:$BD$1101,K$1,0)</f>
        <v>0</v>
      </c>
      <c r="L994" s="50">
        <f>VLOOKUP($A994,'[1]ma sp 02'!$A$5:$BD$1101,L$1,0)</f>
        <v>0.56299999999999994</v>
      </c>
      <c r="M994" s="50">
        <f>VLOOKUP($A994,'[1]ma sp 02'!$A$5:$BD$1101,M$1,0)</f>
        <v>8.6999999999999994E-2</v>
      </c>
      <c r="N994" s="50">
        <f>VLOOKUP($A994,'[1]ma sp 02'!$A$5:$BD$1101,N$1,0)</f>
        <v>0</v>
      </c>
      <c r="O994" s="50">
        <f>VLOOKUP($A994,'[1]ma sp 02'!$A$5:$BD$1101,O$1,0)</f>
        <v>0</v>
      </c>
      <c r="P994" s="50">
        <f>VLOOKUP($A994,'[1]ma sp 02'!$A$5:$BD$1101,P$1,0)</f>
        <v>0</v>
      </c>
      <c r="Q994" s="50">
        <f>VLOOKUP($A994,'[1]ma sp 02'!$A$5:$BD$1101,Q$1,0)</f>
        <v>0</v>
      </c>
      <c r="R994" s="50">
        <f>VLOOKUP($A994,'[1]ma sp 02'!$A$5:$BD$1101,R$1,0)</f>
        <v>0</v>
      </c>
      <c r="S994" s="50">
        <f>VLOOKUP($A994,'[1]ma sp 02'!$A$5:$BD$1101,S$1,0)</f>
        <v>0</v>
      </c>
      <c r="T994" s="50">
        <f>VLOOKUP($A994,'[1]ma sp 02'!$A$5:$BD$1101,T$1,0)</f>
        <v>0</v>
      </c>
      <c r="U994" s="50">
        <f>VLOOKUP($A994,'[1]ma sp 02'!$A$5:$BD$1101,U$1,0)</f>
        <v>0</v>
      </c>
      <c r="V994" s="50">
        <f>VLOOKUP($A994,'[1]ma sp 02'!$A$5:$BD$1101,V$1,0)</f>
        <v>0</v>
      </c>
      <c r="W994" s="50">
        <f>VLOOKUP($A994,'[1]ma sp 02'!$A$5:$BD$1101,W$1,0)</f>
        <v>0</v>
      </c>
      <c r="X994" s="50"/>
      <c r="Y994" s="62"/>
      <c r="Z994" s="62"/>
      <c r="AA994" s="62"/>
      <c r="AB994" s="62"/>
      <c r="AC994" s="62"/>
      <c r="AD994" s="62"/>
      <c r="AE994" s="62" t="s">
        <v>3159</v>
      </c>
      <c r="AF994" s="62"/>
      <c r="AG994" s="71">
        <f>(0.02*0.91+0.02*0.91)*0.97</f>
        <v>3.5307999999999999E-2</v>
      </c>
      <c r="AH994" s="54">
        <f>(1.8/0.75/2)*0.97</f>
        <v>1.1639999999999999</v>
      </c>
      <c r="AI994" s="153"/>
      <c r="AJ994" s="58">
        <v>9530</v>
      </c>
      <c r="AK994" s="58"/>
      <c r="AL994" s="62">
        <v>1.8E-3</v>
      </c>
      <c r="AM994" s="61" t="s">
        <v>1489</v>
      </c>
      <c r="AN994" s="62">
        <v>200</v>
      </c>
      <c r="AO994" s="61" t="s">
        <v>180</v>
      </c>
      <c r="AP994" s="59"/>
      <c r="AQ994" s="59"/>
      <c r="AR994" s="59">
        <f>IFERROR(VLOOKUP($A994,[2]Mssp!$A$5:$BE$1463,AR$4+1,0),0)</f>
        <v>0</v>
      </c>
      <c r="AS994" s="59">
        <f>IFERROR(VLOOKUP($A994,[2]Mssp!$A$5:$BE$1463,AS$4+1,0),0)</f>
        <v>0</v>
      </c>
      <c r="AT994" s="59">
        <f>IFERROR(VLOOKUP($A994,[2]Mssp!$A$5:$BE$1463,AT$4+1,0),0)</f>
        <v>0</v>
      </c>
      <c r="AU994" s="59">
        <f>IFERROR(VLOOKUP($A994,[2]Mssp!$A$5:$BE$1463,AU$4+1,0),0)</f>
        <v>0</v>
      </c>
      <c r="AV994" s="59">
        <f>IFERROR(VLOOKUP($A994,[2]Mssp!$A$5:$BE$1463,AV$4+1,0),0)</f>
        <v>0</v>
      </c>
      <c r="AW994" s="59">
        <f>IFERROR(VLOOKUP($A994,[2]Mssp!$A$5:$BE$1463,AW$4+1,0),0)</f>
        <v>0</v>
      </c>
      <c r="AX994" s="59">
        <f>IFERROR(VLOOKUP($A994,[2]Mssp!$A$5:$BE$1463,AX$4+1,0),0)</f>
        <v>0</v>
      </c>
      <c r="AY994" s="59" t="str">
        <f>IFERROR(VLOOKUP($A994,[2]Mssp!$A$5:$BE$1463,AY$4+2,0),0)</f>
        <v>400x1100</v>
      </c>
      <c r="AZ994" s="59">
        <f>IFERROR(VLOOKUP($A994,[2]Mssp!$A$5:$BE$1463,AZ$4+2,0),0)</f>
        <v>0</v>
      </c>
      <c r="BA994" s="141"/>
      <c r="BB994" s="61" t="s">
        <v>952</v>
      </c>
      <c r="BC994" s="165"/>
      <c r="BD994" s="166"/>
      <c r="BE994" s="167"/>
      <c r="BF994" s="168"/>
      <c r="BG994" s="167"/>
      <c r="BH994" s="168"/>
      <c r="BI994" s="169"/>
      <c r="BJ994" s="168"/>
      <c r="BK994" s="134"/>
      <c r="BL994" s="168"/>
      <c r="BM994" s="167"/>
      <c r="BN994" s="168"/>
      <c r="BO994" s="62"/>
      <c r="BP994" s="168"/>
      <c r="BQ994" s="168"/>
      <c r="BR994" s="168"/>
      <c r="BS994" s="135"/>
      <c r="BT994" s="176"/>
      <c r="BU994" s="167"/>
      <c r="BV994" s="168"/>
      <c r="BW994" s="167"/>
      <c r="BX994" s="168"/>
      <c r="BY994" s="167"/>
      <c r="BZ994" s="176"/>
      <c r="CA994" s="167"/>
      <c r="CB994" s="168"/>
      <c r="CC994" s="167"/>
      <c r="CD994" s="168"/>
      <c r="CE994" s="62"/>
      <c r="CF994" s="62"/>
      <c r="CG994" s="9"/>
      <c r="CH994" s="9"/>
      <c r="CI994" s="9"/>
      <c r="CJ994" s="9"/>
      <c r="CK994" s="9"/>
      <c r="CL994" s="9"/>
      <c r="CM994" s="9"/>
      <c r="CN994" s="9"/>
      <c r="CO994" s="9"/>
      <c r="CP994" s="9"/>
    </row>
    <row r="995" spans="1:94" ht="45" x14ac:dyDescent="0.25">
      <c r="A995" s="127" t="s">
        <v>3160</v>
      </c>
      <c r="B995" s="51" t="s">
        <v>3161</v>
      </c>
      <c r="C995" s="62"/>
      <c r="D995" s="84">
        <v>11</v>
      </c>
      <c r="E995" s="62" t="s">
        <v>641</v>
      </c>
      <c r="F995" s="62">
        <v>8</v>
      </c>
      <c r="G995" s="62" t="s">
        <v>184</v>
      </c>
      <c r="H995" s="50">
        <f>VLOOKUP($A995,'[1]ma sp 02'!$A$5:$BD$1101,H$1,0)</f>
        <v>0.01</v>
      </c>
      <c r="I995" s="50">
        <f>VLOOKUP($A995,'[1]ma sp 02'!$A$5:$BD$1101,I$1,0)</f>
        <v>3.0739999999999998</v>
      </c>
      <c r="J995" s="50">
        <f>VLOOKUP($A995,'[1]ma sp 02'!$A$5:$BD$1101,J$1,0)</f>
        <v>0</v>
      </c>
      <c r="K995" s="50">
        <f>VLOOKUP($A995,'[1]ma sp 02'!$A$5:$BD$1101,K$1,0)</f>
        <v>0</v>
      </c>
      <c r="L995" s="50">
        <f>VLOOKUP($A995,'[1]ma sp 02'!$A$5:$BD$1101,L$1,0)</f>
        <v>0.01</v>
      </c>
      <c r="M995" s="50">
        <f>VLOOKUP($A995,'[1]ma sp 02'!$A$5:$BD$1101,M$1,0)</f>
        <v>0</v>
      </c>
      <c r="N995" s="50">
        <f>VLOOKUP($A995,'[1]ma sp 02'!$A$5:$BD$1101,N$1,0)</f>
        <v>0</v>
      </c>
      <c r="O995" s="50">
        <f>VLOOKUP($A995,'[1]ma sp 02'!$A$5:$BD$1101,O$1,0)</f>
        <v>0</v>
      </c>
      <c r="P995" s="50">
        <f>VLOOKUP($A995,'[1]ma sp 02'!$A$5:$BD$1101,P$1,0)</f>
        <v>0.70899999999999996</v>
      </c>
      <c r="Q995" s="50">
        <f>VLOOKUP($A995,'[1]ma sp 02'!$A$5:$BD$1101,Q$1,0)</f>
        <v>0</v>
      </c>
      <c r="R995" s="50">
        <f>VLOOKUP($A995,'[1]ma sp 02'!$A$5:$BD$1101,R$1,0)</f>
        <v>0.01</v>
      </c>
      <c r="S995" s="50">
        <f>VLOOKUP($A995,'[1]ma sp 02'!$A$5:$BD$1101,S$1,0)</f>
        <v>0</v>
      </c>
      <c r="T995" s="50">
        <f>VLOOKUP($A995,'[1]ma sp 02'!$A$5:$BD$1101,T$1,0)</f>
        <v>0</v>
      </c>
      <c r="U995" s="50">
        <f>VLOOKUP($A995,'[1]ma sp 02'!$A$5:$BD$1101,U$1,0)</f>
        <v>0</v>
      </c>
      <c r="V995" s="50">
        <f>VLOOKUP($A995,'[1]ma sp 02'!$A$5:$BD$1101,V$1,0)</f>
        <v>0</v>
      </c>
      <c r="W995" s="50">
        <f>VLOOKUP($A995,'[1]ma sp 02'!$A$5:$BD$1101,W$1,0)</f>
        <v>0</v>
      </c>
      <c r="X995" s="50"/>
      <c r="Y995" s="62"/>
      <c r="Z995" s="62"/>
      <c r="AA995" s="62"/>
      <c r="AB995" s="62"/>
      <c r="AC995" s="62"/>
      <c r="AD995" s="62"/>
      <c r="AE995" s="62" t="s">
        <v>3162</v>
      </c>
      <c r="AF995" s="62"/>
      <c r="AG995" s="53">
        <f>(0.02*0.91+0.035*0.91)*0.73</f>
        <v>3.65365E-2</v>
      </c>
      <c r="AH995" s="54">
        <f>(2.3/0.75/2)*0.73</f>
        <v>1.1193333333333333</v>
      </c>
      <c r="AI995" s="153"/>
      <c r="AJ995" s="58">
        <v>9530</v>
      </c>
      <c r="AK995" s="58"/>
      <c r="AL995" s="62">
        <v>2.3E-3</v>
      </c>
      <c r="AM995" s="61" t="s">
        <v>1489</v>
      </c>
      <c r="AN995" s="62">
        <v>154</v>
      </c>
      <c r="AO995" s="61" t="s">
        <v>3163</v>
      </c>
      <c r="AP995" s="59" t="str">
        <f>IFERROR(VLOOKUP($A995,[2]Mssp!$A$5:$BE$1463,AP$4+1,0),0)</f>
        <v>21120676-1</v>
      </c>
      <c r="AQ995" s="59" t="str">
        <f>IFERROR(VLOOKUP($A995,[2]Mssp!$A$5:$BE$1463,AQ$4+1,0),0)</f>
        <v>21120676-2</v>
      </c>
      <c r="AR995" s="59" t="str">
        <f>IFERROR(VLOOKUP($A995,[2]Mssp!$A$5:$BE$1463,AR$4+1,0),0)</f>
        <v>21120676-3</v>
      </c>
      <c r="AS995" s="59" t="str">
        <f>IFERROR(VLOOKUP($A995,[2]Mssp!$A$5:$BE$1463,AS$4+1,0),0)</f>
        <v>21120676-4</v>
      </c>
      <c r="AT995" s="59" t="str">
        <f>IFERROR(VLOOKUP($A995,[2]Mssp!$A$5:$BE$1463,AT$4+1,0),0)</f>
        <v>21120676-5</v>
      </c>
      <c r="AU995" s="59" t="str">
        <f>IFERROR(VLOOKUP($A995,[2]Mssp!$A$5:$BE$1463,AU$4+1,0),0)</f>
        <v>21120676-6</v>
      </c>
      <c r="AV995" s="59" t="str">
        <f>IFERROR(VLOOKUP($A995,[2]Mssp!$A$5:$BE$1463,AV$4+1,0),0)</f>
        <v>21120676-7</v>
      </c>
      <c r="AW995" s="59" t="str">
        <f>IFERROR(VLOOKUP($A995,[2]Mssp!$A$5:$BE$1463,AW$4+1,0),0)</f>
        <v>21120676-8</v>
      </c>
      <c r="AX995" s="59">
        <f>IFERROR(VLOOKUP($A995,[2]Mssp!$A$5:$BE$1463,AX$4+1,0),0)</f>
        <v>0</v>
      </c>
      <c r="AY995" s="59" t="str">
        <f>IFERROR(VLOOKUP($A995,[2]Mssp!$A$5:$BE$1463,AY$4+2,0),0)</f>
        <v>462x870</v>
      </c>
      <c r="AZ995" s="59">
        <f>IFERROR(VLOOKUP($A995,[2]Mssp!$A$5:$BE$1463,AZ$4+2,0),0)</f>
        <v>0</v>
      </c>
      <c r="BA995" s="141"/>
      <c r="BB995" s="61" t="s">
        <v>1894</v>
      </c>
      <c r="BC995" s="165"/>
      <c r="BD995" s="166"/>
      <c r="BE995" s="167"/>
      <c r="BF995" s="168"/>
      <c r="BG995" s="167"/>
      <c r="BH995" s="168"/>
      <c r="BI995" s="169"/>
      <c r="BJ995" s="168"/>
      <c r="BK995" s="134"/>
      <c r="BL995" s="168"/>
      <c r="BM995" s="167"/>
      <c r="BN995" s="168"/>
      <c r="BO995" s="62"/>
      <c r="BP995" s="168"/>
      <c r="BQ995" s="168"/>
      <c r="BR995" s="168"/>
      <c r="BS995" s="135"/>
      <c r="BT995" s="176"/>
      <c r="BU995" s="167"/>
      <c r="BV995" s="168"/>
      <c r="BW995" s="167"/>
      <c r="BX995" s="168"/>
      <c r="BY995" s="167"/>
      <c r="BZ995" s="176"/>
      <c r="CA995" s="167"/>
      <c r="CB995" s="168"/>
      <c r="CC995" s="167"/>
      <c r="CD995" s="168"/>
      <c r="CE995" s="62"/>
      <c r="CF995" s="62"/>
      <c r="CG995" s="9"/>
      <c r="CH995" s="9"/>
      <c r="CI995" s="9"/>
      <c r="CJ995" s="9"/>
      <c r="CK995" s="9"/>
      <c r="CL995" s="9"/>
      <c r="CM995" s="9"/>
      <c r="CN995" s="9"/>
      <c r="CO995" s="9"/>
      <c r="CP995" s="9"/>
    </row>
    <row r="996" spans="1:94" ht="45" x14ac:dyDescent="0.25">
      <c r="A996" s="127" t="s">
        <v>3164</v>
      </c>
      <c r="B996" s="51" t="s">
        <v>3165</v>
      </c>
      <c r="C996" s="62"/>
      <c r="D996" s="84">
        <v>11</v>
      </c>
      <c r="E996" s="62" t="s">
        <v>641</v>
      </c>
      <c r="F996" s="62">
        <v>8</v>
      </c>
      <c r="G996" s="62" t="s">
        <v>184</v>
      </c>
      <c r="H996" s="50">
        <f>VLOOKUP($A996,'[1]ma sp 02'!$A$5:$BD$1101,H$1,0)</f>
        <v>0.01</v>
      </c>
      <c r="I996" s="50">
        <f>VLOOKUP($A996,'[1]ma sp 02'!$A$5:$BD$1101,I$1,0)</f>
        <v>4.4790000000000001</v>
      </c>
      <c r="J996" s="50">
        <f>VLOOKUP($A996,'[1]ma sp 02'!$A$5:$BD$1101,J$1,0)</f>
        <v>0.01</v>
      </c>
      <c r="K996" s="50">
        <f>VLOOKUP($A996,'[1]ma sp 02'!$A$5:$BD$1101,K$1,0)</f>
        <v>0.17599999999999999</v>
      </c>
      <c r="L996" s="50">
        <f>VLOOKUP($A996,'[1]ma sp 02'!$A$5:$BD$1101,L$1,0)</f>
        <v>0.70299999999999996</v>
      </c>
      <c r="M996" s="50">
        <f>VLOOKUP($A996,'[1]ma sp 02'!$A$5:$BD$1101,M$1,0)</f>
        <v>1.581</v>
      </c>
      <c r="N996" s="50">
        <f>VLOOKUP($A996,'[1]ma sp 02'!$A$5:$BD$1101,N$1,0)</f>
        <v>0</v>
      </c>
      <c r="O996" s="50">
        <f>VLOOKUP($A996,'[1]ma sp 02'!$A$5:$BD$1101,O$1,0)</f>
        <v>0</v>
      </c>
      <c r="P996" s="50">
        <f>VLOOKUP($A996,'[1]ma sp 02'!$A$5:$BD$1101,P$1,0)</f>
        <v>0.01</v>
      </c>
      <c r="Q996" s="50">
        <f>VLOOKUP($A996,'[1]ma sp 02'!$A$5:$BD$1101,Q$1,0)</f>
        <v>0</v>
      </c>
      <c r="R996" s="50">
        <f>VLOOKUP($A996,'[1]ma sp 02'!$A$5:$BD$1101,R$1,0)</f>
        <v>8.7999999999999995E-2</v>
      </c>
      <c r="S996" s="50">
        <f>VLOOKUP($A996,'[1]ma sp 02'!$A$5:$BD$1101,S$1,0)</f>
        <v>0</v>
      </c>
      <c r="T996" s="50">
        <f>VLOOKUP($A996,'[1]ma sp 02'!$A$5:$BD$1101,T$1,0)</f>
        <v>0</v>
      </c>
      <c r="U996" s="50">
        <f>VLOOKUP($A996,'[1]ma sp 02'!$A$5:$BD$1101,U$1,0)</f>
        <v>0</v>
      </c>
      <c r="V996" s="50">
        <f>VLOOKUP($A996,'[1]ma sp 02'!$A$5:$BD$1101,V$1,0)</f>
        <v>0</v>
      </c>
      <c r="W996" s="50">
        <f>VLOOKUP($A996,'[1]ma sp 02'!$A$5:$BD$1101,W$1,0)</f>
        <v>0</v>
      </c>
      <c r="X996" s="50"/>
      <c r="Y996" s="62"/>
      <c r="Z996" s="62"/>
      <c r="AA996" s="62"/>
      <c r="AB996" s="62"/>
      <c r="AC996" s="62"/>
      <c r="AD996" s="62"/>
      <c r="AE996" s="62" t="s">
        <v>3162</v>
      </c>
      <c r="AF996" s="62"/>
      <c r="AG996" s="53">
        <f>(0.02*0.91+0.035*0.91)*0.73</f>
        <v>3.65365E-2</v>
      </c>
      <c r="AH996" s="54">
        <f>(2.3/0.75/2)*0.73</f>
        <v>1.1193333333333333</v>
      </c>
      <c r="AI996" s="153"/>
      <c r="AJ996" s="58">
        <v>9530</v>
      </c>
      <c r="AK996" s="58"/>
      <c r="AL996" s="62">
        <v>2.3E-3</v>
      </c>
      <c r="AM996" s="61" t="s">
        <v>1489</v>
      </c>
      <c r="AN996" s="62">
        <v>154</v>
      </c>
      <c r="AO996" s="61" t="s">
        <v>3163</v>
      </c>
      <c r="AP996" s="59" t="str">
        <f>IFERROR(VLOOKUP($A996,[2]Mssp!$A$5:$BE$1463,AP$4+1,0),0)</f>
        <v>21120677-1</v>
      </c>
      <c r="AQ996" s="59" t="str">
        <f>IFERROR(VLOOKUP($A996,[2]Mssp!$A$5:$BE$1463,AQ$4+1,0),0)</f>
        <v>21120676-2</v>
      </c>
      <c r="AR996" s="59" t="str">
        <f>IFERROR(VLOOKUP($A996,[2]Mssp!$A$5:$BE$1463,AR$4+1,0),0)</f>
        <v>21120676-3</v>
      </c>
      <c r="AS996" s="59" t="str">
        <f>IFERROR(VLOOKUP($A996,[2]Mssp!$A$5:$BE$1463,AS$4+1,0),0)</f>
        <v>21120677-4</v>
      </c>
      <c r="AT996" s="59" t="str">
        <f>IFERROR(VLOOKUP($A996,[2]Mssp!$A$5:$BE$1463,AT$4+1,0),0)</f>
        <v>21120677-5</v>
      </c>
      <c r="AU996" s="59" t="str">
        <f>IFERROR(VLOOKUP($A996,[2]Mssp!$A$5:$BE$1463,AU$4+1,0),0)</f>
        <v>21120677-6</v>
      </c>
      <c r="AV996" s="59" t="str">
        <f>IFERROR(VLOOKUP($A996,[2]Mssp!$A$5:$BE$1463,AV$4+1,0),0)</f>
        <v>21120677-7</v>
      </c>
      <c r="AW996" s="59" t="str">
        <f>IFERROR(VLOOKUP($A996,[2]Mssp!$A$5:$BE$1463,AW$4+1,0),0)</f>
        <v>21120676-8</v>
      </c>
      <c r="AX996" s="59">
        <f>IFERROR(VLOOKUP($A996,[2]Mssp!$A$5:$BE$1463,AX$4+1,0),0)</f>
        <v>0</v>
      </c>
      <c r="AY996" s="59" t="str">
        <f>IFERROR(VLOOKUP($A996,[2]Mssp!$A$5:$BE$1463,AY$4+2,0),0)</f>
        <v>462x870</v>
      </c>
      <c r="AZ996" s="59">
        <f>IFERROR(VLOOKUP($A996,[2]Mssp!$A$5:$BE$1463,AZ$4+2,0),0)</f>
        <v>0</v>
      </c>
      <c r="BA996" s="141"/>
      <c r="BB996" s="61" t="s">
        <v>1894</v>
      </c>
      <c r="BC996" s="165"/>
      <c r="BD996" s="166"/>
      <c r="BE996" s="167"/>
      <c r="BF996" s="168"/>
      <c r="BG996" s="167"/>
      <c r="BH996" s="168"/>
      <c r="BI996" s="169"/>
      <c r="BJ996" s="168"/>
      <c r="BK996" s="134"/>
      <c r="BL996" s="168"/>
      <c r="BM996" s="167"/>
      <c r="BN996" s="168"/>
      <c r="BO996" s="62"/>
      <c r="BP996" s="168"/>
      <c r="BQ996" s="168"/>
      <c r="BR996" s="168"/>
      <c r="BS996" s="135"/>
      <c r="BT996" s="176"/>
      <c r="BU996" s="167"/>
      <c r="BV996" s="168"/>
      <c r="BW996" s="167"/>
      <c r="BX996" s="168"/>
      <c r="BY996" s="167"/>
      <c r="BZ996" s="176"/>
      <c r="CA996" s="167"/>
      <c r="CB996" s="168"/>
      <c r="CC996" s="167"/>
      <c r="CD996" s="168"/>
      <c r="CE996" s="62"/>
      <c r="CF996" s="62"/>
      <c r="CG996" s="9"/>
      <c r="CH996" s="9"/>
      <c r="CI996" s="9"/>
      <c r="CJ996" s="9"/>
      <c r="CK996" s="9"/>
      <c r="CL996" s="9"/>
      <c r="CM996" s="9"/>
      <c r="CN996" s="9"/>
      <c r="CO996" s="9"/>
      <c r="CP996" s="9"/>
    </row>
    <row r="997" spans="1:94" ht="45" x14ac:dyDescent="0.25">
      <c r="A997" s="127" t="s">
        <v>3166</v>
      </c>
      <c r="B997" s="51" t="s">
        <v>3167</v>
      </c>
      <c r="C997" s="62"/>
      <c r="D997" s="84">
        <v>11</v>
      </c>
      <c r="E997" s="62" t="s">
        <v>641</v>
      </c>
      <c r="F997" s="62">
        <v>8</v>
      </c>
      <c r="G997" s="62" t="s">
        <v>184</v>
      </c>
      <c r="H997" s="50">
        <f>VLOOKUP($A997,'[1]ma sp 02'!$A$5:$BD$1101,H$1,0)</f>
        <v>0</v>
      </c>
      <c r="I997" s="50">
        <f>VLOOKUP($A997,'[1]ma sp 02'!$A$5:$BD$1101,I$1,0)</f>
        <v>6.0149999999999997</v>
      </c>
      <c r="J997" s="50">
        <f>VLOOKUP($A997,'[1]ma sp 02'!$A$5:$BD$1101,J$1,0)</f>
        <v>0</v>
      </c>
      <c r="K997" s="50">
        <f>VLOOKUP($A997,'[1]ma sp 02'!$A$5:$BD$1101,K$1,0)</f>
        <v>0</v>
      </c>
      <c r="L997" s="50">
        <f>VLOOKUP($A997,'[1]ma sp 02'!$A$5:$BD$1101,L$1,0)</f>
        <v>0.01</v>
      </c>
      <c r="M997" s="50">
        <f>VLOOKUP($A997,'[1]ma sp 02'!$A$5:$BD$1101,M$1,0)</f>
        <v>0.70799999999999996</v>
      </c>
      <c r="N997" s="50">
        <f>VLOOKUP($A997,'[1]ma sp 02'!$A$5:$BD$1101,N$1,0)</f>
        <v>0</v>
      </c>
      <c r="O997" s="50">
        <f>VLOOKUP($A997,'[1]ma sp 02'!$A$5:$BD$1101,O$1,0)</f>
        <v>0</v>
      </c>
      <c r="P997" s="50">
        <f>VLOOKUP($A997,'[1]ma sp 02'!$A$5:$BD$1101,P$1,0)</f>
        <v>0</v>
      </c>
      <c r="Q997" s="50">
        <f>VLOOKUP($A997,'[1]ma sp 02'!$A$5:$BD$1101,Q$1,0)</f>
        <v>0.01</v>
      </c>
      <c r="R997" s="50">
        <f>VLOOKUP($A997,'[1]ma sp 02'!$A$5:$BD$1101,R$1,0)</f>
        <v>0</v>
      </c>
      <c r="S997" s="50">
        <f>VLOOKUP($A997,'[1]ma sp 02'!$A$5:$BD$1101,S$1,0)</f>
        <v>0</v>
      </c>
      <c r="T997" s="50">
        <f>VLOOKUP($A997,'[1]ma sp 02'!$A$5:$BD$1101,T$1,0)</f>
        <v>0</v>
      </c>
      <c r="U997" s="50">
        <f>VLOOKUP($A997,'[1]ma sp 02'!$A$5:$BD$1101,U$1,0)</f>
        <v>0</v>
      </c>
      <c r="V997" s="50">
        <f>VLOOKUP($A997,'[1]ma sp 02'!$A$5:$BD$1101,V$1,0)</f>
        <v>0</v>
      </c>
      <c r="W997" s="50">
        <f>VLOOKUP($A997,'[1]ma sp 02'!$A$5:$BD$1101,W$1,0)</f>
        <v>0</v>
      </c>
      <c r="X997" s="50"/>
      <c r="Y997" s="62"/>
      <c r="Z997" s="62"/>
      <c r="AA997" s="62"/>
      <c r="AB997" s="62"/>
      <c r="AC997" s="62"/>
      <c r="AD997" s="62"/>
      <c r="AE997" s="62" t="s">
        <v>3162</v>
      </c>
      <c r="AF997" s="62"/>
      <c r="AG997" s="53">
        <f>(0.02*0.91+0.035*0.91)*0.73</f>
        <v>3.65365E-2</v>
      </c>
      <c r="AH997" s="54">
        <f>(2.3/0.75/2)*0.73</f>
        <v>1.1193333333333333</v>
      </c>
      <c r="AI997" s="153"/>
      <c r="AJ997" s="58">
        <v>9530</v>
      </c>
      <c r="AK997" s="58"/>
      <c r="AL997" s="62">
        <v>2.3E-3</v>
      </c>
      <c r="AM997" s="61" t="s">
        <v>1489</v>
      </c>
      <c r="AN997" s="62">
        <v>154</v>
      </c>
      <c r="AO997" s="61" t="s">
        <v>3163</v>
      </c>
      <c r="AP997" s="59" t="str">
        <f>IFERROR(VLOOKUP($A997,[2]Mssp!$A$5:$BE$1463,AP$4+1,0),0)</f>
        <v>21120679-1</v>
      </c>
      <c r="AQ997" s="59" t="str">
        <f>IFERROR(VLOOKUP($A997,[2]Mssp!$A$5:$BE$1463,AQ$4+1,0),0)</f>
        <v>21120676-2</v>
      </c>
      <c r="AR997" s="59" t="str">
        <f>IFERROR(VLOOKUP($A997,[2]Mssp!$A$5:$BE$1463,AR$4+1,0),0)</f>
        <v>21120676-3</v>
      </c>
      <c r="AS997" s="59" t="str">
        <f>IFERROR(VLOOKUP($A997,[2]Mssp!$A$5:$BE$1463,AS$4+1,0),0)</f>
        <v>21120679-4</v>
      </c>
      <c r="AT997" s="59" t="str">
        <f>IFERROR(VLOOKUP($A997,[2]Mssp!$A$5:$BE$1463,AT$4+1,0),0)</f>
        <v>21120679-5</v>
      </c>
      <c r="AU997" s="59" t="str">
        <f>IFERROR(VLOOKUP($A997,[2]Mssp!$A$5:$BE$1463,AU$4+1,0),0)</f>
        <v>21120679-6</v>
      </c>
      <c r="AV997" s="59" t="str">
        <f>IFERROR(VLOOKUP($A997,[2]Mssp!$A$5:$BE$1463,AV$4+1,0),0)</f>
        <v>21120679-7</v>
      </c>
      <c r="AW997" s="59" t="str">
        <f>IFERROR(VLOOKUP($A997,[2]Mssp!$A$5:$BE$1463,AW$4+1,0),0)</f>
        <v>21120676-8</v>
      </c>
      <c r="AX997" s="59">
        <f>IFERROR(VLOOKUP($A997,[2]Mssp!$A$5:$BE$1463,AX$4+1,0),0)</f>
        <v>0</v>
      </c>
      <c r="AY997" s="59" t="str">
        <f>IFERROR(VLOOKUP($A997,[2]Mssp!$A$5:$BE$1463,AY$4+2,0),0)</f>
        <v>462x870</v>
      </c>
      <c r="AZ997" s="59">
        <f>IFERROR(VLOOKUP($A997,[2]Mssp!$A$5:$BE$1463,AZ$4+2,0),0)</f>
        <v>0</v>
      </c>
      <c r="BA997" s="141"/>
      <c r="BB997" s="61"/>
      <c r="BC997" s="165"/>
      <c r="BD997" s="166"/>
      <c r="BE997" s="167"/>
      <c r="BF997" s="168"/>
      <c r="BG997" s="167"/>
      <c r="BH997" s="168"/>
      <c r="BI997" s="169"/>
      <c r="BJ997" s="168"/>
      <c r="BK997" s="134"/>
      <c r="BL997" s="168"/>
      <c r="BM997" s="167"/>
      <c r="BN997" s="168"/>
      <c r="BO997" s="62"/>
      <c r="BP997" s="168"/>
      <c r="BQ997" s="168"/>
      <c r="BR997" s="168"/>
      <c r="BS997" s="135"/>
      <c r="BT997" s="176"/>
      <c r="BU997" s="167"/>
      <c r="BV997" s="168"/>
      <c r="BW997" s="167"/>
      <c r="BX997" s="168"/>
      <c r="BY997" s="167"/>
      <c r="BZ997" s="176"/>
      <c r="CA997" s="167"/>
      <c r="CB997" s="168"/>
      <c r="CC997" s="167"/>
      <c r="CD997" s="168"/>
      <c r="CE997" s="62"/>
      <c r="CF997" s="62"/>
      <c r="CG997" s="9"/>
      <c r="CH997" s="9"/>
      <c r="CI997" s="9"/>
      <c r="CJ997" s="9"/>
      <c r="CK997" s="9"/>
      <c r="CL997" s="9"/>
      <c r="CM997" s="9"/>
      <c r="CN997" s="9"/>
      <c r="CO997" s="9"/>
      <c r="CP997" s="9"/>
    </row>
    <row r="998" spans="1:94" ht="45" x14ac:dyDescent="0.25">
      <c r="A998" s="127" t="s">
        <v>3168</v>
      </c>
      <c r="B998" s="51" t="s">
        <v>3169</v>
      </c>
      <c r="C998" s="62"/>
      <c r="D998" s="84">
        <v>11</v>
      </c>
      <c r="E998" s="62" t="s">
        <v>641</v>
      </c>
      <c r="F998" s="62">
        <v>8</v>
      </c>
      <c r="G998" s="62" t="s">
        <v>184</v>
      </c>
      <c r="H998" s="50">
        <f>VLOOKUP($A998,'[1]ma sp 02'!$A$5:$BD$1101,H$1,0)</f>
        <v>0.01</v>
      </c>
      <c r="I998" s="50">
        <f>VLOOKUP($A998,'[1]ma sp 02'!$A$5:$BD$1101,I$1,0)</f>
        <v>5.51</v>
      </c>
      <c r="J998" s="50">
        <f>VLOOKUP($A998,'[1]ma sp 02'!$A$5:$BD$1101,J$1,0)</f>
        <v>0.01</v>
      </c>
      <c r="K998" s="50">
        <f>VLOOKUP($A998,'[1]ma sp 02'!$A$5:$BD$1101,K$1,0)</f>
        <v>0.01</v>
      </c>
      <c r="L998" s="50">
        <f>VLOOKUP($A998,'[1]ma sp 02'!$A$5:$BD$1101,L$1,0)</f>
        <v>0.01</v>
      </c>
      <c r="M998" s="50">
        <f>VLOOKUP($A998,'[1]ma sp 02'!$A$5:$BD$1101,M$1,0)</f>
        <v>0</v>
      </c>
      <c r="N998" s="50">
        <f>VLOOKUP($A998,'[1]ma sp 02'!$A$5:$BD$1101,N$1,0)</f>
        <v>0</v>
      </c>
      <c r="O998" s="50">
        <f>VLOOKUP($A998,'[1]ma sp 02'!$A$5:$BD$1101,O$1,0)</f>
        <v>0</v>
      </c>
      <c r="P998" s="50">
        <f>VLOOKUP($A998,'[1]ma sp 02'!$A$5:$BD$1101,P$1,0)</f>
        <v>0.01</v>
      </c>
      <c r="Q998" s="50">
        <f>VLOOKUP($A998,'[1]ma sp 02'!$A$5:$BD$1101,Q$1,0)</f>
        <v>0</v>
      </c>
      <c r="R998" s="50">
        <f>VLOOKUP($A998,'[1]ma sp 02'!$A$5:$BD$1101,R$1,0)</f>
        <v>0.01</v>
      </c>
      <c r="S998" s="50">
        <f>VLOOKUP($A998,'[1]ma sp 02'!$A$5:$BD$1101,S$1,0)</f>
        <v>0</v>
      </c>
      <c r="T998" s="50">
        <f>VLOOKUP($A998,'[1]ma sp 02'!$A$5:$BD$1101,T$1,0)</f>
        <v>0</v>
      </c>
      <c r="U998" s="50">
        <f>VLOOKUP($A998,'[1]ma sp 02'!$A$5:$BD$1101,U$1,0)</f>
        <v>0</v>
      </c>
      <c r="V998" s="50">
        <f>VLOOKUP($A998,'[1]ma sp 02'!$A$5:$BD$1101,V$1,0)</f>
        <v>0.60299999999999998</v>
      </c>
      <c r="W998" s="50">
        <f>VLOOKUP($A998,'[1]ma sp 02'!$A$5:$BD$1101,W$1,0)</f>
        <v>0</v>
      </c>
      <c r="X998" s="50"/>
      <c r="Y998" s="62"/>
      <c r="Z998" s="62"/>
      <c r="AA998" s="62"/>
      <c r="AB998" s="62"/>
      <c r="AC998" s="62"/>
      <c r="AD998" s="62"/>
      <c r="AE998" s="62" t="s">
        <v>3162</v>
      </c>
      <c r="AF998" s="62"/>
      <c r="AG998" s="53">
        <f>(0.02*0.91+0.035*0.91)*0.73</f>
        <v>3.65365E-2</v>
      </c>
      <c r="AH998" s="54">
        <f>(2.3/0.75/2)*0.73</f>
        <v>1.1193333333333333</v>
      </c>
      <c r="AI998" s="153"/>
      <c r="AJ998" s="58">
        <v>9530</v>
      </c>
      <c r="AK998" s="58"/>
      <c r="AL998" s="62">
        <v>2.3E-3</v>
      </c>
      <c r="AM998" s="61" t="s">
        <v>1489</v>
      </c>
      <c r="AN998" s="62">
        <v>154</v>
      </c>
      <c r="AO998" s="61" t="s">
        <v>3163</v>
      </c>
      <c r="AP998" s="59" t="str">
        <f>IFERROR(VLOOKUP($A998,[2]Mssp!$A$5:$BE$1463,AP$4+1,0),0)</f>
        <v>21120678-1</v>
      </c>
      <c r="AQ998" s="59" t="str">
        <f>IFERROR(VLOOKUP($A998,[2]Mssp!$A$5:$BE$1463,AQ$4+1,0),0)</f>
        <v>21120676-2</v>
      </c>
      <c r="AR998" s="59" t="str">
        <f>IFERROR(VLOOKUP($A998,[2]Mssp!$A$5:$BE$1463,AR$4+1,0),0)</f>
        <v>21120676-3</v>
      </c>
      <c r="AS998" s="59" t="str">
        <f>IFERROR(VLOOKUP($A998,[2]Mssp!$A$5:$BE$1463,AS$4+1,0),0)</f>
        <v>21120678-4</v>
      </c>
      <c r="AT998" s="59" t="str">
        <f>IFERROR(VLOOKUP($A998,[2]Mssp!$A$5:$BE$1463,AT$4+1,0),0)</f>
        <v>21120678-5</v>
      </c>
      <c r="AU998" s="59" t="str">
        <f>IFERROR(VLOOKUP($A998,[2]Mssp!$A$5:$BE$1463,AU$4+1,0),0)</f>
        <v>21120678-6</v>
      </c>
      <c r="AV998" s="59" t="str">
        <f>IFERROR(VLOOKUP($A998,[2]Mssp!$A$5:$BE$1463,AV$4+1,0),0)</f>
        <v>21120678-7</v>
      </c>
      <c r="AW998" s="59" t="str">
        <f>IFERROR(VLOOKUP($A998,[2]Mssp!$A$5:$BE$1463,AW$4+1,0),0)</f>
        <v>21120676-8</v>
      </c>
      <c r="AX998" s="59">
        <f>IFERROR(VLOOKUP($A998,[2]Mssp!$A$5:$BE$1463,AX$4+1,0),0)</f>
        <v>0</v>
      </c>
      <c r="AY998" s="59" t="str">
        <f>IFERROR(VLOOKUP($A998,[2]Mssp!$A$5:$BE$1463,AY$4+2,0),0)</f>
        <v>462x870</v>
      </c>
      <c r="AZ998" s="59">
        <f>IFERROR(VLOOKUP($A998,[2]Mssp!$A$5:$BE$1463,AZ$4+2,0),0)</f>
        <v>0</v>
      </c>
      <c r="BA998" s="141"/>
      <c r="BB998" s="61"/>
      <c r="BC998" s="165"/>
      <c r="BD998" s="166"/>
      <c r="BE998" s="167"/>
      <c r="BF998" s="168"/>
      <c r="BG998" s="167"/>
      <c r="BH998" s="168"/>
      <c r="BI998" s="169"/>
      <c r="BJ998" s="168"/>
      <c r="BK998" s="134"/>
      <c r="BL998" s="168"/>
      <c r="BM998" s="167"/>
      <c r="BN998" s="168"/>
      <c r="BO998" s="62"/>
      <c r="BP998" s="168"/>
      <c r="BQ998" s="168"/>
      <c r="BR998" s="168"/>
      <c r="BS998" s="135"/>
      <c r="BT998" s="176"/>
      <c r="BU998" s="167"/>
      <c r="BV998" s="168"/>
      <c r="BW998" s="167"/>
      <c r="BX998" s="168"/>
      <c r="BY998" s="167"/>
      <c r="BZ998" s="176"/>
      <c r="CA998" s="167"/>
      <c r="CB998" s="168"/>
      <c r="CC998" s="167"/>
      <c r="CD998" s="168"/>
      <c r="CE998" s="62"/>
      <c r="CF998" s="62"/>
      <c r="CG998" s="9"/>
      <c r="CH998" s="9"/>
      <c r="CI998" s="9"/>
      <c r="CJ998" s="9"/>
      <c r="CK998" s="9"/>
      <c r="CL998" s="9"/>
      <c r="CM998" s="9"/>
      <c r="CN998" s="9"/>
      <c r="CO998" s="9"/>
      <c r="CP998" s="9"/>
    </row>
    <row r="999" spans="1:94" ht="45" x14ac:dyDescent="0.25">
      <c r="A999" s="127" t="s">
        <v>3170</v>
      </c>
      <c r="B999" s="51" t="s">
        <v>3171</v>
      </c>
      <c r="C999" s="62"/>
      <c r="D999" s="84">
        <v>1</v>
      </c>
      <c r="E999" s="62" t="s">
        <v>1776</v>
      </c>
      <c r="F999" s="62">
        <v>4</v>
      </c>
      <c r="G999" s="62"/>
      <c r="H999" s="50">
        <f>VLOOKUP($A999,'[1]ma sp 02'!$A$5:$BD$1101,H$1,0)</f>
        <v>0.01</v>
      </c>
      <c r="I999" s="50">
        <f>VLOOKUP($A999,'[1]ma sp 02'!$A$5:$BD$1101,I$1,0)</f>
        <v>4.2370000000000001</v>
      </c>
      <c r="J999" s="50">
        <f>VLOOKUP($A999,'[1]ma sp 02'!$A$5:$BD$1101,J$1,0)</f>
        <v>0</v>
      </c>
      <c r="K999" s="50">
        <f>VLOOKUP($A999,'[1]ma sp 02'!$A$5:$BD$1101,K$1,0)</f>
        <v>0</v>
      </c>
      <c r="L999" s="50">
        <f>VLOOKUP($A999,'[1]ma sp 02'!$A$5:$BD$1101,L$1,0)</f>
        <v>0</v>
      </c>
      <c r="M999" s="50">
        <f>VLOOKUP($A999,'[1]ma sp 02'!$A$5:$BD$1101,M$1,0)</f>
        <v>0.442</v>
      </c>
      <c r="N999" s="50">
        <f>VLOOKUP($A999,'[1]ma sp 02'!$A$5:$BD$1101,N$1,0)</f>
        <v>0</v>
      </c>
      <c r="O999" s="50">
        <f>VLOOKUP($A999,'[1]ma sp 02'!$A$5:$BD$1101,O$1,0)</f>
        <v>0</v>
      </c>
      <c r="P999" s="50">
        <f>VLOOKUP($A999,'[1]ma sp 02'!$A$5:$BD$1101,P$1,0)</f>
        <v>0</v>
      </c>
      <c r="Q999" s="50">
        <f>VLOOKUP($A999,'[1]ma sp 02'!$A$5:$BD$1101,Q$1,0)</f>
        <v>0</v>
      </c>
      <c r="R999" s="50">
        <f>VLOOKUP($A999,'[1]ma sp 02'!$A$5:$BD$1101,R$1,0)</f>
        <v>0</v>
      </c>
      <c r="S999" s="50">
        <f>VLOOKUP($A999,'[1]ma sp 02'!$A$5:$BD$1101,S$1,0)</f>
        <v>0</v>
      </c>
      <c r="T999" s="50">
        <f>VLOOKUP($A999,'[1]ma sp 02'!$A$5:$BD$1101,T$1,0)</f>
        <v>0</v>
      </c>
      <c r="U999" s="50">
        <f>VLOOKUP($A999,'[1]ma sp 02'!$A$5:$BD$1101,U$1,0)</f>
        <v>0</v>
      </c>
      <c r="V999" s="50">
        <f>VLOOKUP($A999,'[1]ma sp 02'!$A$5:$BD$1101,V$1,0)</f>
        <v>0</v>
      </c>
      <c r="W999" s="50">
        <f>VLOOKUP($A999,'[1]ma sp 02'!$A$5:$BD$1101,W$1,0)</f>
        <v>0</v>
      </c>
      <c r="X999" s="50"/>
      <c r="Y999" s="62"/>
      <c r="Z999" s="62"/>
      <c r="AA999" s="62"/>
      <c r="AB999" s="62"/>
      <c r="AC999" s="62"/>
      <c r="AD999" s="62"/>
      <c r="AE999" s="62" t="s">
        <v>3172</v>
      </c>
      <c r="AF999" s="62"/>
      <c r="AG999" s="53">
        <f>(0.02*0.91+0.035*0.91)*0.59</f>
        <v>2.95295E-2</v>
      </c>
      <c r="AH999" s="54">
        <f>(3/0.75/2)*0.58</f>
        <v>1.1599999999999999</v>
      </c>
      <c r="AI999" s="54"/>
      <c r="AJ999" s="192">
        <v>9530</v>
      </c>
      <c r="AK999" s="62"/>
      <c r="AL999" s="62">
        <v>2.5000000000000001E-3</v>
      </c>
      <c r="AM999" s="61" t="s">
        <v>2758</v>
      </c>
      <c r="AN999" s="62">
        <v>125</v>
      </c>
      <c r="AO999" s="61" t="s">
        <v>3173</v>
      </c>
      <c r="AP999" s="59" t="str">
        <f>IFERROR(VLOOKUP($A999,[2]Mssp!$A$5:$BE$1463,AP$4+1,0),0)</f>
        <v>F130193-1</v>
      </c>
      <c r="AQ999" s="59" t="str">
        <f>IFERROR(VLOOKUP($A999,[2]Mssp!$A$5:$BE$1463,AQ$4+1,0),0)</f>
        <v>F130193-2</v>
      </c>
      <c r="AR999" s="59" t="str">
        <f>IFERROR(VLOOKUP($A999,[2]Mssp!$A$5:$BE$1463,AR$4+1,0),0)</f>
        <v>F130193-3</v>
      </c>
      <c r="AS999" s="59" t="str">
        <f>IFERROR(VLOOKUP($A999,[2]Mssp!$A$5:$BE$1463,AS$4+1,0),0)</f>
        <v>F130193-4</v>
      </c>
      <c r="AT999" s="59">
        <f>IFERROR(VLOOKUP($A999,[2]Mssp!$A$5:$BE$1463,AT$4+1,0),0)</f>
        <v>0</v>
      </c>
      <c r="AU999" s="59">
        <f>IFERROR(VLOOKUP($A999,[2]Mssp!$A$5:$BE$1463,AU$4+1,0),0)</f>
        <v>0</v>
      </c>
      <c r="AV999" s="59">
        <f>IFERROR(VLOOKUP($A999,[2]Mssp!$A$5:$BE$1463,AV$4+1,0),0)</f>
        <v>0</v>
      </c>
      <c r="AW999" s="59">
        <f>IFERROR(VLOOKUP($A999,[2]Mssp!$A$5:$BE$1463,AW$4+1,0),0)</f>
        <v>0</v>
      </c>
      <c r="AX999" s="59">
        <f>IFERROR(VLOOKUP($A999,[2]Mssp!$A$5:$BE$1463,AX$4+1,0),0)</f>
        <v>0</v>
      </c>
      <c r="AY999" s="59" t="str">
        <f>IFERROR(VLOOKUP($A999,[2]Mssp!$A$5:$BE$1463,AY$4+2,0),0)</f>
        <v>500x880</v>
      </c>
      <c r="AZ999" s="59">
        <f>IFERROR(VLOOKUP($A999,[2]Mssp!$A$5:$BE$1463,AZ$4+2,0),0)</f>
        <v>0</v>
      </c>
      <c r="BA999" s="141"/>
      <c r="BB999" s="61" t="s">
        <v>1894</v>
      </c>
      <c r="BC999" s="165"/>
      <c r="BD999" s="166"/>
      <c r="BE999" s="167"/>
      <c r="BF999" s="168"/>
      <c r="BG999" s="167"/>
      <c r="BH999" s="168"/>
      <c r="BI999" s="169"/>
      <c r="BJ999" s="168"/>
      <c r="BK999" s="134"/>
      <c r="BL999" s="168"/>
      <c r="BM999" s="167"/>
      <c r="BN999" s="168"/>
      <c r="BO999" s="62"/>
      <c r="BP999" s="168"/>
      <c r="BQ999" s="168"/>
      <c r="BR999" s="168"/>
      <c r="BS999" s="135"/>
      <c r="BT999" s="176"/>
      <c r="BU999" s="167"/>
      <c r="BV999" s="168"/>
      <c r="BW999" s="167"/>
      <c r="BX999" s="168"/>
      <c r="BY999" s="167"/>
      <c r="BZ999" s="176"/>
      <c r="CA999" s="167"/>
      <c r="CB999" s="168"/>
      <c r="CC999" s="167"/>
      <c r="CD999" s="168"/>
      <c r="CE999" s="62"/>
      <c r="CF999" s="62"/>
      <c r="CG999" s="9"/>
      <c r="CH999" s="9"/>
      <c r="CI999" s="9"/>
      <c r="CJ999" s="9"/>
      <c r="CK999" s="9"/>
      <c r="CL999" s="9"/>
      <c r="CM999" s="9"/>
      <c r="CN999" s="9"/>
      <c r="CO999" s="9"/>
      <c r="CP999" s="9"/>
    </row>
    <row r="1000" spans="1:94" ht="45" x14ac:dyDescent="0.25">
      <c r="A1000" s="158" t="s">
        <v>3174</v>
      </c>
      <c r="B1000" s="159" t="s">
        <v>3175</v>
      </c>
      <c r="C1000" s="62"/>
      <c r="D1000" s="84">
        <v>1</v>
      </c>
      <c r="E1000" s="62" t="s">
        <v>1448</v>
      </c>
      <c r="F1000" s="62">
        <v>4</v>
      </c>
      <c r="G1000" s="62"/>
      <c r="H1000" s="50">
        <f>VLOOKUP($A1000,'[1]ma sp 02'!$A$5:$BD$1101,H$1,0)</f>
        <v>0.112</v>
      </c>
      <c r="I1000" s="50">
        <f>VLOOKUP($A1000,'[1]ma sp 02'!$A$5:$BD$1101,I$1,0)</f>
        <v>5.4569999999999999</v>
      </c>
      <c r="J1000" s="50">
        <f>VLOOKUP($A1000,'[1]ma sp 02'!$A$5:$BD$1101,J$1,0)</f>
        <v>0.35799999999999998</v>
      </c>
      <c r="K1000" s="50">
        <f>VLOOKUP($A1000,'[1]ma sp 02'!$A$5:$BD$1101,K$1,0)</f>
        <v>0</v>
      </c>
      <c r="L1000" s="50">
        <f>VLOOKUP($A1000,'[1]ma sp 02'!$A$5:$BD$1101,L$1,0)</f>
        <v>0</v>
      </c>
      <c r="M1000" s="50">
        <f>VLOOKUP($A1000,'[1]ma sp 02'!$A$5:$BD$1101,M$1,0)</f>
        <v>0.58199999999999996</v>
      </c>
      <c r="N1000" s="50">
        <f>VLOOKUP($A1000,'[1]ma sp 02'!$A$5:$BD$1101,N$1,0)</f>
        <v>0</v>
      </c>
      <c r="O1000" s="50">
        <f>VLOOKUP($A1000,'[1]ma sp 02'!$A$5:$BD$1101,O$1,0)</f>
        <v>0</v>
      </c>
      <c r="P1000" s="50">
        <f>VLOOKUP($A1000,'[1]ma sp 02'!$A$5:$BD$1101,P$1,0)</f>
        <v>0.224</v>
      </c>
      <c r="Q1000" s="50">
        <f>VLOOKUP($A1000,'[1]ma sp 02'!$A$5:$BD$1101,Q$1,0)</f>
        <v>0</v>
      </c>
      <c r="R1000" s="50">
        <f>VLOOKUP($A1000,'[1]ma sp 02'!$A$5:$BD$1101,R$1,0)</f>
        <v>0</v>
      </c>
      <c r="S1000" s="50">
        <f>VLOOKUP($A1000,'[1]ma sp 02'!$A$5:$BD$1101,S$1,0)</f>
        <v>0</v>
      </c>
      <c r="T1000" s="50">
        <f>VLOOKUP($A1000,'[1]ma sp 02'!$A$5:$BD$1101,T$1,0)</f>
        <v>0</v>
      </c>
      <c r="U1000" s="50">
        <f>VLOOKUP($A1000,'[1]ma sp 02'!$A$5:$BD$1101,U$1,0)</f>
        <v>0</v>
      </c>
      <c r="V1000" s="50">
        <f>VLOOKUP($A1000,'[1]ma sp 02'!$A$5:$BD$1101,V$1,0)</f>
        <v>0</v>
      </c>
      <c r="W1000" s="50">
        <f>VLOOKUP($A1000,'[1]ma sp 02'!$A$5:$BD$1101,W$1,0)</f>
        <v>0.42499999999999999</v>
      </c>
      <c r="X1000" s="50"/>
      <c r="Y1000" s="62"/>
      <c r="Z1000" s="62"/>
      <c r="AA1000" s="62"/>
      <c r="AB1000" s="62"/>
      <c r="AC1000" s="62"/>
      <c r="AD1000" s="62"/>
      <c r="AE1000" s="62" t="s">
        <v>3142</v>
      </c>
      <c r="AF1000" s="62"/>
      <c r="AG1000" s="53">
        <f>(0.02*0.91+0.035*0.91)*0.59</f>
        <v>2.95295E-2</v>
      </c>
      <c r="AH1000" s="54">
        <f>(3/0.75/2)*0.58</f>
        <v>1.1599999999999999</v>
      </c>
      <c r="AI1000" s="54"/>
      <c r="AJ1000" s="192">
        <v>9530</v>
      </c>
      <c r="AK1000" s="62"/>
      <c r="AL1000" s="62">
        <v>2.5000000000000001E-3</v>
      </c>
      <c r="AM1000" s="61" t="s">
        <v>2758</v>
      </c>
      <c r="AN1000" s="62">
        <v>125</v>
      </c>
      <c r="AO1000" s="61" t="s">
        <v>3176</v>
      </c>
      <c r="AP1000" s="59" t="str">
        <f>IFERROR(VLOOKUP($A1000,[2]Mssp!$A$5:$BE$1463,AP$4+1,0),0)</f>
        <v>21120712-1</v>
      </c>
      <c r="AQ1000" s="59" t="str">
        <f>IFERROR(VLOOKUP($A1000,[2]Mssp!$A$5:$BE$1463,AQ$4+1,0),0)</f>
        <v>21120712-2</v>
      </c>
      <c r="AR1000" s="59" t="str">
        <f>IFERROR(VLOOKUP($A1000,[2]Mssp!$A$5:$BE$1463,AR$4+1,0),0)</f>
        <v>21120712-3</v>
      </c>
      <c r="AS1000" s="59" t="str">
        <f>IFERROR(VLOOKUP($A1000,[2]Mssp!$A$5:$BE$1463,AS$4+1,0),0)</f>
        <v>21120712-4</v>
      </c>
      <c r="AT1000" s="59">
        <f>IFERROR(VLOOKUP($A1000,[2]Mssp!$A$5:$BE$1463,AT$4+1,0),0)</f>
        <v>0</v>
      </c>
      <c r="AU1000" s="59">
        <f>IFERROR(VLOOKUP($A1000,[2]Mssp!$A$5:$BE$1463,AU$4+1,0),0)</f>
        <v>0</v>
      </c>
      <c r="AV1000" s="59">
        <f>IFERROR(VLOOKUP($A1000,[2]Mssp!$A$5:$BE$1463,AV$4+1,0),0)</f>
        <v>0</v>
      </c>
      <c r="AW1000" s="59">
        <f>IFERROR(VLOOKUP($A1000,[2]Mssp!$A$5:$BE$1463,AW$4+1,0),0)</f>
        <v>0</v>
      </c>
      <c r="AX1000" s="59">
        <f>IFERROR(VLOOKUP($A1000,[2]Mssp!$A$5:$BE$1463,AX$4+1,0),0)</f>
        <v>0</v>
      </c>
      <c r="AY1000" s="59" t="str">
        <f>IFERROR(VLOOKUP($A1000,[2]Mssp!$A$5:$BE$1463,AY$4+2,0),0)</f>
        <v>500x870</v>
      </c>
      <c r="AZ1000" s="59">
        <f>IFERROR(VLOOKUP($A1000,[2]Mssp!$A$5:$BE$1463,AZ$4+2,0),0)</f>
        <v>0</v>
      </c>
      <c r="BA1000" s="141"/>
      <c r="BB1000" s="61" t="s">
        <v>1894</v>
      </c>
      <c r="BC1000" s="165"/>
      <c r="BD1000" s="166"/>
      <c r="BE1000" s="167"/>
      <c r="BF1000" s="168"/>
      <c r="BG1000" s="167"/>
      <c r="BH1000" s="168"/>
      <c r="BI1000" s="169"/>
      <c r="BJ1000" s="168"/>
      <c r="BK1000" s="134"/>
      <c r="BL1000" s="168"/>
      <c r="BM1000" s="167"/>
      <c r="BN1000" s="168"/>
      <c r="BO1000" s="62"/>
      <c r="BP1000" s="168"/>
      <c r="BQ1000" s="168"/>
      <c r="BR1000" s="168"/>
      <c r="BS1000" s="135"/>
      <c r="BT1000" s="176"/>
      <c r="BU1000" s="167"/>
      <c r="BV1000" s="168"/>
      <c r="BW1000" s="167"/>
      <c r="BX1000" s="168"/>
      <c r="BY1000" s="167"/>
      <c r="BZ1000" s="176"/>
      <c r="CA1000" s="167"/>
      <c r="CB1000" s="168"/>
      <c r="CC1000" s="167"/>
      <c r="CD1000" s="168"/>
      <c r="CE1000" s="62"/>
      <c r="CF1000" s="62"/>
      <c r="CG1000" s="9"/>
      <c r="CH1000" s="9"/>
      <c r="CI1000" s="9"/>
      <c r="CJ1000" s="9"/>
      <c r="CK1000" s="9"/>
      <c r="CL1000" s="9"/>
      <c r="CM1000" s="9"/>
      <c r="CN1000" s="9"/>
      <c r="CO1000" s="9"/>
      <c r="CP1000" s="9"/>
    </row>
    <row r="1001" spans="1:94" x14ac:dyDescent="0.25">
      <c r="A1001" s="127" t="s">
        <v>3177</v>
      </c>
      <c r="B1001" s="51" t="s">
        <v>3178</v>
      </c>
      <c r="C1001" s="124"/>
      <c r="D1001" s="84">
        <v>1</v>
      </c>
      <c r="E1001" s="62" t="s">
        <v>1055</v>
      </c>
      <c r="F1001" s="62">
        <v>1</v>
      </c>
      <c r="G1001" s="62" t="s">
        <v>2197</v>
      </c>
      <c r="H1001" s="50">
        <f>VLOOKUP($A1001,'[1]ma sp 02'!$A$5:$BD$1101,H$1,0)</f>
        <v>0</v>
      </c>
      <c r="I1001" s="50">
        <f>VLOOKUP($A1001,'[1]ma sp 02'!$A$5:$BD$1101,I$1,0)</f>
        <v>0</v>
      </c>
      <c r="J1001" s="50">
        <f>VLOOKUP($A1001,'[1]ma sp 02'!$A$5:$BD$1101,J$1,0)</f>
        <v>0.75700000000000001</v>
      </c>
      <c r="K1001" s="50">
        <f>VLOOKUP($A1001,'[1]ma sp 02'!$A$5:$BD$1101,K$1,0)</f>
        <v>0</v>
      </c>
      <c r="L1001" s="50">
        <f>VLOOKUP($A1001,'[1]ma sp 02'!$A$5:$BD$1101,L$1,0)</f>
        <v>0</v>
      </c>
      <c r="M1001" s="50">
        <f>VLOOKUP($A1001,'[1]ma sp 02'!$A$5:$BD$1101,M$1,0)</f>
        <v>0.442</v>
      </c>
      <c r="N1001" s="50">
        <f>VLOOKUP($A1001,'[1]ma sp 02'!$A$5:$BD$1101,N$1,0)</f>
        <v>0</v>
      </c>
      <c r="O1001" s="50">
        <f>VLOOKUP($A1001,'[1]ma sp 02'!$A$5:$BD$1101,O$1,0)</f>
        <v>0</v>
      </c>
      <c r="P1001" s="50">
        <f>VLOOKUP($A1001,'[1]ma sp 02'!$A$5:$BD$1101,P$1,0)</f>
        <v>0</v>
      </c>
      <c r="Q1001" s="50">
        <f>VLOOKUP($A1001,'[1]ma sp 02'!$A$5:$BD$1101,Q$1,0)</f>
        <v>0</v>
      </c>
      <c r="R1001" s="50">
        <f>VLOOKUP($A1001,'[1]ma sp 02'!$A$5:$BD$1101,R$1,0)</f>
        <v>0.01</v>
      </c>
      <c r="S1001" s="50">
        <f>VLOOKUP($A1001,'[1]ma sp 02'!$A$5:$BD$1101,S$1,0)</f>
        <v>0</v>
      </c>
      <c r="T1001" s="50">
        <f>VLOOKUP($A1001,'[1]ma sp 02'!$A$5:$BD$1101,T$1,0)</f>
        <v>0</v>
      </c>
      <c r="U1001" s="50">
        <f>VLOOKUP($A1001,'[1]ma sp 02'!$A$5:$BD$1101,U$1,0)</f>
        <v>0</v>
      </c>
      <c r="V1001" s="50">
        <f>VLOOKUP($A1001,'[1]ma sp 02'!$A$5:$BD$1101,V$1,0)</f>
        <v>0</v>
      </c>
      <c r="W1001" s="50">
        <f>VLOOKUP($A1001,'[1]ma sp 02'!$A$5:$BD$1101,W$1,0)</f>
        <v>0</v>
      </c>
      <c r="X1001" s="50"/>
      <c r="Y1001" s="62"/>
      <c r="Z1001" s="62"/>
      <c r="AA1001" s="62"/>
      <c r="AB1001" s="62"/>
      <c r="AC1001" s="62"/>
      <c r="AD1001" s="62"/>
      <c r="AE1001" s="62" t="s">
        <v>1051</v>
      </c>
      <c r="AF1001" s="62"/>
      <c r="AG1001" s="53">
        <f>(0.06*0.98+0.03*0.925)*1.26</f>
        <v>0.109053</v>
      </c>
      <c r="AH1001" s="54">
        <f>(2/0.75/2)*1.26</f>
        <v>1.68</v>
      </c>
      <c r="AI1001" s="153"/>
      <c r="AJ1001" s="192">
        <v>9530</v>
      </c>
      <c r="AK1001" s="58"/>
      <c r="AL1001" s="62">
        <v>2E-3</v>
      </c>
      <c r="AM1001" s="61" t="s">
        <v>1489</v>
      </c>
      <c r="AN1001" s="62">
        <v>675</v>
      </c>
      <c r="AO1001" s="61" t="s">
        <v>1977</v>
      </c>
      <c r="AP1001" s="59">
        <f>IFERROR(VLOOKUP($A1001,[2]Mssp!$A$5:$BE$1463,AP$4+1,0),0)</f>
        <v>0</v>
      </c>
      <c r="AQ1001" s="59">
        <f>IFERROR(VLOOKUP($A1001,[2]Mssp!$A$5:$BE$1463,AQ$4+1,0),0)</f>
        <v>0</v>
      </c>
      <c r="AR1001" s="59">
        <f>IFERROR(VLOOKUP($A1001,[2]Mssp!$A$5:$BE$1463,AR$4+1,0),0)</f>
        <v>0</v>
      </c>
      <c r="AS1001" s="59">
        <f>IFERROR(VLOOKUP($A1001,[2]Mssp!$A$5:$BE$1463,AS$4+1,0),0)</f>
        <v>0</v>
      </c>
      <c r="AT1001" s="59">
        <f>IFERROR(VLOOKUP($A1001,[2]Mssp!$A$5:$BE$1463,AT$4+1,0),0)</f>
        <v>0</v>
      </c>
      <c r="AU1001" s="59">
        <f>IFERROR(VLOOKUP($A1001,[2]Mssp!$A$5:$BE$1463,AU$4+1,0),0)</f>
        <v>0</v>
      </c>
      <c r="AV1001" s="59">
        <f>IFERROR(VLOOKUP($A1001,[2]Mssp!$A$5:$BE$1463,AV$4+1,0),0)</f>
        <v>0</v>
      </c>
      <c r="AW1001" s="59">
        <f>IFERROR(VLOOKUP($A1001,[2]Mssp!$A$5:$BE$1463,AW$4+1,0),0)</f>
        <v>0</v>
      </c>
      <c r="AX1001" s="59">
        <f>IFERROR(VLOOKUP($A1001,[2]Mssp!$A$5:$BE$1463,AX$4+1,0),0)</f>
        <v>0</v>
      </c>
      <c r="AY1001" s="59">
        <f>IFERROR(VLOOKUP($A1001,[2]Mssp!$A$5:$BE$1463,AY$4+2,0),0)</f>
        <v>0</v>
      </c>
      <c r="AZ1001" s="59">
        <f>IFERROR(VLOOKUP($A1001,[2]Mssp!$A$5:$BE$1463,AZ$4+2,0),0)</f>
        <v>0</v>
      </c>
      <c r="BA1001" s="141"/>
      <c r="BB1001" s="61"/>
      <c r="BC1001" s="165"/>
      <c r="BD1001" s="166"/>
      <c r="BE1001" s="167"/>
      <c r="BF1001" s="168"/>
      <c r="BG1001" s="167"/>
      <c r="BH1001" s="168"/>
      <c r="BI1001" s="169"/>
      <c r="BJ1001" s="168"/>
      <c r="BK1001" s="134"/>
      <c r="BL1001" s="168"/>
      <c r="BM1001" s="167"/>
      <c r="BN1001" s="168"/>
      <c r="BO1001" s="62"/>
      <c r="BP1001" s="168"/>
      <c r="BQ1001" s="168"/>
      <c r="BR1001" s="168"/>
      <c r="BS1001" s="135"/>
      <c r="BT1001" s="176"/>
      <c r="BU1001" s="167"/>
      <c r="BV1001" s="168"/>
      <c r="BW1001" s="167"/>
      <c r="BX1001" s="168"/>
      <c r="BY1001" s="167"/>
      <c r="BZ1001" s="176"/>
      <c r="CA1001" s="167"/>
      <c r="CB1001" s="168"/>
      <c r="CC1001" s="167"/>
      <c r="CD1001" s="168"/>
      <c r="CE1001" s="62"/>
      <c r="CF1001" s="62"/>
      <c r="CG1001" s="9"/>
      <c r="CH1001" s="9"/>
      <c r="CI1001" s="9"/>
      <c r="CJ1001" s="9"/>
      <c r="CK1001" s="9"/>
      <c r="CL1001" s="9"/>
      <c r="CM1001" s="9"/>
      <c r="CN1001" s="9"/>
      <c r="CO1001" s="9"/>
      <c r="CP1001" s="9"/>
    </row>
    <row r="1002" spans="1:94" ht="45" x14ac:dyDescent="0.25">
      <c r="A1002" s="173" t="s">
        <v>3179</v>
      </c>
      <c r="B1002" s="174" t="s">
        <v>3180</v>
      </c>
      <c r="C1002" s="62"/>
      <c r="D1002" s="84">
        <v>4</v>
      </c>
      <c r="E1002" s="62" t="s">
        <v>315</v>
      </c>
      <c r="F1002" s="62">
        <v>5</v>
      </c>
      <c r="G1002" s="62"/>
      <c r="H1002" s="50">
        <f>VLOOKUP($A1002,'[1]ma sp 02'!$A$5:$BD$1101,H$1,0)</f>
        <v>0.215</v>
      </c>
      <c r="I1002" s="50">
        <f>VLOOKUP($A1002,'[1]ma sp 02'!$A$5:$BD$1101,I$1,0)</f>
        <v>3.6589999999999998</v>
      </c>
      <c r="J1002" s="50">
        <f>VLOOKUP($A1002,'[1]ma sp 02'!$A$5:$BD$1101,J$1,0)</f>
        <v>0.01</v>
      </c>
      <c r="K1002" s="50">
        <f>VLOOKUP($A1002,'[1]ma sp 02'!$A$5:$BD$1101,K$1,0)</f>
        <v>0.01</v>
      </c>
      <c r="L1002" s="50">
        <f>VLOOKUP($A1002,'[1]ma sp 02'!$A$5:$BD$1101,L$1,0)</f>
        <v>0.01</v>
      </c>
      <c r="M1002" s="50">
        <f>VLOOKUP($A1002,'[1]ma sp 02'!$A$5:$BD$1101,M$1,0)</f>
        <v>1.9370000000000001</v>
      </c>
      <c r="N1002" s="50">
        <f>VLOOKUP($A1002,'[1]ma sp 02'!$A$5:$BD$1101,N$1,0)</f>
        <v>0.215</v>
      </c>
      <c r="O1002" s="50">
        <f>VLOOKUP($A1002,'[1]ma sp 02'!$A$5:$BD$1101,O$1,0)</f>
        <v>0</v>
      </c>
      <c r="P1002" s="50">
        <f>VLOOKUP($A1002,'[1]ma sp 02'!$A$5:$BD$1101,P$1,0)</f>
        <v>0</v>
      </c>
      <c r="Q1002" s="50">
        <f>VLOOKUP($A1002,'[1]ma sp 02'!$A$5:$BD$1101,Q$1,0)</f>
        <v>0</v>
      </c>
      <c r="R1002" s="50">
        <f>VLOOKUP($A1002,'[1]ma sp 02'!$A$5:$BD$1101,R$1,0)</f>
        <v>0</v>
      </c>
      <c r="S1002" s="50">
        <f>VLOOKUP($A1002,'[1]ma sp 02'!$A$5:$BD$1101,S$1,0)</f>
        <v>0.01</v>
      </c>
      <c r="T1002" s="50">
        <f>VLOOKUP($A1002,'[1]ma sp 02'!$A$5:$BD$1101,T$1,0)</f>
        <v>0</v>
      </c>
      <c r="U1002" s="50">
        <f>VLOOKUP($A1002,'[1]ma sp 02'!$A$5:$BD$1101,U$1,0)</f>
        <v>0</v>
      </c>
      <c r="V1002" s="50">
        <f>VLOOKUP($A1002,'[1]ma sp 02'!$A$5:$BD$1101,V$1,0)</f>
        <v>0</v>
      </c>
      <c r="W1002" s="50">
        <f>VLOOKUP($A1002,'[1]ma sp 02'!$A$5:$BD$1101,W$1,0)</f>
        <v>0</v>
      </c>
      <c r="X1002" s="50"/>
      <c r="Y1002" s="62"/>
      <c r="Z1002" s="62"/>
      <c r="AA1002" s="62"/>
      <c r="AB1002" s="62"/>
      <c r="AC1002" s="62"/>
      <c r="AD1002" s="62"/>
      <c r="AE1002" s="62" t="s">
        <v>2846</v>
      </c>
      <c r="AF1002" s="62" t="s">
        <v>3181</v>
      </c>
      <c r="AG1002" s="53">
        <f>(0.02*0.91+0.006*2.71+0.05*0.925)*0.82</f>
        <v>6.6182199999999997E-2</v>
      </c>
      <c r="AH1002" s="54">
        <f>(2.3/0.75/2)*0.82</f>
        <v>1.2573333333333332</v>
      </c>
      <c r="AI1002" s="54">
        <f>(2.3/0.75/2)*0.82</f>
        <v>1.2573333333333332</v>
      </c>
      <c r="AJ1002" s="58">
        <v>9530</v>
      </c>
      <c r="AK1002" s="58">
        <v>6260</v>
      </c>
      <c r="AL1002" s="62" t="s">
        <v>3182</v>
      </c>
      <c r="AM1002" s="61" t="s">
        <v>1489</v>
      </c>
      <c r="AN1002" s="62">
        <v>150</v>
      </c>
      <c r="AO1002" s="61" t="s">
        <v>3183</v>
      </c>
      <c r="AP1002" s="59">
        <f>IFERROR(VLOOKUP($A1002,[2]Mssp!$A$5:$BE$1463,AP$4+1,0),0)</f>
        <v>0</v>
      </c>
      <c r="AQ1002" s="59">
        <f>IFERROR(VLOOKUP($A1002,[2]Mssp!$A$5:$BE$1463,AQ$4+1,0),0)</f>
        <v>0</v>
      </c>
      <c r="AR1002" s="59">
        <f>IFERROR(VLOOKUP($A1002,[2]Mssp!$A$5:$BE$1463,AR$4+1,0),0)</f>
        <v>0</v>
      </c>
      <c r="AS1002" s="59">
        <f>IFERROR(VLOOKUP($A1002,[2]Mssp!$A$5:$BE$1463,AS$4+1,0),0)</f>
        <v>0</v>
      </c>
      <c r="AT1002" s="59">
        <f>IFERROR(VLOOKUP($A1002,[2]Mssp!$A$5:$BE$1463,AT$4+1,0),0)</f>
        <v>0</v>
      </c>
      <c r="AU1002" s="59">
        <f>IFERROR(VLOOKUP($A1002,[2]Mssp!$A$5:$BE$1463,AU$4+1,0),0)</f>
        <v>0</v>
      </c>
      <c r="AV1002" s="59">
        <f>IFERROR(VLOOKUP($A1002,[2]Mssp!$A$5:$BE$1463,AV$4+1,0),0)</f>
        <v>0</v>
      </c>
      <c r="AW1002" s="59">
        <f>IFERROR(VLOOKUP($A1002,[2]Mssp!$A$5:$BE$1463,AW$4+1,0),0)</f>
        <v>0</v>
      </c>
      <c r="AX1002" s="59">
        <f>IFERROR(VLOOKUP($A1002,[2]Mssp!$A$5:$BE$1463,AX$4+1,0),0)</f>
        <v>0</v>
      </c>
      <c r="AY1002" s="59">
        <f>IFERROR(VLOOKUP($A1002,[2]Mssp!$A$5:$BE$1463,AY$4+2,0),0)</f>
        <v>0</v>
      </c>
      <c r="AZ1002" s="59">
        <f>IFERROR(VLOOKUP($A1002,[2]Mssp!$A$5:$BE$1463,AZ$4+2,0),0)</f>
        <v>0</v>
      </c>
      <c r="BA1002" s="141"/>
      <c r="BB1002" s="61" t="s">
        <v>1894</v>
      </c>
      <c r="BC1002" s="165"/>
      <c r="BD1002" s="166"/>
      <c r="BE1002" s="167"/>
      <c r="BF1002" s="168"/>
      <c r="BG1002" s="167"/>
      <c r="BH1002" s="168"/>
      <c r="BI1002" s="169"/>
      <c r="BJ1002" s="168"/>
      <c r="BK1002" s="134"/>
      <c r="BL1002" s="168"/>
      <c r="BM1002" s="167"/>
      <c r="BN1002" s="168"/>
      <c r="BO1002" s="62"/>
      <c r="BP1002" s="168"/>
      <c r="BQ1002" s="168"/>
      <c r="BR1002" s="168"/>
      <c r="BS1002" s="135"/>
      <c r="BT1002" s="176"/>
      <c r="BU1002" s="167"/>
      <c r="BV1002" s="168"/>
      <c r="BW1002" s="167"/>
      <c r="BX1002" s="168"/>
      <c r="BY1002" s="167"/>
      <c r="BZ1002" s="176"/>
      <c r="CA1002" s="167"/>
      <c r="CB1002" s="168"/>
      <c r="CC1002" s="167"/>
      <c r="CD1002" s="168"/>
      <c r="CE1002" s="62"/>
      <c r="CF1002" s="62"/>
      <c r="CG1002" s="9"/>
      <c r="CH1002" s="9"/>
      <c r="CI1002" s="9"/>
      <c r="CJ1002" s="9"/>
      <c r="CK1002" s="9"/>
      <c r="CL1002" s="9"/>
      <c r="CM1002" s="9"/>
      <c r="CN1002" s="9"/>
      <c r="CO1002" s="9"/>
      <c r="CP1002" s="9"/>
    </row>
    <row r="1003" spans="1:94" ht="45" x14ac:dyDescent="0.25">
      <c r="A1003" s="127" t="s">
        <v>3184</v>
      </c>
      <c r="B1003" s="51" t="s">
        <v>3185</v>
      </c>
      <c r="C1003" s="62"/>
      <c r="D1003" s="84">
        <v>2</v>
      </c>
      <c r="E1003" s="62" t="s">
        <v>2213</v>
      </c>
      <c r="F1003" s="62">
        <v>5</v>
      </c>
      <c r="G1003" s="62"/>
      <c r="H1003" s="50">
        <f>VLOOKUP($A1003,'[1]ma sp 02'!$A$5:$BD$1101,H$1,0)</f>
        <v>0</v>
      </c>
      <c r="I1003" s="50">
        <f>VLOOKUP($A1003,'[1]ma sp 02'!$A$5:$BD$1101,I$1,0)</f>
        <v>0.99</v>
      </c>
      <c r="J1003" s="50">
        <f>VLOOKUP($A1003,'[1]ma sp 02'!$A$5:$BD$1101,J$1,0)</f>
        <v>0</v>
      </c>
      <c r="K1003" s="50">
        <f>VLOOKUP($A1003,'[1]ma sp 02'!$A$5:$BD$1101,K$1,0)</f>
        <v>0</v>
      </c>
      <c r="L1003" s="50">
        <f>VLOOKUP($A1003,'[1]ma sp 02'!$A$5:$BD$1101,L$1,0)</f>
        <v>0.74299999999999999</v>
      </c>
      <c r="M1003" s="50">
        <f>VLOOKUP($A1003,'[1]ma sp 02'!$A$5:$BD$1101,M$1,0)</f>
        <v>1.238</v>
      </c>
      <c r="N1003" s="50">
        <f>VLOOKUP($A1003,'[1]ma sp 02'!$A$5:$BD$1101,N$1,0)</f>
        <v>0</v>
      </c>
      <c r="O1003" s="50">
        <f>VLOOKUP($A1003,'[1]ma sp 02'!$A$5:$BD$1101,O$1,0)</f>
        <v>0.01</v>
      </c>
      <c r="P1003" s="50">
        <f>VLOOKUP($A1003,'[1]ma sp 02'!$A$5:$BD$1101,P$1,0)</f>
        <v>0.01</v>
      </c>
      <c r="Q1003" s="50">
        <f>VLOOKUP($A1003,'[1]ma sp 02'!$A$5:$BD$1101,Q$1,0)</f>
        <v>0</v>
      </c>
      <c r="R1003" s="50">
        <f>VLOOKUP($A1003,'[1]ma sp 02'!$A$5:$BD$1101,R$1,0)</f>
        <v>0.01</v>
      </c>
      <c r="S1003" s="50">
        <f>VLOOKUP($A1003,'[1]ma sp 02'!$A$5:$BD$1101,S$1,0)</f>
        <v>0</v>
      </c>
      <c r="T1003" s="50">
        <f>VLOOKUP($A1003,'[1]ma sp 02'!$A$5:$BD$1101,T$1,0)</f>
        <v>0</v>
      </c>
      <c r="U1003" s="50">
        <f>VLOOKUP($A1003,'[1]ma sp 02'!$A$5:$BD$1101,U$1,0)</f>
        <v>0</v>
      </c>
      <c r="V1003" s="50">
        <f>VLOOKUP($A1003,'[1]ma sp 02'!$A$5:$BD$1101,V$1,0)</f>
        <v>0</v>
      </c>
      <c r="W1003" s="50">
        <f>VLOOKUP($A1003,'[1]ma sp 02'!$A$5:$BD$1101,W$1,0)</f>
        <v>0</v>
      </c>
      <c r="X1003" s="50"/>
      <c r="Y1003" s="62"/>
      <c r="Z1003" s="62"/>
      <c r="AA1003" s="62"/>
      <c r="AB1003" s="62"/>
      <c r="AC1003" s="62"/>
      <c r="AD1003" s="62"/>
      <c r="AE1003" s="62" t="s">
        <v>2653</v>
      </c>
      <c r="AF1003" s="62" t="s">
        <v>1355</v>
      </c>
      <c r="AG1003" s="71">
        <f>(0.02*0.91+0.012*1.14+0.075*0.925)*0.72</f>
        <v>7.2903599999999999E-2</v>
      </c>
      <c r="AH1003" s="153">
        <f>(3/0.75/2)*0.79</f>
        <v>1.58</v>
      </c>
      <c r="AI1003" s="153">
        <f>(3/0.75/2)*0.79</f>
        <v>1.58</v>
      </c>
      <c r="AJ1003" s="58">
        <v>9530</v>
      </c>
      <c r="AK1003" s="58">
        <v>9530</v>
      </c>
      <c r="AL1003" s="62" t="s">
        <v>1328</v>
      </c>
      <c r="AM1003" s="61" t="s">
        <v>3186</v>
      </c>
      <c r="AN1003" s="62">
        <v>105</v>
      </c>
      <c r="AO1003" s="61" t="s">
        <v>3187</v>
      </c>
      <c r="AP1003" s="59">
        <f>IFERROR(VLOOKUP($A1003,[2]Mssp!$A$5:$BE$1463,AP$4+1,0),0)</f>
        <v>0</v>
      </c>
      <c r="AQ1003" s="59">
        <f>IFERROR(VLOOKUP($A1003,[2]Mssp!$A$5:$BE$1463,AQ$4+1,0),0)</f>
        <v>0</v>
      </c>
      <c r="AR1003" s="59">
        <f>IFERROR(VLOOKUP($A1003,[2]Mssp!$A$5:$BE$1463,AR$4+1,0),0)</f>
        <v>0</v>
      </c>
      <c r="AS1003" s="59">
        <f>IFERROR(VLOOKUP($A1003,[2]Mssp!$A$5:$BE$1463,AS$4+1,0),0)</f>
        <v>0</v>
      </c>
      <c r="AT1003" s="59">
        <f>IFERROR(VLOOKUP($A1003,[2]Mssp!$A$5:$BE$1463,AT$4+1,0),0)</f>
        <v>0</v>
      </c>
      <c r="AU1003" s="59">
        <f>IFERROR(VLOOKUP($A1003,[2]Mssp!$A$5:$BE$1463,AU$4+1,0),0)</f>
        <v>0</v>
      </c>
      <c r="AV1003" s="59">
        <f>IFERROR(VLOOKUP($A1003,[2]Mssp!$A$5:$BE$1463,AV$4+1,0),0)</f>
        <v>0</v>
      </c>
      <c r="AW1003" s="59">
        <f>IFERROR(VLOOKUP($A1003,[2]Mssp!$A$5:$BE$1463,AW$4+1,0),0)</f>
        <v>0</v>
      </c>
      <c r="AX1003" s="59">
        <f>IFERROR(VLOOKUP($A1003,[2]Mssp!$A$5:$BE$1463,AX$4+1,0),0)</f>
        <v>0</v>
      </c>
      <c r="AY1003" s="59">
        <f>IFERROR(VLOOKUP($A1003,[2]Mssp!$A$5:$BE$1463,AY$4+2,0),0)</f>
        <v>0</v>
      </c>
      <c r="AZ1003" s="59">
        <f>IFERROR(VLOOKUP($A1003,[2]Mssp!$A$5:$BE$1463,AZ$4+2,0),0)</f>
        <v>0</v>
      </c>
      <c r="BA1003" s="141"/>
      <c r="BB1003" s="61" t="s">
        <v>1894</v>
      </c>
      <c r="BC1003" s="165"/>
      <c r="BD1003" s="166"/>
      <c r="BE1003" s="167"/>
      <c r="BF1003" s="168"/>
      <c r="BG1003" s="167"/>
      <c r="BH1003" s="168"/>
      <c r="BI1003" s="169"/>
      <c r="BJ1003" s="168"/>
      <c r="BK1003" s="134"/>
      <c r="BL1003" s="168"/>
      <c r="BM1003" s="167"/>
      <c r="BN1003" s="168"/>
      <c r="BO1003" s="62"/>
      <c r="BP1003" s="168"/>
      <c r="BQ1003" s="168"/>
      <c r="BR1003" s="168"/>
      <c r="BS1003" s="135"/>
      <c r="BT1003" s="176"/>
      <c r="BU1003" s="167"/>
      <c r="BV1003" s="168"/>
      <c r="BW1003" s="167"/>
      <c r="BX1003" s="168"/>
      <c r="BY1003" s="167"/>
      <c r="BZ1003" s="176"/>
      <c r="CA1003" s="167"/>
      <c r="CB1003" s="168"/>
      <c r="CC1003" s="167"/>
      <c r="CD1003" s="168"/>
      <c r="CE1003" s="62"/>
      <c r="CF1003" s="62"/>
      <c r="CG1003" s="9"/>
      <c r="CH1003" s="9"/>
      <c r="CI1003" s="9"/>
      <c r="CJ1003" s="9"/>
      <c r="CK1003" s="9"/>
      <c r="CL1003" s="9"/>
      <c r="CM1003" s="9"/>
      <c r="CN1003" s="9"/>
      <c r="CO1003" s="9"/>
      <c r="CP1003" s="9"/>
    </row>
    <row r="1004" spans="1:94" ht="45" x14ac:dyDescent="0.25">
      <c r="A1004" s="127" t="s">
        <v>3188</v>
      </c>
      <c r="B1004" s="51" t="s">
        <v>3189</v>
      </c>
      <c r="C1004" s="62"/>
      <c r="D1004" s="84">
        <v>2</v>
      </c>
      <c r="E1004" s="62" t="s">
        <v>2213</v>
      </c>
      <c r="F1004" s="62">
        <v>5</v>
      </c>
      <c r="G1004" s="62"/>
      <c r="H1004" s="50">
        <f>VLOOKUP($A1004,'[1]ma sp 02'!$A$5:$BD$1101,H$1,0)</f>
        <v>0.32800000000000001</v>
      </c>
      <c r="I1004" s="50">
        <f>VLOOKUP($A1004,'[1]ma sp 02'!$A$5:$BD$1101,I$1,0)</f>
        <v>12.641</v>
      </c>
      <c r="J1004" s="50">
        <f>VLOOKUP($A1004,'[1]ma sp 02'!$A$5:$BD$1101,J$1,0)</f>
        <v>0</v>
      </c>
      <c r="K1004" s="50">
        <f>VLOOKUP($A1004,'[1]ma sp 02'!$A$5:$BD$1101,K$1,0)</f>
        <v>0.98499999999999999</v>
      </c>
      <c r="L1004" s="50">
        <f>VLOOKUP($A1004,'[1]ma sp 02'!$A$5:$BD$1101,L$1,0)</f>
        <v>0</v>
      </c>
      <c r="M1004" s="50">
        <f>VLOOKUP($A1004,'[1]ma sp 02'!$A$5:$BD$1101,M$1,0)</f>
        <v>0.65700000000000003</v>
      </c>
      <c r="N1004" s="50">
        <f>VLOOKUP($A1004,'[1]ma sp 02'!$A$5:$BD$1101,N$1,0)</f>
        <v>0</v>
      </c>
      <c r="O1004" s="50">
        <f>VLOOKUP($A1004,'[1]ma sp 02'!$A$5:$BD$1101,O$1,0)</f>
        <v>0</v>
      </c>
      <c r="P1004" s="50">
        <f>VLOOKUP($A1004,'[1]ma sp 02'!$A$5:$BD$1101,P$1,0)</f>
        <v>0.01</v>
      </c>
      <c r="Q1004" s="50">
        <f>VLOOKUP($A1004,'[1]ma sp 02'!$A$5:$BD$1101,Q$1,0)</f>
        <v>1.6419999999999999</v>
      </c>
      <c r="R1004" s="50">
        <f>VLOOKUP($A1004,'[1]ma sp 02'!$A$5:$BD$1101,R$1,0)</f>
        <v>0</v>
      </c>
      <c r="S1004" s="50">
        <f>VLOOKUP($A1004,'[1]ma sp 02'!$A$5:$BD$1101,S$1,0)</f>
        <v>0</v>
      </c>
      <c r="T1004" s="50">
        <f>VLOOKUP($A1004,'[1]ma sp 02'!$A$5:$BD$1101,T$1,0)</f>
        <v>0</v>
      </c>
      <c r="U1004" s="50">
        <f>VLOOKUP($A1004,'[1]ma sp 02'!$A$5:$BD$1101,U$1,0)</f>
        <v>0</v>
      </c>
      <c r="V1004" s="50">
        <f>VLOOKUP($A1004,'[1]ma sp 02'!$A$5:$BD$1101,V$1,0)</f>
        <v>0</v>
      </c>
      <c r="W1004" s="50">
        <f>VLOOKUP($A1004,'[1]ma sp 02'!$A$5:$BD$1101,W$1,0)</f>
        <v>0.01</v>
      </c>
      <c r="X1004" s="50"/>
      <c r="Y1004" s="62"/>
      <c r="Z1004" s="62"/>
      <c r="AA1004" s="62"/>
      <c r="AB1004" s="62"/>
      <c r="AC1004" s="62"/>
      <c r="AD1004" s="62"/>
      <c r="AE1004" s="62" t="s">
        <v>2653</v>
      </c>
      <c r="AF1004" s="62" t="s">
        <v>1355</v>
      </c>
      <c r="AG1004" s="71">
        <f>(0.02*0.91+0.012*1.14+0.075*0.925)*0.72</f>
        <v>7.2903599999999999E-2</v>
      </c>
      <c r="AH1004" s="153">
        <f>(3/0.75/2)*0.79</f>
        <v>1.58</v>
      </c>
      <c r="AI1004" s="153">
        <f>(3/0.75/2)*0.79</f>
        <v>1.58</v>
      </c>
      <c r="AJ1004" s="58">
        <v>9530</v>
      </c>
      <c r="AK1004" s="58">
        <v>9530</v>
      </c>
      <c r="AL1004" s="62" t="s">
        <v>1328</v>
      </c>
      <c r="AM1004" s="61" t="s">
        <v>3186</v>
      </c>
      <c r="AN1004" s="62">
        <v>105</v>
      </c>
      <c r="AO1004" s="61" t="s">
        <v>3187</v>
      </c>
      <c r="AP1004" s="59">
        <f>IFERROR(VLOOKUP($A1004,[2]Mssp!$A$5:$BE$1463,AP$4+1,0),0)</f>
        <v>0</v>
      </c>
      <c r="AQ1004" s="59">
        <f>IFERROR(VLOOKUP($A1004,[2]Mssp!$A$5:$BE$1463,AQ$4+1,0),0)</f>
        <v>0</v>
      </c>
      <c r="AR1004" s="59">
        <f>IFERROR(VLOOKUP($A1004,[2]Mssp!$A$5:$BE$1463,AR$4+1,0),0)</f>
        <v>0</v>
      </c>
      <c r="AS1004" s="59">
        <f>IFERROR(VLOOKUP($A1004,[2]Mssp!$A$5:$BE$1463,AS$4+1,0),0)</f>
        <v>0</v>
      </c>
      <c r="AT1004" s="59">
        <f>IFERROR(VLOOKUP($A1004,[2]Mssp!$A$5:$BE$1463,AT$4+1,0),0)</f>
        <v>0</v>
      </c>
      <c r="AU1004" s="59">
        <f>IFERROR(VLOOKUP($A1004,[2]Mssp!$A$5:$BE$1463,AU$4+1,0),0)</f>
        <v>0</v>
      </c>
      <c r="AV1004" s="59">
        <f>IFERROR(VLOOKUP($A1004,[2]Mssp!$A$5:$BE$1463,AV$4+1,0),0)</f>
        <v>0</v>
      </c>
      <c r="AW1004" s="59">
        <f>IFERROR(VLOOKUP($A1004,[2]Mssp!$A$5:$BE$1463,AW$4+1,0),0)</f>
        <v>0</v>
      </c>
      <c r="AX1004" s="59">
        <f>IFERROR(VLOOKUP($A1004,[2]Mssp!$A$5:$BE$1463,AX$4+1,0),0)</f>
        <v>0</v>
      </c>
      <c r="AY1004" s="59">
        <f>IFERROR(VLOOKUP($A1004,[2]Mssp!$A$5:$BE$1463,AY$4+2,0),0)</f>
        <v>0</v>
      </c>
      <c r="AZ1004" s="59">
        <f>IFERROR(VLOOKUP($A1004,[2]Mssp!$A$5:$BE$1463,AZ$4+2,0),0)</f>
        <v>0</v>
      </c>
      <c r="BA1004" s="141"/>
      <c r="BB1004" s="61"/>
      <c r="BC1004" s="165"/>
      <c r="BD1004" s="166"/>
      <c r="BE1004" s="167"/>
      <c r="BF1004" s="168"/>
      <c r="BG1004" s="167"/>
      <c r="BH1004" s="168"/>
      <c r="BI1004" s="169"/>
      <c r="BJ1004" s="168"/>
      <c r="BK1004" s="134"/>
      <c r="BL1004" s="168"/>
      <c r="BM1004" s="167"/>
      <c r="BN1004" s="168"/>
      <c r="BO1004" s="62"/>
      <c r="BP1004" s="168"/>
      <c r="BQ1004" s="168"/>
      <c r="BR1004" s="168"/>
      <c r="BS1004" s="135"/>
      <c r="BT1004" s="176"/>
      <c r="BU1004" s="167"/>
      <c r="BV1004" s="168"/>
      <c r="BW1004" s="167"/>
      <c r="BX1004" s="168"/>
      <c r="BY1004" s="167"/>
      <c r="BZ1004" s="176"/>
      <c r="CA1004" s="167"/>
      <c r="CB1004" s="168"/>
      <c r="CC1004" s="167"/>
      <c r="CD1004" s="168"/>
      <c r="CE1004" s="62"/>
      <c r="CF1004" s="62"/>
      <c r="CG1004" s="9"/>
      <c r="CH1004" s="9"/>
      <c r="CI1004" s="9"/>
      <c r="CJ1004" s="9"/>
      <c r="CK1004" s="9"/>
      <c r="CL1004" s="9"/>
      <c r="CM1004" s="9"/>
      <c r="CN1004" s="9"/>
      <c r="CO1004" s="9"/>
      <c r="CP1004" s="9"/>
    </row>
    <row r="1005" spans="1:94" ht="45" x14ac:dyDescent="0.25">
      <c r="A1005" s="127" t="s">
        <v>3190</v>
      </c>
      <c r="B1005" s="51" t="s">
        <v>3191</v>
      </c>
      <c r="C1005" s="62"/>
      <c r="D1005" s="84">
        <v>4</v>
      </c>
      <c r="E1005" s="62" t="s">
        <v>1422</v>
      </c>
      <c r="F1005" s="62">
        <v>5</v>
      </c>
      <c r="G1005" s="62"/>
      <c r="H1005" s="50">
        <f>VLOOKUP($A1005,'[1]ma sp 02'!$A$5:$BD$1101,H$1,0)</f>
        <v>0.41</v>
      </c>
      <c r="I1005" s="50">
        <f>VLOOKUP($A1005,'[1]ma sp 02'!$A$5:$BD$1101,I$1,0)</f>
        <v>3.7010000000000001</v>
      </c>
      <c r="J1005" s="50">
        <f>VLOOKUP($A1005,'[1]ma sp 02'!$A$5:$BD$1101,J$1,0)</f>
        <v>2.673</v>
      </c>
      <c r="K1005" s="50">
        <f>VLOOKUP($A1005,'[1]ma sp 02'!$A$5:$BD$1101,K$1,0)</f>
        <v>0</v>
      </c>
      <c r="L1005" s="50">
        <f>VLOOKUP($A1005,'[1]ma sp 02'!$A$5:$BD$1101,L$1,0)</f>
        <v>2.056</v>
      </c>
      <c r="M1005" s="50">
        <f>VLOOKUP($A1005,'[1]ma sp 02'!$A$5:$BD$1101,M$1,0)</f>
        <v>0</v>
      </c>
      <c r="N1005" s="50">
        <f>VLOOKUP($A1005,'[1]ma sp 02'!$A$5:$BD$1101,N$1,0)</f>
        <v>0</v>
      </c>
      <c r="O1005" s="50">
        <f>VLOOKUP($A1005,'[1]ma sp 02'!$A$5:$BD$1101,O$1,0)</f>
        <v>0</v>
      </c>
      <c r="P1005" s="50">
        <f>VLOOKUP($A1005,'[1]ma sp 02'!$A$5:$BD$1101,P$1,0)</f>
        <v>0.01</v>
      </c>
      <c r="Q1005" s="50">
        <f>VLOOKUP($A1005,'[1]ma sp 02'!$A$5:$BD$1101,Q$1,0)</f>
        <v>0.01</v>
      </c>
      <c r="R1005" s="50">
        <f>VLOOKUP($A1005,'[1]ma sp 02'!$A$5:$BD$1101,R$1,0)</f>
        <v>1.028</v>
      </c>
      <c r="S1005" s="50">
        <f>VLOOKUP($A1005,'[1]ma sp 02'!$A$5:$BD$1101,S$1,0)</f>
        <v>0</v>
      </c>
      <c r="T1005" s="50">
        <f>VLOOKUP($A1005,'[1]ma sp 02'!$A$5:$BD$1101,T$1,0)</f>
        <v>0</v>
      </c>
      <c r="U1005" s="50">
        <f>VLOOKUP($A1005,'[1]ma sp 02'!$A$5:$BD$1101,U$1,0)</f>
        <v>0</v>
      </c>
      <c r="V1005" s="50">
        <f>VLOOKUP($A1005,'[1]ma sp 02'!$A$5:$BD$1101,V$1,0)</f>
        <v>0</v>
      </c>
      <c r="W1005" s="50">
        <f>VLOOKUP($A1005,'[1]ma sp 02'!$A$5:$BD$1101,W$1,0)</f>
        <v>0</v>
      </c>
      <c r="X1005" s="50"/>
      <c r="Y1005" s="62"/>
      <c r="Z1005" s="62"/>
      <c r="AA1005" s="62"/>
      <c r="AB1005" s="62"/>
      <c r="AC1005" s="62"/>
      <c r="AD1005" s="62"/>
      <c r="AE1005" s="62" t="s">
        <v>1721</v>
      </c>
      <c r="AF1005" s="62" t="s">
        <v>1003</v>
      </c>
      <c r="AG1005" s="71">
        <v>0.45149020000000006</v>
      </c>
      <c r="AH1005" s="153">
        <v>0.95066666666666655</v>
      </c>
      <c r="AI1005" s="153">
        <v>0.95066666666666655</v>
      </c>
      <c r="AJ1005" s="58">
        <v>9530</v>
      </c>
      <c r="AK1005" s="58">
        <v>9530</v>
      </c>
      <c r="AL1005" s="62" t="s">
        <v>1590</v>
      </c>
      <c r="AM1005" s="61" t="s">
        <v>74</v>
      </c>
      <c r="AN1005" s="62">
        <v>55</v>
      </c>
      <c r="AO1005" s="61" t="s">
        <v>3192</v>
      </c>
      <c r="AP1005" s="59">
        <f>IFERROR(VLOOKUP($A1005,[2]Mssp!$A$5:$BE$1463,AP$4+1,0),0)</f>
        <v>0</v>
      </c>
      <c r="AQ1005" s="59">
        <f>IFERROR(VLOOKUP($A1005,[2]Mssp!$A$5:$BE$1463,AQ$4+1,0),0)</f>
        <v>0</v>
      </c>
      <c r="AR1005" s="59">
        <f>IFERROR(VLOOKUP($A1005,[2]Mssp!$A$5:$BE$1463,AR$4+1,0),0)</f>
        <v>0</v>
      </c>
      <c r="AS1005" s="59">
        <f>IFERROR(VLOOKUP($A1005,[2]Mssp!$A$5:$BE$1463,AS$4+1,0),0)</f>
        <v>0</v>
      </c>
      <c r="AT1005" s="59">
        <f>IFERROR(VLOOKUP($A1005,[2]Mssp!$A$5:$BE$1463,AT$4+1,0),0)</f>
        <v>0</v>
      </c>
      <c r="AU1005" s="59">
        <f>IFERROR(VLOOKUP($A1005,[2]Mssp!$A$5:$BE$1463,AU$4+1,0),0)</f>
        <v>0</v>
      </c>
      <c r="AV1005" s="59">
        <f>IFERROR(VLOOKUP($A1005,[2]Mssp!$A$5:$BE$1463,AV$4+1,0),0)</f>
        <v>0</v>
      </c>
      <c r="AW1005" s="59">
        <f>IFERROR(VLOOKUP($A1005,[2]Mssp!$A$5:$BE$1463,AW$4+1,0),0)</f>
        <v>0</v>
      </c>
      <c r="AX1005" s="59"/>
      <c r="AY1005" s="59"/>
      <c r="AZ1005" s="59"/>
      <c r="BA1005" s="141"/>
      <c r="BB1005" s="61" t="s">
        <v>1894</v>
      </c>
      <c r="BC1005" s="165"/>
      <c r="BD1005" s="166"/>
      <c r="BE1005" s="167"/>
      <c r="BF1005" s="168"/>
      <c r="BG1005" s="167"/>
      <c r="BH1005" s="168"/>
      <c r="BI1005" s="169"/>
      <c r="BJ1005" s="168"/>
      <c r="BK1005" s="134"/>
      <c r="BL1005" s="168"/>
      <c r="BM1005" s="167"/>
      <c r="BN1005" s="168"/>
      <c r="BO1005" s="62"/>
      <c r="BP1005" s="168"/>
      <c r="BQ1005" s="168"/>
      <c r="BR1005" s="168"/>
      <c r="BS1005" s="135"/>
      <c r="BT1005" s="176"/>
      <c r="BU1005" s="167"/>
      <c r="BV1005" s="168"/>
      <c r="BW1005" s="167"/>
      <c r="BX1005" s="168"/>
      <c r="BY1005" s="167"/>
      <c r="BZ1005" s="176"/>
      <c r="CA1005" s="167"/>
      <c r="CB1005" s="168"/>
      <c r="CC1005" s="167"/>
      <c r="CD1005" s="168"/>
      <c r="CE1005" s="62"/>
      <c r="CF1005" s="62"/>
      <c r="CG1005" s="9"/>
      <c r="CH1005" s="9"/>
      <c r="CI1005" s="9"/>
      <c r="CJ1005" s="9"/>
      <c r="CK1005" s="9"/>
      <c r="CL1005" s="9"/>
      <c r="CM1005" s="9"/>
      <c r="CN1005" s="9"/>
      <c r="CO1005" s="9"/>
      <c r="CP1005" s="9"/>
    </row>
    <row r="1006" spans="1:94" ht="30" x14ac:dyDescent="0.25">
      <c r="A1006" s="127" t="s">
        <v>3193</v>
      </c>
      <c r="B1006" s="51" t="s">
        <v>3194</v>
      </c>
      <c r="C1006" s="62"/>
      <c r="D1006" s="84">
        <v>5</v>
      </c>
      <c r="E1006" s="62" t="s">
        <v>455</v>
      </c>
      <c r="F1006" s="62">
        <v>3</v>
      </c>
      <c r="G1006" s="62"/>
      <c r="H1006" s="50">
        <f>VLOOKUP($A1006,'[1]ma sp 02'!$A$5:$BD$1101,H$1,0)</f>
        <v>0.14599999999999999</v>
      </c>
      <c r="I1006" s="50">
        <f>VLOOKUP($A1006,'[1]ma sp 02'!$A$5:$BD$1101,I$1,0)</f>
        <v>0</v>
      </c>
      <c r="J1006" s="50">
        <f>VLOOKUP($A1006,'[1]ma sp 02'!$A$5:$BD$1101,J$1,0)</f>
        <v>0</v>
      </c>
      <c r="K1006" s="50">
        <f>VLOOKUP($A1006,'[1]ma sp 02'!$A$5:$BD$1101,K$1,0)</f>
        <v>0</v>
      </c>
      <c r="L1006" s="50">
        <f>VLOOKUP($A1006,'[1]ma sp 02'!$A$5:$BD$1101,L$1,0)</f>
        <v>1.5369999999999999</v>
      </c>
      <c r="M1006" s="50">
        <f>VLOOKUP($A1006,'[1]ma sp 02'!$A$5:$BD$1101,M$1,0)</f>
        <v>0</v>
      </c>
      <c r="N1006" s="50">
        <f>VLOOKUP($A1006,'[1]ma sp 02'!$A$5:$BD$1101,N$1,0)</f>
        <v>0</v>
      </c>
      <c r="O1006" s="50">
        <f>VLOOKUP($A1006,'[1]ma sp 02'!$A$5:$BD$1101,O$1,0)</f>
        <v>0</v>
      </c>
      <c r="P1006" s="50">
        <f>VLOOKUP($A1006,'[1]ma sp 02'!$A$5:$BD$1101,P$1,0)</f>
        <v>0.14599999999999999</v>
      </c>
      <c r="Q1006" s="50">
        <f>VLOOKUP($A1006,'[1]ma sp 02'!$A$5:$BD$1101,Q$1,0)</f>
        <v>0</v>
      </c>
      <c r="R1006" s="50">
        <f>VLOOKUP($A1006,'[1]ma sp 02'!$A$5:$BD$1101,R$1,0)</f>
        <v>0</v>
      </c>
      <c r="S1006" s="50">
        <f>VLOOKUP($A1006,'[1]ma sp 02'!$A$5:$BD$1101,S$1,0)</f>
        <v>0</v>
      </c>
      <c r="T1006" s="50">
        <f>VLOOKUP($A1006,'[1]ma sp 02'!$A$5:$BD$1101,T$1,0)</f>
        <v>0</v>
      </c>
      <c r="U1006" s="50">
        <f>VLOOKUP($A1006,'[1]ma sp 02'!$A$5:$BD$1101,U$1,0)</f>
        <v>0</v>
      </c>
      <c r="V1006" s="50">
        <f>VLOOKUP($A1006,'[1]ma sp 02'!$A$5:$BD$1101,V$1,0)</f>
        <v>0</v>
      </c>
      <c r="W1006" s="50">
        <f>VLOOKUP($A1006,'[1]ma sp 02'!$A$5:$BD$1101,W$1,0)</f>
        <v>0</v>
      </c>
      <c r="X1006" s="50"/>
      <c r="Y1006" s="62"/>
      <c r="Z1006" s="62"/>
      <c r="AA1006" s="62"/>
      <c r="AB1006" s="62"/>
      <c r="AC1006" s="62"/>
      <c r="AD1006" s="62"/>
      <c r="AE1006" s="62" t="s">
        <v>2624</v>
      </c>
      <c r="AF1006" s="62" t="s">
        <v>3076</v>
      </c>
      <c r="AG1006" s="53">
        <f>(0.012*1.4+0.006*2.71+0.06*0.91)*0.77</f>
        <v>6.7498200000000008E-2</v>
      </c>
      <c r="AH1006" s="54">
        <f>(2.5/0.75/2)*0.76</f>
        <v>1.2666666666666668</v>
      </c>
      <c r="AI1006" s="54">
        <f>(2.5/0.75/2)*0.76</f>
        <v>1.2666666666666668</v>
      </c>
      <c r="AJ1006" s="58">
        <v>9530</v>
      </c>
      <c r="AK1006" s="58">
        <v>9530</v>
      </c>
      <c r="AL1006" s="62" t="s">
        <v>3077</v>
      </c>
      <c r="AM1006" s="61" t="s">
        <v>1489</v>
      </c>
      <c r="AN1006" s="62">
        <v>57</v>
      </c>
      <c r="AO1006" s="61" t="s">
        <v>3078</v>
      </c>
      <c r="AP1006" s="59">
        <f>IFERROR(VLOOKUP($A1006,[2]Mssp!$A$5:$BE$1463,AP$4+1,0),0)</f>
        <v>0</v>
      </c>
      <c r="AQ1006" s="59">
        <f>IFERROR(VLOOKUP($A1006,[2]Mssp!$A$5:$BE$1463,AQ$4+1,0),0)</f>
        <v>0</v>
      </c>
      <c r="AR1006" s="59">
        <f>IFERROR(VLOOKUP($A1006,[2]Mssp!$A$5:$BE$1463,AR$4+1,0),0)</f>
        <v>0</v>
      </c>
      <c r="AS1006" s="59">
        <f>IFERROR(VLOOKUP($A1006,[2]Mssp!$A$5:$BE$1463,AS$4+1,0),0)</f>
        <v>0</v>
      </c>
      <c r="AT1006" s="59">
        <f>IFERROR(VLOOKUP($A1006,[2]Mssp!$A$5:$BE$1463,AT$4+1,0),0)</f>
        <v>0</v>
      </c>
      <c r="AU1006" s="59">
        <f>IFERROR(VLOOKUP($A1006,[2]Mssp!$A$5:$BE$1463,AU$4+1,0),0)</f>
        <v>0</v>
      </c>
      <c r="AV1006" s="59">
        <f>IFERROR(VLOOKUP($A1006,[2]Mssp!$A$5:$BE$1463,AV$4+1,0),0)</f>
        <v>0</v>
      </c>
      <c r="AW1006" s="59">
        <f>IFERROR(VLOOKUP($A1006,[2]Mssp!$A$5:$BE$1463,AW$4+1,0),0)</f>
        <v>0</v>
      </c>
      <c r="AX1006" s="59"/>
      <c r="AY1006" s="59"/>
      <c r="AZ1006" s="59"/>
      <c r="BA1006" s="141"/>
      <c r="BB1006" s="61" t="s">
        <v>952</v>
      </c>
      <c r="BC1006" s="165"/>
      <c r="BD1006" s="166"/>
      <c r="BE1006" s="167"/>
      <c r="BF1006" s="168"/>
      <c r="BG1006" s="167"/>
      <c r="BH1006" s="168"/>
      <c r="BI1006" s="169"/>
      <c r="BJ1006" s="168"/>
      <c r="BK1006" s="134"/>
      <c r="BL1006" s="168"/>
      <c r="BM1006" s="167"/>
      <c r="BN1006" s="168"/>
      <c r="BO1006" s="62"/>
      <c r="BP1006" s="168"/>
      <c r="BQ1006" s="168"/>
      <c r="BR1006" s="168"/>
      <c r="BS1006" s="135"/>
      <c r="BT1006" s="176"/>
      <c r="BU1006" s="167"/>
      <c r="BV1006" s="168"/>
      <c r="BW1006" s="167"/>
      <c r="BX1006" s="168"/>
      <c r="BY1006" s="167"/>
      <c r="BZ1006" s="176"/>
      <c r="CA1006" s="167"/>
      <c r="CB1006" s="168"/>
      <c r="CC1006" s="167"/>
      <c r="CD1006" s="168"/>
      <c r="CE1006" s="62"/>
      <c r="CF1006" s="62"/>
      <c r="CG1006" s="9"/>
      <c r="CH1006" s="9"/>
      <c r="CI1006" s="9"/>
      <c r="CJ1006" s="9"/>
      <c r="CK1006" s="9"/>
      <c r="CL1006" s="9"/>
      <c r="CM1006" s="9"/>
      <c r="CN1006" s="9"/>
      <c r="CO1006" s="9"/>
      <c r="CP1006" s="9"/>
    </row>
    <row r="1007" spans="1:94" ht="30" x14ac:dyDescent="0.25">
      <c r="A1007" s="127" t="s">
        <v>3195</v>
      </c>
      <c r="B1007" s="51" t="s">
        <v>3196</v>
      </c>
      <c r="C1007" s="62"/>
      <c r="D1007" s="84">
        <v>3</v>
      </c>
      <c r="E1007" s="62" t="s">
        <v>973</v>
      </c>
      <c r="F1007" s="62">
        <v>4</v>
      </c>
      <c r="G1007" s="62"/>
      <c r="H1007" s="50">
        <f>VLOOKUP($A1007,'[1]ma sp 02'!$A$5:$BD$1101,H$1,0)</f>
        <v>0.26200000000000001</v>
      </c>
      <c r="I1007" s="50">
        <f>VLOOKUP($A1007,'[1]ma sp 02'!$A$5:$BD$1101,I$1,0)</f>
        <v>1.4650000000000001</v>
      </c>
      <c r="J1007" s="50">
        <f>VLOOKUP($A1007,'[1]ma sp 02'!$A$5:$BD$1101,J$1,0)</f>
        <v>0</v>
      </c>
      <c r="K1007" s="50">
        <f>VLOOKUP($A1007,'[1]ma sp 02'!$A$5:$BD$1101,K$1,0)</f>
        <v>0.83699999999999997</v>
      </c>
      <c r="L1007" s="50">
        <f>VLOOKUP($A1007,'[1]ma sp 02'!$A$5:$BD$1101,L$1,0)</f>
        <v>0.01</v>
      </c>
      <c r="M1007" s="50">
        <f>VLOOKUP($A1007,'[1]ma sp 02'!$A$5:$BD$1101,M$1,0)</f>
        <v>0</v>
      </c>
      <c r="N1007" s="50">
        <f>VLOOKUP($A1007,'[1]ma sp 02'!$A$5:$BD$1101,N$1,0)</f>
        <v>0</v>
      </c>
      <c r="O1007" s="50">
        <f>VLOOKUP($A1007,'[1]ma sp 02'!$A$5:$BD$1101,O$1,0)</f>
        <v>0</v>
      </c>
      <c r="P1007" s="50">
        <f>VLOOKUP($A1007,'[1]ma sp 02'!$A$5:$BD$1101,P$1,0)</f>
        <v>0</v>
      </c>
      <c r="Q1007" s="50">
        <f>VLOOKUP($A1007,'[1]ma sp 02'!$A$5:$BD$1101,Q$1,0)</f>
        <v>0</v>
      </c>
      <c r="R1007" s="50">
        <f>VLOOKUP($A1007,'[1]ma sp 02'!$A$5:$BD$1101,R$1,0)</f>
        <v>0</v>
      </c>
      <c r="S1007" s="50">
        <f>VLOOKUP($A1007,'[1]ma sp 02'!$A$5:$BD$1101,S$1,0)</f>
        <v>0</v>
      </c>
      <c r="T1007" s="50">
        <f>VLOOKUP($A1007,'[1]ma sp 02'!$A$5:$BD$1101,T$1,0)</f>
        <v>0</v>
      </c>
      <c r="U1007" s="50">
        <f>VLOOKUP($A1007,'[1]ma sp 02'!$A$5:$BD$1101,U$1,0)</f>
        <v>0</v>
      </c>
      <c r="V1007" s="50">
        <f>VLOOKUP($A1007,'[1]ma sp 02'!$A$5:$BD$1101,V$1,0)</f>
        <v>0.01</v>
      </c>
      <c r="W1007" s="50">
        <f>VLOOKUP($A1007,'[1]ma sp 02'!$A$5:$BD$1101,W$1,0)</f>
        <v>0.01</v>
      </c>
      <c r="X1007" s="50"/>
      <c r="Y1007" s="62"/>
      <c r="Z1007" s="62"/>
      <c r="AA1007" s="62"/>
      <c r="AB1007" s="62"/>
      <c r="AC1007" s="62"/>
      <c r="AD1007" s="62"/>
      <c r="AE1007" s="62" t="s">
        <v>943</v>
      </c>
      <c r="AF1007" s="62"/>
      <c r="AG1007" s="53">
        <f>(0.015*1.15+0.065*0.94)*0.79</f>
        <v>6.1896500000000007E-2</v>
      </c>
      <c r="AH1007" s="54">
        <f>(2.3/0.75/2)*1.26</f>
        <v>1.9319999999999999</v>
      </c>
      <c r="AI1007" s="153"/>
      <c r="AJ1007" s="58">
        <v>9530</v>
      </c>
      <c r="AK1007" s="58"/>
      <c r="AL1007" s="62">
        <v>2.3E-3</v>
      </c>
      <c r="AM1007" s="61" t="s">
        <v>1489</v>
      </c>
      <c r="AN1007" s="62">
        <v>180</v>
      </c>
      <c r="AO1007" s="61" t="s">
        <v>2989</v>
      </c>
      <c r="AP1007" s="59"/>
      <c r="AQ1007" s="59"/>
      <c r="AR1007" s="59"/>
      <c r="AS1007" s="59"/>
      <c r="AT1007" s="59"/>
      <c r="AU1007" s="59"/>
      <c r="AV1007" s="59"/>
      <c r="AW1007" s="59"/>
      <c r="AX1007" s="59"/>
      <c r="AY1007" s="59"/>
      <c r="AZ1007" s="59"/>
      <c r="BA1007" s="141"/>
      <c r="BB1007" s="61" t="s">
        <v>952</v>
      </c>
      <c r="BC1007" s="165"/>
      <c r="BD1007" s="166"/>
      <c r="BE1007" s="167"/>
      <c r="BF1007" s="168"/>
      <c r="BG1007" s="167"/>
      <c r="BH1007" s="168"/>
      <c r="BI1007" s="169"/>
      <c r="BJ1007" s="168"/>
      <c r="BK1007" s="134"/>
      <c r="BL1007" s="168"/>
      <c r="BM1007" s="167"/>
      <c r="BN1007" s="168"/>
      <c r="BO1007" s="62"/>
      <c r="BP1007" s="168"/>
      <c r="BQ1007" s="168"/>
      <c r="BR1007" s="168"/>
      <c r="BS1007" s="135"/>
      <c r="BT1007" s="176"/>
      <c r="BU1007" s="167"/>
      <c r="BV1007" s="168"/>
      <c r="BW1007" s="167"/>
      <c r="BX1007" s="168"/>
      <c r="BY1007" s="167"/>
      <c r="BZ1007" s="176"/>
      <c r="CA1007" s="167"/>
      <c r="CB1007" s="168"/>
      <c r="CC1007" s="167"/>
      <c r="CD1007" s="168"/>
      <c r="CE1007" s="62"/>
      <c r="CF1007" s="62"/>
      <c r="CG1007" s="9"/>
      <c r="CH1007" s="9"/>
      <c r="CI1007" s="9"/>
      <c r="CJ1007" s="9"/>
      <c r="CK1007" s="9"/>
      <c r="CL1007" s="9"/>
      <c r="CM1007" s="9"/>
      <c r="CN1007" s="9"/>
      <c r="CO1007" s="9"/>
      <c r="CP1007" s="9"/>
    </row>
    <row r="1008" spans="1:94" ht="30" x14ac:dyDescent="0.25">
      <c r="A1008" s="127" t="s">
        <v>3197</v>
      </c>
      <c r="B1008" s="51" t="s">
        <v>3198</v>
      </c>
      <c r="C1008" s="62"/>
      <c r="D1008" s="84">
        <v>5</v>
      </c>
      <c r="E1008" s="62" t="s">
        <v>455</v>
      </c>
      <c r="F1008" s="62">
        <v>6</v>
      </c>
      <c r="G1008" s="62"/>
      <c r="H1008" s="50">
        <f>VLOOKUP($A1008,'[1]ma sp 02'!$A$5:$BD$1101,H$1,0)</f>
        <v>9.6000000000000002E-2</v>
      </c>
      <c r="I1008" s="50">
        <f>VLOOKUP($A1008,'[1]ma sp 02'!$A$5:$BD$1101,I$1,0)</f>
        <v>4.7990000000000004</v>
      </c>
      <c r="J1008" s="50">
        <f>VLOOKUP($A1008,'[1]ma sp 02'!$A$5:$BD$1101,J$1,0)</f>
        <v>4.8000000000000001E-2</v>
      </c>
      <c r="K1008" s="50">
        <f>VLOOKUP($A1008,'[1]ma sp 02'!$A$5:$BD$1101,K$1,0)</f>
        <v>0.38</v>
      </c>
      <c r="L1008" s="50">
        <f>VLOOKUP($A1008,'[1]ma sp 02'!$A$5:$BD$1101,L$1,0)</f>
        <v>0.432</v>
      </c>
      <c r="M1008" s="50">
        <f>VLOOKUP($A1008,'[1]ma sp 02'!$A$5:$BD$1101,M$1,0)</f>
        <v>0.57599999999999996</v>
      </c>
      <c r="N1008" s="50">
        <f>VLOOKUP($A1008,'[1]ma sp 02'!$A$5:$BD$1101,N$1,0)</f>
        <v>0</v>
      </c>
      <c r="O1008" s="50">
        <f>VLOOKUP($A1008,'[1]ma sp 02'!$A$5:$BD$1101,O$1,0)</f>
        <v>0</v>
      </c>
      <c r="P1008" s="50">
        <f>VLOOKUP($A1008,'[1]ma sp 02'!$A$5:$BD$1101,P$1,0)</f>
        <v>0</v>
      </c>
      <c r="Q1008" s="50">
        <f>VLOOKUP($A1008,'[1]ma sp 02'!$A$5:$BD$1101,Q$1,0)</f>
        <v>0</v>
      </c>
      <c r="R1008" s="50">
        <f>VLOOKUP($A1008,'[1]ma sp 02'!$A$5:$BD$1101,R$1,0)</f>
        <v>0.01</v>
      </c>
      <c r="S1008" s="50">
        <f>VLOOKUP($A1008,'[1]ma sp 02'!$A$5:$BD$1101,S$1,0)</f>
        <v>0</v>
      </c>
      <c r="T1008" s="50">
        <f>VLOOKUP($A1008,'[1]ma sp 02'!$A$5:$BD$1101,T$1,0)</f>
        <v>0</v>
      </c>
      <c r="U1008" s="50">
        <f>VLOOKUP($A1008,'[1]ma sp 02'!$A$5:$BD$1101,U$1,0)</f>
        <v>0</v>
      </c>
      <c r="V1008" s="50">
        <f>VLOOKUP($A1008,'[1]ma sp 02'!$A$5:$BD$1101,V$1,0)</f>
        <v>0</v>
      </c>
      <c r="W1008" s="50">
        <f>VLOOKUP($A1008,'[1]ma sp 02'!$A$5:$BD$1101,W$1,0)</f>
        <v>0</v>
      </c>
      <c r="X1008" s="50"/>
      <c r="Y1008" s="62"/>
      <c r="Z1008" s="62"/>
      <c r="AA1008" s="62"/>
      <c r="AB1008" s="62"/>
      <c r="AC1008" s="62"/>
      <c r="AD1008" s="62"/>
      <c r="AE1008" s="62" t="s">
        <v>3199</v>
      </c>
      <c r="AF1008" s="62"/>
      <c r="AG1008" s="53">
        <f>(0.012*1.4+0.0012*1.4+0.06*0.925)*0.76</f>
        <v>5.6224800000000005E-2</v>
      </c>
      <c r="AH1008" s="54">
        <f>(2.3/0.75/2)*0.76</f>
        <v>1.1653333333333333</v>
      </c>
      <c r="AI1008" s="153"/>
      <c r="AJ1008" s="58">
        <v>9530</v>
      </c>
      <c r="AK1008" s="58"/>
      <c r="AL1008" s="62">
        <v>2.3E-3</v>
      </c>
      <c r="AM1008" s="61" t="s">
        <v>1489</v>
      </c>
      <c r="AN1008" s="62">
        <v>95</v>
      </c>
      <c r="AO1008" s="61" t="s">
        <v>612</v>
      </c>
      <c r="AP1008" s="59"/>
      <c r="AQ1008" s="59"/>
      <c r="AR1008" s="59"/>
      <c r="AS1008" s="59"/>
      <c r="AT1008" s="59"/>
      <c r="AU1008" s="59"/>
      <c r="AV1008" s="59"/>
      <c r="AW1008" s="59"/>
      <c r="AX1008" s="59"/>
      <c r="AY1008" s="59"/>
      <c r="AZ1008" s="59"/>
      <c r="BA1008" s="141"/>
      <c r="BB1008" s="61"/>
      <c r="BC1008" s="165"/>
      <c r="BD1008" s="166"/>
      <c r="BE1008" s="167"/>
      <c r="BF1008" s="168"/>
      <c r="BG1008" s="167"/>
      <c r="BH1008" s="168"/>
      <c r="BI1008" s="169"/>
      <c r="BJ1008" s="168"/>
      <c r="BK1008" s="134"/>
      <c r="BL1008" s="168"/>
      <c r="BM1008" s="167"/>
      <c r="BN1008" s="168"/>
      <c r="BO1008" s="62"/>
      <c r="BP1008" s="168"/>
      <c r="BQ1008" s="168"/>
      <c r="BR1008" s="168"/>
      <c r="BS1008" s="135"/>
      <c r="BT1008" s="176"/>
      <c r="BU1008" s="167"/>
      <c r="BV1008" s="168"/>
      <c r="BW1008" s="167"/>
      <c r="BX1008" s="168"/>
      <c r="BY1008" s="167"/>
      <c r="BZ1008" s="176"/>
      <c r="CA1008" s="167"/>
      <c r="CB1008" s="168"/>
      <c r="CC1008" s="167"/>
      <c r="CD1008" s="168"/>
      <c r="CE1008" s="62"/>
      <c r="CF1008" s="62"/>
      <c r="CG1008" s="9"/>
      <c r="CH1008" s="9"/>
      <c r="CI1008" s="9"/>
      <c r="CJ1008" s="9"/>
      <c r="CK1008" s="9"/>
      <c r="CL1008" s="9"/>
      <c r="CM1008" s="9"/>
      <c r="CN1008" s="9"/>
      <c r="CO1008" s="9"/>
      <c r="CP1008" s="9"/>
    </row>
    <row r="1009" spans="1:94" ht="30" x14ac:dyDescent="0.25">
      <c r="A1009" s="127" t="s">
        <v>3200</v>
      </c>
      <c r="B1009" s="51" t="s">
        <v>3201</v>
      </c>
      <c r="C1009" s="62"/>
      <c r="D1009" s="84">
        <v>5</v>
      </c>
      <c r="E1009" s="62" t="s">
        <v>299</v>
      </c>
      <c r="F1009" s="62">
        <v>2</v>
      </c>
      <c r="G1009" s="62"/>
      <c r="H1009" s="50">
        <f>VLOOKUP($A1009,'[1]ma sp 02'!$A$5:$BD$1101,H$1,0)</f>
        <v>0</v>
      </c>
      <c r="I1009" s="50">
        <f>VLOOKUP($A1009,'[1]ma sp 02'!$A$5:$BD$1101,I$1,0)</f>
        <v>0</v>
      </c>
      <c r="J1009" s="50">
        <f>VLOOKUP($A1009,'[1]ma sp 02'!$A$5:$BD$1101,J$1,0)</f>
        <v>0</v>
      </c>
      <c r="K1009" s="50">
        <f>VLOOKUP($A1009,'[1]ma sp 02'!$A$5:$BD$1101,K$1,0)</f>
        <v>0</v>
      </c>
      <c r="L1009" s="50">
        <f>VLOOKUP($A1009,'[1]ma sp 02'!$A$5:$BD$1101,L$1,0)</f>
        <v>0</v>
      </c>
      <c r="M1009" s="50">
        <f>VLOOKUP($A1009,'[1]ma sp 02'!$A$5:$BD$1101,M$1,0)</f>
        <v>0</v>
      </c>
      <c r="N1009" s="50">
        <f>VLOOKUP($A1009,'[1]ma sp 02'!$A$5:$BD$1101,N$1,0)</f>
        <v>0</v>
      </c>
      <c r="O1009" s="50">
        <f>VLOOKUP($A1009,'[1]ma sp 02'!$A$5:$BD$1101,O$1,0)</f>
        <v>0</v>
      </c>
      <c r="P1009" s="50">
        <f>VLOOKUP($A1009,'[1]ma sp 02'!$A$5:$BD$1101,P$1,0)</f>
        <v>0</v>
      </c>
      <c r="Q1009" s="50">
        <f>VLOOKUP($A1009,'[1]ma sp 02'!$A$5:$BD$1101,Q$1,0)</f>
        <v>0</v>
      </c>
      <c r="R1009" s="50">
        <f>VLOOKUP($A1009,'[1]ma sp 02'!$A$5:$BD$1101,R$1,0)</f>
        <v>0</v>
      </c>
      <c r="S1009" s="50">
        <f>VLOOKUP($A1009,'[1]ma sp 02'!$A$5:$BD$1101,S$1,0)</f>
        <v>0</v>
      </c>
      <c r="T1009" s="50">
        <f>VLOOKUP($A1009,'[1]ma sp 02'!$A$5:$BD$1101,T$1,0)</f>
        <v>0</v>
      </c>
      <c r="U1009" s="50">
        <f>VLOOKUP($A1009,'[1]ma sp 02'!$A$5:$BD$1101,U$1,0)</f>
        <v>0</v>
      </c>
      <c r="V1009" s="50">
        <f>VLOOKUP($A1009,'[1]ma sp 02'!$A$5:$BD$1101,V$1,0)</f>
        <v>0</v>
      </c>
      <c r="W1009" s="50">
        <f>VLOOKUP($A1009,'[1]ma sp 02'!$A$5:$BD$1101,W$1,0)</f>
        <v>0</v>
      </c>
      <c r="X1009" s="50"/>
      <c r="Y1009" s="62"/>
      <c r="Z1009" s="62"/>
      <c r="AA1009" s="62"/>
      <c r="AB1009" s="62"/>
      <c r="AC1009" s="62"/>
      <c r="AD1009" s="62"/>
      <c r="AE1009" s="62" t="s">
        <v>2846</v>
      </c>
      <c r="AF1009" s="62" t="s">
        <v>3202</v>
      </c>
      <c r="AG1009" s="71">
        <f>(0.02*0.91+0.006*2.71+0.055*0.925)*0.82</f>
        <v>6.9974700000000001E-2</v>
      </c>
      <c r="AH1009" s="153">
        <f>(2.5/0.75/2)*0.81</f>
        <v>1.35</v>
      </c>
      <c r="AI1009" s="153">
        <f>(2.5/0.75/2)*0.81</f>
        <v>1.35</v>
      </c>
      <c r="AJ1009" s="58">
        <v>9530</v>
      </c>
      <c r="AK1009" s="58">
        <v>9530</v>
      </c>
      <c r="AL1009" s="62" t="s">
        <v>3077</v>
      </c>
      <c r="AM1009" s="61" t="s">
        <v>1893</v>
      </c>
      <c r="AN1009" s="62">
        <v>150</v>
      </c>
      <c r="AO1009" s="61" t="s">
        <v>1959</v>
      </c>
      <c r="AP1009" s="59"/>
      <c r="AQ1009" s="59"/>
      <c r="AR1009" s="59"/>
      <c r="AS1009" s="59"/>
      <c r="AT1009" s="59"/>
      <c r="AU1009" s="59"/>
      <c r="AV1009" s="59"/>
      <c r="AW1009" s="59"/>
      <c r="AX1009" s="59"/>
      <c r="AY1009" s="59"/>
      <c r="AZ1009" s="59"/>
      <c r="BA1009" s="141"/>
      <c r="BB1009" s="61" t="s">
        <v>1894</v>
      </c>
      <c r="BC1009" s="165"/>
      <c r="BD1009" s="166"/>
      <c r="BE1009" s="167"/>
      <c r="BF1009" s="168"/>
      <c r="BG1009" s="167"/>
      <c r="BH1009" s="168"/>
      <c r="BI1009" s="169"/>
      <c r="BJ1009" s="168"/>
      <c r="BK1009" s="134"/>
      <c r="BL1009" s="168"/>
      <c r="BM1009" s="167"/>
      <c r="BN1009" s="168"/>
      <c r="BO1009" s="62"/>
      <c r="BP1009" s="168"/>
      <c r="BQ1009" s="168"/>
      <c r="BR1009" s="168"/>
      <c r="BS1009" s="135"/>
      <c r="BT1009" s="176"/>
      <c r="BU1009" s="167"/>
      <c r="BV1009" s="168"/>
      <c r="BW1009" s="167"/>
      <c r="BX1009" s="168"/>
      <c r="BY1009" s="167"/>
      <c r="BZ1009" s="176"/>
      <c r="CA1009" s="167"/>
      <c r="CB1009" s="168"/>
      <c r="CC1009" s="167"/>
      <c r="CD1009" s="168"/>
      <c r="CE1009" s="62"/>
      <c r="CF1009" s="62"/>
      <c r="CG1009" s="9"/>
      <c r="CH1009" s="9"/>
      <c r="CI1009" s="9"/>
      <c r="CJ1009" s="9"/>
      <c r="CK1009" s="9"/>
      <c r="CL1009" s="9"/>
      <c r="CM1009" s="9"/>
      <c r="CN1009" s="9"/>
      <c r="CO1009" s="9"/>
      <c r="CP1009" s="9"/>
    </row>
    <row r="1010" spans="1:94" ht="30" x14ac:dyDescent="0.25">
      <c r="A1010" s="127" t="s">
        <v>3203</v>
      </c>
      <c r="B1010" s="51" t="s">
        <v>3204</v>
      </c>
      <c r="C1010" s="62"/>
      <c r="D1010" s="84">
        <v>1</v>
      </c>
      <c r="E1010" s="62" t="s">
        <v>1913</v>
      </c>
      <c r="F1010" s="62"/>
      <c r="G1010" s="62"/>
      <c r="H1010" s="50">
        <f>VLOOKUP($A1010,'[1]ma sp 02'!$A$5:$BD$1101,H$1,0)</f>
        <v>0</v>
      </c>
      <c r="I1010" s="50">
        <f>VLOOKUP($A1010,'[1]ma sp 02'!$A$5:$BD$1101,I$1,0)</f>
        <v>0</v>
      </c>
      <c r="J1010" s="50">
        <f>VLOOKUP($A1010,'[1]ma sp 02'!$A$5:$BD$1101,J$1,0)</f>
        <v>0</v>
      </c>
      <c r="K1010" s="50">
        <f>VLOOKUP($A1010,'[1]ma sp 02'!$A$5:$BD$1101,K$1,0)</f>
        <v>0</v>
      </c>
      <c r="L1010" s="50">
        <f>VLOOKUP($A1010,'[1]ma sp 02'!$A$5:$BD$1101,L$1,0)</f>
        <v>0</v>
      </c>
      <c r="M1010" s="50">
        <f>VLOOKUP($A1010,'[1]ma sp 02'!$A$5:$BD$1101,M$1,0)</f>
        <v>0</v>
      </c>
      <c r="N1010" s="50">
        <f>VLOOKUP($A1010,'[1]ma sp 02'!$A$5:$BD$1101,N$1,0)</f>
        <v>0</v>
      </c>
      <c r="O1010" s="50">
        <f>VLOOKUP($A1010,'[1]ma sp 02'!$A$5:$BD$1101,O$1,0)</f>
        <v>0</v>
      </c>
      <c r="P1010" s="50">
        <f>VLOOKUP($A1010,'[1]ma sp 02'!$A$5:$BD$1101,P$1,0)</f>
        <v>0</v>
      </c>
      <c r="Q1010" s="50">
        <f>VLOOKUP($A1010,'[1]ma sp 02'!$A$5:$BD$1101,Q$1,0)</f>
        <v>0</v>
      </c>
      <c r="R1010" s="50">
        <f>VLOOKUP($A1010,'[1]ma sp 02'!$A$5:$BD$1101,R$1,0)</f>
        <v>0</v>
      </c>
      <c r="S1010" s="50">
        <f>VLOOKUP($A1010,'[1]ma sp 02'!$A$5:$BD$1101,S$1,0)</f>
        <v>0</v>
      </c>
      <c r="T1010" s="50">
        <f>VLOOKUP($A1010,'[1]ma sp 02'!$A$5:$BD$1101,T$1,0)</f>
        <v>0</v>
      </c>
      <c r="U1010" s="50">
        <f>VLOOKUP($A1010,'[1]ma sp 02'!$A$5:$BD$1101,U$1,0)</f>
        <v>0</v>
      </c>
      <c r="V1010" s="50">
        <f>VLOOKUP($A1010,'[1]ma sp 02'!$A$5:$BD$1101,V$1,0)</f>
        <v>0</v>
      </c>
      <c r="W1010" s="50">
        <f>VLOOKUP($A1010,'[1]ma sp 02'!$A$5:$BD$1101,W$1,0)</f>
        <v>0</v>
      </c>
      <c r="X1010" s="50"/>
      <c r="Y1010" s="62"/>
      <c r="Z1010" s="62"/>
      <c r="AA1010" s="62"/>
      <c r="AB1010" s="62"/>
      <c r="AC1010" s="62"/>
      <c r="AD1010" s="62"/>
      <c r="AE1010" s="62" t="s">
        <v>3205</v>
      </c>
      <c r="AF1010" s="62"/>
      <c r="AG1010" s="71"/>
      <c r="AH1010" s="54">
        <f>(2.3/0.75/2)*1.26</f>
        <v>1.9319999999999999</v>
      </c>
      <c r="AI1010" s="153"/>
      <c r="AJ1010" s="58" t="s">
        <v>1881</v>
      </c>
      <c r="AK1010" s="58"/>
      <c r="AL1010" s="62">
        <v>1.4E-3</v>
      </c>
      <c r="AM1010" s="61" t="s">
        <v>3186</v>
      </c>
      <c r="AN1010" s="62">
        <v>570</v>
      </c>
      <c r="AO1010" s="61" t="s">
        <v>3206</v>
      </c>
      <c r="AP1010" s="59"/>
      <c r="AQ1010" s="59"/>
      <c r="AR1010" s="59"/>
      <c r="AS1010" s="59"/>
      <c r="AT1010" s="59"/>
      <c r="AU1010" s="59"/>
      <c r="AV1010" s="59"/>
      <c r="AW1010" s="59"/>
      <c r="AX1010" s="59"/>
      <c r="AY1010" s="59"/>
      <c r="AZ1010" s="59"/>
      <c r="BA1010" s="141"/>
      <c r="BB1010" s="61" t="s">
        <v>1894</v>
      </c>
      <c r="BC1010" s="165"/>
      <c r="BD1010" s="166"/>
      <c r="BE1010" s="167"/>
      <c r="BF1010" s="168"/>
      <c r="BG1010" s="167"/>
      <c r="BH1010" s="168"/>
      <c r="BI1010" s="169"/>
      <c r="BJ1010" s="168"/>
      <c r="BK1010" s="134"/>
      <c r="BL1010" s="168"/>
      <c r="BM1010" s="167"/>
      <c r="BN1010" s="168"/>
      <c r="BO1010" s="62"/>
      <c r="BP1010" s="168"/>
      <c r="BQ1010" s="168"/>
      <c r="BR1010" s="168"/>
      <c r="BS1010" s="135"/>
      <c r="BT1010" s="176"/>
      <c r="BU1010" s="167"/>
      <c r="BV1010" s="168"/>
      <c r="BW1010" s="167"/>
      <c r="BX1010" s="168"/>
      <c r="BY1010" s="167"/>
      <c r="BZ1010" s="176"/>
      <c r="CA1010" s="167"/>
      <c r="CB1010" s="168"/>
      <c r="CC1010" s="167"/>
      <c r="CD1010" s="168"/>
      <c r="CE1010" s="62"/>
      <c r="CF1010" s="62"/>
      <c r="CG1010" s="9"/>
      <c r="CH1010" s="9"/>
      <c r="CI1010" s="9"/>
      <c r="CJ1010" s="9"/>
      <c r="CK1010" s="9"/>
      <c r="CL1010" s="9"/>
      <c r="CM1010" s="9"/>
      <c r="CN1010" s="9"/>
      <c r="CO1010" s="9"/>
      <c r="CP1010" s="9"/>
    </row>
    <row r="1011" spans="1:94" ht="30" x14ac:dyDescent="0.25">
      <c r="A1011" s="127" t="s">
        <v>3207</v>
      </c>
      <c r="B1011" s="51" t="s">
        <v>3208</v>
      </c>
      <c r="C1011" s="62"/>
      <c r="D1011" s="84">
        <v>5</v>
      </c>
      <c r="E1011" s="62" t="s">
        <v>455</v>
      </c>
      <c r="F1011" s="62">
        <v>5</v>
      </c>
      <c r="G1011" s="62"/>
      <c r="H1011" s="50">
        <f>VLOOKUP($A1011,'[1]ma sp 02'!$A$5:$BD$1101,H$1,0)</f>
        <v>0.19</v>
      </c>
      <c r="I1011" s="50">
        <f>VLOOKUP($A1011,'[1]ma sp 02'!$A$5:$BD$1101,I$1,0)</f>
        <v>3.09</v>
      </c>
      <c r="J1011" s="50">
        <f>VLOOKUP($A1011,'[1]ma sp 02'!$A$5:$BD$1101,J$1,0)</f>
        <v>0.28499999999999998</v>
      </c>
      <c r="K1011" s="50">
        <f>VLOOKUP($A1011,'[1]ma sp 02'!$A$5:$BD$1101,K$1,0)</f>
        <v>0.61799999999999999</v>
      </c>
      <c r="L1011" s="50">
        <f>VLOOKUP($A1011,'[1]ma sp 02'!$A$5:$BD$1101,L$1,0)</f>
        <v>0</v>
      </c>
      <c r="M1011" s="50">
        <f>VLOOKUP($A1011,'[1]ma sp 02'!$A$5:$BD$1101,M$1,0)</f>
        <v>0</v>
      </c>
      <c r="N1011" s="50">
        <f>VLOOKUP($A1011,'[1]ma sp 02'!$A$5:$BD$1101,N$1,0)</f>
        <v>0</v>
      </c>
      <c r="O1011" s="50">
        <f>VLOOKUP($A1011,'[1]ma sp 02'!$A$5:$BD$1101,O$1,0)</f>
        <v>9.5000000000000001E-2</v>
      </c>
      <c r="P1011" s="50">
        <f>VLOOKUP($A1011,'[1]ma sp 02'!$A$5:$BD$1101,P$1,0)</f>
        <v>0</v>
      </c>
      <c r="Q1011" s="50">
        <f>VLOOKUP($A1011,'[1]ma sp 02'!$A$5:$BD$1101,Q$1,0)</f>
        <v>0</v>
      </c>
      <c r="R1011" s="50">
        <f>VLOOKUP($A1011,'[1]ma sp 02'!$A$5:$BD$1101,R$1,0)</f>
        <v>0.01</v>
      </c>
      <c r="S1011" s="50">
        <f>VLOOKUP($A1011,'[1]ma sp 02'!$A$5:$BD$1101,S$1,0)</f>
        <v>0</v>
      </c>
      <c r="T1011" s="50">
        <f>VLOOKUP($A1011,'[1]ma sp 02'!$A$5:$BD$1101,T$1,0)</f>
        <v>0</v>
      </c>
      <c r="U1011" s="50">
        <f>VLOOKUP($A1011,'[1]ma sp 02'!$A$5:$BD$1101,U$1,0)</f>
        <v>0</v>
      </c>
      <c r="V1011" s="50">
        <f>VLOOKUP($A1011,'[1]ma sp 02'!$A$5:$BD$1101,V$1,0)</f>
        <v>0</v>
      </c>
      <c r="W1011" s="50">
        <f>VLOOKUP($A1011,'[1]ma sp 02'!$A$5:$BD$1101,W$1,0)</f>
        <v>0</v>
      </c>
      <c r="X1011" s="50"/>
      <c r="Y1011" s="62"/>
      <c r="Z1011" s="62"/>
      <c r="AA1011" s="62"/>
      <c r="AB1011" s="62"/>
      <c r="AC1011" s="62"/>
      <c r="AD1011" s="62"/>
      <c r="AE1011" s="62" t="s">
        <v>3199</v>
      </c>
      <c r="AF1011" s="62"/>
      <c r="AG1011" s="53">
        <f>(0.012*1.4+0.0012*1.4+0.06*0.925)*0.76</f>
        <v>5.6224800000000005E-2</v>
      </c>
      <c r="AH1011" s="54">
        <f>(2.3/0.75/2)*0.76</f>
        <v>1.1653333333333333</v>
      </c>
      <c r="AI1011" s="153"/>
      <c r="AJ1011" s="58">
        <v>9530</v>
      </c>
      <c r="AK1011" s="58"/>
      <c r="AL1011" s="62">
        <v>2.3E-3</v>
      </c>
      <c r="AM1011" s="61" t="s">
        <v>1489</v>
      </c>
      <c r="AN1011" s="62">
        <v>110</v>
      </c>
      <c r="AO1011" s="61" t="s">
        <v>612</v>
      </c>
      <c r="AP1011" s="59"/>
      <c r="AQ1011" s="59"/>
      <c r="AR1011" s="59"/>
      <c r="AS1011" s="59"/>
      <c r="AT1011" s="59"/>
      <c r="AU1011" s="59"/>
      <c r="AV1011" s="59"/>
      <c r="AW1011" s="59"/>
      <c r="AX1011" s="59"/>
      <c r="AY1011" s="59"/>
      <c r="AZ1011" s="59"/>
      <c r="BA1011" s="141">
        <v>110</v>
      </c>
      <c r="BB1011" s="61" t="s">
        <v>952</v>
      </c>
      <c r="BC1011" s="165"/>
      <c r="BD1011" s="166"/>
      <c r="BE1011" s="167"/>
      <c r="BF1011" s="168"/>
      <c r="BG1011" s="167"/>
      <c r="BH1011" s="168"/>
      <c r="BI1011" s="169"/>
      <c r="BJ1011" s="168"/>
      <c r="BK1011" s="134"/>
      <c r="BL1011" s="168"/>
      <c r="BM1011" s="167"/>
      <c r="BN1011" s="168"/>
      <c r="BO1011" s="62"/>
      <c r="BP1011" s="168"/>
      <c r="BQ1011" s="168"/>
      <c r="BR1011" s="168"/>
      <c r="BS1011" s="135"/>
      <c r="BT1011" s="176"/>
      <c r="BU1011" s="167"/>
      <c r="BV1011" s="168"/>
      <c r="BW1011" s="167"/>
      <c r="BX1011" s="168"/>
      <c r="BY1011" s="167"/>
      <c r="BZ1011" s="176"/>
      <c r="CA1011" s="167"/>
      <c r="CB1011" s="168"/>
      <c r="CC1011" s="167"/>
      <c r="CD1011" s="168"/>
      <c r="CE1011" s="62"/>
      <c r="CF1011" s="62"/>
      <c r="CG1011" s="9"/>
      <c r="CH1011" s="9"/>
      <c r="CI1011" s="9"/>
      <c r="CJ1011" s="9"/>
      <c r="CK1011" s="9"/>
      <c r="CL1011" s="9"/>
      <c r="CM1011" s="9"/>
      <c r="CN1011" s="9"/>
      <c r="CO1011" s="9"/>
      <c r="CP1011" s="9"/>
    </row>
    <row r="1012" spans="1:94" ht="30" x14ac:dyDescent="0.25">
      <c r="A1012" s="127" t="s">
        <v>3209</v>
      </c>
      <c r="B1012" s="51" t="s">
        <v>3210</v>
      </c>
      <c r="C1012" s="62"/>
      <c r="D1012" s="84">
        <v>2</v>
      </c>
      <c r="E1012" s="62" t="s">
        <v>393</v>
      </c>
      <c r="F1012" s="62">
        <v>8</v>
      </c>
      <c r="G1012" s="62"/>
      <c r="H1012" s="50">
        <f>VLOOKUP($A1012,'[1]ma sp 02'!$A$5:$BD$1101,H$1,0)</f>
        <v>0</v>
      </c>
      <c r="I1012" s="50">
        <f>VLOOKUP($A1012,'[1]ma sp 02'!$A$5:$BD$1101,I$1,0)</f>
        <v>10.081</v>
      </c>
      <c r="J1012" s="50">
        <f>VLOOKUP($A1012,'[1]ma sp 02'!$A$5:$BD$1101,J$1,0)</f>
        <v>0.64300000000000002</v>
      </c>
      <c r="K1012" s="50">
        <f>VLOOKUP($A1012,'[1]ma sp 02'!$A$5:$BD$1101,K$1,0)</f>
        <v>0.85799999999999998</v>
      </c>
      <c r="L1012" s="50">
        <f>VLOOKUP($A1012,'[1]ma sp 02'!$A$5:$BD$1101,L$1,0)</f>
        <v>0.01</v>
      </c>
      <c r="M1012" s="50">
        <f>VLOOKUP($A1012,'[1]ma sp 02'!$A$5:$BD$1101,M$1,0)</f>
        <v>1.5009999999999999</v>
      </c>
      <c r="N1012" s="50">
        <f>VLOOKUP($A1012,'[1]ma sp 02'!$A$5:$BD$1101,N$1,0)</f>
        <v>0</v>
      </c>
      <c r="O1012" s="50">
        <f>VLOOKUP($A1012,'[1]ma sp 02'!$A$5:$BD$1101,O$1,0)</f>
        <v>0</v>
      </c>
      <c r="P1012" s="50">
        <f>VLOOKUP($A1012,'[1]ma sp 02'!$A$5:$BD$1101,P$1,0)</f>
        <v>0.214</v>
      </c>
      <c r="Q1012" s="50">
        <f>VLOOKUP($A1012,'[1]ma sp 02'!$A$5:$BD$1101,Q$1,0)</f>
        <v>0</v>
      </c>
      <c r="R1012" s="50">
        <f>VLOOKUP($A1012,'[1]ma sp 02'!$A$5:$BD$1101,R$1,0)</f>
        <v>0</v>
      </c>
      <c r="S1012" s="50">
        <f>VLOOKUP($A1012,'[1]ma sp 02'!$A$5:$BD$1101,S$1,0)</f>
        <v>0</v>
      </c>
      <c r="T1012" s="50">
        <f>VLOOKUP($A1012,'[1]ma sp 02'!$A$5:$BD$1101,T$1,0)</f>
        <v>1.3939999999999999</v>
      </c>
      <c r="U1012" s="50">
        <f>VLOOKUP($A1012,'[1]ma sp 02'!$A$5:$BD$1101,U$1,0)</f>
        <v>0</v>
      </c>
      <c r="V1012" s="50">
        <f>VLOOKUP($A1012,'[1]ma sp 02'!$A$5:$BD$1101,V$1,0)</f>
        <v>0.01</v>
      </c>
      <c r="W1012" s="50">
        <f>VLOOKUP($A1012,'[1]ma sp 02'!$A$5:$BD$1101,W$1,0)</f>
        <v>0</v>
      </c>
      <c r="X1012" s="50"/>
      <c r="Y1012" s="62"/>
      <c r="Z1012" s="62"/>
      <c r="AA1012" s="62"/>
      <c r="AB1012" s="62"/>
      <c r="AC1012" s="62"/>
      <c r="AD1012" s="62"/>
      <c r="AE1012" s="62" t="s">
        <v>394</v>
      </c>
      <c r="AF1012" s="62" t="s">
        <v>3211</v>
      </c>
      <c r="AG1012" s="53">
        <f>(0.012*1.4+0.0012*1.4+0.04*0.925)*0.66</f>
        <v>3.6616800000000005E-2</v>
      </c>
      <c r="AH1012" s="153">
        <f>(2.5/0.75/2)*0.65</f>
        <v>1.0833333333333335</v>
      </c>
      <c r="AI1012" s="153">
        <f>(2.5/0.75/2)*0.65</f>
        <v>1.0833333333333335</v>
      </c>
      <c r="AJ1012" s="58">
        <v>9530</v>
      </c>
      <c r="AK1012" s="58">
        <v>9530</v>
      </c>
      <c r="AL1012" s="62" t="s">
        <v>354</v>
      </c>
      <c r="AM1012" s="61" t="s">
        <v>1489</v>
      </c>
      <c r="AN1012" s="62">
        <v>216</v>
      </c>
      <c r="AO1012" s="61" t="s">
        <v>169</v>
      </c>
      <c r="AP1012" s="59"/>
      <c r="AQ1012" s="59"/>
      <c r="AR1012" s="59"/>
      <c r="AS1012" s="59"/>
      <c r="AT1012" s="59"/>
      <c r="AU1012" s="59"/>
      <c r="AV1012" s="59"/>
      <c r="AW1012" s="59"/>
      <c r="AX1012" s="59"/>
      <c r="AY1012" s="59"/>
      <c r="AZ1012" s="59"/>
      <c r="BA1012" s="141"/>
      <c r="BB1012" s="61" t="s">
        <v>952</v>
      </c>
      <c r="BC1012" s="165"/>
      <c r="BD1012" s="166"/>
      <c r="BE1012" s="167"/>
      <c r="BF1012" s="168"/>
      <c r="BG1012" s="167"/>
      <c r="BH1012" s="168"/>
      <c r="BI1012" s="169"/>
      <c r="BJ1012" s="168"/>
      <c r="BK1012" s="134"/>
      <c r="BL1012" s="168"/>
      <c r="BM1012" s="167"/>
      <c r="BN1012" s="168"/>
      <c r="BO1012" s="62"/>
      <c r="BP1012" s="168"/>
      <c r="BQ1012" s="168"/>
      <c r="BR1012" s="168"/>
      <c r="BS1012" s="135"/>
      <c r="BT1012" s="176"/>
      <c r="BU1012" s="167"/>
      <c r="BV1012" s="168"/>
      <c r="BW1012" s="167"/>
      <c r="BX1012" s="168"/>
      <c r="BY1012" s="167"/>
      <c r="BZ1012" s="176"/>
      <c r="CA1012" s="167"/>
      <c r="CB1012" s="168"/>
      <c r="CC1012" s="167"/>
      <c r="CD1012" s="168"/>
      <c r="CE1012" s="62"/>
      <c r="CF1012" s="62"/>
      <c r="CG1012" s="9"/>
      <c r="CH1012" s="9"/>
      <c r="CI1012" s="9"/>
      <c r="CJ1012" s="9"/>
      <c r="CK1012" s="9"/>
      <c r="CL1012" s="9"/>
      <c r="CM1012" s="9"/>
      <c r="CN1012" s="9"/>
      <c r="CO1012" s="9"/>
      <c r="CP1012" s="9"/>
    </row>
    <row r="1013" spans="1:94" ht="30" x14ac:dyDescent="0.25">
      <c r="A1013" s="127" t="s">
        <v>3212</v>
      </c>
      <c r="B1013" s="51" t="s">
        <v>3213</v>
      </c>
      <c r="C1013" s="62"/>
      <c r="D1013" s="84">
        <v>2</v>
      </c>
      <c r="E1013" s="62" t="s">
        <v>393</v>
      </c>
      <c r="F1013" s="62">
        <v>8</v>
      </c>
      <c r="G1013" s="62"/>
      <c r="H1013" s="50">
        <f>VLOOKUP($A1013,'[1]ma sp 02'!$A$5:$BD$1101,H$1,0)</f>
        <v>0</v>
      </c>
      <c r="I1013" s="50">
        <f>VLOOKUP($A1013,'[1]ma sp 02'!$A$5:$BD$1101,I$1,0)</f>
        <v>5.5970000000000004</v>
      </c>
      <c r="J1013" s="50">
        <f>VLOOKUP($A1013,'[1]ma sp 02'!$A$5:$BD$1101,J$1,0)</f>
        <v>0.01</v>
      </c>
      <c r="K1013" s="50">
        <f>VLOOKUP($A1013,'[1]ma sp 02'!$A$5:$BD$1101,K$1,0)</f>
        <v>0.01</v>
      </c>
      <c r="L1013" s="50">
        <f>VLOOKUP($A1013,'[1]ma sp 02'!$A$5:$BD$1101,L$1,0)</f>
        <v>0.01</v>
      </c>
      <c r="M1013" s="50">
        <f>VLOOKUP($A1013,'[1]ma sp 02'!$A$5:$BD$1101,M$1,0)</f>
        <v>0</v>
      </c>
      <c r="N1013" s="50">
        <f>VLOOKUP($A1013,'[1]ma sp 02'!$A$5:$BD$1101,N$1,0)</f>
        <v>0</v>
      </c>
      <c r="O1013" s="50">
        <f>VLOOKUP($A1013,'[1]ma sp 02'!$A$5:$BD$1101,O$1,0)</f>
        <v>0</v>
      </c>
      <c r="P1013" s="50">
        <f>VLOOKUP($A1013,'[1]ma sp 02'!$A$5:$BD$1101,P$1,0)</f>
        <v>0.96899999999999997</v>
      </c>
      <c r="Q1013" s="50">
        <f>VLOOKUP($A1013,'[1]ma sp 02'!$A$5:$BD$1101,Q$1,0)</f>
        <v>0</v>
      </c>
      <c r="R1013" s="50">
        <f>VLOOKUP($A1013,'[1]ma sp 02'!$A$5:$BD$1101,R$1,0)</f>
        <v>0.108</v>
      </c>
      <c r="S1013" s="50">
        <f>VLOOKUP($A1013,'[1]ma sp 02'!$A$5:$BD$1101,S$1,0)</f>
        <v>0</v>
      </c>
      <c r="T1013" s="50">
        <f>VLOOKUP($A1013,'[1]ma sp 02'!$A$5:$BD$1101,T$1,0)</f>
        <v>0</v>
      </c>
      <c r="U1013" s="50">
        <f>VLOOKUP($A1013,'[1]ma sp 02'!$A$5:$BD$1101,U$1,0)</f>
        <v>0</v>
      </c>
      <c r="V1013" s="50">
        <f>VLOOKUP($A1013,'[1]ma sp 02'!$A$5:$BD$1101,V$1,0)</f>
        <v>0</v>
      </c>
      <c r="W1013" s="50">
        <f>VLOOKUP($A1013,'[1]ma sp 02'!$A$5:$BD$1101,W$1,0)</f>
        <v>0.01</v>
      </c>
      <c r="X1013" s="50"/>
      <c r="Y1013" s="62"/>
      <c r="Z1013" s="62"/>
      <c r="AA1013" s="62"/>
      <c r="AB1013" s="62"/>
      <c r="AC1013" s="62"/>
      <c r="AD1013" s="62"/>
      <c r="AE1013" s="62" t="s">
        <v>394</v>
      </c>
      <c r="AF1013" s="62" t="s">
        <v>3211</v>
      </c>
      <c r="AG1013" s="53">
        <f>(0.012*1.4+0.0012*1.4+0.04*0.925)*0.66</f>
        <v>3.6616800000000005E-2</v>
      </c>
      <c r="AH1013" s="153">
        <f t="shared" ref="AH1013:AI1014" si="41">(2.5/0.75/2)*0.65</f>
        <v>1.0833333333333335</v>
      </c>
      <c r="AI1013" s="153">
        <f t="shared" si="41"/>
        <v>1.0833333333333335</v>
      </c>
      <c r="AJ1013" s="58">
        <v>9530</v>
      </c>
      <c r="AK1013" s="58">
        <v>9530</v>
      </c>
      <c r="AL1013" s="62" t="s">
        <v>354</v>
      </c>
      <c r="AM1013" s="61" t="s">
        <v>1489</v>
      </c>
      <c r="AN1013" s="62">
        <v>216</v>
      </c>
      <c r="AO1013" s="61" t="s">
        <v>169</v>
      </c>
      <c r="AP1013" s="59"/>
      <c r="AQ1013" s="59"/>
      <c r="AR1013" s="59"/>
      <c r="AS1013" s="59"/>
      <c r="AT1013" s="59"/>
      <c r="AU1013" s="59"/>
      <c r="AV1013" s="59"/>
      <c r="AW1013" s="59"/>
      <c r="AX1013" s="59"/>
      <c r="AY1013" s="59"/>
      <c r="AZ1013" s="59"/>
      <c r="BA1013" s="141"/>
      <c r="BB1013" s="61" t="s">
        <v>952</v>
      </c>
      <c r="BC1013" s="165"/>
      <c r="BD1013" s="166"/>
      <c r="BE1013" s="167"/>
      <c r="BF1013" s="168"/>
      <c r="BG1013" s="167"/>
      <c r="BH1013" s="168"/>
      <c r="BI1013" s="169"/>
      <c r="BJ1013" s="168"/>
      <c r="BK1013" s="134"/>
      <c r="BL1013" s="168"/>
      <c r="BM1013" s="167"/>
      <c r="BN1013" s="168"/>
      <c r="BO1013" s="62"/>
      <c r="BP1013" s="168"/>
      <c r="BQ1013" s="168"/>
      <c r="BR1013" s="168"/>
      <c r="BS1013" s="135"/>
      <c r="BT1013" s="176"/>
      <c r="BU1013" s="167"/>
      <c r="BV1013" s="168"/>
      <c r="BW1013" s="167"/>
      <c r="BX1013" s="168"/>
      <c r="BY1013" s="167"/>
      <c r="BZ1013" s="176"/>
      <c r="CA1013" s="167"/>
      <c r="CB1013" s="168"/>
      <c r="CC1013" s="167"/>
      <c r="CD1013" s="168"/>
      <c r="CE1013" s="62"/>
      <c r="CF1013" s="62"/>
      <c r="CG1013" s="9"/>
      <c r="CH1013" s="9"/>
      <c r="CI1013" s="9"/>
      <c r="CJ1013" s="9"/>
      <c r="CK1013" s="9"/>
      <c r="CL1013" s="9"/>
      <c r="CM1013" s="9"/>
      <c r="CN1013" s="9"/>
      <c r="CO1013" s="9"/>
      <c r="CP1013" s="9"/>
    </row>
    <row r="1014" spans="1:94" ht="30" x14ac:dyDescent="0.25">
      <c r="A1014" s="127" t="s">
        <v>3214</v>
      </c>
      <c r="B1014" s="51" t="s">
        <v>3215</v>
      </c>
      <c r="C1014" s="62"/>
      <c r="D1014" s="84">
        <v>2</v>
      </c>
      <c r="E1014" s="62" t="s">
        <v>393</v>
      </c>
      <c r="F1014" s="62">
        <v>8</v>
      </c>
      <c r="G1014" s="62"/>
      <c r="H1014" s="50">
        <f>VLOOKUP($A1014,'[1]ma sp 02'!$A$5:$BD$1101,H$1,0)</f>
        <v>0.01</v>
      </c>
      <c r="I1014" s="50">
        <f>VLOOKUP($A1014,'[1]ma sp 02'!$A$5:$BD$1101,I$1,0)</f>
        <v>5.2960000000000003</v>
      </c>
      <c r="J1014" s="50">
        <f>VLOOKUP($A1014,'[1]ma sp 02'!$A$5:$BD$1101,J$1,0)</f>
        <v>0.01</v>
      </c>
      <c r="K1014" s="50">
        <f>VLOOKUP($A1014,'[1]ma sp 02'!$A$5:$BD$1101,K$1,0)</f>
        <v>0.54500000000000004</v>
      </c>
      <c r="L1014" s="50">
        <f>VLOOKUP($A1014,'[1]ma sp 02'!$A$5:$BD$1101,L$1,0)</f>
        <v>2.492</v>
      </c>
      <c r="M1014" s="50">
        <f>VLOOKUP($A1014,'[1]ma sp 02'!$A$5:$BD$1101,M$1,0)</f>
        <v>3.8940000000000001</v>
      </c>
      <c r="N1014" s="50">
        <f>VLOOKUP($A1014,'[1]ma sp 02'!$A$5:$BD$1101,N$1,0)</f>
        <v>0</v>
      </c>
      <c r="O1014" s="50">
        <f>VLOOKUP($A1014,'[1]ma sp 02'!$A$5:$BD$1101,O$1,0)</f>
        <v>0</v>
      </c>
      <c r="P1014" s="50">
        <f>VLOOKUP($A1014,'[1]ma sp 02'!$A$5:$BD$1101,P$1,0)</f>
        <v>1.246</v>
      </c>
      <c r="Q1014" s="50">
        <f>VLOOKUP($A1014,'[1]ma sp 02'!$A$5:$BD$1101,Q$1,0)</f>
        <v>0</v>
      </c>
      <c r="R1014" s="50">
        <f>VLOOKUP($A1014,'[1]ma sp 02'!$A$5:$BD$1101,R$1,0)</f>
        <v>0.01</v>
      </c>
      <c r="S1014" s="50">
        <f>VLOOKUP($A1014,'[1]ma sp 02'!$A$5:$BD$1101,S$1,0)</f>
        <v>0</v>
      </c>
      <c r="T1014" s="50">
        <f>VLOOKUP($A1014,'[1]ma sp 02'!$A$5:$BD$1101,T$1,0)</f>
        <v>0</v>
      </c>
      <c r="U1014" s="50">
        <f>VLOOKUP($A1014,'[1]ma sp 02'!$A$5:$BD$1101,U$1,0)</f>
        <v>0</v>
      </c>
      <c r="V1014" s="50">
        <f>VLOOKUP($A1014,'[1]ma sp 02'!$A$5:$BD$1101,V$1,0)</f>
        <v>0</v>
      </c>
      <c r="W1014" s="50">
        <f>VLOOKUP($A1014,'[1]ma sp 02'!$A$5:$BD$1101,W$1,0)</f>
        <v>0</v>
      </c>
      <c r="X1014" s="50"/>
      <c r="Y1014" s="62"/>
      <c r="Z1014" s="62"/>
      <c r="AA1014" s="62"/>
      <c r="AB1014" s="62"/>
      <c r="AC1014" s="62"/>
      <c r="AD1014" s="62"/>
      <c r="AE1014" s="62" t="s">
        <v>394</v>
      </c>
      <c r="AF1014" s="62" t="s">
        <v>3211</v>
      </c>
      <c r="AG1014" s="53">
        <f>(0.012*1.4+0.0012*1.4+0.04*0.925)*0.66</f>
        <v>3.6616800000000005E-2</v>
      </c>
      <c r="AH1014" s="153">
        <f t="shared" si="41"/>
        <v>1.0833333333333335</v>
      </c>
      <c r="AI1014" s="153">
        <f t="shared" si="41"/>
        <v>1.0833333333333335</v>
      </c>
      <c r="AJ1014" s="58">
        <v>9530</v>
      </c>
      <c r="AK1014" s="58">
        <v>9530</v>
      </c>
      <c r="AL1014" s="62" t="s">
        <v>354</v>
      </c>
      <c r="AM1014" s="61" t="s">
        <v>1489</v>
      </c>
      <c r="AN1014" s="62">
        <v>216</v>
      </c>
      <c r="AO1014" s="61" t="s">
        <v>169</v>
      </c>
      <c r="AP1014" s="59"/>
      <c r="AQ1014" s="59"/>
      <c r="AR1014" s="59"/>
      <c r="AS1014" s="59"/>
      <c r="AT1014" s="59"/>
      <c r="AU1014" s="59"/>
      <c r="AV1014" s="59"/>
      <c r="AW1014" s="59"/>
      <c r="AX1014" s="59"/>
      <c r="AY1014" s="59"/>
      <c r="AZ1014" s="59"/>
      <c r="BA1014" s="141"/>
      <c r="BB1014" s="61" t="s">
        <v>952</v>
      </c>
      <c r="BC1014" s="165"/>
      <c r="BD1014" s="166"/>
      <c r="BE1014" s="167"/>
      <c r="BF1014" s="168"/>
      <c r="BG1014" s="167"/>
      <c r="BH1014" s="168"/>
      <c r="BI1014" s="169"/>
      <c r="BJ1014" s="168"/>
      <c r="BK1014" s="134"/>
      <c r="BL1014" s="168"/>
      <c r="BM1014" s="167"/>
      <c r="BN1014" s="168"/>
      <c r="BO1014" s="62"/>
      <c r="BP1014" s="168"/>
      <c r="BQ1014" s="168"/>
      <c r="BR1014" s="168"/>
      <c r="BS1014" s="135"/>
      <c r="BT1014" s="176"/>
      <c r="BU1014" s="167"/>
      <c r="BV1014" s="168"/>
      <c r="BW1014" s="167"/>
      <c r="BX1014" s="168"/>
      <c r="BY1014" s="167"/>
      <c r="BZ1014" s="176"/>
      <c r="CA1014" s="167"/>
      <c r="CB1014" s="168"/>
      <c r="CC1014" s="167"/>
      <c r="CD1014" s="168"/>
      <c r="CE1014" s="62"/>
      <c r="CF1014" s="62"/>
      <c r="CG1014" s="9"/>
      <c r="CH1014" s="9"/>
      <c r="CI1014" s="9"/>
      <c r="CJ1014" s="9"/>
      <c r="CK1014" s="9"/>
      <c r="CL1014" s="9"/>
      <c r="CM1014" s="9"/>
      <c r="CN1014" s="9"/>
      <c r="CO1014" s="9"/>
      <c r="CP1014" s="9"/>
    </row>
    <row r="1015" spans="1:94" ht="30" x14ac:dyDescent="0.25">
      <c r="A1015" s="127" t="s">
        <v>3216</v>
      </c>
      <c r="B1015" s="51" t="s">
        <v>3217</v>
      </c>
      <c r="C1015" s="62"/>
      <c r="D1015" s="84">
        <v>3</v>
      </c>
      <c r="E1015" s="62" t="s">
        <v>1023</v>
      </c>
      <c r="F1015" s="62">
        <v>5</v>
      </c>
      <c r="G1015" s="62"/>
      <c r="H1015" s="50">
        <f>VLOOKUP($A1015,'[1]ma sp 02'!$A$5:$BD$1101,H$1,0)</f>
        <v>0.01</v>
      </c>
      <c r="I1015" s="50">
        <f>VLOOKUP($A1015,'[1]ma sp 02'!$A$5:$BD$1101,I$1,0)</f>
        <v>0.89</v>
      </c>
      <c r="J1015" s="50">
        <f>VLOOKUP($A1015,'[1]ma sp 02'!$A$5:$BD$1101,J$1,0)</f>
        <v>0.58199999999999996</v>
      </c>
      <c r="K1015" s="50">
        <f>VLOOKUP($A1015,'[1]ma sp 02'!$A$5:$BD$1101,K$1,0)</f>
        <v>0.34200000000000003</v>
      </c>
      <c r="L1015" s="50">
        <f>VLOOKUP($A1015,'[1]ma sp 02'!$A$5:$BD$1101,L$1,0)</f>
        <v>0.65100000000000002</v>
      </c>
      <c r="M1015" s="50">
        <f>VLOOKUP($A1015,'[1]ma sp 02'!$A$5:$BD$1101,M$1,0)</f>
        <v>0.34200000000000003</v>
      </c>
      <c r="N1015" s="50">
        <f>VLOOKUP($A1015,'[1]ma sp 02'!$A$5:$BD$1101,N$1,0)</f>
        <v>0</v>
      </c>
      <c r="O1015" s="50">
        <f>VLOOKUP($A1015,'[1]ma sp 02'!$A$5:$BD$1101,O$1,0)</f>
        <v>0</v>
      </c>
      <c r="P1015" s="50">
        <f>VLOOKUP($A1015,'[1]ma sp 02'!$A$5:$BD$1101,P$1,0)</f>
        <v>0</v>
      </c>
      <c r="Q1015" s="50">
        <f>VLOOKUP($A1015,'[1]ma sp 02'!$A$5:$BD$1101,Q$1,0)</f>
        <v>0</v>
      </c>
      <c r="R1015" s="50">
        <f>VLOOKUP($A1015,'[1]ma sp 02'!$A$5:$BD$1101,R$1,0)</f>
        <v>0</v>
      </c>
      <c r="S1015" s="50">
        <f>VLOOKUP($A1015,'[1]ma sp 02'!$A$5:$BD$1101,S$1,0)</f>
        <v>0</v>
      </c>
      <c r="T1015" s="50">
        <f>VLOOKUP($A1015,'[1]ma sp 02'!$A$5:$BD$1101,T$1,0)</f>
        <v>0</v>
      </c>
      <c r="U1015" s="50">
        <f>VLOOKUP($A1015,'[1]ma sp 02'!$A$5:$BD$1101,U$1,0)</f>
        <v>0</v>
      </c>
      <c r="V1015" s="50">
        <f>VLOOKUP($A1015,'[1]ma sp 02'!$A$5:$BD$1101,V$1,0)</f>
        <v>0</v>
      </c>
      <c r="W1015" s="50">
        <f>VLOOKUP($A1015,'[1]ma sp 02'!$A$5:$BD$1101,W$1,0)</f>
        <v>0</v>
      </c>
      <c r="X1015" s="50"/>
      <c r="Y1015" s="62"/>
      <c r="Z1015" s="62"/>
      <c r="AA1015" s="62"/>
      <c r="AB1015" s="62"/>
      <c r="AC1015" s="62"/>
      <c r="AD1015" s="62"/>
      <c r="AE1015" s="62" t="s">
        <v>352</v>
      </c>
      <c r="AF1015" s="62" t="s">
        <v>353</v>
      </c>
      <c r="AG1015" s="53">
        <f>(0.02*0.91+0.0012*1.4+0.075*0.925)*0.8</f>
        <v>7.1404000000000009E-2</v>
      </c>
      <c r="AH1015" s="153">
        <f>(2.3/0.75/2)*0.79</f>
        <v>1.2113333333333334</v>
      </c>
      <c r="AI1015" s="153">
        <f>(3/0.75/2)*0.79</f>
        <v>1.58</v>
      </c>
      <c r="AJ1015" s="58">
        <v>9530</v>
      </c>
      <c r="AK1015" s="58">
        <v>9530</v>
      </c>
      <c r="AL1015" s="62" t="s">
        <v>117</v>
      </c>
      <c r="AM1015" s="61" t="s">
        <v>3186</v>
      </c>
      <c r="AN1015" s="62">
        <v>190</v>
      </c>
      <c r="AO1015" s="61" t="s">
        <v>2173</v>
      </c>
      <c r="AP1015" s="59"/>
      <c r="AQ1015" s="59"/>
      <c r="AR1015" s="59"/>
      <c r="AS1015" s="59"/>
      <c r="AT1015" s="59"/>
      <c r="AU1015" s="59"/>
      <c r="AV1015" s="59"/>
      <c r="AW1015" s="59"/>
      <c r="AX1015" s="59"/>
      <c r="AY1015" s="59"/>
      <c r="AZ1015" s="59"/>
      <c r="BA1015" s="141"/>
      <c r="BB1015" s="61" t="s">
        <v>1894</v>
      </c>
      <c r="BC1015" s="165"/>
      <c r="BD1015" s="166"/>
      <c r="BE1015" s="167"/>
      <c r="BF1015" s="168"/>
      <c r="BG1015" s="167"/>
      <c r="BH1015" s="168"/>
      <c r="BI1015" s="169"/>
      <c r="BJ1015" s="168"/>
      <c r="BK1015" s="134"/>
      <c r="BL1015" s="168"/>
      <c r="BM1015" s="167"/>
      <c r="BN1015" s="168"/>
      <c r="BO1015" s="62"/>
      <c r="BP1015" s="168"/>
      <c r="BQ1015" s="168"/>
      <c r="BR1015" s="168"/>
      <c r="BS1015" s="135"/>
      <c r="BT1015" s="176"/>
      <c r="BU1015" s="167"/>
      <c r="BV1015" s="168"/>
      <c r="BW1015" s="167"/>
      <c r="BX1015" s="168"/>
      <c r="BY1015" s="167"/>
      <c r="BZ1015" s="176"/>
      <c r="CA1015" s="167"/>
      <c r="CB1015" s="168"/>
      <c r="CC1015" s="167"/>
      <c r="CD1015" s="168"/>
      <c r="CE1015" s="62"/>
      <c r="CF1015" s="62"/>
      <c r="CG1015" s="9"/>
      <c r="CH1015" s="9"/>
      <c r="CI1015" s="9"/>
      <c r="CJ1015" s="9"/>
      <c r="CK1015" s="9"/>
      <c r="CL1015" s="9"/>
      <c r="CM1015" s="9"/>
      <c r="CN1015" s="9"/>
      <c r="CO1015" s="9"/>
      <c r="CP1015" s="9"/>
    </row>
    <row r="1016" spans="1:94" ht="30" x14ac:dyDescent="0.25">
      <c r="A1016" s="127" t="s">
        <v>3218</v>
      </c>
      <c r="B1016" s="51" t="s">
        <v>3219</v>
      </c>
      <c r="C1016" s="62"/>
      <c r="D1016" s="84"/>
      <c r="E1016" s="62" t="s">
        <v>910</v>
      </c>
      <c r="F1016" s="62"/>
      <c r="G1016" s="62"/>
      <c r="H1016" s="50">
        <f>VLOOKUP($A1016,'[1]ma sp 02'!$A$5:$BD$1101,H$1,0)</f>
        <v>0</v>
      </c>
      <c r="I1016" s="50">
        <f>VLOOKUP($A1016,'[1]ma sp 02'!$A$5:$BD$1101,I$1,0)</f>
        <v>0</v>
      </c>
      <c r="J1016" s="50">
        <f>VLOOKUP($A1016,'[1]ma sp 02'!$A$5:$BD$1101,J$1,0)</f>
        <v>0</v>
      </c>
      <c r="K1016" s="50">
        <f>VLOOKUP($A1016,'[1]ma sp 02'!$A$5:$BD$1101,K$1,0)</f>
        <v>0</v>
      </c>
      <c r="L1016" s="50">
        <f>VLOOKUP($A1016,'[1]ma sp 02'!$A$5:$BD$1101,L$1,0)</f>
        <v>0</v>
      </c>
      <c r="M1016" s="50">
        <f>VLOOKUP($A1016,'[1]ma sp 02'!$A$5:$BD$1101,M$1,0)</f>
        <v>0</v>
      </c>
      <c r="N1016" s="50">
        <f>VLOOKUP($A1016,'[1]ma sp 02'!$A$5:$BD$1101,N$1,0)</f>
        <v>0</v>
      </c>
      <c r="O1016" s="50">
        <f>VLOOKUP($A1016,'[1]ma sp 02'!$A$5:$BD$1101,O$1,0)</f>
        <v>0</v>
      </c>
      <c r="P1016" s="50">
        <f>VLOOKUP($A1016,'[1]ma sp 02'!$A$5:$BD$1101,P$1,0)</f>
        <v>0</v>
      </c>
      <c r="Q1016" s="50">
        <f>VLOOKUP($A1016,'[1]ma sp 02'!$A$5:$BD$1101,Q$1,0)</f>
        <v>0</v>
      </c>
      <c r="R1016" s="50">
        <f>VLOOKUP($A1016,'[1]ma sp 02'!$A$5:$BD$1101,R$1,0)</f>
        <v>0</v>
      </c>
      <c r="S1016" s="50">
        <f>VLOOKUP($A1016,'[1]ma sp 02'!$A$5:$BD$1101,S$1,0)</f>
        <v>0</v>
      </c>
      <c r="T1016" s="50">
        <f>VLOOKUP($A1016,'[1]ma sp 02'!$A$5:$BD$1101,T$1,0)</f>
        <v>0</v>
      </c>
      <c r="U1016" s="50">
        <f>VLOOKUP($A1016,'[1]ma sp 02'!$A$5:$BD$1101,U$1,0)</f>
        <v>0</v>
      </c>
      <c r="V1016" s="50">
        <f>VLOOKUP($A1016,'[1]ma sp 02'!$A$5:$BD$1101,V$1,0)</f>
        <v>0</v>
      </c>
      <c r="W1016" s="50">
        <f>VLOOKUP($A1016,'[1]ma sp 02'!$A$5:$BD$1101,W$1,0)</f>
        <v>0</v>
      </c>
      <c r="X1016" s="50"/>
      <c r="Y1016" s="62"/>
      <c r="Z1016" s="62"/>
      <c r="AA1016" s="62"/>
      <c r="AB1016" s="62"/>
      <c r="AC1016" s="62"/>
      <c r="AD1016" s="62"/>
      <c r="AE1016" s="62" t="s">
        <v>3220</v>
      </c>
      <c r="AF1016" s="62"/>
      <c r="AG1016" s="53">
        <f>(0.02*0.91+0.05*0.94)*0.9</f>
        <v>5.868000000000001E-2</v>
      </c>
      <c r="AH1016" s="54">
        <f>(2.3/0.75/2)*0.89</f>
        <v>1.3646666666666665</v>
      </c>
      <c r="AI1016" s="153"/>
      <c r="AJ1016" s="58">
        <v>9530</v>
      </c>
      <c r="AK1016" s="58"/>
      <c r="AL1016" s="62">
        <v>2.3E-3</v>
      </c>
      <c r="AM1016" s="61" t="s">
        <v>74</v>
      </c>
      <c r="AN1016" s="62">
        <v>160</v>
      </c>
      <c r="AO1016" s="61" t="s">
        <v>3221</v>
      </c>
      <c r="AP1016" s="59"/>
      <c r="AQ1016" s="59"/>
      <c r="AR1016" s="59"/>
      <c r="AS1016" s="59"/>
      <c r="AT1016" s="59"/>
      <c r="AU1016" s="59"/>
      <c r="AV1016" s="59"/>
      <c r="AW1016" s="59"/>
      <c r="AX1016" s="59"/>
      <c r="AY1016" s="59"/>
      <c r="AZ1016" s="59"/>
      <c r="BA1016" s="141"/>
      <c r="BB1016" s="61"/>
      <c r="BC1016" s="165"/>
      <c r="BD1016" s="166"/>
      <c r="BE1016" s="167"/>
      <c r="BF1016" s="168"/>
      <c r="BG1016" s="167"/>
      <c r="BH1016" s="168"/>
      <c r="BI1016" s="169"/>
      <c r="BJ1016" s="168"/>
      <c r="BK1016" s="134"/>
      <c r="BL1016" s="168"/>
      <c r="BM1016" s="167"/>
      <c r="BN1016" s="168"/>
      <c r="BO1016" s="62"/>
      <c r="BP1016" s="168"/>
      <c r="BQ1016" s="168"/>
      <c r="BR1016" s="168"/>
      <c r="BS1016" s="135"/>
      <c r="BT1016" s="176"/>
      <c r="BU1016" s="167"/>
      <c r="BV1016" s="168"/>
      <c r="BW1016" s="167"/>
      <c r="BX1016" s="168"/>
      <c r="BY1016" s="167"/>
      <c r="BZ1016" s="176"/>
      <c r="CA1016" s="167"/>
      <c r="CB1016" s="168"/>
      <c r="CC1016" s="167"/>
      <c r="CD1016" s="168"/>
      <c r="CE1016" s="62"/>
      <c r="CF1016" s="62"/>
      <c r="CG1016" s="9"/>
      <c r="CH1016" s="9"/>
      <c r="CI1016" s="9"/>
      <c r="CJ1016" s="9"/>
      <c r="CK1016" s="9"/>
      <c r="CL1016" s="9"/>
      <c r="CM1016" s="9"/>
      <c r="CN1016" s="9"/>
      <c r="CO1016" s="9"/>
      <c r="CP1016" s="9"/>
    </row>
    <row r="1017" spans="1:94" ht="30" x14ac:dyDescent="0.25">
      <c r="A1017" s="127" t="s">
        <v>3222</v>
      </c>
      <c r="B1017" s="195" t="s">
        <v>3223</v>
      </c>
      <c r="C1017" s="62"/>
      <c r="D1017" s="84">
        <v>4</v>
      </c>
      <c r="E1017" s="62" t="s">
        <v>192</v>
      </c>
      <c r="F1017" s="62">
        <v>6</v>
      </c>
      <c r="G1017" s="62"/>
      <c r="H1017" s="50">
        <f>VLOOKUP($A1017,'[1]ma sp 02'!$A$5:$BD$1101,H$1,0)</f>
        <v>0</v>
      </c>
      <c r="I1017" s="50">
        <f>VLOOKUP($A1017,'[1]ma sp 02'!$A$5:$BD$1101,I$1,0)</f>
        <v>0</v>
      </c>
      <c r="J1017" s="50">
        <f>VLOOKUP($A1017,'[1]ma sp 02'!$A$5:$BD$1101,J$1,0)</f>
        <v>0</v>
      </c>
      <c r="K1017" s="50">
        <f>VLOOKUP($A1017,'[1]ma sp 02'!$A$5:$BD$1101,K$1,0)</f>
        <v>0</v>
      </c>
      <c r="L1017" s="50">
        <f>VLOOKUP($A1017,'[1]ma sp 02'!$A$5:$BD$1101,L$1,0)</f>
        <v>0</v>
      </c>
      <c r="M1017" s="50">
        <f>VLOOKUP($A1017,'[1]ma sp 02'!$A$5:$BD$1101,M$1,0)</f>
        <v>0</v>
      </c>
      <c r="N1017" s="50">
        <f>VLOOKUP($A1017,'[1]ma sp 02'!$A$5:$BD$1101,N$1,0)</f>
        <v>0</v>
      </c>
      <c r="O1017" s="50">
        <f>VLOOKUP($A1017,'[1]ma sp 02'!$A$5:$BD$1101,O$1,0)</f>
        <v>0</v>
      </c>
      <c r="P1017" s="50">
        <f>VLOOKUP($A1017,'[1]ma sp 02'!$A$5:$BD$1101,P$1,0)</f>
        <v>0</v>
      </c>
      <c r="Q1017" s="50">
        <f>VLOOKUP($A1017,'[1]ma sp 02'!$A$5:$BD$1101,Q$1,0)</f>
        <v>0</v>
      </c>
      <c r="R1017" s="50">
        <f>VLOOKUP($A1017,'[1]ma sp 02'!$A$5:$BD$1101,R$1,0)</f>
        <v>0</v>
      </c>
      <c r="S1017" s="50">
        <f>VLOOKUP($A1017,'[1]ma sp 02'!$A$5:$BD$1101,S$1,0)</f>
        <v>0</v>
      </c>
      <c r="T1017" s="50">
        <f>VLOOKUP($A1017,'[1]ma sp 02'!$A$5:$BD$1101,T$1,0)</f>
        <v>0</v>
      </c>
      <c r="U1017" s="50">
        <f>VLOOKUP($A1017,'[1]ma sp 02'!$A$5:$BD$1101,U$1,0)</f>
        <v>0</v>
      </c>
      <c r="V1017" s="50">
        <f>VLOOKUP($A1017,'[1]ma sp 02'!$A$5:$BD$1101,V$1,0)</f>
        <v>0</v>
      </c>
      <c r="W1017" s="50">
        <f>VLOOKUP($A1017,'[1]ma sp 02'!$A$5:$BD$1101,W$1,0)</f>
        <v>0</v>
      </c>
      <c r="X1017" s="50"/>
      <c r="Y1017" s="62"/>
      <c r="Z1017" s="62"/>
      <c r="AA1017" s="62"/>
      <c r="AB1017" s="62"/>
      <c r="AC1017" s="62"/>
      <c r="AD1017" s="62"/>
      <c r="AE1017" s="62" t="s">
        <v>193</v>
      </c>
      <c r="AF1017" s="62"/>
      <c r="AG1017" s="53">
        <f>(0.02*0.91+0.035*0.91)*0.64</f>
        <v>3.2032000000000005E-2</v>
      </c>
      <c r="AH1017" s="54">
        <f>(2.3/0.75/2)*0.63</f>
        <v>0.96599999999999997</v>
      </c>
      <c r="AI1017" s="153"/>
      <c r="AJ1017" s="58">
        <v>9530</v>
      </c>
      <c r="AK1017" s="58"/>
      <c r="AL1017" s="62">
        <v>2.3E-3</v>
      </c>
      <c r="AM1017" s="61" t="s">
        <v>1489</v>
      </c>
      <c r="AN1017" s="62">
        <v>66</v>
      </c>
      <c r="AO1017" s="61" t="s">
        <v>3224</v>
      </c>
      <c r="AP1017" s="59"/>
      <c r="AQ1017" s="59"/>
      <c r="AR1017" s="59"/>
      <c r="AS1017" s="59"/>
      <c r="AT1017" s="59"/>
      <c r="AU1017" s="59"/>
      <c r="AV1017" s="59"/>
      <c r="AW1017" s="59"/>
      <c r="AX1017" s="59"/>
      <c r="AY1017" s="59"/>
      <c r="AZ1017" s="59"/>
      <c r="BA1017" s="141"/>
      <c r="BB1017" s="61" t="s">
        <v>952</v>
      </c>
      <c r="BC1017" s="165"/>
      <c r="BD1017" s="166"/>
      <c r="BE1017" s="167"/>
      <c r="BF1017" s="168"/>
      <c r="BG1017" s="167"/>
      <c r="BH1017" s="168"/>
      <c r="BI1017" s="169"/>
      <c r="BJ1017" s="168"/>
      <c r="BK1017" s="134"/>
      <c r="BL1017" s="168"/>
      <c r="BM1017" s="167"/>
      <c r="BN1017" s="168"/>
      <c r="BO1017" s="62"/>
      <c r="BP1017" s="168"/>
      <c r="BQ1017" s="168"/>
      <c r="BR1017" s="168"/>
      <c r="BS1017" s="135"/>
      <c r="BT1017" s="176"/>
      <c r="BU1017" s="167"/>
      <c r="BV1017" s="168"/>
      <c r="BW1017" s="167"/>
      <c r="BX1017" s="168"/>
      <c r="BY1017" s="167"/>
      <c r="BZ1017" s="176"/>
      <c r="CA1017" s="167"/>
      <c r="CB1017" s="168"/>
      <c r="CC1017" s="167"/>
      <c r="CD1017" s="168"/>
      <c r="CE1017" s="62"/>
      <c r="CF1017" s="62"/>
      <c r="CG1017" s="9"/>
      <c r="CH1017" s="9"/>
      <c r="CI1017" s="9"/>
      <c r="CJ1017" s="9"/>
      <c r="CK1017" s="9"/>
      <c r="CL1017" s="9"/>
      <c r="CM1017" s="9"/>
      <c r="CN1017" s="9"/>
      <c r="CO1017" s="9"/>
      <c r="CP1017" s="9"/>
    </row>
    <row r="1018" spans="1:94" ht="30" x14ac:dyDescent="0.25">
      <c r="A1018" s="127" t="s">
        <v>3225</v>
      </c>
      <c r="B1018" s="196" t="s">
        <v>3226</v>
      </c>
      <c r="C1018" s="62"/>
      <c r="D1018" s="84">
        <v>4</v>
      </c>
      <c r="E1018" s="62" t="s">
        <v>592</v>
      </c>
      <c r="F1018" s="62">
        <v>6</v>
      </c>
      <c r="G1018" s="62"/>
      <c r="H1018" s="50">
        <f>VLOOKUP($A1018,'[1]ma sp 02'!$A$5:$BD$1101,H$1,0)</f>
        <v>0.46400000000000002</v>
      </c>
      <c r="I1018" s="50">
        <f>VLOOKUP($A1018,'[1]ma sp 02'!$A$5:$BD$1101,I$1,0)</f>
        <v>3.9</v>
      </c>
      <c r="J1018" s="50">
        <f>VLOOKUP($A1018,'[1]ma sp 02'!$A$5:$BD$1101,J$1,0)</f>
        <v>0.01</v>
      </c>
      <c r="K1018" s="50">
        <f>VLOOKUP($A1018,'[1]ma sp 02'!$A$5:$BD$1101,K$1,0)</f>
        <v>0.01</v>
      </c>
      <c r="L1018" s="50">
        <f>VLOOKUP($A1018,'[1]ma sp 02'!$A$5:$BD$1101,L$1,0)</f>
        <v>1.8560000000000001</v>
      </c>
      <c r="M1018" s="50">
        <f>VLOOKUP($A1018,'[1]ma sp 02'!$A$5:$BD$1101,M$1,0)</f>
        <v>0.155</v>
      </c>
      <c r="N1018" s="50">
        <f>VLOOKUP($A1018,'[1]ma sp 02'!$A$5:$BD$1101,N$1,0)</f>
        <v>0</v>
      </c>
      <c r="O1018" s="50">
        <f>VLOOKUP($A1018,'[1]ma sp 02'!$A$5:$BD$1101,O$1,0)</f>
        <v>0</v>
      </c>
      <c r="P1018" s="50">
        <f>VLOOKUP($A1018,'[1]ma sp 02'!$A$5:$BD$1101,P$1,0)</f>
        <v>0.01</v>
      </c>
      <c r="Q1018" s="50">
        <f>VLOOKUP($A1018,'[1]ma sp 02'!$A$5:$BD$1101,Q$1,0)</f>
        <v>0.46400000000000002</v>
      </c>
      <c r="R1018" s="50">
        <f>VLOOKUP($A1018,'[1]ma sp 02'!$A$5:$BD$1101,R$1,0)</f>
        <v>0</v>
      </c>
      <c r="S1018" s="50">
        <f>VLOOKUP($A1018,'[1]ma sp 02'!$A$5:$BD$1101,S$1,0)</f>
        <v>0</v>
      </c>
      <c r="T1018" s="50">
        <f>VLOOKUP($A1018,'[1]ma sp 02'!$A$5:$BD$1101,T$1,0)</f>
        <v>0</v>
      </c>
      <c r="U1018" s="50">
        <f>VLOOKUP($A1018,'[1]ma sp 02'!$A$5:$BD$1101,U$1,0)</f>
        <v>0</v>
      </c>
      <c r="V1018" s="50">
        <f>VLOOKUP($A1018,'[1]ma sp 02'!$A$5:$BD$1101,V$1,0)</f>
        <v>0</v>
      </c>
      <c r="W1018" s="50">
        <f>VLOOKUP($A1018,'[1]ma sp 02'!$A$5:$BD$1101,W$1,0)</f>
        <v>0</v>
      </c>
      <c r="X1018" s="50"/>
      <c r="Y1018" s="62"/>
      <c r="Z1018" s="62"/>
      <c r="AA1018" s="62"/>
      <c r="AB1018" s="62"/>
      <c r="AC1018" s="62"/>
      <c r="AD1018" s="62"/>
      <c r="AE1018" s="62" t="s">
        <v>193</v>
      </c>
      <c r="AF1018" s="62"/>
      <c r="AG1018" s="53">
        <f t="shared" ref="AG1018:AG1019" si="42">(0.02*0.91+0.035*0.91)*0.64</f>
        <v>3.2032000000000005E-2</v>
      </c>
      <c r="AH1018" s="54">
        <f t="shared" ref="AH1018:AH1019" si="43">(2.3/0.75/2)*0.63</f>
        <v>0.96599999999999997</v>
      </c>
      <c r="AI1018" s="153"/>
      <c r="AJ1018" s="58">
        <v>9530</v>
      </c>
      <c r="AK1018" s="58"/>
      <c r="AL1018" s="62">
        <v>2.3E-3</v>
      </c>
      <c r="AM1018" s="61" t="s">
        <v>1489</v>
      </c>
      <c r="AN1018" s="62">
        <v>66</v>
      </c>
      <c r="AO1018" s="61" t="s">
        <v>3224</v>
      </c>
      <c r="AP1018" s="59"/>
      <c r="AQ1018" s="59"/>
      <c r="AR1018" s="59"/>
      <c r="AS1018" s="59"/>
      <c r="AT1018" s="59"/>
      <c r="AU1018" s="59"/>
      <c r="AV1018" s="59"/>
      <c r="AW1018" s="59"/>
      <c r="AX1018" s="59"/>
      <c r="AY1018" s="59"/>
      <c r="AZ1018" s="59"/>
      <c r="BA1018" s="141"/>
      <c r="BB1018" s="61" t="s">
        <v>952</v>
      </c>
      <c r="BC1018" s="165"/>
      <c r="BD1018" s="166"/>
      <c r="BE1018" s="167"/>
      <c r="BF1018" s="168"/>
      <c r="BG1018" s="167"/>
      <c r="BH1018" s="168"/>
      <c r="BI1018" s="169"/>
      <c r="BJ1018" s="168"/>
      <c r="BK1018" s="134"/>
      <c r="BL1018" s="168"/>
      <c r="BM1018" s="167"/>
      <c r="BN1018" s="168"/>
      <c r="BO1018" s="62"/>
      <c r="BP1018" s="168"/>
      <c r="BQ1018" s="168"/>
      <c r="BR1018" s="168"/>
      <c r="BS1018" s="135"/>
      <c r="BT1018" s="176"/>
      <c r="BU1018" s="167"/>
      <c r="BV1018" s="168"/>
      <c r="BW1018" s="167"/>
      <c r="BX1018" s="168"/>
      <c r="BY1018" s="167"/>
      <c r="BZ1018" s="176"/>
      <c r="CA1018" s="167"/>
      <c r="CB1018" s="168"/>
      <c r="CC1018" s="167"/>
      <c r="CD1018" s="168"/>
      <c r="CE1018" s="62"/>
      <c r="CF1018" s="62"/>
      <c r="CG1018" s="9"/>
      <c r="CH1018" s="9"/>
      <c r="CI1018" s="9"/>
      <c r="CJ1018" s="9"/>
      <c r="CK1018" s="9"/>
      <c r="CL1018" s="9"/>
      <c r="CM1018" s="9"/>
      <c r="CN1018" s="9"/>
      <c r="CO1018" s="9"/>
      <c r="CP1018" s="9"/>
    </row>
    <row r="1019" spans="1:94" ht="30" x14ac:dyDescent="0.25">
      <c r="A1019" s="127" t="s">
        <v>3227</v>
      </c>
      <c r="B1019" s="196" t="s">
        <v>3228</v>
      </c>
      <c r="C1019" s="62"/>
      <c r="D1019" s="84">
        <v>4</v>
      </c>
      <c r="E1019" s="62" t="s">
        <v>592</v>
      </c>
      <c r="F1019" s="62">
        <v>6</v>
      </c>
      <c r="G1019" s="62"/>
      <c r="H1019" s="50">
        <f>VLOOKUP($A1019,'[1]ma sp 02'!$A$5:$BD$1101,H$1,0)</f>
        <v>0.47</v>
      </c>
      <c r="I1019" s="50">
        <f>VLOOKUP($A1019,'[1]ma sp 02'!$A$5:$BD$1101,I$1,0)</f>
        <v>2.823</v>
      </c>
      <c r="J1019" s="50">
        <f>VLOOKUP($A1019,'[1]ma sp 02'!$A$5:$BD$1101,J$1,0)</f>
        <v>6.7000000000000004E-2</v>
      </c>
      <c r="K1019" s="50">
        <f>VLOOKUP($A1019,'[1]ma sp 02'!$A$5:$BD$1101,K$1,0)</f>
        <v>1.1419999999999999</v>
      </c>
      <c r="L1019" s="50">
        <f>VLOOKUP($A1019,'[1]ma sp 02'!$A$5:$BD$1101,L$1,0)</f>
        <v>0.13400000000000001</v>
      </c>
      <c r="M1019" s="50">
        <f>VLOOKUP($A1019,'[1]ma sp 02'!$A$5:$BD$1101,M$1,0)</f>
        <v>0</v>
      </c>
      <c r="N1019" s="50">
        <f>VLOOKUP($A1019,'[1]ma sp 02'!$A$5:$BD$1101,N$1,0)</f>
        <v>0</v>
      </c>
      <c r="O1019" s="50">
        <f>VLOOKUP($A1019,'[1]ma sp 02'!$A$5:$BD$1101,O$1,0)</f>
        <v>0</v>
      </c>
      <c r="P1019" s="50">
        <f>VLOOKUP($A1019,'[1]ma sp 02'!$A$5:$BD$1101,P$1,0)</f>
        <v>1.3440000000000001</v>
      </c>
      <c r="Q1019" s="50">
        <f>VLOOKUP($A1019,'[1]ma sp 02'!$A$5:$BD$1101,Q$1,0)</f>
        <v>1.8819999999999999</v>
      </c>
      <c r="R1019" s="50">
        <f>VLOOKUP($A1019,'[1]ma sp 02'!$A$5:$BD$1101,R$1,0)</f>
        <v>0</v>
      </c>
      <c r="S1019" s="50">
        <f>VLOOKUP($A1019,'[1]ma sp 02'!$A$5:$BD$1101,S$1,0)</f>
        <v>0</v>
      </c>
      <c r="T1019" s="50">
        <f>VLOOKUP($A1019,'[1]ma sp 02'!$A$5:$BD$1101,T$1,0)</f>
        <v>0</v>
      </c>
      <c r="U1019" s="50">
        <f>VLOOKUP($A1019,'[1]ma sp 02'!$A$5:$BD$1101,U$1,0)</f>
        <v>0</v>
      </c>
      <c r="V1019" s="50">
        <f>VLOOKUP($A1019,'[1]ma sp 02'!$A$5:$BD$1101,V$1,0)</f>
        <v>0.01</v>
      </c>
      <c r="W1019" s="50">
        <f>VLOOKUP($A1019,'[1]ma sp 02'!$A$5:$BD$1101,W$1,0)</f>
        <v>0</v>
      </c>
      <c r="X1019" s="50"/>
      <c r="Y1019" s="62"/>
      <c r="Z1019" s="62"/>
      <c r="AA1019" s="62"/>
      <c r="AB1019" s="62"/>
      <c r="AC1019" s="62"/>
      <c r="AD1019" s="62"/>
      <c r="AE1019" s="62" t="s">
        <v>193</v>
      </c>
      <c r="AF1019" s="62"/>
      <c r="AG1019" s="53">
        <f t="shared" si="42"/>
        <v>3.2032000000000005E-2</v>
      </c>
      <c r="AH1019" s="54">
        <f t="shared" si="43"/>
        <v>0.96599999999999997</v>
      </c>
      <c r="AI1019" s="153"/>
      <c r="AJ1019" s="58">
        <v>9530</v>
      </c>
      <c r="AK1019" s="58"/>
      <c r="AL1019" s="62">
        <v>2.3E-3</v>
      </c>
      <c r="AM1019" s="61" t="s">
        <v>1489</v>
      </c>
      <c r="AN1019" s="62">
        <v>66</v>
      </c>
      <c r="AO1019" s="61" t="s">
        <v>3224</v>
      </c>
      <c r="AP1019" s="59"/>
      <c r="AQ1019" s="59"/>
      <c r="AR1019" s="59"/>
      <c r="AS1019" s="59"/>
      <c r="AT1019" s="59"/>
      <c r="AU1019" s="59"/>
      <c r="AV1019" s="59"/>
      <c r="AW1019" s="59"/>
      <c r="AX1019" s="59"/>
      <c r="AY1019" s="59"/>
      <c r="AZ1019" s="59"/>
      <c r="BA1019" s="141"/>
      <c r="BB1019" s="61" t="s">
        <v>952</v>
      </c>
      <c r="BC1019" s="165"/>
      <c r="BD1019" s="166"/>
      <c r="BE1019" s="167"/>
      <c r="BF1019" s="168"/>
      <c r="BG1019" s="167"/>
      <c r="BH1019" s="168"/>
      <c r="BI1019" s="169"/>
      <c r="BJ1019" s="168"/>
      <c r="BK1019" s="134"/>
      <c r="BL1019" s="168"/>
      <c r="BM1019" s="167"/>
      <c r="BN1019" s="168"/>
      <c r="BO1019" s="62"/>
      <c r="BP1019" s="168"/>
      <c r="BQ1019" s="168"/>
      <c r="BR1019" s="168"/>
      <c r="BS1019" s="135"/>
      <c r="BT1019" s="176"/>
      <c r="BU1019" s="167"/>
      <c r="BV1019" s="168"/>
      <c r="BW1019" s="167"/>
      <c r="BX1019" s="168"/>
      <c r="BY1019" s="167"/>
      <c r="BZ1019" s="176"/>
      <c r="CA1019" s="167"/>
      <c r="CB1019" s="168"/>
      <c r="CC1019" s="167"/>
      <c r="CD1019" s="168"/>
      <c r="CE1019" s="62"/>
      <c r="CF1019" s="62"/>
      <c r="CG1019" s="9"/>
      <c r="CH1019" s="9"/>
      <c r="CI1019" s="9"/>
      <c r="CJ1019" s="9"/>
      <c r="CK1019" s="9"/>
      <c r="CL1019" s="9"/>
      <c r="CM1019" s="9"/>
      <c r="CN1019" s="9"/>
      <c r="CO1019" s="9"/>
      <c r="CP1019" s="9"/>
    </row>
    <row r="1020" spans="1:94" ht="45" x14ac:dyDescent="0.25">
      <c r="A1020" s="127" t="s">
        <v>3229</v>
      </c>
      <c r="B1020" s="51" t="s">
        <v>3230</v>
      </c>
      <c r="C1020" s="62"/>
      <c r="D1020" s="84">
        <v>1</v>
      </c>
      <c r="E1020" s="62" t="s">
        <v>351</v>
      </c>
      <c r="F1020" s="62">
        <v>2</v>
      </c>
      <c r="G1020" s="62"/>
      <c r="H1020" s="50">
        <f>VLOOKUP($A1020,'[1]ma sp 02'!$A$5:$BD$1101,H$1,0)</f>
        <v>1.4710000000000001</v>
      </c>
      <c r="I1020" s="50">
        <f>VLOOKUP($A1020,'[1]ma sp 02'!$A$5:$BD$1101,I$1,0)</f>
        <v>0</v>
      </c>
      <c r="J1020" s="50">
        <f>VLOOKUP($A1020,'[1]ma sp 02'!$A$5:$BD$1101,J$1,0)</f>
        <v>0</v>
      </c>
      <c r="K1020" s="50">
        <f>VLOOKUP($A1020,'[1]ma sp 02'!$A$5:$BD$1101,K$1,0)</f>
        <v>0.73599999999999999</v>
      </c>
      <c r="L1020" s="50">
        <f>VLOOKUP($A1020,'[1]ma sp 02'!$A$5:$BD$1101,L$1,0)</f>
        <v>0</v>
      </c>
      <c r="M1020" s="50">
        <f>VLOOKUP($A1020,'[1]ma sp 02'!$A$5:$BD$1101,M$1,0)</f>
        <v>0</v>
      </c>
      <c r="N1020" s="50">
        <f>VLOOKUP($A1020,'[1]ma sp 02'!$A$5:$BD$1101,N$1,0)</f>
        <v>0</v>
      </c>
      <c r="O1020" s="50">
        <f>VLOOKUP($A1020,'[1]ma sp 02'!$A$5:$BD$1101,O$1,0)</f>
        <v>0</v>
      </c>
      <c r="P1020" s="50">
        <f>VLOOKUP($A1020,'[1]ma sp 02'!$A$5:$BD$1101,P$1,0)</f>
        <v>0.01</v>
      </c>
      <c r="Q1020" s="50">
        <f>VLOOKUP($A1020,'[1]ma sp 02'!$A$5:$BD$1101,Q$1,0)</f>
        <v>0</v>
      </c>
      <c r="R1020" s="50">
        <f>VLOOKUP($A1020,'[1]ma sp 02'!$A$5:$BD$1101,R$1,0)</f>
        <v>0</v>
      </c>
      <c r="S1020" s="50">
        <f>VLOOKUP($A1020,'[1]ma sp 02'!$A$5:$BD$1101,S$1,0)</f>
        <v>0</v>
      </c>
      <c r="T1020" s="50">
        <f>VLOOKUP($A1020,'[1]ma sp 02'!$A$5:$BD$1101,T$1,0)</f>
        <v>0</v>
      </c>
      <c r="U1020" s="50">
        <f>VLOOKUP($A1020,'[1]ma sp 02'!$A$5:$BD$1101,U$1,0)</f>
        <v>0</v>
      </c>
      <c r="V1020" s="50">
        <f>VLOOKUP($A1020,'[1]ma sp 02'!$A$5:$BD$1101,V$1,0)</f>
        <v>0</v>
      </c>
      <c r="W1020" s="50">
        <f>VLOOKUP($A1020,'[1]ma sp 02'!$A$5:$BD$1101,W$1,0)</f>
        <v>0</v>
      </c>
      <c r="X1020" s="50"/>
      <c r="Y1020" s="62"/>
      <c r="Z1020" s="62"/>
      <c r="AA1020" s="62"/>
      <c r="AB1020" s="62"/>
      <c r="AC1020" s="62"/>
      <c r="AD1020" s="62"/>
      <c r="AE1020" s="62" t="s">
        <v>3231</v>
      </c>
      <c r="AF1020" s="62" t="s">
        <v>2022</v>
      </c>
      <c r="AG1020" s="53">
        <f>(0.012*1.4+0.006*2.71+0.12*0.925)*0.79</f>
        <v>0.1138074</v>
      </c>
      <c r="AH1020" s="153">
        <f>(3/0.75/2)*0.79</f>
        <v>1.58</v>
      </c>
      <c r="AI1020" s="153">
        <f>(3/0.75/2)*0.79</f>
        <v>1.58</v>
      </c>
      <c r="AJ1020" s="58">
        <v>9530</v>
      </c>
      <c r="AK1020" s="58">
        <v>9530</v>
      </c>
      <c r="AL1020" s="62" t="s">
        <v>1328</v>
      </c>
      <c r="AM1020" s="61" t="s">
        <v>3232</v>
      </c>
      <c r="AN1020" s="62">
        <v>250</v>
      </c>
      <c r="AO1020" s="61" t="s">
        <v>3233</v>
      </c>
      <c r="AP1020" s="59"/>
      <c r="AQ1020" s="59"/>
      <c r="AR1020" s="59"/>
      <c r="AS1020" s="59"/>
      <c r="AT1020" s="59"/>
      <c r="AU1020" s="59"/>
      <c r="AV1020" s="59"/>
      <c r="AW1020" s="59"/>
      <c r="AX1020" s="59"/>
      <c r="AY1020" s="59"/>
      <c r="AZ1020" s="59"/>
      <c r="BA1020" s="141"/>
      <c r="BB1020" s="61" t="s">
        <v>1894</v>
      </c>
      <c r="BC1020" s="165"/>
      <c r="BD1020" s="166"/>
      <c r="BE1020" s="167"/>
      <c r="BF1020" s="168"/>
      <c r="BG1020" s="167"/>
      <c r="BH1020" s="168"/>
      <c r="BI1020" s="169"/>
      <c r="BJ1020" s="168"/>
      <c r="BK1020" s="134"/>
      <c r="BL1020" s="168"/>
      <c r="BM1020" s="167"/>
      <c r="BN1020" s="168"/>
      <c r="BO1020" s="62"/>
      <c r="BP1020" s="168"/>
      <c r="BQ1020" s="168"/>
      <c r="BR1020" s="168"/>
      <c r="BS1020" s="135"/>
      <c r="BT1020" s="176"/>
      <c r="BU1020" s="167"/>
      <c r="BV1020" s="168"/>
      <c r="BW1020" s="167"/>
      <c r="BX1020" s="168"/>
      <c r="BY1020" s="167"/>
      <c r="BZ1020" s="176"/>
      <c r="CA1020" s="167"/>
      <c r="CB1020" s="168"/>
      <c r="CC1020" s="167"/>
      <c r="CD1020" s="168"/>
      <c r="CE1020" s="62"/>
      <c r="CF1020" s="62"/>
      <c r="CG1020" s="9"/>
      <c r="CH1020" s="9"/>
      <c r="CI1020" s="9"/>
      <c r="CJ1020" s="9"/>
      <c r="CK1020" s="9"/>
      <c r="CL1020" s="9"/>
      <c r="CM1020" s="9"/>
      <c r="CN1020" s="9"/>
      <c r="CO1020" s="9"/>
      <c r="CP1020" s="9"/>
    </row>
    <row r="1021" spans="1:94" ht="45" x14ac:dyDescent="0.25">
      <c r="A1021" s="127" t="s">
        <v>3234</v>
      </c>
      <c r="B1021" s="51" t="s">
        <v>3235</v>
      </c>
      <c r="C1021" s="62"/>
      <c r="D1021" s="84">
        <v>2</v>
      </c>
      <c r="E1021" s="62" t="s">
        <v>3236</v>
      </c>
      <c r="F1021" s="62">
        <v>8</v>
      </c>
      <c r="G1021" s="62"/>
      <c r="H1021" s="50">
        <f>VLOOKUP($A1021,'[1]ma sp 02'!$A$5:$BD$1101,H$1,0)</f>
        <v>0</v>
      </c>
      <c r="I1021" s="50">
        <f>VLOOKUP($A1021,'[1]ma sp 02'!$A$5:$BD$1101,I$1,0)</f>
        <v>4.0220000000000002</v>
      </c>
      <c r="J1021" s="50">
        <f>VLOOKUP($A1021,'[1]ma sp 02'!$A$5:$BD$1101,J$1,0)</f>
        <v>2.7E-2</v>
      </c>
      <c r="K1021" s="50">
        <f>VLOOKUP($A1021,'[1]ma sp 02'!$A$5:$BD$1101,K$1,0)</f>
        <v>0.192</v>
      </c>
      <c r="L1021" s="50">
        <f>VLOOKUP($A1021,'[1]ma sp 02'!$A$5:$BD$1101,L$1,0)</f>
        <v>0.49199999999999999</v>
      </c>
      <c r="M1021" s="50">
        <f>VLOOKUP($A1021,'[1]ma sp 02'!$A$5:$BD$1101,M$1,0)</f>
        <v>0.876</v>
      </c>
      <c r="N1021" s="50">
        <f>VLOOKUP($A1021,'[1]ma sp 02'!$A$5:$BD$1101,N$1,0)</f>
        <v>0.32800000000000001</v>
      </c>
      <c r="O1021" s="50">
        <f>VLOOKUP($A1021,'[1]ma sp 02'!$A$5:$BD$1101,O$1,0)</f>
        <v>0</v>
      </c>
      <c r="P1021" s="50">
        <f>VLOOKUP($A1021,'[1]ma sp 02'!$A$5:$BD$1101,P$1,0)</f>
        <v>0.32800000000000001</v>
      </c>
      <c r="Q1021" s="50">
        <f>VLOOKUP($A1021,'[1]ma sp 02'!$A$5:$BD$1101,Q$1,0)</f>
        <v>0.27400000000000002</v>
      </c>
      <c r="R1021" s="50">
        <f>VLOOKUP($A1021,'[1]ma sp 02'!$A$5:$BD$1101,R$1,0)</f>
        <v>0</v>
      </c>
      <c r="S1021" s="50">
        <f>VLOOKUP($A1021,'[1]ma sp 02'!$A$5:$BD$1101,S$1,0)</f>
        <v>0.01</v>
      </c>
      <c r="T1021" s="50">
        <f>VLOOKUP($A1021,'[1]ma sp 02'!$A$5:$BD$1101,T$1,0)</f>
        <v>2.7E-2</v>
      </c>
      <c r="U1021" s="50">
        <f>VLOOKUP($A1021,'[1]ma sp 02'!$A$5:$BD$1101,U$1,0)</f>
        <v>0</v>
      </c>
      <c r="V1021" s="50">
        <f>VLOOKUP($A1021,'[1]ma sp 02'!$A$5:$BD$1101,V$1,0)</f>
        <v>0</v>
      </c>
      <c r="W1021" s="50">
        <f>VLOOKUP($A1021,'[1]ma sp 02'!$A$5:$BD$1101,W$1,0)</f>
        <v>0</v>
      </c>
      <c r="X1021" s="50"/>
      <c r="Y1021" s="62"/>
      <c r="Z1021" s="62"/>
      <c r="AA1021" s="62"/>
      <c r="AB1021" s="62"/>
      <c r="AC1021" s="62"/>
      <c r="AD1021" s="62"/>
      <c r="AE1021" s="62" t="s">
        <v>3237</v>
      </c>
      <c r="AF1021" s="62"/>
      <c r="AG1021" s="53">
        <f>(0.02*0.91+0.035*0.91)*0.928</f>
        <v>4.6446400000000006E-2</v>
      </c>
      <c r="AH1021" s="153">
        <f>(1.4/0.75/2)*0.918</f>
        <v>0.8567999999999999</v>
      </c>
      <c r="AI1021" s="153"/>
      <c r="AJ1021" s="58" t="s">
        <v>1881</v>
      </c>
      <c r="AK1021" s="58"/>
      <c r="AL1021" s="62">
        <v>1.4E-3</v>
      </c>
      <c r="AM1021" s="61" t="s">
        <v>2983</v>
      </c>
      <c r="AN1021" s="62">
        <v>360</v>
      </c>
      <c r="AO1021" s="61" t="s">
        <v>2158</v>
      </c>
      <c r="AP1021" s="59"/>
      <c r="AQ1021" s="59"/>
      <c r="AR1021" s="59"/>
      <c r="AS1021" s="59"/>
      <c r="AT1021" s="59"/>
      <c r="AU1021" s="59"/>
      <c r="AV1021" s="59"/>
      <c r="AW1021" s="59"/>
      <c r="AX1021" s="59"/>
      <c r="AY1021" s="59"/>
      <c r="AZ1021" s="59"/>
      <c r="BA1021" s="141"/>
      <c r="BB1021" s="61" t="s">
        <v>1894</v>
      </c>
      <c r="BC1021" s="165"/>
      <c r="BD1021" s="166"/>
      <c r="BE1021" s="167"/>
      <c r="BF1021" s="168"/>
      <c r="BG1021" s="167"/>
      <c r="BH1021" s="168"/>
      <c r="BI1021" s="169"/>
      <c r="BJ1021" s="168"/>
      <c r="BK1021" s="134"/>
      <c r="BL1021" s="168"/>
      <c r="BM1021" s="167"/>
      <c r="BN1021" s="168"/>
      <c r="BO1021" s="62"/>
      <c r="BP1021" s="168"/>
      <c r="BQ1021" s="168"/>
      <c r="BR1021" s="168"/>
      <c r="BS1021" s="135"/>
      <c r="BT1021" s="176"/>
      <c r="BU1021" s="167"/>
      <c r="BV1021" s="168"/>
      <c r="BW1021" s="167"/>
      <c r="BX1021" s="168"/>
      <c r="BY1021" s="167"/>
      <c r="BZ1021" s="176"/>
      <c r="CA1021" s="167"/>
      <c r="CB1021" s="168"/>
      <c r="CC1021" s="167"/>
      <c r="CD1021" s="168"/>
      <c r="CE1021" s="62"/>
      <c r="CF1021" s="62"/>
      <c r="CG1021" s="9"/>
      <c r="CH1021" s="9"/>
      <c r="CI1021" s="9"/>
      <c r="CJ1021" s="9"/>
      <c r="CK1021" s="9"/>
      <c r="CL1021" s="9"/>
      <c r="CM1021" s="9"/>
      <c r="CN1021" s="9"/>
      <c r="CO1021" s="9"/>
      <c r="CP1021" s="9"/>
    </row>
    <row r="1022" spans="1:94" ht="45" x14ac:dyDescent="0.25">
      <c r="A1022" s="127" t="s">
        <v>3238</v>
      </c>
      <c r="B1022" s="51" t="s">
        <v>3239</v>
      </c>
      <c r="C1022" s="62"/>
      <c r="D1022" s="84">
        <v>2</v>
      </c>
      <c r="E1022" s="62" t="s">
        <v>3042</v>
      </c>
      <c r="F1022" s="62">
        <v>8</v>
      </c>
      <c r="G1022" s="62"/>
      <c r="H1022" s="50">
        <f>VLOOKUP($A1022,'[1]ma sp 02'!$A$5:$BD$1101,H$1,0)</f>
        <v>0.01</v>
      </c>
      <c r="I1022" s="50">
        <f>VLOOKUP($A1022,'[1]ma sp 02'!$A$5:$BD$1101,I$1,0)</f>
        <v>3.7440000000000002</v>
      </c>
      <c r="J1022" s="50">
        <f>VLOOKUP($A1022,'[1]ma sp 02'!$A$5:$BD$1101,J$1,0)</f>
        <v>0.29599999999999999</v>
      </c>
      <c r="K1022" s="50">
        <f>VLOOKUP($A1022,'[1]ma sp 02'!$A$5:$BD$1101,K$1,0)</f>
        <v>0.13100000000000001</v>
      </c>
      <c r="L1022" s="50">
        <f>VLOOKUP($A1022,'[1]ma sp 02'!$A$5:$BD$1101,L$1,0)</f>
        <v>0.378</v>
      </c>
      <c r="M1022" s="50">
        <f>VLOOKUP($A1022,'[1]ma sp 02'!$A$5:$BD$1101,M$1,0)</f>
        <v>0</v>
      </c>
      <c r="N1022" s="50">
        <f>VLOOKUP($A1022,'[1]ma sp 02'!$A$5:$BD$1101,N$1,0)</f>
        <v>0</v>
      </c>
      <c r="O1022" s="50">
        <f>VLOOKUP($A1022,'[1]ma sp 02'!$A$5:$BD$1101,O$1,0)</f>
        <v>0</v>
      </c>
      <c r="P1022" s="50">
        <f>VLOOKUP($A1022,'[1]ma sp 02'!$A$5:$BD$1101,P$1,0)</f>
        <v>0</v>
      </c>
      <c r="Q1022" s="50">
        <f>VLOOKUP($A1022,'[1]ma sp 02'!$A$5:$BD$1101,Q$1,0)</f>
        <v>0</v>
      </c>
      <c r="R1022" s="50">
        <f>VLOOKUP($A1022,'[1]ma sp 02'!$A$5:$BD$1101,R$1,0)</f>
        <v>0</v>
      </c>
      <c r="S1022" s="50">
        <f>VLOOKUP($A1022,'[1]ma sp 02'!$A$5:$BD$1101,S$1,0)</f>
        <v>8.2000000000000003E-2</v>
      </c>
      <c r="T1022" s="50">
        <f>VLOOKUP($A1022,'[1]ma sp 02'!$A$5:$BD$1101,T$1,0)</f>
        <v>0.01</v>
      </c>
      <c r="U1022" s="50">
        <f>VLOOKUP($A1022,'[1]ma sp 02'!$A$5:$BD$1101,U$1,0)</f>
        <v>0</v>
      </c>
      <c r="V1022" s="50">
        <f>VLOOKUP($A1022,'[1]ma sp 02'!$A$5:$BD$1101,V$1,0)</f>
        <v>0</v>
      </c>
      <c r="W1022" s="50">
        <f>VLOOKUP($A1022,'[1]ma sp 02'!$A$5:$BD$1101,W$1,0)</f>
        <v>0</v>
      </c>
      <c r="X1022" s="50"/>
      <c r="Y1022" s="62"/>
      <c r="Z1022" s="62"/>
      <c r="AA1022" s="62"/>
      <c r="AB1022" s="62"/>
      <c r="AC1022" s="62"/>
      <c r="AD1022" s="62"/>
      <c r="AE1022" s="62" t="s">
        <v>3240</v>
      </c>
      <c r="AF1022" s="62"/>
      <c r="AG1022" s="53">
        <f>(0.02*0.91+0.05*0.91)*1.12</f>
        <v>7.1344000000000019E-2</v>
      </c>
      <c r="AH1022" s="54">
        <f>(2.3/0.75/2)*1.11</f>
        <v>1.702</v>
      </c>
      <c r="AI1022" s="54"/>
      <c r="AJ1022" s="62">
        <v>9530</v>
      </c>
      <c r="AK1022" s="62"/>
      <c r="AL1022" s="9">
        <v>2.3E-3</v>
      </c>
      <c r="AM1022" s="61" t="s">
        <v>74</v>
      </c>
      <c r="AN1022" s="62">
        <v>350</v>
      </c>
      <c r="AO1022" s="61" t="s">
        <v>2206</v>
      </c>
      <c r="AP1022" s="59">
        <f>IFERROR(VLOOKUP($A1022,[2]Mssp!$A$5:$BE$1463,AP$4+1,0),0)</f>
        <v>0</v>
      </c>
      <c r="AQ1022" s="59">
        <f>IFERROR(VLOOKUP($A1022,[2]Mssp!$A$5:$BE$1463,AQ$4+1,0),0)</f>
        <v>0</v>
      </c>
      <c r="AR1022" s="59">
        <f>IFERROR(VLOOKUP($A1022,[2]Mssp!$A$5:$BE$1463,AR$4+1,0),0)</f>
        <v>0</v>
      </c>
      <c r="AS1022" s="59">
        <f>IFERROR(VLOOKUP($A1022,[2]Mssp!$A$5:$BE$1463,AS$4+1,0),0)</f>
        <v>0</v>
      </c>
      <c r="AT1022" s="59">
        <f>IFERROR(VLOOKUP($A1022,[2]Mssp!$A$5:$BE$1463,AT$4+1,0),0)</f>
        <v>0</v>
      </c>
      <c r="AU1022" s="59">
        <f>IFERROR(VLOOKUP($A1022,[2]Mssp!$A$5:$BE$1463,AU$4+1,0),0)</f>
        <v>0</v>
      </c>
      <c r="AV1022" s="59">
        <f>IFERROR(VLOOKUP($A1022,[2]Mssp!$A$5:$BE$1463,AV$4+1,0),0)</f>
        <v>0</v>
      </c>
      <c r="AW1022" s="59">
        <f>IFERROR(VLOOKUP($A1022,[2]Mssp!$A$5:$BE$1463,AW$4+1,0),0)</f>
        <v>0</v>
      </c>
      <c r="AX1022" s="59">
        <f>IFERROR(VLOOKUP($A1022,[2]Mssp!$A$5:$BE$1463,AX$4+1,0),0)</f>
        <v>0</v>
      </c>
      <c r="AY1022" s="59">
        <f>IFERROR(VLOOKUP($A1022,[2]Mssp!$A$5:$BE$1463,AY$4+2,0),0)</f>
        <v>0</v>
      </c>
      <c r="AZ1022" s="59">
        <f>IFERROR(VLOOKUP($A1022,[2]Mssp!$A$5:$BE$1463,AZ$4+2,0),0)</f>
        <v>0</v>
      </c>
      <c r="BA1022" s="141"/>
      <c r="BB1022" s="61" t="s">
        <v>1894</v>
      </c>
      <c r="BC1022" s="165"/>
      <c r="BD1022" s="166"/>
      <c r="BE1022" s="167"/>
      <c r="BF1022" s="168"/>
      <c r="BG1022" s="167"/>
      <c r="BH1022" s="168"/>
      <c r="BI1022" s="169"/>
      <c r="BJ1022" s="168"/>
      <c r="BK1022" s="134"/>
      <c r="BL1022" s="168"/>
      <c r="BM1022" s="167"/>
      <c r="BN1022" s="168"/>
      <c r="BO1022" s="62"/>
      <c r="BP1022" s="168"/>
      <c r="BQ1022" s="168"/>
      <c r="BR1022" s="168"/>
      <c r="BS1022" s="135"/>
      <c r="BT1022" s="176"/>
      <c r="BU1022" s="167"/>
      <c r="BV1022" s="168"/>
      <c r="BW1022" s="167"/>
      <c r="BX1022" s="168"/>
      <c r="BY1022" s="167"/>
      <c r="BZ1022" s="176"/>
      <c r="CA1022" s="167"/>
      <c r="CB1022" s="168"/>
      <c r="CC1022" s="167"/>
      <c r="CD1022" s="168"/>
      <c r="CE1022" s="62"/>
      <c r="CF1022" s="62"/>
      <c r="CG1022" s="9"/>
      <c r="CH1022" s="9"/>
      <c r="CI1022" s="9"/>
      <c r="CJ1022" s="9"/>
      <c r="CK1022" s="9"/>
      <c r="CL1022" s="9"/>
      <c r="CM1022" s="9"/>
      <c r="CN1022" s="9"/>
      <c r="CO1022" s="9"/>
      <c r="CP1022" s="9"/>
    </row>
    <row r="1023" spans="1:94" ht="30" x14ac:dyDescent="0.25">
      <c r="A1023" s="127" t="s">
        <v>3241</v>
      </c>
      <c r="B1023" s="51" t="s">
        <v>3242</v>
      </c>
      <c r="C1023" s="62"/>
      <c r="D1023" s="84">
        <v>3</v>
      </c>
      <c r="E1023" s="62" t="s">
        <v>269</v>
      </c>
      <c r="F1023" s="62">
        <v>2</v>
      </c>
      <c r="G1023" s="62"/>
      <c r="H1023" s="50">
        <f>VLOOKUP($A1023,'[1]ma sp 02'!$A$5:$BD$1101,H$1,0)</f>
        <v>1.8009999999999999</v>
      </c>
      <c r="I1023" s="50">
        <f>VLOOKUP($A1023,'[1]ma sp 02'!$A$5:$BD$1101,I$1,0)</f>
        <v>0</v>
      </c>
      <c r="J1023" s="50">
        <f>VLOOKUP($A1023,'[1]ma sp 02'!$A$5:$BD$1101,J$1,0)</f>
        <v>0</v>
      </c>
      <c r="K1023" s="50">
        <f>VLOOKUP($A1023,'[1]ma sp 02'!$A$5:$BD$1101,K$1,0)</f>
        <v>2.0009999999999999</v>
      </c>
      <c r="L1023" s="50">
        <f>VLOOKUP($A1023,'[1]ma sp 02'!$A$5:$BD$1101,L$1,0)</f>
        <v>0</v>
      </c>
      <c r="M1023" s="50">
        <f>VLOOKUP($A1023,'[1]ma sp 02'!$A$5:$BD$1101,M$1,0)</f>
        <v>0</v>
      </c>
      <c r="N1023" s="50">
        <f>VLOOKUP($A1023,'[1]ma sp 02'!$A$5:$BD$1101,N$1,0)</f>
        <v>0</v>
      </c>
      <c r="O1023" s="50">
        <f>VLOOKUP($A1023,'[1]ma sp 02'!$A$5:$BD$1101,O$1,0)</f>
        <v>0</v>
      </c>
      <c r="P1023" s="50">
        <f>VLOOKUP($A1023,'[1]ma sp 02'!$A$5:$BD$1101,P$1,0)</f>
        <v>0</v>
      </c>
      <c r="Q1023" s="50">
        <f>VLOOKUP($A1023,'[1]ma sp 02'!$A$5:$BD$1101,Q$1,0)</f>
        <v>0</v>
      </c>
      <c r="R1023" s="50">
        <f>VLOOKUP($A1023,'[1]ma sp 02'!$A$5:$BD$1101,R$1,0)</f>
        <v>0.01</v>
      </c>
      <c r="S1023" s="50">
        <f>VLOOKUP($A1023,'[1]ma sp 02'!$A$5:$BD$1101,S$1,0)</f>
        <v>0</v>
      </c>
      <c r="T1023" s="50">
        <f>VLOOKUP($A1023,'[1]ma sp 02'!$A$5:$BD$1101,T$1,0)</f>
        <v>0</v>
      </c>
      <c r="U1023" s="50">
        <f>VLOOKUP($A1023,'[1]ma sp 02'!$A$5:$BD$1101,U$1,0)</f>
        <v>0</v>
      </c>
      <c r="V1023" s="50">
        <f>VLOOKUP($A1023,'[1]ma sp 02'!$A$5:$BD$1101,V$1,0)</f>
        <v>0</v>
      </c>
      <c r="W1023" s="50">
        <f>VLOOKUP($A1023,'[1]ma sp 02'!$A$5:$BD$1101,W$1,0)</f>
        <v>0</v>
      </c>
      <c r="X1023" s="50"/>
      <c r="Y1023" s="62"/>
      <c r="Z1023" s="62"/>
      <c r="AA1023" s="62"/>
      <c r="AB1023" s="62"/>
      <c r="AC1023" s="62"/>
      <c r="AD1023" s="62"/>
      <c r="AE1023" s="62" t="s">
        <v>579</v>
      </c>
      <c r="AF1023" s="62" t="s">
        <v>179</v>
      </c>
      <c r="AG1023" s="53">
        <f>(0.02*0.91+0.006*2.71+0.055*0.925)*0.72</f>
        <v>6.1441200000000001E-2</v>
      </c>
      <c r="AH1023" s="153">
        <f>(2.3/0.75/2)*0.71</f>
        <v>1.0886666666666664</v>
      </c>
      <c r="AI1023" s="153">
        <f>(2.3/0.75/2)*0.71</f>
        <v>1.0886666666666664</v>
      </c>
      <c r="AJ1023" s="58">
        <v>9530</v>
      </c>
      <c r="AK1023" s="58">
        <v>9530</v>
      </c>
      <c r="AL1023" s="62" t="s">
        <v>354</v>
      </c>
      <c r="AM1023" s="61" t="s">
        <v>1893</v>
      </c>
      <c r="AN1023" s="62">
        <v>186</v>
      </c>
      <c r="AO1023" s="61" t="s">
        <v>1959</v>
      </c>
      <c r="AP1023" s="59"/>
      <c r="AQ1023" s="59"/>
      <c r="AR1023" s="59"/>
      <c r="AS1023" s="59"/>
      <c r="AT1023" s="59"/>
      <c r="AU1023" s="59"/>
      <c r="AV1023" s="59"/>
      <c r="AW1023" s="59"/>
      <c r="AX1023" s="59"/>
      <c r="AY1023" s="59"/>
      <c r="AZ1023" s="59"/>
      <c r="BA1023" s="141"/>
      <c r="BB1023" s="61" t="s">
        <v>1894</v>
      </c>
      <c r="BC1023" s="165"/>
      <c r="BD1023" s="166"/>
      <c r="BE1023" s="167"/>
      <c r="BF1023" s="168"/>
      <c r="BG1023" s="167"/>
      <c r="BH1023" s="168"/>
      <c r="BI1023" s="169"/>
      <c r="BJ1023" s="168"/>
      <c r="BK1023" s="134"/>
      <c r="BL1023" s="168"/>
      <c r="BM1023" s="167"/>
      <c r="BN1023" s="168"/>
      <c r="BO1023" s="62"/>
      <c r="BP1023" s="168"/>
      <c r="BQ1023" s="168"/>
      <c r="BR1023" s="168"/>
      <c r="BS1023" s="135"/>
      <c r="BT1023" s="176"/>
      <c r="BU1023" s="167"/>
      <c r="BV1023" s="168"/>
      <c r="BW1023" s="167"/>
      <c r="BX1023" s="168"/>
      <c r="BY1023" s="167"/>
      <c r="BZ1023" s="176"/>
      <c r="CA1023" s="167"/>
      <c r="CB1023" s="168"/>
      <c r="CC1023" s="167"/>
      <c r="CD1023" s="168"/>
      <c r="CE1023" s="62"/>
      <c r="CF1023" s="62"/>
      <c r="CG1023" s="9"/>
      <c r="CH1023" s="9"/>
      <c r="CI1023" s="9"/>
      <c r="CJ1023" s="9"/>
      <c r="CK1023" s="9"/>
      <c r="CL1023" s="9"/>
      <c r="CM1023" s="9"/>
      <c r="CN1023" s="9"/>
      <c r="CO1023" s="9"/>
      <c r="CP1023" s="9"/>
    </row>
    <row r="1024" spans="1:94" ht="45" x14ac:dyDescent="0.25">
      <c r="A1024" s="127" t="s">
        <v>3243</v>
      </c>
      <c r="B1024" s="51" t="s">
        <v>3244</v>
      </c>
      <c r="C1024" s="62"/>
      <c r="D1024" s="84">
        <v>2</v>
      </c>
      <c r="E1024" s="62" t="s">
        <v>887</v>
      </c>
      <c r="F1024" s="62"/>
      <c r="G1024" s="62"/>
      <c r="H1024" s="50">
        <f>VLOOKUP($A1024,'[1]ma sp 02'!$A$5:$BD$1101,H$1,0)</f>
        <v>0</v>
      </c>
      <c r="I1024" s="50">
        <f>VLOOKUP($A1024,'[1]ma sp 02'!$A$5:$BD$1101,I$1,0)</f>
        <v>0</v>
      </c>
      <c r="J1024" s="50">
        <f>VLOOKUP($A1024,'[1]ma sp 02'!$A$5:$BD$1101,J$1,0)</f>
        <v>0</v>
      </c>
      <c r="K1024" s="50">
        <f>VLOOKUP($A1024,'[1]ma sp 02'!$A$5:$BD$1101,K$1,0)</f>
        <v>0</v>
      </c>
      <c r="L1024" s="50">
        <f>VLOOKUP($A1024,'[1]ma sp 02'!$A$5:$BD$1101,L$1,0)</f>
        <v>0</v>
      </c>
      <c r="M1024" s="50">
        <f>VLOOKUP($A1024,'[1]ma sp 02'!$A$5:$BD$1101,M$1,0)</f>
        <v>0</v>
      </c>
      <c r="N1024" s="50">
        <f>VLOOKUP($A1024,'[1]ma sp 02'!$A$5:$BD$1101,N$1,0)</f>
        <v>0</v>
      </c>
      <c r="O1024" s="50">
        <f>VLOOKUP($A1024,'[1]ma sp 02'!$A$5:$BD$1101,O$1,0)</f>
        <v>0</v>
      </c>
      <c r="P1024" s="50">
        <f>VLOOKUP($A1024,'[1]ma sp 02'!$A$5:$BD$1101,P$1,0)</f>
        <v>0</v>
      </c>
      <c r="Q1024" s="50">
        <f>VLOOKUP($A1024,'[1]ma sp 02'!$A$5:$BD$1101,Q$1,0)</f>
        <v>0</v>
      </c>
      <c r="R1024" s="50">
        <f>VLOOKUP($A1024,'[1]ma sp 02'!$A$5:$BD$1101,R$1,0)</f>
        <v>0</v>
      </c>
      <c r="S1024" s="50">
        <f>VLOOKUP($A1024,'[1]ma sp 02'!$A$5:$BD$1101,S$1,0)</f>
        <v>0</v>
      </c>
      <c r="T1024" s="50">
        <f>VLOOKUP($A1024,'[1]ma sp 02'!$A$5:$BD$1101,T$1,0)</f>
        <v>0</v>
      </c>
      <c r="U1024" s="50">
        <f>VLOOKUP($A1024,'[1]ma sp 02'!$A$5:$BD$1101,U$1,0)</f>
        <v>0</v>
      </c>
      <c r="V1024" s="50">
        <f>VLOOKUP($A1024,'[1]ma sp 02'!$A$5:$BD$1101,V$1,0)</f>
        <v>0</v>
      </c>
      <c r="W1024" s="50">
        <f>VLOOKUP($A1024,'[1]ma sp 02'!$A$5:$BD$1101,W$1,0)</f>
        <v>0</v>
      </c>
      <c r="X1024" s="50"/>
      <c r="Y1024" s="62"/>
      <c r="Z1024" s="62"/>
      <c r="AA1024" s="62"/>
      <c r="AB1024" s="62"/>
      <c r="AC1024" s="62"/>
      <c r="AD1024" s="62"/>
      <c r="AE1024" s="62" t="s">
        <v>3245</v>
      </c>
      <c r="AF1024" s="62" t="s">
        <v>3246</v>
      </c>
      <c r="AG1024" s="53">
        <f>(0.012*1.4+0.006*2.71+0.07*0.925)*0.6</f>
        <v>5.8686000000000002E-2</v>
      </c>
      <c r="AH1024" s="153">
        <f>(2.3/0.75/2)*0.59</f>
        <v>0.90466666666666651</v>
      </c>
      <c r="AI1024" s="153">
        <f>(2.3/0.75/2)*0.59</f>
        <v>0.90466666666666651</v>
      </c>
      <c r="AJ1024" s="58">
        <v>9530</v>
      </c>
      <c r="AK1024" s="58">
        <v>9530</v>
      </c>
      <c r="AL1024" s="62" t="s">
        <v>354</v>
      </c>
      <c r="AM1024" s="61" t="s">
        <v>1893</v>
      </c>
      <c r="AN1024" s="62">
        <v>200</v>
      </c>
      <c r="AO1024" s="61" t="s">
        <v>3247</v>
      </c>
      <c r="AP1024" s="59"/>
      <c r="AQ1024" s="59"/>
      <c r="AR1024" s="59"/>
      <c r="AS1024" s="59"/>
      <c r="AT1024" s="59"/>
      <c r="AU1024" s="59"/>
      <c r="AV1024" s="59"/>
      <c r="AW1024" s="59"/>
      <c r="AX1024" s="59"/>
      <c r="AY1024" s="59"/>
      <c r="AZ1024" s="59"/>
      <c r="BA1024" s="141"/>
      <c r="BB1024" s="61" t="s">
        <v>1894</v>
      </c>
      <c r="BC1024" s="165"/>
      <c r="BD1024" s="166"/>
      <c r="BE1024" s="167"/>
      <c r="BF1024" s="168"/>
      <c r="BG1024" s="167"/>
      <c r="BH1024" s="168"/>
      <c r="BI1024" s="169"/>
      <c r="BJ1024" s="168"/>
      <c r="BK1024" s="134"/>
      <c r="BL1024" s="168"/>
      <c r="BM1024" s="167"/>
      <c r="BN1024" s="168"/>
      <c r="BO1024" s="62"/>
      <c r="BP1024" s="168"/>
      <c r="BQ1024" s="168"/>
      <c r="BR1024" s="168"/>
      <c r="BS1024" s="135"/>
      <c r="BT1024" s="176"/>
      <c r="BU1024" s="167"/>
      <c r="BV1024" s="168"/>
      <c r="BW1024" s="167"/>
      <c r="BX1024" s="168"/>
      <c r="BY1024" s="167"/>
      <c r="BZ1024" s="176"/>
      <c r="CA1024" s="167"/>
      <c r="CB1024" s="168"/>
      <c r="CC1024" s="167"/>
      <c r="CD1024" s="168"/>
      <c r="CE1024" s="62"/>
      <c r="CF1024" s="62"/>
      <c r="CG1024" s="9"/>
      <c r="CH1024" s="9"/>
      <c r="CI1024" s="9"/>
      <c r="CJ1024" s="9"/>
      <c r="CK1024" s="9"/>
      <c r="CL1024" s="9"/>
      <c r="CM1024" s="9"/>
      <c r="CN1024" s="9"/>
      <c r="CO1024" s="9"/>
      <c r="CP1024" s="9"/>
    </row>
    <row r="1025" spans="1:94" ht="30" x14ac:dyDescent="0.25">
      <c r="A1025" s="127" t="s">
        <v>3248</v>
      </c>
      <c r="B1025" s="51" t="s">
        <v>3249</v>
      </c>
      <c r="C1025" s="62"/>
      <c r="D1025" s="84">
        <v>5</v>
      </c>
      <c r="E1025" s="62" t="s">
        <v>455</v>
      </c>
      <c r="F1025" s="62">
        <v>5</v>
      </c>
      <c r="G1025" s="62"/>
      <c r="H1025" s="50">
        <f>VLOOKUP($A1025,'[1]ma sp 02'!$A$5:$BD$1101,H$1,0)</f>
        <v>0.01</v>
      </c>
      <c r="I1025" s="50">
        <f>VLOOKUP($A1025,'[1]ma sp 02'!$A$5:$BD$1101,I$1,0)</f>
        <v>7.1760000000000002</v>
      </c>
      <c r="J1025" s="50">
        <f>VLOOKUP($A1025,'[1]ma sp 02'!$A$5:$BD$1101,J$1,0)</f>
        <v>0.23599999999999999</v>
      </c>
      <c r="K1025" s="50">
        <f>VLOOKUP($A1025,'[1]ma sp 02'!$A$5:$BD$1101,K$1,0)</f>
        <v>0</v>
      </c>
      <c r="L1025" s="50">
        <f>VLOOKUP($A1025,'[1]ma sp 02'!$A$5:$BD$1101,L$1,0)</f>
        <v>1.7470000000000001</v>
      </c>
      <c r="M1025" s="50">
        <f>VLOOKUP($A1025,'[1]ma sp 02'!$A$5:$BD$1101,M$1,0)</f>
        <v>0.378</v>
      </c>
      <c r="N1025" s="50">
        <f>VLOOKUP($A1025,'[1]ma sp 02'!$A$5:$BD$1101,N$1,0)</f>
        <v>0</v>
      </c>
      <c r="O1025" s="50">
        <f>VLOOKUP($A1025,'[1]ma sp 02'!$A$5:$BD$1101,O$1,0)</f>
        <v>0.01</v>
      </c>
      <c r="P1025" s="50">
        <f>VLOOKUP($A1025,'[1]ma sp 02'!$A$5:$BD$1101,P$1,0)</f>
        <v>0.42499999999999999</v>
      </c>
      <c r="Q1025" s="50">
        <f>VLOOKUP($A1025,'[1]ma sp 02'!$A$5:$BD$1101,Q$1,0)</f>
        <v>0</v>
      </c>
      <c r="R1025" s="50">
        <f>VLOOKUP($A1025,'[1]ma sp 02'!$A$5:$BD$1101,R$1,0)</f>
        <v>0.01</v>
      </c>
      <c r="S1025" s="50">
        <f>VLOOKUP($A1025,'[1]ma sp 02'!$A$5:$BD$1101,S$1,0)</f>
        <v>0</v>
      </c>
      <c r="T1025" s="50">
        <f>VLOOKUP($A1025,'[1]ma sp 02'!$A$5:$BD$1101,T$1,0)</f>
        <v>0</v>
      </c>
      <c r="U1025" s="50">
        <f>VLOOKUP($A1025,'[1]ma sp 02'!$A$5:$BD$1101,U$1,0)</f>
        <v>0</v>
      </c>
      <c r="V1025" s="50">
        <f>VLOOKUP($A1025,'[1]ma sp 02'!$A$5:$BD$1101,V$1,0)</f>
        <v>0</v>
      </c>
      <c r="W1025" s="50">
        <f>VLOOKUP($A1025,'[1]ma sp 02'!$A$5:$BD$1101,W$1,0)</f>
        <v>0</v>
      </c>
      <c r="X1025" s="50"/>
      <c r="Y1025" s="62"/>
      <c r="Z1025" s="62"/>
      <c r="AA1025" s="62"/>
      <c r="AB1025" s="62"/>
      <c r="AC1025" s="62"/>
      <c r="AD1025" s="62"/>
      <c r="AE1025" s="62" t="s">
        <v>3199</v>
      </c>
      <c r="AF1025" s="62"/>
      <c r="AG1025" s="53">
        <f>(0.012*1.4+0.0012*1.4+0.06*0.925)*0.76</f>
        <v>5.6224800000000005E-2</v>
      </c>
      <c r="AH1025" s="54">
        <f>(2.3/0.75/2)*0.76</f>
        <v>1.1653333333333333</v>
      </c>
      <c r="AI1025" s="153"/>
      <c r="AJ1025" s="58">
        <v>9530</v>
      </c>
      <c r="AK1025" s="58"/>
      <c r="AL1025" s="62">
        <v>2.3E-3</v>
      </c>
      <c r="AM1025" s="61" t="s">
        <v>1489</v>
      </c>
      <c r="AN1025" s="62">
        <v>110</v>
      </c>
      <c r="AO1025" s="61" t="s">
        <v>612</v>
      </c>
      <c r="AP1025" s="59"/>
      <c r="AQ1025" s="59"/>
      <c r="AR1025" s="59"/>
      <c r="AS1025" s="59"/>
      <c r="AT1025" s="59"/>
      <c r="AU1025" s="59"/>
      <c r="AV1025" s="59"/>
      <c r="AW1025" s="59"/>
      <c r="AX1025" s="59"/>
      <c r="AY1025" s="59"/>
      <c r="AZ1025" s="59"/>
      <c r="BA1025" s="141"/>
      <c r="BB1025" s="61" t="s">
        <v>952</v>
      </c>
      <c r="BC1025" s="165"/>
      <c r="BD1025" s="166"/>
      <c r="BE1025" s="167"/>
      <c r="BF1025" s="168"/>
      <c r="BG1025" s="167"/>
      <c r="BH1025" s="168"/>
      <c r="BI1025" s="169"/>
      <c r="BJ1025" s="168"/>
      <c r="BK1025" s="134"/>
      <c r="BL1025" s="168"/>
      <c r="BM1025" s="167"/>
      <c r="BN1025" s="168"/>
      <c r="BO1025" s="62"/>
      <c r="BP1025" s="168"/>
      <c r="BQ1025" s="168"/>
      <c r="BR1025" s="168"/>
      <c r="BS1025" s="135"/>
      <c r="BT1025" s="176"/>
      <c r="BU1025" s="167"/>
      <c r="BV1025" s="168"/>
      <c r="BW1025" s="167"/>
      <c r="BX1025" s="168"/>
      <c r="BY1025" s="167"/>
      <c r="BZ1025" s="176"/>
      <c r="CA1025" s="167"/>
      <c r="CB1025" s="168"/>
      <c r="CC1025" s="167"/>
      <c r="CD1025" s="168"/>
      <c r="CE1025" s="62"/>
      <c r="CF1025" s="62"/>
      <c r="CG1025" s="9"/>
      <c r="CH1025" s="9"/>
      <c r="CI1025" s="9"/>
      <c r="CJ1025" s="9"/>
      <c r="CK1025" s="9"/>
      <c r="CL1025" s="9"/>
      <c r="CM1025" s="9"/>
      <c r="CN1025" s="9"/>
      <c r="CO1025" s="9"/>
      <c r="CP1025" s="9"/>
    </row>
    <row r="1026" spans="1:94" ht="30" x14ac:dyDescent="0.25">
      <c r="A1026" s="127" t="s">
        <v>3250</v>
      </c>
      <c r="B1026" s="51" t="s">
        <v>3251</v>
      </c>
      <c r="C1026" s="62"/>
      <c r="D1026" s="84">
        <v>2</v>
      </c>
      <c r="E1026" s="62" t="s">
        <v>1768</v>
      </c>
      <c r="F1026" s="62">
        <v>7</v>
      </c>
      <c r="G1026" s="62"/>
      <c r="H1026" s="50">
        <f>VLOOKUP($A1026,'[1]ma sp 02'!$A$5:$BD$1101,H$1,0)</f>
        <v>0.46200000000000002</v>
      </c>
      <c r="I1026" s="50">
        <f>VLOOKUP($A1026,'[1]ma sp 02'!$A$5:$BD$1101,I$1,0)</f>
        <v>3.762</v>
      </c>
      <c r="J1026" s="50">
        <f>VLOOKUP($A1026,'[1]ma sp 02'!$A$5:$BD$1101,J$1,0)</f>
        <v>0.42899999999999999</v>
      </c>
      <c r="K1026" s="50">
        <f>VLOOKUP($A1026,'[1]ma sp 02'!$A$5:$BD$1101,K$1,0)</f>
        <v>3.3000000000000002E-2</v>
      </c>
      <c r="L1026" s="50">
        <f>VLOOKUP($A1026,'[1]ma sp 02'!$A$5:$BD$1101,L$1,0)</f>
        <v>0.89100000000000001</v>
      </c>
      <c r="M1026" s="50">
        <f>VLOOKUP($A1026,'[1]ma sp 02'!$A$5:$BD$1101,M$1,0)</f>
        <v>0.52800000000000002</v>
      </c>
      <c r="N1026" s="50">
        <f>VLOOKUP($A1026,'[1]ma sp 02'!$A$5:$BD$1101,N$1,0)</f>
        <v>0</v>
      </c>
      <c r="O1026" s="50">
        <f>VLOOKUP($A1026,'[1]ma sp 02'!$A$5:$BD$1101,O$1,0)</f>
        <v>3.3000000000000002E-2</v>
      </c>
      <c r="P1026" s="50">
        <f>VLOOKUP($A1026,'[1]ma sp 02'!$A$5:$BD$1101,P$1,0)</f>
        <v>0.1</v>
      </c>
      <c r="Q1026" s="50">
        <f>VLOOKUP($A1026,'[1]ma sp 02'!$A$5:$BD$1101,Q$1,0)</f>
        <v>0.13200000000000001</v>
      </c>
      <c r="R1026" s="50">
        <f>VLOOKUP($A1026,'[1]ma sp 02'!$A$5:$BD$1101,R$1,0)</f>
        <v>0</v>
      </c>
      <c r="S1026" s="50">
        <f>VLOOKUP($A1026,'[1]ma sp 02'!$A$5:$BD$1101,S$1,0)</f>
        <v>0</v>
      </c>
      <c r="T1026" s="50">
        <f>VLOOKUP($A1026,'[1]ma sp 02'!$A$5:$BD$1101,T$1,0)</f>
        <v>0</v>
      </c>
      <c r="U1026" s="50">
        <f>VLOOKUP($A1026,'[1]ma sp 02'!$A$5:$BD$1101,U$1,0)</f>
        <v>0</v>
      </c>
      <c r="V1026" s="50">
        <f>VLOOKUP($A1026,'[1]ma sp 02'!$A$5:$BD$1101,V$1,0)</f>
        <v>0</v>
      </c>
      <c r="W1026" s="50">
        <f>VLOOKUP($A1026,'[1]ma sp 02'!$A$5:$BD$1101,W$1,0)</f>
        <v>0</v>
      </c>
      <c r="X1026" s="50"/>
      <c r="Y1026" s="62"/>
      <c r="Z1026" s="62"/>
      <c r="AA1026" s="62"/>
      <c r="AB1026" s="62"/>
      <c r="AC1026" s="62"/>
      <c r="AD1026" s="62"/>
      <c r="AE1026" s="62" t="s">
        <v>3252</v>
      </c>
      <c r="AF1026" s="62"/>
      <c r="AG1026" s="53">
        <f>(0.02*0.91+0.09*0.925)*0.89</f>
        <v>9.029050000000001E-2</v>
      </c>
      <c r="AH1026" s="54">
        <f>(2.3/0.75/2)*0.89</f>
        <v>1.3646666666666665</v>
      </c>
      <c r="AI1026" s="54"/>
      <c r="AJ1026" s="58">
        <v>9530</v>
      </c>
      <c r="AK1026" s="62"/>
      <c r="AL1026" s="62">
        <v>2.3E-3</v>
      </c>
      <c r="AM1026" s="61" t="s">
        <v>74</v>
      </c>
      <c r="AN1026" s="62">
        <v>310</v>
      </c>
      <c r="AO1026" s="61" t="s">
        <v>3253</v>
      </c>
      <c r="AP1026" s="59"/>
      <c r="AQ1026" s="59"/>
      <c r="AR1026" s="59"/>
      <c r="AS1026" s="59"/>
      <c r="AT1026" s="59"/>
      <c r="AU1026" s="59"/>
      <c r="AV1026" s="59"/>
      <c r="AW1026" s="59"/>
      <c r="AX1026" s="59"/>
      <c r="AY1026" s="59"/>
      <c r="AZ1026" s="59"/>
      <c r="BA1026" s="141"/>
      <c r="BB1026" s="61" t="s">
        <v>1894</v>
      </c>
      <c r="BC1026" s="165"/>
      <c r="BD1026" s="166"/>
      <c r="BE1026" s="167"/>
      <c r="BF1026" s="168"/>
      <c r="BG1026" s="167"/>
      <c r="BH1026" s="168"/>
      <c r="BI1026" s="169"/>
      <c r="BJ1026" s="168"/>
      <c r="BK1026" s="134"/>
      <c r="BL1026" s="168"/>
      <c r="BM1026" s="167"/>
      <c r="BN1026" s="168"/>
      <c r="BO1026" s="62"/>
      <c r="BP1026" s="168"/>
      <c r="BQ1026" s="168"/>
      <c r="BR1026" s="168"/>
      <c r="BS1026" s="135"/>
      <c r="BT1026" s="176"/>
      <c r="BU1026" s="167"/>
      <c r="BV1026" s="168"/>
      <c r="BW1026" s="167"/>
      <c r="BX1026" s="168"/>
      <c r="BY1026" s="167"/>
      <c r="BZ1026" s="176"/>
      <c r="CA1026" s="167"/>
      <c r="CB1026" s="168"/>
      <c r="CC1026" s="167"/>
      <c r="CD1026" s="168"/>
      <c r="CE1026" s="62"/>
      <c r="CF1026" s="62"/>
      <c r="CG1026" s="9"/>
      <c r="CH1026" s="9"/>
      <c r="CI1026" s="9"/>
      <c r="CJ1026" s="9"/>
      <c r="CK1026" s="9"/>
      <c r="CL1026" s="9"/>
      <c r="CM1026" s="9"/>
      <c r="CN1026" s="9"/>
      <c r="CO1026" s="9"/>
      <c r="CP1026" s="9"/>
    </row>
    <row r="1027" spans="1:94" ht="30" x14ac:dyDescent="0.25">
      <c r="A1027" s="127" t="s">
        <v>3254</v>
      </c>
      <c r="B1027" s="51" t="s">
        <v>3255</v>
      </c>
      <c r="C1027" s="62"/>
      <c r="D1027" s="84">
        <v>1</v>
      </c>
      <c r="E1027" s="62" t="s">
        <v>269</v>
      </c>
      <c r="F1027" s="62">
        <v>1</v>
      </c>
      <c r="G1027" s="62"/>
      <c r="H1027" s="50">
        <f>VLOOKUP($A1027,'[1]ma sp 02'!$A$5:$BD$1101,H$1,0)</f>
        <v>4.585</v>
      </c>
      <c r="I1027" s="50">
        <f>VLOOKUP($A1027,'[1]ma sp 02'!$A$5:$BD$1101,I$1,0)</f>
        <v>0</v>
      </c>
      <c r="J1027" s="50">
        <f>VLOOKUP($A1027,'[1]ma sp 02'!$A$5:$BD$1101,J$1,0)</f>
        <v>0</v>
      </c>
      <c r="K1027" s="50">
        <f>VLOOKUP($A1027,'[1]ma sp 02'!$A$5:$BD$1101,K$1,0)</f>
        <v>0</v>
      </c>
      <c r="L1027" s="50">
        <f>VLOOKUP($A1027,'[1]ma sp 02'!$A$5:$BD$1101,L$1,0)</f>
        <v>0</v>
      </c>
      <c r="M1027" s="50">
        <f>VLOOKUP($A1027,'[1]ma sp 02'!$A$5:$BD$1101,M$1,0)</f>
        <v>0</v>
      </c>
      <c r="N1027" s="50">
        <f>VLOOKUP($A1027,'[1]ma sp 02'!$A$5:$BD$1101,N$1,0)</f>
        <v>0</v>
      </c>
      <c r="O1027" s="50">
        <f>VLOOKUP($A1027,'[1]ma sp 02'!$A$5:$BD$1101,O$1,0)</f>
        <v>0</v>
      </c>
      <c r="P1027" s="50">
        <f>VLOOKUP($A1027,'[1]ma sp 02'!$A$5:$BD$1101,P$1,0)</f>
        <v>0</v>
      </c>
      <c r="Q1027" s="50">
        <f>VLOOKUP($A1027,'[1]ma sp 02'!$A$5:$BD$1101,Q$1,0)</f>
        <v>0</v>
      </c>
      <c r="R1027" s="50">
        <f>VLOOKUP($A1027,'[1]ma sp 02'!$A$5:$BD$1101,R$1,0)</f>
        <v>0</v>
      </c>
      <c r="S1027" s="50">
        <f>VLOOKUP($A1027,'[1]ma sp 02'!$A$5:$BD$1101,S$1,0)</f>
        <v>0</v>
      </c>
      <c r="T1027" s="50">
        <f>VLOOKUP($A1027,'[1]ma sp 02'!$A$5:$BD$1101,T$1,0)</f>
        <v>0</v>
      </c>
      <c r="U1027" s="50">
        <f>VLOOKUP($A1027,'[1]ma sp 02'!$A$5:$BD$1101,U$1,0)</f>
        <v>0</v>
      </c>
      <c r="V1027" s="50">
        <f>VLOOKUP($A1027,'[1]ma sp 02'!$A$5:$BD$1101,V$1,0)</f>
        <v>0</v>
      </c>
      <c r="W1027" s="50">
        <f>VLOOKUP($A1027,'[1]ma sp 02'!$A$5:$BD$1101,W$1,0)</f>
        <v>0</v>
      </c>
      <c r="X1027" s="50"/>
      <c r="Y1027" s="62"/>
      <c r="Z1027" s="62"/>
      <c r="AA1027" s="62"/>
      <c r="AB1027" s="62"/>
      <c r="AC1027" s="62"/>
      <c r="AD1027" s="62"/>
      <c r="AE1027" s="62" t="s">
        <v>2653</v>
      </c>
      <c r="AF1027" s="62" t="s">
        <v>3256</v>
      </c>
      <c r="AG1027" s="53">
        <f>(0.02*0.91+0.012*1.4+0.065*0.925)*0.72</f>
        <v>6.8490000000000009E-2</v>
      </c>
      <c r="AH1027" s="153">
        <f>(2.3/0.75/2)*0.71</f>
        <v>1.0886666666666664</v>
      </c>
      <c r="AI1027" s="153">
        <f>(3/0.75/2)*0.71</f>
        <v>1.42</v>
      </c>
      <c r="AJ1027" s="58">
        <v>9530</v>
      </c>
      <c r="AK1027" s="58">
        <v>9530</v>
      </c>
      <c r="AL1027" s="9" t="s">
        <v>117</v>
      </c>
      <c r="AM1027" s="61"/>
      <c r="AN1027" s="62"/>
      <c r="AO1027" s="61" t="s">
        <v>3224</v>
      </c>
      <c r="AP1027" s="59"/>
      <c r="AQ1027" s="59"/>
      <c r="AR1027" s="59"/>
      <c r="AS1027" s="59"/>
      <c r="AT1027" s="59"/>
      <c r="AU1027" s="59"/>
      <c r="AV1027" s="59"/>
      <c r="AW1027" s="59"/>
      <c r="AX1027" s="59"/>
      <c r="AY1027" s="59"/>
      <c r="AZ1027" s="59"/>
      <c r="BA1027" s="141"/>
      <c r="BB1027" s="61" t="s">
        <v>1894</v>
      </c>
      <c r="BC1027" s="165"/>
      <c r="BD1027" s="166"/>
      <c r="BE1027" s="167"/>
      <c r="BF1027" s="168"/>
      <c r="BG1027" s="167"/>
      <c r="BH1027" s="168"/>
      <c r="BI1027" s="169"/>
      <c r="BJ1027" s="168"/>
      <c r="BK1027" s="134"/>
      <c r="BL1027" s="168"/>
      <c r="BM1027" s="167"/>
      <c r="BN1027" s="168"/>
      <c r="BO1027" s="62"/>
      <c r="BP1027" s="168"/>
      <c r="BQ1027" s="168"/>
      <c r="BR1027" s="168"/>
      <c r="BS1027" s="135"/>
      <c r="BT1027" s="176"/>
      <c r="BU1027" s="167"/>
      <c r="BV1027" s="168"/>
      <c r="BW1027" s="167"/>
      <c r="BX1027" s="168"/>
      <c r="BY1027" s="167"/>
      <c r="BZ1027" s="176"/>
      <c r="CA1027" s="167"/>
      <c r="CB1027" s="168"/>
      <c r="CC1027" s="167"/>
      <c r="CD1027" s="168"/>
      <c r="CE1027" s="62"/>
      <c r="CF1027" s="62"/>
      <c r="CG1027" s="9"/>
      <c r="CH1027" s="9"/>
      <c r="CI1027" s="9"/>
      <c r="CJ1027" s="9"/>
      <c r="CK1027" s="9"/>
      <c r="CL1027" s="9"/>
      <c r="CM1027" s="9"/>
      <c r="CN1027" s="9"/>
      <c r="CO1027" s="9"/>
      <c r="CP1027" s="9"/>
    </row>
    <row r="1028" spans="1:94" ht="30" x14ac:dyDescent="0.25">
      <c r="A1028" s="127" t="s">
        <v>3257</v>
      </c>
      <c r="B1028" s="51" t="s">
        <v>3258</v>
      </c>
      <c r="C1028" s="62"/>
      <c r="D1028" s="84">
        <v>4</v>
      </c>
      <c r="E1028" s="62" t="s">
        <v>2707</v>
      </c>
      <c r="F1028" s="62">
        <v>5</v>
      </c>
      <c r="G1028" s="62"/>
      <c r="H1028" s="50">
        <f>VLOOKUP($A1028,'[1]ma sp 02'!$A$5:$BD$1101,H$1,0)</f>
        <v>0.33300000000000002</v>
      </c>
      <c r="I1028" s="50">
        <f>VLOOKUP($A1028,'[1]ma sp 02'!$A$5:$BD$1101,I$1,0)</f>
        <v>0</v>
      </c>
      <c r="J1028" s="50">
        <f>VLOOKUP($A1028,'[1]ma sp 02'!$A$5:$BD$1101,J$1,0)</f>
        <v>1.3979999999999999</v>
      </c>
      <c r="K1028" s="50">
        <f>VLOOKUP($A1028,'[1]ma sp 02'!$A$5:$BD$1101,K$1,0)</f>
        <v>0</v>
      </c>
      <c r="L1028" s="50">
        <f>VLOOKUP($A1028,'[1]ma sp 02'!$A$5:$BD$1101,L$1,0)</f>
        <v>1.464</v>
      </c>
      <c r="M1028" s="50">
        <f>VLOOKUP($A1028,'[1]ma sp 02'!$A$5:$BD$1101,M$1,0)</f>
        <v>0</v>
      </c>
      <c r="N1028" s="50">
        <f>VLOOKUP($A1028,'[1]ma sp 02'!$A$5:$BD$1101,N$1,0)</f>
        <v>0</v>
      </c>
      <c r="O1028" s="50">
        <f>VLOOKUP($A1028,'[1]ma sp 02'!$A$5:$BD$1101,O$1,0)</f>
        <v>0.01</v>
      </c>
      <c r="P1028" s="50">
        <f>VLOOKUP($A1028,'[1]ma sp 02'!$A$5:$BD$1101,P$1,0)</f>
        <v>0.79900000000000004</v>
      </c>
      <c r="Q1028" s="50">
        <f>VLOOKUP($A1028,'[1]ma sp 02'!$A$5:$BD$1101,Q$1,0)</f>
        <v>0</v>
      </c>
      <c r="R1028" s="50">
        <f>VLOOKUP($A1028,'[1]ma sp 02'!$A$5:$BD$1101,R$1,0)</f>
        <v>0.66600000000000004</v>
      </c>
      <c r="S1028" s="50">
        <f>VLOOKUP($A1028,'[1]ma sp 02'!$A$5:$BD$1101,S$1,0)</f>
        <v>0</v>
      </c>
      <c r="T1028" s="50">
        <f>VLOOKUP($A1028,'[1]ma sp 02'!$A$5:$BD$1101,T$1,0)</f>
        <v>0.01</v>
      </c>
      <c r="U1028" s="50">
        <f>VLOOKUP($A1028,'[1]ma sp 02'!$A$5:$BD$1101,U$1,0)</f>
        <v>0</v>
      </c>
      <c r="V1028" s="50">
        <f>VLOOKUP($A1028,'[1]ma sp 02'!$A$5:$BD$1101,V$1,0)</f>
        <v>0</v>
      </c>
      <c r="W1028" s="50">
        <f>VLOOKUP($A1028,'[1]ma sp 02'!$A$5:$BD$1101,W$1,0)</f>
        <v>0</v>
      </c>
      <c r="X1028" s="50"/>
      <c r="Y1028" s="62"/>
      <c r="Z1028" s="62"/>
      <c r="AA1028" s="62"/>
      <c r="AB1028" s="62"/>
      <c r="AC1028" s="62"/>
      <c r="AD1028" s="62"/>
      <c r="AE1028" s="62" t="s">
        <v>583</v>
      </c>
      <c r="AF1028" s="62" t="s">
        <v>2708</v>
      </c>
      <c r="AG1028" s="53">
        <v>9.6634999999999999E-2</v>
      </c>
      <c r="AH1028" s="54">
        <v>1.6099999999999999</v>
      </c>
      <c r="AI1028" s="54">
        <v>1.1499999999999999</v>
      </c>
      <c r="AJ1028" s="62">
        <v>9530</v>
      </c>
      <c r="AK1028" s="62">
        <v>9530</v>
      </c>
      <c r="AL1028" s="9" t="s">
        <v>2709</v>
      </c>
      <c r="AM1028" s="61" t="s">
        <v>1489</v>
      </c>
      <c r="AN1028" s="62">
        <v>70</v>
      </c>
      <c r="AO1028" s="61" t="s">
        <v>2710</v>
      </c>
      <c r="AP1028" s="59"/>
      <c r="AQ1028" s="59"/>
      <c r="AR1028" s="59"/>
      <c r="AS1028" s="59"/>
      <c r="AT1028" s="59"/>
      <c r="AU1028" s="59"/>
      <c r="AV1028" s="59"/>
      <c r="AW1028" s="59"/>
      <c r="AX1028" s="59"/>
      <c r="AY1028" s="59"/>
      <c r="AZ1028" s="59"/>
      <c r="BA1028" s="141"/>
      <c r="BB1028" s="61"/>
      <c r="BC1028" s="165"/>
      <c r="BD1028" s="166"/>
      <c r="BE1028" s="167"/>
      <c r="BF1028" s="168"/>
      <c r="BG1028" s="167"/>
      <c r="BH1028" s="168"/>
      <c r="BI1028" s="169"/>
      <c r="BJ1028" s="168"/>
      <c r="BK1028" s="134"/>
      <c r="BL1028" s="168"/>
      <c r="BM1028" s="167"/>
      <c r="BN1028" s="168"/>
      <c r="BO1028" s="62"/>
      <c r="BP1028" s="168"/>
      <c r="BQ1028" s="168"/>
      <c r="BR1028" s="168"/>
      <c r="BS1028" s="135"/>
      <c r="BT1028" s="176"/>
      <c r="BU1028" s="167"/>
      <c r="BV1028" s="168"/>
      <c r="BW1028" s="167"/>
      <c r="BX1028" s="168"/>
      <c r="BY1028" s="167"/>
      <c r="BZ1028" s="176"/>
      <c r="CA1028" s="167"/>
      <c r="CB1028" s="168"/>
      <c r="CC1028" s="167"/>
      <c r="CD1028" s="168"/>
      <c r="CE1028" s="62"/>
      <c r="CF1028" s="62"/>
      <c r="CG1028" s="9"/>
      <c r="CH1028" s="9"/>
      <c r="CI1028" s="9"/>
      <c r="CJ1028" s="9"/>
      <c r="CK1028" s="9"/>
      <c r="CL1028" s="9"/>
      <c r="CM1028" s="9"/>
      <c r="CN1028" s="9"/>
      <c r="CO1028" s="9"/>
      <c r="CP1028" s="9"/>
    </row>
    <row r="1029" spans="1:94" ht="30" x14ac:dyDescent="0.25">
      <c r="A1029" s="127" t="s">
        <v>3259</v>
      </c>
      <c r="B1029" s="51" t="s">
        <v>3260</v>
      </c>
      <c r="C1029" s="62"/>
      <c r="D1029" s="84">
        <v>1</v>
      </c>
      <c r="E1029" s="62" t="s">
        <v>568</v>
      </c>
      <c r="F1029" s="62">
        <v>7</v>
      </c>
      <c r="G1029" s="62"/>
      <c r="H1029" s="50">
        <f>VLOOKUP($A1029,'[1]ma sp 02'!$A$5:$BD$1101,H$1,0)</f>
        <v>0.01</v>
      </c>
      <c r="I1029" s="50">
        <f>VLOOKUP($A1029,'[1]ma sp 02'!$A$5:$BD$1101,I$1,0)</f>
        <v>3.0750000000000002</v>
      </c>
      <c r="J1029" s="50">
        <f>VLOOKUP($A1029,'[1]ma sp 02'!$A$5:$BD$1101,J$1,0)</f>
        <v>0.46100000000000002</v>
      </c>
      <c r="K1029" s="50">
        <f>VLOOKUP($A1029,'[1]ma sp 02'!$A$5:$BD$1101,K$1,0)</f>
        <v>0.01</v>
      </c>
      <c r="L1029" s="50">
        <f>VLOOKUP($A1029,'[1]ma sp 02'!$A$5:$BD$1101,L$1,0)</f>
        <v>4.766</v>
      </c>
      <c r="M1029" s="50">
        <f>VLOOKUP($A1029,'[1]ma sp 02'!$A$5:$BD$1101,M$1,0)</f>
        <v>0.61499999999999999</v>
      </c>
      <c r="N1029" s="50">
        <f>VLOOKUP($A1029,'[1]ma sp 02'!$A$5:$BD$1101,N$1,0)</f>
        <v>0</v>
      </c>
      <c r="O1029" s="50">
        <f>VLOOKUP($A1029,'[1]ma sp 02'!$A$5:$BD$1101,O$1,0)</f>
        <v>0.01</v>
      </c>
      <c r="P1029" s="50">
        <f>VLOOKUP($A1029,'[1]ma sp 02'!$A$5:$BD$1101,P$1,0)</f>
        <v>0.76900000000000002</v>
      </c>
      <c r="Q1029" s="50">
        <f>VLOOKUP($A1029,'[1]ma sp 02'!$A$5:$BD$1101,Q$1,0)</f>
        <v>0</v>
      </c>
      <c r="R1029" s="50">
        <f>VLOOKUP($A1029,'[1]ma sp 02'!$A$5:$BD$1101,R$1,0)</f>
        <v>0.307</v>
      </c>
      <c r="S1029" s="50">
        <f>VLOOKUP($A1029,'[1]ma sp 02'!$A$5:$BD$1101,S$1,0)</f>
        <v>0</v>
      </c>
      <c r="T1029" s="50">
        <f>VLOOKUP($A1029,'[1]ma sp 02'!$A$5:$BD$1101,T$1,0)</f>
        <v>0</v>
      </c>
      <c r="U1029" s="50">
        <f>VLOOKUP($A1029,'[1]ma sp 02'!$A$5:$BD$1101,U$1,0)</f>
        <v>0</v>
      </c>
      <c r="V1029" s="50">
        <f>VLOOKUP($A1029,'[1]ma sp 02'!$A$5:$BD$1101,V$1,0)</f>
        <v>0</v>
      </c>
      <c r="W1029" s="50">
        <f>VLOOKUP($A1029,'[1]ma sp 02'!$A$5:$BD$1101,W$1,0)</f>
        <v>0</v>
      </c>
      <c r="X1029" s="50"/>
      <c r="Y1029" s="62"/>
      <c r="Z1029" s="62"/>
      <c r="AA1029" s="62"/>
      <c r="AB1029" s="62"/>
      <c r="AC1029" s="62"/>
      <c r="AD1029" s="62"/>
      <c r="AE1029" s="62" t="s">
        <v>1180</v>
      </c>
      <c r="AF1029" s="62"/>
      <c r="AG1029" s="53">
        <f>(0.012*1.4+0.065*0.925)*0.54</f>
        <v>4.1539500000000007E-2</v>
      </c>
      <c r="AH1029" s="54">
        <f>(2.3/0.75/2)*0.54</f>
        <v>0.82799999999999996</v>
      </c>
      <c r="AI1029" s="54"/>
      <c r="AJ1029" s="56">
        <v>9530</v>
      </c>
      <c r="AK1029" s="62"/>
      <c r="AL1029" s="9">
        <v>2.3E-3</v>
      </c>
      <c r="AM1029" s="61" t="s">
        <v>74</v>
      </c>
      <c r="AN1029" s="62"/>
      <c r="AO1029" s="61" t="s">
        <v>3261</v>
      </c>
      <c r="AP1029" s="59"/>
      <c r="AQ1029" s="59"/>
      <c r="AR1029" s="59"/>
      <c r="AS1029" s="59"/>
      <c r="AT1029" s="59"/>
      <c r="AU1029" s="59"/>
      <c r="AV1029" s="59"/>
      <c r="AW1029" s="59"/>
      <c r="AX1029" s="59"/>
      <c r="AY1029" s="59"/>
      <c r="AZ1029" s="59"/>
      <c r="BA1029" s="141"/>
      <c r="BB1029" s="61" t="s">
        <v>1894</v>
      </c>
      <c r="BC1029" s="165"/>
      <c r="BD1029" s="166"/>
      <c r="BE1029" s="167"/>
      <c r="BF1029" s="168"/>
      <c r="BG1029" s="167"/>
      <c r="BH1029" s="168"/>
      <c r="BI1029" s="169"/>
      <c r="BJ1029" s="168"/>
      <c r="BK1029" s="134"/>
      <c r="BL1029" s="168"/>
      <c r="BM1029" s="167"/>
      <c r="BN1029" s="168"/>
      <c r="BO1029" s="62"/>
      <c r="BP1029" s="168"/>
      <c r="BQ1029" s="168"/>
      <c r="BR1029" s="168"/>
      <c r="BS1029" s="135"/>
      <c r="BT1029" s="176"/>
      <c r="BU1029" s="167"/>
      <c r="BV1029" s="168"/>
      <c r="BW1029" s="167"/>
      <c r="BX1029" s="168"/>
      <c r="BY1029" s="167"/>
      <c r="BZ1029" s="176"/>
      <c r="CA1029" s="167"/>
      <c r="CB1029" s="168"/>
      <c r="CC1029" s="167"/>
      <c r="CD1029" s="168"/>
      <c r="CE1029" s="62"/>
      <c r="CF1029" s="62"/>
      <c r="CG1029" s="9"/>
      <c r="CH1029" s="9"/>
      <c r="CI1029" s="9"/>
      <c r="CJ1029" s="9"/>
      <c r="CK1029" s="9"/>
      <c r="CL1029" s="9"/>
      <c r="CM1029" s="9"/>
      <c r="CN1029" s="9"/>
      <c r="CO1029" s="9"/>
      <c r="CP1029" s="9"/>
    </row>
    <row r="1030" spans="1:94" ht="30" x14ac:dyDescent="0.25">
      <c r="A1030" s="127" t="s">
        <v>3262</v>
      </c>
      <c r="B1030" s="51" t="s">
        <v>3263</v>
      </c>
      <c r="C1030" s="62"/>
      <c r="D1030" s="84">
        <v>5</v>
      </c>
      <c r="E1030" s="62" t="s">
        <v>338</v>
      </c>
      <c r="F1030" s="62">
        <v>8</v>
      </c>
      <c r="G1030" s="62"/>
      <c r="H1030" s="50">
        <f>VLOOKUP($A1030,'[1]ma sp 02'!$A$5:$BD$1101,H$1,0)</f>
        <v>0.38600000000000001</v>
      </c>
      <c r="I1030" s="50">
        <f>VLOOKUP($A1030,'[1]ma sp 02'!$A$5:$BD$1101,I$1,0)</f>
        <v>4.6289999999999996</v>
      </c>
      <c r="J1030" s="50">
        <f>VLOOKUP($A1030,'[1]ma sp 02'!$A$5:$BD$1101,J$1,0)</f>
        <v>9.6000000000000002E-2</v>
      </c>
      <c r="K1030" s="50">
        <f>VLOOKUP($A1030,'[1]ma sp 02'!$A$5:$BD$1101,K$1,0)</f>
        <v>0.25</v>
      </c>
      <c r="L1030" s="50">
        <f>VLOOKUP($A1030,'[1]ma sp 02'!$A$5:$BD$1101,L$1,0)</f>
        <v>1.35</v>
      </c>
      <c r="M1030" s="50">
        <f>VLOOKUP($A1030,'[1]ma sp 02'!$A$5:$BD$1101,M$1,0)</f>
        <v>1.35</v>
      </c>
      <c r="N1030" s="50">
        <f>VLOOKUP($A1030,'[1]ma sp 02'!$A$5:$BD$1101,N$1,0)</f>
        <v>0</v>
      </c>
      <c r="O1030" s="50">
        <f>VLOOKUP($A1030,'[1]ma sp 02'!$A$5:$BD$1101,O$1,0)</f>
        <v>2.1219999999999999</v>
      </c>
      <c r="P1030" s="50">
        <f>VLOOKUP($A1030,'[1]ma sp 02'!$A$5:$BD$1101,P$1,0)</f>
        <v>0</v>
      </c>
      <c r="Q1030" s="50">
        <f>VLOOKUP($A1030,'[1]ma sp 02'!$A$5:$BD$1101,Q$1,0)</f>
        <v>0</v>
      </c>
      <c r="R1030" s="50">
        <f>VLOOKUP($A1030,'[1]ma sp 02'!$A$5:$BD$1101,R$1,0)</f>
        <v>0.01</v>
      </c>
      <c r="S1030" s="50">
        <f>VLOOKUP($A1030,'[1]ma sp 02'!$A$5:$BD$1101,S$1,0)</f>
        <v>0</v>
      </c>
      <c r="T1030" s="50">
        <f>VLOOKUP($A1030,'[1]ma sp 02'!$A$5:$BD$1101,T$1,0)</f>
        <v>0</v>
      </c>
      <c r="U1030" s="50">
        <f>VLOOKUP($A1030,'[1]ma sp 02'!$A$5:$BD$1101,U$1,0)</f>
        <v>0</v>
      </c>
      <c r="V1030" s="50">
        <f>VLOOKUP($A1030,'[1]ma sp 02'!$A$5:$BD$1101,V$1,0)</f>
        <v>0</v>
      </c>
      <c r="W1030" s="50">
        <f>VLOOKUP($A1030,'[1]ma sp 02'!$A$5:$BD$1101,W$1,0)</f>
        <v>0</v>
      </c>
      <c r="X1030" s="50"/>
      <c r="Y1030" s="62"/>
      <c r="Z1030" s="62"/>
      <c r="AA1030" s="62"/>
      <c r="AB1030" s="62"/>
      <c r="AC1030" s="62"/>
      <c r="AD1030" s="62"/>
      <c r="AE1030" s="62" t="s">
        <v>339</v>
      </c>
      <c r="AF1030" s="62"/>
      <c r="AG1030" s="53">
        <f>(0.02*0.91+0.025*0.91)*0.87</f>
        <v>3.5626499999999998E-2</v>
      </c>
      <c r="AH1030" s="54">
        <f>(2.3/0.75/2)*0.86</f>
        <v>1.3186666666666667</v>
      </c>
      <c r="AI1030" s="54"/>
      <c r="AJ1030" s="56">
        <v>9530</v>
      </c>
      <c r="AK1030" s="62"/>
      <c r="AL1030" s="9">
        <v>2.3E-3</v>
      </c>
      <c r="AM1030" s="61" t="s">
        <v>1489</v>
      </c>
      <c r="AN1030" s="62">
        <v>100</v>
      </c>
      <c r="AO1030" s="61" t="s">
        <v>3261</v>
      </c>
      <c r="AP1030" s="59"/>
      <c r="AQ1030" s="59"/>
      <c r="AR1030" s="59"/>
      <c r="AS1030" s="59"/>
      <c r="AT1030" s="59"/>
      <c r="AU1030" s="59"/>
      <c r="AV1030" s="59"/>
      <c r="AW1030" s="59"/>
      <c r="AX1030" s="59"/>
      <c r="AY1030" s="59"/>
      <c r="AZ1030" s="59"/>
      <c r="BA1030" s="141"/>
      <c r="BB1030" s="61" t="s">
        <v>1894</v>
      </c>
      <c r="BC1030" s="165"/>
      <c r="BD1030" s="166"/>
      <c r="BE1030" s="167"/>
      <c r="BF1030" s="168"/>
      <c r="BG1030" s="167"/>
      <c r="BH1030" s="168"/>
      <c r="BI1030" s="169"/>
      <c r="BJ1030" s="168"/>
      <c r="BK1030" s="134"/>
      <c r="BL1030" s="168"/>
      <c r="BM1030" s="167"/>
      <c r="BN1030" s="168"/>
      <c r="BO1030" s="62"/>
      <c r="BP1030" s="168"/>
      <c r="BQ1030" s="168"/>
      <c r="BR1030" s="168"/>
      <c r="BS1030" s="135"/>
      <c r="BT1030" s="176"/>
      <c r="BU1030" s="167"/>
      <c r="BV1030" s="168"/>
      <c r="BW1030" s="167"/>
      <c r="BX1030" s="168"/>
      <c r="BY1030" s="167"/>
      <c r="BZ1030" s="176"/>
      <c r="CA1030" s="167"/>
      <c r="CB1030" s="168"/>
      <c r="CC1030" s="167"/>
      <c r="CD1030" s="168"/>
      <c r="CE1030" s="62"/>
      <c r="CF1030" s="62"/>
      <c r="CG1030" s="9"/>
      <c r="CH1030" s="9"/>
      <c r="CI1030" s="9"/>
      <c r="CJ1030" s="9"/>
      <c r="CK1030" s="9"/>
      <c r="CL1030" s="9"/>
      <c r="CM1030" s="9"/>
      <c r="CN1030" s="9"/>
      <c r="CO1030" s="9"/>
      <c r="CP1030" s="9"/>
    </row>
    <row r="1031" spans="1:94" ht="30" x14ac:dyDescent="0.25">
      <c r="A1031" s="127" t="s">
        <v>3264</v>
      </c>
      <c r="B1031" s="51" t="s">
        <v>3265</v>
      </c>
      <c r="C1031" s="62"/>
      <c r="D1031" s="84">
        <v>1</v>
      </c>
      <c r="E1031" s="62" t="s">
        <v>393</v>
      </c>
      <c r="F1031" s="62">
        <v>7</v>
      </c>
      <c r="G1031" s="62"/>
      <c r="H1031" s="50">
        <f>VLOOKUP($A1031,'[1]ma sp 02'!$A$5:$BD$1101,H$1,0)</f>
        <v>2.226</v>
      </c>
      <c r="I1031" s="50">
        <f>VLOOKUP($A1031,'[1]ma sp 02'!$A$5:$BD$1101,I$1,0)</f>
        <v>8.625</v>
      </c>
      <c r="J1031" s="50">
        <f>VLOOKUP($A1031,'[1]ma sp 02'!$A$5:$BD$1101,J$1,0)</f>
        <v>0.97399999999999998</v>
      </c>
      <c r="K1031" s="50">
        <f>VLOOKUP($A1031,'[1]ma sp 02'!$A$5:$BD$1101,K$1,0)</f>
        <v>0.27800000000000002</v>
      </c>
      <c r="L1031" s="50">
        <f>VLOOKUP($A1031,'[1]ma sp 02'!$A$5:$BD$1101,L$1,0)</f>
        <v>4.173</v>
      </c>
      <c r="M1031" s="50">
        <f>VLOOKUP($A1031,'[1]ma sp 02'!$A$5:$BD$1101,M$1,0)</f>
        <v>0.83499999999999996</v>
      </c>
      <c r="N1031" s="50">
        <f>VLOOKUP($A1031,'[1]ma sp 02'!$A$5:$BD$1101,N$1,0)</f>
        <v>0</v>
      </c>
      <c r="O1031" s="50">
        <f>VLOOKUP($A1031,'[1]ma sp 02'!$A$5:$BD$1101,O$1,0)</f>
        <v>3.06</v>
      </c>
      <c r="P1031" s="50">
        <f>VLOOKUP($A1031,'[1]ma sp 02'!$A$5:$BD$1101,P$1,0)</f>
        <v>0</v>
      </c>
      <c r="Q1031" s="50">
        <f>VLOOKUP($A1031,'[1]ma sp 02'!$A$5:$BD$1101,Q$1,0)</f>
        <v>0</v>
      </c>
      <c r="R1031" s="50">
        <f>VLOOKUP($A1031,'[1]ma sp 02'!$A$5:$BD$1101,R$1,0)</f>
        <v>0.01</v>
      </c>
      <c r="S1031" s="50">
        <f>VLOOKUP($A1031,'[1]ma sp 02'!$A$5:$BD$1101,S$1,0)</f>
        <v>0</v>
      </c>
      <c r="T1031" s="50">
        <f>VLOOKUP($A1031,'[1]ma sp 02'!$A$5:$BD$1101,T$1,0)</f>
        <v>0</v>
      </c>
      <c r="U1031" s="50">
        <f>VLOOKUP($A1031,'[1]ma sp 02'!$A$5:$BD$1101,U$1,0)</f>
        <v>0</v>
      </c>
      <c r="V1031" s="50">
        <f>VLOOKUP($A1031,'[1]ma sp 02'!$A$5:$BD$1101,V$1,0)</f>
        <v>0</v>
      </c>
      <c r="W1031" s="50">
        <f>VLOOKUP($A1031,'[1]ma sp 02'!$A$5:$BD$1101,W$1,0)</f>
        <v>0</v>
      </c>
      <c r="X1031" s="50"/>
      <c r="Y1031" s="62"/>
      <c r="Z1031" s="62"/>
      <c r="AA1031" s="62"/>
      <c r="AB1031" s="62"/>
      <c r="AC1031" s="62"/>
      <c r="AD1031" s="62"/>
      <c r="AE1031" s="62" t="s">
        <v>3266</v>
      </c>
      <c r="AF1031" s="62"/>
      <c r="AG1031" s="53">
        <f>(0.012*1.4+0.065*0.925)*0.65</f>
        <v>5.0001250000000004E-2</v>
      </c>
      <c r="AH1031" s="54">
        <f>(2.3/0.75/2)*0.65</f>
        <v>0.99666666666666659</v>
      </c>
      <c r="AI1031" s="54"/>
      <c r="AJ1031" s="56">
        <v>9530</v>
      </c>
      <c r="AK1031" s="62"/>
      <c r="AL1031" s="9">
        <v>2.3E-3</v>
      </c>
      <c r="AM1031" s="61" t="s">
        <v>74</v>
      </c>
      <c r="AN1031" s="62">
        <v>350</v>
      </c>
      <c r="AO1031" s="61" t="s">
        <v>3261</v>
      </c>
      <c r="AP1031" s="59"/>
      <c r="AQ1031" s="59"/>
      <c r="AR1031" s="59"/>
      <c r="AS1031" s="59"/>
      <c r="AT1031" s="59"/>
      <c r="AU1031" s="59"/>
      <c r="AV1031" s="59"/>
      <c r="AW1031" s="59"/>
      <c r="AX1031" s="59"/>
      <c r="AY1031" s="59"/>
      <c r="AZ1031" s="59"/>
      <c r="BA1031" s="141"/>
      <c r="BB1031" s="61" t="s">
        <v>1894</v>
      </c>
      <c r="BC1031" s="165"/>
      <c r="BD1031" s="166"/>
      <c r="BE1031" s="167"/>
      <c r="BF1031" s="168"/>
      <c r="BG1031" s="167"/>
      <c r="BH1031" s="168"/>
      <c r="BI1031" s="169"/>
      <c r="BJ1031" s="168"/>
      <c r="BK1031" s="134"/>
      <c r="BL1031" s="168"/>
      <c r="BM1031" s="167"/>
      <c r="BN1031" s="168"/>
      <c r="BO1031" s="62"/>
      <c r="BP1031" s="168"/>
      <c r="BQ1031" s="168"/>
      <c r="BR1031" s="168"/>
      <c r="BS1031" s="135"/>
      <c r="BT1031" s="176"/>
      <c r="BU1031" s="167"/>
      <c r="BV1031" s="168"/>
      <c r="BW1031" s="167"/>
      <c r="BX1031" s="168"/>
      <c r="BY1031" s="167"/>
      <c r="BZ1031" s="176"/>
      <c r="CA1031" s="167"/>
      <c r="CB1031" s="168"/>
      <c r="CC1031" s="167"/>
      <c r="CD1031" s="168"/>
      <c r="CE1031" s="62"/>
      <c r="CF1031" s="62"/>
      <c r="CG1031" s="9"/>
      <c r="CH1031" s="9"/>
      <c r="CI1031" s="9"/>
      <c r="CJ1031" s="9"/>
      <c r="CK1031" s="9"/>
      <c r="CL1031" s="9"/>
      <c r="CM1031" s="9"/>
      <c r="CN1031" s="9"/>
      <c r="CO1031" s="9"/>
      <c r="CP1031" s="9"/>
    </row>
    <row r="1032" spans="1:94" ht="30" x14ac:dyDescent="0.25">
      <c r="A1032" s="127" t="s">
        <v>3267</v>
      </c>
      <c r="B1032" s="51" t="s">
        <v>3268</v>
      </c>
      <c r="C1032" s="62"/>
      <c r="D1032" s="84">
        <v>1</v>
      </c>
      <c r="E1032" s="62" t="s">
        <v>393</v>
      </c>
      <c r="F1032" s="62">
        <v>7</v>
      </c>
      <c r="G1032" s="62"/>
      <c r="H1032" s="50">
        <f>VLOOKUP($A1032,'[1]ma sp 02'!$A$5:$BD$1101,H$1,0)</f>
        <v>3.5369999999999999</v>
      </c>
      <c r="I1032" s="50">
        <f>VLOOKUP($A1032,'[1]ma sp 02'!$A$5:$BD$1101,I$1,0)</f>
        <v>10.919</v>
      </c>
      <c r="J1032" s="50">
        <f>VLOOKUP($A1032,'[1]ma sp 02'!$A$5:$BD$1101,J$1,0)</f>
        <v>1.23</v>
      </c>
      <c r="K1032" s="50">
        <f>VLOOKUP($A1032,'[1]ma sp 02'!$A$5:$BD$1101,K$1,0)</f>
        <v>1.845</v>
      </c>
      <c r="L1032" s="50">
        <f>VLOOKUP($A1032,'[1]ma sp 02'!$A$5:$BD$1101,L$1,0)</f>
        <v>4.9210000000000003</v>
      </c>
      <c r="M1032" s="50">
        <f>VLOOKUP($A1032,'[1]ma sp 02'!$A$5:$BD$1101,M$1,0)</f>
        <v>3.6909999999999998</v>
      </c>
      <c r="N1032" s="50">
        <f>VLOOKUP($A1032,'[1]ma sp 02'!$A$5:$BD$1101,N$1,0)</f>
        <v>0</v>
      </c>
      <c r="O1032" s="50">
        <f>VLOOKUP($A1032,'[1]ma sp 02'!$A$5:$BD$1101,O$1,0)</f>
        <v>1.23</v>
      </c>
      <c r="P1032" s="50">
        <f>VLOOKUP($A1032,'[1]ma sp 02'!$A$5:$BD$1101,P$1,0)</f>
        <v>0</v>
      </c>
      <c r="Q1032" s="50">
        <f>VLOOKUP($A1032,'[1]ma sp 02'!$A$5:$BD$1101,Q$1,0)</f>
        <v>0</v>
      </c>
      <c r="R1032" s="50">
        <f>VLOOKUP($A1032,'[1]ma sp 02'!$A$5:$BD$1101,R$1,0)</f>
        <v>0.76900000000000002</v>
      </c>
      <c r="S1032" s="50">
        <f>VLOOKUP($A1032,'[1]ma sp 02'!$A$5:$BD$1101,S$1,0)</f>
        <v>0</v>
      </c>
      <c r="T1032" s="50">
        <f>VLOOKUP($A1032,'[1]ma sp 02'!$A$5:$BD$1101,T$1,0)</f>
        <v>0</v>
      </c>
      <c r="U1032" s="50">
        <f>VLOOKUP($A1032,'[1]ma sp 02'!$A$5:$BD$1101,U$1,0)</f>
        <v>0</v>
      </c>
      <c r="V1032" s="50">
        <f>VLOOKUP($A1032,'[1]ma sp 02'!$A$5:$BD$1101,V$1,0)</f>
        <v>0</v>
      </c>
      <c r="W1032" s="50">
        <f>VLOOKUP($A1032,'[1]ma sp 02'!$A$5:$BD$1101,W$1,0)</f>
        <v>0</v>
      </c>
      <c r="X1032" s="50"/>
      <c r="Y1032" s="62"/>
      <c r="Z1032" s="62"/>
      <c r="AA1032" s="62"/>
      <c r="AB1032" s="62"/>
      <c r="AC1032" s="62"/>
      <c r="AD1032" s="62"/>
      <c r="AE1032" s="62" t="s">
        <v>1116</v>
      </c>
      <c r="AF1032" s="62"/>
      <c r="AG1032" s="53">
        <f>(0.012*1.4+0.065*0.925)*0.65</f>
        <v>5.0001250000000004E-2</v>
      </c>
      <c r="AH1032" s="54">
        <f>(2.3/0.75/2)*0.65</f>
        <v>0.99666666666666659</v>
      </c>
      <c r="AI1032" s="54"/>
      <c r="AJ1032" s="56">
        <v>9530</v>
      </c>
      <c r="AK1032" s="62"/>
      <c r="AL1032" s="9">
        <v>2.3E-3</v>
      </c>
      <c r="AM1032" s="61" t="s">
        <v>74</v>
      </c>
      <c r="AN1032" s="62">
        <v>350</v>
      </c>
      <c r="AO1032" s="61" t="s">
        <v>3261</v>
      </c>
      <c r="AP1032" s="59"/>
      <c r="AQ1032" s="59"/>
      <c r="AR1032" s="59"/>
      <c r="AS1032" s="59"/>
      <c r="AT1032" s="59"/>
      <c r="AU1032" s="59"/>
      <c r="AV1032" s="59"/>
      <c r="AW1032" s="59"/>
      <c r="AX1032" s="59"/>
      <c r="AY1032" s="59"/>
      <c r="AZ1032" s="59"/>
      <c r="BA1032" s="141"/>
      <c r="BB1032" s="61" t="s">
        <v>1894</v>
      </c>
      <c r="BC1032" s="165"/>
      <c r="BD1032" s="166"/>
      <c r="BE1032" s="167"/>
      <c r="BF1032" s="168"/>
      <c r="BG1032" s="167"/>
      <c r="BH1032" s="168"/>
      <c r="BI1032" s="169"/>
      <c r="BJ1032" s="168"/>
      <c r="BK1032" s="134"/>
      <c r="BL1032" s="168"/>
      <c r="BM1032" s="167"/>
      <c r="BN1032" s="168"/>
      <c r="BO1032" s="62"/>
      <c r="BP1032" s="168"/>
      <c r="BQ1032" s="168"/>
      <c r="BR1032" s="168"/>
      <c r="BS1032" s="135"/>
      <c r="BT1032" s="176"/>
      <c r="BU1032" s="167"/>
      <c r="BV1032" s="168"/>
      <c r="BW1032" s="167"/>
      <c r="BX1032" s="168"/>
      <c r="BY1032" s="167"/>
      <c r="BZ1032" s="176"/>
      <c r="CA1032" s="167"/>
      <c r="CB1032" s="168"/>
      <c r="CC1032" s="167"/>
      <c r="CD1032" s="168"/>
      <c r="CE1032" s="62"/>
      <c r="CF1032" s="62"/>
      <c r="CG1032" s="9"/>
      <c r="CH1032" s="9"/>
      <c r="CI1032" s="9"/>
      <c r="CJ1032" s="9"/>
      <c r="CK1032" s="9"/>
      <c r="CL1032" s="9"/>
      <c r="CM1032" s="9"/>
      <c r="CN1032" s="9"/>
      <c r="CO1032" s="9"/>
      <c r="CP1032" s="9"/>
    </row>
    <row r="1033" spans="1:94" ht="30" x14ac:dyDescent="0.25">
      <c r="A1033" s="127" t="s">
        <v>3269</v>
      </c>
      <c r="B1033" s="51" t="s">
        <v>3270</v>
      </c>
      <c r="C1033" s="62"/>
      <c r="D1033" s="84">
        <v>1</v>
      </c>
      <c r="E1033" s="62" t="s">
        <v>568</v>
      </c>
      <c r="F1033" s="62">
        <v>7</v>
      </c>
      <c r="G1033" s="62"/>
      <c r="H1033" s="50">
        <f>VLOOKUP($A1033,'[1]ma sp 02'!$A$5:$BD$1101,H$1,0)</f>
        <v>0.73699999999999999</v>
      </c>
      <c r="I1033" s="50">
        <f>VLOOKUP($A1033,'[1]ma sp 02'!$A$5:$BD$1101,I$1,0)</f>
        <v>6.78</v>
      </c>
      <c r="J1033" s="50">
        <f>VLOOKUP($A1033,'[1]ma sp 02'!$A$5:$BD$1101,J$1,0)</f>
        <v>0.01</v>
      </c>
      <c r="K1033" s="50">
        <f>VLOOKUP($A1033,'[1]ma sp 02'!$A$5:$BD$1101,K$1,0)</f>
        <v>0.14699999999999999</v>
      </c>
      <c r="L1033" s="50">
        <f>VLOOKUP($A1033,'[1]ma sp 02'!$A$5:$BD$1101,L$1,0)</f>
        <v>2.5059999999999998</v>
      </c>
      <c r="M1033" s="50">
        <f>VLOOKUP($A1033,'[1]ma sp 02'!$A$5:$BD$1101,M$1,0)</f>
        <v>0</v>
      </c>
      <c r="N1033" s="50">
        <f>VLOOKUP($A1033,'[1]ma sp 02'!$A$5:$BD$1101,N$1,0)</f>
        <v>0</v>
      </c>
      <c r="O1033" s="50">
        <f>VLOOKUP($A1033,'[1]ma sp 02'!$A$5:$BD$1101,O$1,0)</f>
        <v>0.88400000000000001</v>
      </c>
      <c r="P1033" s="50">
        <f>VLOOKUP($A1033,'[1]ma sp 02'!$A$5:$BD$1101,P$1,0)</f>
        <v>0</v>
      </c>
      <c r="Q1033" s="50">
        <f>VLOOKUP($A1033,'[1]ma sp 02'!$A$5:$BD$1101,Q$1,0)</f>
        <v>0</v>
      </c>
      <c r="R1033" s="50">
        <f>VLOOKUP($A1033,'[1]ma sp 02'!$A$5:$BD$1101,R$1,0)</f>
        <v>0.01</v>
      </c>
      <c r="S1033" s="50">
        <f>VLOOKUP($A1033,'[1]ma sp 02'!$A$5:$BD$1101,S$1,0)</f>
        <v>0</v>
      </c>
      <c r="T1033" s="50">
        <f>VLOOKUP($A1033,'[1]ma sp 02'!$A$5:$BD$1101,T$1,0)</f>
        <v>0</v>
      </c>
      <c r="U1033" s="50">
        <f>VLOOKUP($A1033,'[1]ma sp 02'!$A$5:$BD$1101,U$1,0)</f>
        <v>0</v>
      </c>
      <c r="V1033" s="50">
        <f>VLOOKUP($A1033,'[1]ma sp 02'!$A$5:$BD$1101,V$1,0)</f>
        <v>0</v>
      </c>
      <c r="W1033" s="50">
        <f>VLOOKUP($A1033,'[1]ma sp 02'!$A$5:$BD$1101,W$1,0)</f>
        <v>0</v>
      </c>
      <c r="X1033" s="50"/>
      <c r="Y1033" s="62"/>
      <c r="Z1033" s="62"/>
      <c r="AA1033" s="62"/>
      <c r="AB1033" s="62"/>
      <c r="AC1033" s="62"/>
      <c r="AD1033" s="62"/>
      <c r="AE1033" s="62" t="s">
        <v>1180</v>
      </c>
      <c r="AF1033" s="62"/>
      <c r="AG1033" s="53">
        <f>(0.012*1.4+0.065*0.925)*0.54</f>
        <v>4.1539500000000007E-2</v>
      </c>
      <c r="AH1033" s="54">
        <f>(2.3/0.75/2)*0.54</f>
        <v>0.82799999999999996</v>
      </c>
      <c r="AI1033" s="54"/>
      <c r="AJ1033" s="56">
        <v>9530</v>
      </c>
      <c r="AK1033" s="62"/>
      <c r="AL1033" s="9">
        <v>2.3E-3</v>
      </c>
      <c r="AM1033" s="61" t="s">
        <v>74</v>
      </c>
      <c r="AN1033" s="62"/>
      <c r="AO1033" s="61" t="s">
        <v>3261</v>
      </c>
      <c r="AP1033" s="59"/>
      <c r="AQ1033" s="59"/>
      <c r="AR1033" s="59"/>
      <c r="AS1033" s="59"/>
      <c r="AT1033" s="59"/>
      <c r="AU1033" s="59"/>
      <c r="AV1033" s="59"/>
      <c r="AW1033" s="59"/>
      <c r="AX1033" s="59"/>
      <c r="AY1033" s="59"/>
      <c r="AZ1033" s="59"/>
      <c r="BA1033" s="141"/>
      <c r="BB1033" s="61" t="s">
        <v>1894</v>
      </c>
      <c r="BC1033" s="165"/>
      <c r="BD1033" s="166"/>
      <c r="BE1033" s="167"/>
      <c r="BF1033" s="168"/>
      <c r="BG1033" s="167"/>
      <c r="BH1033" s="168"/>
      <c r="BI1033" s="169"/>
      <c r="BJ1033" s="168"/>
      <c r="BK1033" s="134"/>
      <c r="BL1033" s="168"/>
      <c r="BM1033" s="167"/>
      <c r="BN1033" s="168"/>
      <c r="BO1033" s="62"/>
      <c r="BP1033" s="168"/>
      <c r="BQ1033" s="168"/>
      <c r="BR1033" s="168"/>
      <c r="BS1033" s="135"/>
      <c r="BT1033" s="176"/>
      <c r="BU1033" s="167"/>
      <c r="BV1033" s="168"/>
      <c r="BW1033" s="167"/>
      <c r="BX1033" s="168"/>
      <c r="BY1033" s="167"/>
      <c r="BZ1033" s="176"/>
      <c r="CA1033" s="167"/>
      <c r="CB1033" s="168"/>
      <c r="CC1033" s="167"/>
      <c r="CD1033" s="168"/>
      <c r="CE1033" s="62"/>
      <c r="CF1033" s="62"/>
      <c r="CG1033" s="9"/>
      <c r="CH1033" s="9"/>
      <c r="CI1033" s="9"/>
      <c r="CJ1033" s="9"/>
      <c r="CK1033" s="9"/>
      <c r="CL1033" s="9"/>
      <c r="CM1033" s="9"/>
      <c r="CN1033" s="9"/>
      <c r="CO1033" s="9"/>
      <c r="CP1033" s="9"/>
    </row>
    <row r="1034" spans="1:94" ht="30" x14ac:dyDescent="0.25">
      <c r="A1034" s="127" t="s">
        <v>3271</v>
      </c>
      <c r="B1034" s="51" t="s">
        <v>3272</v>
      </c>
      <c r="C1034" s="62"/>
      <c r="D1034" s="84">
        <v>2</v>
      </c>
      <c r="E1034" s="62" t="s">
        <v>910</v>
      </c>
      <c r="F1034" s="62">
        <v>7</v>
      </c>
      <c r="G1034" s="62"/>
      <c r="H1034" s="50">
        <f>VLOOKUP($A1034,'[1]ma sp 02'!$A$5:$BD$1101,H$1,0)</f>
        <v>0.41799999999999998</v>
      </c>
      <c r="I1034" s="50">
        <f>VLOOKUP($A1034,'[1]ma sp 02'!$A$5:$BD$1101,I$1,0)</f>
        <v>5.8520000000000003</v>
      </c>
      <c r="J1034" s="50">
        <f>VLOOKUP($A1034,'[1]ma sp 02'!$A$5:$BD$1101,J$1,0)</f>
        <v>0.83599999999999997</v>
      </c>
      <c r="K1034" s="50">
        <f>VLOOKUP($A1034,'[1]ma sp 02'!$A$5:$BD$1101,K$1,0)</f>
        <v>0.32500000000000001</v>
      </c>
      <c r="L1034" s="50">
        <f>VLOOKUP($A1034,'[1]ma sp 02'!$A$5:$BD$1101,L$1,0)</f>
        <v>0.69699999999999995</v>
      </c>
      <c r="M1034" s="50">
        <f>VLOOKUP($A1034,'[1]ma sp 02'!$A$5:$BD$1101,M$1,0)</f>
        <v>0.92900000000000005</v>
      </c>
      <c r="N1034" s="50">
        <f>VLOOKUP($A1034,'[1]ma sp 02'!$A$5:$BD$1101,N$1,0)</f>
        <v>0</v>
      </c>
      <c r="O1034" s="50">
        <f>VLOOKUP($A1034,'[1]ma sp 02'!$A$5:$BD$1101,O$1,0)</f>
        <v>0.23200000000000001</v>
      </c>
      <c r="P1034" s="50">
        <f>VLOOKUP($A1034,'[1]ma sp 02'!$A$5:$BD$1101,P$1,0)</f>
        <v>0.372</v>
      </c>
      <c r="Q1034" s="50">
        <f>VLOOKUP($A1034,'[1]ma sp 02'!$A$5:$BD$1101,Q$1,0)</f>
        <v>0</v>
      </c>
      <c r="R1034" s="50">
        <f>VLOOKUP($A1034,'[1]ma sp 02'!$A$5:$BD$1101,R$1,0)</f>
        <v>0</v>
      </c>
      <c r="S1034" s="50">
        <f>VLOOKUP($A1034,'[1]ma sp 02'!$A$5:$BD$1101,S$1,0)</f>
        <v>0</v>
      </c>
      <c r="T1034" s="50">
        <f>VLOOKUP($A1034,'[1]ma sp 02'!$A$5:$BD$1101,T$1,0)</f>
        <v>0</v>
      </c>
      <c r="U1034" s="50">
        <f>VLOOKUP($A1034,'[1]ma sp 02'!$A$5:$BD$1101,U$1,0)</f>
        <v>0</v>
      </c>
      <c r="V1034" s="50">
        <f>VLOOKUP($A1034,'[1]ma sp 02'!$A$5:$BD$1101,V$1,0)</f>
        <v>0</v>
      </c>
      <c r="W1034" s="50">
        <f>VLOOKUP($A1034,'[1]ma sp 02'!$A$5:$BD$1101,W$1,0)</f>
        <v>0</v>
      </c>
      <c r="X1034" s="50"/>
      <c r="Y1034" s="62"/>
      <c r="Z1034" s="62"/>
      <c r="AA1034" s="62"/>
      <c r="AB1034" s="62"/>
      <c r="AC1034" s="62"/>
      <c r="AD1034" s="62"/>
      <c r="AE1034" s="62" t="s">
        <v>911</v>
      </c>
      <c r="AF1034" s="62"/>
      <c r="AG1034" s="53">
        <f>(0.02*0.91+0.09*0.925)*0.89</f>
        <v>9.029050000000001E-2</v>
      </c>
      <c r="AH1034" s="54">
        <f>(2.3/0.75/2)*0.89</f>
        <v>1.3646666666666665</v>
      </c>
      <c r="AI1034" s="54"/>
      <c r="AJ1034" s="58">
        <v>9530</v>
      </c>
      <c r="AK1034" s="62"/>
      <c r="AL1034" s="62">
        <v>2.3E-3</v>
      </c>
      <c r="AM1034" s="61" t="s">
        <v>74</v>
      </c>
      <c r="AN1034" s="62">
        <v>320</v>
      </c>
      <c r="AO1034" s="61" t="s">
        <v>3253</v>
      </c>
      <c r="AP1034" s="59"/>
      <c r="AQ1034" s="59"/>
      <c r="AR1034" s="59"/>
      <c r="AS1034" s="59"/>
      <c r="AT1034" s="59"/>
      <c r="AU1034" s="59"/>
      <c r="AV1034" s="59"/>
      <c r="AW1034" s="59"/>
      <c r="AX1034" s="59"/>
      <c r="AY1034" s="59"/>
      <c r="AZ1034" s="59"/>
      <c r="BA1034" s="141"/>
      <c r="BB1034" s="61" t="s">
        <v>1894</v>
      </c>
      <c r="BC1034" s="165"/>
      <c r="BD1034" s="166"/>
      <c r="BE1034" s="167"/>
      <c r="BF1034" s="168"/>
      <c r="BG1034" s="167"/>
      <c r="BH1034" s="168"/>
      <c r="BI1034" s="169"/>
      <c r="BJ1034" s="168"/>
      <c r="BK1034" s="134"/>
      <c r="BL1034" s="168"/>
      <c r="BM1034" s="167"/>
      <c r="BN1034" s="168"/>
      <c r="BO1034" s="62"/>
      <c r="BP1034" s="168"/>
      <c r="BQ1034" s="168"/>
      <c r="BR1034" s="168"/>
      <c r="BS1034" s="135"/>
      <c r="BT1034" s="176"/>
      <c r="BU1034" s="167"/>
      <c r="BV1034" s="168"/>
      <c r="BW1034" s="167"/>
      <c r="BX1034" s="168"/>
      <c r="BY1034" s="167"/>
      <c r="BZ1034" s="176"/>
      <c r="CA1034" s="167"/>
      <c r="CB1034" s="168"/>
      <c r="CC1034" s="167"/>
      <c r="CD1034" s="168"/>
      <c r="CE1034" s="62"/>
      <c r="CF1034" s="62"/>
      <c r="CG1034" s="9"/>
      <c r="CH1034" s="9"/>
      <c r="CI1034" s="9"/>
      <c r="CJ1034" s="9"/>
      <c r="CK1034" s="9"/>
      <c r="CL1034" s="9"/>
      <c r="CM1034" s="9"/>
      <c r="CN1034" s="9"/>
      <c r="CO1034" s="9"/>
      <c r="CP1034" s="9"/>
    </row>
    <row r="1035" spans="1:94" ht="30" x14ac:dyDescent="0.25">
      <c r="A1035" s="127" t="s">
        <v>3273</v>
      </c>
      <c r="B1035" s="51" t="s">
        <v>3274</v>
      </c>
      <c r="C1035" s="62"/>
      <c r="D1035" s="84"/>
      <c r="E1035" s="62" t="s">
        <v>748</v>
      </c>
      <c r="F1035" s="62"/>
      <c r="G1035" s="62"/>
      <c r="H1035" s="50">
        <f>VLOOKUP($A1035,'[1]ma sp 02'!$A$5:$BD$1101,H$1,0)</f>
        <v>0</v>
      </c>
      <c r="I1035" s="50">
        <f>VLOOKUP($A1035,'[1]ma sp 02'!$A$5:$BD$1101,I$1,0)</f>
        <v>0</v>
      </c>
      <c r="J1035" s="50">
        <f>VLOOKUP($A1035,'[1]ma sp 02'!$A$5:$BD$1101,J$1,0)</f>
        <v>0</v>
      </c>
      <c r="K1035" s="50">
        <f>VLOOKUP($A1035,'[1]ma sp 02'!$A$5:$BD$1101,K$1,0)</f>
        <v>0</v>
      </c>
      <c r="L1035" s="50">
        <f>VLOOKUP($A1035,'[1]ma sp 02'!$A$5:$BD$1101,L$1,0)</f>
        <v>0</v>
      </c>
      <c r="M1035" s="50">
        <f>VLOOKUP($A1035,'[1]ma sp 02'!$A$5:$BD$1101,M$1,0)</f>
        <v>0</v>
      </c>
      <c r="N1035" s="50">
        <f>VLOOKUP($A1035,'[1]ma sp 02'!$A$5:$BD$1101,N$1,0)</f>
        <v>0</v>
      </c>
      <c r="O1035" s="50">
        <f>VLOOKUP($A1035,'[1]ma sp 02'!$A$5:$BD$1101,O$1,0)</f>
        <v>0</v>
      </c>
      <c r="P1035" s="50">
        <f>VLOOKUP($A1035,'[1]ma sp 02'!$A$5:$BD$1101,P$1,0)</f>
        <v>0</v>
      </c>
      <c r="Q1035" s="50">
        <f>VLOOKUP($A1035,'[1]ma sp 02'!$A$5:$BD$1101,Q$1,0)</f>
        <v>0</v>
      </c>
      <c r="R1035" s="50">
        <f>VLOOKUP($A1035,'[1]ma sp 02'!$A$5:$BD$1101,R$1,0)</f>
        <v>0</v>
      </c>
      <c r="S1035" s="50">
        <f>VLOOKUP($A1035,'[1]ma sp 02'!$A$5:$BD$1101,S$1,0)</f>
        <v>0</v>
      </c>
      <c r="T1035" s="50">
        <f>VLOOKUP($A1035,'[1]ma sp 02'!$A$5:$BD$1101,T$1,0)</f>
        <v>0</v>
      </c>
      <c r="U1035" s="50">
        <f>VLOOKUP($A1035,'[1]ma sp 02'!$A$5:$BD$1101,U$1,0)</f>
        <v>0</v>
      </c>
      <c r="V1035" s="50">
        <f>VLOOKUP($A1035,'[1]ma sp 02'!$A$5:$BD$1101,V$1,0)</f>
        <v>0</v>
      </c>
      <c r="W1035" s="50">
        <f>VLOOKUP($A1035,'[1]ma sp 02'!$A$5:$BD$1101,W$1,0)</f>
        <v>0</v>
      </c>
      <c r="X1035" s="50"/>
      <c r="Y1035" s="62"/>
      <c r="Z1035" s="62"/>
      <c r="AA1035" s="62"/>
      <c r="AB1035" s="62"/>
      <c r="AC1035" s="62"/>
      <c r="AD1035" s="62"/>
      <c r="AE1035" s="62" t="s">
        <v>3275</v>
      </c>
      <c r="AF1035" s="62"/>
      <c r="AG1035" s="53">
        <f>(0.012*1.4+0.065*0.925)*0.89</f>
        <v>6.8463250000000003E-2</v>
      </c>
      <c r="AH1035" s="54">
        <f>(2.3/0.75/2)*0.76</f>
        <v>1.1653333333333333</v>
      </c>
      <c r="AI1035" s="54"/>
      <c r="AJ1035" s="62"/>
      <c r="AK1035" s="62"/>
      <c r="AL1035" s="9"/>
      <c r="AM1035" s="61" t="s">
        <v>74</v>
      </c>
      <c r="AN1035" s="62"/>
      <c r="AO1035" s="61" t="s">
        <v>3276</v>
      </c>
      <c r="AP1035" s="59"/>
      <c r="AQ1035" s="59"/>
      <c r="AR1035" s="59"/>
      <c r="AS1035" s="59"/>
      <c r="AT1035" s="59"/>
      <c r="AU1035" s="59"/>
      <c r="AV1035" s="59"/>
      <c r="AW1035" s="59"/>
      <c r="AX1035" s="59"/>
      <c r="AY1035" s="59"/>
      <c r="AZ1035" s="59"/>
      <c r="BA1035" s="141"/>
      <c r="BB1035" s="61" t="s">
        <v>1894</v>
      </c>
      <c r="BC1035" s="165"/>
      <c r="BD1035" s="166"/>
      <c r="BE1035" s="167"/>
      <c r="BF1035" s="168"/>
      <c r="BG1035" s="167"/>
      <c r="BH1035" s="168"/>
      <c r="BI1035" s="169"/>
      <c r="BJ1035" s="168"/>
      <c r="BK1035" s="134"/>
      <c r="BL1035" s="168"/>
      <c r="BM1035" s="167"/>
      <c r="BN1035" s="168"/>
      <c r="BO1035" s="62"/>
      <c r="BP1035" s="168"/>
      <c r="BQ1035" s="168"/>
      <c r="BR1035" s="168"/>
      <c r="BS1035" s="135"/>
      <c r="BT1035" s="176"/>
      <c r="BU1035" s="167"/>
      <c r="BV1035" s="168"/>
      <c r="BW1035" s="167"/>
      <c r="BX1035" s="168"/>
      <c r="BY1035" s="167"/>
      <c r="BZ1035" s="176"/>
      <c r="CA1035" s="167"/>
      <c r="CB1035" s="168"/>
      <c r="CC1035" s="167"/>
      <c r="CD1035" s="168"/>
      <c r="CE1035" s="62"/>
      <c r="CF1035" s="62"/>
      <c r="CG1035" s="9"/>
      <c r="CH1035" s="9"/>
      <c r="CI1035" s="9"/>
      <c r="CJ1035" s="9"/>
      <c r="CK1035" s="9"/>
      <c r="CL1035" s="9"/>
      <c r="CM1035" s="9"/>
      <c r="CN1035" s="9"/>
      <c r="CO1035" s="9"/>
      <c r="CP1035" s="9"/>
    </row>
    <row r="1036" spans="1:94" ht="45" x14ac:dyDescent="0.25">
      <c r="A1036" s="127" t="s">
        <v>3277</v>
      </c>
      <c r="B1036" s="51" t="s">
        <v>3278</v>
      </c>
      <c r="C1036" s="62"/>
      <c r="D1036" s="84"/>
      <c r="E1036" s="62" t="s">
        <v>2325</v>
      </c>
      <c r="F1036" s="62">
        <v>6</v>
      </c>
      <c r="G1036" s="62"/>
      <c r="H1036" s="50">
        <f>VLOOKUP($A1036,'[1]ma sp 02'!$A$5:$BD$1101,H$1,0)</f>
        <v>0.50800000000000001</v>
      </c>
      <c r="I1036" s="50">
        <f>VLOOKUP($A1036,'[1]ma sp 02'!$A$5:$BD$1101,I$1,0)</f>
        <v>3.302</v>
      </c>
      <c r="J1036" s="50">
        <f>VLOOKUP($A1036,'[1]ma sp 02'!$A$5:$BD$1101,J$1,0)</f>
        <v>0.01</v>
      </c>
      <c r="K1036" s="50">
        <f>VLOOKUP($A1036,'[1]ma sp 02'!$A$5:$BD$1101,K$1,0)</f>
        <v>0.50800000000000001</v>
      </c>
      <c r="L1036" s="50">
        <f>VLOOKUP($A1036,'[1]ma sp 02'!$A$5:$BD$1101,L$1,0)</f>
        <v>0.20300000000000001</v>
      </c>
      <c r="M1036" s="50">
        <f>VLOOKUP($A1036,'[1]ma sp 02'!$A$5:$BD$1101,M$1,0)</f>
        <v>0.61</v>
      </c>
      <c r="N1036" s="50">
        <f>VLOOKUP($A1036,'[1]ma sp 02'!$A$5:$BD$1101,N$1,0)</f>
        <v>0</v>
      </c>
      <c r="O1036" s="50">
        <f>VLOOKUP($A1036,'[1]ma sp 02'!$A$5:$BD$1101,O$1,0)</f>
        <v>0</v>
      </c>
      <c r="P1036" s="50">
        <f>VLOOKUP($A1036,'[1]ma sp 02'!$A$5:$BD$1101,P$1,0)</f>
        <v>0.35599999999999998</v>
      </c>
      <c r="Q1036" s="50">
        <f>VLOOKUP($A1036,'[1]ma sp 02'!$A$5:$BD$1101,Q$1,0)</f>
        <v>0.81299999999999994</v>
      </c>
      <c r="R1036" s="50">
        <f>VLOOKUP($A1036,'[1]ma sp 02'!$A$5:$BD$1101,R$1,0)</f>
        <v>0</v>
      </c>
      <c r="S1036" s="50">
        <f>VLOOKUP($A1036,'[1]ma sp 02'!$A$5:$BD$1101,S$1,0)</f>
        <v>0</v>
      </c>
      <c r="T1036" s="50">
        <f>VLOOKUP($A1036,'[1]ma sp 02'!$A$5:$BD$1101,T$1,0)</f>
        <v>0</v>
      </c>
      <c r="U1036" s="50">
        <f>VLOOKUP($A1036,'[1]ma sp 02'!$A$5:$BD$1101,U$1,0)</f>
        <v>0</v>
      </c>
      <c r="V1036" s="50">
        <f>VLOOKUP($A1036,'[1]ma sp 02'!$A$5:$BD$1101,V$1,0)</f>
        <v>0</v>
      </c>
      <c r="W1036" s="50">
        <f>VLOOKUP($A1036,'[1]ma sp 02'!$A$5:$BD$1101,W$1,0)</f>
        <v>0</v>
      </c>
      <c r="X1036" s="50"/>
      <c r="Y1036" s="62"/>
      <c r="Z1036" s="62"/>
      <c r="AA1036" s="62"/>
      <c r="AB1036" s="62"/>
      <c r="AC1036" s="62"/>
      <c r="AD1036" s="62"/>
      <c r="AE1036" s="62" t="s">
        <v>3279</v>
      </c>
      <c r="AF1036" s="62" t="s">
        <v>3280</v>
      </c>
      <c r="AG1036" s="53">
        <f>(0.012*1.4+0.006*2.71+0.105*0.925)*0.86</f>
        <v>0.11195909999999999</v>
      </c>
      <c r="AH1036" s="54">
        <f>(3.5/0.75/2)*0.86</f>
        <v>2.0066666666666668</v>
      </c>
      <c r="AI1036" s="54">
        <f>(3.5/0.75/2)*0.86</f>
        <v>2.0066666666666668</v>
      </c>
      <c r="AJ1036" s="57">
        <v>6260</v>
      </c>
      <c r="AK1036" s="57">
        <v>6260</v>
      </c>
      <c r="AL1036" s="9" t="s">
        <v>3281</v>
      </c>
      <c r="AM1036" s="61" t="s">
        <v>74</v>
      </c>
      <c r="AN1036" s="62">
        <v>90</v>
      </c>
      <c r="AO1036" s="61" t="s">
        <v>3282</v>
      </c>
      <c r="AP1036" s="59"/>
      <c r="AQ1036" s="59"/>
      <c r="AR1036" s="59"/>
      <c r="AS1036" s="59"/>
      <c r="AT1036" s="59"/>
      <c r="AU1036" s="59"/>
      <c r="AV1036" s="59"/>
      <c r="AW1036" s="59"/>
      <c r="AX1036" s="59"/>
      <c r="AY1036" s="59"/>
      <c r="AZ1036" s="59"/>
      <c r="BA1036" s="141"/>
      <c r="BB1036" s="61" t="s">
        <v>1894</v>
      </c>
      <c r="BC1036" s="165"/>
      <c r="BD1036" s="166"/>
      <c r="BE1036" s="167"/>
      <c r="BF1036" s="168"/>
      <c r="BG1036" s="167"/>
      <c r="BH1036" s="168"/>
      <c r="BI1036" s="169"/>
      <c r="BJ1036" s="168"/>
      <c r="BK1036" s="134"/>
      <c r="BL1036" s="168"/>
      <c r="BM1036" s="167"/>
      <c r="BN1036" s="168"/>
      <c r="BO1036" s="62"/>
      <c r="BP1036" s="168"/>
      <c r="BQ1036" s="168"/>
      <c r="BR1036" s="168"/>
      <c r="BS1036" s="135"/>
      <c r="BT1036" s="176"/>
      <c r="BU1036" s="167"/>
      <c r="BV1036" s="168"/>
      <c r="BW1036" s="167"/>
      <c r="BX1036" s="168"/>
      <c r="BY1036" s="167"/>
      <c r="BZ1036" s="176"/>
      <c r="CA1036" s="167"/>
      <c r="CB1036" s="168"/>
      <c r="CC1036" s="167"/>
      <c r="CD1036" s="168"/>
      <c r="CE1036" s="62"/>
      <c r="CF1036" s="62"/>
      <c r="CG1036" s="9"/>
      <c r="CH1036" s="9"/>
      <c r="CI1036" s="9"/>
      <c r="CJ1036" s="9"/>
      <c r="CK1036" s="9"/>
      <c r="CL1036" s="9"/>
      <c r="CM1036" s="9"/>
      <c r="CN1036" s="9"/>
      <c r="CO1036" s="9"/>
      <c r="CP1036" s="9"/>
    </row>
    <row r="1037" spans="1:94" ht="45" x14ac:dyDescent="0.25">
      <c r="A1037" s="127" t="s">
        <v>3283</v>
      </c>
      <c r="B1037" s="51" t="s">
        <v>3284</v>
      </c>
      <c r="C1037" s="62"/>
      <c r="D1037" s="84">
        <v>4</v>
      </c>
      <c r="E1037" s="62" t="s">
        <v>90</v>
      </c>
      <c r="F1037" s="62">
        <v>8</v>
      </c>
      <c r="G1037" s="50" t="s">
        <v>184</v>
      </c>
      <c r="H1037" s="50">
        <f>VLOOKUP($A1037,'[1]ma sp 02'!$A$5:$BD$1101,H$1,0)</f>
        <v>2.7E-2</v>
      </c>
      <c r="I1037" s="50">
        <f>VLOOKUP($A1037,'[1]ma sp 02'!$A$5:$BD$1101,I$1,0)</f>
        <v>2.2469999999999999</v>
      </c>
      <c r="J1037" s="50">
        <f>VLOOKUP($A1037,'[1]ma sp 02'!$A$5:$BD$1101,J$1,0)</f>
        <v>0.08</v>
      </c>
      <c r="K1037" s="50">
        <f>VLOOKUP($A1037,'[1]ma sp 02'!$A$5:$BD$1101,K$1,0)</f>
        <v>0</v>
      </c>
      <c r="L1037" s="50">
        <f>VLOOKUP($A1037,'[1]ma sp 02'!$A$5:$BD$1101,L$1,0)</f>
        <v>0.72899999999999998</v>
      </c>
      <c r="M1037" s="50">
        <f>VLOOKUP($A1037,'[1]ma sp 02'!$A$5:$BD$1101,M$1,0)</f>
        <v>0.42399999999999999</v>
      </c>
      <c r="N1037" s="50">
        <f>VLOOKUP($A1037,'[1]ma sp 02'!$A$5:$BD$1101,N$1,0)</f>
        <v>0</v>
      </c>
      <c r="O1037" s="50">
        <f>VLOOKUP($A1037,'[1]ma sp 02'!$A$5:$BD$1101,O$1,0)</f>
        <v>0.01</v>
      </c>
      <c r="P1037" s="50">
        <f>VLOOKUP($A1037,'[1]ma sp 02'!$A$5:$BD$1101,P$1,0)</f>
        <v>0.159</v>
      </c>
      <c r="Q1037" s="50">
        <f>VLOOKUP($A1037,'[1]ma sp 02'!$A$5:$BD$1101,Q$1,0)</f>
        <v>5.2999999999999999E-2</v>
      </c>
      <c r="R1037" s="50">
        <f>VLOOKUP($A1037,'[1]ma sp 02'!$A$5:$BD$1101,R$1,0)</f>
        <v>0.01</v>
      </c>
      <c r="S1037" s="50">
        <f>VLOOKUP($A1037,'[1]ma sp 02'!$A$5:$BD$1101,S$1,0)</f>
        <v>0</v>
      </c>
      <c r="T1037" s="50">
        <f>VLOOKUP($A1037,'[1]ma sp 02'!$A$5:$BD$1101,T$1,0)</f>
        <v>0</v>
      </c>
      <c r="U1037" s="50">
        <f>VLOOKUP($A1037,'[1]ma sp 02'!$A$5:$BD$1101,U$1,0)</f>
        <v>0.35799999999999998</v>
      </c>
      <c r="V1037" s="50">
        <f>VLOOKUP($A1037,'[1]ma sp 02'!$A$5:$BD$1101,V$1,0)</f>
        <v>0</v>
      </c>
      <c r="W1037" s="50">
        <f>VLOOKUP($A1037,'[1]ma sp 02'!$A$5:$BD$1101,W$1,0)</f>
        <v>0</v>
      </c>
      <c r="X1037" s="50">
        <f t="shared" ref="X1037" si="44">COUNTIF(H1037:W1037, "&gt;0")</f>
        <v>10</v>
      </c>
      <c r="Y1037" s="57"/>
      <c r="Z1037" s="57"/>
      <c r="AA1037" s="57"/>
      <c r="AB1037" s="57"/>
      <c r="AC1037" s="57"/>
      <c r="AD1037" s="57"/>
      <c r="AE1037" s="58" t="s">
        <v>91</v>
      </c>
      <c r="AF1037" s="57"/>
      <c r="AG1037" s="71">
        <f>(0.002*0.91+0.025*0.91)*0.7</f>
        <v>1.7198999999999999E-2</v>
      </c>
      <c r="AH1037" s="63">
        <f>(2.3/0.75/2)*0.69</f>
        <v>1.0579999999999998</v>
      </c>
      <c r="AI1037" s="54"/>
      <c r="AJ1037" s="58" t="s">
        <v>1881</v>
      </c>
      <c r="AK1037" s="57"/>
      <c r="AL1037" s="58">
        <v>1.4E-3</v>
      </c>
      <c r="AM1037" s="52" t="s">
        <v>142</v>
      </c>
      <c r="AN1037" s="57">
        <v>100</v>
      </c>
      <c r="AO1037" s="52" t="s">
        <v>3261</v>
      </c>
      <c r="AP1037" s="59"/>
      <c r="AQ1037" s="59"/>
      <c r="AR1037" s="59"/>
      <c r="AS1037" s="59"/>
      <c r="AT1037" s="59"/>
      <c r="AU1037" s="59"/>
      <c r="AV1037" s="59"/>
      <c r="AW1037" s="59"/>
      <c r="AX1037" s="59"/>
      <c r="AY1037" s="59"/>
      <c r="AZ1037" s="59"/>
      <c r="BA1037" s="141"/>
      <c r="BB1037" s="61" t="s">
        <v>1894</v>
      </c>
      <c r="BC1037" s="165"/>
      <c r="BD1037" s="166"/>
      <c r="BE1037" s="167"/>
      <c r="BF1037" s="168"/>
      <c r="BG1037" s="167"/>
      <c r="BH1037" s="168"/>
      <c r="BI1037" s="169"/>
      <c r="BJ1037" s="168"/>
      <c r="BK1037" s="134"/>
      <c r="BL1037" s="168"/>
      <c r="BM1037" s="167"/>
      <c r="BN1037" s="168"/>
      <c r="BO1037" s="62"/>
      <c r="BP1037" s="168"/>
      <c r="BQ1037" s="168"/>
      <c r="BR1037" s="168"/>
      <c r="BS1037" s="135"/>
      <c r="BT1037" s="176"/>
      <c r="BU1037" s="167"/>
      <c r="BV1037" s="168"/>
      <c r="BW1037" s="167"/>
      <c r="BX1037" s="168"/>
      <c r="BY1037" s="167"/>
      <c r="BZ1037" s="176"/>
      <c r="CA1037" s="167"/>
      <c r="CB1037" s="168"/>
      <c r="CC1037" s="167"/>
      <c r="CD1037" s="168"/>
      <c r="CE1037" s="62"/>
      <c r="CF1037" s="62"/>
      <c r="CG1037" s="9"/>
      <c r="CH1037" s="9"/>
      <c r="CI1037" s="9"/>
      <c r="CJ1037" s="9"/>
      <c r="CK1037" s="9"/>
      <c r="CL1037" s="9"/>
      <c r="CM1037" s="9"/>
      <c r="CN1037" s="9"/>
      <c r="CO1037" s="9"/>
      <c r="CP1037" s="9"/>
    </row>
    <row r="1038" spans="1:94" ht="45" x14ac:dyDescent="0.25">
      <c r="A1038" s="127" t="s">
        <v>3285</v>
      </c>
      <c r="B1038" s="51" t="s">
        <v>3286</v>
      </c>
      <c r="C1038" s="62"/>
      <c r="D1038" s="84">
        <v>4</v>
      </c>
      <c r="E1038" s="62" t="s">
        <v>90</v>
      </c>
      <c r="F1038" s="62">
        <v>8</v>
      </c>
      <c r="G1038" s="50" t="s">
        <v>184</v>
      </c>
      <c r="H1038" s="50">
        <f>VLOOKUP($A1038,'[1]ma sp 02'!$A$5:$BD$1101,H$1,0)</f>
        <v>0.01</v>
      </c>
      <c r="I1038" s="50">
        <f>VLOOKUP($A1038,'[1]ma sp 02'!$A$5:$BD$1101,I$1,0)</f>
        <v>7.85</v>
      </c>
      <c r="J1038" s="50">
        <f>VLOOKUP($A1038,'[1]ma sp 02'!$A$5:$BD$1101,J$1,0)</f>
        <v>0.01</v>
      </c>
      <c r="K1038" s="50">
        <f>VLOOKUP($A1038,'[1]ma sp 02'!$A$5:$BD$1101,K$1,0)</f>
        <v>0.82599999999999996</v>
      </c>
      <c r="L1038" s="50">
        <f>VLOOKUP($A1038,'[1]ma sp 02'!$A$5:$BD$1101,L$1,0)</f>
        <v>4.82</v>
      </c>
      <c r="M1038" s="50">
        <f>VLOOKUP($A1038,'[1]ma sp 02'!$A$5:$BD$1101,M$1,0)</f>
        <v>6.06</v>
      </c>
      <c r="N1038" s="50">
        <f>VLOOKUP($A1038,'[1]ma sp 02'!$A$5:$BD$1101,N$1,0)</f>
        <v>0</v>
      </c>
      <c r="O1038" s="50">
        <f>VLOOKUP($A1038,'[1]ma sp 02'!$A$5:$BD$1101,O$1,0)</f>
        <v>0.13800000000000001</v>
      </c>
      <c r="P1038" s="50">
        <f>VLOOKUP($A1038,'[1]ma sp 02'!$A$5:$BD$1101,P$1,0)</f>
        <v>0.01</v>
      </c>
      <c r="Q1038" s="50">
        <f>VLOOKUP($A1038,'[1]ma sp 02'!$A$5:$BD$1101,Q$1,0)</f>
        <v>0</v>
      </c>
      <c r="R1038" s="50">
        <f>VLOOKUP($A1038,'[1]ma sp 02'!$A$5:$BD$1101,R$1,0)</f>
        <v>0.01</v>
      </c>
      <c r="S1038" s="50">
        <f>VLOOKUP($A1038,'[1]ma sp 02'!$A$5:$BD$1101,S$1,0)</f>
        <v>0</v>
      </c>
      <c r="T1038" s="50">
        <f>VLOOKUP($A1038,'[1]ma sp 02'!$A$5:$BD$1101,T$1,0)</f>
        <v>0</v>
      </c>
      <c r="U1038" s="50">
        <f>VLOOKUP($A1038,'[1]ma sp 02'!$A$5:$BD$1101,U$1,0)</f>
        <v>0</v>
      </c>
      <c r="V1038" s="50">
        <f>VLOOKUP($A1038,'[1]ma sp 02'!$A$5:$BD$1101,V$1,0)</f>
        <v>0</v>
      </c>
      <c r="W1038" s="50">
        <f>VLOOKUP($A1038,'[1]ma sp 02'!$A$5:$BD$1101,W$1,0)</f>
        <v>0</v>
      </c>
      <c r="X1038" s="50"/>
      <c r="Y1038" s="62"/>
      <c r="Z1038" s="62"/>
      <c r="AA1038" s="62"/>
      <c r="AB1038" s="62"/>
      <c r="AC1038" s="62"/>
      <c r="AD1038" s="62"/>
      <c r="AE1038" s="58" t="s">
        <v>91</v>
      </c>
      <c r="AF1038" s="57"/>
      <c r="AG1038" s="71">
        <f>(0.002*0.91+0.025*0.91)*0.7</f>
        <v>1.7198999999999999E-2</v>
      </c>
      <c r="AH1038" s="63">
        <f>(2.3/0.75/2)*0.69</f>
        <v>1.0579999999999998</v>
      </c>
      <c r="AI1038" s="54"/>
      <c r="AJ1038" s="58" t="s">
        <v>1881</v>
      </c>
      <c r="AK1038" s="57"/>
      <c r="AL1038" s="58">
        <v>1.4E-3</v>
      </c>
      <c r="AM1038" s="52" t="s">
        <v>142</v>
      </c>
      <c r="AN1038" s="57">
        <v>100</v>
      </c>
      <c r="AO1038" s="52" t="s">
        <v>3261</v>
      </c>
      <c r="AP1038" s="59"/>
      <c r="AQ1038" s="59"/>
      <c r="AR1038" s="59"/>
      <c r="AS1038" s="59"/>
      <c r="AT1038" s="59"/>
      <c r="AU1038" s="59"/>
      <c r="AV1038" s="59"/>
      <c r="AW1038" s="59"/>
      <c r="AX1038" s="59"/>
      <c r="AY1038" s="59"/>
      <c r="AZ1038" s="59"/>
      <c r="BA1038" s="141"/>
      <c r="BB1038" s="61" t="s">
        <v>1894</v>
      </c>
      <c r="BC1038" s="165"/>
      <c r="BD1038" s="166"/>
      <c r="BE1038" s="167"/>
      <c r="BF1038" s="168"/>
      <c r="BG1038" s="167"/>
      <c r="BH1038" s="168"/>
      <c r="BI1038" s="169"/>
      <c r="BJ1038" s="168"/>
      <c r="BK1038" s="134"/>
      <c r="BL1038" s="168"/>
      <c r="BM1038" s="167"/>
      <c r="BN1038" s="168"/>
      <c r="BO1038" s="62"/>
      <c r="BP1038" s="168"/>
      <c r="BQ1038" s="168"/>
      <c r="BR1038" s="168"/>
      <c r="BS1038" s="135"/>
      <c r="BT1038" s="176"/>
      <c r="BU1038" s="167"/>
      <c r="BV1038" s="168"/>
      <c r="BW1038" s="167"/>
      <c r="BX1038" s="168"/>
      <c r="BY1038" s="167"/>
      <c r="BZ1038" s="176"/>
      <c r="CA1038" s="167"/>
      <c r="CB1038" s="168"/>
      <c r="CC1038" s="167"/>
      <c r="CD1038" s="168"/>
      <c r="CE1038" s="62"/>
      <c r="CF1038" s="62"/>
      <c r="CG1038" s="9"/>
      <c r="CH1038" s="9"/>
      <c r="CI1038" s="9"/>
      <c r="CJ1038" s="9"/>
      <c r="CK1038" s="9"/>
      <c r="CL1038" s="9"/>
      <c r="CM1038" s="9"/>
      <c r="CN1038" s="9"/>
      <c r="CO1038" s="9"/>
      <c r="CP1038" s="9"/>
    </row>
    <row r="1039" spans="1:94" ht="30" x14ac:dyDescent="0.25">
      <c r="A1039" s="127" t="s">
        <v>3287</v>
      </c>
      <c r="B1039" s="51" t="s">
        <v>3288</v>
      </c>
      <c r="C1039" s="62"/>
      <c r="D1039" s="84">
        <v>1</v>
      </c>
      <c r="E1039" s="62" t="s">
        <v>393</v>
      </c>
      <c r="F1039" s="62">
        <v>8</v>
      </c>
      <c r="G1039" s="62"/>
      <c r="H1039" s="50">
        <f>VLOOKUP($A1039,'[1]ma sp 02'!$A$5:$BD$1101,H$1,0)</f>
        <v>3.9E-2</v>
      </c>
      <c r="I1039" s="50">
        <f>VLOOKUP($A1039,'[1]ma sp 02'!$A$5:$BD$1101,I$1,0)</f>
        <v>5.008</v>
      </c>
      <c r="J1039" s="50">
        <f>VLOOKUP($A1039,'[1]ma sp 02'!$A$5:$BD$1101,J$1,0)</f>
        <v>9.8000000000000004E-2</v>
      </c>
      <c r="K1039" s="50">
        <f>VLOOKUP($A1039,'[1]ma sp 02'!$A$5:$BD$1101,K$1,0)</f>
        <v>0.02</v>
      </c>
      <c r="L1039" s="50">
        <f>VLOOKUP($A1039,'[1]ma sp 02'!$A$5:$BD$1101,L$1,0)</f>
        <v>1.1739999999999999</v>
      </c>
      <c r="M1039" s="50">
        <f>VLOOKUP($A1039,'[1]ma sp 02'!$A$5:$BD$1101,M$1,0)</f>
        <v>0.39100000000000001</v>
      </c>
      <c r="N1039" s="50">
        <f>VLOOKUP($A1039,'[1]ma sp 02'!$A$5:$BD$1101,N$1,0)</f>
        <v>0</v>
      </c>
      <c r="O1039" s="50">
        <f>VLOOKUP($A1039,'[1]ma sp 02'!$A$5:$BD$1101,O$1,0)</f>
        <v>0.02</v>
      </c>
      <c r="P1039" s="50">
        <f>VLOOKUP($A1039,'[1]ma sp 02'!$A$5:$BD$1101,P$1,0)</f>
        <v>7.8E-2</v>
      </c>
      <c r="Q1039" s="50">
        <f>VLOOKUP($A1039,'[1]ma sp 02'!$A$5:$BD$1101,Q$1,0)</f>
        <v>0.11700000000000001</v>
      </c>
      <c r="R1039" s="50">
        <f>VLOOKUP($A1039,'[1]ma sp 02'!$A$5:$BD$1101,R$1,0)</f>
        <v>9.8000000000000004E-2</v>
      </c>
      <c r="S1039" s="50">
        <f>VLOOKUP($A1039,'[1]ma sp 02'!$A$5:$BD$1101,S$1,0)</f>
        <v>0</v>
      </c>
      <c r="T1039" s="50">
        <f>VLOOKUP($A1039,'[1]ma sp 02'!$A$5:$BD$1101,T$1,0)</f>
        <v>0</v>
      </c>
      <c r="U1039" s="50">
        <f>VLOOKUP($A1039,'[1]ma sp 02'!$A$5:$BD$1101,U$1,0)</f>
        <v>0.01</v>
      </c>
      <c r="V1039" s="50">
        <f>VLOOKUP($A1039,'[1]ma sp 02'!$A$5:$BD$1101,V$1,0)</f>
        <v>0</v>
      </c>
      <c r="W1039" s="50">
        <f>VLOOKUP($A1039,'[1]ma sp 02'!$A$5:$BD$1101,W$1,0)</f>
        <v>0</v>
      </c>
      <c r="X1039" s="50"/>
      <c r="Y1039" s="62"/>
      <c r="Z1039" s="62"/>
      <c r="AA1039" s="62"/>
      <c r="AB1039" s="62"/>
      <c r="AC1039" s="62"/>
      <c r="AD1039" s="62"/>
      <c r="AE1039" s="62" t="s">
        <v>1116</v>
      </c>
      <c r="AF1039" s="62"/>
      <c r="AG1039" s="53">
        <f>(0.012*1.4+0.065*0.925)*0.65</f>
        <v>5.0001250000000004E-2</v>
      </c>
      <c r="AH1039" s="54">
        <f>(2.3/0.75/2)*0.65</f>
        <v>0.99666666666666659</v>
      </c>
      <c r="AI1039" s="54"/>
      <c r="AJ1039" s="56">
        <v>9530</v>
      </c>
      <c r="AK1039" s="62"/>
      <c r="AL1039" s="9">
        <v>2.3E-3</v>
      </c>
      <c r="AM1039" s="61" t="s">
        <v>74</v>
      </c>
      <c r="AN1039" s="62">
        <v>350</v>
      </c>
      <c r="AO1039" s="61" t="s">
        <v>3261</v>
      </c>
      <c r="AP1039" s="59"/>
      <c r="AQ1039" s="59"/>
      <c r="AR1039" s="59"/>
      <c r="AS1039" s="59"/>
      <c r="AT1039" s="59"/>
      <c r="AU1039" s="59"/>
      <c r="AV1039" s="59"/>
      <c r="AW1039" s="59"/>
      <c r="AX1039" s="59"/>
      <c r="AY1039" s="59"/>
      <c r="AZ1039" s="59"/>
      <c r="BA1039" s="141"/>
      <c r="BB1039" s="61" t="s">
        <v>1894</v>
      </c>
      <c r="BC1039" s="165"/>
      <c r="BD1039" s="166"/>
      <c r="BE1039" s="167"/>
      <c r="BF1039" s="168"/>
      <c r="BG1039" s="167"/>
      <c r="BH1039" s="168"/>
      <c r="BI1039" s="169"/>
      <c r="BJ1039" s="168"/>
      <c r="BK1039" s="134"/>
      <c r="BL1039" s="168"/>
      <c r="BM1039" s="167"/>
      <c r="BN1039" s="168"/>
      <c r="BO1039" s="62"/>
      <c r="BP1039" s="168"/>
      <c r="BQ1039" s="168"/>
      <c r="BR1039" s="168"/>
      <c r="BS1039" s="135"/>
      <c r="BT1039" s="176"/>
      <c r="BU1039" s="167"/>
      <c r="BV1039" s="168"/>
      <c r="BW1039" s="167"/>
      <c r="BX1039" s="168"/>
      <c r="BY1039" s="167"/>
      <c r="BZ1039" s="176"/>
      <c r="CA1039" s="167"/>
      <c r="CB1039" s="168"/>
      <c r="CC1039" s="167"/>
      <c r="CD1039" s="168"/>
      <c r="CE1039" s="62"/>
      <c r="CF1039" s="62"/>
      <c r="CG1039" s="9"/>
      <c r="CH1039" s="9"/>
      <c r="CI1039" s="9"/>
      <c r="CJ1039" s="9"/>
      <c r="CK1039" s="9"/>
      <c r="CL1039" s="9"/>
      <c r="CM1039" s="9"/>
      <c r="CN1039" s="9"/>
      <c r="CO1039" s="9"/>
      <c r="CP1039" s="9"/>
    </row>
    <row r="1040" spans="1:94" ht="30" x14ac:dyDescent="0.25">
      <c r="A1040" s="127" t="s">
        <v>3289</v>
      </c>
      <c r="B1040" s="51" t="s">
        <v>3290</v>
      </c>
      <c r="C1040" s="62"/>
      <c r="D1040" s="84">
        <v>1</v>
      </c>
      <c r="E1040" s="62" t="s">
        <v>568</v>
      </c>
      <c r="F1040" s="62">
        <v>8</v>
      </c>
      <c r="G1040" s="62"/>
      <c r="H1040" s="50">
        <f>VLOOKUP($A1040,'[1]ma sp 02'!$A$5:$BD$1101,H$1,0)</f>
        <v>0.01</v>
      </c>
      <c r="I1040" s="50">
        <f>VLOOKUP($A1040,'[1]ma sp 02'!$A$5:$BD$1101,I$1,0)</f>
        <v>1.976</v>
      </c>
      <c r="J1040" s="50">
        <f>VLOOKUP($A1040,'[1]ma sp 02'!$A$5:$BD$1101,J$1,0)</f>
        <v>0.01</v>
      </c>
      <c r="K1040" s="50">
        <f>VLOOKUP($A1040,'[1]ma sp 02'!$A$5:$BD$1101,K$1,0)</f>
        <v>0.01</v>
      </c>
      <c r="L1040" s="50">
        <f>VLOOKUP($A1040,'[1]ma sp 02'!$A$5:$BD$1101,L$1,0)</f>
        <v>0.115</v>
      </c>
      <c r="M1040" s="50">
        <f>VLOOKUP($A1040,'[1]ma sp 02'!$A$5:$BD$1101,M$1,0)</f>
        <v>0.17199999999999999</v>
      </c>
      <c r="N1040" s="50">
        <f>VLOOKUP($A1040,'[1]ma sp 02'!$A$5:$BD$1101,N$1,0)</f>
        <v>0</v>
      </c>
      <c r="O1040" s="50">
        <f>VLOOKUP($A1040,'[1]ma sp 02'!$A$5:$BD$1101,O$1,0)</f>
        <v>8.5999999999999993E-2</v>
      </c>
      <c r="P1040" s="50">
        <f>VLOOKUP($A1040,'[1]ma sp 02'!$A$5:$BD$1101,P$1,0)</f>
        <v>0</v>
      </c>
      <c r="Q1040" s="50">
        <f>VLOOKUP($A1040,'[1]ma sp 02'!$A$5:$BD$1101,Q$1,0)</f>
        <v>0</v>
      </c>
      <c r="R1040" s="50">
        <f>VLOOKUP($A1040,'[1]ma sp 02'!$A$5:$BD$1101,R$1,0)</f>
        <v>8.5999999999999993E-2</v>
      </c>
      <c r="S1040" s="50">
        <f>VLOOKUP($A1040,'[1]ma sp 02'!$A$5:$BD$1101,S$1,0)</f>
        <v>0</v>
      </c>
      <c r="T1040" s="50">
        <f>VLOOKUP($A1040,'[1]ma sp 02'!$A$5:$BD$1101,T$1,0)</f>
        <v>0</v>
      </c>
      <c r="U1040" s="50">
        <f>VLOOKUP($A1040,'[1]ma sp 02'!$A$5:$BD$1101,U$1,0)</f>
        <v>0</v>
      </c>
      <c r="V1040" s="50">
        <f>VLOOKUP($A1040,'[1]ma sp 02'!$A$5:$BD$1101,V$1,0)</f>
        <v>0</v>
      </c>
      <c r="W1040" s="50">
        <f>VLOOKUP($A1040,'[1]ma sp 02'!$A$5:$BD$1101,W$1,0)</f>
        <v>0</v>
      </c>
      <c r="X1040" s="50"/>
      <c r="Y1040" s="62"/>
      <c r="Z1040" s="62"/>
      <c r="AA1040" s="62"/>
      <c r="AB1040" s="62"/>
      <c r="AC1040" s="62"/>
      <c r="AD1040" s="62"/>
      <c r="AE1040" s="62" t="s">
        <v>1180</v>
      </c>
      <c r="AF1040" s="62"/>
      <c r="AG1040" s="53">
        <f>(0.012*1.4+0.065*0.925)*0.54</f>
        <v>4.1539500000000007E-2</v>
      </c>
      <c r="AH1040" s="54">
        <f>(2.3/0.75/2)*0.54</f>
        <v>0.82799999999999996</v>
      </c>
      <c r="AI1040" s="54"/>
      <c r="AJ1040" s="56">
        <v>9530</v>
      </c>
      <c r="AK1040" s="62"/>
      <c r="AL1040" s="9">
        <v>2.3E-3</v>
      </c>
      <c r="AM1040" s="61" t="s">
        <v>74</v>
      </c>
      <c r="AN1040" s="62"/>
      <c r="AO1040" s="61" t="s">
        <v>3261</v>
      </c>
      <c r="AP1040" s="59"/>
      <c r="AQ1040" s="59"/>
      <c r="AR1040" s="59"/>
      <c r="AS1040" s="59"/>
      <c r="AT1040" s="59"/>
      <c r="AU1040" s="59"/>
      <c r="AV1040" s="59"/>
      <c r="AW1040" s="59"/>
      <c r="AX1040" s="59"/>
      <c r="AY1040" s="59"/>
      <c r="AZ1040" s="59"/>
      <c r="BA1040" s="141"/>
      <c r="BB1040" s="61" t="s">
        <v>1894</v>
      </c>
      <c r="BC1040" s="165"/>
      <c r="BD1040" s="166"/>
      <c r="BE1040" s="167"/>
      <c r="BF1040" s="168"/>
      <c r="BG1040" s="167"/>
      <c r="BH1040" s="168"/>
      <c r="BI1040" s="169"/>
      <c r="BJ1040" s="168"/>
      <c r="BK1040" s="134"/>
      <c r="BL1040" s="168"/>
      <c r="BM1040" s="167"/>
      <c r="BN1040" s="168"/>
      <c r="BO1040" s="62"/>
      <c r="BP1040" s="168"/>
      <c r="BQ1040" s="168"/>
      <c r="BR1040" s="168"/>
      <c r="BS1040" s="135"/>
      <c r="BT1040" s="176"/>
      <c r="BU1040" s="167"/>
      <c r="BV1040" s="168"/>
      <c r="BW1040" s="167"/>
      <c r="BX1040" s="168"/>
      <c r="BY1040" s="167"/>
      <c r="BZ1040" s="176"/>
      <c r="CA1040" s="167"/>
      <c r="CB1040" s="168"/>
      <c r="CC1040" s="167"/>
      <c r="CD1040" s="168"/>
      <c r="CE1040" s="62"/>
      <c r="CF1040" s="62"/>
      <c r="CG1040" s="9"/>
      <c r="CH1040" s="9"/>
      <c r="CI1040" s="9"/>
      <c r="CJ1040" s="9"/>
      <c r="CK1040" s="9"/>
      <c r="CL1040" s="9"/>
      <c r="CM1040" s="9"/>
      <c r="CN1040" s="9"/>
      <c r="CO1040" s="9"/>
      <c r="CP1040" s="9"/>
    </row>
    <row r="1041" spans="1:94" ht="45" x14ac:dyDescent="0.25">
      <c r="A1041" s="127" t="s">
        <v>3291</v>
      </c>
      <c r="B1041" s="51" t="s">
        <v>3292</v>
      </c>
      <c r="C1041" s="62"/>
      <c r="D1041" s="84">
        <v>3</v>
      </c>
      <c r="E1041" s="62" t="s">
        <v>437</v>
      </c>
      <c r="F1041" s="62"/>
      <c r="G1041" s="62"/>
      <c r="H1041" s="50">
        <f>VLOOKUP($A1041,'[1]ma sp 02'!$A$5:$BD$1101,H$1,0)</f>
        <v>0</v>
      </c>
      <c r="I1041" s="50">
        <f>VLOOKUP($A1041,'[1]ma sp 02'!$A$5:$BD$1101,I$1,0)</f>
        <v>0</v>
      </c>
      <c r="J1041" s="50">
        <f>VLOOKUP($A1041,'[1]ma sp 02'!$A$5:$BD$1101,J$1,0)</f>
        <v>0</v>
      </c>
      <c r="K1041" s="50">
        <f>VLOOKUP($A1041,'[1]ma sp 02'!$A$5:$BD$1101,K$1,0)</f>
        <v>0</v>
      </c>
      <c r="L1041" s="50">
        <f>VLOOKUP($A1041,'[1]ma sp 02'!$A$5:$BD$1101,L$1,0)</f>
        <v>0</v>
      </c>
      <c r="M1041" s="50">
        <f>VLOOKUP($A1041,'[1]ma sp 02'!$A$5:$BD$1101,M$1,0)</f>
        <v>0</v>
      </c>
      <c r="N1041" s="50">
        <f>VLOOKUP($A1041,'[1]ma sp 02'!$A$5:$BD$1101,N$1,0)</f>
        <v>0</v>
      </c>
      <c r="O1041" s="50">
        <f>VLOOKUP($A1041,'[1]ma sp 02'!$A$5:$BD$1101,O$1,0)</f>
        <v>0</v>
      </c>
      <c r="P1041" s="50">
        <f>VLOOKUP($A1041,'[1]ma sp 02'!$A$5:$BD$1101,P$1,0)</f>
        <v>0</v>
      </c>
      <c r="Q1041" s="50">
        <f>VLOOKUP($A1041,'[1]ma sp 02'!$A$5:$BD$1101,Q$1,0)</f>
        <v>0</v>
      </c>
      <c r="R1041" s="50">
        <f>VLOOKUP($A1041,'[1]ma sp 02'!$A$5:$BD$1101,R$1,0)</f>
        <v>0</v>
      </c>
      <c r="S1041" s="50">
        <f>VLOOKUP($A1041,'[1]ma sp 02'!$A$5:$BD$1101,S$1,0)</f>
        <v>0</v>
      </c>
      <c r="T1041" s="50">
        <f>VLOOKUP($A1041,'[1]ma sp 02'!$A$5:$BD$1101,T$1,0)</f>
        <v>0</v>
      </c>
      <c r="U1041" s="50">
        <f>VLOOKUP($A1041,'[1]ma sp 02'!$A$5:$BD$1101,U$1,0)</f>
        <v>0</v>
      </c>
      <c r="V1041" s="50">
        <f>VLOOKUP($A1041,'[1]ma sp 02'!$A$5:$BD$1101,V$1,0)</f>
        <v>0</v>
      </c>
      <c r="W1041" s="50">
        <f>VLOOKUP($A1041,'[1]ma sp 02'!$A$5:$BD$1101,W$1,0)</f>
        <v>0</v>
      </c>
      <c r="X1041" s="50"/>
      <c r="Y1041" s="62"/>
      <c r="Z1041" s="62"/>
      <c r="AA1041" s="62"/>
      <c r="AB1041" s="62"/>
      <c r="AC1041" s="62"/>
      <c r="AD1041" s="62"/>
      <c r="AE1041" s="62" t="s">
        <v>2384</v>
      </c>
      <c r="AF1041" s="62" t="s">
        <v>3293</v>
      </c>
      <c r="AG1041" s="53">
        <f>(0.012*1.4+0.006*2.71+0.07*0.925)*0.68</f>
        <v>6.6510800000000009E-2</v>
      </c>
      <c r="AH1041" s="153">
        <f>(2.3/0.75/2)*0.67</f>
        <v>1.0273333333333332</v>
      </c>
      <c r="AI1041" s="153">
        <f>(2.3/0.75/2)*0.67</f>
        <v>1.0273333333333332</v>
      </c>
      <c r="AJ1041" s="58">
        <v>9530</v>
      </c>
      <c r="AK1041" s="58">
        <v>9530</v>
      </c>
      <c r="AL1041" s="62" t="s">
        <v>354</v>
      </c>
      <c r="AM1041" s="61" t="s">
        <v>1893</v>
      </c>
      <c r="AN1041" s="62">
        <v>200</v>
      </c>
      <c r="AO1041" s="61" t="s">
        <v>3247</v>
      </c>
      <c r="AP1041" s="59"/>
      <c r="AQ1041" s="59"/>
      <c r="AR1041" s="59"/>
      <c r="AS1041" s="59"/>
      <c r="AT1041" s="59"/>
      <c r="AU1041" s="59"/>
      <c r="AV1041" s="59"/>
      <c r="AW1041" s="59"/>
      <c r="AX1041" s="59"/>
      <c r="AY1041" s="59"/>
      <c r="AZ1041" s="59"/>
      <c r="BA1041" s="141"/>
      <c r="BB1041" s="61" t="s">
        <v>1894</v>
      </c>
      <c r="BC1041" s="165"/>
      <c r="BD1041" s="166"/>
      <c r="BE1041" s="167"/>
      <c r="BF1041" s="168"/>
      <c r="BG1041" s="167"/>
      <c r="BH1041" s="168"/>
      <c r="BI1041" s="169"/>
      <c r="BJ1041" s="168"/>
      <c r="BK1041" s="134"/>
      <c r="BL1041" s="168"/>
      <c r="BM1041" s="167"/>
      <c r="BN1041" s="168"/>
      <c r="BO1041" s="62"/>
      <c r="BP1041" s="168"/>
      <c r="BQ1041" s="168"/>
      <c r="BR1041" s="168"/>
      <c r="BS1041" s="135"/>
      <c r="BT1041" s="176"/>
      <c r="BU1041" s="167"/>
      <c r="BV1041" s="168"/>
      <c r="BW1041" s="167"/>
      <c r="BX1041" s="168"/>
      <c r="BY1041" s="167"/>
      <c r="BZ1041" s="176"/>
      <c r="CA1041" s="167"/>
      <c r="CB1041" s="168"/>
      <c r="CC1041" s="167"/>
      <c r="CD1041" s="168"/>
      <c r="CE1041" s="62"/>
      <c r="CF1041" s="62"/>
      <c r="CG1041" s="9"/>
      <c r="CH1041" s="9"/>
      <c r="CI1041" s="9"/>
      <c r="CJ1041" s="9"/>
      <c r="CK1041" s="9"/>
      <c r="CL1041" s="9"/>
      <c r="CM1041" s="9"/>
      <c r="CN1041" s="9"/>
      <c r="CO1041" s="9"/>
      <c r="CP1041" s="9"/>
    </row>
    <row r="1042" spans="1:94" ht="45" x14ac:dyDescent="0.25">
      <c r="A1042" s="127" t="s">
        <v>3294</v>
      </c>
      <c r="B1042" s="51" t="s">
        <v>3295</v>
      </c>
      <c r="C1042" s="62"/>
      <c r="D1042" s="84">
        <v>1</v>
      </c>
      <c r="E1042" s="62" t="s">
        <v>3296</v>
      </c>
      <c r="F1042" s="62">
        <v>4</v>
      </c>
      <c r="G1042" s="62"/>
      <c r="H1042" s="50">
        <f>VLOOKUP($A1042,'[1]ma sp 02'!$A$5:$BD$1101,H$1,0)</f>
        <v>0</v>
      </c>
      <c r="I1042" s="50">
        <f>VLOOKUP($A1042,'[1]ma sp 02'!$A$5:$BD$1101,I$1,0)</f>
        <v>3.2120000000000002</v>
      </c>
      <c r="J1042" s="50">
        <f>VLOOKUP($A1042,'[1]ma sp 02'!$A$5:$BD$1101,J$1,0)</f>
        <v>0.32100000000000001</v>
      </c>
      <c r="K1042" s="50">
        <f>VLOOKUP($A1042,'[1]ma sp 02'!$A$5:$BD$1101,K$1,0)</f>
        <v>0.96299999999999997</v>
      </c>
      <c r="L1042" s="50">
        <f>VLOOKUP($A1042,'[1]ma sp 02'!$A$5:$BD$1101,L$1,0)</f>
        <v>0</v>
      </c>
      <c r="M1042" s="50">
        <f>VLOOKUP($A1042,'[1]ma sp 02'!$A$5:$BD$1101,M$1,0)</f>
        <v>1.766</v>
      </c>
      <c r="N1042" s="50">
        <f>VLOOKUP($A1042,'[1]ma sp 02'!$A$5:$BD$1101,N$1,0)</f>
        <v>0</v>
      </c>
      <c r="O1042" s="50">
        <f>VLOOKUP($A1042,'[1]ma sp 02'!$A$5:$BD$1101,O$1,0)</f>
        <v>0</v>
      </c>
      <c r="P1042" s="50">
        <f>VLOOKUP($A1042,'[1]ma sp 02'!$A$5:$BD$1101,P$1,0)</f>
        <v>0</v>
      </c>
      <c r="Q1042" s="50">
        <f>VLOOKUP($A1042,'[1]ma sp 02'!$A$5:$BD$1101,Q$1,0)</f>
        <v>0</v>
      </c>
      <c r="R1042" s="50">
        <f>VLOOKUP($A1042,'[1]ma sp 02'!$A$5:$BD$1101,R$1,0)</f>
        <v>0.01</v>
      </c>
      <c r="S1042" s="50">
        <f>VLOOKUP($A1042,'[1]ma sp 02'!$A$5:$BD$1101,S$1,0)</f>
        <v>0.161</v>
      </c>
      <c r="T1042" s="50">
        <f>VLOOKUP($A1042,'[1]ma sp 02'!$A$5:$BD$1101,T$1,0)</f>
        <v>0</v>
      </c>
      <c r="U1042" s="50">
        <f>VLOOKUP($A1042,'[1]ma sp 02'!$A$5:$BD$1101,U$1,0)</f>
        <v>0</v>
      </c>
      <c r="V1042" s="50">
        <f>VLOOKUP($A1042,'[1]ma sp 02'!$A$5:$BD$1101,V$1,0)</f>
        <v>0</v>
      </c>
      <c r="W1042" s="50">
        <f>VLOOKUP($A1042,'[1]ma sp 02'!$A$5:$BD$1101,W$1,0)</f>
        <v>0</v>
      </c>
      <c r="X1042" s="50"/>
      <c r="Y1042" s="62"/>
      <c r="Z1042" s="62"/>
      <c r="AA1042" s="62"/>
      <c r="AB1042" s="62"/>
      <c r="AC1042" s="62"/>
      <c r="AD1042" s="62"/>
      <c r="AE1042" s="62" t="s">
        <v>3297</v>
      </c>
      <c r="AF1042" s="62"/>
      <c r="AG1042" s="53">
        <f>(0.012*1.4+0.095*0.925)*1.05</f>
        <v>0.10990875000000001</v>
      </c>
      <c r="AH1042" s="153">
        <f>(3/0.75/2)*1.04</f>
        <v>2.08</v>
      </c>
      <c r="AI1042" s="54"/>
      <c r="AJ1042" s="58">
        <v>9530</v>
      </c>
      <c r="AK1042" s="62"/>
      <c r="AL1042" s="9">
        <v>3.0000000000000001E-3</v>
      </c>
      <c r="AM1042" s="61" t="s">
        <v>2758</v>
      </c>
      <c r="AN1042" s="62">
        <v>360</v>
      </c>
      <c r="AO1042" s="61" t="s">
        <v>3298</v>
      </c>
      <c r="AP1042" s="59"/>
      <c r="AQ1042" s="59"/>
      <c r="AR1042" s="59"/>
      <c r="AS1042" s="59"/>
      <c r="AT1042" s="59"/>
      <c r="AU1042" s="59"/>
      <c r="AV1042" s="59"/>
      <c r="AW1042" s="59"/>
      <c r="AX1042" s="59"/>
      <c r="AY1042" s="59"/>
      <c r="AZ1042" s="59"/>
      <c r="BA1042" s="141"/>
      <c r="BB1042" s="61" t="s">
        <v>1894</v>
      </c>
      <c r="BC1042" s="165"/>
      <c r="BD1042" s="166"/>
      <c r="BE1042" s="167"/>
      <c r="BF1042" s="168"/>
      <c r="BG1042" s="167"/>
      <c r="BH1042" s="168"/>
      <c r="BI1042" s="169"/>
      <c r="BJ1042" s="168"/>
      <c r="BK1042" s="134"/>
      <c r="BL1042" s="168"/>
      <c r="BM1042" s="167"/>
      <c r="BN1042" s="168"/>
      <c r="BO1042" s="62"/>
      <c r="BP1042" s="168"/>
      <c r="BQ1042" s="168"/>
      <c r="BR1042" s="168"/>
      <c r="BS1042" s="135"/>
      <c r="BT1042" s="176"/>
      <c r="BU1042" s="167"/>
      <c r="BV1042" s="168"/>
      <c r="BW1042" s="167"/>
      <c r="BX1042" s="168"/>
      <c r="BY1042" s="167"/>
      <c r="BZ1042" s="176"/>
      <c r="CA1042" s="167"/>
      <c r="CB1042" s="168"/>
      <c r="CC1042" s="167"/>
      <c r="CD1042" s="168"/>
      <c r="CE1042" s="62"/>
      <c r="CF1042" s="62"/>
      <c r="CG1042" s="9"/>
      <c r="CH1042" s="9"/>
      <c r="CI1042" s="9"/>
      <c r="CJ1042" s="9"/>
      <c r="CK1042" s="9"/>
      <c r="CL1042" s="9"/>
      <c r="CM1042" s="9"/>
      <c r="CN1042" s="9"/>
      <c r="CO1042" s="9"/>
      <c r="CP1042" s="9"/>
    </row>
    <row r="1043" spans="1:94" ht="45" x14ac:dyDescent="0.25">
      <c r="A1043" s="127" t="s">
        <v>3299</v>
      </c>
      <c r="B1043" s="51" t="s">
        <v>3300</v>
      </c>
      <c r="C1043" s="62"/>
      <c r="D1043" s="84">
        <v>1</v>
      </c>
      <c r="E1043" s="62" t="s">
        <v>3296</v>
      </c>
      <c r="F1043" s="62">
        <v>5</v>
      </c>
      <c r="G1043" s="62"/>
      <c r="H1043" s="50">
        <f>VLOOKUP($A1043,'[1]ma sp 02'!$A$5:$BD$1101,H$1,0)</f>
        <v>0</v>
      </c>
      <c r="I1043" s="50">
        <f>VLOOKUP($A1043,'[1]ma sp 02'!$A$5:$BD$1101,I$1,0)</f>
        <v>2.052</v>
      </c>
      <c r="J1043" s="50">
        <f>VLOOKUP($A1043,'[1]ma sp 02'!$A$5:$BD$1101,J$1,0)</f>
        <v>0</v>
      </c>
      <c r="K1043" s="50">
        <f>VLOOKUP($A1043,'[1]ma sp 02'!$A$5:$BD$1101,K$1,0)</f>
        <v>0</v>
      </c>
      <c r="L1043" s="50">
        <f>VLOOKUP($A1043,'[1]ma sp 02'!$A$5:$BD$1101,L$1,0)</f>
        <v>0</v>
      </c>
      <c r="M1043" s="50">
        <f>VLOOKUP($A1043,'[1]ma sp 02'!$A$5:$BD$1101,M$1,0)</f>
        <v>0</v>
      </c>
      <c r="N1043" s="50">
        <f>VLOOKUP($A1043,'[1]ma sp 02'!$A$5:$BD$1101,N$1,0)</f>
        <v>0.78900000000000003</v>
      </c>
      <c r="O1043" s="50">
        <f>VLOOKUP($A1043,'[1]ma sp 02'!$A$5:$BD$1101,O$1,0)</f>
        <v>0</v>
      </c>
      <c r="P1043" s="50">
        <f>VLOOKUP($A1043,'[1]ma sp 02'!$A$5:$BD$1101,P$1,0)</f>
        <v>0</v>
      </c>
      <c r="Q1043" s="50">
        <f>VLOOKUP($A1043,'[1]ma sp 02'!$A$5:$BD$1101,Q$1,0)</f>
        <v>0</v>
      </c>
      <c r="R1043" s="50">
        <f>VLOOKUP($A1043,'[1]ma sp 02'!$A$5:$BD$1101,R$1,0)</f>
        <v>0.01</v>
      </c>
      <c r="S1043" s="50">
        <f>VLOOKUP($A1043,'[1]ma sp 02'!$A$5:$BD$1101,S$1,0)</f>
        <v>0.316</v>
      </c>
      <c r="T1043" s="50">
        <f>VLOOKUP($A1043,'[1]ma sp 02'!$A$5:$BD$1101,T$1,0)</f>
        <v>0</v>
      </c>
      <c r="U1043" s="50">
        <f>VLOOKUP($A1043,'[1]ma sp 02'!$A$5:$BD$1101,U$1,0)</f>
        <v>0</v>
      </c>
      <c r="V1043" s="50">
        <f>VLOOKUP($A1043,'[1]ma sp 02'!$A$5:$BD$1101,V$1,0)</f>
        <v>0</v>
      </c>
      <c r="W1043" s="50">
        <f>VLOOKUP($A1043,'[1]ma sp 02'!$A$5:$BD$1101,W$1,0)</f>
        <v>0</v>
      </c>
      <c r="X1043" s="50"/>
      <c r="Y1043" s="62"/>
      <c r="Z1043" s="62"/>
      <c r="AA1043" s="62"/>
      <c r="AB1043" s="62"/>
      <c r="AC1043" s="62"/>
      <c r="AD1043" s="62"/>
      <c r="AE1043" s="62" t="s">
        <v>3297</v>
      </c>
      <c r="AF1043" s="62"/>
      <c r="AG1043" s="53">
        <f>(0.012*1.4+0.095*0.925)*1.05</f>
        <v>0.10990875000000001</v>
      </c>
      <c r="AH1043" s="153">
        <f>(3/0.75/2)*1.04</f>
        <v>2.08</v>
      </c>
      <c r="AI1043" s="54"/>
      <c r="AJ1043" s="58">
        <v>9530</v>
      </c>
      <c r="AK1043" s="62"/>
      <c r="AL1043" s="9">
        <v>3.0000000000000001E-3</v>
      </c>
      <c r="AM1043" s="61" t="s">
        <v>2758</v>
      </c>
      <c r="AN1043" s="62">
        <v>360</v>
      </c>
      <c r="AO1043" s="61" t="s">
        <v>3298</v>
      </c>
      <c r="AP1043" s="59"/>
      <c r="AQ1043" s="59"/>
      <c r="AR1043" s="59"/>
      <c r="AS1043" s="59"/>
      <c r="AT1043" s="59"/>
      <c r="AU1043" s="59"/>
      <c r="AV1043" s="59"/>
      <c r="AW1043" s="59"/>
      <c r="AX1043" s="59"/>
      <c r="AY1043" s="59"/>
      <c r="AZ1043" s="59"/>
      <c r="BA1043" s="141"/>
      <c r="BB1043" s="61" t="s">
        <v>1894</v>
      </c>
      <c r="BC1043" s="165"/>
      <c r="BD1043" s="166"/>
      <c r="BE1043" s="167"/>
      <c r="BF1043" s="168"/>
      <c r="BG1043" s="167"/>
      <c r="BH1043" s="168"/>
      <c r="BI1043" s="169"/>
      <c r="BJ1043" s="168"/>
      <c r="BK1043" s="134"/>
      <c r="BL1043" s="168"/>
      <c r="BM1043" s="167"/>
      <c r="BN1043" s="168"/>
      <c r="BO1043" s="62"/>
      <c r="BP1043" s="168"/>
      <c r="BQ1043" s="168"/>
      <c r="BR1043" s="168"/>
      <c r="BS1043" s="135"/>
      <c r="BT1043" s="176"/>
      <c r="BU1043" s="167"/>
      <c r="BV1043" s="168"/>
      <c r="BW1043" s="167"/>
      <c r="BX1043" s="168"/>
      <c r="BY1043" s="167"/>
      <c r="BZ1043" s="176"/>
      <c r="CA1043" s="167"/>
      <c r="CB1043" s="168"/>
      <c r="CC1043" s="167"/>
      <c r="CD1043" s="168"/>
      <c r="CE1043" s="62"/>
      <c r="CF1043" s="62"/>
      <c r="CG1043" s="9"/>
      <c r="CH1043" s="9"/>
      <c r="CI1043" s="9"/>
      <c r="CJ1043" s="9"/>
      <c r="CK1043" s="9"/>
      <c r="CL1043" s="9"/>
      <c r="CM1043" s="9"/>
      <c r="CN1043" s="9"/>
      <c r="CO1043" s="9"/>
      <c r="CP1043" s="9"/>
    </row>
    <row r="1044" spans="1:94" ht="45" x14ac:dyDescent="0.25">
      <c r="A1044" s="127" t="s">
        <v>3301</v>
      </c>
      <c r="B1044" s="51" t="s">
        <v>3302</v>
      </c>
      <c r="C1044" s="62"/>
      <c r="D1044" s="84">
        <v>1</v>
      </c>
      <c r="E1044" s="62" t="s">
        <v>3303</v>
      </c>
      <c r="F1044" s="62">
        <v>5</v>
      </c>
      <c r="G1044" s="62"/>
      <c r="H1044" s="50">
        <f>VLOOKUP($A1044,'[1]ma sp 02'!$A$5:$BD$1101,H$1,0)</f>
        <v>0</v>
      </c>
      <c r="I1044" s="50">
        <f>VLOOKUP($A1044,'[1]ma sp 02'!$A$5:$BD$1101,I$1,0)</f>
        <v>5.0549999999999997</v>
      </c>
      <c r="J1044" s="50">
        <f>VLOOKUP($A1044,'[1]ma sp 02'!$A$5:$BD$1101,J$1,0)</f>
        <v>0.32100000000000001</v>
      </c>
      <c r="K1044" s="50">
        <f>VLOOKUP($A1044,'[1]ma sp 02'!$A$5:$BD$1101,K$1,0)</f>
        <v>2.1259999999999999</v>
      </c>
      <c r="L1044" s="50">
        <f>VLOOKUP($A1044,'[1]ma sp 02'!$A$5:$BD$1101,L$1,0)</f>
        <v>0</v>
      </c>
      <c r="M1044" s="50">
        <f>VLOOKUP($A1044,'[1]ma sp 02'!$A$5:$BD$1101,M$1,0)</f>
        <v>5.4560000000000004</v>
      </c>
      <c r="N1044" s="50">
        <f>VLOOKUP($A1044,'[1]ma sp 02'!$A$5:$BD$1101,N$1,0)</f>
        <v>1.605</v>
      </c>
      <c r="O1044" s="50">
        <f>VLOOKUP($A1044,'[1]ma sp 02'!$A$5:$BD$1101,O$1,0)</f>
        <v>0</v>
      </c>
      <c r="P1044" s="50">
        <f>VLOOKUP($A1044,'[1]ma sp 02'!$A$5:$BD$1101,P$1,0)</f>
        <v>0.67</v>
      </c>
      <c r="Q1044" s="50">
        <f>VLOOKUP($A1044,'[1]ma sp 02'!$A$5:$BD$1101,Q$1,0)</f>
        <v>0.32100000000000001</v>
      </c>
      <c r="R1044" s="50">
        <f>VLOOKUP($A1044,'[1]ma sp 02'!$A$5:$BD$1101,R$1,0)</f>
        <v>0.01</v>
      </c>
      <c r="S1044" s="50">
        <f>VLOOKUP($A1044,'[1]ma sp 02'!$A$5:$BD$1101,S$1,0)</f>
        <v>0.01</v>
      </c>
      <c r="T1044" s="50">
        <f>VLOOKUP($A1044,'[1]ma sp 02'!$A$5:$BD$1101,T$1,0)</f>
        <v>0</v>
      </c>
      <c r="U1044" s="50">
        <f>VLOOKUP($A1044,'[1]ma sp 02'!$A$5:$BD$1101,U$1,0)</f>
        <v>0</v>
      </c>
      <c r="V1044" s="50">
        <f>VLOOKUP($A1044,'[1]ma sp 02'!$A$5:$BD$1101,V$1,0)</f>
        <v>0.01</v>
      </c>
      <c r="W1044" s="50">
        <f>VLOOKUP($A1044,'[1]ma sp 02'!$A$5:$BD$1101,W$1,0)</f>
        <v>0</v>
      </c>
      <c r="X1044" s="50"/>
      <c r="Y1044" s="62"/>
      <c r="Z1044" s="62"/>
      <c r="AA1044" s="62"/>
      <c r="AB1044" s="62"/>
      <c r="AC1044" s="62"/>
      <c r="AD1044" s="62"/>
      <c r="AE1044" s="62" t="s">
        <v>3304</v>
      </c>
      <c r="AF1044" s="62"/>
      <c r="AG1044" s="53">
        <f>(0.012*1.4+0.095*0.925)*1.05</f>
        <v>0.10990875000000001</v>
      </c>
      <c r="AH1044" s="153">
        <f>(3/0.75/2)*1.04</f>
        <v>2.08</v>
      </c>
      <c r="AI1044" s="54"/>
      <c r="AJ1044" s="58">
        <v>9530</v>
      </c>
      <c r="AK1044" s="62"/>
      <c r="AL1044" s="9">
        <v>3.0000000000000001E-3</v>
      </c>
      <c r="AM1044" s="61" t="s">
        <v>2758</v>
      </c>
      <c r="AN1044" s="62">
        <v>360</v>
      </c>
      <c r="AO1044" s="61" t="s">
        <v>3298</v>
      </c>
      <c r="AP1044" s="59"/>
      <c r="AQ1044" s="59"/>
      <c r="AR1044" s="59"/>
      <c r="AS1044" s="59"/>
      <c r="AT1044" s="59"/>
      <c r="AU1044" s="59"/>
      <c r="AV1044" s="59"/>
      <c r="AW1044" s="59"/>
      <c r="AX1044" s="59"/>
      <c r="AY1044" s="59"/>
      <c r="AZ1044" s="59"/>
      <c r="BA1044" s="141"/>
      <c r="BB1044" s="61" t="s">
        <v>1894</v>
      </c>
      <c r="BC1044" s="165"/>
      <c r="BD1044" s="166"/>
      <c r="BE1044" s="167"/>
      <c r="BF1044" s="168"/>
      <c r="BG1044" s="167"/>
      <c r="BH1044" s="168"/>
      <c r="BI1044" s="169"/>
      <c r="BJ1044" s="168"/>
      <c r="BK1044" s="134"/>
      <c r="BL1044" s="168"/>
      <c r="BM1044" s="167"/>
      <c r="BN1044" s="168"/>
      <c r="BO1044" s="62"/>
      <c r="BP1044" s="168"/>
      <c r="BQ1044" s="168"/>
      <c r="BR1044" s="168"/>
      <c r="BS1044" s="135"/>
      <c r="BT1044" s="176"/>
      <c r="BU1044" s="167"/>
      <c r="BV1044" s="168"/>
      <c r="BW1044" s="167"/>
      <c r="BX1044" s="168"/>
      <c r="BY1044" s="167"/>
      <c r="BZ1044" s="176"/>
      <c r="CA1044" s="167"/>
      <c r="CB1044" s="168"/>
      <c r="CC1044" s="167"/>
      <c r="CD1044" s="168"/>
      <c r="CE1044" s="62"/>
      <c r="CF1044" s="62"/>
      <c r="CG1044" s="9"/>
      <c r="CH1044" s="9"/>
      <c r="CI1044" s="9"/>
      <c r="CJ1044" s="9"/>
      <c r="CK1044" s="9"/>
      <c r="CL1044" s="9"/>
      <c r="CM1044" s="9"/>
      <c r="CN1044" s="9"/>
      <c r="CO1044" s="9"/>
      <c r="CP1044" s="9"/>
    </row>
    <row r="1045" spans="1:94" ht="45" x14ac:dyDescent="0.25">
      <c r="A1045" s="127" t="s">
        <v>3305</v>
      </c>
      <c r="B1045" s="51" t="s">
        <v>3306</v>
      </c>
      <c r="C1045" s="62"/>
      <c r="D1045" s="84">
        <v>1</v>
      </c>
      <c r="E1045" s="62" t="s">
        <v>3307</v>
      </c>
      <c r="F1045" s="62">
        <v>5</v>
      </c>
      <c r="G1045" s="62"/>
      <c r="H1045" s="50">
        <f>VLOOKUP($A1045,'[1]ma sp 02'!$A$5:$BD$1101,H$1,0)</f>
        <v>0.83</v>
      </c>
      <c r="I1045" s="50">
        <f>VLOOKUP($A1045,'[1]ma sp 02'!$A$5:$BD$1101,I$1,0)</f>
        <v>1.329</v>
      </c>
      <c r="J1045" s="50">
        <f>VLOOKUP($A1045,'[1]ma sp 02'!$A$5:$BD$1101,J$1,0)</f>
        <v>0</v>
      </c>
      <c r="K1045" s="50">
        <f>VLOOKUP($A1045,'[1]ma sp 02'!$A$5:$BD$1101,K$1,0)</f>
        <v>0.498</v>
      </c>
      <c r="L1045" s="50">
        <f>VLOOKUP($A1045,'[1]ma sp 02'!$A$5:$BD$1101,L$1,0)</f>
        <v>0</v>
      </c>
      <c r="M1045" s="50">
        <f>VLOOKUP($A1045,'[1]ma sp 02'!$A$5:$BD$1101,M$1,0)</f>
        <v>2.6579999999999999</v>
      </c>
      <c r="N1045" s="50">
        <f>VLOOKUP($A1045,'[1]ma sp 02'!$A$5:$BD$1101,N$1,0)</f>
        <v>1.163</v>
      </c>
      <c r="O1045" s="50">
        <f>VLOOKUP($A1045,'[1]ma sp 02'!$A$5:$BD$1101,O$1,0)</f>
        <v>0</v>
      </c>
      <c r="P1045" s="50">
        <f>VLOOKUP($A1045,'[1]ma sp 02'!$A$5:$BD$1101,P$1,0)</f>
        <v>0.83099999999999996</v>
      </c>
      <c r="Q1045" s="50">
        <f>VLOOKUP($A1045,'[1]ma sp 02'!$A$5:$BD$1101,Q$1,0)</f>
        <v>0</v>
      </c>
      <c r="R1045" s="50">
        <f>VLOOKUP($A1045,'[1]ma sp 02'!$A$5:$BD$1101,R$1,0)</f>
        <v>1.246</v>
      </c>
      <c r="S1045" s="50">
        <f>VLOOKUP($A1045,'[1]ma sp 02'!$A$5:$BD$1101,S$1,0)</f>
        <v>0.01</v>
      </c>
      <c r="T1045" s="50">
        <f>VLOOKUP($A1045,'[1]ma sp 02'!$A$5:$BD$1101,T$1,0)</f>
        <v>0</v>
      </c>
      <c r="U1045" s="50">
        <f>VLOOKUP($A1045,'[1]ma sp 02'!$A$5:$BD$1101,U$1,0)</f>
        <v>0</v>
      </c>
      <c r="V1045" s="50">
        <f>VLOOKUP($A1045,'[1]ma sp 02'!$A$5:$BD$1101,V$1,0)</f>
        <v>0</v>
      </c>
      <c r="W1045" s="50">
        <f>VLOOKUP($A1045,'[1]ma sp 02'!$A$5:$BD$1101,W$1,0)</f>
        <v>0</v>
      </c>
      <c r="X1045" s="50"/>
      <c r="Y1045" s="62"/>
      <c r="Z1045" s="62"/>
      <c r="AA1045" s="62"/>
      <c r="AB1045" s="62"/>
      <c r="AC1045" s="62"/>
      <c r="AD1045" s="62"/>
      <c r="AE1045" s="62" t="s">
        <v>3308</v>
      </c>
      <c r="AF1045" s="62"/>
      <c r="AG1045" s="53">
        <f>(0.012*1.4+0.095*0.925)*1.05</f>
        <v>0.10990875000000001</v>
      </c>
      <c r="AH1045" s="153">
        <f>(3/0.75/2)*1.04</f>
        <v>2.08</v>
      </c>
      <c r="AI1045" s="54"/>
      <c r="AJ1045" s="58">
        <v>9530</v>
      </c>
      <c r="AK1045" s="62"/>
      <c r="AL1045" s="9">
        <v>3.0000000000000001E-3</v>
      </c>
      <c r="AM1045" s="61" t="s">
        <v>2758</v>
      </c>
      <c r="AN1045" s="62"/>
      <c r="AO1045" s="61" t="s">
        <v>3298</v>
      </c>
      <c r="AP1045" s="59"/>
      <c r="AQ1045" s="59"/>
      <c r="AR1045" s="59"/>
      <c r="AS1045" s="59"/>
      <c r="AT1045" s="59"/>
      <c r="AU1045" s="59"/>
      <c r="AV1045" s="59"/>
      <c r="AW1045" s="59"/>
      <c r="AX1045" s="59"/>
      <c r="AY1045" s="59"/>
      <c r="AZ1045" s="59"/>
      <c r="BA1045" s="141"/>
      <c r="BB1045" s="61"/>
      <c r="BC1045" s="165"/>
      <c r="BD1045" s="166"/>
      <c r="BE1045" s="167"/>
      <c r="BF1045" s="168"/>
      <c r="BG1045" s="167"/>
      <c r="BH1045" s="168"/>
      <c r="BI1045" s="169"/>
      <c r="BJ1045" s="168"/>
      <c r="BK1045" s="134"/>
      <c r="BL1045" s="168"/>
      <c r="BM1045" s="167"/>
      <c r="BN1045" s="168"/>
      <c r="BO1045" s="62"/>
      <c r="BP1045" s="168"/>
      <c r="BQ1045" s="168"/>
      <c r="BR1045" s="168"/>
      <c r="BS1045" s="135"/>
      <c r="BT1045" s="176"/>
      <c r="BU1045" s="167"/>
      <c r="BV1045" s="168"/>
      <c r="BW1045" s="167"/>
      <c r="BX1045" s="168"/>
      <c r="BY1045" s="167"/>
      <c r="BZ1045" s="176"/>
      <c r="CA1045" s="167"/>
      <c r="CB1045" s="168"/>
      <c r="CC1045" s="167"/>
      <c r="CD1045" s="168"/>
      <c r="CE1045" s="62"/>
      <c r="CF1045" s="62"/>
      <c r="CG1045" s="9"/>
      <c r="CH1045" s="9"/>
      <c r="CI1045" s="9"/>
      <c r="CJ1045" s="9"/>
      <c r="CK1045" s="9"/>
      <c r="CL1045" s="9"/>
      <c r="CM1045" s="9"/>
      <c r="CN1045" s="9"/>
      <c r="CO1045" s="9"/>
      <c r="CP1045" s="9"/>
    </row>
    <row r="1046" spans="1:94" ht="45" x14ac:dyDescent="0.25">
      <c r="A1046" s="127" t="s">
        <v>3309</v>
      </c>
      <c r="B1046" s="51" t="s">
        <v>3310</v>
      </c>
      <c r="C1046" s="62"/>
      <c r="D1046" s="84">
        <v>1</v>
      </c>
      <c r="E1046" s="62" t="s">
        <v>3296</v>
      </c>
      <c r="F1046" s="62">
        <v>3</v>
      </c>
      <c r="G1046" s="62"/>
      <c r="H1046" s="50">
        <f>VLOOKUP($A1046,'[1]ma sp 02'!$A$5:$BD$1101,H$1,0)</f>
        <v>0</v>
      </c>
      <c r="I1046" s="50">
        <f>VLOOKUP($A1046,'[1]ma sp 02'!$A$5:$BD$1101,I$1,0)</f>
        <v>0.01</v>
      </c>
      <c r="J1046" s="50">
        <f>VLOOKUP($A1046,'[1]ma sp 02'!$A$5:$BD$1101,J$1,0)</f>
        <v>0</v>
      </c>
      <c r="K1046" s="50">
        <f>VLOOKUP($A1046,'[1]ma sp 02'!$A$5:$BD$1101,K$1,0)</f>
        <v>2.6859999999999999</v>
      </c>
      <c r="L1046" s="50">
        <f>VLOOKUP($A1046,'[1]ma sp 02'!$A$5:$BD$1101,L$1,0)</f>
        <v>0</v>
      </c>
      <c r="M1046" s="50">
        <f>VLOOKUP($A1046,'[1]ma sp 02'!$A$5:$BD$1101,M$1,0)</f>
        <v>2.37</v>
      </c>
      <c r="N1046" s="50">
        <f>VLOOKUP($A1046,'[1]ma sp 02'!$A$5:$BD$1101,N$1,0)</f>
        <v>0</v>
      </c>
      <c r="O1046" s="50">
        <f>VLOOKUP($A1046,'[1]ma sp 02'!$A$5:$BD$1101,O$1,0)</f>
        <v>0</v>
      </c>
      <c r="P1046" s="50">
        <f>VLOOKUP($A1046,'[1]ma sp 02'!$A$5:$BD$1101,P$1,0)</f>
        <v>0.01</v>
      </c>
      <c r="Q1046" s="50">
        <f>VLOOKUP($A1046,'[1]ma sp 02'!$A$5:$BD$1101,Q$1,0)</f>
        <v>0</v>
      </c>
      <c r="R1046" s="50">
        <f>VLOOKUP($A1046,'[1]ma sp 02'!$A$5:$BD$1101,R$1,0)</f>
        <v>0</v>
      </c>
      <c r="S1046" s="50">
        <f>VLOOKUP($A1046,'[1]ma sp 02'!$A$5:$BD$1101,S$1,0)</f>
        <v>0</v>
      </c>
      <c r="T1046" s="50">
        <f>VLOOKUP($A1046,'[1]ma sp 02'!$A$5:$BD$1101,T$1,0)</f>
        <v>0</v>
      </c>
      <c r="U1046" s="50">
        <f>VLOOKUP($A1046,'[1]ma sp 02'!$A$5:$BD$1101,U$1,0)</f>
        <v>0</v>
      </c>
      <c r="V1046" s="50">
        <f>VLOOKUP($A1046,'[1]ma sp 02'!$A$5:$BD$1101,V$1,0)</f>
        <v>0</v>
      </c>
      <c r="W1046" s="50">
        <f>VLOOKUP($A1046,'[1]ma sp 02'!$A$5:$BD$1101,W$1,0)</f>
        <v>0</v>
      </c>
      <c r="X1046" s="50"/>
      <c r="Y1046" s="62"/>
      <c r="Z1046" s="62"/>
      <c r="AA1046" s="62"/>
      <c r="AB1046" s="62"/>
      <c r="AC1046" s="62"/>
      <c r="AD1046" s="62"/>
      <c r="AE1046" s="62" t="s">
        <v>3297</v>
      </c>
      <c r="AF1046" s="62"/>
      <c r="AG1046" s="53">
        <f>(0.012*1.4+0.095*0.925)*1.05</f>
        <v>0.10990875000000001</v>
      </c>
      <c r="AH1046" s="153">
        <f>(3/0.75/2)*1.04</f>
        <v>2.08</v>
      </c>
      <c r="AI1046" s="54"/>
      <c r="AJ1046" s="58">
        <v>9530</v>
      </c>
      <c r="AK1046" s="62"/>
      <c r="AL1046" s="9">
        <v>3.0000000000000001E-3</v>
      </c>
      <c r="AM1046" s="61" t="s">
        <v>2758</v>
      </c>
      <c r="AN1046" s="62">
        <v>360</v>
      </c>
      <c r="AO1046" s="61" t="s">
        <v>3298</v>
      </c>
      <c r="AP1046" s="59"/>
      <c r="AQ1046" s="59"/>
      <c r="AR1046" s="59"/>
      <c r="AS1046" s="59"/>
      <c r="AT1046" s="59"/>
      <c r="AU1046" s="59"/>
      <c r="AV1046" s="59"/>
      <c r="AW1046" s="59"/>
      <c r="AX1046" s="59"/>
      <c r="AY1046" s="59"/>
      <c r="AZ1046" s="59"/>
      <c r="BA1046" s="141"/>
      <c r="BB1046" s="61" t="s">
        <v>1894</v>
      </c>
      <c r="BC1046" s="165"/>
      <c r="BD1046" s="166"/>
      <c r="BE1046" s="167"/>
      <c r="BF1046" s="168"/>
      <c r="BG1046" s="167"/>
      <c r="BH1046" s="168"/>
      <c r="BI1046" s="169"/>
      <c r="BJ1046" s="168"/>
      <c r="BK1046" s="134"/>
      <c r="BL1046" s="168"/>
      <c r="BM1046" s="167"/>
      <c r="BN1046" s="168"/>
      <c r="BO1046" s="62"/>
      <c r="BP1046" s="168"/>
      <c r="BQ1046" s="168"/>
      <c r="BR1046" s="168"/>
      <c r="BS1046" s="135"/>
      <c r="BT1046" s="176"/>
      <c r="BU1046" s="167"/>
      <c r="BV1046" s="168"/>
      <c r="BW1046" s="167"/>
      <c r="BX1046" s="168"/>
      <c r="BY1046" s="167"/>
      <c r="BZ1046" s="176"/>
      <c r="CA1046" s="167"/>
      <c r="CB1046" s="168"/>
      <c r="CC1046" s="167"/>
      <c r="CD1046" s="168"/>
      <c r="CE1046" s="62"/>
      <c r="CF1046" s="62"/>
      <c r="CG1046" s="9"/>
      <c r="CH1046" s="9"/>
      <c r="CI1046" s="9"/>
      <c r="CJ1046" s="9"/>
      <c r="CK1046" s="9"/>
      <c r="CL1046" s="9"/>
      <c r="CM1046" s="9"/>
      <c r="CN1046" s="9"/>
      <c r="CO1046" s="9"/>
      <c r="CP1046" s="9"/>
    </row>
    <row r="1047" spans="1:94" ht="30" x14ac:dyDescent="0.25">
      <c r="A1047" s="127" t="s">
        <v>3311</v>
      </c>
      <c r="B1047" s="51" t="s">
        <v>3312</v>
      </c>
      <c r="C1047" s="62"/>
      <c r="D1047" s="84">
        <v>4</v>
      </c>
      <c r="E1047" s="62" t="s">
        <v>90</v>
      </c>
      <c r="F1047" s="62">
        <v>6</v>
      </c>
      <c r="G1047" s="62"/>
      <c r="H1047" s="50">
        <f>VLOOKUP($A1047,'[1]ma sp 02'!$A$5:$BD$1101,H$1,0)</f>
        <v>0.55300000000000005</v>
      </c>
      <c r="I1047" s="50">
        <f>VLOOKUP($A1047,'[1]ma sp 02'!$A$5:$BD$1101,I$1,0)</f>
        <v>2.3220000000000001</v>
      </c>
      <c r="J1047" s="50">
        <f>VLOOKUP($A1047,'[1]ma sp 02'!$A$5:$BD$1101,J$1,0)</f>
        <v>0.111</v>
      </c>
      <c r="K1047" s="50">
        <f>VLOOKUP($A1047,'[1]ma sp 02'!$A$5:$BD$1101,K$1,0)</f>
        <v>1.548</v>
      </c>
      <c r="L1047" s="50">
        <f>VLOOKUP($A1047,'[1]ma sp 02'!$A$5:$BD$1101,L$1,0)</f>
        <v>0.442</v>
      </c>
      <c r="M1047" s="50">
        <f>VLOOKUP($A1047,'[1]ma sp 02'!$A$5:$BD$1101,M$1,0)</f>
        <v>0</v>
      </c>
      <c r="N1047" s="50">
        <f>VLOOKUP($A1047,'[1]ma sp 02'!$A$5:$BD$1101,N$1,0)</f>
        <v>1.327</v>
      </c>
      <c r="O1047" s="50">
        <f>VLOOKUP($A1047,'[1]ma sp 02'!$A$5:$BD$1101,O$1,0)</f>
        <v>0</v>
      </c>
      <c r="P1047" s="50">
        <f>VLOOKUP($A1047,'[1]ma sp 02'!$A$5:$BD$1101,P$1,0)</f>
        <v>0</v>
      </c>
      <c r="Q1047" s="50">
        <f>VLOOKUP($A1047,'[1]ma sp 02'!$A$5:$BD$1101,Q$1,0)</f>
        <v>0</v>
      </c>
      <c r="R1047" s="50">
        <f>VLOOKUP($A1047,'[1]ma sp 02'!$A$5:$BD$1101,R$1,0)</f>
        <v>0</v>
      </c>
      <c r="S1047" s="50">
        <f>VLOOKUP($A1047,'[1]ma sp 02'!$A$5:$BD$1101,S$1,0)</f>
        <v>0</v>
      </c>
      <c r="T1047" s="50">
        <f>VLOOKUP($A1047,'[1]ma sp 02'!$A$5:$BD$1101,T$1,0)</f>
        <v>0</v>
      </c>
      <c r="U1047" s="50">
        <f>VLOOKUP($A1047,'[1]ma sp 02'!$A$5:$BD$1101,U$1,0)</f>
        <v>0</v>
      </c>
      <c r="V1047" s="50">
        <f>VLOOKUP($A1047,'[1]ma sp 02'!$A$5:$BD$1101,V$1,0)</f>
        <v>0</v>
      </c>
      <c r="W1047" s="50">
        <f>VLOOKUP($A1047,'[1]ma sp 02'!$A$5:$BD$1101,W$1,0)</f>
        <v>0</v>
      </c>
      <c r="X1047" s="50"/>
      <c r="Y1047" s="62"/>
      <c r="Z1047" s="62"/>
      <c r="AA1047" s="62"/>
      <c r="AB1047" s="62"/>
      <c r="AC1047" s="62"/>
      <c r="AD1047" s="62"/>
      <c r="AE1047" s="62" t="s">
        <v>91</v>
      </c>
      <c r="AF1047" s="62"/>
      <c r="AG1047" s="53">
        <f>(0.02*0.91+0.025*0.91)*0.7</f>
        <v>2.8665E-2</v>
      </c>
      <c r="AH1047" s="54">
        <f>(2.3/0.75/2)*0.69</f>
        <v>1.0579999999999998</v>
      </c>
      <c r="AI1047" s="54"/>
      <c r="AJ1047" s="56">
        <v>9530</v>
      </c>
      <c r="AK1047" s="62"/>
      <c r="AL1047" s="9">
        <v>2.3E-3</v>
      </c>
      <c r="AM1047" s="61" t="s">
        <v>74</v>
      </c>
      <c r="AN1047" s="62"/>
      <c r="AO1047" s="61" t="s">
        <v>2218</v>
      </c>
      <c r="AP1047" s="59"/>
      <c r="AQ1047" s="59"/>
      <c r="AR1047" s="59"/>
      <c r="AS1047" s="59"/>
      <c r="AT1047" s="59"/>
      <c r="AU1047" s="59"/>
      <c r="AV1047" s="59"/>
      <c r="AW1047" s="59"/>
      <c r="AX1047" s="59"/>
      <c r="AY1047" s="59"/>
      <c r="AZ1047" s="59"/>
      <c r="BA1047" s="141"/>
      <c r="BB1047" s="61" t="s">
        <v>235</v>
      </c>
      <c r="BC1047" s="165"/>
      <c r="BD1047" s="166"/>
      <c r="BE1047" s="167"/>
      <c r="BF1047" s="168"/>
      <c r="BG1047" s="167"/>
      <c r="BH1047" s="168"/>
      <c r="BI1047" s="169"/>
      <c r="BJ1047" s="168"/>
      <c r="BK1047" s="134"/>
      <c r="BL1047" s="168"/>
      <c r="BM1047" s="167"/>
      <c r="BN1047" s="168"/>
      <c r="BO1047" s="62"/>
      <c r="BP1047" s="168"/>
      <c r="BQ1047" s="168"/>
      <c r="BR1047" s="168"/>
      <c r="BS1047" s="135"/>
      <c r="BT1047" s="176"/>
      <c r="BU1047" s="167"/>
      <c r="BV1047" s="168"/>
      <c r="BW1047" s="167"/>
      <c r="BX1047" s="168"/>
      <c r="BY1047" s="167"/>
      <c r="BZ1047" s="176"/>
      <c r="CA1047" s="167"/>
      <c r="CB1047" s="168"/>
      <c r="CC1047" s="167"/>
      <c r="CD1047" s="168"/>
      <c r="CE1047" s="62"/>
      <c r="CF1047" s="62"/>
      <c r="CG1047" s="9"/>
      <c r="CH1047" s="9"/>
      <c r="CI1047" s="9"/>
      <c r="CJ1047" s="9"/>
      <c r="CK1047" s="9"/>
      <c r="CL1047" s="9"/>
      <c r="CM1047" s="9"/>
      <c r="CN1047" s="9"/>
      <c r="CO1047" s="9"/>
      <c r="CP1047" s="9"/>
    </row>
    <row r="1048" spans="1:94" ht="30" x14ac:dyDescent="0.25">
      <c r="A1048" s="127" t="s">
        <v>3313</v>
      </c>
      <c r="B1048" s="51" t="s">
        <v>3314</v>
      </c>
      <c r="C1048" s="62"/>
      <c r="D1048" s="84">
        <v>1</v>
      </c>
      <c r="E1048" s="62" t="s">
        <v>207</v>
      </c>
      <c r="F1048" s="62">
        <v>4</v>
      </c>
      <c r="G1048" s="62"/>
      <c r="H1048" s="50">
        <f>VLOOKUP($A1048,'[1]ma sp 02'!$A$5:$BD$1101,H$1,0)</f>
        <v>4.3289999999999997</v>
      </c>
      <c r="I1048" s="50">
        <f>VLOOKUP($A1048,'[1]ma sp 02'!$A$5:$BD$1101,I$1,0)</f>
        <v>0</v>
      </c>
      <c r="J1048" s="50">
        <f>VLOOKUP($A1048,'[1]ma sp 02'!$A$5:$BD$1101,J$1,0)</f>
        <v>0.01</v>
      </c>
      <c r="K1048" s="50">
        <f>VLOOKUP($A1048,'[1]ma sp 02'!$A$5:$BD$1101,K$1,0)</f>
        <v>0.01</v>
      </c>
      <c r="L1048" s="50">
        <f>VLOOKUP($A1048,'[1]ma sp 02'!$A$5:$BD$1101,L$1,0)</f>
        <v>3.4630000000000001</v>
      </c>
      <c r="M1048" s="50">
        <f>VLOOKUP($A1048,'[1]ma sp 02'!$A$5:$BD$1101,M$1,0)</f>
        <v>1.1539999999999999</v>
      </c>
      <c r="N1048" s="50">
        <f>VLOOKUP($A1048,'[1]ma sp 02'!$A$5:$BD$1101,N$1,0)</f>
        <v>0</v>
      </c>
      <c r="O1048" s="50">
        <f>VLOOKUP($A1048,'[1]ma sp 02'!$A$5:$BD$1101,O$1,0)</f>
        <v>0</v>
      </c>
      <c r="P1048" s="50">
        <f>VLOOKUP($A1048,'[1]ma sp 02'!$A$5:$BD$1101,P$1,0)</f>
        <v>0</v>
      </c>
      <c r="Q1048" s="50">
        <f>VLOOKUP($A1048,'[1]ma sp 02'!$A$5:$BD$1101,Q$1,0)</f>
        <v>0</v>
      </c>
      <c r="R1048" s="50">
        <f>VLOOKUP($A1048,'[1]ma sp 02'!$A$5:$BD$1101,R$1,0)</f>
        <v>0</v>
      </c>
      <c r="S1048" s="50">
        <f>VLOOKUP($A1048,'[1]ma sp 02'!$A$5:$BD$1101,S$1,0)</f>
        <v>0</v>
      </c>
      <c r="T1048" s="50">
        <f>VLOOKUP($A1048,'[1]ma sp 02'!$A$5:$BD$1101,T$1,0)</f>
        <v>0</v>
      </c>
      <c r="U1048" s="50">
        <f>VLOOKUP($A1048,'[1]ma sp 02'!$A$5:$BD$1101,U$1,0)</f>
        <v>0</v>
      </c>
      <c r="V1048" s="50">
        <f>VLOOKUP($A1048,'[1]ma sp 02'!$A$5:$BD$1101,V$1,0)</f>
        <v>0</v>
      </c>
      <c r="W1048" s="50">
        <f>VLOOKUP($A1048,'[1]ma sp 02'!$A$5:$BD$1101,W$1,0)</f>
        <v>0</v>
      </c>
      <c r="X1048" s="50"/>
      <c r="Y1048" s="62"/>
      <c r="Z1048" s="62"/>
      <c r="AA1048" s="62"/>
      <c r="AB1048" s="62"/>
      <c r="AC1048" s="62"/>
      <c r="AD1048" s="62"/>
      <c r="AE1048" s="62" t="s">
        <v>3315</v>
      </c>
      <c r="AF1048" s="62"/>
      <c r="AG1048" s="53">
        <f>(0.02*0.91+0.03*0.925)*0.51</f>
        <v>2.3434500000000004E-2</v>
      </c>
      <c r="AH1048" s="54">
        <f>(2.3/0.75/2)*0.51</f>
        <v>0.78199999999999992</v>
      </c>
      <c r="AI1048" s="54"/>
      <c r="AJ1048" s="56">
        <v>9530</v>
      </c>
      <c r="AK1048" s="62"/>
      <c r="AL1048" s="9">
        <v>2.3E-3</v>
      </c>
      <c r="AM1048" s="61" t="s">
        <v>74</v>
      </c>
      <c r="AN1048" s="62">
        <v>550</v>
      </c>
      <c r="AO1048" s="61" t="s">
        <v>2218</v>
      </c>
      <c r="AP1048" s="59"/>
      <c r="AQ1048" s="59"/>
      <c r="AR1048" s="59"/>
      <c r="AS1048" s="59"/>
      <c r="AT1048" s="59"/>
      <c r="AU1048" s="59"/>
      <c r="AV1048" s="59"/>
      <c r="AW1048" s="59"/>
      <c r="AX1048" s="59"/>
      <c r="AY1048" s="59"/>
      <c r="AZ1048" s="59"/>
      <c r="BA1048" s="141"/>
      <c r="BB1048" s="61" t="s">
        <v>235</v>
      </c>
      <c r="BC1048" s="165"/>
      <c r="BD1048" s="166"/>
      <c r="BE1048" s="167"/>
      <c r="BF1048" s="168"/>
      <c r="BG1048" s="167"/>
      <c r="BH1048" s="168"/>
      <c r="BI1048" s="169"/>
      <c r="BJ1048" s="168"/>
      <c r="BK1048" s="134"/>
      <c r="BL1048" s="168"/>
      <c r="BM1048" s="167"/>
      <c r="BN1048" s="168"/>
      <c r="BO1048" s="62"/>
      <c r="BP1048" s="168"/>
      <c r="BQ1048" s="168"/>
      <c r="BR1048" s="168"/>
      <c r="BS1048" s="135"/>
      <c r="BT1048" s="176"/>
      <c r="BU1048" s="167"/>
      <c r="BV1048" s="168"/>
      <c r="BW1048" s="167"/>
      <c r="BX1048" s="168"/>
      <c r="BY1048" s="167"/>
      <c r="BZ1048" s="176"/>
      <c r="CA1048" s="167"/>
      <c r="CB1048" s="168"/>
      <c r="CC1048" s="167"/>
      <c r="CD1048" s="168"/>
      <c r="CE1048" s="62"/>
      <c r="CF1048" s="62"/>
      <c r="CG1048" s="9"/>
      <c r="CH1048" s="9"/>
      <c r="CI1048" s="9"/>
      <c r="CJ1048" s="9"/>
      <c r="CK1048" s="9"/>
      <c r="CL1048" s="9"/>
      <c r="CM1048" s="9"/>
      <c r="CN1048" s="9"/>
      <c r="CO1048" s="9"/>
      <c r="CP1048" s="9"/>
    </row>
    <row r="1049" spans="1:94" ht="30" x14ac:dyDescent="0.25">
      <c r="A1049" s="127" t="s">
        <v>3316</v>
      </c>
      <c r="B1049" s="51" t="s">
        <v>3317</v>
      </c>
      <c r="C1049" s="62"/>
      <c r="D1049" s="84">
        <v>2</v>
      </c>
      <c r="E1049" s="62" t="s">
        <v>748</v>
      </c>
      <c r="F1049" s="62">
        <v>8</v>
      </c>
      <c r="G1049" s="62"/>
      <c r="H1049" s="50">
        <f>VLOOKUP($A1049,'[1]ma sp 02'!$A$5:$BD$1101,H$1,0)</f>
        <v>9.1999999999999998E-2</v>
      </c>
      <c r="I1049" s="50">
        <f>VLOOKUP($A1049,'[1]ma sp 02'!$A$5:$BD$1101,I$1,0)</f>
        <v>2.6320000000000001</v>
      </c>
      <c r="J1049" s="50">
        <f>VLOOKUP($A1049,'[1]ma sp 02'!$A$5:$BD$1101,J$1,0)</f>
        <v>4.5999999999999999E-2</v>
      </c>
      <c r="K1049" s="50">
        <f>VLOOKUP($A1049,'[1]ma sp 02'!$A$5:$BD$1101,K$1,0)</f>
        <v>9.1999999999999998E-2</v>
      </c>
      <c r="L1049" s="50">
        <f>VLOOKUP($A1049,'[1]ma sp 02'!$A$5:$BD$1101,L$1,0)</f>
        <v>0.82199999999999995</v>
      </c>
      <c r="M1049" s="50">
        <f>VLOOKUP($A1049,'[1]ma sp 02'!$A$5:$BD$1101,M$1,0)</f>
        <v>0.27700000000000002</v>
      </c>
      <c r="N1049" s="50">
        <f>VLOOKUP($A1049,'[1]ma sp 02'!$A$5:$BD$1101,N$1,0)</f>
        <v>0</v>
      </c>
      <c r="O1049" s="50">
        <f>VLOOKUP($A1049,'[1]ma sp 02'!$A$5:$BD$1101,O$1,0)</f>
        <v>0.314</v>
      </c>
      <c r="P1049" s="50">
        <f>VLOOKUP($A1049,'[1]ma sp 02'!$A$5:$BD$1101,P$1,0)</f>
        <v>0</v>
      </c>
      <c r="Q1049" s="50">
        <f>VLOOKUP($A1049,'[1]ma sp 02'!$A$5:$BD$1101,Q$1,0)</f>
        <v>0.20300000000000001</v>
      </c>
      <c r="R1049" s="50">
        <f>VLOOKUP($A1049,'[1]ma sp 02'!$A$5:$BD$1101,R$1,0)</f>
        <v>3.6999999999999998E-2</v>
      </c>
      <c r="S1049" s="50">
        <f>VLOOKUP($A1049,'[1]ma sp 02'!$A$5:$BD$1101,S$1,0)</f>
        <v>0</v>
      </c>
      <c r="T1049" s="50">
        <f>VLOOKUP($A1049,'[1]ma sp 02'!$A$5:$BD$1101,T$1,0)</f>
        <v>3.6999999999999998E-2</v>
      </c>
      <c r="U1049" s="50">
        <f>VLOOKUP($A1049,'[1]ma sp 02'!$A$5:$BD$1101,U$1,0)</f>
        <v>0</v>
      </c>
      <c r="V1049" s="50">
        <f>VLOOKUP($A1049,'[1]ma sp 02'!$A$5:$BD$1101,V$1,0)</f>
        <v>0</v>
      </c>
      <c r="W1049" s="50">
        <f>VLOOKUP($A1049,'[1]ma sp 02'!$A$5:$BD$1101,W$1,0)</f>
        <v>0</v>
      </c>
      <c r="X1049" s="50"/>
      <c r="Y1049" s="62"/>
      <c r="Z1049" s="62"/>
      <c r="AA1049" s="62"/>
      <c r="AB1049" s="62"/>
      <c r="AC1049" s="62"/>
      <c r="AD1049" s="62"/>
      <c r="AE1049" s="62" t="s">
        <v>749</v>
      </c>
      <c r="AF1049" s="62"/>
      <c r="AG1049" s="53">
        <f>(0.012*1.4+0.082*0.925)*0.89</f>
        <v>8.2458500000000004E-2</v>
      </c>
      <c r="AH1049" s="54">
        <f>(2.3/0.75/2)*0.89</f>
        <v>1.3646666666666665</v>
      </c>
      <c r="AI1049" s="54"/>
      <c r="AJ1049" s="56">
        <v>9530</v>
      </c>
      <c r="AK1049" s="62"/>
      <c r="AL1049" s="9">
        <v>2.3E-3</v>
      </c>
      <c r="AM1049" s="61" t="s">
        <v>74</v>
      </c>
      <c r="AN1049" s="62">
        <v>310</v>
      </c>
      <c r="AO1049" s="61" t="s">
        <v>3318</v>
      </c>
      <c r="AP1049" s="59"/>
      <c r="AQ1049" s="59"/>
      <c r="AR1049" s="59"/>
      <c r="AS1049" s="59"/>
      <c r="AT1049" s="59"/>
      <c r="AU1049" s="59"/>
      <c r="AV1049" s="59"/>
      <c r="AW1049" s="59"/>
      <c r="AX1049" s="59"/>
      <c r="AY1049" s="59"/>
      <c r="AZ1049" s="59"/>
      <c r="BA1049" s="141">
        <v>4000</v>
      </c>
      <c r="BB1049" s="61" t="s">
        <v>235</v>
      </c>
      <c r="BC1049" s="165"/>
      <c r="BD1049" s="166"/>
      <c r="BE1049" s="167"/>
      <c r="BF1049" s="168"/>
      <c r="BG1049" s="167"/>
      <c r="BH1049" s="168"/>
      <c r="BI1049" s="169"/>
      <c r="BJ1049" s="168"/>
      <c r="BK1049" s="134"/>
      <c r="BL1049" s="168"/>
      <c r="BM1049" s="167"/>
      <c r="BN1049" s="168"/>
      <c r="BO1049" s="62"/>
      <c r="BP1049" s="168"/>
      <c r="BQ1049" s="168"/>
      <c r="BR1049" s="168"/>
      <c r="BS1049" s="135"/>
      <c r="BT1049" s="176"/>
      <c r="BU1049" s="167"/>
      <c r="BV1049" s="168"/>
      <c r="BW1049" s="167"/>
      <c r="BX1049" s="168"/>
      <c r="BY1049" s="167"/>
      <c r="BZ1049" s="176"/>
      <c r="CA1049" s="167"/>
      <c r="CB1049" s="168"/>
      <c r="CC1049" s="167"/>
      <c r="CD1049" s="168"/>
      <c r="CE1049" s="62"/>
      <c r="CF1049" s="62"/>
      <c r="CG1049" s="9"/>
      <c r="CH1049" s="9"/>
      <c r="CI1049" s="9"/>
      <c r="CJ1049" s="9"/>
      <c r="CK1049" s="9"/>
      <c r="CL1049" s="9"/>
      <c r="CM1049" s="9"/>
      <c r="CN1049" s="9"/>
      <c r="CO1049" s="9"/>
      <c r="CP1049" s="9"/>
    </row>
    <row r="1050" spans="1:94" ht="30" x14ac:dyDescent="0.25">
      <c r="A1050" s="127" t="s">
        <v>3319</v>
      </c>
      <c r="B1050" s="51" t="s">
        <v>3320</v>
      </c>
      <c r="C1050" s="62"/>
      <c r="D1050" s="84">
        <v>2</v>
      </c>
      <c r="E1050" s="62" t="s">
        <v>748</v>
      </c>
      <c r="F1050" s="62">
        <v>8</v>
      </c>
      <c r="G1050" s="62"/>
      <c r="H1050" s="50">
        <f>VLOOKUP($A1050,'[1]ma sp 02'!$A$5:$BD$1101,H$1,0)</f>
        <v>0</v>
      </c>
      <c r="I1050" s="50">
        <f>VLOOKUP($A1050,'[1]ma sp 02'!$A$5:$BD$1101,I$1,0)</f>
        <v>4.0780000000000003</v>
      </c>
      <c r="J1050" s="50">
        <f>VLOOKUP($A1050,'[1]ma sp 02'!$A$5:$BD$1101,J$1,0)</f>
        <v>7.0000000000000007E-2</v>
      </c>
      <c r="K1050" s="50">
        <f>VLOOKUP($A1050,'[1]ma sp 02'!$A$5:$BD$1101,K$1,0)</f>
        <v>0.35199999999999998</v>
      </c>
      <c r="L1050" s="50">
        <f>VLOOKUP($A1050,'[1]ma sp 02'!$A$5:$BD$1101,L$1,0)</f>
        <v>2.3199999999999998</v>
      </c>
      <c r="M1050" s="50">
        <f>VLOOKUP($A1050,'[1]ma sp 02'!$A$5:$BD$1101,M$1,0)</f>
        <v>0.42199999999999999</v>
      </c>
      <c r="N1050" s="50">
        <f>VLOOKUP($A1050,'[1]ma sp 02'!$A$5:$BD$1101,N$1,0)</f>
        <v>0</v>
      </c>
      <c r="O1050" s="50">
        <f>VLOOKUP($A1050,'[1]ma sp 02'!$A$5:$BD$1101,O$1,0)</f>
        <v>0</v>
      </c>
      <c r="P1050" s="50">
        <f>VLOOKUP($A1050,'[1]ma sp 02'!$A$5:$BD$1101,P$1,0)</f>
        <v>0</v>
      </c>
      <c r="Q1050" s="50">
        <f>VLOOKUP($A1050,'[1]ma sp 02'!$A$5:$BD$1101,Q$1,0)</f>
        <v>0</v>
      </c>
      <c r="R1050" s="50">
        <f>VLOOKUP($A1050,'[1]ma sp 02'!$A$5:$BD$1101,R$1,0)</f>
        <v>0</v>
      </c>
      <c r="S1050" s="50">
        <f>VLOOKUP($A1050,'[1]ma sp 02'!$A$5:$BD$1101,S$1,0)</f>
        <v>0</v>
      </c>
      <c r="T1050" s="50">
        <f>VLOOKUP($A1050,'[1]ma sp 02'!$A$5:$BD$1101,T$1,0)</f>
        <v>0.01</v>
      </c>
      <c r="U1050" s="50">
        <f>VLOOKUP($A1050,'[1]ma sp 02'!$A$5:$BD$1101,U$1,0)</f>
        <v>0</v>
      </c>
      <c r="V1050" s="50">
        <f>VLOOKUP($A1050,'[1]ma sp 02'!$A$5:$BD$1101,V$1,0)</f>
        <v>0</v>
      </c>
      <c r="W1050" s="50">
        <f>VLOOKUP($A1050,'[1]ma sp 02'!$A$5:$BD$1101,W$1,0)</f>
        <v>0</v>
      </c>
      <c r="X1050" s="50"/>
      <c r="Y1050" s="62"/>
      <c r="Z1050" s="62"/>
      <c r="AA1050" s="62"/>
      <c r="AB1050" s="62"/>
      <c r="AC1050" s="62"/>
      <c r="AD1050" s="62"/>
      <c r="AE1050" s="62" t="s">
        <v>749</v>
      </c>
      <c r="AF1050" s="62"/>
      <c r="AG1050" s="53">
        <f>(0.012*1.4+0.082*0.925)*0.89</f>
        <v>8.2458500000000004E-2</v>
      </c>
      <c r="AH1050" s="54">
        <f>(2.3/0.75/2)*0.89</f>
        <v>1.3646666666666665</v>
      </c>
      <c r="AI1050" s="54"/>
      <c r="AJ1050" s="56">
        <v>9530</v>
      </c>
      <c r="AK1050" s="62"/>
      <c r="AL1050" s="9">
        <v>2.3E-3</v>
      </c>
      <c r="AM1050" s="61" t="s">
        <v>74</v>
      </c>
      <c r="AN1050" s="62">
        <v>310</v>
      </c>
      <c r="AO1050" s="61" t="s">
        <v>3318</v>
      </c>
      <c r="AP1050" s="59"/>
      <c r="AQ1050" s="59"/>
      <c r="AR1050" s="59"/>
      <c r="AS1050" s="59"/>
      <c r="AT1050" s="59"/>
      <c r="AU1050" s="59"/>
      <c r="AV1050" s="59"/>
      <c r="AW1050" s="59"/>
      <c r="AX1050" s="59"/>
      <c r="AY1050" s="59"/>
      <c r="AZ1050" s="59"/>
      <c r="BA1050" s="141">
        <v>4000</v>
      </c>
      <c r="BB1050" s="61" t="s">
        <v>235</v>
      </c>
      <c r="BC1050" s="165"/>
      <c r="BD1050" s="166"/>
      <c r="BE1050" s="167"/>
      <c r="BF1050" s="168"/>
      <c r="BG1050" s="167"/>
      <c r="BH1050" s="168"/>
      <c r="BI1050" s="169"/>
      <c r="BJ1050" s="168"/>
      <c r="BK1050" s="134"/>
      <c r="BL1050" s="168"/>
      <c r="BM1050" s="167"/>
      <c r="BN1050" s="168"/>
      <c r="BO1050" s="62"/>
      <c r="BP1050" s="168"/>
      <c r="BQ1050" s="168"/>
      <c r="BR1050" s="168"/>
      <c r="BS1050" s="135"/>
      <c r="BT1050" s="176"/>
      <c r="BU1050" s="167"/>
      <c r="BV1050" s="168"/>
      <c r="BW1050" s="167"/>
      <c r="BX1050" s="168"/>
      <c r="BY1050" s="167"/>
      <c r="BZ1050" s="176"/>
      <c r="CA1050" s="167"/>
      <c r="CB1050" s="168"/>
      <c r="CC1050" s="167"/>
      <c r="CD1050" s="168"/>
      <c r="CE1050" s="62"/>
      <c r="CF1050" s="62"/>
      <c r="CG1050" s="9"/>
      <c r="CH1050" s="9"/>
      <c r="CI1050" s="9"/>
      <c r="CJ1050" s="9"/>
      <c r="CK1050" s="9"/>
      <c r="CL1050" s="9"/>
      <c r="CM1050" s="9"/>
      <c r="CN1050" s="9"/>
      <c r="CO1050" s="9"/>
      <c r="CP1050" s="9"/>
    </row>
    <row r="1051" spans="1:94" ht="30" x14ac:dyDescent="0.25">
      <c r="A1051" s="127" t="s">
        <v>3321</v>
      </c>
      <c r="B1051" s="51" t="s">
        <v>3322</v>
      </c>
      <c r="C1051" s="62"/>
      <c r="D1051" s="84">
        <v>1</v>
      </c>
      <c r="E1051" s="62" t="s">
        <v>1107</v>
      </c>
      <c r="F1051" s="62">
        <v>8</v>
      </c>
      <c r="G1051" s="62"/>
      <c r="H1051" s="50">
        <f>VLOOKUP($A1051,'[1]ma sp 02'!$A$5:$BD$1101,H$1,0)</f>
        <v>0.308</v>
      </c>
      <c r="I1051" s="50">
        <f>VLOOKUP($A1051,'[1]ma sp 02'!$A$5:$BD$1101,I$1,0)</f>
        <v>0</v>
      </c>
      <c r="J1051" s="50">
        <f>VLOOKUP($A1051,'[1]ma sp 02'!$A$5:$BD$1101,J$1,0)</f>
        <v>0.01</v>
      </c>
      <c r="K1051" s="50">
        <f>VLOOKUP($A1051,'[1]ma sp 02'!$A$5:$BD$1101,K$1,0)</f>
        <v>0.20499999999999999</v>
      </c>
      <c r="L1051" s="50">
        <f>VLOOKUP($A1051,'[1]ma sp 02'!$A$5:$BD$1101,L$1,0)</f>
        <v>0.71899999999999997</v>
      </c>
      <c r="M1051" s="50">
        <f>VLOOKUP($A1051,'[1]ma sp 02'!$A$5:$BD$1101,M$1,0)</f>
        <v>0.61599999999999999</v>
      </c>
      <c r="N1051" s="50">
        <f>VLOOKUP($A1051,'[1]ma sp 02'!$A$5:$BD$1101,N$1,0)</f>
        <v>0</v>
      </c>
      <c r="O1051" s="50">
        <f>VLOOKUP($A1051,'[1]ma sp 02'!$A$5:$BD$1101,O$1,0)</f>
        <v>1.3859999999999999</v>
      </c>
      <c r="P1051" s="50">
        <f>VLOOKUP($A1051,'[1]ma sp 02'!$A$5:$BD$1101,P$1,0)</f>
        <v>0</v>
      </c>
      <c r="Q1051" s="50">
        <f>VLOOKUP($A1051,'[1]ma sp 02'!$A$5:$BD$1101,Q$1,0)</f>
        <v>0.308</v>
      </c>
      <c r="R1051" s="50">
        <f>VLOOKUP($A1051,'[1]ma sp 02'!$A$5:$BD$1101,R$1,0)</f>
        <v>0</v>
      </c>
      <c r="S1051" s="50">
        <f>VLOOKUP($A1051,'[1]ma sp 02'!$A$5:$BD$1101,S$1,0)</f>
        <v>0</v>
      </c>
      <c r="T1051" s="50">
        <f>VLOOKUP($A1051,'[1]ma sp 02'!$A$5:$BD$1101,T$1,0)</f>
        <v>5.0999999999999997E-2</v>
      </c>
      <c r="U1051" s="50">
        <f>VLOOKUP($A1051,'[1]ma sp 02'!$A$5:$BD$1101,U$1,0)</f>
        <v>0</v>
      </c>
      <c r="V1051" s="50">
        <f>VLOOKUP($A1051,'[1]ma sp 02'!$A$5:$BD$1101,V$1,0)</f>
        <v>0</v>
      </c>
      <c r="W1051" s="50">
        <f>VLOOKUP($A1051,'[1]ma sp 02'!$A$5:$BD$1101,W$1,0)</f>
        <v>0</v>
      </c>
      <c r="X1051" s="50"/>
      <c r="Y1051" s="62"/>
      <c r="Z1051" s="62"/>
      <c r="AA1051" s="62"/>
      <c r="AB1051" s="62"/>
      <c r="AC1051" s="62"/>
      <c r="AD1051" s="62"/>
      <c r="AE1051" s="62"/>
      <c r="AF1051" s="62"/>
      <c r="AG1051" s="53"/>
      <c r="AH1051" s="54"/>
      <c r="AI1051" s="54"/>
      <c r="AJ1051" s="62"/>
      <c r="AK1051" s="62"/>
      <c r="AL1051" s="9"/>
      <c r="AM1051" s="61"/>
      <c r="AN1051" s="62">
        <v>1100</v>
      </c>
      <c r="AO1051" s="61" t="s">
        <v>3318</v>
      </c>
      <c r="AP1051" s="59"/>
      <c r="AQ1051" s="59"/>
      <c r="AR1051" s="59"/>
      <c r="AS1051" s="59"/>
      <c r="AT1051" s="59"/>
      <c r="AU1051" s="59"/>
      <c r="AV1051" s="59"/>
      <c r="AW1051" s="59"/>
      <c r="AX1051" s="59"/>
      <c r="AY1051" s="59"/>
      <c r="AZ1051" s="59"/>
      <c r="BA1051" s="141" t="s">
        <v>3119</v>
      </c>
      <c r="BB1051" s="61" t="s">
        <v>952</v>
      </c>
      <c r="BC1051" s="165"/>
      <c r="BD1051" s="166"/>
      <c r="BE1051" s="167"/>
      <c r="BF1051" s="168"/>
      <c r="BG1051" s="167"/>
      <c r="BH1051" s="168"/>
      <c r="BI1051" s="169"/>
      <c r="BJ1051" s="168"/>
      <c r="BK1051" s="134"/>
      <c r="BL1051" s="168"/>
      <c r="BM1051" s="167"/>
      <c r="BN1051" s="168"/>
      <c r="BO1051" s="62"/>
      <c r="BP1051" s="168"/>
      <c r="BQ1051" s="168"/>
      <c r="BR1051" s="168"/>
      <c r="BS1051" s="135"/>
      <c r="BT1051" s="176"/>
      <c r="BU1051" s="167"/>
      <c r="BV1051" s="168"/>
      <c r="BW1051" s="167"/>
      <c r="BX1051" s="168"/>
      <c r="BY1051" s="167"/>
      <c r="BZ1051" s="176"/>
      <c r="CA1051" s="167"/>
      <c r="CB1051" s="168"/>
      <c r="CC1051" s="167"/>
      <c r="CD1051" s="168"/>
      <c r="CE1051" s="62"/>
      <c r="CF1051" s="62"/>
      <c r="CG1051" s="9"/>
      <c r="CH1051" s="9"/>
      <c r="CI1051" s="9"/>
      <c r="CJ1051" s="9"/>
      <c r="CK1051" s="9"/>
      <c r="CL1051" s="9"/>
      <c r="CM1051" s="9"/>
      <c r="CN1051" s="9"/>
      <c r="CO1051" s="9"/>
      <c r="CP1051" s="9"/>
    </row>
    <row r="1052" spans="1:94" ht="30" x14ac:dyDescent="0.25">
      <c r="A1052" s="127" t="s">
        <v>3323</v>
      </c>
      <c r="B1052" s="51" t="s">
        <v>3324</v>
      </c>
      <c r="C1052" s="62"/>
      <c r="D1052" s="84">
        <v>1</v>
      </c>
      <c r="E1052" s="62" t="s">
        <v>1107</v>
      </c>
      <c r="F1052" s="62">
        <v>8</v>
      </c>
      <c r="G1052" s="62"/>
      <c r="H1052" s="50">
        <f>VLOOKUP($A1052,'[1]ma sp 02'!$A$5:$BD$1101,H$1,0)</f>
        <v>0.59199999999999997</v>
      </c>
      <c r="I1052" s="50">
        <f>VLOOKUP($A1052,'[1]ma sp 02'!$A$5:$BD$1101,I$1,0)</f>
        <v>0</v>
      </c>
      <c r="J1052" s="50">
        <f>VLOOKUP($A1052,'[1]ma sp 02'!$A$5:$BD$1101,J$1,0)</f>
        <v>0.39500000000000002</v>
      </c>
      <c r="K1052" s="50">
        <f>VLOOKUP($A1052,'[1]ma sp 02'!$A$5:$BD$1101,K$1,0)</f>
        <v>0.39500000000000002</v>
      </c>
      <c r="L1052" s="50">
        <f>VLOOKUP($A1052,'[1]ma sp 02'!$A$5:$BD$1101,L$1,0)</f>
        <v>5.5279999999999996</v>
      </c>
      <c r="M1052" s="50">
        <f>VLOOKUP($A1052,'[1]ma sp 02'!$A$5:$BD$1101,M$1,0)</f>
        <v>0</v>
      </c>
      <c r="N1052" s="50">
        <f>VLOOKUP($A1052,'[1]ma sp 02'!$A$5:$BD$1101,N$1,0)</f>
        <v>0</v>
      </c>
      <c r="O1052" s="50">
        <f>VLOOKUP($A1052,'[1]ma sp 02'!$A$5:$BD$1101,O$1,0)</f>
        <v>0.01</v>
      </c>
      <c r="P1052" s="50">
        <f>VLOOKUP($A1052,'[1]ma sp 02'!$A$5:$BD$1101,P$1,0)</f>
        <v>0</v>
      </c>
      <c r="Q1052" s="50">
        <f>VLOOKUP($A1052,'[1]ma sp 02'!$A$5:$BD$1101,Q$1,0)</f>
        <v>0</v>
      </c>
      <c r="R1052" s="50">
        <f>VLOOKUP($A1052,'[1]ma sp 02'!$A$5:$BD$1101,R$1,0)</f>
        <v>0</v>
      </c>
      <c r="S1052" s="50">
        <f>VLOOKUP($A1052,'[1]ma sp 02'!$A$5:$BD$1101,S$1,0)</f>
        <v>0</v>
      </c>
      <c r="T1052" s="50">
        <f>VLOOKUP($A1052,'[1]ma sp 02'!$A$5:$BD$1101,T$1,0)</f>
        <v>0.39500000000000002</v>
      </c>
      <c r="U1052" s="50">
        <f>VLOOKUP($A1052,'[1]ma sp 02'!$A$5:$BD$1101,U$1,0)</f>
        <v>0</v>
      </c>
      <c r="V1052" s="50">
        <f>VLOOKUP($A1052,'[1]ma sp 02'!$A$5:$BD$1101,V$1,0)</f>
        <v>0</v>
      </c>
      <c r="W1052" s="50">
        <f>VLOOKUP($A1052,'[1]ma sp 02'!$A$5:$BD$1101,W$1,0)</f>
        <v>0</v>
      </c>
      <c r="X1052" s="50"/>
      <c r="Y1052" s="62"/>
      <c r="Z1052" s="62"/>
      <c r="AA1052" s="62"/>
      <c r="AB1052" s="62"/>
      <c r="AC1052" s="62"/>
      <c r="AD1052" s="62"/>
      <c r="AE1052" s="62"/>
      <c r="AF1052" s="62"/>
      <c r="AG1052" s="53"/>
      <c r="AH1052" s="54"/>
      <c r="AI1052" s="54"/>
      <c r="AJ1052" s="62"/>
      <c r="AK1052" s="62"/>
      <c r="AL1052" s="9"/>
      <c r="AM1052" s="61"/>
      <c r="AN1052" s="62">
        <v>1100</v>
      </c>
      <c r="AO1052" s="61" t="s">
        <v>3318</v>
      </c>
      <c r="AP1052" s="59"/>
      <c r="AQ1052" s="59"/>
      <c r="AR1052" s="59"/>
      <c r="AS1052" s="59"/>
      <c r="AT1052" s="59"/>
      <c r="AU1052" s="59"/>
      <c r="AV1052" s="59"/>
      <c r="AW1052" s="59"/>
      <c r="AX1052" s="59"/>
      <c r="AY1052" s="59"/>
      <c r="AZ1052" s="59"/>
      <c r="BA1052" s="141" t="s">
        <v>3119</v>
      </c>
      <c r="BB1052" s="61" t="s">
        <v>952</v>
      </c>
      <c r="BC1052" s="165"/>
      <c r="BD1052" s="166"/>
      <c r="BE1052" s="167"/>
      <c r="BF1052" s="168"/>
      <c r="BG1052" s="167"/>
      <c r="BH1052" s="168"/>
      <c r="BI1052" s="169"/>
      <c r="BJ1052" s="168"/>
      <c r="BK1052" s="134"/>
      <c r="BL1052" s="168"/>
      <c r="BM1052" s="167"/>
      <c r="BN1052" s="168"/>
      <c r="BO1052" s="62"/>
      <c r="BP1052" s="168"/>
      <c r="BQ1052" s="168"/>
      <c r="BR1052" s="168"/>
      <c r="BS1052" s="135"/>
      <c r="BT1052" s="176"/>
      <c r="BU1052" s="167"/>
      <c r="BV1052" s="168"/>
      <c r="BW1052" s="167"/>
      <c r="BX1052" s="168"/>
      <c r="BY1052" s="167"/>
      <c r="BZ1052" s="176"/>
      <c r="CA1052" s="167"/>
      <c r="CB1052" s="168"/>
      <c r="CC1052" s="167"/>
      <c r="CD1052" s="168"/>
      <c r="CE1052" s="62"/>
      <c r="CF1052" s="62"/>
      <c r="CG1052" s="9"/>
      <c r="CH1052" s="9"/>
      <c r="CI1052" s="9"/>
      <c r="CJ1052" s="9"/>
      <c r="CK1052" s="9"/>
      <c r="CL1052" s="9"/>
      <c r="CM1052" s="9"/>
      <c r="CN1052" s="9"/>
      <c r="CO1052" s="9"/>
      <c r="CP1052" s="9"/>
    </row>
    <row r="1053" spans="1:94" ht="45" x14ac:dyDescent="0.25">
      <c r="A1053" s="127" t="s">
        <v>3325</v>
      </c>
      <c r="B1053" s="51" t="s">
        <v>3326</v>
      </c>
      <c r="C1053" s="62"/>
      <c r="D1053" s="84">
        <v>1</v>
      </c>
      <c r="E1053" s="62" t="s">
        <v>351</v>
      </c>
      <c r="F1053" s="62">
        <v>6</v>
      </c>
      <c r="G1053" s="62"/>
      <c r="H1053" s="50">
        <f>VLOOKUP($A1053,'[1]ma sp 02'!$A$5:$BD$1101,H$1,0)</f>
        <v>0.71499999999999997</v>
      </c>
      <c r="I1053" s="50">
        <f>VLOOKUP($A1053,'[1]ma sp 02'!$A$5:$BD$1101,I$1,0)</f>
        <v>5.9569999999999999</v>
      </c>
      <c r="J1053" s="50">
        <f>VLOOKUP($A1053,'[1]ma sp 02'!$A$5:$BD$1101,J$1,0)</f>
        <v>0.11899999999999999</v>
      </c>
      <c r="K1053" s="50">
        <f>VLOOKUP($A1053,'[1]ma sp 02'!$A$5:$BD$1101,K$1,0)</f>
        <v>1.0720000000000001</v>
      </c>
      <c r="L1053" s="50">
        <f>VLOOKUP($A1053,'[1]ma sp 02'!$A$5:$BD$1101,L$1,0)</f>
        <v>0.71499999999999997</v>
      </c>
      <c r="M1053" s="50">
        <f>VLOOKUP($A1053,'[1]ma sp 02'!$A$5:$BD$1101,M$1,0)</f>
        <v>2.621</v>
      </c>
      <c r="N1053" s="50">
        <f>VLOOKUP($A1053,'[1]ma sp 02'!$A$5:$BD$1101,N$1,0)</f>
        <v>0</v>
      </c>
      <c r="O1053" s="50">
        <f>VLOOKUP($A1053,'[1]ma sp 02'!$A$5:$BD$1101,O$1,0)</f>
        <v>0</v>
      </c>
      <c r="P1053" s="50">
        <f>VLOOKUP($A1053,'[1]ma sp 02'!$A$5:$BD$1101,P$1,0)</f>
        <v>0</v>
      </c>
      <c r="Q1053" s="50">
        <f>VLOOKUP($A1053,'[1]ma sp 02'!$A$5:$BD$1101,Q$1,0)</f>
        <v>0</v>
      </c>
      <c r="R1053" s="50">
        <f>VLOOKUP($A1053,'[1]ma sp 02'!$A$5:$BD$1101,R$1,0)</f>
        <v>0.35699999999999998</v>
      </c>
      <c r="S1053" s="50">
        <f>VLOOKUP($A1053,'[1]ma sp 02'!$A$5:$BD$1101,S$1,0)</f>
        <v>0</v>
      </c>
      <c r="T1053" s="50">
        <f>VLOOKUP($A1053,'[1]ma sp 02'!$A$5:$BD$1101,T$1,0)</f>
        <v>0</v>
      </c>
      <c r="U1053" s="50">
        <f>VLOOKUP($A1053,'[1]ma sp 02'!$A$5:$BD$1101,U$1,0)</f>
        <v>0</v>
      </c>
      <c r="V1053" s="50">
        <f>VLOOKUP($A1053,'[1]ma sp 02'!$A$5:$BD$1101,V$1,0)</f>
        <v>0</v>
      </c>
      <c r="W1053" s="50">
        <f>VLOOKUP($A1053,'[1]ma sp 02'!$A$5:$BD$1101,W$1,0)</f>
        <v>0</v>
      </c>
      <c r="X1053" s="50"/>
      <c r="Y1053" s="62"/>
      <c r="Z1053" s="62"/>
      <c r="AA1053" s="62"/>
      <c r="AB1053" s="62"/>
      <c r="AC1053" s="62"/>
      <c r="AD1053" s="62"/>
      <c r="AE1053" s="62" t="s">
        <v>3327</v>
      </c>
      <c r="AF1053" s="62"/>
      <c r="AG1053" s="53">
        <f>(0.012*1.4+0.12*0.925)*0.8</f>
        <v>0.10224</v>
      </c>
      <c r="AH1053" s="54">
        <f>(3/0.75/2)*0.79</f>
        <v>1.58</v>
      </c>
      <c r="AI1053" s="54"/>
      <c r="AJ1053" s="56">
        <v>9530</v>
      </c>
      <c r="AK1053" s="62"/>
      <c r="AL1053" s="9">
        <v>3.0000000000000001E-3</v>
      </c>
      <c r="AM1053" s="61" t="s">
        <v>3328</v>
      </c>
      <c r="AN1053" s="62">
        <v>220</v>
      </c>
      <c r="AO1053" s="61" t="s">
        <v>3329</v>
      </c>
      <c r="AP1053" s="59"/>
      <c r="AQ1053" s="59"/>
      <c r="AR1053" s="59"/>
      <c r="AS1053" s="59"/>
      <c r="AT1053" s="59"/>
      <c r="AU1053" s="59"/>
      <c r="AV1053" s="59"/>
      <c r="AW1053" s="59"/>
      <c r="AX1053" s="59"/>
      <c r="AY1053" s="59"/>
      <c r="AZ1053" s="59"/>
      <c r="BA1053" s="141"/>
      <c r="BB1053" s="61" t="s">
        <v>1894</v>
      </c>
      <c r="BC1053" s="165"/>
      <c r="BD1053" s="166"/>
      <c r="BE1053" s="167"/>
      <c r="BF1053" s="168"/>
      <c r="BG1053" s="167"/>
      <c r="BH1053" s="168"/>
      <c r="BI1053" s="169"/>
      <c r="BJ1053" s="168"/>
      <c r="BK1053" s="134"/>
      <c r="BL1053" s="168"/>
      <c r="BM1053" s="167"/>
      <c r="BN1053" s="168"/>
      <c r="BO1053" s="62"/>
      <c r="BP1053" s="168"/>
      <c r="BQ1053" s="168"/>
      <c r="BR1053" s="168"/>
      <c r="BS1053" s="135"/>
      <c r="BT1053" s="176"/>
      <c r="BU1053" s="167"/>
      <c r="BV1053" s="168"/>
      <c r="BW1053" s="167"/>
      <c r="BX1053" s="168"/>
      <c r="BY1053" s="167"/>
      <c r="BZ1053" s="176"/>
      <c r="CA1053" s="167"/>
      <c r="CB1053" s="168"/>
      <c r="CC1053" s="167"/>
      <c r="CD1053" s="168"/>
      <c r="CE1053" s="62"/>
      <c r="CF1053" s="62"/>
      <c r="CG1053" s="9"/>
      <c r="CH1053" s="9"/>
      <c r="CI1053" s="9"/>
      <c r="CJ1053" s="9"/>
      <c r="CK1053" s="9"/>
      <c r="CL1053" s="9"/>
      <c r="CM1053" s="9"/>
      <c r="CN1053" s="9"/>
      <c r="CO1053" s="9"/>
      <c r="CP1053" s="9"/>
    </row>
    <row r="1054" spans="1:94" ht="30" x14ac:dyDescent="0.25">
      <c r="A1054" s="127" t="s">
        <v>3330</v>
      </c>
      <c r="B1054" s="51" t="s">
        <v>3331</v>
      </c>
      <c r="C1054" s="62"/>
      <c r="D1054" s="84">
        <v>4</v>
      </c>
      <c r="E1054" s="62" t="s">
        <v>2390</v>
      </c>
      <c r="F1054" s="62">
        <v>8</v>
      </c>
      <c r="G1054" s="62" t="s">
        <v>184</v>
      </c>
      <c r="H1054" s="50">
        <f>VLOOKUP($A1054,'[1]ma sp 02'!$A$5:$BD$1101,H$1,0)</f>
        <v>0.01</v>
      </c>
      <c r="I1054" s="50">
        <f>VLOOKUP($A1054,'[1]ma sp 02'!$A$5:$BD$1101,I$1,0)</f>
        <v>5.6079999999999997</v>
      </c>
      <c r="J1054" s="50">
        <f>VLOOKUP($A1054,'[1]ma sp 02'!$A$5:$BD$1101,J$1,0)</f>
        <v>0.83099999999999996</v>
      </c>
      <c r="K1054" s="50">
        <f>VLOOKUP($A1054,'[1]ma sp 02'!$A$5:$BD$1101,K$1,0)</f>
        <v>0.26</v>
      </c>
      <c r="L1054" s="50">
        <f>VLOOKUP($A1054,'[1]ma sp 02'!$A$5:$BD$1101,L$1,0)</f>
        <v>0.01</v>
      </c>
      <c r="M1054" s="50">
        <f>VLOOKUP($A1054,'[1]ma sp 02'!$A$5:$BD$1101,M$1,0)</f>
        <v>1.6619999999999999</v>
      </c>
      <c r="N1054" s="50">
        <f>VLOOKUP($A1054,'[1]ma sp 02'!$A$5:$BD$1101,N$1,0)</f>
        <v>0</v>
      </c>
      <c r="O1054" s="50">
        <f>VLOOKUP($A1054,'[1]ma sp 02'!$A$5:$BD$1101,O$1,0)</f>
        <v>5.1999999999999998E-2</v>
      </c>
      <c r="P1054" s="50">
        <f>VLOOKUP($A1054,'[1]ma sp 02'!$A$5:$BD$1101,P$1,0)</f>
        <v>0.104</v>
      </c>
      <c r="Q1054" s="50">
        <f>VLOOKUP($A1054,'[1]ma sp 02'!$A$5:$BD$1101,Q$1,0)</f>
        <v>0</v>
      </c>
      <c r="R1054" s="50">
        <f>VLOOKUP($A1054,'[1]ma sp 02'!$A$5:$BD$1101,R$1,0)</f>
        <v>0</v>
      </c>
      <c r="S1054" s="50">
        <f>VLOOKUP($A1054,'[1]ma sp 02'!$A$5:$BD$1101,S$1,0)</f>
        <v>0</v>
      </c>
      <c r="T1054" s="50">
        <f>VLOOKUP($A1054,'[1]ma sp 02'!$A$5:$BD$1101,T$1,0)</f>
        <v>0.72699999999999998</v>
      </c>
      <c r="U1054" s="50">
        <f>VLOOKUP($A1054,'[1]ma sp 02'!$A$5:$BD$1101,U$1,0)</f>
        <v>0</v>
      </c>
      <c r="V1054" s="50">
        <f>VLOOKUP($A1054,'[1]ma sp 02'!$A$5:$BD$1101,V$1,0)</f>
        <v>0</v>
      </c>
      <c r="W1054" s="50">
        <f>VLOOKUP($A1054,'[1]ma sp 02'!$A$5:$BD$1101,W$1,0)</f>
        <v>0</v>
      </c>
      <c r="X1054" s="50"/>
      <c r="Y1054" s="62"/>
      <c r="Z1054" s="62"/>
      <c r="AA1054" s="62"/>
      <c r="AB1054" s="62"/>
      <c r="AC1054" s="62"/>
      <c r="AD1054" s="62"/>
      <c r="AE1054" s="62" t="s">
        <v>2162</v>
      </c>
      <c r="AF1054" s="62"/>
      <c r="AG1054" s="53">
        <f>(0.03*0.91+0.035*0.91)*0.88</f>
        <v>5.2052000000000008E-2</v>
      </c>
      <c r="AH1054" s="54">
        <f>(2.3/0.75/2)*0.87</f>
        <v>1.3339999999999999</v>
      </c>
      <c r="AI1054" s="54"/>
      <c r="AJ1054" s="62">
        <v>9530</v>
      </c>
      <c r="AK1054" s="62"/>
      <c r="AL1054" s="62">
        <v>2.3E-3</v>
      </c>
      <c r="AM1054" s="61" t="s">
        <v>1489</v>
      </c>
      <c r="AN1054" s="62">
        <v>138</v>
      </c>
      <c r="AO1054" s="61" t="s">
        <v>169</v>
      </c>
      <c r="AP1054" s="59"/>
      <c r="AQ1054" s="59"/>
      <c r="AR1054" s="59"/>
      <c r="AS1054" s="59"/>
      <c r="AT1054" s="59"/>
      <c r="AU1054" s="59"/>
      <c r="AV1054" s="59"/>
      <c r="AW1054" s="59"/>
      <c r="AX1054" s="59"/>
      <c r="AY1054" s="59"/>
      <c r="AZ1054" s="59"/>
      <c r="BA1054" s="141"/>
      <c r="BB1054" s="61" t="s">
        <v>952</v>
      </c>
      <c r="BC1054" s="165"/>
      <c r="BD1054" s="166"/>
      <c r="BE1054" s="167"/>
      <c r="BF1054" s="168"/>
      <c r="BG1054" s="167"/>
      <c r="BH1054" s="168"/>
      <c r="BI1054" s="169"/>
      <c r="BJ1054" s="168"/>
      <c r="BK1054" s="134"/>
      <c r="BL1054" s="168"/>
      <c r="BM1054" s="167"/>
      <c r="BN1054" s="168"/>
      <c r="BO1054" s="62"/>
      <c r="BP1054" s="168"/>
      <c r="BQ1054" s="168"/>
      <c r="BR1054" s="168"/>
      <c r="BS1054" s="135"/>
      <c r="BT1054" s="176"/>
      <c r="BU1054" s="167"/>
      <c r="BV1054" s="168"/>
      <c r="BW1054" s="167"/>
      <c r="BX1054" s="168"/>
      <c r="BY1054" s="167"/>
      <c r="BZ1054" s="176"/>
      <c r="CA1054" s="167"/>
      <c r="CB1054" s="168"/>
      <c r="CC1054" s="167"/>
      <c r="CD1054" s="168"/>
      <c r="CE1054" s="62"/>
      <c r="CF1054" s="62"/>
      <c r="CG1054" s="9"/>
      <c r="CH1054" s="9"/>
      <c r="CI1054" s="9"/>
      <c r="CJ1054" s="9"/>
      <c r="CK1054" s="9"/>
      <c r="CL1054" s="9"/>
      <c r="CM1054" s="9"/>
      <c r="CN1054" s="9"/>
      <c r="CO1054" s="9"/>
      <c r="CP1054" s="9"/>
    </row>
    <row r="1055" spans="1:94" ht="45" x14ac:dyDescent="0.25">
      <c r="A1055" s="127" t="s">
        <v>3332</v>
      </c>
      <c r="B1055" s="51" t="s">
        <v>3333</v>
      </c>
      <c r="C1055" s="62"/>
      <c r="D1055" s="84">
        <v>3</v>
      </c>
      <c r="E1055" s="62" t="s">
        <v>841</v>
      </c>
      <c r="F1055" s="62">
        <v>5</v>
      </c>
      <c r="G1055" s="62"/>
      <c r="H1055" s="50">
        <f>VLOOKUP($A1055,'[1]ma sp 02'!$A$5:$BD$1101,H$1,0)</f>
        <v>0</v>
      </c>
      <c r="I1055" s="50">
        <f>VLOOKUP($A1055,'[1]ma sp 02'!$A$5:$BD$1101,I$1,0)</f>
        <v>3.17</v>
      </c>
      <c r="J1055" s="50">
        <f>VLOOKUP($A1055,'[1]ma sp 02'!$A$5:$BD$1101,J$1,0)</f>
        <v>0.77500000000000002</v>
      </c>
      <c r="K1055" s="50">
        <f>VLOOKUP($A1055,'[1]ma sp 02'!$A$5:$BD$1101,K$1,0)</f>
        <v>0.56399999999999995</v>
      </c>
      <c r="L1055" s="50">
        <f>VLOOKUP($A1055,'[1]ma sp 02'!$A$5:$BD$1101,L$1,0)</f>
        <v>0.01</v>
      </c>
      <c r="M1055" s="50">
        <f>VLOOKUP($A1055,'[1]ma sp 02'!$A$5:$BD$1101,M$1,0)</f>
        <v>1.127</v>
      </c>
      <c r="N1055" s="50">
        <f>VLOOKUP($A1055,'[1]ma sp 02'!$A$5:$BD$1101,N$1,0)</f>
        <v>0</v>
      </c>
      <c r="O1055" s="50">
        <f>VLOOKUP($A1055,'[1]ma sp 02'!$A$5:$BD$1101,O$1,0)</f>
        <v>0</v>
      </c>
      <c r="P1055" s="50">
        <f>VLOOKUP($A1055,'[1]ma sp 02'!$A$5:$BD$1101,P$1,0)</f>
        <v>0</v>
      </c>
      <c r="Q1055" s="50">
        <f>VLOOKUP($A1055,'[1]ma sp 02'!$A$5:$BD$1101,Q$1,0)</f>
        <v>0</v>
      </c>
      <c r="R1055" s="50">
        <f>VLOOKUP($A1055,'[1]ma sp 02'!$A$5:$BD$1101,R$1,0)</f>
        <v>0</v>
      </c>
      <c r="S1055" s="50">
        <f>VLOOKUP($A1055,'[1]ma sp 02'!$A$5:$BD$1101,S$1,0)</f>
        <v>0</v>
      </c>
      <c r="T1055" s="50">
        <f>VLOOKUP($A1055,'[1]ma sp 02'!$A$5:$BD$1101,T$1,0)</f>
        <v>0</v>
      </c>
      <c r="U1055" s="50">
        <f>VLOOKUP($A1055,'[1]ma sp 02'!$A$5:$BD$1101,U$1,0)</f>
        <v>0</v>
      </c>
      <c r="V1055" s="50">
        <f>VLOOKUP($A1055,'[1]ma sp 02'!$A$5:$BD$1101,V$1,0)</f>
        <v>0</v>
      </c>
      <c r="W1055" s="50">
        <f>VLOOKUP($A1055,'[1]ma sp 02'!$A$5:$BD$1101,W$1,0)</f>
        <v>0</v>
      </c>
      <c r="X1055" s="50"/>
      <c r="Y1055" s="62"/>
      <c r="Z1055" s="62"/>
      <c r="AA1055" s="62"/>
      <c r="AB1055" s="62"/>
      <c r="AC1055" s="62"/>
      <c r="AD1055" s="62"/>
      <c r="AE1055" s="62" t="s">
        <v>115</v>
      </c>
      <c r="AF1055" s="62" t="s">
        <v>321</v>
      </c>
      <c r="AG1055" s="53">
        <f>(0.03*0.91+0.012*1.4+0.075*0.925)*0.74</f>
        <v>8.3971500000000004E-2</v>
      </c>
      <c r="AH1055" s="54">
        <f>(2.3/0.75/2)*0.73</f>
        <v>1.1193333333333333</v>
      </c>
      <c r="AI1055" s="54">
        <f>(2.3/0.75/2)*0.73</f>
        <v>1.1193333333333333</v>
      </c>
      <c r="AJ1055" s="62">
        <v>9530</v>
      </c>
      <c r="AK1055" s="62">
        <v>9530</v>
      </c>
      <c r="AL1055" s="9" t="s">
        <v>354</v>
      </c>
      <c r="AM1055" s="61" t="s">
        <v>74</v>
      </c>
      <c r="AN1055" s="62">
        <v>180</v>
      </c>
      <c r="AO1055" s="61" t="s">
        <v>3334</v>
      </c>
      <c r="AP1055" s="59"/>
      <c r="AQ1055" s="59"/>
      <c r="AR1055" s="59"/>
      <c r="AS1055" s="59"/>
      <c r="AT1055" s="59"/>
      <c r="AU1055" s="59"/>
      <c r="AV1055" s="59"/>
      <c r="AW1055" s="59"/>
      <c r="AX1055" s="59"/>
      <c r="AY1055" s="59"/>
      <c r="AZ1055" s="59"/>
      <c r="BA1055" s="141"/>
      <c r="BB1055" s="61" t="s">
        <v>1894</v>
      </c>
      <c r="BC1055" s="165"/>
      <c r="BD1055" s="166"/>
      <c r="BE1055" s="167"/>
      <c r="BF1055" s="168"/>
      <c r="BG1055" s="167"/>
      <c r="BH1055" s="168"/>
      <c r="BI1055" s="169"/>
      <c r="BJ1055" s="168"/>
      <c r="BK1055" s="134"/>
      <c r="BL1055" s="168"/>
      <c r="BM1055" s="167"/>
      <c r="BN1055" s="168"/>
      <c r="BO1055" s="62"/>
      <c r="BP1055" s="168"/>
      <c r="BQ1055" s="168"/>
      <c r="BR1055" s="168"/>
      <c r="BS1055" s="135"/>
      <c r="BT1055" s="176"/>
      <c r="BU1055" s="167"/>
      <c r="BV1055" s="168"/>
      <c r="BW1055" s="167"/>
      <c r="BX1055" s="168"/>
      <c r="BY1055" s="167"/>
      <c r="BZ1055" s="176"/>
      <c r="CA1055" s="167"/>
      <c r="CB1055" s="168"/>
      <c r="CC1055" s="167"/>
      <c r="CD1055" s="168"/>
      <c r="CE1055" s="62"/>
      <c r="CF1055" s="62"/>
      <c r="CG1055" s="9"/>
      <c r="CH1055" s="9"/>
      <c r="CI1055" s="9"/>
      <c r="CJ1055" s="9"/>
      <c r="CK1055" s="9"/>
      <c r="CL1055" s="9"/>
      <c r="CM1055" s="9"/>
      <c r="CN1055" s="9"/>
      <c r="CO1055" s="9"/>
      <c r="CP1055" s="9"/>
    </row>
    <row r="1056" spans="1:94" ht="45" x14ac:dyDescent="0.25">
      <c r="A1056" s="127" t="s">
        <v>3335</v>
      </c>
      <c r="B1056" s="51" t="s">
        <v>3336</v>
      </c>
      <c r="C1056" s="62"/>
      <c r="D1056" s="84">
        <v>4</v>
      </c>
      <c r="E1056" s="62" t="s">
        <v>113</v>
      </c>
      <c r="F1056" s="62">
        <v>6</v>
      </c>
      <c r="G1056" s="62"/>
      <c r="H1056" s="50">
        <f>VLOOKUP($A1056,'[1]ma sp 02'!$A$5:$BD$1101,H$1,0)</f>
        <v>0.123</v>
      </c>
      <c r="I1056" s="50">
        <f>VLOOKUP($A1056,'[1]ma sp 02'!$A$5:$BD$1101,I$1,0)</f>
        <v>0.86</v>
      </c>
      <c r="J1056" s="50">
        <f>VLOOKUP($A1056,'[1]ma sp 02'!$A$5:$BD$1101,J$1,0)</f>
        <v>0.246</v>
      </c>
      <c r="K1056" s="50">
        <f>VLOOKUP($A1056,'[1]ma sp 02'!$A$5:$BD$1101,K$1,0)</f>
        <v>0</v>
      </c>
      <c r="L1056" s="50">
        <f>VLOOKUP($A1056,'[1]ma sp 02'!$A$5:$BD$1101,L$1,0)</f>
        <v>2.0880000000000001</v>
      </c>
      <c r="M1056" s="50">
        <f>VLOOKUP($A1056,'[1]ma sp 02'!$A$5:$BD$1101,M$1,0)</f>
        <v>0.61399999999999999</v>
      </c>
      <c r="N1056" s="50">
        <f>VLOOKUP($A1056,'[1]ma sp 02'!$A$5:$BD$1101,N$1,0)</f>
        <v>0</v>
      </c>
      <c r="O1056" s="50">
        <f>VLOOKUP($A1056,'[1]ma sp 02'!$A$5:$BD$1101,O$1,0)</f>
        <v>0</v>
      </c>
      <c r="P1056" s="50">
        <f>VLOOKUP($A1056,'[1]ma sp 02'!$A$5:$BD$1101,P$1,0)</f>
        <v>0</v>
      </c>
      <c r="Q1056" s="50">
        <f>VLOOKUP($A1056,'[1]ma sp 02'!$A$5:$BD$1101,Q$1,0)</f>
        <v>0.01</v>
      </c>
      <c r="R1056" s="50">
        <f>VLOOKUP($A1056,'[1]ma sp 02'!$A$5:$BD$1101,R$1,0)</f>
        <v>0</v>
      </c>
      <c r="S1056" s="50">
        <f>VLOOKUP($A1056,'[1]ma sp 02'!$A$5:$BD$1101,S$1,0)</f>
        <v>0</v>
      </c>
      <c r="T1056" s="50">
        <f>VLOOKUP($A1056,'[1]ma sp 02'!$A$5:$BD$1101,T$1,0)</f>
        <v>0</v>
      </c>
      <c r="U1056" s="50">
        <f>VLOOKUP($A1056,'[1]ma sp 02'!$A$5:$BD$1101,U$1,0)</f>
        <v>0</v>
      </c>
      <c r="V1056" s="50">
        <f>VLOOKUP($A1056,'[1]ma sp 02'!$A$5:$BD$1101,V$1,0)</f>
        <v>0</v>
      </c>
      <c r="W1056" s="50">
        <f>VLOOKUP($A1056,'[1]ma sp 02'!$A$5:$BD$1101,W$1,0)</f>
        <v>0</v>
      </c>
      <c r="X1056" s="50"/>
      <c r="Y1056" s="62"/>
      <c r="Z1056" s="62"/>
      <c r="AA1056" s="62"/>
      <c r="AB1056" s="62"/>
      <c r="AC1056" s="62"/>
      <c r="AD1056" s="62"/>
      <c r="AE1056" s="62" t="s">
        <v>2403</v>
      </c>
      <c r="AF1056" s="62" t="s">
        <v>3337</v>
      </c>
      <c r="AG1056" s="53">
        <f>(0.012*1.4+0.006*2.71+0.105*0.925)*0.74</f>
        <v>9.6336899999999989E-2</v>
      </c>
      <c r="AH1056" s="54">
        <f>(3.5/0.75/2)*0.73</f>
        <v>1.7033333333333334</v>
      </c>
      <c r="AI1056" s="54">
        <f>(3.5/0.75/2)*0.73</f>
        <v>1.7033333333333334</v>
      </c>
      <c r="AJ1056" s="57">
        <v>6260</v>
      </c>
      <c r="AK1056" s="57">
        <v>6260</v>
      </c>
      <c r="AL1056" s="9" t="s">
        <v>3281</v>
      </c>
      <c r="AM1056" s="61" t="s">
        <v>74</v>
      </c>
      <c r="AN1056" s="62">
        <v>210</v>
      </c>
      <c r="AO1056" s="61" t="s">
        <v>3338</v>
      </c>
      <c r="AP1056" s="59"/>
      <c r="AQ1056" s="59"/>
      <c r="AR1056" s="59"/>
      <c r="AS1056" s="59"/>
      <c r="AT1056" s="59"/>
      <c r="AU1056" s="59"/>
      <c r="AV1056" s="59"/>
      <c r="AW1056" s="59"/>
      <c r="AX1056" s="59"/>
      <c r="AY1056" s="59"/>
      <c r="AZ1056" s="59"/>
      <c r="BA1056" s="141"/>
      <c r="BB1056" s="61" t="s">
        <v>1894</v>
      </c>
      <c r="BC1056" s="165"/>
      <c r="BD1056" s="166"/>
      <c r="BE1056" s="167"/>
      <c r="BF1056" s="168"/>
      <c r="BG1056" s="167"/>
      <c r="BH1056" s="168"/>
      <c r="BI1056" s="169"/>
      <c r="BJ1056" s="168"/>
      <c r="BK1056" s="134"/>
      <c r="BL1056" s="168"/>
      <c r="BM1056" s="167"/>
      <c r="BN1056" s="168"/>
      <c r="BO1056" s="62"/>
      <c r="BP1056" s="168"/>
      <c r="BQ1056" s="168"/>
      <c r="BR1056" s="168"/>
      <c r="BS1056" s="135"/>
      <c r="BT1056" s="176"/>
      <c r="BU1056" s="167"/>
      <c r="BV1056" s="168"/>
      <c r="BW1056" s="167"/>
      <c r="BX1056" s="168"/>
      <c r="BY1056" s="167"/>
      <c r="BZ1056" s="176"/>
      <c r="CA1056" s="167"/>
      <c r="CB1056" s="168"/>
      <c r="CC1056" s="167"/>
      <c r="CD1056" s="168"/>
      <c r="CE1056" s="62"/>
      <c r="CF1056" s="62"/>
      <c r="CG1056" s="9"/>
      <c r="CH1056" s="9"/>
      <c r="CI1056" s="9"/>
      <c r="CJ1056" s="9"/>
      <c r="CK1056" s="9"/>
      <c r="CL1056" s="9"/>
      <c r="CM1056" s="9"/>
      <c r="CN1056" s="9"/>
      <c r="CO1056" s="9"/>
      <c r="CP1056" s="9"/>
    </row>
    <row r="1057" spans="1:94" ht="30" x14ac:dyDescent="0.25">
      <c r="A1057" s="127" t="s">
        <v>3339</v>
      </c>
      <c r="B1057" s="51" t="s">
        <v>3340</v>
      </c>
      <c r="C1057" s="62"/>
      <c r="D1057" s="84">
        <v>2</v>
      </c>
      <c r="E1057" s="62" t="s">
        <v>2752</v>
      </c>
      <c r="F1057" s="62"/>
      <c r="G1057" s="62"/>
      <c r="H1057" s="50">
        <f>VLOOKUP($A1057,'[1]ma sp 02'!$A$5:$BD$1101,H$1,0)</f>
        <v>0</v>
      </c>
      <c r="I1057" s="50">
        <f>VLOOKUP($A1057,'[1]ma sp 02'!$A$5:$BD$1101,I$1,0)</f>
        <v>0</v>
      </c>
      <c r="J1057" s="50">
        <f>VLOOKUP($A1057,'[1]ma sp 02'!$A$5:$BD$1101,J$1,0)</f>
        <v>0</v>
      </c>
      <c r="K1057" s="50">
        <f>VLOOKUP($A1057,'[1]ma sp 02'!$A$5:$BD$1101,K$1,0)</f>
        <v>0</v>
      </c>
      <c r="L1057" s="50">
        <f>VLOOKUP($A1057,'[1]ma sp 02'!$A$5:$BD$1101,L$1,0)</f>
        <v>0</v>
      </c>
      <c r="M1057" s="50">
        <f>VLOOKUP($A1057,'[1]ma sp 02'!$A$5:$BD$1101,M$1,0)</f>
        <v>0</v>
      </c>
      <c r="N1057" s="50">
        <f>VLOOKUP($A1057,'[1]ma sp 02'!$A$5:$BD$1101,N$1,0)</f>
        <v>0</v>
      </c>
      <c r="O1057" s="50">
        <f>VLOOKUP($A1057,'[1]ma sp 02'!$A$5:$BD$1101,O$1,0)</f>
        <v>0</v>
      </c>
      <c r="P1057" s="50">
        <f>VLOOKUP($A1057,'[1]ma sp 02'!$A$5:$BD$1101,P$1,0)</f>
        <v>0</v>
      </c>
      <c r="Q1057" s="50">
        <f>VLOOKUP($A1057,'[1]ma sp 02'!$A$5:$BD$1101,Q$1,0)</f>
        <v>0</v>
      </c>
      <c r="R1057" s="50">
        <f>VLOOKUP($A1057,'[1]ma sp 02'!$A$5:$BD$1101,R$1,0)</f>
        <v>0</v>
      </c>
      <c r="S1057" s="50">
        <f>VLOOKUP($A1057,'[1]ma sp 02'!$A$5:$BD$1101,S$1,0)</f>
        <v>0</v>
      </c>
      <c r="T1057" s="50">
        <f>VLOOKUP($A1057,'[1]ma sp 02'!$A$5:$BD$1101,T$1,0)</f>
        <v>0</v>
      </c>
      <c r="U1057" s="50">
        <f>VLOOKUP($A1057,'[1]ma sp 02'!$A$5:$BD$1101,U$1,0)</f>
        <v>0</v>
      </c>
      <c r="V1057" s="50">
        <f>VLOOKUP($A1057,'[1]ma sp 02'!$A$5:$BD$1101,V$1,0)</f>
        <v>0</v>
      </c>
      <c r="W1057" s="50">
        <f>VLOOKUP($A1057,'[1]ma sp 02'!$A$5:$BD$1101,W$1,0)</f>
        <v>0</v>
      </c>
      <c r="X1057" s="50"/>
      <c r="Y1057" s="62"/>
      <c r="Z1057" s="62"/>
      <c r="AA1057" s="62"/>
      <c r="AB1057" s="62"/>
      <c r="AC1057" s="62"/>
      <c r="AD1057" s="62"/>
      <c r="AE1057" s="62" t="s">
        <v>2874</v>
      </c>
      <c r="AF1057" s="62"/>
      <c r="AG1057" s="53">
        <f>(0.015*1.15+0.065*0.925)*0.9</f>
        <v>6.9637500000000005E-2</v>
      </c>
      <c r="AH1057" s="54">
        <f>(2.3/0.75/2)*0.89</f>
        <v>1.3646666666666665</v>
      </c>
      <c r="AI1057" s="54"/>
      <c r="AJ1057" s="62">
        <v>9530</v>
      </c>
      <c r="AK1057" s="62"/>
      <c r="AL1057" s="9">
        <v>2.3E-3</v>
      </c>
      <c r="AM1057" s="61" t="s">
        <v>74</v>
      </c>
      <c r="AN1057" s="62">
        <v>340</v>
      </c>
      <c r="AO1057" s="61" t="s">
        <v>3341</v>
      </c>
      <c r="AP1057" s="59"/>
      <c r="AQ1057" s="59"/>
      <c r="AR1057" s="59"/>
      <c r="AS1057" s="59"/>
      <c r="AT1057" s="59"/>
      <c r="AU1057" s="59"/>
      <c r="AV1057" s="59"/>
      <c r="AW1057" s="59"/>
      <c r="AX1057" s="59"/>
      <c r="AY1057" s="59"/>
      <c r="AZ1057" s="59"/>
      <c r="BA1057" s="141"/>
      <c r="BB1057" s="61" t="s">
        <v>1894</v>
      </c>
      <c r="BC1057" s="165"/>
      <c r="BD1057" s="166"/>
      <c r="BE1057" s="167"/>
      <c r="BF1057" s="168"/>
      <c r="BG1057" s="167"/>
      <c r="BH1057" s="168"/>
      <c r="BI1057" s="169"/>
      <c r="BJ1057" s="168"/>
      <c r="BK1057" s="134"/>
      <c r="BL1057" s="168"/>
      <c r="BM1057" s="167"/>
      <c r="BN1057" s="168"/>
      <c r="BO1057" s="62"/>
      <c r="BP1057" s="168"/>
      <c r="BQ1057" s="168"/>
      <c r="BR1057" s="168"/>
      <c r="BS1057" s="135"/>
      <c r="BT1057" s="176"/>
      <c r="BU1057" s="167"/>
      <c r="BV1057" s="168"/>
      <c r="BW1057" s="167"/>
      <c r="BX1057" s="168"/>
      <c r="BY1057" s="167"/>
      <c r="BZ1057" s="176"/>
      <c r="CA1057" s="167"/>
      <c r="CB1057" s="168"/>
      <c r="CC1057" s="167"/>
      <c r="CD1057" s="168"/>
      <c r="CE1057" s="62"/>
      <c r="CF1057" s="62"/>
      <c r="CG1057" s="9"/>
      <c r="CH1057" s="9"/>
      <c r="CI1057" s="9"/>
      <c r="CJ1057" s="9"/>
      <c r="CK1057" s="9"/>
      <c r="CL1057" s="9"/>
      <c r="CM1057" s="9"/>
      <c r="CN1057" s="9"/>
      <c r="CO1057" s="9"/>
      <c r="CP1057" s="9"/>
    </row>
    <row r="1058" spans="1:94" ht="45" x14ac:dyDescent="0.25">
      <c r="A1058" s="127" t="s">
        <v>3342</v>
      </c>
      <c r="B1058" s="51" t="s">
        <v>3343</v>
      </c>
      <c r="C1058" s="62"/>
      <c r="D1058" s="84">
        <v>4</v>
      </c>
      <c r="E1058" s="62" t="s">
        <v>113</v>
      </c>
      <c r="F1058" s="62">
        <v>6</v>
      </c>
      <c r="G1058" s="62"/>
      <c r="H1058" s="50">
        <f>VLOOKUP($A1058,'[1]ma sp 02'!$A$5:$BD$1101,H$1,0)</f>
        <v>0.29299999999999998</v>
      </c>
      <c r="I1058" s="50">
        <f>VLOOKUP($A1058,'[1]ma sp 02'!$A$5:$BD$1101,I$1,0)</f>
        <v>1.5640000000000001</v>
      </c>
      <c r="J1058" s="50">
        <f>VLOOKUP($A1058,'[1]ma sp 02'!$A$5:$BD$1101,J$1,0)</f>
        <v>0.01</v>
      </c>
      <c r="K1058" s="50">
        <f>VLOOKUP($A1058,'[1]ma sp 02'!$A$5:$BD$1101,K$1,0)</f>
        <v>0.02</v>
      </c>
      <c r="L1058" s="50">
        <f>VLOOKUP($A1058,'[1]ma sp 02'!$A$5:$BD$1101,L$1,0)</f>
        <v>1.349</v>
      </c>
      <c r="M1058" s="50">
        <f>VLOOKUP($A1058,'[1]ma sp 02'!$A$5:$BD$1101,M$1,0)</f>
        <v>0.50800000000000001</v>
      </c>
      <c r="N1058" s="50">
        <f>VLOOKUP($A1058,'[1]ma sp 02'!$A$5:$BD$1101,N$1,0)</f>
        <v>0</v>
      </c>
      <c r="O1058" s="50">
        <f>VLOOKUP($A1058,'[1]ma sp 02'!$A$5:$BD$1101,O$1,0)</f>
        <v>0.01</v>
      </c>
      <c r="P1058" s="50">
        <f>VLOOKUP($A1058,'[1]ma sp 02'!$A$5:$BD$1101,P$1,0)</f>
        <v>0</v>
      </c>
      <c r="Q1058" s="50">
        <f>VLOOKUP($A1058,'[1]ma sp 02'!$A$5:$BD$1101,Q$1,0)</f>
        <v>0</v>
      </c>
      <c r="R1058" s="50">
        <f>VLOOKUP($A1058,'[1]ma sp 02'!$A$5:$BD$1101,R$1,0)</f>
        <v>0</v>
      </c>
      <c r="S1058" s="50">
        <f>VLOOKUP($A1058,'[1]ma sp 02'!$A$5:$BD$1101,S$1,0)</f>
        <v>0</v>
      </c>
      <c r="T1058" s="50">
        <f>VLOOKUP($A1058,'[1]ma sp 02'!$A$5:$BD$1101,T$1,0)</f>
        <v>0</v>
      </c>
      <c r="U1058" s="50">
        <f>VLOOKUP($A1058,'[1]ma sp 02'!$A$5:$BD$1101,U$1,0)</f>
        <v>0</v>
      </c>
      <c r="V1058" s="50">
        <f>VLOOKUP($A1058,'[1]ma sp 02'!$A$5:$BD$1101,V$1,0)</f>
        <v>0</v>
      </c>
      <c r="W1058" s="50">
        <f>VLOOKUP($A1058,'[1]ma sp 02'!$A$5:$BD$1101,W$1,0)</f>
        <v>0</v>
      </c>
      <c r="X1058" s="50"/>
      <c r="Y1058" s="62"/>
      <c r="Z1058" s="62"/>
      <c r="AA1058" s="62"/>
      <c r="AB1058" s="62"/>
      <c r="AC1058" s="62"/>
      <c r="AD1058" s="62"/>
      <c r="AE1058" s="62" t="s">
        <v>2403</v>
      </c>
      <c r="AF1058" s="62" t="s">
        <v>3337</v>
      </c>
      <c r="AG1058" s="53">
        <f>(0.012*1.4+0.006*2.71+0.105*0.925)*0.74</f>
        <v>9.6336899999999989E-2</v>
      </c>
      <c r="AH1058" s="54">
        <f>(3.5/0.75/2)*0.73</f>
        <v>1.7033333333333334</v>
      </c>
      <c r="AI1058" s="54">
        <f>(3.5/0.75/2)*0.73</f>
        <v>1.7033333333333334</v>
      </c>
      <c r="AJ1058" s="57">
        <v>6260</v>
      </c>
      <c r="AK1058" s="57">
        <v>6260</v>
      </c>
      <c r="AL1058" s="9" t="s">
        <v>3281</v>
      </c>
      <c r="AM1058" s="61" t="s">
        <v>74</v>
      </c>
      <c r="AN1058" s="62"/>
      <c r="AO1058" s="61" t="s">
        <v>3282</v>
      </c>
      <c r="AP1058" s="59"/>
      <c r="AQ1058" s="59"/>
      <c r="AR1058" s="59"/>
      <c r="AS1058" s="59"/>
      <c r="AT1058" s="59"/>
      <c r="AU1058" s="59"/>
      <c r="AV1058" s="59"/>
      <c r="AW1058" s="59"/>
      <c r="AX1058" s="59"/>
      <c r="AY1058" s="59"/>
      <c r="AZ1058" s="59"/>
      <c r="BA1058" s="141"/>
      <c r="BB1058" s="61" t="s">
        <v>1894</v>
      </c>
      <c r="BC1058" s="165"/>
      <c r="BD1058" s="166"/>
      <c r="BE1058" s="167"/>
      <c r="BF1058" s="168"/>
      <c r="BG1058" s="167"/>
      <c r="BH1058" s="168"/>
      <c r="BI1058" s="169"/>
      <c r="BJ1058" s="168"/>
      <c r="BK1058" s="134"/>
      <c r="BL1058" s="168"/>
      <c r="BM1058" s="167"/>
      <c r="BN1058" s="168"/>
      <c r="BO1058" s="62"/>
      <c r="BP1058" s="168"/>
      <c r="BQ1058" s="168"/>
      <c r="BR1058" s="168"/>
      <c r="BS1058" s="135"/>
      <c r="BT1058" s="176"/>
      <c r="BU1058" s="167"/>
      <c r="BV1058" s="168"/>
      <c r="BW1058" s="167"/>
      <c r="BX1058" s="168"/>
      <c r="BY1058" s="167"/>
      <c r="BZ1058" s="176"/>
      <c r="CA1058" s="167"/>
      <c r="CB1058" s="168"/>
      <c r="CC1058" s="167"/>
      <c r="CD1058" s="168"/>
      <c r="CE1058" s="62"/>
      <c r="CF1058" s="62"/>
      <c r="CG1058" s="9"/>
      <c r="CH1058" s="9"/>
      <c r="CI1058" s="9"/>
      <c r="CJ1058" s="9"/>
      <c r="CK1058" s="9"/>
      <c r="CL1058" s="9"/>
      <c r="CM1058" s="9"/>
      <c r="CN1058" s="9"/>
      <c r="CO1058" s="9"/>
      <c r="CP1058" s="9"/>
    </row>
    <row r="1059" spans="1:94" x14ac:dyDescent="0.25">
      <c r="A1059" s="127" t="s">
        <v>3344</v>
      </c>
      <c r="B1059" s="51" t="s">
        <v>3345</v>
      </c>
      <c r="C1059" s="62"/>
      <c r="D1059" s="84">
        <v>1</v>
      </c>
      <c r="E1059" s="62" t="s">
        <v>3346</v>
      </c>
      <c r="F1059" s="62"/>
      <c r="G1059" s="62"/>
      <c r="H1059" s="50">
        <f>VLOOKUP($A1059,'[1]ma sp 02'!$A$5:$BD$1101,H$1,0)</f>
        <v>0</v>
      </c>
      <c r="I1059" s="50">
        <f>VLOOKUP($A1059,'[1]ma sp 02'!$A$5:$BD$1101,I$1,0)</f>
        <v>0</v>
      </c>
      <c r="J1059" s="50">
        <f>VLOOKUP($A1059,'[1]ma sp 02'!$A$5:$BD$1101,J$1,0)</f>
        <v>0</v>
      </c>
      <c r="K1059" s="50">
        <f>VLOOKUP($A1059,'[1]ma sp 02'!$A$5:$BD$1101,K$1,0)</f>
        <v>0</v>
      </c>
      <c r="L1059" s="50">
        <f>VLOOKUP($A1059,'[1]ma sp 02'!$A$5:$BD$1101,L$1,0)</f>
        <v>0</v>
      </c>
      <c r="M1059" s="50">
        <f>VLOOKUP($A1059,'[1]ma sp 02'!$A$5:$BD$1101,M$1,0)</f>
        <v>0</v>
      </c>
      <c r="N1059" s="50">
        <f>VLOOKUP($A1059,'[1]ma sp 02'!$A$5:$BD$1101,N$1,0)</f>
        <v>0</v>
      </c>
      <c r="O1059" s="50">
        <f>VLOOKUP($A1059,'[1]ma sp 02'!$A$5:$BD$1101,O$1,0)</f>
        <v>0</v>
      </c>
      <c r="P1059" s="50">
        <f>VLOOKUP($A1059,'[1]ma sp 02'!$A$5:$BD$1101,P$1,0)</f>
        <v>0</v>
      </c>
      <c r="Q1059" s="50">
        <f>VLOOKUP($A1059,'[1]ma sp 02'!$A$5:$BD$1101,Q$1,0)</f>
        <v>0</v>
      </c>
      <c r="R1059" s="50">
        <f>VLOOKUP($A1059,'[1]ma sp 02'!$A$5:$BD$1101,R$1,0)</f>
        <v>0</v>
      </c>
      <c r="S1059" s="50">
        <f>VLOOKUP($A1059,'[1]ma sp 02'!$A$5:$BD$1101,S$1,0)</f>
        <v>0</v>
      </c>
      <c r="T1059" s="50">
        <f>VLOOKUP($A1059,'[1]ma sp 02'!$A$5:$BD$1101,T$1,0)</f>
        <v>0</v>
      </c>
      <c r="U1059" s="50">
        <f>VLOOKUP($A1059,'[1]ma sp 02'!$A$5:$BD$1101,U$1,0)</f>
        <v>0</v>
      </c>
      <c r="V1059" s="50">
        <f>VLOOKUP($A1059,'[1]ma sp 02'!$A$5:$BD$1101,V$1,0)</f>
        <v>0</v>
      </c>
      <c r="W1059" s="50">
        <f>VLOOKUP($A1059,'[1]ma sp 02'!$A$5:$BD$1101,W$1,0)</f>
        <v>0</v>
      </c>
      <c r="X1059" s="50"/>
      <c r="Y1059" s="62"/>
      <c r="Z1059" s="62"/>
      <c r="AA1059" s="62"/>
      <c r="AB1059" s="62"/>
      <c r="AC1059" s="62"/>
      <c r="AD1059" s="62"/>
      <c r="AE1059" s="62"/>
      <c r="AF1059" s="62"/>
      <c r="AG1059" s="53"/>
      <c r="AH1059" s="54"/>
      <c r="AI1059" s="54"/>
      <c r="AJ1059" s="62"/>
      <c r="AK1059" s="62"/>
      <c r="AL1059" s="9"/>
      <c r="AM1059" s="61"/>
      <c r="AN1059" s="62"/>
      <c r="AO1059" s="61"/>
      <c r="AP1059" s="59"/>
      <c r="AQ1059" s="59"/>
      <c r="AR1059" s="59"/>
      <c r="AS1059" s="59"/>
      <c r="AT1059" s="59"/>
      <c r="AU1059" s="59"/>
      <c r="AV1059" s="59"/>
      <c r="AW1059" s="59"/>
      <c r="AX1059" s="59"/>
      <c r="AY1059" s="59"/>
      <c r="AZ1059" s="59"/>
      <c r="BA1059" s="141"/>
      <c r="BB1059" s="61"/>
      <c r="BC1059" s="165"/>
      <c r="BD1059" s="166"/>
      <c r="BE1059" s="167"/>
      <c r="BF1059" s="168"/>
      <c r="BG1059" s="167"/>
      <c r="BH1059" s="168"/>
      <c r="BI1059" s="169"/>
      <c r="BJ1059" s="168"/>
      <c r="BK1059" s="134"/>
      <c r="BL1059" s="168"/>
      <c r="BM1059" s="167"/>
      <c r="BN1059" s="168"/>
      <c r="BO1059" s="62"/>
      <c r="BP1059" s="168"/>
      <c r="BQ1059" s="168"/>
      <c r="BR1059" s="168"/>
      <c r="BS1059" s="135"/>
      <c r="BT1059" s="176"/>
      <c r="BU1059" s="167"/>
      <c r="BV1059" s="168"/>
      <c r="BW1059" s="167"/>
      <c r="BX1059" s="168"/>
      <c r="BY1059" s="167"/>
      <c r="BZ1059" s="176"/>
      <c r="CA1059" s="167"/>
      <c r="CB1059" s="168"/>
      <c r="CC1059" s="167"/>
      <c r="CD1059" s="168"/>
      <c r="CE1059" s="62"/>
      <c r="CF1059" s="62"/>
      <c r="CG1059" s="9"/>
      <c r="CH1059" s="9"/>
      <c r="CI1059" s="9"/>
      <c r="CJ1059" s="9"/>
      <c r="CK1059" s="9"/>
      <c r="CL1059" s="9"/>
      <c r="CM1059" s="9"/>
      <c r="CN1059" s="9"/>
      <c r="CO1059" s="9"/>
      <c r="CP1059" s="9"/>
    </row>
    <row r="1060" spans="1:94" ht="30" x14ac:dyDescent="0.25">
      <c r="A1060" s="127" t="s">
        <v>3347</v>
      </c>
      <c r="B1060" s="51" t="s">
        <v>3348</v>
      </c>
      <c r="C1060" s="62"/>
      <c r="D1060" s="84">
        <v>1</v>
      </c>
      <c r="E1060" s="62" t="s">
        <v>1354</v>
      </c>
      <c r="F1060" s="62"/>
      <c r="G1060" s="62"/>
      <c r="H1060" s="50">
        <f>VLOOKUP($A1060,'[1]ma sp 02'!$A$5:$BD$1101,H$1,0)</f>
        <v>0</v>
      </c>
      <c r="I1060" s="50">
        <f>VLOOKUP($A1060,'[1]ma sp 02'!$A$5:$BD$1101,I$1,0)</f>
        <v>0</v>
      </c>
      <c r="J1060" s="50">
        <f>VLOOKUP($A1060,'[1]ma sp 02'!$A$5:$BD$1101,J$1,0)</f>
        <v>0</v>
      </c>
      <c r="K1060" s="50">
        <f>VLOOKUP($A1060,'[1]ma sp 02'!$A$5:$BD$1101,K$1,0)</f>
        <v>0</v>
      </c>
      <c r="L1060" s="50">
        <f>VLOOKUP($A1060,'[1]ma sp 02'!$A$5:$BD$1101,L$1,0)</f>
        <v>0</v>
      </c>
      <c r="M1060" s="50">
        <f>VLOOKUP($A1060,'[1]ma sp 02'!$A$5:$BD$1101,M$1,0)</f>
        <v>0</v>
      </c>
      <c r="N1060" s="50">
        <f>VLOOKUP($A1060,'[1]ma sp 02'!$A$5:$BD$1101,N$1,0)</f>
        <v>0</v>
      </c>
      <c r="O1060" s="50">
        <f>VLOOKUP($A1060,'[1]ma sp 02'!$A$5:$BD$1101,O$1,0)</f>
        <v>0</v>
      </c>
      <c r="P1060" s="50">
        <f>VLOOKUP($A1060,'[1]ma sp 02'!$A$5:$BD$1101,P$1,0)</f>
        <v>0</v>
      </c>
      <c r="Q1060" s="50">
        <f>VLOOKUP($A1060,'[1]ma sp 02'!$A$5:$BD$1101,Q$1,0)</f>
        <v>0</v>
      </c>
      <c r="R1060" s="50">
        <f>VLOOKUP($A1060,'[1]ma sp 02'!$A$5:$BD$1101,R$1,0)</f>
        <v>0</v>
      </c>
      <c r="S1060" s="50">
        <f>VLOOKUP($A1060,'[1]ma sp 02'!$A$5:$BD$1101,S$1,0)</f>
        <v>0</v>
      </c>
      <c r="T1060" s="50">
        <f>VLOOKUP($A1060,'[1]ma sp 02'!$A$5:$BD$1101,T$1,0)</f>
        <v>0</v>
      </c>
      <c r="U1060" s="50">
        <f>VLOOKUP($A1060,'[1]ma sp 02'!$A$5:$BD$1101,U$1,0)</f>
        <v>0</v>
      </c>
      <c r="V1060" s="50">
        <f>VLOOKUP($A1060,'[1]ma sp 02'!$A$5:$BD$1101,V$1,0)</f>
        <v>0</v>
      </c>
      <c r="W1060" s="50">
        <f>VLOOKUP($A1060,'[1]ma sp 02'!$A$5:$BD$1101,W$1,0)</f>
        <v>0</v>
      </c>
      <c r="X1060" s="50"/>
      <c r="Y1060" s="62"/>
      <c r="Z1060" s="62"/>
      <c r="AA1060" s="62"/>
      <c r="AB1060" s="62"/>
      <c r="AC1060" s="62"/>
      <c r="AD1060" s="62"/>
      <c r="AE1060" s="62" t="s">
        <v>3349</v>
      </c>
      <c r="AF1060" s="62"/>
      <c r="AG1060" s="53"/>
      <c r="AH1060" s="54"/>
      <c r="AI1060" s="54"/>
      <c r="AJ1060" s="62"/>
      <c r="AK1060" s="62"/>
      <c r="AL1060" s="9"/>
      <c r="AM1060" s="61" t="s">
        <v>3350</v>
      </c>
      <c r="AN1060" s="62">
        <v>490</v>
      </c>
      <c r="AO1060" s="61" t="s">
        <v>3351</v>
      </c>
      <c r="AP1060" s="59"/>
      <c r="AQ1060" s="59"/>
      <c r="AR1060" s="59"/>
      <c r="AS1060" s="59"/>
      <c r="AT1060" s="59"/>
      <c r="AU1060" s="59"/>
      <c r="AV1060" s="59"/>
      <c r="AW1060" s="59"/>
      <c r="AX1060" s="59"/>
      <c r="AY1060" s="59"/>
      <c r="AZ1060" s="59"/>
      <c r="BA1060" s="141"/>
      <c r="BB1060" s="61"/>
      <c r="BC1060" s="165"/>
      <c r="BD1060" s="166"/>
      <c r="BE1060" s="167"/>
      <c r="BF1060" s="168"/>
      <c r="BG1060" s="167"/>
      <c r="BH1060" s="168"/>
      <c r="BI1060" s="169"/>
      <c r="BJ1060" s="168"/>
      <c r="BK1060" s="134"/>
      <c r="BL1060" s="168"/>
      <c r="BM1060" s="167"/>
      <c r="BN1060" s="168"/>
      <c r="BO1060" s="62"/>
      <c r="BP1060" s="168"/>
      <c r="BQ1060" s="168"/>
      <c r="BR1060" s="168"/>
      <c r="BS1060" s="135"/>
      <c r="BT1060" s="176"/>
      <c r="BU1060" s="167"/>
      <c r="BV1060" s="168"/>
      <c r="BW1060" s="167"/>
      <c r="BX1060" s="168"/>
      <c r="BY1060" s="167"/>
      <c r="BZ1060" s="176"/>
      <c r="CA1060" s="167"/>
      <c r="CB1060" s="168"/>
      <c r="CC1060" s="167"/>
      <c r="CD1060" s="168"/>
      <c r="CE1060" s="62"/>
      <c r="CF1060" s="62"/>
      <c r="CG1060" s="9"/>
      <c r="CH1060" s="9"/>
      <c r="CI1060" s="9"/>
      <c r="CJ1060" s="9"/>
      <c r="CK1060" s="9"/>
      <c r="CL1060" s="9"/>
      <c r="CM1060" s="9"/>
      <c r="CN1060" s="9"/>
      <c r="CO1060" s="9"/>
      <c r="CP1060" s="9"/>
    </row>
    <row r="1061" spans="1:94" ht="45" x14ac:dyDescent="0.25">
      <c r="A1061" s="127" t="s">
        <v>3352</v>
      </c>
      <c r="B1061" s="51" t="s">
        <v>3353</v>
      </c>
      <c r="C1061" s="62"/>
      <c r="D1061" s="84">
        <v>1</v>
      </c>
      <c r="E1061" s="62" t="s">
        <v>2752</v>
      </c>
      <c r="F1061" s="62">
        <v>6</v>
      </c>
      <c r="G1061" s="62"/>
      <c r="H1061" s="50">
        <v>0.496</v>
      </c>
      <c r="I1061" s="50">
        <v>0.05</v>
      </c>
      <c r="J1061" s="50">
        <v>0.23499999999999999</v>
      </c>
      <c r="K1061" s="50">
        <f>VLOOKUP($A1061,'[1]ma sp 02'!$A$5:$BD$1101,K$1,0)</f>
        <v>0</v>
      </c>
      <c r="L1061" s="50">
        <v>0.45</v>
      </c>
      <c r="M1061" s="50">
        <f>VLOOKUP($A1061,'[1]ma sp 02'!$A$5:$BD$1101,M$1,0)</f>
        <v>0</v>
      </c>
      <c r="N1061" s="50">
        <f>VLOOKUP($A1061,'[1]ma sp 02'!$A$5:$BD$1101,N$1,0)</f>
        <v>0</v>
      </c>
      <c r="O1061" s="50">
        <v>0.6</v>
      </c>
      <c r="P1061" s="50">
        <f>VLOOKUP($A1061,'[1]ma sp 02'!$A$5:$BD$1101,P$1,0)</f>
        <v>0</v>
      </c>
      <c r="Q1061" s="50">
        <v>0.89</v>
      </c>
      <c r="R1061" s="50">
        <f>VLOOKUP($A1061,'[1]ma sp 02'!$A$5:$BD$1101,R$1,0)</f>
        <v>0</v>
      </c>
      <c r="S1061" s="50">
        <f>VLOOKUP($A1061,'[1]ma sp 02'!$A$5:$BD$1101,S$1,0)</f>
        <v>0</v>
      </c>
      <c r="T1061" s="50">
        <f>VLOOKUP($A1061,'[1]ma sp 02'!$A$5:$BD$1101,T$1,0)</f>
        <v>0</v>
      </c>
      <c r="U1061" s="50">
        <f>VLOOKUP($A1061,'[1]ma sp 02'!$A$5:$BD$1101,U$1,0)</f>
        <v>0</v>
      </c>
      <c r="V1061" s="50">
        <f>VLOOKUP($A1061,'[1]ma sp 02'!$A$5:$BD$1101,V$1,0)</f>
        <v>0</v>
      </c>
      <c r="W1061" s="50">
        <f>VLOOKUP($A1061,'[1]ma sp 02'!$A$5:$BD$1101,W$1,0)</f>
        <v>0</v>
      </c>
      <c r="X1061" s="50"/>
      <c r="Y1061" s="62"/>
      <c r="Z1061" s="62"/>
      <c r="AA1061" s="62"/>
      <c r="AB1061" s="62"/>
      <c r="AC1061" s="62"/>
      <c r="AD1061" s="62"/>
      <c r="AE1061" s="62" t="s">
        <v>3354</v>
      </c>
      <c r="AF1061" s="62"/>
      <c r="AG1061" s="53">
        <f>(0.015*2.71+0.1*0.925)*0.89</f>
        <v>0.11850350000000001</v>
      </c>
      <c r="AH1061" s="54">
        <f>(3/0.75/2)*0.89</f>
        <v>1.78</v>
      </c>
      <c r="AI1061" s="54"/>
      <c r="AJ1061" s="62">
        <v>9530</v>
      </c>
      <c r="AK1061" s="62"/>
      <c r="AL1061" s="9">
        <v>3.0000000000000001E-3</v>
      </c>
      <c r="AM1061" s="61" t="s">
        <v>3186</v>
      </c>
      <c r="AN1061" s="62">
        <v>615</v>
      </c>
      <c r="AO1061" s="61" t="s">
        <v>3355</v>
      </c>
      <c r="AP1061" s="59"/>
      <c r="AQ1061" s="59"/>
      <c r="AR1061" s="59"/>
      <c r="AS1061" s="59"/>
      <c r="AT1061" s="59"/>
      <c r="AU1061" s="59"/>
      <c r="AV1061" s="59"/>
      <c r="AW1061" s="59"/>
      <c r="AX1061" s="59"/>
      <c r="AY1061" s="59"/>
      <c r="AZ1061" s="59"/>
      <c r="BA1061" s="141"/>
      <c r="BB1061" s="61"/>
      <c r="BC1061" s="165"/>
      <c r="BD1061" s="166"/>
      <c r="BE1061" s="167"/>
      <c r="BF1061" s="168"/>
      <c r="BG1061" s="167"/>
      <c r="BH1061" s="168"/>
      <c r="BI1061" s="169"/>
      <c r="BJ1061" s="168"/>
      <c r="BK1061" s="134"/>
      <c r="BL1061" s="168"/>
      <c r="BM1061" s="167"/>
      <c r="BN1061" s="168"/>
      <c r="BO1061" s="62"/>
      <c r="BP1061" s="168"/>
      <c r="BQ1061" s="168"/>
      <c r="BR1061" s="168"/>
      <c r="BS1061" s="135"/>
      <c r="BT1061" s="176"/>
      <c r="BU1061" s="167"/>
      <c r="BV1061" s="168"/>
      <c r="BW1061" s="167"/>
      <c r="BX1061" s="168"/>
      <c r="BY1061" s="167"/>
      <c r="BZ1061" s="176"/>
      <c r="CA1061" s="167"/>
      <c r="CB1061" s="168"/>
      <c r="CC1061" s="167"/>
      <c r="CD1061" s="168"/>
      <c r="CE1061" s="62"/>
      <c r="CF1061" s="62"/>
      <c r="CG1061" s="9"/>
      <c r="CH1061" s="9"/>
      <c r="CI1061" s="9"/>
      <c r="CJ1061" s="9"/>
      <c r="CK1061" s="9"/>
      <c r="CL1061" s="9"/>
      <c r="CM1061" s="9"/>
      <c r="CN1061" s="9"/>
      <c r="CO1061" s="9"/>
      <c r="CP1061" s="9"/>
    </row>
    <row r="1062" spans="1:94" ht="45" x14ac:dyDescent="0.25">
      <c r="A1062" s="127" t="s">
        <v>3356</v>
      </c>
      <c r="B1062" s="51" t="s">
        <v>3357</v>
      </c>
      <c r="C1062" s="62"/>
      <c r="D1062" s="84">
        <v>1</v>
      </c>
      <c r="E1062" s="62" t="s">
        <v>506</v>
      </c>
      <c r="F1062" s="62">
        <v>1</v>
      </c>
      <c r="G1062" s="62"/>
      <c r="H1062" s="50">
        <f>VLOOKUP($A1062,'[1]ma sp 02'!$A$5:$BD$1101,H$1,0)</f>
        <v>0</v>
      </c>
      <c r="I1062" s="50">
        <f>VLOOKUP($A1062,'[1]ma sp 02'!$A$5:$BD$1101,I$1,0)</f>
        <v>0</v>
      </c>
      <c r="J1062" s="50">
        <f>VLOOKUP($A1062,'[1]ma sp 02'!$A$5:$BD$1101,J$1,0)</f>
        <v>0</v>
      </c>
      <c r="K1062" s="50">
        <f>VLOOKUP($A1062,'[1]ma sp 02'!$A$5:$BD$1101,K$1,0)</f>
        <v>0</v>
      </c>
      <c r="L1062" s="50">
        <f>VLOOKUP($A1062,'[1]ma sp 02'!$A$5:$BD$1101,L$1,0)</f>
        <v>0</v>
      </c>
      <c r="M1062" s="50">
        <f>VLOOKUP($A1062,'[1]ma sp 02'!$A$5:$BD$1101,M$1,0)</f>
        <v>0</v>
      </c>
      <c r="N1062" s="50">
        <f>VLOOKUP($A1062,'[1]ma sp 02'!$A$5:$BD$1101,N$1,0)</f>
        <v>0</v>
      </c>
      <c r="O1062" s="50">
        <f>VLOOKUP($A1062,'[1]ma sp 02'!$A$5:$BD$1101,O$1,0)</f>
        <v>0</v>
      </c>
      <c r="P1062" s="50">
        <f>VLOOKUP($A1062,'[1]ma sp 02'!$A$5:$BD$1101,P$1,0)</f>
        <v>0</v>
      </c>
      <c r="Q1062" s="50">
        <f>VLOOKUP($A1062,'[1]ma sp 02'!$A$5:$BD$1101,Q$1,0)</f>
        <v>3.8</v>
      </c>
      <c r="R1062" s="50">
        <f>VLOOKUP($A1062,'[1]ma sp 02'!$A$5:$BD$1101,R$1,0)</f>
        <v>0</v>
      </c>
      <c r="S1062" s="50">
        <f>VLOOKUP($A1062,'[1]ma sp 02'!$A$5:$BD$1101,S$1,0)</f>
        <v>0</v>
      </c>
      <c r="T1062" s="50">
        <f>VLOOKUP($A1062,'[1]ma sp 02'!$A$5:$BD$1101,T$1,0)</f>
        <v>0</v>
      </c>
      <c r="U1062" s="50">
        <f>VLOOKUP($A1062,'[1]ma sp 02'!$A$5:$BD$1101,U$1,0)</f>
        <v>0</v>
      </c>
      <c r="V1062" s="50">
        <f>VLOOKUP($A1062,'[1]ma sp 02'!$A$5:$BD$1101,V$1,0)</f>
        <v>0</v>
      </c>
      <c r="W1062" s="50">
        <f>VLOOKUP($A1062,'[1]ma sp 02'!$A$5:$BD$1101,W$1,0)</f>
        <v>0</v>
      </c>
      <c r="X1062" s="50"/>
      <c r="Y1062" s="62"/>
      <c r="Z1062" s="62"/>
      <c r="AA1062" s="62"/>
      <c r="AB1062" s="62"/>
      <c r="AC1062" s="62"/>
      <c r="AD1062" s="62"/>
      <c r="AE1062" s="62" t="s">
        <v>485</v>
      </c>
      <c r="AF1062" s="62" t="s">
        <v>565</v>
      </c>
      <c r="AG1062" s="53">
        <f>(0.02*0.91+0.012*1.4+0.065*0.925)*0.76</f>
        <v>7.2295000000000012E-2</v>
      </c>
      <c r="AH1062" s="54">
        <f>(2.3/0.75/2)*0.75</f>
        <v>1.1499999999999999</v>
      </c>
      <c r="AI1062" s="54">
        <f>(3/0.75/2)*0.75</f>
        <v>1.5</v>
      </c>
      <c r="AJ1062" s="62">
        <v>9530</v>
      </c>
      <c r="AK1062" s="62">
        <v>9530</v>
      </c>
      <c r="AL1062" s="9" t="s">
        <v>117</v>
      </c>
      <c r="AM1062" s="61" t="s">
        <v>1893</v>
      </c>
      <c r="AN1062" s="62">
        <v>595</v>
      </c>
      <c r="AO1062" s="61" t="s">
        <v>3358</v>
      </c>
      <c r="AP1062" s="59"/>
      <c r="AQ1062" s="59"/>
      <c r="AR1062" s="59"/>
      <c r="AS1062" s="59"/>
      <c r="AT1062" s="59"/>
      <c r="AU1062" s="59"/>
      <c r="AV1062" s="59"/>
      <c r="AW1062" s="59"/>
      <c r="AX1062" s="59"/>
      <c r="AY1062" s="59"/>
      <c r="AZ1062" s="59"/>
      <c r="BA1062" s="141"/>
      <c r="BB1062" s="61" t="s">
        <v>1894</v>
      </c>
      <c r="BC1062" s="165"/>
      <c r="BD1062" s="166"/>
      <c r="BE1062" s="167"/>
      <c r="BF1062" s="168"/>
      <c r="BG1062" s="167"/>
      <c r="BH1062" s="168"/>
      <c r="BI1062" s="169"/>
      <c r="BJ1062" s="168"/>
      <c r="BK1062" s="134"/>
      <c r="BL1062" s="168"/>
      <c r="BM1062" s="167"/>
      <c r="BN1062" s="168"/>
      <c r="BO1062" s="62"/>
      <c r="BP1062" s="168"/>
      <c r="BQ1062" s="168"/>
      <c r="BR1062" s="168"/>
      <c r="BS1062" s="135"/>
      <c r="BT1062" s="176"/>
      <c r="BU1062" s="167"/>
      <c r="BV1062" s="168"/>
      <c r="BW1062" s="167"/>
      <c r="BX1062" s="168"/>
      <c r="BY1062" s="167"/>
      <c r="BZ1062" s="176"/>
      <c r="CA1062" s="167"/>
      <c r="CB1062" s="168"/>
      <c r="CC1062" s="167"/>
      <c r="CD1062" s="168"/>
      <c r="CE1062" s="62"/>
      <c r="CF1062" s="62"/>
      <c r="CG1062" s="9"/>
      <c r="CH1062" s="9"/>
      <c r="CI1062" s="9"/>
      <c r="CJ1062" s="9"/>
      <c r="CK1062" s="9"/>
      <c r="CL1062" s="9"/>
      <c r="CM1062" s="9"/>
      <c r="CN1062" s="9"/>
      <c r="CO1062" s="9"/>
      <c r="CP1062" s="9"/>
    </row>
    <row r="1063" spans="1:94" ht="45" x14ac:dyDescent="0.25">
      <c r="A1063" s="127" t="s">
        <v>3359</v>
      </c>
      <c r="B1063" s="51" t="s">
        <v>3360</v>
      </c>
      <c r="C1063" s="62"/>
      <c r="D1063" s="84">
        <v>12</v>
      </c>
      <c r="E1063" s="62" t="s">
        <v>3361</v>
      </c>
      <c r="F1063" s="62">
        <v>5</v>
      </c>
      <c r="G1063" s="62"/>
      <c r="H1063" s="50">
        <f>VLOOKUP($A1063,'[1]ma sp 02'!$A$5:$BD$1101,H$1,0)</f>
        <v>0</v>
      </c>
      <c r="I1063" s="50">
        <f>VLOOKUP($A1063,'[1]ma sp 02'!$A$5:$BD$1101,I$1,0)</f>
        <v>0</v>
      </c>
      <c r="J1063" s="50">
        <f>VLOOKUP($A1063,'[1]ma sp 02'!$A$5:$BD$1101,J$1,0)</f>
        <v>4.0960000000000001</v>
      </c>
      <c r="K1063" s="50">
        <f>VLOOKUP($A1063,'[1]ma sp 02'!$A$5:$BD$1101,K$1,0)</f>
        <v>1.2410000000000001</v>
      </c>
      <c r="L1063" s="50">
        <f>VLOOKUP($A1063,'[1]ma sp 02'!$A$5:$BD$1101,L$1,0)</f>
        <v>0.621</v>
      </c>
      <c r="M1063" s="50">
        <f>VLOOKUP($A1063,'[1]ma sp 02'!$A$5:$BD$1101,M$1,0)</f>
        <v>6.2069999999999999</v>
      </c>
      <c r="N1063" s="50">
        <f>VLOOKUP($A1063,'[1]ma sp 02'!$A$5:$BD$1101,N$1,0)</f>
        <v>0</v>
      </c>
      <c r="O1063" s="50">
        <f>VLOOKUP($A1063,'[1]ma sp 02'!$A$5:$BD$1101,O$1,0)</f>
        <v>0.01</v>
      </c>
      <c r="P1063" s="50">
        <f>VLOOKUP($A1063,'[1]ma sp 02'!$A$5:$BD$1101,P$1,0)</f>
        <v>0.497</v>
      </c>
      <c r="Q1063" s="50">
        <f>VLOOKUP($A1063,'[1]ma sp 02'!$A$5:$BD$1101,Q$1,0)</f>
        <v>0.01</v>
      </c>
      <c r="R1063" s="50">
        <f>VLOOKUP($A1063,'[1]ma sp 02'!$A$5:$BD$1101,R$1,0)</f>
        <v>0.01</v>
      </c>
      <c r="S1063" s="50">
        <f>VLOOKUP($A1063,'[1]ma sp 02'!$A$5:$BD$1101,S$1,0)</f>
        <v>0</v>
      </c>
      <c r="T1063" s="50">
        <f>VLOOKUP($A1063,'[1]ma sp 02'!$A$5:$BD$1101,T$1,0)</f>
        <v>0</v>
      </c>
      <c r="U1063" s="50">
        <f>VLOOKUP($A1063,'[1]ma sp 02'!$A$5:$BD$1101,U$1,0)</f>
        <v>0</v>
      </c>
      <c r="V1063" s="50">
        <f>VLOOKUP($A1063,'[1]ma sp 02'!$A$5:$BD$1101,V$1,0)</f>
        <v>0</v>
      </c>
      <c r="W1063" s="50">
        <f>VLOOKUP($A1063,'[1]ma sp 02'!$A$5:$BD$1101,W$1,0)</f>
        <v>0</v>
      </c>
      <c r="X1063" s="50"/>
      <c r="Y1063" s="62"/>
      <c r="Z1063" s="62"/>
      <c r="AA1063" s="62"/>
      <c r="AB1063" s="62"/>
      <c r="AC1063" s="62"/>
      <c r="AD1063" s="62"/>
      <c r="AE1063" s="62" t="s">
        <v>3362</v>
      </c>
      <c r="AF1063" s="62" t="s">
        <v>2860</v>
      </c>
      <c r="AG1063" s="53">
        <f>(0.0064+0.006*2.71+0.04*0.925)*0.72</f>
        <v>4.2955199999999999E-2</v>
      </c>
      <c r="AH1063" s="54">
        <f>(3/0.75/2)*0.72</f>
        <v>1.44</v>
      </c>
      <c r="AI1063" s="54">
        <f>(2.5/0.75/2)*0.72</f>
        <v>1.2</v>
      </c>
      <c r="AJ1063" s="62">
        <v>9530</v>
      </c>
      <c r="AK1063" s="62">
        <v>9530</v>
      </c>
      <c r="AL1063" s="9" t="s">
        <v>3363</v>
      </c>
      <c r="AM1063" s="61" t="s">
        <v>1489</v>
      </c>
      <c r="AN1063" s="62">
        <v>80</v>
      </c>
      <c r="AO1063" s="61" t="s">
        <v>2301</v>
      </c>
      <c r="AP1063" s="59"/>
      <c r="AQ1063" s="59"/>
      <c r="AR1063" s="59"/>
      <c r="AS1063" s="59"/>
      <c r="AT1063" s="59"/>
      <c r="AU1063" s="59"/>
      <c r="AV1063" s="59"/>
      <c r="AW1063" s="59"/>
      <c r="AX1063" s="59"/>
      <c r="AY1063" s="59"/>
      <c r="AZ1063" s="59"/>
      <c r="BA1063" s="141"/>
      <c r="BB1063" s="61" t="s">
        <v>1894</v>
      </c>
      <c r="BC1063" s="165"/>
      <c r="BD1063" s="166"/>
      <c r="BE1063" s="167"/>
      <c r="BF1063" s="168"/>
      <c r="BG1063" s="167"/>
      <c r="BH1063" s="168"/>
      <c r="BI1063" s="169"/>
      <c r="BJ1063" s="168"/>
      <c r="BK1063" s="134"/>
      <c r="BL1063" s="168"/>
      <c r="BM1063" s="167"/>
      <c r="BN1063" s="168"/>
      <c r="BO1063" s="62"/>
      <c r="BP1063" s="168"/>
      <c r="BQ1063" s="168"/>
      <c r="BR1063" s="168"/>
      <c r="BS1063" s="135"/>
      <c r="BT1063" s="176"/>
      <c r="BU1063" s="167"/>
      <c r="BV1063" s="168"/>
      <c r="BW1063" s="167"/>
      <c r="BX1063" s="168"/>
      <c r="BY1063" s="167"/>
      <c r="BZ1063" s="176"/>
      <c r="CA1063" s="167"/>
      <c r="CB1063" s="168"/>
      <c r="CC1063" s="167"/>
      <c r="CD1063" s="168"/>
      <c r="CE1063" s="62"/>
      <c r="CF1063" s="62"/>
      <c r="CG1063" s="9"/>
      <c r="CH1063" s="9"/>
      <c r="CI1063" s="9"/>
      <c r="CJ1063" s="9"/>
      <c r="CK1063" s="9"/>
      <c r="CL1063" s="9"/>
      <c r="CM1063" s="9"/>
      <c r="CN1063" s="9"/>
      <c r="CO1063" s="9"/>
      <c r="CP1063" s="9"/>
    </row>
    <row r="1064" spans="1:94" ht="45" x14ac:dyDescent="0.25">
      <c r="A1064" s="127" t="s">
        <v>3364</v>
      </c>
      <c r="B1064" s="51" t="s">
        <v>3365</v>
      </c>
      <c r="C1064" s="62"/>
      <c r="D1064" s="84">
        <v>2</v>
      </c>
      <c r="E1064" s="62" t="s">
        <v>2111</v>
      </c>
      <c r="F1064" s="62">
        <v>7</v>
      </c>
      <c r="G1064" s="62"/>
      <c r="H1064" s="50">
        <f>VLOOKUP($A1064,'[1]ma sp 02'!$A$5:$BD$1101,H$1,0)</f>
        <v>0.34100000000000003</v>
      </c>
      <c r="I1064" s="50">
        <f>VLOOKUP($A1064,'[1]ma sp 02'!$A$5:$BD$1101,I$1,0)</f>
        <v>5.1120000000000001</v>
      </c>
      <c r="J1064" s="50">
        <f>VLOOKUP($A1064,'[1]ma sp 02'!$A$5:$BD$1101,J$1,0)</f>
        <v>0.61299999999999999</v>
      </c>
      <c r="K1064" s="50">
        <f>VLOOKUP($A1064,'[1]ma sp 02'!$A$5:$BD$1101,K$1,0)</f>
        <v>0.47699999999999998</v>
      </c>
      <c r="L1064" s="50">
        <f>VLOOKUP($A1064,'[1]ma sp 02'!$A$5:$BD$1101,L$1,0)</f>
        <v>0.75</v>
      </c>
      <c r="M1064" s="50">
        <f>VLOOKUP($A1064,'[1]ma sp 02'!$A$5:$BD$1101,M$1,0)</f>
        <v>2.9990000000000001</v>
      </c>
      <c r="N1064" s="50">
        <f>VLOOKUP($A1064,'[1]ma sp 02'!$A$5:$BD$1101,N$1,0)</f>
        <v>0</v>
      </c>
      <c r="O1064" s="50">
        <f>VLOOKUP($A1064,'[1]ma sp 02'!$A$5:$BD$1101,O$1,0)</f>
        <v>0.95399999999999996</v>
      </c>
      <c r="P1064" s="50">
        <f>VLOOKUP($A1064,'[1]ma sp 02'!$A$5:$BD$1101,P$1,0)</f>
        <v>0</v>
      </c>
      <c r="Q1064" s="50">
        <f>VLOOKUP($A1064,'[1]ma sp 02'!$A$5:$BD$1101,Q$1,0)</f>
        <v>0</v>
      </c>
      <c r="R1064" s="50">
        <f>VLOOKUP($A1064,'[1]ma sp 02'!$A$5:$BD$1101,R$1,0)</f>
        <v>0</v>
      </c>
      <c r="S1064" s="50">
        <f>VLOOKUP($A1064,'[1]ma sp 02'!$A$5:$BD$1101,S$1,0)</f>
        <v>0</v>
      </c>
      <c r="T1064" s="50">
        <f>VLOOKUP($A1064,'[1]ma sp 02'!$A$5:$BD$1101,T$1,0)</f>
        <v>0</v>
      </c>
      <c r="U1064" s="50">
        <f>VLOOKUP($A1064,'[1]ma sp 02'!$A$5:$BD$1101,U$1,0)</f>
        <v>0</v>
      </c>
      <c r="V1064" s="50">
        <f>VLOOKUP($A1064,'[1]ma sp 02'!$A$5:$BD$1101,V$1,0)</f>
        <v>0</v>
      </c>
      <c r="W1064" s="50">
        <f>VLOOKUP($A1064,'[1]ma sp 02'!$A$5:$BD$1101,W$1,0)</f>
        <v>0.01</v>
      </c>
      <c r="X1064" s="50"/>
      <c r="Y1064" s="62"/>
      <c r="Z1064" s="62"/>
      <c r="AA1064" s="62"/>
      <c r="AB1064" s="62"/>
      <c r="AC1064" s="62"/>
      <c r="AD1064" s="62"/>
      <c r="AE1064" s="62" t="s">
        <v>3366</v>
      </c>
      <c r="AF1064" s="62"/>
      <c r="AG1064" s="53">
        <f>(0.02*0.91+0.05*0.925)*0.97</f>
        <v>6.2516500000000003E-2</v>
      </c>
      <c r="AH1064" s="54">
        <f>(2.3/0.75/2)*0.97</f>
        <v>1.4873333333333332</v>
      </c>
      <c r="AI1064" s="54"/>
      <c r="AJ1064" s="62">
        <v>9530</v>
      </c>
      <c r="AK1064" s="62">
        <v>9530</v>
      </c>
      <c r="AL1064" s="9">
        <v>2.3E-3</v>
      </c>
      <c r="AM1064" s="61" t="s">
        <v>1893</v>
      </c>
      <c r="AN1064" s="62">
        <v>230</v>
      </c>
      <c r="AO1064" s="61" t="s">
        <v>3367</v>
      </c>
      <c r="AP1064" s="59"/>
      <c r="AQ1064" s="59"/>
      <c r="AR1064" s="59"/>
      <c r="AS1064" s="59"/>
      <c r="AT1064" s="59"/>
      <c r="AU1064" s="59"/>
      <c r="AV1064" s="59"/>
      <c r="AW1064" s="59"/>
      <c r="AX1064" s="59"/>
      <c r="AY1064" s="59"/>
      <c r="AZ1064" s="59"/>
      <c r="BA1064" s="141"/>
      <c r="BB1064" s="61" t="s">
        <v>1894</v>
      </c>
      <c r="BC1064" s="165"/>
      <c r="BD1064" s="166"/>
      <c r="BE1064" s="167"/>
      <c r="BF1064" s="168"/>
      <c r="BG1064" s="167"/>
      <c r="BH1064" s="168"/>
      <c r="BI1064" s="169"/>
      <c r="BJ1064" s="168"/>
      <c r="BK1064" s="134"/>
      <c r="BL1064" s="168"/>
      <c r="BM1064" s="167"/>
      <c r="BN1064" s="168"/>
      <c r="BO1064" s="62"/>
      <c r="BP1064" s="168"/>
      <c r="BQ1064" s="168"/>
      <c r="BR1064" s="168"/>
      <c r="BS1064" s="135"/>
      <c r="BT1064" s="176"/>
      <c r="BU1064" s="167"/>
      <c r="BV1064" s="168"/>
      <c r="BW1064" s="167"/>
      <c r="BX1064" s="168"/>
      <c r="BY1064" s="167"/>
      <c r="BZ1064" s="176"/>
      <c r="CA1064" s="167"/>
      <c r="CB1064" s="168"/>
      <c r="CC1064" s="167"/>
      <c r="CD1064" s="168"/>
      <c r="CE1064" s="62"/>
      <c r="CF1064" s="62"/>
      <c r="CG1064" s="9"/>
      <c r="CH1064" s="9"/>
      <c r="CI1064" s="9"/>
      <c r="CJ1064" s="9"/>
      <c r="CK1064" s="9"/>
      <c r="CL1064" s="9"/>
      <c r="CM1064" s="9"/>
      <c r="CN1064" s="9"/>
      <c r="CO1064" s="9"/>
      <c r="CP1064" s="9"/>
    </row>
    <row r="1065" spans="1:94" ht="30" x14ac:dyDescent="0.25">
      <c r="A1065" s="127" t="s">
        <v>3368</v>
      </c>
      <c r="B1065" s="51" t="s">
        <v>3369</v>
      </c>
      <c r="C1065" s="62"/>
      <c r="D1065" s="84">
        <v>3</v>
      </c>
      <c r="E1065" s="62" t="s">
        <v>1023</v>
      </c>
      <c r="F1065" s="62">
        <v>7</v>
      </c>
      <c r="G1065" s="62"/>
      <c r="H1065" s="50">
        <f>VLOOKUP($A1065,'[1]ma sp 02'!$A$5:$BD$1101,H$1,0)</f>
        <v>0.01</v>
      </c>
      <c r="I1065" s="50">
        <f>VLOOKUP($A1065,'[1]ma sp 02'!$A$5:$BD$1101,I$1,0)</f>
        <v>3.32</v>
      </c>
      <c r="J1065" s="50">
        <f>VLOOKUP($A1065,'[1]ma sp 02'!$A$5:$BD$1101,J$1,0)</f>
        <v>0.66400000000000003</v>
      </c>
      <c r="K1065" s="50">
        <f>VLOOKUP($A1065,'[1]ma sp 02'!$A$5:$BD$1101,K$1,0)</f>
        <v>0</v>
      </c>
      <c r="L1065" s="50">
        <f>VLOOKUP($A1065,'[1]ma sp 02'!$A$5:$BD$1101,L$1,0)</f>
        <v>0</v>
      </c>
      <c r="M1065" s="50">
        <f>VLOOKUP($A1065,'[1]ma sp 02'!$A$5:$BD$1101,M$1,0)</f>
        <v>0</v>
      </c>
      <c r="N1065" s="50">
        <f>VLOOKUP($A1065,'[1]ma sp 02'!$A$5:$BD$1101,N$1,0)</f>
        <v>0</v>
      </c>
      <c r="O1065" s="50">
        <f>VLOOKUP($A1065,'[1]ma sp 02'!$A$5:$BD$1101,O$1,0)</f>
        <v>0</v>
      </c>
      <c r="P1065" s="50">
        <f>VLOOKUP($A1065,'[1]ma sp 02'!$A$5:$BD$1101,P$1,0)</f>
        <v>3.6520000000000001</v>
      </c>
      <c r="Q1065" s="50">
        <f>VLOOKUP($A1065,'[1]ma sp 02'!$A$5:$BD$1101,Q$1,0)</f>
        <v>1.992</v>
      </c>
      <c r="R1065" s="50">
        <f>VLOOKUP($A1065,'[1]ma sp 02'!$A$5:$BD$1101,R$1,0)</f>
        <v>0</v>
      </c>
      <c r="S1065" s="50">
        <f>VLOOKUP($A1065,'[1]ma sp 02'!$A$5:$BD$1101,S$1,0)</f>
        <v>0.66400000000000003</v>
      </c>
      <c r="T1065" s="50">
        <f>VLOOKUP($A1065,'[1]ma sp 02'!$A$5:$BD$1101,T$1,0)</f>
        <v>0</v>
      </c>
      <c r="U1065" s="50">
        <f>VLOOKUP($A1065,'[1]ma sp 02'!$A$5:$BD$1101,U$1,0)</f>
        <v>0</v>
      </c>
      <c r="V1065" s="50">
        <f>VLOOKUP($A1065,'[1]ma sp 02'!$A$5:$BD$1101,V$1,0)</f>
        <v>0</v>
      </c>
      <c r="W1065" s="50">
        <f>VLOOKUP($A1065,'[1]ma sp 02'!$A$5:$BD$1101,W$1,0)</f>
        <v>0</v>
      </c>
      <c r="X1065" s="50"/>
      <c r="Y1065" s="62"/>
      <c r="Z1065" s="62"/>
      <c r="AA1065" s="62"/>
      <c r="AB1065" s="62"/>
      <c r="AC1065" s="62"/>
      <c r="AD1065" s="62"/>
      <c r="AE1065" s="62" t="s">
        <v>352</v>
      </c>
      <c r="AF1065" s="62" t="s">
        <v>3370</v>
      </c>
      <c r="AG1065" s="53">
        <f>(0.03*0.91+0.012*1.4+0.14*0.925)*0.8</f>
        <v>0.13888000000000003</v>
      </c>
      <c r="AH1065" s="54">
        <f>(3/0.75/2)*0.79</f>
        <v>1.58</v>
      </c>
      <c r="AI1065" s="54">
        <f>(3/0.75/2)*0.79</f>
        <v>1.58</v>
      </c>
      <c r="AJ1065" s="62">
        <v>9530</v>
      </c>
      <c r="AK1065" s="62">
        <v>9530</v>
      </c>
      <c r="AL1065" s="9" t="s">
        <v>1328</v>
      </c>
      <c r="AM1065" s="61" t="s">
        <v>2065</v>
      </c>
      <c r="AN1065" s="62">
        <v>255</v>
      </c>
      <c r="AO1065" s="61" t="s">
        <v>3371</v>
      </c>
      <c r="AP1065" s="59"/>
      <c r="AQ1065" s="59"/>
      <c r="AR1065" s="59"/>
      <c r="AS1065" s="59"/>
      <c r="AT1065" s="59"/>
      <c r="AU1065" s="59"/>
      <c r="AV1065" s="59"/>
      <c r="AW1065" s="59"/>
      <c r="AX1065" s="59"/>
      <c r="AY1065" s="59"/>
      <c r="AZ1065" s="59"/>
      <c r="BA1065" s="141"/>
      <c r="BB1065" s="61" t="s">
        <v>1894</v>
      </c>
      <c r="BC1065" s="165"/>
      <c r="BD1065" s="166"/>
      <c r="BE1065" s="167"/>
      <c r="BF1065" s="168"/>
      <c r="BG1065" s="167"/>
      <c r="BH1065" s="168"/>
      <c r="BI1065" s="169"/>
      <c r="BJ1065" s="168"/>
      <c r="BK1065" s="134"/>
      <c r="BL1065" s="168"/>
      <c r="BM1065" s="167"/>
      <c r="BN1065" s="168"/>
      <c r="BO1065" s="62"/>
      <c r="BP1065" s="168"/>
      <c r="BQ1065" s="168"/>
      <c r="BR1065" s="168"/>
      <c r="BS1065" s="135"/>
      <c r="BT1065" s="176"/>
      <c r="BU1065" s="167"/>
      <c r="BV1065" s="168"/>
      <c r="BW1065" s="167"/>
      <c r="BX1065" s="168"/>
      <c r="BY1065" s="167"/>
      <c r="BZ1065" s="176"/>
      <c r="CA1065" s="167"/>
      <c r="CB1065" s="168"/>
      <c r="CC1065" s="167"/>
      <c r="CD1065" s="168"/>
      <c r="CE1065" s="62"/>
      <c r="CF1065" s="62"/>
      <c r="CG1065" s="9"/>
      <c r="CH1065" s="9"/>
      <c r="CI1065" s="9"/>
      <c r="CJ1065" s="9"/>
      <c r="CK1065" s="9"/>
      <c r="CL1065" s="9"/>
      <c r="CM1065" s="9"/>
      <c r="CN1065" s="9"/>
      <c r="CO1065" s="9"/>
      <c r="CP1065" s="9"/>
    </row>
    <row r="1066" spans="1:94" ht="30" x14ac:dyDescent="0.25">
      <c r="A1066" s="127" t="s">
        <v>3372</v>
      </c>
      <c r="B1066" s="51" t="s">
        <v>3373</v>
      </c>
      <c r="C1066" s="62"/>
      <c r="D1066" s="84">
        <v>3</v>
      </c>
      <c r="E1066" s="62" t="s">
        <v>1023</v>
      </c>
      <c r="F1066" s="62">
        <v>7</v>
      </c>
      <c r="G1066" s="62"/>
      <c r="H1066" s="50">
        <f>VLOOKUP($A1066,'[1]ma sp 02'!$A$5:$BD$1101,H$1,0)</f>
        <v>2.665</v>
      </c>
      <c r="I1066" s="50">
        <f>VLOOKUP($A1066,'[1]ma sp 02'!$A$5:$BD$1101,I$1,0)</f>
        <v>13.32</v>
      </c>
      <c r="J1066" s="50">
        <f>VLOOKUP($A1066,'[1]ma sp 02'!$A$5:$BD$1101,J$1,0)</f>
        <v>0</v>
      </c>
      <c r="K1066" s="50">
        <f>VLOOKUP($A1066,'[1]ma sp 02'!$A$5:$BD$1101,K$1,0)</f>
        <v>3.0449999999999999</v>
      </c>
      <c r="L1066" s="50">
        <f>VLOOKUP($A1066,'[1]ma sp 02'!$A$5:$BD$1101,L$1,0)</f>
        <v>10.657999999999999</v>
      </c>
      <c r="M1066" s="50">
        <f>VLOOKUP($A1066,'[1]ma sp 02'!$A$5:$BD$1101,M$1,0)</f>
        <v>0</v>
      </c>
      <c r="N1066" s="50">
        <f>VLOOKUP($A1066,'[1]ma sp 02'!$A$5:$BD$1101,N$1,0)</f>
        <v>0</v>
      </c>
      <c r="O1066" s="50">
        <f>VLOOKUP($A1066,'[1]ma sp 02'!$A$5:$BD$1101,O$1,0)</f>
        <v>0</v>
      </c>
      <c r="P1066" s="50">
        <f>VLOOKUP($A1066,'[1]ma sp 02'!$A$5:$BD$1101,P$1,0)</f>
        <v>1.1419999999999999</v>
      </c>
      <c r="Q1066" s="50">
        <f>VLOOKUP($A1066,'[1]ma sp 02'!$A$5:$BD$1101,Q$1,0)</f>
        <v>0</v>
      </c>
      <c r="R1066" s="50">
        <f>VLOOKUP($A1066,'[1]ma sp 02'!$A$5:$BD$1101,R$1,0)</f>
        <v>0</v>
      </c>
      <c r="S1066" s="50">
        <f>VLOOKUP($A1066,'[1]ma sp 02'!$A$5:$BD$1101,S$1,0)</f>
        <v>0.01</v>
      </c>
      <c r="T1066" s="50">
        <f>VLOOKUP($A1066,'[1]ma sp 02'!$A$5:$BD$1101,T$1,0)</f>
        <v>0</v>
      </c>
      <c r="U1066" s="50">
        <f>VLOOKUP($A1066,'[1]ma sp 02'!$A$5:$BD$1101,U$1,0)</f>
        <v>0</v>
      </c>
      <c r="V1066" s="50">
        <f>VLOOKUP($A1066,'[1]ma sp 02'!$A$5:$BD$1101,V$1,0)</f>
        <v>0</v>
      </c>
      <c r="W1066" s="50">
        <f>VLOOKUP($A1066,'[1]ma sp 02'!$A$5:$BD$1101,W$1,0)</f>
        <v>0</v>
      </c>
      <c r="X1066" s="50"/>
      <c r="Y1066" s="62"/>
      <c r="Z1066" s="62"/>
      <c r="AA1066" s="62"/>
      <c r="AB1066" s="62"/>
      <c r="AC1066" s="62"/>
      <c r="AD1066" s="62"/>
      <c r="AE1066" s="62" t="s">
        <v>3370</v>
      </c>
      <c r="AF1066" s="62"/>
      <c r="AG1066" s="53">
        <f>(0.03*0.91+0.14*0.925)*0.8</f>
        <v>0.12544000000000002</v>
      </c>
      <c r="AH1066" s="54">
        <f>(3/0.75/2)*0.79</f>
        <v>1.58</v>
      </c>
      <c r="AI1066" s="54"/>
      <c r="AJ1066" s="62">
        <v>9530</v>
      </c>
      <c r="AK1066" s="62"/>
      <c r="AL1066" s="9">
        <v>3.0000000000000001E-3</v>
      </c>
      <c r="AM1066" s="61" t="s">
        <v>2065</v>
      </c>
      <c r="AN1066" s="62">
        <v>255</v>
      </c>
      <c r="AO1066" s="61" t="s">
        <v>3371</v>
      </c>
      <c r="AP1066" s="59"/>
      <c r="AQ1066" s="59"/>
      <c r="AR1066" s="59"/>
      <c r="AS1066" s="59"/>
      <c r="AT1066" s="59"/>
      <c r="AU1066" s="59"/>
      <c r="AV1066" s="59"/>
      <c r="AW1066" s="59"/>
      <c r="AX1066" s="59"/>
      <c r="AY1066" s="59"/>
      <c r="AZ1066" s="59"/>
      <c r="BA1066" s="141"/>
      <c r="BB1066" s="61" t="s">
        <v>1894</v>
      </c>
      <c r="BC1066" s="165"/>
      <c r="BD1066" s="166"/>
      <c r="BE1066" s="167"/>
      <c r="BF1066" s="168"/>
      <c r="BG1066" s="167"/>
      <c r="BH1066" s="168"/>
      <c r="BI1066" s="169"/>
      <c r="BJ1066" s="168"/>
      <c r="BK1066" s="134"/>
      <c r="BL1066" s="168"/>
      <c r="BM1066" s="167"/>
      <c r="BN1066" s="168"/>
      <c r="BO1066" s="62"/>
      <c r="BP1066" s="168"/>
      <c r="BQ1066" s="168"/>
      <c r="BR1066" s="168"/>
      <c r="BS1066" s="135"/>
      <c r="BT1066" s="176"/>
      <c r="BU1066" s="167"/>
      <c r="BV1066" s="168"/>
      <c r="BW1066" s="167"/>
      <c r="BX1066" s="168"/>
      <c r="BY1066" s="167"/>
      <c r="BZ1066" s="176"/>
      <c r="CA1066" s="167"/>
      <c r="CB1066" s="168"/>
      <c r="CC1066" s="167"/>
      <c r="CD1066" s="168"/>
      <c r="CE1066" s="62"/>
      <c r="CF1066" s="62"/>
      <c r="CG1066" s="9"/>
      <c r="CH1066" s="9"/>
      <c r="CI1066" s="9"/>
      <c r="CJ1066" s="9"/>
      <c r="CK1066" s="9"/>
      <c r="CL1066" s="9"/>
      <c r="CM1066" s="9"/>
      <c r="CN1066" s="9"/>
      <c r="CO1066" s="9"/>
      <c r="CP1066" s="9"/>
    </row>
    <row r="1067" spans="1:94" ht="30" x14ac:dyDescent="0.25">
      <c r="A1067" s="127" t="s">
        <v>3374</v>
      </c>
      <c r="B1067" s="51" t="s">
        <v>3375</v>
      </c>
      <c r="C1067" s="62"/>
      <c r="D1067" s="84">
        <v>4</v>
      </c>
      <c r="E1067" s="62" t="s">
        <v>3376</v>
      </c>
      <c r="F1067" s="62">
        <v>6</v>
      </c>
      <c r="G1067" s="62"/>
      <c r="H1067" s="50">
        <f>VLOOKUP($A1067,'[1]ma sp 02'!$A$5:$BD$1101,H$1,0)</f>
        <v>0.13100000000000001</v>
      </c>
      <c r="I1067" s="50">
        <f>VLOOKUP($A1067,'[1]ma sp 02'!$A$5:$BD$1101,I$1,0)</f>
        <v>2.62</v>
      </c>
      <c r="J1067" s="50">
        <f>VLOOKUP($A1067,'[1]ma sp 02'!$A$5:$BD$1101,J$1,0)</f>
        <v>0.26200000000000001</v>
      </c>
      <c r="K1067" s="50">
        <f>VLOOKUP($A1067,'[1]ma sp 02'!$A$5:$BD$1101,K$1,0)</f>
        <v>0.01</v>
      </c>
      <c r="L1067" s="50">
        <f>VLOOKUP($A1067,'[1]ma sp 02'!$A$5:$BD$1101,L$1,0)</f>
        <v>0.19700000000000001</v>
      </c>
      <c r="M1067" s="50">
        <f>VLOOKUP($A1067,'[1]ma sp 02'!$A$5:$BD$1101,M$1,0)</f>
        <v>0.78600000000000003</v>
      </c>
      <c r="N1067" s="50">
        <f>VLOOKUP($A1067,'[1]ma sp 02'!$A$5:$BD$1101,N$1,0)</f>
        <v>0</v>
      </c>
      <c r="O1067" s="50">
        <f>VLOOKUP($A1067,'[1]ma sp 02'!$A$5:$BD$1101,O$1,0)</f>
        <v>0</v>
      </c>
      <c r="P1067" s="50">
        <f>VLOOKUP($A1067,'[1]ma sp 02'!$A$5:$BD$1101,P$1,0)</f>
        <v>0</v>
      </c>
      <c r="Q1067" s="50">
        <f>VLOOKUP($A1067,'[1]ma sp 02'!$A$5:$BD$1101,Q$1,0)</f>
        <v>0</v>
      </c>
      <c r="R1067" s="50">
        <f>VLOOKUP($A1067,'[1]ma sp 02'!$A$5:$BD$1101,R$1,0)</f>
        <v>0.01</v>
      </c>
      <c r="S1067" s="50">
        <f>VLOOKUP($A1067,'[1]ma sp 02'!$A$5:$BD$1101,S$1,0)</f>
        <v>0</v>
      </c>
      <c r="T1067" s="50">
        <f>VLOOKUP($A1067,'[1]ma sp 02'!$A$5:$BD$1101,T$1,0)</f>
        <v>0</v>
      </c>
      <c r="U1067" s="50">
        <f>VLOOKUP($A1067,'[1]ma sp 02'!$A$5:$BD$1101,U$1,0)</f>
        <v>0</v>
      </c>
      <c r="V1067" s="50">
        <f>VLOOKUP($A1067,'[1]ma sp 02'!$A$5:$BD$1101,V$1,0)</f>
        <v>0</v>
      </c>
      <c r="W1067" s="50">
        <f>VLOOKUP($A1067,'[1]ma sp 02'!$A$5:$BD$1101,W$1,0)</f>
        <v>0</v>
      </c>
      <c r="X1067" s="50"/>
      <c r="Y1067" s="62"/>
      <c r="Z1067" s="62"/>
      <c r="AA1067" s="62"/>
      <c r="AB1067" s="62"/>
      <c r="AC1067" s="62"/>
      <c r="AD1067" s="62"/>
      <c r="AE1067" s="62" t="s">
        <v>3377</v>
      </c>
      <c r="AF1067" s="62"/>
      <c r="AG1067" s="53">
        <f>(0.012*0.91+0.012*1.4+0.06*0.925)*0.676</f>
        <v>5.6256720000000003E-2</v>
      </c>
      <c r="AH1067" s="54">
        <f>(2.3/0.75/2)*0.666</f>
        <v>1.0211999999999999</v>
      </c>
      <c r="AI1067" s="54"/>
      <c r="AJ1067" s="62">
        <v>9530</v>
      </c>
      <c r="AK1067" s="62"/>
      <c r="AL1067" s="9">
        <v>2.3E-3</v>
      </c>
      <c r="AM1067" s="61" t="s">
        <v>1489</v>
      </c>
      <c r="AN1067" s="62">
        <v>135</v>
      </c>
      <c r="AO1067" s="61" t="s">
        <v>3378</v>
      </c>
      <c r="AP1067" s="59"/>
      <c r="AQ1067" s="59"/>
      <c r="AR1067" s="59"/>
      <c r="AS1067" s="59"/>
      <c r="AT1067" s="59"/>
      <c r="AU1067" s="59"/>
      <c r="AV1067" s="59"/>
      <c r="AW1067" s="59"/>
      <c r="AX1067" s="59"/>
      <c r="AY1067" s="59"/>
      <c r="AZ1067" s="59"/>
      <c r="BA1067" s="141"/>
      <c r="BB1067" s="61"/>
      <c r="BC1067" s="165"/>
      <c r="BD1067" s="166"/>
      <c r="BE1067" s="167"/>
      <c r="BF1067" s="168"/>
      <c r="BG1067" s="167"/>
      <c r="BH1067" s="168"/>
      <c r="BI1067" s="169"/>
      <c r="BJ1067" s="168"/>
      <c r="BK1067" s="134"/>
      <c r="BL1067" s="168"/>
      <c r="BM1067" s="167"/>
      <c r="BN1067" s="168"/>
      <c r="BO1067" s="62"/>
      <c r="BP1067" s="168"/>
      <c r="BQ1067" s="168"/>
      <c r="BR1067" s="168"/>
      <c r="BS1067" s="135"/>
      <c r="BT1067" s="176"/>
      <c r="BU1067" s="167"/>
      <c r="BV1067" s="168"/>
      <c r="BW1067" s="167"/>
      <c r="BX1067" s="168"/>
      <c r="BY1067" s="167"/>
      <c r="BZ1067" s="176"/>
      <c r="CA1067" s="167"/>
      <c r="CB1067" s="168"/>
      <c r="CC1067" s="167"/>
      <c r="CD1067" s="168"/>
      <c r="CE1067" s="62"/>
      <c r="CF1067" s="62"/>
      <c r="CG1067" s="9"/>
      <c r="CH1067" s="9"/>
      <c r="CI1067" s="9"/>
      <c r="CJ1067" s="9"/>
      <c r="CK1067" s="9"/>
      <c r="CL1067" s="9"/>
      <c r="CM1067" s="9"/>
      <c r="CN1067" s="9"/>
      <c r="CO1067" s="9"/>
      <c r="CP1067" s="9"/>
    </row>
    <row r="1068" spans="1:94" ht="30" x14ac:dyDescent="0.25">
      <c r="A1068" s="127" t="s">
        <v>3379</v>
      </c>
      <c r="B1068" s="51" t="s">
        <v>3380</v>
      </c>
      <c r="C1068" s="62"/>
      <c r="D1068" s="84">
        <v>4</v>
      </c>
      <c r="E1068" s="62" t="s">
        <v>3376</v>
      </c>
      <c r="F1068" s="62">
        <v>6</v>
      </c>
      <c r="G1068" s="62"/>
      <c r="H1068" s="50">
        <f>VLOOKUP($A1068,'[1]ma sp 02'!$A$5:$BD$1101,H$1,0)</f>
        <v>0</v>
      </c>
      <c r="I1068" s="50">
        <f>VLOOKUP($A1068,'[1]ma sp 02'!$A$5:$BD$1101,I$1,0)</f>
        <v>4.274</v>
      </c>
      <c r="J1068" s="50">
        <f>VLOOKUP($A1068,'[1]ma sp 02'!$A$5:$BD$1101,J$1,0)</f>
        <v>0</v>
      </c>
      <c r="K1068" s="50">
        <f>VLOOKUP($A1068,'[1]ma sp 02'!$A$5:$BD$1101,K$1,0)</f>
        <v>0.01</v>
      </c>
      <c r="L1068" s="50">
        <f>VLOOKUP($A1068,'[1]ma sp 02'!$A$5:$BD$1101,L$1,0)</f>
        <v>0.85499999999999998</v>
      </c>
      <c r="M1068" s="50">
        <f>VLOOKUP($A1068,'[1]ma sp 02'!$A$5:$BD$1101,M$1,0)</f>
        <v>1.5669999999999999</v>
      </c>
      <c r="N1068" s="50">
        <f>VLOOKUP($A1068,'[1]ma sp 02'!$A$5:$BD$1101,N$1,0)</f>
        <v>0</v>
      </c>
      <c r="O1068" s="50">
        <f>VLOOKUP($A1068,'[1]ma sp 02'!$A$5:$BD$1101,O$1,0)</f>
        <v>0</v>
      </c>
      <c r="P1068" s="50">
        <f>VLOOKUP($A1068,'[1]ma sp 02'!$A$5:$BD$1101,P$1,0)</f>
        <v>0</v>
      </c>
      <c r="Q1068" s="50">
        <f>VLOOKUP($A1068,'[1]ma sp 02'!$A$5:$BD$1101,Q$1,0)</f>
        <v>0</v>
      </c>
      <c r="R1068" s="50">
        <f>VLOOKUP($A1068,'[1]ma sp 02'!$A$5:$BD$1101,R$1,0)</f>
        <v>0.01</v>
      </c>
      <c r="S1068" s="50">
        <f>VLOOKUP($A1068,'[1]ma sp 02'!$A$5:$BD$1101,S$1,0)</f>
        <v>0</v>
      </c>
      <c r="T1068" s="50">
        <f>VLOOKUP($A1068,'[1]ma sp 02'!$A$5:$BD$1101,T$1,0)</f>
        <v>0</v>
      </c>
      <c r="U1068" s="50">
        <f>VLOOKUP($A1068,'[1]ma sp 02'!$A$5:$BD$1101,U$1,0)</f>
        <v>0</v>
      </c>
      <c r="V1068" s="50">
        <f>VLOOKUP($A1068,'[1]ma sp 02'!$A$5:$BD$1101,V$1,0)</f>
        <v>0</v>
      </c>
      <c r="W1068" s="50">
        <f>VLOOKUP($A1068,'[1]ma sp 02'!$A$5:$BD$1101,W$1,0)</f>
        <v>0</v>
      </c>
      <c r="X1068" s="50"/>
      <c r="Y1068" s="62"/>
      <c r="Z1068" s="62"/>
      <c r="AA1068" s="62"/>
      <c r="AB1068" s="62"/>
      <c r="AC1068" s="62"/>
      <c r="AD1068" s="62"/>
      <c r="AE1068" s="62" t="s">
        <v>3377</v>
      </c>
      <c r="AF1068" s="62"/>
      <c r="AG1068" s="53">
        <f>(0.012*0.91+0.012*1.4+0.06*0.925)*0.676</f>
        <v>5.6256720000000003E-2</v>
      </c>
      <c r="AH1068" s="54">
        <f>(2.3/0.75/2)*0.666</f>
        <v>1.0211999999999999</v>
      </c>
      <c r="AI1068" s="54"/>
      <c r="AJ1068" s="62">
        <v>9530</v>
      </c>
      <c r="AK1068" s="62"/>
      <c r="AL1068" s="9">
        <v>2.3E-3</v>
      </c>
      <c r="AM1068" s="61" t="s">
        <v>1489</v>
      </c>
      <c r="AN1068" s="62">
        <v>135</v>
      </c>
      <c r="AO1068" s="61" t="s">
        <v>3378</v>
      </c>
      <c r="AP1068" s="59"/>
      <c r="AQ1068" s="59"/>
      <c r="AR1068" s="59"/>
      <c r="AS1068" s="59"/>
      <c r="AT1068" s="59"/>
      <c r="AU1068" s="59"/>
      <c r="AV1068" s="59"/>
      <c r="AW1068" s="59"/>
      <c r="AX1068" s="59"/>
      <c r="AY1068" s="59"/>
      <c r="AZ1068" s="59"/>
      <c r="BA1068" s="141"/>
      <c r="BB1068" s="61"/>
      <c r="BC1068" s="165"/>
      <c r="BD1068" s="166"/>
      <c r="BE1068" s="167"/>
      <c r="BF1068" s="168"/>
      <c r="BG1068" s="167"/>
      <c r="BH1068" s="168"/>
      <c r="BI1068" s="169"/>
      <c r="BJ1068" s="168"/>
      <c r="BK1068" s="134"/>
      <c r="BL1068" s="168"/>
      <c r="BM1068" s="167"/>
      <c r="BN1068" s="168"/>
      <c r="BO1068" s="62"/>
      <c r="BP1068" s="168"/>
      <c r="BQ1068" s="168"/>
      <c r="BR1068" s="168"/>
      <c r="BS1068" s="135"/>
      <c r="BT1068" s="176"/>
      <c r="BU1068" s="167"/>
      <c r="BV1068" s="168"/>
      <c r="BW1068" s="167"/>
      <c r="BX1068" s="168"/>
      <c r="BY1068" s="167"/>
      <c r="BZ1068" s="176"/>
      <c r="CA1068" s="167"/>
      <c r="CB1068" s="168"/>
      <c r="CC1068" s="167"/>
      <c r="CD1068" s="168"/>
      <c r="CE1068" s="62"/>
      <c r="CF1068" s="62"/>
      <c r="CG1068" s="9"/>
      <c r="CH1068" s="9"/>
      <c r="CI1068" s="9"/>
      <c r="CJ1068" s="9"/>
      <c r="CK1068" s="9"/>
      <c r="CL1068" s="9"/>
      <c r="CM1068" s="9"/>
      <c r="CN1068" s="9"/>
      <c r="CO1068" s="9"/>
      <c r="CP1068" s="9"/>
    </row>
    <row r="1069" spans="1:94" ht="45" x14ac:dyDescent="0.25">
      <c r="A1069" s="127" t="s">
        <v>3381</v>
      </c>
      <c r="B1069" s="51" t="s">
        <v>3382</v>
      </c>
      <c r="C1069" s="62"/>
      <c r="D1069" s="84">
        <v>3</v>
      </c>
      <c r="E1069" s="62" t="s">
        <v>351</v>
      </c>
      <c r="F1069" s="62">
        <v>5</v>
      </c>
      <c r="G1069" s="62"/>
      <c r="H1069" s="50">
        <f>VLOOKUP($A1069,'[1]ma sp 02'!$A$5:$BD$1101,H$1,0)</f>
        <v>0.01</v>
      </c>
      <c r="I1069" s="50">
        <f>VLOOKUP($A1069,'[1]ma sp 02'!$A$5:$BD$1101,I$1,0)</f>
        <v>5.0709999999999997</v>
      </c>
      <c r="J1069" s="50">
        <f>VLOOKUP($A1069,'[1]ma sp 02'!$A$5:$BD$1101,J$1,0)</f>
        <v>0.47499999999999998</v>
      </c>
      <c r="K1069" s="50">
        <f>VLOOKUP($A1069,'[1]ma sp 02'!$A$5:$BD$1101,K$1,0)</f>
        <v>0.317</v>
      </c>
      <c r="L1069" s="50">
        <f>VLOOKUP($A1069,'[1]ma sp 02'!$A$5:$BD$1101,L$1,0)</f>
        <v>1.6639999999999999</v>
      </c>
      <c r="M1069" s="50">
        <f>VLOOKUP($A1069,'[1]ma sp 02'!$A$5:$BD$1101,M$1,0)</f>
        <v>1.4259999999999999</v>
      </c>
      <c r="N1069" s="50">
        <f>VLOOKUP($A1069,'[1]ma sp 02'!$A$5:$BD$1101,N$1,0)</f>
        <v>0</v>
      </c>
      <c r="O1069" s="50">
        <f>VLOOKUP($A1069,'[1]ma sp 02'!$A$5:$BD$1101,O$1,0)</f>
        <v>0</v>
      </c>
      <c r="P1069" s="50">
        <f>VLOOKUP($A1069,'[1]ma sp 02'!$A$5:$BD$1101,P$1,0)</f>
        <v>0</v>
      </c>
      <c r="Q1069" s="50">
        <f>VLOOKUP($A1069,'[1]ma sp 02'!$A$5:$BD$1101,Q$1,0)</f>
        <v>0</v>
      </c>
      <c r="R1069" s="50">
        <f>VLOOKUP($A1069,'[1]ma sp 02'!$A$5:$BD$1101,R$1,0)</f>
        <v>0</v>
      </c>
      <c r="S1069" s="50">
        <f>VLOOKUP($A1069,'[1]ma sp 02'!$A$5:$BD$1101,S$1,0)</f>
        <v>0</v>
      </c>
      <c r="T1069" s="50">
        <f>VLOOKUP($A1069,'[1]ma sp 02'!$A$5:$BD$1101,T$1,0)</f>
        <v>0</v>
      </c>
      <c r="U1069" s="50">
        <f>VLOOKUP($A1069,'[1]ma sp 02'!$A$5:$BD$1101,U$1,0)</f>
        <v>0</v>
      </c>
      <c r="V1069" s="50">
        <f>VLOOKUP($A1069,'[1]ma sp 02'!$A$5:$BD$1101,V$1,0)</f>
        <v>0</v>
      </c>
      <c r="W1069" s="50">
        <f>VLOOKUP($A1069,'[1]ma sp 02'!$A$5:$BD$1101,W$1,0)</f>
        <v>0</v>
      </c>
      <c r="X1069" s="50"/>
      <c r="Y1069" s="62"/>
      <c r="Z1069" s="62"/>
      <c r="AA1069" s="62"/>
      <c r="AB1069" s="62"/>
      <c r="AC1069" s="62"/>
      <c r="AD1069" s="62"/>
      <c r="AE1069" s="62" t="s">
        <v>352</v>
      </c>
      <c r="AF1069" s="62" t="s">
        <v>2117</v>
      </c>
      <c r="AG1069" s="53">
        <f>(0.012*0.91+0.012*1.4+0.085*0.925)*0.8</f>
        <v>8.5076000000000027E-2</v>
      </c>
      <c r="AH1069" s="54">
        <f>(2.3/0.75/2)*0.79</f>
        <v>1.2113333333333334</v>
      </c>
      <c r="AI1069" s="54">
        <f>(2.3/0.75/2)*0.79</f>
        <v>1.2113333333333334</v>
      </c>
      <c r="AJ1069" s="62">
        <v>9530</v>
      </c>
      <c r="AK1069" s="62">
        <v>9530</v>
      </c>
      <c r="AL1069" s="9" t="s">
        <v>354</v>
      </c>
      <c r="AM1069" s="61"/>
      <c r="AN1069" s="62"/>
      <c r="AO1069" s="61" t="s">
        <v>3334</v>
      </c>
      <c r="AP1069" s="59"/>
      <c r="AQ1069" s="59"/>
      <c r="AR1069" s="59"/>
      <c r="AS1069" s="59"/>
      <c r="AT1069" s="59"/>
      <c r="AU1069" s="59"/>
      <c r="AV1069" s="59"/>
      <c r="AW1069" s="59"/>
      <c r="AX1069" s="59"/>
      <c r="AY1069" s="59"/>
      <c r="AZ1069" s="59"/>
      <c r="BA1069" s="141"/>
      <c r="BB1069" s="61" t="s">
        <v>952</v>
      </c>
      <c r="BC1069" s="165"/>
      <c r="BD1069" s="166"/>
      <c r="BE1069" s="167"/>
      <c r="BF1069" s="168"/>
      <c r="BG1069" s="167"/>
      <c r="BH1069" s="168"/>
      <c r="BI1069" s="169"/>
      <c r="BJ1069" s="168"/>
      <c r="BK1069" s="134"/>
      <c r="BL1069" s="168"/>
      <c r="BM1069" s="167"/>
      <c r="BN1069" s="168"/>
      <c r="BO1069" s="62"/>
      <c r="BP1069" s="168"/>
      <c r="BQ1069" s="168"/>
      <c r="BR1069" s="168"/>
      <c r="BS1069" s="135"/>
      <c r="BT1069" s="176"/>
      <c r="BU1069" s="167"/>
      <c r="BV1069" s="168"/>
      <c r="BW1069" s="167"/>
      <c r="BX1069" s="168"/>
      <c r="BY1069" s="167"/>
      <c r="BZ1069" s="176"/>
      <c r="CA1069" s="167"/>
      <c r="CB1069" s="168"/>
      <c r="CC1069" s="167"/>
      <c r="CD1069" s="168"/>
      <c r="CE1069" s="62"/>
      <c r="CF1069" s="62"/>
      <c r="CG1069" s="9"/>
      <c r="CH1069" s="9"/>
      <c r="CI1069" s="9"/>
      <c r="CJ1069" s="9"/>
      <c r="CK1069" s="9"/>
      <c r="CL1069" s="9"/>
      <c r="CM1069" s="9"/>
      <c r="CN1069" s="9"/>
      <c r="CO1069" s="9"/>
      <c r="CP1069" s="9"/>
    </row>
    <row r="1070" spans="1:94" ht="45" x14ac:dyDescent="0.25">
      <c r="A1070" s="127" t="s">
        <v>3383</v>
      </c>
      <c r="B1070" s="51" t="s">
        <v>3384</v>
      </c>
      <c r="C1070" s="62"/>
      <c r="D1070" s="84">
        <v>1</v>
      </c>
      <c r="E1070" s="62" t="s">
        <v>3385</v>
      </c>
      <c r="F1070" s="62">
        <v>5</v>
      </c>
      <c r="G1070" s="62"/>
      <c r="H1070" s="50">
        <f>VLOOKUP($A1070,'[1]ma sp 02'!$A$5:$BD$1101,H$1,0)</f>
        <v>0.01</v>
      </c>
      <c r="I1070" s="50">
        <f>VLOOKUP($A1070,'[1]ma sp 02'!$A$5:$BD$1101,I$1,0)</f>
        <v>0</v>
      </c>
      <c r="J1070" s="50">
        <f>VLOOKUP($A1070,'[1]ma sp 02'!$A$5:$BD$1101,J$1,0)</f>
        <v>9.5000000000000001E-2</v>
      </c>
      <c r="K1070" s="50">
        <f>VLOOKUP($A1070,'[1]ma sp 02'!$A$5:$BD$1101,K$1,0)</f>
        <v>0.45</v>
      </c>
      <c r="L1070" s="50">
        <f>VLOOKUP($A1070,'[1]ma sp 02'!$A$5:$BD$1101,L$1,0)</f>
        <v>0.76200000000000001</v>
      </c>
      <c r="M1070" s="50">
        <f>VLOOKUP($A1070,'[1]ma sp 02'!$A$5:$BD$1101,M$1,0)</f>
        <v>1.33</v>
      </c>
      <c r="N1070" s="50">
        <f>VLOOKUP($A1070,'[1]ma sp 02'!$A$5:$BD$1101,N$1,0)</f>
        <v>1.1419999999999999</v>
      </c>
      <c r="O1070" s="50">
        <f>VLOOKUP($A1070,'[1]ma sp 02'!$A$5:$BD$1101,O$1,0)</f>
        <v>0</v>
      </c>
      <c r="P1070" s="50">
        <f>VLOOKUP($A1070,'[1]ma sp 02'!$A$5:$BD$1101,P$1,0)</f>
        <v>0.01</v>
      </c>
      <c r="Q1070" s="50">
        <f>VLOOKUP($A1070,'[1]ma sp 02'!$A$5:$BD$1101,Q$1,0)</f>
        <v>0</v>
      </c>
      <c r="R1070" s="50">
        <f>VLOOKUP($A1070,'[1]ma sp 02'!$A$5:$BD$1101,R$1,0)</f>
        <v>0</v>
      </c>
      <c r="S1070" s="50">
        <f>VLOOKUP($A1070,'[1]ma sp 02'!$A$5:$BD$1101,S$1,0)</f>
        <v>0</v>
      </c>
      <c r="T1070" s="50">
        <f>VLOOKUP($A1070,'[1]ma sp 02'!$A$5:$BD$1101,T$1,0)</f>
        <v>0</v>
      </c>
      <c r="U1070" s="50">
        <f>VLOOKUP($A1070,'[1]ma sp 02'!$A$5:$BD$1101,U$1,0)</f>
        <v>0</v>
      </c>
      <c r="V1070" s="50">
        <f>VLOOKUP($A1070,'[1]ma sp 02'!$A$5:$BD$1101,V$1,0)</f>
        <v>0</v>
      </c>
      <c r="W1070" s="50">
        <f>VLOOKUP($A1070,'[1]ma sp 02'!$A$5:$BD$1101,W$1,0)</f>
        <v>0</v>
      </c>
      <c r="X1070" s="50"/>
      <c r="Y1070" s="62"/>
      <c r="Z1070" s="62"/>
      <c r="AA1070" s="62"/>
      <c r="AB1070" s="62"/>
      <c r="AC1070" s="62"/>
      <c r="AD1070" s="62"/>
      <c r="AE1070" s="62" t="s">
        <v>3386</v>
      </c>
      <c r="AF1070" s="61" t="s">
        <v>3387</v>
      </c>
      <c r="AG1070" s="53">
        <f>(0.02*0.91+0.0064+0.015*1.15+0.05*0.94)*0.978</f>
        <v>8.6895299999999995E-2</v>
      </c>
      <c r="AH1070" s="54">
        <f>(4/0.75/2)*0.978</f>
        <v>2.6079999999999997</v>
      </c>
      <c r="AI1070" s="54">
        <f>(4/0.75/2)*0.978</f>
        <v>2.6079999999999997</v>
      </c>
      <c r="AJ1070" s="62">
        <v>9530</v>
      </c>
      <c r="AK1070" s="62">
        <v>9530</v>
      </c>
      <c r="AL1070" s="9" t="s">
        <v>3388</v>
      </c>
      <c r="AM1070" s="61" t="s">
        <v>1489</v>
      </c>
      <c r="AN1070" s="62">
        <v>200</v>
      </c>
      <c r="AO1070" s="61" t="s">
        <v>3389</v>
      </c>
      <c r="AP1070" s="59"/>
      <c r="AQ1070" s="59"/>
      <c r="AR1070" s="59"/>
      <c r="AS1070" s="59"/>
      <c r="AT1070" s="59"/>
      <c r="AU1070" s="59"/>
      <c r="AV1070" s="59"/>
      <c r="AW1070" s="59"/>
      <c r="AX1070" s="59"/>
      <c r="AY1070" s="59"/>
      <c r="AZ1070" s="59"/>
      <c r="BA1070" s="141"/>
      <c r="BB1070" s="61"/>
      <c r="BC1070" s="165"/>
      <c r="BD1070" s="166"/>
      <c r="BE1070" s="167"/>
      <c r="BF1070" s="168"/>
      <c r="BG1070" s="167"/>
      <c r="BH1070" s="168"/>
      <c r="BI1070" s="169"/>
      <c r="BJ1070" s="168"/>
      <c r="BK1070" s="134"/>
      <c r="BL1070" s="168"/>
      <c r="BM1070" s="167"/>
      <c r="BN1070" s="168"/>
      <c r="BO1070" s="62"/>
      <c r="BP1070" s="168"/>
      <c r="BQ1070" s="168"/>
      <c r="BR1070" s="168"/>
      <c r="BS1070" s="135"/>
      <c r="BT1070" s="176"/>
      <c r="BU1070" s="167"/>
      <c r="BV1070" s="168"/>
      <c r="BW1070" s="167"/>
      <c r="BX1070" s="168"/>
      <c r="BY1070" s="167"/>
      <c r="BZ1070" s="176"/>
      <c r="CA1070" s="167"/>
      <c r="CB1070" s="168"/>
      <c r="CC1070" s="167"/>
      <c r="CD1070" s="168"/>
      <c r="CE1070" s="62"/>
      <c r="CF1070" s="62"/>
      <c r="CG1070" s="9"/>
      <c r="CH1070" s="9"/>
      <c r="CI1070" s="9"/>
      <c r="CJ1070" s="9"/>
      <c r="CK1070" s="9"/>
      <c r="CL1070" s="9"/>
      <c r="CM1070" s="9"/>
      <c r="CN1070" s="9"/>
      <c r="CO1070" s="9"/>
      <c r="CP1070" s="9"/>
    </row>
    <row r="1071" spans="1:94" ht="30" x14ac:dyDescent="0.25">
      <c r="A1071" s="127" t="s">
        <v>3390</v>
      </c>
      <c r="B1071" s="51" t="s">
        <v>3391</v>
      </c>
      <c r="C1071" s="62"/>
      <c r="D1071" s="84">
        <v>6</v>
      </c>
      <c r="E1071" s="62" t="s">
        <v>3392</v>
      </c>
      <c r="F1071" s="62">
        <v>6</v>
      </c>
      <c r="G1071" s="62"/>
      <c r="H1071" s="50">
        <f>VLOOKUP($A1071,'[1]ma sp 02'!$A$5:$BD$1101,H$1,0)</f>
        <v>0</v>
      </c>
      <c r="I1071" s="50">
        <f>VLOOKUP($A1071,'[1]ma sp 02'!$A$5:$BD$1101,I$1,0)</f>
        <v>4.42</v>
      </c>
      <c r="J1071" s="50">
        <f>VLOOKUP($A1071,'[1]ma sp 02'!$A$5:$BD$1101,J$1,0)</f>
        <v>0.159</v>
      </c>
      <c r="K1071" s="50">
        <f>VLOOKUP($A1071,'[1]ma sp 02'!$A$5:$BD$1101,K$1,0)</f>
        <v>0.95399999999999996</v>
      </c>
      <c r="L1071" s="50">
        <f>VLOOKUP($A1071,'[1]ma sp 02'!$A$5:$BD$1101,L$1,0)</f>
        <v>0.60399999999999998</v>
      </c>
      <c r="M1071" s="50">
        <f>VLOOKUP($A1071,'[1]ma sp 02'!$A$5:$BD$1101,M$1,0)</f>
        <v>0</v>
      </c>
      <c r="N1071" s="50">
        <f>VLOOKUP($A1071,'[1]ma sp 02'!$A$5:$BD$1101,N$1,0)</f>
        <v>0</v>
      </c>
      <c r="O1071" s="50">
        <f>VLOOKUP($A1071,'[1]ma sp 02'!$A$5:$BD$1101,O$1,0)</f>
        <v>0</v>
      </c>
      <c r="P1071" s="50">
        <f>VLOOKUP($A1071,'[1]ma sp 02'!$A$5:$BD$1101,P$1,0)</f>
        <v>0.45</v>
      </c>
      <c r="Q1071" s="50">
        <f>VLOOKUP($A1071,'[1]ma sp 02'!$A$5:$BD$1101,Q$1,0)</f>
        <v>0</v>
      </c>
      <c r="R1071" s="50">
        <f>VLOOKUP($A1071,'[1]ma sp 02'!$A$5:$BD$1101,R$1,0)</f>
        <v>0</v>
      </c>
      <c r="S1071" s="50">
        <f>VLOOKUP($A1071,'[1]ma sp 02'!$A$5:$BD$1101,S$1,0)</f>
        <v>0</v>
      </c>
      <c r="T1071" s="50">
        <f>VLOOKUP($A1071,'[1]ma sp 02'!$A$5:$BD$1101,T$1,0)</f>
        <v>9.5000000000000001E-2</v>
      </c>
      <c r="U1071" s="50">
        <f>VLOOKUP($A1071,'[1]ma sp 02'!$A$5:$BD$1101,U$1,0)</f>
        <v>0</v>
      </c>
      <c r="V1071" s="50">
        <f>VLOOKUP($A1071,'[1]ma sp 02'!$A$5:$BD$1101,V$1,0)</f>
        <v>0</v>
      </c>
      <c r="W1071" s="50">
        <f>VLOOKUP($A1071,'[1]ma sp 02'!$A$5:$BD$1101,W$1,0)</f>
        <v>0</v>
      </c>
      <c r="X1071" s="50"/>
      <c r="Y1071" s="62"/>
      <c r="Z1071" s="62"/>
      <c r="AA1071" s="62"/>
      <c r="AB1071" s="62"/>
      <c r="AC1071" s="62"/>
      <c r="AD1071" s="62"/>
      <c r="AE1071" s="62" t="s">
        <v>3393</v>
      </c>
      <c r="AF1071" s="62"/>
      <c r="AG1071" s="53">
        <f>(0.02*0.91+0.025*0.91)*0.89</f>
        <v>3.6445499999999999E-2</v>
      </c>
      <c r="AH1071" s="54">
        <f>(1.4/0.75/2)*0.88</f>
        <v>0.82133333333333325</v>
      </c>
      <c r="AI1071" s="54"/>
      <c r="AJ1071" s="62" t="s">
        <v>1881</v>
      </c>
      <c r="AK1071" s="62"/>
      <c r="AL1071" s="9">
        <v>1.4E-3</v>
      </c>
      <c r="AM1071" s="61" t="s">
        <v>1489</v>
      </c>
      <c r="AN1071" s="62">
        <v>95</v>
      </c>
      <c r="AO1071" s="61" t="s">
        <v>3394</v>
      </c>
      <c r="AP1071" s="59"/>
      <c r="AQ1071" s="59"/>
      <c r="AR1071" s="59"/>
      <c r="AS1071" s="59"/>
      <c r="AT1071" s="59"/>
      <c r="AU1071" s="59"/>
      <c r="AV1071" s="59"/>
      <c r="AW1071" s="59"/>
      <c r="AX1071" s="59"/>
      <c r="AY1071" s="59"/>
      <c r="AZ1071" s="59"/>
      <c r="BA1071" s="141"/>
      <c r="BB1071" s="61" t="s">
        <v>952</v>
      </c>
      <c r="BC1071" s="165"/>
      <c r="BD1071" s="166"/>
      <c r="BE1071" s="167"/>
      <c r="BF1071" s="168"/>
      <c r="BG1071" s="167"/>
      <c r="BH1071" s="168"/>
      <c r="BI1071" s="169"/>
      <c r="BJ1071" s="168"/>
      <c r="BK1071" s="134"/>
      <c r="BL1071" s="168"/>
      <c r="BM1071" s="167"/>
      <c r="BN1071" s="168"/>
      <c r="BO1071" s="62"/>
      <c r="BP1071" s="168"/>
      <c r="BQ1071" s="168"/>
      <c r="BR1071" s="168"/>
      <c r="BS1071" s="135"/>
      <c r="BT1071" s="176"/>
      <c r="BU1071" s="167"/>
      <c r="BV1071" s="168"/>
      <c r="BW1071" s="167"/>
      <c r="BX1071" s="168"/>
      <c r="BY1071" s="167"/>
      <c r="BZ1071" s="176"/>
      <c r="CA1071" s="167"/>
      <c r="CB1071" s="168"/>
      <c r="CC1071" s="167"/>
      <c r="CD1071" s="168"/>
      <c r="CE1071" s="62"/>
      <c r="CF1071" s="62"/>
      <c r="CG1071" s="9"/>
      <c r="CH1071" s="9"/>
      <c r="CI1071" s="9"/>
      <c r="CJ1071" s="9"/>
      <c r="CK1071" s="9"/>
      <c r="CL1071" s="9"/>
      <c r="CM1071" s="9"/>
      <c r="CN1071" s="9"/>
      <c r="CO1071" s="9"/>
      <c r="CP1071" s="9"/>
    </row>
    <row r="1072" spans="1:94" ht="45" x14ac:dyDescent="0.25">
      <c r="A1072" s="127" t="s">
        <v>3395</v>
      </c>
      <c r="B1072" s="51" t="s">
        <v>3396</v>
      </c>
      <c r="C1072" s="62"/>
      <c r="D1072" s="84">
        <v>5</v>
      </c>
      <c r="E1072" s="62" t="s">
        <v>2659</v>
      </c>
      <c r="F1072" s="62">
        <v>8</v>
      </c>
      <c r="G1072" s="62"/>
      <c r="H1072" s="50">
        <f>VLOOKUP($A1072,'[1]ma sp 02'!$A$5:$BD$1101,H$1,0)</f>
        <v>8.7999999999999995E-2</v>
      </c>
      <c r="I1072" s="50">
        <f>VLOOKUP($A1072,'[1]ma sp 02'!$A$5:$BD$1101,I$1,0)</f>
        <v>4.0179999999999998</v>
      </c>
      <c r="J1072" s="50">
        <f>VLOOKUP($A1072,'[1]ma sp 02'!$A$5:$BD$1101,J$1,0)</f>
        <v>0.01</v>
      </c>
      <c r="K1072" s="50">
        <f>VLOOKUP($A1072,'[1]ma sp 02'!$A$5:$BD$1101,K$1,0)</f>
        <v>8.7999999999999995E-2</v>
      </c>
      <c r="L1072" s="50">
        <f>VLOOKUP($A1072,'[1]ma sp 02'!$A$5:$BD$1101,L$1,0)</f>
        <v>1.2250000000000001</v>
      </c>
      <c r="M1072" s="50">
        <f>VLOOKUP($A1072,'[1]ma sp 02'!$A$5:$BD$1101,M$1,0)</f>
        <v>0.21099999999999999</v>
      </c>
      <c r="N1072" s="50">
        <f>VLOOKUP($A1072,'[1]ma sp 02'!$A$5:$BD$1101,N$1,0)</f>
        <v>0</v>
      </c>
      <c r="O1072" s="50">
        <f>VLOOKUP($A1072,'[1]ma sp 02'!$A$5:$BD$1101,O$1,0)</f>
        <v>0</v>
      </c>
      <c r="P1072" s="50">
        <f>VLOOKUP($A1072,'[1]ma sp 02'!$A$5:$BD$1101,P$1,0)</f>
        <v>9.4500000000000001E-2</v>
      </c>
      <c r="Q1072" s="50">
        <f>VLOOKUP($A1072,'[1]ma sp 02'!$A$5:$BD$1101,Q$1,0)</f>
        <v>1.736</v>
      </c>
      <c r="R1072" s="50">
        <f>VLOOKUP($A1072,'[1]ma sp 02'!$A$5:$BD$1101,R$1,0)</f>
        <v>0</v>
      </c>
      <c r="S1072" s="50">
        <f>VLOOKUP($A1072,'[1]ma sp 02'!$A$5:$BD$1101,S$1,0)</f>
        <v>0</v>
      </c>
      <c r="T1072" s="50">
        <f>VLOOKUP($A1072,'[1]ma sp 02'!$A$5:$BD$1101,T$1,0)</f>
        <v>0.01</v>
      </c>
      <c r="U1072" s="50">
        <f>VLOOKUP($A1072,'[1]ma sp 02'!$A$5:$BD$1101,U$1,0)</f>
        <v>0</v>
      </c>
      <c r="V1072" s="50">
        <f>VLOOKUP($A1072,'[1]ma sp 02'!$A$5:$BD$1101,V$1,0)</f>
        <v>0</v>
      </c>
      <c r="W1072" s="50">
        <f>VLOOKUP($A1072,'[1]ma sp 02'!$A$5:$BD$1101,W$1,0)</f>
        <v>0</v>
      </c>
      <c r="X1072" s="50"/>
      <c r="Y1072" s="62"/>
      <c r="Z1072" s="62"/>
      <c r="AA1072" s="62"/>
      <c r="AB1072" s="62"/>
      <c r="AC1072" s="62"/>
      <c r="AD1072" s="62"/>
      <c r="AE1072" s="62" t="s">
        <v>3397</v>
      </c>
      <c r="AF1072" s="62"/>
      <c r="AG1072" s="53">
        <f>(0.02*0.91+0.025*0.91)*0.92</f>
        <v>3.7673999999999999E-2</v>
      </c>
      <c r="AH1072" s="54">
        <f>(1.4/0.75/2)*0.91</f>
        <v>0.84933333333333327</v>
      </c>
      <c r="AI1072" s="54"/>
      <c r="AJ1072" s="62" t="s">
        <v>1881</v>
      </c>
      <c r="AK1072" s="62"/>
      <c r="AL1072" s="9">
        <v>1.4E-3</v>
      </c>
      <c r="AM1072" s="61" t="s">
        <v>1489</v>
      </c>
      <c r="AN1072" s="62">
        <v>108</v>
      </c>
      <c r="AO1072" s="61" t="s">
        <v>2158</v>
      </c>
      <c r="AP1072" s="59"/>
      <c r="AQ1072" s="59"/>
      <c r="AR1072" s="59"/>
      <c r="AS1072" s="59"/>
      <c r="AT1072" s="59"/>
      <c r="AU1072" s="59"/>
      <c r="AV1072" s="59"/>
      <c r="AW1072" s="59"/>
      <c r="AX1072" s="59"/>
      <c r="AY1072" s="59"/>
      <c r="AZ1072" s="59"/>
      <c r="BA1072" s="141"/>
      <c r="BB1072" s="61" t="s">
        <v>952</v>
      </c>
      <c r="BC1072" s="165"/>
      <c r="BD1072" s="166"/>
      <c r="BE1072" s="167"/>
      <c r="BF1072" s="168"/>
      <c r="BG1072" s="167"/>
      <c r="BH1072" s="168"/>
      <c r="BI1072" s="169"/>
      <c r="BJ1072" s="168"/>
      <c r="BK1072" s="134"/>
      <c r="BL1072" s="168"/>
      <c r="BM1072" s="167"/>
      <c r="BN1072" s="168"/>
      <c r="BO1072" s="62"/>
      <c r="BP1072" s="168"/>
      <c r="BQ1072" s="168"/>
      <c r="BR1072" s="168"/>
      <c r="BS1072" s="135"/>
      <c r="BT1072" s="176"/>
      <c r="BU1072" s="167"/>
      <c r="BV1072" s="168"/>
      <c r="BW1072" s="167"/>
      <c r="BX1072" s="168"/>
      <c r="BY1072" s="167"/>
      <c r="BZ1072" s="176"/>
      <c r="CA1072" s="167"/>
      <c r="CB1072" s="168"/>
      <c r="CC1072" s="167"/>
      <c r="CD1072" s="168"/>
      <c r="CE1072" s="62"/>
      <c r="CF1072" s="62"/>
      <c r="CG1072" s="9"/>
      <c r="CH1072" s="9"/>
      <c r="CI1072" s="9"/>
      <c r="CJ1072" s="9"/>
      <c r="CK1072" s="9"/>
      <c r="CL1072" s="9"/>
      <c r="CM1072" s="9"/>
      <c r="CN1072" s="9"/>
      <c r="CO1072" s="9"/>
      <c r="CP1072" s="9"/>
    </row>
    <row r="1073" spans="1:94" ht="45" x14ac:dyDescent="0.25">
      <c r="A1073" s="127" t="s">
        <v>3398</v>
      </c>
      <c r="B1073" s="51" t="s">
        <v>3399</v>
      </c>
      <c r="C1073" s="62"/>
      <c r="D1073" s="84">
        <v>1</v>
      </c>
      <c r="E1073" s="62" t="s">
        <v>1913</v>
      </c>
      <c r="F1073" s="62">
        <v>8</v>
      </c>
      <c r="G1073" s="62"/>
      <c r="H1073" s="50">
        <f>VLOOKUP($A1073,'[1]ma sp 02'!$A$5:$BD$1101,H$1,0)</f>
        <v>0</v>
      </c>
      <c r="I1073" s="50">
        <f>VLOOKUP($A1073,'[1]ma sp 02'!$A$5:$BD$1101,I$1,0)</f>
        <v>0</v>
      </c>
      <c r="J1073" s="50">
        <f>VLOOKUP($A1073,'[1]ma sp 02'!$A$5:$BD$1101,J$1,0)</f>
        <v>0</v>
      </c>
      <c r="K1073" s="50">
        <f>VLOOKUP($A1073,'[1]ma sp 02'!$A$5:$BD$1101,K$1,0)</f>
        <v>0</v>
      </c>
      <c r="L1073" s="50">
        <f>VLOOKUP($A1073,'[1]ma sp 02'!$A$5:$BD$1101,L$1,0)</f>
        <v>0</v>
      </c>
      <c r="M1073" s="50">
        <f>VLOOKUP($A1073,'[1]ma sp 02'!$A$5:$BD$1101,M$1,0)</f>
        <v>0</v>
      </c>
      <c r="N1073" s="50">
        <f>VLOOKUP($A1073,'[1]ma sp 02'!$A$5:$BD$1101,N$1,0)</f>
        <v>0</v>
      </c>
      <c r="O1073" s="50">
        <f>VLOOKUP($A1073,'[1]ma sp 02'!$A$5:$BD$1101,O$1,0)</f>
        <v>0</v>
      </c>
      <c r="P1073" s="50">
        <f>VLOOKUP($A1073,'[1]ma sp 02'!$A$5:$BD$1101,P$1,0)</f>
        <v>0</v>
      </c>
      <c r="Q1073" s="50">
        <f>VLOOKUP($A1073,'[1]ma sp 02'!$A$5:$BD$1101,Q$1,0)</f>
        <v>0</v>
      </c>
      <c r="R1073" s="50">
        <f>VLOOKUP($A1073,'[1]ma sp 02'!$A$5:$BD$1101,R$1,0)</f>
        <v>0</v>
      </c>
      <c r="S1073" s="50">
        <f>VLOOKUP($A1073,'[1]ma sp 02'!$A$5:$BD$1101,S$1,0)</f>
        <v>0</v>
      </c>
      <c r="T1073" s="50">
        <f>VLOOKUP($A1073,'[1]ma sp 02'!$A$5:$BD$1101,T$1,0)</f>
        <v>0</v>
      </c>
      <c r="U1073" s="50">
        <f>VLOOKUP($A1073,'[1]ma sp 02'!$A$5:$BD$1101,U$1,0)</f>
        <v>0</v>
      </c>
      <c r="V1073" s="50">
        <f>VLOOKUP($A1073,'[1]ma sp 02'!$A$5:$BD$1101,V$1,0)</f>
        <v>0</v>
      </c>
      <c r="W1073" s="50">
        <f>VLOOKUP($A1073,'[1]ma sp 02'!$A$5:$BD$1101,W$1,0)</f>
        <v>0</v>
      </c>
      <c r="X1073" s="50"/>
      <c r="Y1073" s="62"/>
      <c r="Z1073" s="62"/>
      <c r="AA1073" s="62"/>
      <c r="AB1073" s="62"/>
      <c r="AC1073" s="62"/>
      <c r="AD1073" s="62"/>
      <c r="AE1073" s="62" t="s">
        <v>3205</v>
      </c>
      <c r="AF1073" s="62"/>
      <c r="AG1073" s="53">
        <f>(0.03*0.91+0.05*0.91)*0.83</f>
        <v>6.0423999999999999E-2</v>
      </c>
      <c r="AH1073" s="54">
        <f>(1.4/0.75/2)*0.91</f>
        <v>0.84933333333333327</v>
      </c>
      <c r="AI1073" s="54"/>
      <c r="AJ1073" s="62" t="s">
        <v>1881</v>
      </c>
      <c r="AK1073" s="62"/>
      <c r="AL1073" s="9">
        <v>1.4E-3</v>
      </c>
      <c r="AM1073" s="61" t="s">
        <v>74</v>
      </c>
      <c r="AN1073" s="62">
        <v>300</v>
      </c>
      <c r="AO1073" s="61" t="s">
        <v>2158</v>
      </c>
      <c r="AP1073" s="59"/>
      <c r="AQ1073" s="59"/>
      <c r="AR1073" s="59"/>
      <c r="AS1073" s="59"/>
      <c r="AT1073" s="59"/>
      <c r="AU1073" s="59"/>
      <c r="AV1073" s="59"/>
      <c r="AW1073" s="59"/>
      <c r="AX1073" s="59"/>
      <c r="AY1073" s="59"/>
      <c r="AZ1073" s="59"/>
      <c r="BA1073" s="141"/>
      <c r="BB1073" s="61" t="s">
        <v>1894</v>
      </c>
      <c r="BC1073" s="165"/>
      <c r="BD1073" s="166"/>
      <c r="BE1073" s="167"/>
      <c r="BF1073" s="168"/>
      <c r="BG1073" s="167"/>
      <c r="BH1073" s="168"/>
      <c r="BI1073" s="169"/>
      <c r="BJ1073" s="168"/>
      <c r="BK1073" s="134"/>
      <c r="BL1073" s="168"/>
      <c r="BM1073" s="167"/>
      <c r="BN1073" s="168"/>
      <c r="BO1073" s="62"/>
      <c r="BP1073" s="168"/>
      <c r="BQ1073" s="168"/>
      <c r="BR1073" s="168"/>
      <c r="BS1073" s="135"/>
      <c r="BT1073" s="176"/>
      <c r="BU1073" s="167"/>
      <c r="BV1073" s="168"/>
      <c r="BW1073" s="167"/>
      <c r="BX1073" s="168"/>
      <c r="BY1073" s="167"/>
      <c r="BZ1073" s="176"/>
      <c r="CA1073" s="167"/>
      <c r="CB1073" s="168"/>
      <c r="CC1073" s="167"/>
      <c r="CD1073" s="168"/>
      <c r="CE1073" s="62"/>
      <c r="CF1073" s="62"/>
      <c r="CG1073" s="9"/>
      <c r="CH1073" s="9"/>
      <c r="CI1073" s="9"/>
      <c r="CJ1073" s="9"/>
      <c r="CK1073" s="9"/>
      <c r="CL1073" s="9"/>
      <c r="CM1073" s="9"/>
      <c r="CN1073" s="9"/>
      <c r="CO1073" s="9"/>
      <c r="CP1073" s="9"/>
    </row>
    <row r="1074" spans="1:94" ht="45" x14ac:dyDescent="0.25">
      <c r="A1074" s="127" t="s">
        <v>3400</v>
      </c>
      <c r="B1074" s="51" t="s">
        <v>3401</v>
      </c>
      <c r="C1074" s="62"/>
      <c r="D1074" s="84">
        <v>2</v>
      </c>
      <c r="E1074" s="62" t="s">
        <v>2059</v>
      </c>
      <c r="F1074" s="62">
        <v>8</v>
      </c>
      <c r="G1074" s="62"/>
      <c r="H1074" s="50">
        <f>VLOOKUP($A1074,'[1]ma sp 02'!$A$5:$BD$1101,H$1,0)</f>
        <v>0</v>
      </c>
      <c r="I1074" s="50">
        <f>VLOOKUP($A1074,'[1]ma sp 02'!$A$5:$BD$1101,I$1,0)</f>
        <v>0</v>
      </c>
      <c r="J1074" s="50">
        <f>VLOOKUP($A1074,'[1]ma sp 02'!$A$5:$BD$1101,J$1,0)</f>
        <v>0</v>
      </c>
      <c r="K1074" s="50">
        <f>VLOOKUP($A1074,'[1]ma sp 02'!$A$5:$BD$1101,K$1,0)</f>
        <v>0</v>
      </c>
      <c r="L1074" s="50">
        <f>VLOOKUP($A1074,'[1]ma sp 02'!$A$5:$BD$1101,L$1,0)</f>
        <v>0</v>
      </c>
      <c r="M1074" s="50">
        <f>VLOOKUP($A1074,'[1]ma sp 02'!$A$5:$BD$1101,M$1,0)</f>
        <v>0</v>
      </c>
      <c r="N1074" s="50">
        <f>VLOOKUP($A1074,'[1]ma sp 02'!$A$5:$BD$1101,N$1,0)</f>
        <v>0</v>
      </c>
      <c r="O1074" s="50">
        <f>VLOOKUP($A1074,'[1]ma sp 02'!$A$5:$BD$1101,O$1,0)</f>
        <v>0</v>
      </c>
      <c r="P1074" s="50">
        <f>VLOOKUP($A1074,'[1]ma sp 02'!$A$5:$BD$1101,P$1,0)</f>
        <v>0</v>
      </c>
      <c r="Q1074" s="50">
        <f>VLOOKUP($A1074,'[1]ma sp 02'!$A$5:$BD$1101,Q$1,0)</f>
        <v>0</v>
      </c>
      <c r="R1074" s="50">
        <f>VLOOKUP($A1074,'[1]ma sp 02'!$A$5:$BD$1101,R$1,0)</f>
        <v>0</v>
      </c>
      <c r="S1074" s="50">
        <f>VLOOKUP($A1074,'[1]ma sp 02'!$A$5:$BD$1101,S$1,0)</f>
        <v>0</v>
      </c>
      <c r="T1074" s="50">
        <f>VLOOKUP($A1074,'[1]ma sp 02'!$A$5:$BD$1101,T$1,0)</f>
        <v>0</v>
      </c>
      <c r="U1074" s="50">
        <f>VLOOKUP($A1074,'[1]ma sp 02'!$A$5:$BD$1101,U$1,0)</f>
        <v>0</v>
      </c>
      <c r="V1074" s="50">
        <f>VLOOKUP($A1074,'[1]ma sp 02'!$A$5:$BD$1101,V$1,0)</f>
        <v>0</v>
      </c>
      <c r="W1074" s="50">
        <f>VLOOKUP($A1074,'[1]ma sp 02'!$A$5:$BD$1101,W$1,0)</f>
        <v>0</v>
      </c>
      <c r="X1074" s="50"/>
      <c r="Y1074" s="62"/>
      <c r="Z1074" s="62"/>
      <c r="AA1074" s="62"/>
      <c r="AB1074" s="62"/>
      <c r="AC1074" s="62"/>
      <c r="AD1074" s="62"/>
      <c r="AE1074" s="62" t="s">
        <v>3402</v>
      </c>
      <c r="AF1074" s="62"/>
      <c r="AG1074" s="53">
        <f>(0.03*0.91+0.05*0.91)*0.83</f>
        <v>6.0423999999999999E-2</v>
      </c>
      <c r="AH1074" s="54">
        <f>(1.4/0.75/2)*0.91</f>
        <v>0.84933333333333327</v>
      </c>
      <c r="AI1074" s="54"/>
      <c r="AJ1074" s="62" t="s">
        <v>1881</v>
      </c>
      <c r="AK1074" s="62"/>
      <c r="AL1074" s="9">
        <v>1.4E-3</v>
      </c>
      <c r="AM1074" s="61" t="s">
        <v>1033</v>
      </c>
      <c r="AN1074" s="62">
        <v>120</v>
      </c>
      <c r="AO1074" s="61" t="s">
        <v>2158</v>
      </c>
      <c r="AP1074" s="59"/>
      <c r="AQ1074" s="59"/>
      <c r="AR1074" s="59"/>
      <c r="AS1074" s="59"/>
      <c r="AT1074" s="59"/>
      <c r="AU1074" s="59"/>
      <c r="AV1074" s="59"/>
      <c r="AW1074" s="59"/>
      <c r="AX1074" s="59"/>
      <c r="AY1074" s="59"/>
      <c r="AZ1074" s="59"/>
      <c r="BA1074" s="141"/>
      <c r="BB1074" s="61" t="s">
        <v>1894</v>
      </c>
      <c r="BC1074" s="165"/>
      <c r="BD1074" s="166"/>
      <c r="BE1074" s="167"/>
      <c r="BF1074" s="168"/>
      <c r="BG1074" s="167"/>
      <c r="BH1074" s="168"/>
      <c r="BI1074" s="169"/>
      <c r="BJ1074" s="168"/>
      <c r="BK1074" s="134"/>
      <c r="BL1074" s="168"/>
      <c r="BM1074" s="167"/>
      <c r="BN1074" s="168"/>
      <c r="BO1074" s="62"/>
      <c r="BP1074" s="168"/>
      <c r="BQ1074" s="168"/>
      <c r="BR1074" s="168"/>
      <c r="BS1074" s="135"/>
      <c r="BT1074" s="176"/>
      <c r="BU1074" s="167"/>
      <c r="BV1074" s="168"/>
      <c r="BW1074" s="167"/>
      <c r="BX1074" s="168"/>
      <c r="BY1074" s="167"/>
      <c r="BZ1074" s="176"/>
      <c r="CA1074" s="167"/>
      <c r="CB1074" s="168"/>
      <c r="CC1074" s="167"/>
      <c r="CD1074" s="168"/>
      <c r="CE1074" s="62"/>
      <c r="CF1074" s="62"/>
      <c r="CG1074" s="9"/>
      <c r="CH1074" s="9"/>
      <c r="CI1074" s="9"/>
      <c r="CJ1074" s="9"/>
      <c r="CK1074" s="9"/>
      <c r="CL1074" s="9"/>
      <c r="CM1074" s="9"/>
      <c r="CN1074" s="9"/>
      <c r="CO1074" s="9"/>
      <c r="CP1074" s="9"/>
    </row>
    <row r="1075" spans="1:94" ht="30" x14ac:dyDescent="0.25">
      <c r="A1075" s="127" t="s">
        <v>3403</v>
      </c>
      <c r="B1075" s="51" t="s">
        <v>3404</v>
      </c>
      <c r="C1075" s="62"/>
      <c r="D1075" s="84">
        <v>1</v>
      </c>
      <c r="E1075" s="62" t="s">
        <v>2178</v>
      </c>
      <c r="F1075" s="62">
        <v>7</v>
      </c>
      <c r="G1075" s="62"/>
      <c r="H1075" s="50">
        <f>VLOOKUP($A1075,'[1]ma sp 02'!$A$5:$BD$1101,H$1,0)</f>
        <v>0</v>
      </c>
      <c r="I1075" s="50">
        <f>VLOOKUP($A1075,'[1]ma sp 02'!$A$5:$BD$1101,I$1,0)</f>
        <v>0</v>
      </c>
      <c r="J1075" s="50">
        <f>VLOOKUP($A1075,'[1]ma sp 02'!$A$5:$BD$1101,J$1,0)</f>
        <v>0</v>
      </c>
      <c r="K1075" s="50">
        <f>VLOOKUP($A1075,'[1]ma sp 02'!$A$5:$BD$1101,K$1,0)</f>
        <v>0</v>
      </c>
      <c r="L1075" s="50">
        <f>VLOOKUP($A1075,'[1]ma sp 02'!$A$5:$BD$1101,L$1,0)</f>
        <v>0</v>
      </c>
      <c r="M1075" s="50">
        <f>VLOOKUP($A1075,'[1]ma sp 02'!$A$5:$BD$1101,M$1,0)</f>
        <v>0</v>
      </c>
      <c r="N1075" s="50">
        <f>VLOOKUP($A1075,'[1]ma sp 02'!$A$5:$BD$1101,N$1,0)</f>
        <v>0</v>
      </c>
      <c r="O1075" s="50">
        <f>VLOOKUP($A1075,'[1]ma sp 02'!$A$5:$BD$1101,O$1,0)</f>
        <v>0</v>
      </c>
      <c r="P1075" s="50">
        <f>VLOOKUP($A1075,'[1]ma sp 02'!$A$5:$BD$1101,P$1,0)</f>
        <v>0</v>
      </c>
      <c r="Q1075" s="50">
        <f>VLOOKUP($A1075,'[1]ma sp 02'!$A$5:$BD$1101,Q$1,0)</f>
        <v>0</v>
      </c>
      <c r="R1075" s="50">
        <f>VLOOKUP($A1075,'[1]ma sp 02'!$A$5:$BD$1101,R$1,0)</f>
        <v>0</v>
      </c>
      <c r="S1075" s="50">
        <f>VLOOKUP($A1075,'[1]ma sp 02'!$A$5:$BD$1101,S$1,0)</f>
        <v>0</v>
      </c>
      <c r="T1075" s="50">
        <f>VLOOKUP($A1075,'[1]ma sp 02'!$A$5:$BD$1101,T$1,0)</f>
        <v>0</v>
      </c>
      <c r="U1075" s="50">
        <f>VLOOKUP($A1075,'[1]ma sp 02'!$A$5:$BD$1101,U$1,0)</f>
        <v>0</v>
      </c>
      <c r="V1075" s="50">
        <f>VLOOKUP($A1075,'[1]ma sp 02'!$A$5:$BD$1101,V$1,0)</f>
        <v>0</v>
      </c>
      <c r="W1075" s="50">
        <f>VLOOKUP($A1075,'[1]ma sp 02'!$A$5:$BD$1101,W$1,0)</f>
        <v>0</v>
      </c>
      <c r="X1075" s="50"/>
      <c r="Y1075" s="62"/>
      <c r="Z1075" s="62"/>
      <c r="AA1075" s="62"/>
      <c r="AB1075" s="62"/>
      <c r="AC1075" s="62"/>
      <c r="AD1075" s="62"/>
      <c r="AE1075" s="62" t="s">
        <v>3405</v>
      </c>
      <c r="AF1075" s="62"/>
      <c r="AG1075" s="53">
        <f>(0.02*0.91+0.055*0.925)*0.54</f>
        <v>3.73005E-2</v>
      </c>
      <c r="AH1075" s="54">
        <f>(2.3/0.75/2)*0.53</f>
        <v>0.81266666666666665</v>
      </c>
      <c r="AI1075" s="54"/>
      <c r="AJ1075" s="62">
        <v>9530</v>
      </c>
      <c r="AK1075" s="62"/>
      <c r="AL1075" s="9">
        <v>2.3E-3</v>
      </c>
      <c r="AM1075" s="61" t="s">
        <v>3350</v>
      </c>
      <c r="AN1075" s="62">
        <v>350</v>
      </c>
      <c r="AO1075" s="61" t="s">
        <v>266</v>
      </c>
      <c r="AP1075" s="59"/>
      <c r="AQ1075" s="59"/>
      <c r="AR1075" s="59"/>
      <c r="AS1075" s="59"/>
      <c r="AT1075" s="59"/>
      <c r="AU1075" s="59"/>
      <c r="AV1075" s="59"/>
      <c r="AW1075" s="59"/>
      <c r="AX1075" s="59"/>
      <c r="AY1075" s="59"/>
      <c r="AZ1075" s="59"/>
      <c r="BA1075" s="141"/>
      <c r="BB1075" s="61" t="s">
        <v>1894</v>
      </c>
      <c r="BC1075" s="165"/>
      <c r="BD1075" s="166"/>
      <c r="BE1075" s="167"/>
      <c r="BF1075" s="168"/>
      <c r="BG1075" s="167"/>
      <c r="BH1075" s="168"/>
      <c r="BI1075" s="169"/>
      <c r="BJ1075" s="168"/>
      <c r="BK1075" s="134"/>
      <c r="BL1075" s="168"/>
      <c r="BM1075" s="167"/>
      <c r="BN1075" s="168"/>
      <c r="BO1075" s="62"/>
      <c r="BP1075" s="168"/>
      <c r="BQ1075" s="168"/>
      <c r="BR1075" s="168"/>
      <c r="BS1075" s="135"/>
      <c r="BT1075" s="176"/>
      <c r="BU1075" s="167"/>
      <c r="BV1075" s="168"/>
      <c r="BW1075" s="167"/>
      <c r="BX1075" s="168"/>
      <c r="BY1075" s="167"/>
      <c r="BZ1075" s="176"/>
      <c r="CA1075" s="167"/>
      <c r="CB1075" s="168"/>
      <c r="CC1075" s="167"/>
      <c r="CD1075" s="168"/>
      <c r="CE1075" s="62"/>
      <c r="CF1075" s="62"/>
      <c r="CG1075" s="9"/>
      <c r="CH1075" s="9"/>
      <c r="CI1075" s="9"/>
      <c r="CJ1075" s="9"/>
      <c r="CK1075" s="9"/>
      <c r="CL1075" s="9"/>
      <c r="CM1075" s="9"/>
      <c r="CN1075" s="9"/>
      <c r="CO1075" s="9"/>
      <c r="CP1075" s="9"/>
    </row>
    <row r="1076" spans="1:94" ht="30" x14ac:dyDescent="0.25">
      <c r="A1076" s="127" t="s">
        <v>3406</v>
      </c>
      <c r="B1076" s="51" t="s">
        <v>3407</v>
      </c>
      <c r="C1076" s="62"/>
      <c r="D1076" s="84">
        <v>3</v>
      </c>
      <c r="E1076" s="62" t="s">
        <v>973</v>
      </c>
      <c r="F1076" s="62"/>
      <c r="G1076" s="62"/>
      <c r="H1076" s="50">
        <f>VLOOKUP($A1076,'[1]ma sp 02'!$A$5:$BD$1101,H$1,0)</f>
        <v>0</v>
      </c>
      <c r="I1076" s="50">
        <f>VLOOKUP($A1076,'[1]ma sp 02'!$A$5:$BD$1101,I$1,0)</f>
        <v>0</v>
      </c>
      <c r="J1076" s="50">
        <f>VLOOKUP($A1076,'[1]ma sp 02'!$A$5:$BD$1101,J$1,0)</f>
        <v>0</v>
      </c>
      <c r="K1076" s="50">
        <f>VLOOKUP($A1076,'[1]ma sp 02'!$A$5:$BD$1101,K$1,0)</f>
        <v>0</v>
      </c>
      <c r="L1076" s="50">
        <f>VLOOKUP($A1076,'[1]ma sp 02'!$A$5:$BD$1101,L$1,0)</f>
        <v>0</v>
      </c>
      <c r="M1076" s="50">
        <f>VLOOKUP($A1076,'[1]ma sp 02'!$A$5:$BD$1101,M$1,0)</f>
        <v>0</v>
      </c>
      <c r="N1076" s="50">
        <f>VLOOKUP($A1076,'[1]ma sp 02'!$A$5:$BD$1101,N$1,0)</f>
        <v>0</v>
      </c>
      <c r="O1076" s="50">
        <f>VLOOKUP($A1076,'[1]ma sp 02'!$A$5:$BD$1101,O$1,0)</f>
        <v>0</v>
      </c>
      <c r="P1076" s="50">
        <f>VLOOKUP($A1076,'[1]ma sp 02'!$A$5:$BD$1101,P$1,0)</f>
        <v>0</v>
      </c>
      <c r="Q1076" s="50">
        <f>VLOOKUP($A1076,'[1]ma sp 02'!$A$5:$BD$1101,Q$1,0)</f>
        <v>0</v>
      </c>
      <c r="R1076" s="50">
        <f>VLOOKUP($A1076,'[1]ma sp 02'!$A$5:$BD$1101,R$1,0)</f>
        <v>0</v>
      </c>
      <c r="S1076" s="50">
        <f>VLOOKUP($A1076,'[1]ma sp 02'!$A$5:$BD$1101,S$1,0)</f>
        <v>0</v>
      </c>
      <c r="T1076" s="50">
        <f>VLOOKUP($A1076,'[1]ma sp 02'!$A$5:$BD$1101,T$1,0)</f>
        <v>0</v>
      </c>
      <c r="U1076" s="50">
        <f>VLOOKUP($A1076,'[1]ma sp 02'!$A$5:$BD$1101,U$1,0)</f>
        <v>0</v>
      </c>
      <c r="V1076" s="50">
        <f>VLOOKUP($A1076,'[1]ma sp 02'!$A$5:$BD$1101,V$1,0)</f>
        <v>0</v>
      </c>
      <c r="W1076" s="50">
        <f>VLOOKUP($A1076,'[1]ma sp 02'!$A$5:$BD$1101,W$1,0)</f>
        <v>0</v>
      </c>
      <c r="X1076" s="50"/>
      <c r="Y1076" s="62"/>
      <c r="Z1076" s="62"/>
      <c r="AA1076" s="62"/>
      <c r="AB1076" s="62"/>
      <c r="AC1076" s="62"/>
      <c r="AD1076" s="62"/>
      <c r="AE1076" s="62" t="s">
        <v>943</v>
      </c>
      <c r="AF1076" s="62"/>
      <c r="AG1076" s="53">
        <f>(0.015*1.15+0.065*0.94)*0.8</f>
        <v>6.268E-2</v>
      </c>
      <c r="AH1076" s="54">
        <f>(2.3/0.75/2)*0.79</f>
        <v>1.2113333333333334</v>
      </c>
      <c r="AI1076" s="54"/>
      <c r="AJ1076" s="62">
        <v>9530</v>
      </c>
      <c r="AK1076" s="62"/>
      <c r="AL1076" s="9">
        <v>2.3E-3</v>
      </c>
      <c r="AM1076" s="61" t="s">
        <v>3186</v>
      </c>
      <c r="AN1076" s="62">
        <v>180</v>
      </c>
      <c r="AO1076" s="61" t="s">
        <v>2989</v>
      </c>
      <c r="AP1076" s="59"/>
      <c r="AQ1076" s="59"/>
      <c r="AR1076" s="59"/>
      <c r="AS1076" s="59"/>
      <c r="AT1076" s="59"/>
      <c r="AU1076" s="59"/>
      <c r="AV1076" s="59"/>
      <c r="AW1076" s="59"/>
      <c r="AX1076" s="59"/>
      <c r="AY1076" s="59"/>
      <c r="AZ1076" s="59"/>
      <c r="BA1076" s="141"/>
      <c r="BB1076" s="61" t="s">
        <v>1894</v>
      </c>
      <c r="BC1076" s="165"/>
      <c r="BD1076" s="166"/>
      <c r="BE1076" s="167"/>
      <c r="BF1076" s="168"/>
      <c r="BG1076" s="167"/>
      <c r="BH1076" s="168"/>
      <c r="BI1076" s="169"/>
      <c r="BJ1076" s="168"/>
      <c r="BK1076" s="134"/>
      <c r="BL1076" s="168"/>
      <c r="BM1076" s="167"/>
      <c r="BN1076" s="168"/>
      <c r="BO1076" s="62"/>
      <c r="BP1076" s="168"/>
      <c r="BQ1076" s="168"/>
      <c r="BR1076" s="168"/>
      <c r="BS1076" s="135"/>
      <c r="BT1076" s="176"/>
      <c r="BU1076" s="167"/>
      <c r="BV1076" s="168"/>
      <c r="BW1076" s="167"/>
      <c r="BX1076" s="168"/>
      <c r="BY1076" s="167"/>
      <c r="BZ1076" s="176"/>
      <c r="CA1076" s="167"/>
      <c r="CB1076" s="168"/>
      <c r="CC1076" s="167"/>
      <c r="CD1076" s="168"/>
      <c r="CE1076" s="62"/>
      <c r="CF1076" s="62"/>
      <c r="CG1076" s="9"/>
      <c r="CH1076" s="9"/>
      <c r="CI1076" s="9"/>
      <c r="CJ1076" s="9"/>
      <c r="CK1076" s="9"/>
      <c r="CL1076" s="9"/>
      <c r="CM1076" s="9"/>
      <c r="CN1076" s="9"/>
      <c r="CO1076" s="9"/>
      <c r="CP1076" s="9"/>
    </row>
    <row r="1077" spans="1:94" ht="30" x14ac:dyDescent="0.25">
      <c r="A1077" s="127" t="s">
        <v>3408</v>
      </c>
      <c r="B1077" s="51" t="s">
        <v>3409</v>
      </c>
      <c r="C1077" s="62"/>
      <c r="D1077" s="84">
        <v>1</v>
      </c>
      <c r="E1077" s="62" t="s">
        <v>3410</v>
      </c>
      <c r="F1077" s="62">
        <v>3</v>
      </c>
      <c r="G1077" s="62"/>
      <c r="H1077" s="50">
        <f>VLOOKUP($A1077,'[1]ma sp 02'!$A$5:$BD$1101,H$1,0)</f>
        <v>0.71199999999999997</v>
      </c>
      <c r="I1077" s="50">
        <f>VLOOKUP($A1077,'[1]ma sp 02'!$A$5:$BD$1101,I$1,0)</f>
        <v>0</v>
      </c>
      <c r="J1077" s="50">
        <f>VLOOKUP($A1077,'[1]ma sp 02'!$A$5:$BD$1101,J$1,0)</f>
        <v>0</v>
      </c>
      <c r="K1077" s="50">
        <f>VLOOKUP($A1077,'[1]ma sp 02'!$A$5:$BD$1101,K$1,0)</f>
        <v>0.55400000000000005</v>
      </c>
      <c r="L1077" s="50">
        <f>VLOOKUP($A1077,'[1]ma sp 02'!$A$5:$BD$1101,L$1,0)</f>
        <v>0</v>
      </c>
      <c r="M1077" s="50">
        <f>VLOOKUP($A1077,'[1]ma sp 02'!$A$5:$BD$1101,M$1,0)</f>
        <v>0</v>
      </c>
      <c r="N1077" s="50">
        <f>VLOOKUP($A1077,'[1]ma sp 02'!$A$5:$BD$1101,N$1,0)</f>
        <v>0</v>
      </c>
      <c r="O1077" s="50">
        <f>VLOOKUP($A1077,'[1]ma sp 02'!$A$5:$BD$1101,O$1,0)</f>
        <v>0</v>
      </c>
      <c r="P1077" s="50">
        <f>VLOOKUP($A1077,'[1]ma sp 02'!$A$5:$BD$1101,P$1,0)</f>
        <v>0.19800000000000001</v>
      </c>
      <c r="Q1077" s="50">
        <f>VLOOKUP($A1077,'[1]ma sp 02'!$A$5:$BD$1101,Q$1,0)</f>
        <v>0</v>
      </c>
      <c r="R1077" s="50">
        <f>VLOOKUP($A1077,'[1]ma sp 02'!$A$5:$BD$1101,R$1,0)</f>
        <v>0.01</v>
      </c>
      <c r="S1077" s="50">
        <f>VLOOKUP($A1077,'[1]ma sp 02'!$A$5:$BD$1101,S$1,0)</f>
        <v>0</v>
      </c>
      <c r="T1077" s="50">
        <f>VLOOKUP($A1077,'[1]ma sp 02'!$A$5:$BD$1101,T$1,0)</f>
        <v>0</v>
      </c>
      <c r="U1077" s="50">
        <f>VLOOKUP($A1077,'[1]ma sp 02'!$A$5:$BD$1101,U$1,0)</f>
        <v>0</v>
      </c>
      <c r="V1077" s="50">
        <f>VLOOKUP($A1077,'[1]ma sp 02'!$A$5:$BD$1101,V$1,0)</f>
        <v>0</v>
      </c>
      <c r="W1077" s="50">
        <f>VLOOKUP($A1077,'[1]ma sp 02'!$A$5:$BD$1101,W$1,0)</f>
        <v>0</v>
      </c>
      <c r="X1077" s="50"/>
      <c r="Y1077" s="62"/>
      <c r="Z1077" s="62"/>
      <c r="AA1077" s="62"/>
      <c r="AB1077" s="62"/>
      <c r="AC1077" s="62"/>
      <c r="AD1077" s="62"/>
      <c r="AE1077" s="62" t="s">
        <v>3411</v>
      </c>
      <c r="AF1077" s="62"/>
      <c r="AG1077" s="53">
        <f>(0.04*0.925+0.04*0.925)*1.22</f>
        <v>9.0280000000000013E-2</v>
      </c>
      <c r="AH1077" s="54">
        <f>(2/0.75/2)*1.22</f>
        <v>1.6266666666666665</v>
      </c>
      <c r="AI1077" s="54"/>
      <c r="AJ1077" s="62">
        <v>9530</v>
      </c>
      <c r="AK1077" s="62"/>
      <c r="AL1077" s="9">
        <v>2E-3</v>
      </c>
      <c r="AM1077" s="61" t="s">
        <v>1489</v>
      </c>
      <c r="AN1077" s="62"/>
      <c r="AO1077" s="61" t="s">
        <v>3412</v>
      </c>
      <c r="AP1077" s="59"/>
      <c r="AQ1077" s="59"/>
      <c r="AR1077" s="59"/>
      <c r="AS1077" s="59"/>
      <c r="AT1077" s="59"/>
      <c r="AU1077" s="59"/>
      <c r="AV1077" s="59"/>
      <c r="AW1077" s="59"/>
      <c r="AX1077" s="59"/>
      <c r="AY1077" s="59"/>
      <c r="AZ1077" s="59"/>
      <c r="BA1077" s="141"/>
      <c r="BB1077" s="61" t="s">
        <v>952</v>
      </c>
      <c r="BC1077" s="165"/>
      <c r="BD1077" s="166"/>
      <c r="BE1077" s="167"/>
      <c r="BF1077" s="168"/>
      <c r="BG1077" s="167"/>
      <c r="BH1077" s="168"/>
      <c r="BI1077" s="169"/>
      <c r="BJ1077" s="168"/>
      <c r="BK1077" s="134"/>
      <c r="BL1077" s="168"/>
      <c r="BM1077" s="167"/>
      <c r="BN1077" s="168"/>
      <c r="BO1077" s="62"/>
      <c r="BP1077" s="168"/>
      <c r="BQ1077" s="168"/>
      <c r="BR1077" s="168"/>
      <c r="BS1077" s="135"/>
      <c r="BT1077" s="176"/>
      <c r="BU1077" s="167"/>
      <c r="BV1077" s="168"/>
      <c r="BW1077" s="167"/>
      <c r="BX1077" s="168"/>
      <c r="BY1077" s="167"/>
      <c r="BZ1077" s="176"/>
      <c r="CA1077" s="167"/>
      <c r="CB1077" s="168"/>
      <c r="CC1077" s="167"/>
      <c r="CD1077" s="168"/>
      <c r="CE1077" s="62"/>
      <c r="CF1077" s="62"/>
      <c r="CG1077" s="9"/>
      <c r="CH1077" s="9"/>
      <c r="CI1077" s="9"/>
      <c r="CJ1077" s="9"/>
      <c r="CK1077" s="9"/>
      <c r="CL1077" s="9"/>
      <c r="CM1077" s="9"/>
      <c r="CN1077" s="9"/>
      <c r="CO1077" s="9"/>
      <c r="CP1077" s="9"/>
    </row>
    <row r="1078" spans="1:94" ht="45" x14ac:dyDescent="0.25">
      <c r="A1078" s="127" t="s">
        <v>3413</v>
      </c>
      <c r="B1078" s="51" t="s">
        <v>3414</v>
      </c>
      <c r="C1078" s="62"/>
      <c r="D1078" s="84">
        <v>1</v>
      </c>
      <c r="E1078" s="62" t="s">
        <v>3385</v>
      </c>
      <c r="F1078" s="62">
        <v>5</v>
      </c>
      <c r="G1078" s="62"/>
      <c r="H1078" s="50">
        <f>VLOOKUP($A1078,'[1]ma sp 02'!$A$5:$BD$1101,H$1,0)</f>
        <v>4.3999999999999997E-2</v>
      </c>
      <c r="I1078" s="50">
        <f>VLOOKUP($A1078,'[1]ma sp 02'!$A$5:$BD$1101,I$1,0)</f>
        <v>0</v>
      </c>
      <c r="J1078" s="50">
        <f>VLOOKUP($A1078,'[1]ma sp 02'!$A$5:$BD$1101,J$1,0)</f>
        <v>0.622</v>
      </c>
      <c r="K1078" s="50">
        <f>VLOOKUP($A1078,'[1]ma sp 02'!$A$5:$BD$1101,K$1,0)</f>
        <v>0.311</v>
      </c>
      <c r="L1078" s="50">
        <f>VLOOKUP($A1078,'[1]ma sp 02'!$A$5:$BD$1101,L$1,0)</f>
        <v>1.1559999999999999</v>
      </c>
      <c r="M1078" s="50">
        <f>VLOOKUP($A1078,'[1]ma sp 02'!$A$5:$BD$1101,M$1,0)</f>
        <v>0.26700000000000002</v>
      </c>
      <c r="N1078" s="50">
        <f>VLOOKUP($A1078,'[1]ma sp 02'!$A$5:$BD$1101,N$1,0)</f>
        <v>0</v>
      </c>
      <c r="O1078" s="50">
        <f>VLOOKUP($A1078,'[1]ma sp 02'!$A$5:$BD$1101,O$1,0)</f>
        <v>0</v>
      </c>
      <c r="P1078" s="50">
        <f>VLOOKUP($A1078,'[1]ma sp 02'!$A$5:$BD$1101,P$1,0)</f>
        <v>0</v>
      </c>
      <c r="Q1078" s="50">
        <f>VLOOKUP($A1078,'[1]ma sp 02'!$A$5:$BD$1101,Q$1,0)</f>
        <v>0.35599999999999998</v>
      </c>
      <c r="R1078" s="50">
        <f>VLOOKUP($A1078,'[1]ma sp 02'!$A$5:$BD$1101,R$1,0)</f>
        <v>0</v>
      </c>
      <c r="S1078" s="50">
        <f>VLOOKUP($A1078,'[1]ma sp 02'!$A$5:$BD$1101,S$1,0)</f>
        <v>0</v>
      </c>
      <c r="T1078" s="50">
        <f>VLOOKUP($A1078,'[1]ma sp 02'!$A$5:$BD$1101,T$1,0)</f>
        <v>0</v>
      </c>
      <c r="U1078" s="50">
        <f>VLOOKUP($A1078,'[1]ma sp 02'!$A$5:$BD$1101,U$1,0)</f>
        <v>0</v>
      </c>
      <c r="V1078" s="50">
        <f>VLOOKUP($A1078,'[1]ma sp 02'!$A$5:$BD$1101,V$1,0)</f>
        <v>0</v>
      </c>
      <c r="W1078" s="50">
        <f>VLOOKUP($A1078,'[1]ma sp 02'!$A$5:$BD$1101,W$1,0)</f>
        <v>0</v>
      </c>
      <c r="X1078" s="50"/>
      <c r="Y1078" s="62"/>
      <c r="Z1078" s="62"/>
      <c r="AA1078" s="62"/>
      <c r="AB1078" s="62"/>
      <c r="AC1078" s="62"/>
      <c r="AD1078" s="62"/>
      <c r="AE1078" s="62" t="s">
        <v>3386</v>
      </c>
      <c r="AF1078" s="61" t="s">
        <v>3387</v>
      </c>
      <c r="AG1078" s="53">
        <f>(0.02*0.91+0.0064+0.015*1.15+0.05*0.94)*0.978</f>
        <v>8.6895299999999995E-2</v>
      </c>
      <c r="AH1078" s="54">
        <f>(4/0.75/2)*0.978</f>
        <v>2.6079999999999997</v>
      </c>
      <c r="AI1078" s="54">
        <f>(4/0.75/2)*0.978</f>
        <v>2.6079999999999997</v>
      </c>
      <c r="AJ1078" s="62">
        <v>9530</v>
      </c>
      <c r="AK1078" s="62">
        <v>9530</v>
      </c>
      <c r="AL1078" s="9" t="s">
        <v>3388</v>
      </c>
      <c r="AM1078" s="61" t="s">
        <v>1489</v>
      </c>
      <c r="AN1078" s="62">
        <v>200</v>
      </c>
      <c r="AO1078" s="61" t="s">
        <v>3389</v>
      </c>
      <c r="AP1078" s="59"/>
      <c r="AQ1078" s="59"/>
      <c r="AR1078" s="59"/>
      <c r="AS1078" s="59"/>
      <c r="AT1078" s="59"/>
      <c r="AU1078" s="59"/>
      <c r="AV1078" s="59"/>
      <c r="AW1078" s="59"/>
      <c r="AX1078" s="59"/>
      <c r="AY1078" s="59"/>
      <c r="AZ1078" s="59"/>
      <c r="BA1078" s="141"/>
      <c r="BB1078" s="61" t="s">
        <v>952</v>
      </c>
      <c r="BC1078" s="165"/>
      <c r="BD1078" s="166"/>
      <c r="BE1078" s="167"/>
      <c r="BF1078" s="168"/>
      <c r="BG1078" s="167"/>
      <c r="BH1078" s="168"/>
      <c r="BI1078" s="169"/>
      <c r="BJ1078" s="168"/>
      <c r="BK1078" s="134"/>
      <c r="BL1078" s="168"/>
      <c r="BM1078" s="167"/>
      <c r="BN1078" s="168"/>
      <c r="BO1078" s="62"/>
      <c r="BP1078" s="168"/>
      <c r="BQ1078" s="168"/>
      <c r="BR1078" s="168"/>
      <c r="BS1078" s="135"/>
      <c r="BT1078" s="176"/>
      <c r="BU1078" s="167"/>
      <c r="BV1078" s="168"/>
      <c r="BW1078" s="167"/>
      <c r="BX1078" s="168"/>
      <c r="BY1078" s="167"/>
      <c r="BZ1078" s="176"/>
      <c r="CA1078" s="167"/>
      <c r="CB1078" s="168"/>
      <c r="CC1078" s="167"/>
      <c r="CD1078" s="168"/>
      <c r="CE1078" s="62"/>
      <c r="CF1078" s="62"/>
      <c r="CG1078" s="9"/>
      <c r="CH1078" s="9"/>
      <c r="CI1078" s="9"/>
      <c r="CJ1078" s="9"/>
      <c r="CK1078" s="9"/>
      <c r="CL1078" s="9"/>
      <c r="CM1078" s="9"/>
      <c r="CN1078" s="9"/>
      <c r="CO1078" s="9"/>
      <c r="CP1078" s="9"/>
    </row>
    <row r="1079" spans="1:94" ht="45" x14ac:dyDescent="0.25">
      <c r="A1079" s="127" t="s">
        <v>3415</v>
      </c>
      <c r="B1079" s="51" t="s">
        <v>3416</v>
      </c>
      <c r="C1079" s="62"/>
      <c r="D1079" s="84">
        <v>1</v>
      </c>
      <c r="E1079" s="62" t="s">
        <v>3385</v>
      </c>
      <c r="F1079" s="62">
        <v>5</v>
      </c>
      <c r="G1079" s="62"/>
      <c r="H1079" s="50">
        <f>VLOOKUP($A1079,'[1]ma sp 02'!$A$5:$BD$1101,H$1,0)</f>
        <v>0.13500000000000001</v>
      </c>
      <c r="I1079" s="50">
        <f>VLOOKUP($A1079,'[1]ma sp 02'!$A$5:$BD$1101,I$1,0)</f>
        <v>0</v>
      </c>
      <c r="J1079" s="50">
        <f>VLOOKUP($A1079,'[1]ma sp 02'!$A$5:$BD$1101,J$1,0)</f>
        <v>0</v>
      </c>
      <c r="K1079" s="50">
        <f>VLOOKUP($A1079,'[1]ma sp 02'!$A$5:$BD$1101,K$1,0)</f>
        <v>0.67300000000000004</v>
      </c>
      <c r="L1079" s="50">
        <f>VLOOKUP($A1079,'[1]ma sp 02'!$A$5:$BD$1101,L$1,0)</f>
        <v>0.01</v>
      </c>
      <c r="M1079" s="50">
        <f>VLOOKUP($A1079,'[1]ma sp 02'!$A$5:$BD$1101,M$1,0)</f>
        <v>0.98699999999999999</v>
      </c>
      <c r="N1079" s="50">
        <f>VLOOKUP($A1079,'[1]ma sp 02'!$A$5:$BD$1101,N$1,0)</f>
        <v>0.44900000000000001</v>
      </c>
      <c r="O1079" s="50">
        <f>VLOOKUP($A1079,'[1]ma sp 02'!$A$5:$BD$1101,O$1,0)</f>
        <v>0</v>
      </c>
      <c r="P1079" s="50">
        <f>VLOOKUP($A1079,'[1]ma sp 02'!$A$5:$BD$1101,P$1,0)</f>
        <v>0</v>
      </c>
      <c r="Q1079" s="50">
        <f>VLOOKUP($A1079,'[1]ma sp 02'!$A$5:$BD$1101,Q$1,0)</f>
        <v>0.26900000000000002</v>
      </c>
      <c r="R1079" s="50">
        <f>VLOOKUP($A1079,'[1]ma sp 02'!$A$5:$BD$1101,R$1,0)</f>
        <v>0</v>
      </c>
      <c r="S1079" s="50">
        <f>VLOOKUP($A1079,'[1]ma sp 02'!$A$5:$BD$1101,S$1,0)</f>
        <v>0</v>
      </c>
      <c r="T1079" s="50">
        <f>VLOOKUP($A1079,'[1]ma sp 02'!$A$5:$BD$1101,T$1,0)</f>
        <v>0</v>
      </c>
      <c r="U1079" s="50">
        <f>VLOOKUP($A1079,'[1]ma sp 02'!$A$5:$BD$1101,U$1,0)</f>
        <v>0</v>
      </c>
      <c r="V1079" s="50">
        <f>VLOOKUP($A1079,'[1]ma sp 02'!$A$5:$BD$1101,V$1,0)</f>
        <v>0</v>
      </c>
      <c r="W1079" s="50">
        <f>VLOOKUP($A1079,'[1]ma sp 02'!$A$5:$BD$1101,W$1,0)</f>
        <v>0</v>
      </c>
      <c r="X1079" s="50"/>
      <c r="Y1079" s="62"/>
      <c r="Z1079" s="62"/>
      <c r="AA1079" s="62"/>
      <c r="AB1079" s="62"/>
      <c r="AC1079" s="62"/>
      <c r="AD1079" s="62"/>
      <c r="AE1079" s="62" t="s">
        <v>3386</v>
      </c>
      <c r="AF1079" s="61" t="s">
        <v>3387</v>
      </c>
      <c r="AG1079" s="53">
        <f>(0.02*0.91+0.0064+0.015*1.15+0.05*0.94)*0.978</f>
        <v>8.6895299999999995E-2</v>
      </c>
      <c r="AH1079" s="54">
        <f>(4/0.75/2)*0.978</f>
        <v>2.6079999999999997</v>
      </c>
      <c r="AI1079" s="54">
        <f>(4/0.75/2)*0.978</f>
        <v>2.6079999999999997</v>
      </c>
      <c r="AJ1079" s="62">
        <v>9530</v>
      </c>
      <c r="AK1079" s="62">
        <v>9530</v>
      </c>
      <c r="AL1079" s="9" t="s">
        <v>3388</v>
      </c>
      <c r="AM1079" s="61" t="s">
        <v>1489</v>
      </c>
      <c r="AN1079" s="62">
        <v>200</v>
      </c>
      <c r="AO1079" s="61" t="s">
        <v>3389</v>
      </c>
      <c r="AP1079" s="59"/>
      <c r="AQ1079" s="59"/>
      <c r="AR1079" s="59"/>
      <c r="AS1079" s="59"/>
      <c r="AT1079" s="59"/>
      <c r="AU1079" s="59"/>
      <c r="AV1079" s="59"/>
      <c r="AW1079" s="59"/>
      <c r="AX1079" s="59"/>
      <c r="AY1079" s="59"/>
      <c r="AZ1079" s="59"/>
      <c r="BA1079" s="141"/>
      <c r="BB1079" s="61" t="s">
        <v>952</v>
      </c>
      <c r="BC1079" s="165"/>
      <c r="BD1079" s="166"/>
      <c r="BE1079" s="167"/>
      <c r="BF1079" s="168"/>
      <c r="BG1079" s="167"/>
      <c r="BH1079" s="168"/>
      <c r="BI1079" s="169"/>
      <c r="BJ1079" s="168"/>
      <c r="BK1079" s="134"/>
      <c r="BL1079" s="168"/>
      <c r="BM1079" s="167"/>
      <c r="BN1079" s="168"/>
      <c r="BO1079" s="62"/>
      <c r="BP1079" s="168"/>
      <c r="BQ1079" s="168"/>
      <c r="BR1079" s="168"/>
      <c r="BS1079" s="135"/>
      <c r="BT1079" s="176"/>
      <c r="BU1079" s="167"/>
      <c r="BV1079" s="168"/>
      <c r="BW1079" s="167"/>
      <c r="BX1079" s="168"/>
      <c r="BY1079" s="167"/>
      <c r="BZ1079" s="176"/>
      <c r="CA1079" s="167"/>
      <c r="CB1079" s="168"/>
      <c r="CC1079" s="167"/>
      <c r="CD1079" s="168"/>
      <c r="CE1079" s="62"/>
      <c r="CF1079" s="62"/>
      <c r="CG1079" s="9"/>
      <c r="CH1079" s="9"/>
      <c r="CI1079" s="9"/>
      <c r="CJ1079" s="9"/>
      <c r="CK1079" s="9"/>
      <c r="CL1079" s="9"/>
      <c r="CM1079" s="9"/>
      <c r="CN1079" s="9"/>
      <c r="CO1079" s="9"/>
      <c r="CP1079" s="9"/>
    </row>
    <row r="1080" spans="1:94" ht="45" x14ac:dyDescent="0.25">
      <c r="A1080" s="127" t="s">
        <v>3417</v>
      </c>
      <c r="B1080" s="51" t="s">
        <v>3418</v>
      </c>
      <c r="C1080" s="62"/>
      <c r="D1080" s="84">
        <v>7</v>
      </c>
      <c r="E1080" s="62" t="s">
        <v>3419</v>
      </c>
      <c r="F1080" s="62">
        <v>4</v>
      </c>
      <c r="G1080" s="62"/>
      <c r="H1080" s="50">
        <f>VLOOKUP($A1080,'[1]ma sp 02'!$A$5:$BD$1101,H$1,0)</f>
        <v>2.7269999999999999</v>
      </c>
      <c r="I1080" s="50">
        <f>VLOOKUP($A1080,'[1]ma sp 02'!$A$5:$BD$1101,I$1,0)</f>
        <v>4.0430000000000001</v>
      </c>
      <c r="J1080" s="50">
        <f>VLOOKUP($A1080,'[1]ma sp 02'!$A$5:$BD$1101,J$1,0)</f>
        <v>0</v>
      </c>
      <c r="K1080" s="50">
        <f>VLOOKUP($A1080,'[1]ma sp 02'!$A$5:$BD$1101,K$1,0)</f>
        <v>1.458</v>
      </c>
      <c r="L1080" s="50">
        <f>VLOOKUP($A1080,'[1]ma sp 02'!$A$5:$BD$1101,L$1,0)</f>
        <v>0.84599999999999997</v>
      </c>
      <c r="M1080" s="50">
        <f>VLOOKUP($A1080,'[1]ma sp 02'!$A$5:$BD$1101,M$1,0)</f>
        <v>1.22</v>
      </c>
      <c r="N1080" s="50">
        <f>VLOOKUP($A1080,'[1]ma sp 02'!$A$5:$BD$1101,N$1,0)</f>
        <v>0.75900000000000001</v>
      </c>
      <c r="O1080" s="50">
        <f>VLOOKUP($A1080,'[1]ma sp 02'!$A$5:$BD$1101,O$1,0)</f>
        <v>0</v>
      </c>
      <c r="P1080" s="50">
        <f>VLOOKUP($A1080,'[1]ma sp 02'!$A$5:$BD$1101,P$1,0)</f>
        <v>0.01</v>
      </c>
      <c r="Q1080" s="50">
        <f>VLOOKUP($A1080,'[1]ma sp 02'!$A$5:$BD$1101,Q$1,0)</f>
        <v>0</v>
      </c>
      <c r="R1080" s="50">
        <f>VLOOKUP($A1080,'[1]ma sp 02'!$A$5:$BD$1101,R$1,0)</f>
        <v>0</v>
      </c>
      <c r="S1080" s="50">
        <f>VLOOKUP($A1080,'[1]ma sp 02'!$A$5:$BD$1101,S$1,0)</f>
        <v>0.01</v>
      </c>
      <c r="T1080" s="50">
        <f>VLOOKUP($A1080,'[1]ma sp 02'!$A$5:$BD$1101,T$1,0)</f>
        <v>0.01</v>
      </c>
      <c r="U1080" s="50">
        <f>VLOOKUP($A1080,'[1]ma sp 02'!$A$5:$BD$1101,U$1,0)</f>
        <v>0</v>
      </c>
      <c r="V1080" s="50">
        <f>VLOOKUP($A1080,'[1]ma sp 02'!$A$5:$BD$1101,V$1,0)</f>
        <v>0</v>
      </c>
      <c r="W1080" s="50">
        <f>VLOOKUP($A1080,'[1]ma sp 02'!$A$5:$BD$1101,W$1,0)</f>
        <v>0</v>
      </c>
      <c r="X1080" s="50"/>
      <c r="Y1080" s="62"/>
      <c r="Z1080" s="62"/>
      <c r="AA1080" s="62"/>
      <c r="AB1080" s="62"/>
      <c r="AC1080" s="62"/>
      <c r="AD1080" s="62"/>
      <c r="AE1080" s="62" t="s">
        <v>516</v>
      </c>
      <c r="AF1080" s="62"/>
      <c r="AG1080" s="53">
        <f>(0.04*0.91+0.025*0.91)*0.72</f>
        <v>4.2588000000000001E-2</v>
      </c>
      <c r="AH1080" s="54">
        <f>(1.4/0.75/2)*0.71</f>
        <v>0.66266666666666652</v>
      </c>
      <c r="AI1080" s="54"/>
      <c r="AJ1080" s="62" t="s">
        <v>1881</v>
      </c>
      <c r="AK1080" s="62"/>
      <c r="AL1080" s="9">
        <v>1.4E-3</v>
      </c>
      <c r="AM1080" s="61" t="s">
        <v>1489</v>
      </c>
      <c r="AN1080" s="62">
        <v>1000</v>
      </c>
      <c r="AO1080" s="61" t="s">
        <v>3420</v>
      </c>
      <c r="AP1080" s="59"/>
      <c r="AQ1080" s="59"/>
      <c r="AR1080" s="59"/>
      <c r="AS1080" s="59"/>
      <c r="AT1080" s="59"/>
      <c r="AU1080" s="59"/>
      <c r="AV1080" s="59"/>
      <c r="AW1080" s="59"/>
      <c r="AX1080" s="59"/>
      <c r="AY1080" s="59"/>
      <c r="AZ1080" s="59"/>
      <c r="BA1080" s="141"/>
      <c r="BB1080" s="61"/>
      <c r="BC1080" s="165"/>
      <c r="BD1080" s="166"/>
      <c r="BE1080" s="167"/>
      <c r="BF1080" s="168"/>
      <c r="BG1080" s="167"/>
      <c r="BH1080" s="168"/>
      <c r="BI1080" s="169"/>
      <c r="BJ1080" s="168"/>
      <c r="BK1080" s="134"/>
      <c r="BL1080" s="168"/>
      <c r="BM1080" s="167"/>
      <c r="BN1080" s="168"/>
      <c r="BO1080" s="62"/>
      <c r="BP1080" s="168"/>
      <c r="BQ1080" s="168"/>
      <c r="BR1080" s="168"/>
      <c r="BS1080" s="135"/>
      <c r="BT1080" s="176"/>
      <c r="BU1080" s="167"/>
      <c r="BV1080" s="168"/>
      <c r="BW1080" s="167"/>
      <c r="BX1080" s="168"/>
      <c r="BY1080" s="167"/>
      <c r="BZ1080" s="176"/>
      <c r="CA1080" s="167"/>
      <c r="CB1080" s="168"/>
      <c r="CC1080" s="167"/>
      <c r="CD1080" s="168"/>
      <c r="CE1080" s="62"/>
      <c r="CF1080" s="62"/>
      <c r="CG1080" s="9"/>
      <c r="CH1080" s="9"/>
      <c r="CI1080" s="9"/>
      <c r="CJ1080" s="9"/>
      <c r="CK1080" s="9"/>
      <c r="CL1080" s="9"/>
      <c r="CM1080" s="9"/>
      <c r="CN1080" s="9"/>
      <c r="CO1080" s="9"/>
      <c r="CP1080" s="9"/>
    </row>
    <row r="1081" spans="1:94" ht="45" x14ac:dyDescent="0.25">
      <c r="A1081" s="127" t="s">
        <v>3421</v>
      </c>
      <c r="B1081" s="51" t="s">
        <v>3422</v>
      </c>
      <c r="C1081" s="62"/>
      <c r="D1081" s="84">
        <v>1</v>
      </c>
      <c r="E1081" s="62" t="s">
        <v>568</v>
      </c>
      <c r="F1081" s="62">
        <v>7</v>
      </c>
      <c r="G1081" s="62"/>
      <c r="H1081" s="50">
        <f>VLOOKUP($A1081,'[1]ma sp 02'!$A$5:$BD$1101,H$1,0)</f>
        <v>0.41799999999999998</v>
      </c>
      <c r="I1081" s="50">
        <f>VLOOKUP($A1081,'[1]ma sp 02'!$A$5:$BD$1101,I$1,0)</f>
        <v>4.1769999999999996</v>
      </c>
      <c r="J1081" s="50">
        <f>VLOOKUP($A1081,'[1]ma sp 02'!$A$5:$BD$1101,J$1,0)</f>
        <v>0.01</v>
      </c>
      <c r="K1081" s="50">
        <f>VLOOKUP($A1081,'[1]ma sp 02'!$A$5:$BD$1101,K$1,0)</f>
        <v>0</v>
      </c>
      <c r="L1081" s="50">
        <f>VLOOKUP($A1081,'[1]ma sp 02'!$A$5:$BD$1101,L$1,0)</f>
        <v>0.01</v>
      </c>
      <c r="M1081" s="50">
        <f>VLOOKUP($A1081,'[1]ma sp 02'!$A$5:$BD$1101,M$1,0)</f>
        <v>2.673</v>
      </c>
      <c r="N1081" s="50">
        <f>VLOOKUP($A1081,'[1]ma sp 02'!$A$5:$BD$1101,N$1,0)</f>
        <v>0</v>
      </c>
      <c r="O1081" s="50">
        <f>VLOOKUP($A1081,'[1]ma sp 02'!$A$5:$BD$1101,O$1,0)</f>
        <v>0.01</v>
      </c>
      <c r="P1081" s="50">
        <f>VLOOKUP($A1081,'[1]ma sp 02'!$A$5:$BD$1101,P$1,0)</f>
        <v>0</v>
      </c>
      <c r="Q1081" s="50">
        <f>VLOOKUP($A1081,'[1]ma sp 02'!$A$5:$BD$1101,Q$1,0)</f>
        <v>0</v>
      </c>
      <c r="R1081" s="50">
        <f>VLOOKUP($A1081,'[1]ma sp 02'!$A$5:$BD$1101,R$1,0)</f>
        <v>0</v>
      </c>
      <c r="S1081" s="50">
        <f>VLOOKUP($A1081,'[1]ma sp 02'!$A$5:$BD$1101,S$1,0)</f>
        <v>0</v>
      </c>
      <c r="T1081" s="50">
        <f>VLOOKUP($A1081,'[1]ma sp 02'!$A$5:$BD$1101,T$1,0)</f>
        <v>0</v>
      </c>
      <c r="U1081" s="50">
        <f>VLOOKUP($A1081,'[1]ma sp 02'!$A$5:$BD$1101,U$1,0)</f>
        <v>0</v>
      </c>
      <c r="V1081" s="50">
        <f>VLOOKUP($A1081,'[1]ma sp 02'!$A$5:$BD$1101,V$1,0)</f>
        <v>0</v>
      </c>
      <c r="W1081" s="50">
        <f>VLOOKUP($A1081,'[1]ma sp 02'!$A$5:$BD$1101,W$1,0)</f>
        <v>0</v>
      </c>
      <c r="X1081" s="50"/>
      <c r="Y1081" s="62"/>
      <c r="Z1081" s="62"/>
      <c r="AA1081" s="62"/>
      <c r="AB1081" s="62"/>
      <c r="AC1081" s="62"/>
      <c r="AD1081" s="62"/>
      <c r="AE1081" s="62" t="s">
        <v>3423</v>
      </c>
      <c r="AF1081" s="62" t="s">
        <v>3424</v>
      </c>
      <c r="AG1081" s="53">
        <f>(0.012*1.4+0.006*2.71+ 0.1*0.925)*0.55</f>
        <v>6.9058000000000008E-2</v>
      </c>
      <c r="AH1081" s="54">
        <f>(2.5/0.75/2)*0.54</f>
        <v>0.90000000000000013</v>
      </c>
      <c r="AI1081" s="54">
        <f>(3/0.75/2)*0.55</f>
        <v>1.1000000000000001</v>
      </c>
      <c r="AJ1081" s="62">
        <v>9530</v>
      </c>
      <c r="AK1081" s="62">
        <v>9530</v>
      </c>
      <c r="AL1081" s="9" t="s">
        <v>117</v>
      </c>
      <c r="AM1081" s="61" t="s">
        <v>2065</v>
      </c>
      <c r="AN1081" s="62">
        <v>155</v>
      </c>
      <c r="AO1081" s="61" t="s">
        <v>3425</v>
      </c>
      <c r="AP1081" s="59"/>
      <c r="AQ1081" s="59"/>
      <c r="AR1081" s="59"/>
      <c r="AS1081" s="59"/>
      <c r="AT1081" s="59"/>
      <c r="AU1081" s="59"/>
      <c r="AV1081" s="59"/>
      <c r="AW1081" s="59"/>
      <c r="AX1081" s="59"/>
      <c r="AY1081" s="59"/>
      <c r="AZ1081" s="59"/>
      <c r="BA1081" s="141"/>
      <c r="BB1081" s="61" t="s">
        <v>1894</v>
      </c>
      <c r="BC1081" s="165"/>
      <c r="BD1081" s="166"/>
      <c r="BE1081" s="167"/>
      <c r="BF1081" s="168"/>
      <c r="BG1081" s="167"/>
      <c r="BH1081" s="168"/>
      <c r="BI1081" s="169"/>
      <c r="BJ1081" s="168"/>
      <c r="BK1081" s="134"/>
      <c r="BL1081" s="168"/>
      <c r="BM1081" s="167"/>
      <c r="BN1081" s="168"/>
      <c r="BO1081" s="62"/>
      <c r="BP1081" s="168"/>
      <c r="BQ1081" s="168"/>
      <c r="BR1081" s="168"/>
      <c r="BS1081" s="135"/>
      <c r="BT1081" s="176"/>
      <c r="BU1081" s="167"/>
      <c r="BV1081" s="168"/>
      <c r="BW1081" s="167"/>
      <c r="BX1081" s="168"/>
      <c r="BY1081" s="167"/>
      <c r="BZ1081" s="176"/>
      <c r="CA1081" s="167"/>
      <c r="CB1081" s="168"/>
      <c r="CC1081" s="167"/>
      <c r="CD1081" s="168"/>
      <c r="CE1081" s="62"/>
      <c r="CF1081" s="62"/>
      <c r="CG1081" s="9"/>
      <c r="CH1081" s="9"/>
      <c r="CI1081" s="9"/>
      <c r="CJ1081" s="9"/>
      <c r="CK1081" s="9"/>
      <c r="CL1081" s="9"/>
      <c r="CM1081" s="9"/>
      <c r="CN1081" s="9"/>
      <c r="CO1081" s="9"/>
      <c r="CP1081" s="9"/>
    </row>
    <row r="1082" spans="1:94" ht="45" x14ac:dyDescent="0.25">
      <c r="A1082" s="127" t="s">
        <v>3426</v>
      </c>
      <c r="B1082" s="51" t="s">
        <v>3427</v>
      </c>
      <c r="C1082" s="62"/>
      <c r="D1082" s="84">
        <v>7</v>
      </c>
      <c r="E1082" s="62" t="s">
        <v>3419</v>
      </c>
      <c r="F1082" s="62">
        <v>3</v>
      </c>
      <c r="G1082" s="62"/>
      <c r="H1082" s="50">
        <f>VLOOKUP($A1082,'[1]ma sp 02'!$A$5:$BD$1101,H$1,0)</f>
        <v>0.379</v>
      </c>
      <c r="I1082" s="50">
        <f>VLOOKUP($A1082,'[1]ma sp 02'!$A$5:$BD$1101,I$1,0)</f>
        <v>0</v>
      </c>
      <c r="J1082" s="50">
        <f>VLOOKUP($A1082,'[1]ma sp 02'!$A$5:$BD$1101,J$1,0)</f>
        <v>0</v>
      </c>
      <c r="K1082" s="50">
        <f>VLOOKUP($A1082,'[1]ma sp 02'!$A$5:$BD$1101,K$1,0)</f>
        <v>0</v>
      </c>
      <c r="L1082" s="50">
        <f>VLOOKUP($A1082,'[1]ma sp 02'!$A$5:$BD$1101,L$1,0)</f>
        <v>0</v>
      </c>
      <c r="M1082" s="50">
        <f>VLOOKUP($A1082,'[1]ma sp 02'!$A$5:$BD$1101,M$1,0)</f>
        <v>7.59</v>
      </c>
      <c r="N1082" s="50">
        <f>VLOOKUP($A1082,'[1]ma sp 02'!$A$5:$BD$1101,N$1,0)</f>
        <v>0.75900000000000001</v>
      </c>
      <c r="O1082" s="50">
        <f>VLOOKUP($A1082,'[1]ma sp 02'!$A$5:$BD$1101,O$1,0)</f>
        <v>0</v>
      </c>
      <c r="P1082" s="50">
        <f>VLOOKUP($A1082,'[1]ma sp 02'!$A$5:$BD$1101,P$1,0)</f>
        <v>0</v>
      </c>
      <c r="Q1082" s="50">
        <f>VLOOKUP($A1082,'[1]ma sp 02'!$A$5:$BD$1101,Q$1,0)</f>
        <v>0</v>
      </c>
      <c r="R1082" s="50">
        <f>VLOOKUP($A1082,'[1]ma sp 02'!$A$5:$BD$1101,R$1,0)</f>
        <v>0</v>
      </c>
      <c r="S1082" s="50">
        <f>VLOOKUP($A1082,'[1]ma sp 02'!$A$5:$BD$1101,S$1,0)</f>
        <v>0</v>
      </c>
      <c r="T1082" s="50">
        <f>VLOOKUP($A1082,'[1]ma sp 02'!$A$5:$BD$1101,T$1,0)</f>
        <v>0</v>
      </c>
      <c r="U1082" s="50">
        <f>VLOOKUP($A1082,'[1]ma sp 02'!$A$5:$BD$1101,U$1,0)</f>
        <v>0</v>
      </c>
      <c r="V1082" s="50">
        <f>VLOOKUP($A1082,'[1]ma sp 02'!$A$5:$BD$1101,V$1,0)</f>
        <v>0</v>
      </c>
      <c r="W1082" s="50">
        <f>VLOOKUP($A1082,'[1]ma sp 02'!$A$5:$BD$1101,W$1,0)</f>
        <v>0</v>
      </c>
      <c r="X1082" s="50"/>
      <c r="Y1082" s="62"/>
      <c r="Z1082" s="62"/>
      <c r="AA1082" s="62"/>
      <c r="AB1082" s="62"/>
      <c r="AC1082" s="62"/>
      <c r="AD1082" s="62"/>
      <c r="AE1082" s="62" t="s">
        <v>516</v>
      </c>
      <c r="AF1082" s="62"/>
      <c r="AG1082" s="53">
        <f>(0.04*0.91+0.025*0.91)*0.72</f>
        <v>4.2588000000000001E-2</v>
      </c>
      <c r="AH1082" s="54">
        <f>(1.4/0.75/2)*0.71</f>
        <v>0.66266666666666652</v>
      </c>
      <c r="AI1082" s="54"/>
      <c r="AJ1082" s="62" t="s">
        <v>1881</v>
      </c>
      <c r="AK1082" s="62"/>
      <c r="AL1082" s="9">
        <v>1.4E-3</v>
      </c>
      <c r="AM1082" s="61" t="s">
        <v>1489</v>
      </c>
      <c r="AN1082" s="62">
        <v>1000</v>
      </c>
      <c r="AO1082" s="61" t="s">
        <v>3420</v>
      </c>
      <c r="AP1082" s="59"/>
      <c r="AQ1082" s="59"/>
      <c r="AR1082" s="59"/>
      <c r="AS1082" s="59"/>
      <c r="AT1082" s="59"/>
      <c r="AU1082" s="59"/>
      <c r="AV1082" s="59"/>
      <c r="AW1082" s="59"/>
      <c r="AX1082" s="59"/>
      <c r="AY1082" s="59"/>
      <c r="AZ1082" s="59"/>
      <c r="BA1082" s="141"/>
      <c r="BB1082" s="61" t="s">
        <v>952</v>
      </c>
      <c r="BC1082" s="165"/>
      <c r="BD1082" s="166"/>
      <c r="BE1082" s="167"/>
      <c r="BF1082" s="168"/>
      <c r="BG1082" s="167"/>
      <c r="BH1082" s="168"/>
      <c r="BI1082" s="169"/>
      <c r="BJ1082" s="168"/>
      <c r="BK1082" s="134"/>
      <c r="BL1082" s="168"/>
      <c r="BM1082" s="167"/>
      <c r="BN1082" s="168"/>
      <c r="BO1082" s="62"/>
      <c r="BP1082" s="168"/>
      <c r="BQ1082" s="168"/>
      <c r="BR1082" s="168"/>
      <c r="BS1082" s="135"/>
      <c r="BT1082" s="176"/>
      <c r="BU1082" s="167"/>
      <c r="BV1082" s="168"/>
      <c r="BW1082" s="167"/>
      <c r="BX1082" s="168"/>
      <c r="BY1082" s="167"/>
      <c r="BZ1082" s="176"/>
      <c r="CA1082" s="167"/>
      <c r="CB1082" s="168"/>
      <c r="CC1082" s="167"/>
      <c r="CD1082" s="168"/>
      <c r="CE1082" s="62"/>
      <c r="CF1082" s="62"/>
      <c r="CG1082" s="9"/>
      <c r="CH1082" s="9"/>
      <c r="CI1082" s="9"/>
      <c r="CJ1082" s="9"/>
      <c r="CK1082" s="9"/>
      <c r="CL1082" s="9"/>
      <c r="CM1082" s="9"/>
      <c r="CN1082" s="9"/>
      <c r="CO1082" s="9"/>
      <c r="CP1082" s="9"/>
    </row>
    <row r="1083" spans="1:94" ht="45" x14ac:dyDescent="0.25">
      <c r="A1083" s="127" t="s">
        <v>3428</v>
      </c>
      <c r="B1083" s="51" t="s">
        <v>3429</v>
      </c>
      <c r="C1083" s="62"/>
      <c r="D1083" s="84">
        <v>7</v>
      </c>
      <c r="E1083" s="62" t="s">
        <v>3419</v>
      </c>
      <c r="F1083" s="62">
        <v>3</v>
      </c>
      <c r="G1083" s="62"/>
      <c r="H1083" s="50">
        <f>VLOOKUP($A1083,'[1]ma sp 02'!$A$5:$BD$1101,H$1,0)</f>
        <v>0.186</v>
      </c>
      <c r="I1083" s="50">
        <f>VLOOKUP($A1083,'[1]ma sp 02'!$A$5:$BD$1101,I$1,0)</f>
        <v>0</v>
      </c>
      <c r="J1083" s="50">
        <f>VLOOKUP($A1083,'[1]ma sp 02'!$A$5:$BD$1101,J$1,0)</f>
        <v>0</v>
      </c>
      <c r="K1083" s="50">
        <f>VLOOKUP($A1083,'[1]ma sp 02'!$A$5:$BD$1101,K$1,0)</f>
        <v>0</v>
      </c>
      <c r="L1083" s="50">
        <f>VLOOKUP($A1083,'[1]ma sp 02'!$A$5:$BD$1101,L$1,0)</f>
        <v>0</v>
      </c>
      <c r="M1083" s="50">
        <f>VLOOKUP($A1083,'[1]ma sp 02'!$A$5:$BD$1101,M$1,0)</f>
        <v>0.01</v>
      </c>
      <c r="N1083" s="50">
        <f>VLOOKUP($A1083,'[1]ma sp 02'!$A$5:$BD$1101,N$1,0)</f>
        <v>1.956</v>
      </c>
      <c r="O1083" s="50">
        <f>VLOOKUP($A1083,'[1]ma sp 02'!$A$5:$BD$1101,O$1,0)</f>
        <v>0</v>
      </c>
      <c r="P1083" s="50">
        <f>VLOOKUP($A1083,'[1]ma sp 02'!$A$5:$BD$1101,P$1,0)</f>
        <v>1.49</v>
      </c>
      <c r="Q1083" s="50">
        <f>VLOOKUP($A1083,'[1]ma sp 02'!$A$5:$BD$1101,Q$1,0)</f>
        <v>0</v>
      </c>
      <c r="R1083" s="50">
        <f>VLOOKUP($A1083,'[1]ma sp 02'!$A$5:$BD$1101,R$1,0)</f>
        <v>0</v>
      </c>
      <c r="S1083" s="50">
        <f>VLOOKUP($A1083,'[1]ma sp 02'!$A$5:$BD$1101,S$1,0)</f>
        <v>0</v>
      </c>
      <c r="T1083" s="50">
        <f>VLOOKUP($A1083,'[1]ma sp 02'!$A$5:$BD$1101,T$1,0)</f>
        <v>0</v>
      </c>
      <c r="U1083" s="50">
        <f>VLOOKUP($A1083,'[1]ma sp 02'!$A$5:$BD$1101,U$1,0)</f>
        <v>0</v>
      </c>
      <c r="V1083" s="50">
        <f>VLOOKUP($A1083,'[1]ma sp 02'!$A$5:$BD$1101,V$1,0)</f>
        <v>0</v>
      </c>
      <c r="W1083" s="50">
        <f>VLOOKUP($A1083,'[1]ma sp 02'!$A$5:$BD$1101,W$1,0)</f>
        <v>0</v>
      </c>
      <c r="X1083" s="50"/>
      <c r="Y1083" s="62"/>
      <c r="Z1083" s="62"/>
      <c r="AA1083" s="62"/>
      <c r="AB1083" s="62"/>
      <c r="AC1083" s="62"/>
      <c r="AD1083" s="62"/>
      <c r="AE1083" s="62" t="s">
        <v>516</v>
      </c>
      <c r="AF1083" s="62"/>
      <c r="AG1083" s="53">
        <f>(0.04*0.91+0.025*0.91)*0.72</f>
        <v>4.2588000000000001E-2</v>
      </c>
      <c r="AH1083" s="54">
        <f>(1.4/0.75/2)*0.71</f>
        <v>0.66266666666666652</v>
      </c>
      <c r="AI1083" s="54"/>
      <c r="AJ1083" s="62" t="s">
        <v>1881</v>
      </c>
      <c r="AK1083" s="62"/>
      <c r="AL1083" s="9">
        <v>1.4E-3</v>
      </c>
      <c r="AM1083" s="61" t="s">
        <v>1489</v>
      </c>
      <c r="AN1083" s="62">
        <v>1000</v>
      </c>
      <c r="AO1083" s="61" t="s">
        <v>3420</v>
      </c>
      <c r="AP1083" s="59"/>
      <c r="AQ1083" s="59"/>
      <c r="AR1083" s="59"/>
      <c r="AS1083" s="59"/>
      <c r="AT1083" s="59"/>
      <c r="AU1083" s="59"/>
      <c r="AV1083" s="59"/>
      <c r="AW1083" s="59"/>
      <c r="AX1083" s="59"/>
      <c r="AY1083" s="59"/>
      <c r="AZ1083" s="59"/>
      <c r="BA1083" s="141"/>
      <c r="BB1083" s="61"/>
      <c r="BC1083" s="165"/>
      <c r="BD1083" s="166"/>
      <c r="BE1083" s="167"/>
      <c r="BF1083" s="168"/>
      <c r="BG1083" s="167"/>
      <c r="BH1083" s="168"/>
      <c r="BI1083" s="169"/>
      <c r="BJ1083" s="168"/>
      <c r="BK1083" s="134"/>
      <c r="BL1083" s="168"/>
      <c r="BM1083" s="167"/>
      <c r="BN1083" s="168"/>
      <c r="BO1083" s="62"/>
      <c r="BP1083" s="168"/>
      <c r="BQ1083" s="168"/>
      <c r="BR1083" s="168"/>
      <c r="BS1083" s="135"/>
      <c r="BT1083" s="176"/>
      <c r="BU1083" s="167"/>
      <c r="BV1083" s="168"/>
      <c r="BW1083" s="167"/>
      <c r="BX1083" s="168"/>
      <c r="BY1083" s="167"/>
      <c r="BZ1083" s="176"/>
      <c r="CA1083" s="167"/>
      <c r="CB1083" s="168"/>
      <c r="CC1083" s="167"/>
      <c r="CD1083" s="168"/>
      <c r="CE1083" s="62"/>
      <c r="CF1083" s="62"/>
      <c r="CG1083" s="9"/>
      <c r="CH1083" s="9"/>
      <c r="CI1083" s="9"/>
      <c r="CJ1083" s="9"/>
      <c r="CK1083" s="9"/>
      <c r="CL1083" s="9"/>
      <c r="CM1083" s="9"/>
      <c r="CN1083" s="9"/>
      <c r="CO1083" s="9"/>
      <c r="CP1083" s="9"/>
    </row>
    <row r="1084" spans="1:94" ht="45" x14ac:dyDescent="0.25">
      <c r="A1084" s="127" t="s">
        <v>3430</v>
      </c>
      <c r="B1084" s="51" t="s">
        <v>3431</v>
      </c>
      <c r="C1084" s="62"/>
      <c r="D1084" s="84">
        <v>1</v>
      </c>
      <c r="E1084" s="62" t="s">
        <v>3385</v>
      </c>
      <c r="F1084" s="62">
        <v>6</v>
      </c>
      <c r="G1084" s="62"/>
      <c r="H1084" s="50">
        <f>VLOOKUP($A1084,'[1]ma sp 02'!$A$5:$BD$1101,H$1,0)</f>
        <v>0.09</v>
      </c>
      <c r="I1084" s="50">
        <f>VLOOKUP($A1084,'[1]ma sp 02'!$A$5:$BD$1101,I$1,0)</f>
        <v>0</v>
      </c>
      <c r="J1084" s="50">
        <f>VLOOKUP($A1084,'[1]ma sp 02'!$A$5:$BD$1101,J$1,0)</f>
        <v>0.13500000000000001</v>
      </c>
      <c r="K1084" s="50">
        <f>VLOOKUP($A1084,'[1]ma sp 02'!$A$5:$BD$1101,K$1,0)</f>
        <v>0.01</v>
      </c>
      <c r="L1084" s="50">
        <f>VLOOKUP($A1084,'[1]ma sp 02'!$A$5:$BD$1101,L$1,0)</f>
        <v>0.36099999999999999</v>
      </c>
      <c r="M1084" s="50">
        <f>VLOOKUP($A1084,'[1]ma sp 02'!$A$5:$BD$1101,M$1,0)</f>
        <v>0</v>
      </c>
      <c r="N1084" s="50">
        <f>VLOOKUP($A1084,'[1]ma sp 02'!$A$5:$BD$1101,N$1,0)</f>
        <v>0</v>
      </c>
      <c r="O1084" s="50">
        <f>VLOOKUP($A1084,'[1]ma sp 02'!$A$5:$BD$1101,O$1,0)</f>
        <v>0</v>
      </c>
      <c r="P1084" s="50">
        <f>VLOOKUP($A1084,'[1]ma sp 02'!$A$5:$BD$1101,P$1,0)</f>
        <v>0.63100000000000001</v>
      </c>
      <c r="Q1084" s="50">
        <f>VLOOKUP($A1084,'[1]ma sp 02'!$A$5:$BD$1101,Q$1,0)</f>
        <v>0</v>
      </c>
      <c r="R1084" s="50">
        <f>VLOOKUP($A1084,'[1]ma sp 02'!$A$5:$BD$1101,R$1,0)</f>
        <v>0</v>
      </c>
      <c r="S1084" s="50">
        <f>VLOOKUP($A1084,'[1]ma sp 02'!$A$5:$BD$1101,S$1,0)</f>
        <v>0.13500000000000001</v>
      </c>
      <c r="T1084" s="50">
        <f>VLOOKUP($A1084,'[1]ma sp 02'!$A$5:$BD$1101,T$1,0)</f>
        <v>0</v>
      </c>
      <c r="U1084" s="50">
        <f>VLOOKUP($A1084,'[1]ma sp 02'!$A$5:$BD$1101,U$1,0)</f>
        <v>0</v>
      </c>
      <c r="V1084" s="50">
        <f>VLOOKUP($A1084,'[1]ma sp 02'!$A$5:$BD$1101,V$1,0)</f>
        <v>0</v>
      </c>
      <c r="W1084" s="50">
        <f>VLOOKUP($A1084,'[1]ma sp 02'!$A$5:$BD$1101,W$1,0)</f>
        <v>0</v>
      </c>
      <c r="X1084" s="50"/>
      <c r="Y1084" s="62"/>
      <c r="Z1084" s="62"/>
      <c r="AA1084" s="62"/>
      <c r="AB1084" s="62"/>
      <c r="AC1084" s="62"/>
      <c r="AD1084" s="62"/>
      <c r="AE1084" s="62" t="s">
        <v>3386</v>
      </c>
      <c r="AF1084" s="61" t="s">
        <v>3387</v>
      </c>
      <c r="AG1084" s="53">
        <f>(0.02*0.91+0.0064+0.015*1.15+0.05*0.94)*0.978</f>
        <v>8.6895299999999995E-2</v>
      </c>
      <c r="AH1084" s="54">
        <f>(4/0.75/2)*0.978</f>
        <v>2.6079999999999997</v>
      </c>
      <c r="AI1084" s="54">
        <f>(4/0.75/2)*0.978</f>
        <v>2.6079999999999997</v>
      </c>
      <c r="AJ1084" s="62">
        <v>9530</v>
      </c>
      <c r="AK1084" s="62">
        <v>9530</v>
      </c>
      <c r="AL1084" s="9" t="s">
        <v>3388</v>
      </c>
      <c r="AM1084" s="61" t="s">
        <v>1489</v>
      </c>
      <c r="AN1084" s="62">
        <v>200</v>
      </c>
      <c r="AO1084" s="61" t="s">
        <v>3389</v>
      </c>
      <c r="AP1084" s="59"/>
      <c r="AQ1084" s="59"/>
      <c r="AR1084" s="59"/>
      <c r="AS1084" s="59"/>
      <c r="AT1084" s="59"/>
      <c r="AU1084" s="59"/>
      <c r="AV1084" s="59"/>
      <c r="AW1084" s="59"/>
      <c r="AX1084" s="59"/>
      <c r="AY1084" s="59"/>
      <c r="AZ1084" s="59"/>
      <c r="BA1084" s="141"/>
      <c r="BB1084" s="61" t="s">
        <v>952</v>
      </c>
      <c r="BC1084" s="165"/>
      <c r="BD1084" s="166"/>
      <c r="BE1084" s="167"/>
      <c r="BF1084" s="168"/>
      <c r="BG1084" s="167"/>
      <c r="BH1084" s="168"/>
      <c r="BI1084" s="169"/>
      <c r="BJ1084" s="168"/>
      <c r="BK1084" s="134"/>
      <c r="BL1084" s="168"/>
      <c r="BM1084" s="167"/>
      <c r="BN1084" s="168"/>
      <c r="BO1084" s="62"/>
      <c r="BP1084" s="168"/>
      <c r="BQ1084" s="168"/>
      <c r="BR1084" s="168"/>
      <c r="BS1084" s="135"/>
      <c r="BT1084" s="176"/>
      <c r="BU1084" s="167"/>
      <c r="BV1084" s="168"/>
      <c r="BW1084" s="167"/>
      <c r="BX1084" s="168"/>
      <c r="BY1084" s="167"/>
      <c r="BZ1084" s="176"/>
      <c r="CA1084" s="167"/>
      <c r="CB1084" s="168"/>
      <c r="CC1084" s="167"/>
      <c r="CD1084" s="168"/>
      <c r="CE1084" s="62"/>
      <c r="CF1084" s="62"/>
      <c r="CG1084" s="9"/>
      <c r="CH1084" s="9"/>
      <c r="CI1084" s="9"/>
      <c r="CJ1084" s="9"/>
      <c r="CK1084" s="9"/>
      <c r="CL1084" s="9"/>
      <c r="CM1084" s="9"/>
      <c r="CN1084" s="9"/>
      <c r="CO1084" s="9"/>
      <c r="CP1084" s="9"/>
    </row>
    <row r="1085" spans="1:94" ht="45" x14ac:dyDescent="0.25">
      <c r="A1085" s="127" t="s">
        <v>3432</v>
      </c>
      <c r="B1085" s="51" t="s">
        <v>3433</v>
      </c>
      <c r="C1085" s="62"/>
      <c r="D1085" s="84">
        <v>1</v>
      </c>
      <c r="E1085" s="62" t="s">
        <v>3385</v>
      </c>
      <c r="F1085" s="62">
        <v>6</v>
      </c>
      <c r="G1085" s="62"/>
      <c r="H1085" s="50">
        <f>VLOOKUP($A1085,'[1]ma sp 02'!$A$5:$BD$1101,H$1,0)</f>
        <v>0</v>
      </c>
      <c r="I1085" s="50">
        <f>VLOOKUP($A1085,'[1]ma sp 02'!$A$5:$BD$1101,I$1,0)</f>
        <v>0</v>
      </c>
      <c r="J1085" s="50">
        <f>VLOOKUP($A1085,'[1]ma sp 02'!$A$5:$BD$1101,J$1,0)</f>
        <v>0.01</v>
      </c>
      <c r="K1085" s="50">
        <f>VLOOKUP($A1085,'[1]ma sp 02'!$A$5:$BD$1101,K$1,0)</f>
        <v>0.01</v>
      </c>
      <c r="L1085" s="50">
        <f>VLOOKUP($A1085,'[1]ma sp 02'!$A$5:$BD$1101,L$1,0)</f>
        <v>0.78500000000000003</v>
      </c>
      <c r="M1085" s="50">
        <f>VLOOKUP($A1085,'[1]ma sp 02'!$A$5:$BD$1101,M$1,0)</f>
        <v>0.27700000000000002</v>
      </c>
      <c r="N1085" s="50">
        <f>VLOOKUP($A1085,'[1]ma sp 02'!$A$5:$BD$1101,N$1,0)</f>
        <v>0.46200000000000002</v>
      </c>
      <c r="O1085" s="50">
        <f>VLOOKUP($A1085,'[1]ma sp 02'!$A$5:$BD$1101,O$1,0)</f>
        <v>0</v>
      </c>
      <c r="P1085" s="50">
        <f>VLOOKUP($A1085,'[1]ma sp 02'!$A$5:$BD$1101,P$1,0)</f>
        <v>0.64600000000000002</v>
      </c>
      <c r="Q1085" s="50">
        <f>VLOOKUP($A1085,'[1]ma sp 02'!$A$5:$BD$1101,Q$1,0)</f>
        <v>0</v>
      </c>
      <c r="R1085" s="50">
        <f>VLOOKUP($A1085,'[1]ma sp 02'!$A$5:$BD$1101,R$1,0)</f>
        <v>0</v>
      </c>
      <c r="S1085" s="50">
        <f>VLOOKUP($A1085,'[1]ma sp 02'!$A$5:$BD$1101,S$1,0)</f>
        <v>0.01</v>
      </c>
      <c r="T1085" s="50">
        <f>VLOOKUP($A1085,'[1]ma sp 02'!$A$5:$BD$1101,T$1,0)</f>
        <v>0</v>
      </c>
      <c r="U1085" s="50">
        <f>VLOOKUP($A1085,'[1]ma sp 02'!$A$5:$BD$1101,U$1,0)</f>
        <v>0</v>
      </c>
      <c r="V1085" s="50">
        <f>VLOOKUP($A1085,'[1]ma sp 02'!$A$5:$BD$1101,V$1,0)</f>
        <v>0</v>
      </c>
      <c r="W1085" s="50">
        <f>VLOOKUP($A1085,'[1]ma sp 02'!$A$5:$BD$1101,W$1,0)</f>
        <v>0</v>
      </c>
      <c r="X1085" s="50"/>
      <c r="Y1085" s="62"/>
      <c r="Z1085" s="62"/>
      <c r="AA1085" s="62"/>
      <c r="AB1085" s="62"/>
      <c r="AC1085" s="62"/>
      <c r="AD1085" s="62"/>
      <c r="AE1085" s="62" t="s">
        <v>3386</v>
      </c>
      <c r="AF1085" s="61" t="s">
        <v>3387</v>
      </c>
      <c r="AG1085" s="53">
        <f>(0.02*0.91+0.0064+0.015*1.15+0.05*0.94)*0.978</f>
        <v>8.6895299999999995E-2</v>
      </c>
      <c r="AH1085" s="54">
        <f>(4/0.75/2)*0.978</f>
        <v>2.6079999999999997</v>
      </c>
      <c r="AI1085" s="54">
        <f>(4/0.75/2)*0.978</f>
        <v>2.6079999999999997</v>
      </c>
      <c r="AJ1085" s="62">
        <v>9530</v>
      </c>
      <c r="AK1085" s="62">
        <v>9530</v>
      </c>
      <c r="AL1085" s="9" t="s">
        <v>3388</v>
      </c>
      <c r="AM1085" s="61" t="s">
        <v>1489</v>
      </c>
      <c r="AN1085" s="62">
        <v>200</v>
      </c>
      <c r="AO1085" s="61" t="s">
        <v>3389</v>
      </c>
      <c r="AP1085" s="59"/>
      <c r="AQ1085" s="59"/>
      <c r="AR1085" s="59"/>
      <c r="AS1085" s="59"/>
      <c r="AT1085" s="59"/>
      <c r="AU1085" s="59"/>
      <c r="AV1085" s="59"/>
      <c r="AW1085" s="59"/>
      <c r="AX1085" s="59"/>
      <c r="AY1085" s="59"/>
      <c r="AZ1085" s="59"/>
      <c r="BA1085" s="141"/>
      <c r="BB1085" s="61" t="s">
        <v>952</v>
      </c>
      <c r="BC1085" s="165"/>
      <c r="BD1085" s="166"/>
      <c r="BE1085" s="167"/>
      <c r="BF1085" s="168"/>
      <c r="BG1085" s="167"/>
      <c r="BH1085" s="168"/>
      <c r="BI1085" s="169"/>
      <c r="BJ1085" s="168"/>
      <c r="BK1085" s="134"/>
      <c r="BL1085" s="168"/>
      <c r="BM1085" s="167"/>
      <c r="BN1085" s="168"/>
      <c r="BO1085" s="62"/>
      <c r="BP1085" s="168"/>
      <c r="BQ1085" s="168"/>
      <c r="BR1085" s="168"/>
      <c r="BS1085" s="135"/>
      <c r="BT1085" s="176"/>
      <c r="BU1085" s="167"/>
      <c r="BV1085" s="168"/>
      <c r="BW1085" s="167"/>
      <c r="BX1085" s="168"/>
      <c r="BY1085" s="167"/>
      <c r="BZ1085" s="176"/>
      <c r="CA1085" s="167"/>
      <c r="CB1085" s="168"/>
      <c r="CC1085" s="167"/>
      <c r="CD1085" s="168"/>
      <c r="CE1085" s="62"/>
      <c r="CF1085" s="62"/>
      <c r="CG1085" s="9"/>
      <c r="CH1085" s="9"/>
      <c r="CI1085" s="9"/>
      <c r="CJ1085" s="9"/>
      <c r="CK1085" s="9"/>
      <c r="CL1085" s="9"/>
      <c r="CM1085" s="9"/>
      <c r="CN1085" s="9"/>
      <c r="CO1085" s="9"/>
      <c r="CP1085" s="9"/>
    </row>
    <row r="1086" spans="1:94" ht="45" x14ac:dyDescent="0.25">
      <c r="A1086" s="127" t="s">
        <v>3434</v>
      </c>
      <c r="B1086" s="51" t="s">
        <v>3435</v>
      </c>
      <c r="C1086" s="62"/>
      <c r="D1086" s="84">
        <v>7</v>
      </c>
      <c r="E1086" s="62" t="s">
        <v>3436</v>
      </c>
      <c r="F1086" s="62">
        <v>1</v>
      </c>
      <c r="G1086" s="62"/>
      <c r="H1086" s="50">
        <f>VLOOKUP($A1086,'[1]ma sp 02'!$A$5:$BD$1101,H$1,0)</f>
        <v>0.35</v>
      </c>
      <c r="I1086" s="50">
        <f>VLOOKUP($A1086,'[1]ma sp 02'!$A$5:$BD$1101,I$1,0)</f>
        <v>0</v>
      </c>
      <c r="J1086" s="50">
        <f>VLOOKUP($A1086,'[1]ma sp 02'!$A$5:$BD$1101,J$1,0)</f>
        <v>0</v>
      </c>
      <c r="K1086" s="50">
        <f>VLOOKUP($A1086,'[1]ma sp 02'!$A$5:$BD$1101,K$1,0)</f>
        <v>0</v>
      </c>
      <c r="L1086" s="50">
        <f>VLOOKUP($A1086,'[1]ma sp 02'!$A$5:$BD$1101,L$1,0)</f>
        <v>0</v>
      </c>
      <c r="M1086" s="50">
        <f>VLOOKUP($A1086,'[1]ma sp 02'!$A$5:$BD$1101,M$1,0)</f>
        <v>0</v>
      </c>
      <c r="N1086" s="50">
        <f>VLOOKUP($A1086,'[1]ma sp 02'!$A$5:$BD$1101,N$1,0)</f>
        <v>0</v>
      </c>
      <c r="O1086" s="50">
        <f>VLOOKUP($A1086,'[1]ma sp 02'!$A$5:$BD$1101,O$1,0)</f>
        <v>0</v>
      </c>
      <c r="P1086" s="50">
        <f>VLOOKUP($A1086,'[1]ma sp 02'!$A$5:$BD$1101,P$1,0)</f>
        <v>0</v>
      </c>
      <c r="Q1086" s="50">
        <f>VLOOKUP($A1086,'[1]ma sp 02'!$A$5:$BD$1101,Q$1,0)</f>
        <v>0</v>
      </c>
      <c r="R1086" s="50">
        <f>VLOOKUP($A1086,'[1]ma sp 02'!$A$5:$BD$1101,R$1,0)</f>
        <v>0</v>
      </c>
      <c r="S1086" s="50">
        <f>VLOOKUP($A1086,'[1]ma sp 02'!$A$5:$BD$1101,S$1,0)</f>
        <v>0</v>
      </c>
      <c r="T1086" s="50">
        <f>VLOOKUP($A1086,'[1]ma sp 02'!$A$5:$BD$1101,T$1,0)</f>
        <v>0</v>
      </c>
      <c r="U1086" s="50">
        <f>VLOOKUP($A1086,'[1]ma sp 02'!$A$5:$BD$1101,U$1,0)</f>
        <v>0</v>
      </c>
      <c r="V1086" s="50">
        <f>VLOOKUP($A1086,'[1]ma sp 02'!$A$5:$BD$1101,V$1,0)</f>
        <v>0</v>
      </c>
      <c r="W1086" s="50">
        <f>VLOOKUP($A1086,'[1]ma sp 02'!$A$5:$BD$1101,W$1,0)</f>
        <v>0</v>
      </c>
      <c r="X1086" s="50"/>
      <c r="Y1086" s="62"/>
      <c r="Z1086" s="62"/>
      <c r="AA1086" s="62"/>
      <c r="AB1086" s="62"/>
      <c r="AC1086" s="62"/>
      <c r="AD1086" s="62"/>
      <c r="AE1086" s="62"/>
      <c r="AF1086" s="62"/>
      <c r="AG1086" s="53"/>
      <c r="AH1086" s="54"/>
      <c r="AI1086" s="54"/>
      <c r="AJ1086" s="62"/>
      <c r="AK1086" s="62"/>
      <c r="AL1086" s="9"/>
      <c r="AM1086" s="61" t="s">
        <v>1489</v>
      </c>
      <c r="AN1086" s="62">
        <v>75</v>
      </c>
      <c r="AO1086" s="61" t="s">
        <v>3437</v>
      </c>
      <c r="AP1086" s="59"/>
      <c r="AQ1086" s="59"/>
      <c r="AR1086" s="59"/>
      <c r="AS1086" s="59"/>
      <c r="AT1086" s="59"/>
      <c r="AU1086" s="59"/>
      <c r="AV1086" s="59"/>
      <c r="AW1086" s="59"/>
      <c r="AX1086" s="59"/>
      <c r="AY1086" s="59"/>
      <c r="AZ1086" s="59"/>
      <c r="BA1086" s="141"/>
      <c r="BB1086" s="61" t="s">
        <v>952</v>
      </c>
      <c r="BC1086" s="165"/>
      <c r="BD1086" s="166"/>
      <c r="BE1086" s="167"/>
      <c r="BF1086" s="168"/>
      <c r="BG1086" s="167"/>
      <c r="BH1086" s="168"/>
      <c r="BI1086" s="169"/>
      <c r="BJ1086" s="168"/>
      <c r="BK1086" s="134"/>
      <c r="BL1086" s="168"/>
      <c r="BM1086" s="167"/>
      <c r="BN1086" s="168"/>
      <c r="BO1086" s="62"/>
      <c r="BP1086" s="168"/>
      <c r="BQ1086" s="168"/>
      <c r="BR1086" s="168"/>
      <c r="BS1086" s="135"/>
      <c r="BT1086" s="176"/>
      <c r="BU1086" s="167"/>
      <c r="BV1086" s="168"/>
      <c r="BW1086" s="167"/>
      <c r="BX1086" s="168"/>
      <c r="BY1086" s="167"/>
      <c r="BZ1086" s="176"/>
      <c r="CA1086" s="167"/>
      <c r="CB1086" s="168"/>
      <c r="CC1086" s="167"/>
      <c r="CD1086" s="168"/>
      <c r="CE1086" s="62"/>
      <c r="CF1086" s="62"/>
      <c r="CG1086" s="9"/>
      <c r="CH1086" s="9"/>
      <c r="CI1086" s="9"/>
      <c r="CJ1086" s="9"/>
      <c r="CK1086" s="9"/>
      <c r="CL1086" s="9"/>
      <c r="CM1086" s="9"/>
      <c r="CN1086" s="9"/>
      <c r="CO1086" s="9"/>
      <c r="CP1086" s="9"/>
    </row>
    <row r="1087" spans="1:94" ht="60" x14ac:dyDescent="0.25">
      <c r="A1087" s="127" t="s">
        <v>3438</v>
      </c>
      <c r="B1087" s="51" t="s">
        <v>3439</v>
      </c>
      <c r="C1087" s="62"/>
      <c r="D1087" s="84">
        <v>1</v>
      </c>
      <c r="E1087" s="62" t="s">
        <v>3440</v>
      </c>
      <c r="F1087" s="62">
        <v>5</v>
      </c>
      <c r="G1087" s="62"/>
      <c r="H1087" s="50">
        <f>VLOOKUP($A1087,'[1]ma sp 02'!$A$5:$BD$1101,H$1,0)</f>
        <v>0.31900000000000001</v>
      </c>
      <c r="I1087" s="50">
        <f>VLOOKUP($A1087,'[1]ma sp 02'!$A$5:$BD$1101,I$1,0)</f>
        <v>0</v>
      </c>
      <c r="J1087" s="50">
        <f>VLOOKUP($A1087,'[1]ma sp 02'!$A$5:$BD$1101,J$1,0)</f>
        <v>1.3819999999999999</v>
      </c>
      <c r="K1087" s="50">
        <f>VLOOKUP($A1087,'[1]ma sp 02'!$A$5:$BD$1101,K$1,0)</f>
        <v>0</v>
      </c>
      <c r="L1087" s="50">
        <f>VLOOKUP($A1087,'[1]ma sp 02'!$A$5:$BD$1101,L$1,0)</f>
        <v>0.31900000000000001</v>
      </c>
      <c r="M1087" s="50">
        <f>VLOOKUP($A1087,'[1]ma sp 02'!$A$5:$BD$1101,M$1,0)</f>
        <v>0</v>
      </c>
      <c r="N1087" s="50">
        <f>VLOOKUP($A1087,'[1]ma sp 02'!$A$5:$BD$1101,N$1,0)</f>
        <v>0</v>
      </c>
      <c r="O1087" s="50">
        <f>VLOOKUP($A1087,'[1]ma sp 02'!$A$5:$BD$1101,O$1,0)</f>
        <v>0</v>
      </c>
      <c r="P1087" s="50">
        <f>VLOOKUP($A1087,'[1]ma sp 02'!$A$5:$BD$1101,P$1,0)</f>
        <v>0</v>
      </c>
      <c r="Q1087" s="50">
        <f>VLOOKUP($A1087,'[1]ma sp 02'!$A$5:$BD$1101,Q$1,0)</f>
        <v>0</v>
      </c>
      <c r="R1087" s="50">
        <f>VLOOKUP($A1087,'[1]ma sp 02'!$A$5:$BD$1101,R$1,0)</f>
        <v>0.85</v>
      </c>
      <c r="S1087" s="50">
        <f>VLOOKUP($A1087,'[1]ma sp 02'!$A$5:$BD$1101,S$1,0)</f>
        <v>0</v>
      </c>
      <c r="T1087" s="50">
        <f>VLOOKUP($A1087,'[1]ma sp 02'!$A$5:$BD$1101,T$1,0)</f>
        <v>0</v>
      </c>
      <c r="U1087" s="50">
        <f>VLOOKUP($A1087,'[1]ma sp 02'!$A$5:$BD$1101,U$1,0)</f>
        <v>0</v>
      </c>
      <c r="V1087" s="50">
        <f>VLOOKUP($A1087,'[1]ma sp 02'!$A$5:$BD$1101,V$1,0)</f>
        <v>0</v>
      </c>
      <c r="W1087" s="50">
        <f>VLOOKUP($A1087,'[1]ma sp 02'!$A$5:$BD$1101,W$1,0)</f>
        <v>0</v>
      </c>
      <c r="X1087" s="50"/>
      <c r="Y1087" s="62"/>
      <c r="Z1087" s="62"/>
      <c r="AA1087" s="62"/>
      <c r="AB1087" s="62"/>
      <c r="AC1087" s="62"/>
      <c r="AD1087" s="62"/>
      <c r="AE1087" s="62" t="s">
        <v>3441</v>
      </c>
      <c r="AF1087" s="62"/>
      <c r="AG1087" s="53">
        <f>(0.03*0.91+0.08*0.94)*0.635</f>
        <v>6.5087500000000006E-2</v>
      </c>
      <c r="AH1087" s="54">
        <f>(3/0.75/2)*0.625</f>
        <v>1.25</v>
      </c>
      <c r="AI1087" s="54"/>
      <c r="AJ1087" s="62">
        <v>6260</v>
      </c>
      <c r="AK1087" s="62"/>
      <c r="AL1087" s="9">
        <v>3.0000000000000001E-3</v>
      </c>
      <c r="AM1087" s="61" t="s">
        <v>3442</v>
      </c>
      <c r="AN1087" s="62">
        <v>220</v>
      </c>
      <c r="AO1087" s="61" t="s">
        <v>3437</v>
      </c>
      <c r="AP1087" s="59"/>
      <c r="AQ1087" s="59"/>
      <c r="AR1087" s="59"/>
      <c r="AS1087" s="59"/>
      <c r="AT1087" s="59"/>
      <c r="AU1087" s="59"/>
      <c r="AV1087" s="59"/>
      <c r="AW1087" s="59"/>
      <c r="AX1087" s="59"/>
      <c r="AY1087" s="59"/>
      <c r="AZ1087" s="59"/>
      <c r="BA1087" s="141"/>
      <c r="BB1087" s="61" t="s">
        <v>1894</v>
      </c>
      <c r="BC1087" s="165"/>
      <c r="BD1087" s="166"/>
      <c r="BE1087" s="167"/>
      <c r="BF1087" s="168"/>
      <c r="BG1087" s="167"/>
      <c r="BH1087" s="168"/>
      <c r="BI1087" s="169"/>
      <c r="BJ1087" s="168"/>
      <c r="BK1087" s="134"/>
      <c r="BL1087" s="168"/>
      <c r="BM1087" s="167"/>
      <c r="BN1087" s="168"/>
      <c r="BO1087" s="62"/>
      <c r="BP1087" s="168"/>
      <c r="BQ1087" s="168"/>
      <c r="BR1087" s="168"/>
      <c r="BS1087" s="135"/>
      <c r="BT1087" s="176"/>
      <c r="BU1087" s="167"/>
      <c r="BV1087" s="168"/>
      <c r="BW1087" s="167"/>
      <c r="BX1087" s="168"/>
      <c r="BY1087" s="167"/>
      <c r="BZ1087" s="176"/>
      <c r="CA1087" s="167"/>
      <c r="CB1087" s="168"/>
      <c r="CC1087" s="167"/>
      <c r="CD1087" s="168"/>
      <c r="CE1087" s="62"/>
      <c r="CF1087" s="62"/>
      <c r="CG1087" s="9"/>
      <c r="CH1087" s="9"/>
      <c r="CI1087" s="9"/>
      <c r="CJ1087" s="9"/>
      <c r="CK1087" s="9"/>
      <c r="CL1087" s="9"/>
      <c r="CM1087" s="9"/>
      <c r="CN1087" s="9"/>
      <c r="CO1087" s="9"/>
      <c r="CP1087" s="9"/>
    </row>
    <row r="1088" spans="1:94" ht="30" x14ac:dyDescent="0.25">
      <c r="A1088" s="127" t="s">
        <v>3443</v>
      </c>
      <c r="B1088" s="51" t="s">
        <v>3444</v>
      </c>
      <c r="C1088" s="62"/>
      <c r="D1088" s="84">
        <v>3</v>
      </c>
      <c r="E1088" s="62" t="s">
        <v>3445</v>
      </c>
      <c r="F1088" s="62">
        <v>3</v>
      </c>
      <c r="G1088" s="62"/>
      <c r="H1088" s="50">
        <f>VLOOKUP($A1088,'[1]ma sp 02'!$A$5:$BD$1101,H$1,0)</f>
        <v>0</v>
      </c>
      <c r="I1088" s="50">
        <f>VLOOKUP($A1088,'[1]ma sp 02'!$A$5:$BD$1101,I$1,0)</f>
        <v>0</v>
      </c>
      <c r="J1088" s="50">
        <f>VLOOKUP($A1088,'[1]ma sp 02'!$A$5:$BD$1101,J$1,0)</f>
        <v>0</v>
      </c>
      <c r="K1088" s="50">
        <f>VLOOKUP($A1088,'[1]ma sp 02'!$A$5:$BD$1101,K$1,0)</f>
        <v>0</v>
      </c>
      <c r="L1088" s="50">
        <f>VLOOKUP($A1088,'[1]ma sp 02'!$A$5:$BD$1101,L$1,0)</f>
        <v>0</v>
      </c>
      <c r="M1088" s="50">
        <f>VLOOKUP($A1088,'[1]ma sp 02'!$A$5:$BD$1101,M$1,0)</f>
        <v>0</v>
      </c>
      <c r="N1088" s="50">
        <f>VLOOKUP($A1088,'[1]ma sp 02'!$A$5:$BD$1101,N$1,0)</f>
        <v>0</v>
      </c>
      <c r="O1088" s="50">
        <f>VLOOKUP($A1088,'[1]ma sp 02'!$A$5:$BD$1101,O$1,0)</f>
        <v>0</v>
      </c>
      <c r="P1088" s="50">
        <f>VLOOKUP($A1088,'[1]ma sp 02'!$A$5:$BD$1101,P$1,0)</f>
        <v>0</v>
      </c>
      <c r="Q1088" s="50">
        <f>VLOOKUP($A1088,'[1]ma sp 02'!$A$5:$BD$1101,Q$1,0)</f>
        <v>0</v>
      </c>
      <c r="R1088" s="50">
        <f>VLOOKUP($A1088,'[1]ma sp 02'!$A$5:$BD$1101,R$1,0)</f>
        <v>0</v>
      </c>
      <c r="S1088" s="50">
        <f>VLOOKUP($A1088,'[1]ma sp 02'!$A$5:$BD$1101,S$1,0)</f>
        <v>0</v>
      </c>
      <c r="T1088" s="50">
        <f>VLOOKUP($A1088,'[1]ma sp 02'!$A$5:$BD$1101,T$1,0)</f>
        <v>0</v>
      </c>
      <c r="U1088" s="50">
        <f>VLOOKUP($A1088,'[1]ma sp 02'!$A$5:$BD$1101,U$1,0)</f>
        <v>0</v>
      </c>
      <c r="V1088" s="50">
        <f>VLOOKUP($A1088,'[1]ma sp 02'!$A$5:$BD$1101,V$1,0)</f>
        <v>0</v>
      </c>
      <c r="W1088" s="50">
        <f>VLOOKUP($A1088,'[1]ma sp 02'!$A$5:$BD$1101,W$1,0)</f>
        <v>0</v>
      </c>
      <c r="X1088" s="50"/>
      <c r="Y1088" s="62"/>
      <c r="Z1088" s="62"/>
      <c r="AA1088" s="62"/>
      <c r="AB1088" s="62"/>
      <c r="AC1088" s="62"/>
      <c r="AD1088" s="62"/>
      <c r="AE1088" s="62" t="s">
        <v>3446</v>
      </c>
      <c r="AF1088" s="62"/>
      <c r="AG1088" s="53">
        <f>(0.02*0.91+0.06*0.925)*0.788</f>
        <v>5.8075600000000005E-2</v>
      </c>
      <c r="AH1088" s="54">
        <f>(2.3/0.75/2)*0.788</f>
        <v>1.2082666666666666</v>
      </c>
      <c r="AI1088" s="54"/>
      <c r="AJ1088" s="62">
        <v>9530</v>
      </c>
      <c r="AK1088" s="62"/>
      <c r="AL1088" s="9">
        <v>2.3E-3</v>
      </c>
      <c r="AM1088" s="61" t="s">
        <v>3447</v>
      </c>
      <c r="AN1088" s="62">
        <v>170</v>
      </c>
      <c r="AO1088" s="61" t="s">
        <v>612</v>
      </c>
      <c r="AP1088" s="59"/>
      <c r="AQ1088" s="59"/>
      <c r="AR1088" s="59"/>
      <c r="AS1088" s="59"/>
      <c r="AT1088" s="59"/>
      <c r="AU1088" s="59"/>
      <c r="AV1088" s="59"/>
      <c r="AW1088" s="59"/>
      <c r="AX1088" s="59"/>
      <c r="AY1088" s="59"/>
      <c r="AZ1088" s="59"/>
      <c r="BA1088" s="141"/>
      <c r="BB1088" s="61" t="s">
        <v>1894</v>
      </c>
      <c r="BC1088" s="165"/>
      <c r="BD1088" s="166"/>
      <c r="BE1088" s="167"/>
      <c r="BF1088" s="168"/>
      <c r="BG1088" s="167"/>
      <c r="BH1088" s="168"/>
      <c r="BI1088" s="169"/>
      <c r="BJ1088" s="168"/>
      <c r="BK1088" s="134"/>
      <c r="BL1088" s="168"/>
      <c r="BM1088" s="167"/>
      <c r="BN1088" s="168"/>
      <c r="BO1088" s="62"/>
      <c r="BP1088" s="168"/>
      <c r="BQ1088" s="168"/>
      <c r="BR1088" s="168"/>
      <c r="BS1088" s="135"/>
      <c r="BT1088" s="176"/>
      <c r="BU1088" s="167"/>
      <c r="BV1088" s="168"/>
      <c r="BW1088" s="167"/>
      <c r="BX1088" s="168"/>
      <c r="BY1088" s="167"/>
      <c r="BZ1088" s="176"/>
      <c r="CA1088" s="167"/>
      <c r="CB1088" s="168"/>
      <c r="CC1088" s="167"/>
      <c r="CD1088" s="168"/>
      <c r="CE1088" s="62"/>
      <c r="CF1088" s="62"/>
      <c r="CG1088" s="9"/>
      <c r="CH1088" s="9"/>
      <c r="CI1088" s="9"/>
      <c r="CJ1088" s="9"/>
      <c r="CK1088" s="9"/>
      <c r="CL1088" s="9"/>
      <c r="CM1088" s="9"/>
      <c r="CN1088" s="9"/>
      <c r="CO1088" s="9"/>
      <c r="CP1088" s="9"/>
    </row>
    <row r="1089" spans="1:94" ht="45" x14ac:dyDescent="0.25">
      <c r="A1089" s="127" t="s">
        <v>3448</v>
      </c>
      <c r="B1089" s="51" t="s">
        <v>3449</v>
      </c>
      <c r="C1089" s="62"/>
      <c r="D1089" s="84">
        <v>1</v>
      </c>
      <c r="E1089" s="62" t="s">
        <v>3385</v>
      </c>
      <c r="F1089" s="62">
        <v>6</v>
      </c>
      <c r="G1089" s="62"/>
      <c r="H1089" s="50">
        <f>VLOOKUP($A1089,'[1]ma sp 02'!$A$5:$BD$1101,H$1,0)</f>
        <v>0</v>
      </c>
      <c r="I1089" s="50">
        <f>VLOOKUP($A1089,'[1]ma sp 02'!$A$5:$BD$1101,I$1,0)</f>
        <v>0</v>
      </c>
      <c r="J1089" s="50">
        <f>VLOOKUP($A1089,'[1]ma sp 02'!$A$5:$BD$1101,J$1,0)</f>
        <v>0</v>
      </c>
      <c r="K1089" s="50">
        <f>VLOOKUP($A1089,'[1]ma sp 02'!$A$5:$BD$1101,K$1,0)</f>
        <v>0</v>
      </c>
      <c r="L1089" s="50">
        <f>VLOOKUP($A1089,'[1]ma sp 02'!$A$5:$BD$1101,L$1,0)</f>
        <v>0</v>
      </c>
      <c r="M1089" s="50">
        <f>VLOOKUP($A1089,'[1]ma sp 02'!$A$5:$BD$1101,M$1,0)</f>
        <v>0</v>
      </c>
      <c r="N1089" s="50">
        <f>VLOOKUP($A1089,'[1]ma sp 02'!$A$5:$BD$1101,N$1,0)</f>
        <v>0</v>
      </c>
      <c r="O1089" s="50">
        <f>VLOOKUP($A1089,'[1]ma sp 02'!$A$5:$BD$1101,O$1,0)</f>
        <v>0</v>
      </c>
      <c r="P1089" s="50">
        <f>VLOOKUP($A1089,'[1]ma sp 02'!$A$5:$BD$1101,P$1,0)</f>
        <v>0</v>
      </c>
      <c r="Q1089" s="50">
        <f>VLOOKUP($A1089,'[1]ma sp 02'!$A$5:$BD$1101,Q$1,0)</f>
        <v>0</v>
      </c>
      <c r="R1089" s="50">
        <f>VLOOKUP($A1089,'[1]ma sp 02'!$A$5:$BD$1101,R$1,0)</f>
        <v>0</v>
      </c>
      <c r="S1089" s="50">
        <f>VLOOKUP($A1089,'[1]ma sp 02'!$A$5:$BD$1101,S$1,0)</f>
        <v>0</v>
      </c>
      <c r="T1089" s="50">
        <f>VLOOKUP($A1089,'[1]ma sp 02'!$A$5:$BD$1101,T$1,0)</f>
        <v>0</v>
      </c>
      <c r="U1089" s="50">
        <f>VLOOKUP($A1089,'[1]ma sp 02'!$A$5:$BD$1101,U$1,0)</f>
        <v>0</v>
      </c>
      <c r="V1089" s="50">
        <f>VLOOKUP($A1089,'[1]ma sp 02'!$A$5:$BD$1101,V$1,0)</f>
        <v>0</v>
      </c>
      <c r="W1089" s="50">
        <f>VLOOKUP($A1089,'[1]ma sp 02'!$A$5:$BD$1101,W$1,0)</f>
        <v>0</v>
      </c>
      <c r="X1089" s="50"/>
      <c r="Y1089" s="62"/>
      <c r="Z1089" s="62"/>
      <c r="AA1089" s="62"/>
      <c r="AB1089" s="62"/>
      <c r="AC1089" s="62"/>
      <c r="AD1089" s="62"/>
      <c r="AE1089" s="62" t="s">
        <v>3386</v>
      </c>
      <c r="AF1089" s="61" t="s">
        <v>3387</v>
      </c>
      <c r="AG1089" s="53">
        <f>(0.02*0.91+0.0064+0.015*1.15+0.05*0.94)*0.978</f>
        <v>8.6895299999999995E-2</v>
      </c>
      <c r="AH1089" s="54">
        <f>(4/0.75/2)*0.978</f>
        <v>2.6079999999999997</v>
      </c>
      <c r="AI1089" s="54">
        <f>(4/0.75/2)*0.978</f>
        <v>2.6079999999999997</v>
      </c>
      <c r="AJ1089" s="62">
        <v>9530</v>
      </c>
      <c r="AK1089" s="62">
        <v>9530</v>
      </c>
      <c r="AL1089" s="9" t="s">
        <v>3388</v>
      </c>
      <c r="AM1089" s="61" t="s">
        <v>1489</v>
      </c>
      <c r="AN1089" s="62">
        <v>486</v>
      </c>
      <c r="AO1089" s="61" t="s">
        <v>3389</v>
      </c>
      <c r="AP1089" s="59"/>
      <c r="AQ1089" s="59"/>
      <c r="AR1089" s="59"/>
      <c r="AS1089" s="59"/>
      <c r="AT1089" s="59"/>
      <c r="AU1089" s="59"/>
      <c r="AV1089" s="59"/>
      <c r="AW1089" s="59"/>
      <c r="AX1089" s="59"/>
      <c r="AY1089" s="59"/>
      <c r="AZ1089" s="59"/>
      <c r="BA1089" s="141"/>
      <c r="BB1089" s="61" t="s">
        <v>952</v>
      </c>
      <c r="BC1089" s="165"/>
      <c r="BD1089" s="166"/>
      <c r="BE1089" s="167"/>
      <c r="BF1089" s="168"/>
      <c r="BG1089" s="167"/>
      <c r="BH1089" s="168"/>
      <c r="BI1089" s="169"/>
      <c r="BJ1089" s="168"/>
      <c r="BK1089" s="134"/>
      <c r="BL1089" s="168"/>
      <c r="BM1089" s="167"/>
      <c r="BN1089" s="168"/>
      <c r="BO1089" s="62"/>
      <c r="BP1089" s="168"/>
      <c r="BQ1089" s="168"/>
      <c r="BR1089" s="168"/>
      <c r="BS1089" s="135"/>
      <c r="BT1089" s="176"/>
      <c r="BU1089" s="167"/>
      <c r="BV1089" s="168"/>
      <c r="BW1089" s="167"/>
      <c r="BX1089" s="168"/>
      <c r="BY1089" s="167"/>
      <c r="BZ1089" s="176"/>
      <c r="CA1089" s="167"/>
      <c r="CB1089" s="168"/>
      <c r="CC1089" s="167"/>
      <c r="CD1089" s="168"/>
      <c r="CE1089" s="62"/>
      <c r="CF1089" s="62"/>
      <c r="CG1089" s="9"/>
      <c r="CH1089" s="9"/>
      <c r="CI1089" s="9"/>
      <c r="CJ1089" s="9"/>
      <c r="CK1089" s="9"/>
      <c r="CL1089" s="9"/>
      <c r="CM1089" s="9"/>
      <c r="CN1089" s="9"/>
      <c r="CO1089" s="9"/>
      <c r="CP1089" s="9"/>
    </row>
    <row r="1090" spans="1:94" ht="30" x14ac:dyDescent="0.25">
      <c r="A1090" s="127" t="s">
        <v>3450</v>
      </c>
      <c r="B1090" s="51" t="s">
        <v>3451</v>
      </c>
      <c r="C1090" s="62"/>
      <c r="D1090" s="84">
        <v>1</v>
      </c>
      <c r="E1090" s="62" t="s">
        <v>2337</v>
      </c>
      <c r="F1090" s="62">
        <v>3</v>
      </c>
      <c r="G1090" s="62"/>
      <c r="H1090" s="50">
        <f>VLOOKUP($A1090,'[1]ma sp 02'!$A$5:$BD$1101,H$1,0)</f>
        <v>0</v>
      </c>
      <c r="I1090" s="50">
        <f>VLOOKUP($A1090,'[1]ma sp 02'!$A$5:$BD$1101,I$1,0)</f>
        <v>0</v>
      </c>
      <c r="J1090" s="50">
        <f>VLOOKUP($A1090,'[1]ma sp 02'!$A$5:$BD$1101,J$1,0)</f>
        <v>0</v>
      </c>
      <c r="K1090" s="50">
        <f>VLOOKUP($A1090,'[1]ma sp 02'!$A$5:$BD$1101,K$1,0)</f>
        <v>0</v>
      </c>
      <c r="L1090" s="50">
        <f>VLOOKUP($A1090,'[1]ma sp 02'!$A$5:$BD$1101,L$1,0)</f>
        <v>0</v>
      </c>
      <c r="M1090" s="50">
        <f>VLOOKUP($A1090,'[1]ma sp 02'!$A$5:$BD$1101,M$1,0)</f>
        <v>0</v>
      </c>
      <c r="N1090" s="50">
        <f>VLOOKUP($A1090,'[1]ma sp 02'!$A$5:$BD$1101,N$1,0)</f>
        <v>0</v>
      </c>
      <c r="O1090" s="50">
        <f>VLOOKUP($A1090,'[1]ma sp 02'!$A$5:$BD$1101,O$1,0)</f>
        <v>0</v>
      </c>
      <c r="P1090" s="50">
        <f>VLOOKUP($A1090,'[1]ma sp 02'!$A$5:$BD$1101,P$1,0)</f>
        <v>0</v>
      </c>
      <c r="Q1090" s="50">
        <f>VLOOKUP($A1090,'[1]ma sp 02'!$A$5:$BD$1101,Q$1,0)</f>
        <v>0</v>
      </c>
      <c r="R1090" s="50">
        <f>VLOOKUP($A1090,'[1]ma sp 02'!$A$5:$BD$1101,R$1,0)</f>
        <v>0</v>
      </c>
      <c r="S1090" s="50">
        <f>VLOOKUP($A1090,'[1]ma sp 02'!$A$5:$BD$1101,S$1,0)</f>
        <v>0</v>
      </c>
      <c r="T1090" s="50">
        <f>VLOOKUP($A1090,'[1]ma sp 02'!$A$5:$BD$1101,T$1,0)</f>
        <v>0</v>
      </c>
      <c r="U1090" s="50">
        <f>VLOOKUP($A1090,'[1]ma sp 02'!$A$5:$BD$1101,U$1,0)</f>
        <v>0</v>
      </c>
      <c r="V1090" s="50">
        <f>VLOOKUP($A1090,'[1]ma sp 02'!$A$5:$BD$1101,V$1,0)</f>
        <v>0</v>
      </c>
      <c r="W1090" s="50">
        <f>VLOOKUP($A1090,'[1]ma sp 02'!$A$5:$BD$1101,W$1,0)</f>
        <v>0</v>
      </c>
      <c r="X1090" s="50"/>
      <c r="Y1090" s="62"/>
      <c r="Z1090" s="62"/>
      <c r="AA1090" s="62"/>
      <c r="AB1090" s="62"/>
      <c r="AC1090" s="62"/>
      <c r="AD1090" s="62"/>
      <c r="AE1090" s="62" t="s">
        <v>3452</v>
      </c>
      <c r="AF1090" s="62"/>
      <c r="AG1090" s="53">
        <f>(0.03*0.925+0.035*0.925)*1.22</f>
        <v>7.3352500000000015E-2</v>
      </c>
      <c r="AH1090" s="54">
        <f>(2/0.75/2)*1.22</f>
        <v>1.6266666666666665</v>
      </c>
      <c r="AI1090" s="54"/>
      <c r="AJ1090" s="62"/>
      <c r="AK1090" s="62"/>
      <c r="AL1090" s="9">
        <v>2E-3</v>
      </c>
      <c r="AM1090" s="61" t="s">
        <v>1489</v>
      </c>
      <c r="AN1090" s="62">
        <v>3010</v>
      </c>
      <c r="AO1090" s="61" t="s">
        <v>2150</v>
      </c>
      <c r="AP1090" s="59"/>
      <c r="AQ1090" s="59"/>
      <c r="AR1090" s="59"/>
      <c r="AS1090" s="59"/>
      <c r="AT1090" s="59"/>
      <c r="AU1090" s="59"/>
      <c r="AV1090" s="59"/>
      <c r="AW1090" s="59"/>
      <c r="AX1090" s="59"/>
      <c r="AY1090" s="59"/>
      <c r="AZ1090" s="59"/>
      <c r="BA1090" s="141"/>
      <c r="BB1090" s="61" t="s">
        <v>952</v>
      </c>
      <c r="BC1090" s="165"/>
      <c r="BD1090" s="166"/>
      <c r="BE1090" s="167"/>
      <c r="BF1090" s="168"/>
      <c r="BG1090" s="167"/>
      <c r="BH1090" s="168"/>
      <c r="BI1090" s="169"/>
      <c r="BJ1090" s="168"/>
      <c r="BK1090" s="134"/>
      <c r="BL1090" s="168"/>
      <c r="BM1090" s="167"/>
      <c r="BN1090" s="168"/>
      <c r="BO1090" s="62"/>
      <c r="BP1090" s="168"/>
      <c r="BQ1090" s="168"/>
      <c r="BR1090" s="168"/>
      <c r="BS1090" s="135"/>
      <c r="BT1090" s="176"/>
      <c r="BU1090" s="167"/>
      <c r="BV1090" s="168"/>
      <c r="BW1090" s="167"/>
      <c r="BX1090" s="168"/>
      <c r="BY1090" s="167"/>
      <c r="BZ1090" s="176"/>
      <c r="CA1090" s="167"/>
      <c r="CB1090" s="168"/>
      <c r="CC1090" s="167"/>
      <c r="CD1090" s="168"/>
      <c r="CE1090" s="62"/>
      <c r="CF1090" s="62"/>
      <c r="CG1090" s="9"/>
      <c r="CH1090" s="9"/>
      <c r="CI1090" s="9"/>
      <c r="CJ1090" s="9"/>
      <c r="CK1090" s="9"/>
      <c r="CL1090" s="9"/>
      <c r="CM1090" s="9"/>
      <c r="CN1090" s="9"/>
      <c r="CO1090" s="9"/>
      <c r="CP1090" s="9"/>
    </row>
    <row r="1091" spans="1:94" ht="45" x14ac:dyDescent="0.25">
      <c r="A1091" s="127" t="s">
        <v>3453</v>
      </c>
      <c r="B1091" s="51" t="s">
        <v>3454</v>
      </c>
      <c r="C1091" s="62"/>
      <c r="D1091" s="84">
        <v>3</v>
      </c>
      <c r="E1091" s="62" t="s">
        <v>351</v>
      </c>
      <c r="F1091" s="62">
        <v>5</v>
      </c>
      <c r="G1091" s="62"/>
      <c r="H1091" s="50">
        <f>VLOOKUP($A1091,'[1]ma sp 02'!$A$5:$BD$1101,H$1,0)</f>
        <v>0</v>
      </c>
      <c r="I1091" s="50">
        <f>VLOOKUP($A1091,'[1]ma sp 02'!$A$5:$BD$1101,I$1,0)</f>
        <v>0</v>
      </c>
      <c r="J1091" s="50">
        <f>VLOOKUP($A1091,'[1]ma sp 02'!$A$5:$BD$1101,J$1,0)</f>
        <v>0</v>
      </c>
      <c r="K1091" s="50">
        <f>VLOOKUP($A1091,'[1]ma sp 02'!$A$5:$BD$1101,K$1,0)</f>
        <v>0</v>
      </c>
      <c r="L1091" s="50">
        <f>VLOOKUP($A1091,'[1]ma sp 02'!$A$5:$BD$1101,L$1,0)</f>
        <v>0</v>
      </c>
      <c r="M1091" s="50">
        <f>VLOOKUP($A1091,'[1]ma sp 02'!$A$5:$BD$1101,M$1,0)</f>
        <v>0</v>
      </c>
      <c r="N1091" s="50">
        <f>VLOOKUP($A1091,'[1]ma sp 02'!$A$5:$BD$1101,N$1,0)</f>
        <v>0</v>
      </c>
      <c r="O1091" s="50">
        <f>VLOOKUP($A1091,'[1]ma sp 02'!$A$5:$BD$1101,O$1,0)</f>
        <v>0</v>
      </c>
      <c r="P1091" s="50">
        <f>VLOOKUP($A1091,'[1]ma sp 02'!$A$5:$BD$1101,P$1,0)</f>
        <v>0</v>
      </c>
      <c r="Q1091" s="50">
        <f>VLOOKUP($A1091,'[1]ma sp 02'!$A$5:$BD$1101,Q$1,0)</f>
        <v>0</v>
      </c>
      <c r="R1091" s="50">
        <f>VLOOKUP($A1091,'[1]ma sp 02'!$A$5:$BD$1101,R$1,0)</f>
        <v>0</v>
      </c>
      <c r="S1091" s="50">
        <f>VLOOKUP($A1091,'[1]ma sp 02'!$A$5:$BD$1101,S$1,0)</f>
        <v>0</v>
      </c>
      <c r="T1091" s="50">
        <f>VLOOKUP($A1091,'[1]ma sp 02'!$A$5:$BD$1101,T$1,0)</f>
        <v>0</v>
      </c>
      <c r="U1091" s="50">
        <f>VLOOKUP($A1091,'[1]ma sp 02'!$A$5:$BD$1101,U$1,0)</f>
        <v>0</v>
      </c>
      <c r="V1091" s="50">
        <f>VLOOKUP($A1091,'[1]ma sp 02'!$A$5:$BD$1101,V$1,0)</f>
        <v>0</v>
      </c>
      <c r="W1091" s="50">
        <f>VLOOKUP($A1091,'[1]ma sp 02'!$A$5:$BD$1101,W$1,0)</f>
        <v>0</v>
      </c>
      <c r="X1091" s="50"/>
      <c r="Y1091" s="62"/>
      <c r="Z1091" s="62"/>
      <c r="AA1091" s="62"/>
      <c r="AB1091" s="62"/>
      <c r="AC1091" s="62"/>
      <c r="AD1091" s="62"/>
      <c r="AE1091" s="62" t="s">
        <v>352</v>
      </c>
      <c r="AF1091" s="62" t="s">
        <v>2117</v>
      </c>
      <c r="AG1091" s="53">
        <f>(0.012*1.4+0.012*1.4+0.085*0.925)*0.8</f>
        <v>8.9780000000000026E-2</v>
      </c>
      <c r="AH1091" s="54">
        <f>(2.3/0.75/2)*0.79</f>
        <v>1.2113333333333334</v>
      </c>
      <c r="AI1091" s="54">
        <f>(2.3/0.75/2)*0.79</f>
        <v>1.2113333333333334</v>
      </c>
      <c r="AJ1091" s="62">
        <v>9530</v>
      </c>
      <c r="AK1091" s="62">
        <v>9530</v>
      </c>
      <c r="AL1091" s="9" t="s">
        <v>354</v>
      </c>
      <c r="AM1091" s="61" t="s">
        <v>1489</v>
      </c>
      <c r="AN1091" s="62">
        <v>190</v>
      </c>
      <c r="AO1091" s="61" t="s">
        <v>3334</v>
      </c>
      <c r="AP1091" s="59"/>
      <c r="AQ1091" s="59"/>
      <c r="AR1091" s="59"/>
      <c r="AS1091" s="59"/>
      <c r="AT1091" s="59"/>
      <c r="AU1091" s="59"/>
      <c r="AV1091" s="59"/>
      <c r="AW1091" s="59"/>
      <c r="AX1091" s="59"/>
      <c r="AY1091" s="59"/>
      <c r="AZ1091" s="59"/>
      <c r="BA1091" s="141" t="s">
        <v>1936</v>
      </c>
      <c r="BB1091" s="61" t="s">
        <v>952</v>
      </c>
      <c r="BC1091" s="165"/>
      <c r="BD1091" s="166"/>
      <c r="BE1091" s="167"/>
      <c r="BF1091" s="168"/>
      <c r="BG1091" s="167"/>
      <c r="BH1091" s="168"/>
      <c r="BI1091" s="169"/>
      <c r="BJ1091" s="168"/>
      <c r="BK1091" s="134"/>
      <c r="BL1091" s="168"/>
      <c r="BM1091" s="167"/>
      <c r="BN1091" s="168"/>
      <c r="BO1091" s="62"/>
      <c r="BP1091" s="168"/>
      <c r="BQ1091" s="168"/>
      <c r="BR1091" s="168"/>
      <c r="BS1091" s="135"/>
      <c r="BT1091" s="176"/>
      <c r="BU1091" s="167"/>
      <c r="BV1091" s="168"/>
      <c r="BW1091" s="167"/>
      <c r="BX1091" s="168"/>
      <c r="BY1091" s="167"/>
      <c r="BZ1091" s="176"/>
      <c r="CA1091" s="167"/>
      <c r="CB1091" s="168"/>
      <c r="CC1091" s="167"/>
      <c r="CD1091" s="168"/>
      <c r="CE1091" s="62"/>
      <c r="CF1091" s="62"/>
      <c r="CG1091" s="9"/>
      <c r="CH1091" s="9"/>
      <c r="CI1091" s="9"/>
      <c r="CJ1091" s="9"/>
      <c r="CK1091" s="9"/>
      <c r="CL1091" s="9"/>
      <c r="CM1091" s="9"/>
      <c r="CN1091" s="9"/>
      <c r="CO1091" s="9"/>
      <c r="CP1091" s="9"/>
    </row>
    <row r="1092" spans="1:94" ht="30" x14ac:dyDescent="0.25">
      <c r="A1092" s="127" t="s">
        <v>3455</v>
      </c>
      <c r="B1092" s="51" t="s">
        <v>3456</v>
      </c>
      <c r="C1092" s="62"/>
      <c r="D1092" s="84"/>
      <c r="E1092" s="62"/>
      <c r="F1092" s="62"/>
      <c r="G1092" s="62"/>
      <c r="H1092" s="50">
        <f>VLOOKUP($A1092,'[1]ma sp 02'!$A$5:$BD$1101,H$1,0)</f>
        <v>0</v>
      </c>
      <c r="I1092" s="50">
        <f>VLOOKUP($A1092,'[1]ma sp 02'!$A$5:$BD$1101,I$1,0)</f>
        <v>0</v>
      </c>
      <c r="J1092" s="50">
        <f>VLOOKUP($A1092,'[1]ma sp 02'!$A$5:$BD$1101,J$1,0)</f>
        <v>0</v>
      </c>
      <c r="K1092" s="50">
        <f>VLOOKUP($A1092,'[1]ma sp 02'!$A$5:$BD$1101,K$1,0)</f>
        <v>0</v>
      </c>
      <c r="L1092" s="50">
        <f>VLOOKUP($A1092,'[1]ma sp 02'!$A$5:$BD$1101,L$1,0)</f>
        <v>0</v>
      </c>
      <c r="M1092" s="50">
        <f>VLOOKUP($A1092,'[1]ma sp 02'!$A$5:$BD$1101,M$1,0)</f>
        <v>0</v>
      </c>
      <c r="N1092" s="50">
        <f>VLOOKUP($A1092,'[1]ma sp 02'!$A$5:$BD$1101,N$1,0)</f>
        <v>0</v>
      </c>
      <c r="O1092" s="50">
        <f>VLOOKUP($A1092,'[1]ma sp 02'!$A$5:$BD$1101,O$1,0)</f>
        <v>0</v>
      </c>
      <c r="P1092" s="50">
        <f>VLOOKUP($A1092,'[1]ma sp 02'!$A$5:$BD$1101,P$1,0)</f>
        <v>0</v>
      </c>
      <c r="Q1092" s="50">
        <f>VLOOKUP($A1092,'[1]ma sp 02'!$A$5:$BD$1101,Q$1,0)</f>
        <v>0</v>
      </c>
      <c r="R1092" s="50">
        <f>VLOOKUP($A1092,'[1]ma sp 02'!$A$5:$BD$1101,R$1,0)</f>
        <v>0</v>
      </c>
      <c r="S1092" s="50">
        <f>VLOOKUP($A1092,'[1]ma sp 02'!$A$5:$BD$1101,S$1,0)</f>
        <v>0</v>
      </c>
      <c r="T1092" s="50">
        <f>VLOOKUP($A1092,'[1]ma sp 02'!$A$5:$BD$1101,T$1,0)</f>
        <v>0</v>
      </c>
      <c r="U1092" s="50">
        <f>VLOOKUP($A1092,'[1]ma sp 02'!$A$5:$BD$1101,U$1,0)</f>
        <v>0</v>
      </c>
      <c r="V1092" s="50">
        <f>VLOOKUP($A1092,'[1]ma sp 02'!$A$5:$BD$1101,V$1,0)</f>
        <v>0</v>
      </c>
      <c r="W1092" s="50">
        <f>VLOOKUP($A1092,'[1]ma sp 02'!$A$5:$BD$1101,W$1,0)</f>
        <v>0</v>
      </c>
      <c r="X1092" s="50"/>
      <c r="Y1092" s="62"/>
      <c r="Z1092" s="62"/>
      <c r="AA1092" s="62"/>
      <c r="AB1092" s="62"/>
      <c r="AC1092" s="62"/>
      <c r="AD1092" s="62"/>
      <c r="AE1092" s="62"/>
      <c r="AF1092" s="62"/>
      <c r="AG1092" s="53"/>
      <c r="AH1092" s="54"/>
      <c r="AI1092" s="54"/>
      <c r="AJ1092" s="62"/>
      <c r="AK1092" s="62"/>
      <c r="AL1092" s="9"/>
      <c r="AM1092" s="61"/>
      <c r="AN1092" s="62"/>
      <c r="AO1092" s="61" t="s">
        <v>3351</v>
      </c>
      <c r="AP1092" s="59"/>
      <c r="AQ1092" s="59"/>
      <c r="AR1092" s="59"/>
      <c r="AS1092" s="59"/>
      <c r="AT1092" s="59"/>
      <c r="AU1092" s="59"/>
      <c r="AV1092" s="59"/>
      <c r="AW1092" s="59"/>
      <c r="AX1092" s="59"/>
      <c r="AY1092" s="59"/>
      <c r="AZ1092" s="59"/>
      <c r="BA1092" s="141"/>
      <c r="BB1092" s="61"/>
      <c r="BC1092" s="165"/>
      <c r="BD1092" s="166"/>
      <c r="BE1092" s="167"/>
      <c r="BF1092" s="168"/>
      <c r="BG1092" s="167"/>
      <c r="BH1092" s="168"/>
      <c r="BI1092" s="169"/>
      <c r="BJ1092" s="168"/>
      <c r="BK1092" s="134"/>
      <c r="BL1092" s="168"/>
      <c r="BM1092" s="167"/>
      <c r="BN1092" s="168"/>
      <c r="BO1092" s="62"/>
      <c r="BP1092" s="168"/>
      <c r="BQ1092" s="168"/>
      <c r="BR1092" s="168"/>
      <c r="BS1092" s="135"/>
      <c r="BT1092" s="176"/>
      <c r="BU1092" s="167"/>
      <c r="BV1092" s="168"/>
      <c r="BW1092" s="167"/>
      <c r="BX1092" s="168"/>
      <c r="BY1092" s="167"/>
      <c r="BZ1092" s="176"/>
      <c r="CA1092" s="167"/>
      <c r="CB1092" s="168"/>
      <c r="CC1092" s="167"/>
      <c r="CD1092" s="168"/>
      <c r="CE1092" s="62"/>
      <c r="CF1092" s="62"/>
      <c r="CG1092" s="9"/>
      <c r="CH1092" s="9"/>
      <c r="CI1092" s="9"/>
      <c r="CJ1092" s="9"/>
      <c r="CK1092" s="9"/>
      <c r="CL1092" s="9"/>
      <c r="CM1092" s="9"/>
      <c r="CN1092" s="9"/>
      <c r="CO1092" s="9"/>
      <c r="CP1092" s="9"/>
    </row>
    <row r="1093" spans="1:94" ht="30" x14ac:dyDescent="0.25">
      <c r="A1093" s="127" t="s">
        <v>3457</v>
      </c>
      <c r="B1093" s="51" t="s">
        <v>3458</v>
      </c>
      <c r="C1093" s="62"/>
      <c r="D1093" s="84"/>
      <c r="E1093" s="62"/>
      <c r="F1093" s="62"/>
      <c r="G1093" s="62"/>
      <c r="H1093" s="50">
        <f>VLOOKUP($A1093,'[1]ma sp 02'!$A$5:$BD$1101,H$1,0)</f>
        <v>0</v>
      </c>
      <c r="I1093" s="50">
        <f>VLOOKUP($A1093,'[1]ma sp 02'!$A$5:$BD$1101,I$1,0)</f>
        <v>0</v>
      </c>
      <c r="J1093" s="50">
        <f>VLOOKUP($A1093,'[1]ma sp 02'!$A$5:$BD$1101,J$1,0)</f>
        <v>0</v>
      </c>
      <c r="K1093" s="50">
        <f>VLOOKUP($A1093,'[1]ma sp 02'!$A$5:$BD$1101,K$1,0)</f>
        <v>0</v>
      </c>
      <c r="L1093" s="50">
        <f>VLOOKUP($A1093,'[1]ma sp 02'!$A$5:$BD$1101,L$1,0)</f>
        <v>0</v>
      </c>
      <c r="M1093" s="50">
        <f>VLOOKUP($A1093,'[1]ma sp 02'!$A$5:$BD$1101,M$1,0)</f>
        <v>0</v>
      </c>
      <c r="N1093" s="50">
        <f>VLOOKUP($A1093,'[1]ma sp 02'!$A$5:$BD$1101,N$1,0)</f>
        <v>0</v>
      </c>
      <c r="O1093" s="50">
        <f>VLOOKUP($A1093,'[1]ma sp 02'!$A$5:$BD$1101,O$1,0)</f>
        <v>0</v>
      </c>
      <c r="P1093" s="50">
        <f>VLOOKUP($A1093,'[1]ma sp 02'!$A$5:$BD$1101,P$1,0)</f>
        <v>0</v>
      </c>
      <c r="Q1093" s="50">
        <f>VLOOKUP($A1093,'[1]ma sp 02'!$A$5:$BD$1101,Q$1,0)</f>
        <v>0</v>
      </c>
      <c r="R1093" s="50">
        <f>VLOOKUP($A1093,'[1]ma sp 02'!$A$5:$BD$1101,R$1,0)</f>
        <v>0</v>
      </c>
      <c r="S1093" s="50">
        <f>VLOOKUP($A1093,'[1]ma sp 02'!$A$5:$BD$1101,S$1,0)</f>
        <v>0</v>
      </c>
      <c r="T1093" s="50">
        <f>VLOOKUP($A1093,'[1]ma sp 02'!$A$5:$BD$1101,T$1,0)</f>
        <v>0</v>
      </c>
      <c r="U1093" s="50">
        <f>VLOOKUP($A1093,'[1]ma sp 02'!$A$5:$BD$1101,U$1,0)</f>
        <v>0</v>
      </c>
      <c r="V1093" s="50">
        <f>VLOOKUP($A1093,'[1]ma sp 02'!$A$5:$BD$1101,V$1,0)</f>
        <v>0</v>
      </c>
      <c r="W1093" s="50">
        <f>VLOOKUP($A1093,'[1]ma sp 02'!$A$5:$BD$1101,W$1,0)</f>
        <v>0</v>
      </c>
      <c r="X1093" s="50"/>
      <c r="Y1093" s="62"/>
      <c r="Z1093" s="62"/>
      <c r="AA1093" s="62"/>
      <c r="AB1093" s="62"/>
      <c r="AC1093" s="62"/>
      <c r="AD1093" s="62"/>
      <c r="AE1093" s="62"/>
      <c r="AF1093" s="62"/>
      <c r="AG1093" s="53"/>
      <c r="AH1093" s="54"/>
      <c r="AI1093" s="54"/>
      <c r="AJ1093" s="62"/>
      <c r="AK1093" s="62"/>
      <c r="AL1093" s="9"/>
      <c r="AM1093" s="61"/>
      <c r="AN1093" s="62"/>
      <c r="AO1093" s="61" t="s">
        <v>3351</v>
      </c>
      <c r="AP1093" s="59"/>
      <c r="AQ1093" s="59"/>
      <c r="AR1093" s="59"/>
      <c r="AS1093" s="59"/>
      <c r="AT1093" s="59"/>
      <c r="AU1093" s="59"/>
      <c r="AV1093" s="59"/>
      <c r="AW1093" s="59"/>
      <c r="AX1093" s="59"/>
      <c r="AY1093" s="59"/>
      <c r="AZ1093" s="59"/>
      <c r="BA1093" s="141"/>
      <c r="BB1093" s="61"/>
      <c r="BC1093" s="165"/>
      <c r="BD1093" s="166"/>
      <c r="BE1093" s="167"/>
      <c r="BF1093" s="168"/>
      <c r="BG1093" s="167"/>
      <c r="BH1093" s="168"/>
      <c r="BI1093" s="169"/>
      <c r="BJ1093" s="168"/>
      <c r="BK1093" s="134"/>
      <c r="BL1093" s="168"/>
      <c r="BM1093" s="167"/>
      <c r="BN1093" s="168"/>
      <c r="BO1093" s="62"/>
      <c r="BP1093" s="168"/>
      <c r="BQ1093" s="168"/>
      <c r="BR1093" s="168"/>
      <c r="BS1093" s="135"/>
      <c r="BT1093" s="176"/>
      <c r="BU1093" s="167"/>
      <c r="BV1093" s="168"/>
      <c r="BW1093" s="167"/>
      <c r="BX1093" s="168"/>
      <c r="BY1093" s="167"/>
      <c r="BZ1093" s="176"/>
      <c r="CA1093" s="167"/>
      <c r="CB1093" s="168"/>
      <c r="CC1093" s="167"/>
      <c r="CD1093" s="168"/>
      <c r="CE1093" s="62"/>
      <c r="CF1093" s="62"/>
      <c r="CG1093" s="9"/>
      <c r="CH1093" s="9"/>
      <c r="CI1093" s="9"/>
      <c r="CJ1093" s="9"/>
      <c r="CK1093" s="9"/>
      <c r="CL1093" s="9"/>
      <c r="CM1093" s="9"/>
      <c r="CN1093" s="9"/>
      <c r="CO1093" s="9"/>
      <c r="CP1093" s="9"/>
    </row>
    <row r="1094" spans="1:94" ht="45" x14ac:dyDescent="0.25">
      <c r="A1094" s="127" t="s">
        <v>3459</v>
      </c>
      <c r="B1094" s="51" t="s">
        <v>3460</v>
      </c>
      <c r="C1094" s="62"/>
      <c r="D1094" s="84">
        <v>2</v>
      </c>
      <c r="E1094" s="62" t="s">
        <v>2417</v>
      </c>
      <c r="F1094" s="62">
        <v>3</v>
      </c>
      <c r="G1094" s="62"/>
      <c r="H1094" s="50">
        <f>VLOOKUP($A1094,'[1]ma sp 02'!$A$5:$BD$1101,H$1,0)</f>
        <v>0</v>
      </c>
      <c r="I1094" s="50">
        <f>VLOOKUP($A1094,'[1]ma sp 02'!$A$5:$BD$1101,I$1,0)</f>
        <v>0</v>
      </c>
      <c r="J1094" s="50">
        <f>VLOOKUP($A1094,'[1]ma sp 02'!$A$5:$BD$1101,J$1,0)</f>
        <v>0</v>
      </c>
      <c r="K1094" s="50">
        <f>VLOOKUP($A1094,'[1]ma sp 02'!$A$5:$BD$1101,K$1,0)</f>
        <v>0</v>
      </c>
      <c r="L1094" s="50">
        <f>VLOOKUP($A1094,'[1]ma sp 02'!$A$5:$BD$1101,L$1,0)</f>
        <v>0</v>
      </c>
      <c r="M1094" s="50">
        <f>VLOOKUP($A1094,'[1]ma sp 02'!$A$5:$BD$1101,M$1,0)</f>
        <v>0</v>
      </c>
      <c r="N1094" s="50">
        <f>VLOOKUP($A1094,'[1]ma sp 02'!$A$5:$BD$1101,N$1,0)</f>
        <v>0</v>
      </c>
      <c r="O1094" s="50">
        <f>VLOOKUP($A1094,'[1]ma sp 02'!$A$5:$BD$1101,O$1,0)</f>
        <v>0</v>
      </c>
      <c r="P1094" s="50">
        <f>VLOOKUP($A1094,'[1]ma sp 02'!$A$5:$BD$1101,P$1,0)</f>
        <v>0</v>
      </c>
      <c r="Q1094" s="50">
        <f>VLOOKUP($A1094,'[1]ma sp 02'!$A$5:$BD$1101,Q$1,0)</f>
        <v>0</v>
      </c>
      <c r="R1094" s="50">
        <f>VLOOKUP($A1094,'[1]ma sp 02'!$A$5:$BD$1101,R$1,0)</f>
        <v>0</v>
      </c>
      <c r="S1094" s="50">
        <f>VLOOKUP($A1094,'[1]ma sp 02'!$A$5:$BD$1101,S$1,0)</f>
        <v>0</v>
      </c>
      <c r="T1094" s="50">
        <f>VLOOKUP($A1094,'[1]ma sp 02'!$A$5:$BD$1101,T$1,0)</f>
        <v>0</v>
      </c>
      <c r="U1094" s="50">
        <f>VLOOKUP($A1094,'[1]ma sp 02'!$A$5:$BD$1101,U$1,0)</f>
        <v>0</v>
      </c>
      <c r="V1094" s="50">
        <f>VLOOKUP($A1094,'[1]ma sp 02'!$A$5:$BD$1101,V$1,0)</f>
        <v>0</v>
      </c>
      <c r="W1094" s="50">
        <f>VLOOKUP($A1094,'[1]ma sp 02'!$A$5:$BD$1101,W$1,0)</f>
        <v>0</v>
      </c>
      <c r="X1094" s="50"/>
      <c r="Y1094" s="62"/>
      <c r="Z1094" s="62"/>
      <c r="AA1094" s="62"/>
      <c r="AB1094" s="62"/>
      <c r="AC1094" s="62"/>
      <c r="AD1094" s="62"/>
      <c r="AE1094" s="62" t="s">
        <v>3461</v>
      </c>
      <c r="AF1094" s="62"/>
      <c r="AG1094" s="53">
        <f>(0.015*1.15+0.065*0.925)*0.68</f>
        <v>5.2615000000000002E-2</v>
      </c>
      <c r="AH1094" s="54">
        <f>(2.3/0.75/2)*0.79</f>
        <v>1.2113333333333334</v>
      </c>
      <c r="AI1094" s="54"/>
      <c r="AJ1094" s="62">
        <v>9530</v>
      </c>
      <c r="AK1094" s="62"/>
      <c r="AL1094" s="9">
        <v>2.3E-3</v>
      </c>
      <c r="AM1094" s="61" t="s">
        <v>74</v>
      </c>
      <c r="AN1094" s="62">
        <v>255</v>
      </c>
      <c r="AO1094" s="61" t="s">
        <v>3462</v>
      </c>
      <c r="AP1094" s="59"/>
      <c r="AQ1094" s="59"/>
      <c r="AR1094" s="59"/>
      <c r="AS1094" s="59"/>
      <c r="AT1094" s="59"/>
      <c r="AU1094" s="59"/>
      <c r="AV1094" s="59"/>
      <c r="AW1094" s="59"/>
      <c r="AX1094" s="59"/>
      <c r="AY1094" s="59"/>
      <c r="AZ1094" s="59"/>
      <c r="BA1094" s="141"/>
      <c r="BB1094" s="61" t="s">
        <v>1894</v>
      </c>
      <c r="BC1094" s="165"/>
      <c r="BD1094" s="166"/>
      <c r="BE1094" s="167"/>
      <c r="BF1094" s="168"/>
      <c r="BG1094" s="167"/>
      <c r="BH1094" s="168"/>
      <c r="BI1094" s="169"/>
      <c r="BJ1094" s="168"/>
      <c r="BK1094" s="134"/>
      <c r="BL1094" s="168"/>
      <c r="BM1094" s="167"/>
      <c r="BN1094" s="168"/>
      <c r="BO1094" s="62"/>
      <c r="BP1094" s="168"/>
      <c r="BQ1094" s="168"/>
      <c r="BR1094" s="168"/>
      <c r="BS1094" s="135"/>
      <c r="BT1094" s="176"/>
      <c r="BU1094" s="167"/>
      <c r="BV1094" s="168"/>
      <c r="BW1094" s="167"/>
      <c r="BX1094" s="168"/>
      <c r="BY1094" s="167"/>
      <c r="BZ1094" s="176"/>
      <c r="CA1094" s="167"/>
      <c r="CB1094" s="168"/>
      <c r="CC1094" s="167"/>
      <c r="CD1094" s="168"/>
      <c r="CE1094" s="62"/>
      <c r="CF1094" s="62"/>
      <c r="CG1094" s="9"/>
      <c r="CH1094" s="9"/>
      <c r="CI1094" s="9"/>
      <c r="CJ1094" s="9"/>
      <c r="CK1094" s="9"/>
      <c r="CL1094" s="9"/>
      <c r="CM1094" s="9"/>
      <c r="CN1094" s="9"/>
      <c r="CO1094" s="9"/>
      <c r="CP1094" s="9"/>
    </row>
    <row r="1095" spans="1:94" ht="15.75" x14ac:dyDescent="0.25">
      <c r="A1095" s="127" t="s">
        <v>3463</v>
      </c>
      <c r="B1095" s="51" t="s">
        <v>3464</v>
      </c>
      <c r="C1095" s="62"/>
      <c r="D1095" s="84"/>
      <c r="E1095" s="62"/>
      <c r="F1095" s="62"/>
      <c r="G1095" s="62"/>
      <c r="H1095" s="50">
        <f>VLOOKUP($A1095,'[1]ma sp 02'!$A$5:$BD$1101,H$1,0)</f>
        <v>0</v>
      </c>
      <c r="I1095" s="50">
        <f>VLOOKUP($A1095,'[1]ma sp 02'!$A$5:$BD$1101,I$1,0)</f>
        <v>0</v>
      </c>
      <c r="J1095" s="50">
        <f>VLOOKUP($A1095,'[1]ma sp 02'!$A$5:$BD$1101,J$1,0)</f>
        <v>0</v>
      </c>
      <c r="K1095" s="50">
        <f>VLOOKUP($A1095,'[1]ma sp 02'!$A$5:$BD$1101,K$1,0)</f>
        <v>0</v>
      </c>
      <c r="L1095" s="50">
        <f>VLOOKUP($A1095,'[1]ma sp 02'!$A$5:$BD$1101,L$1,0)</f>
        <v>0</v>
      </c>
      <c r="M1095" s="50">
        <f>VLOOKUP($A1095,'[1]ma sp 02'!$A$5:$BD$1101,M$1,0)</f>
        <v>0</v>
      </c>
      <c r="N1095" s="50">
        <f>VLOOKUP($A1095,'[1]ma sp 02'!$A$5:$BD$1101,N$1,0)</f>
        <v>0</v>
      </c>
      <c r="O1095" s="50">
        <f>VLOOKUP($A1095,'[1]ma sp 02'!$A$5:$BD$1101,O$1,0)</f>
        <v>0</v>
      </c>
      <c r="P1095" s="50">
        <f>VLOOKUP($A1095,'[1]ma sp 02'!$A$5:$BD$1101,P$1,0)</f>
        <v>0</v>
      </c>
      <c r="Q1095" s="50">
        <f>VLOOKUP($A1095,'[1]ma sp 02'!$A$5:$BD$1101,Q$1,0)</f>
        <v>0</v>
      </c>
      <c r="R1095" s="50">
        <f>VLOOKUP($A1095,'[1]ma sp 02'!$A$5:$BD$1101,R$1,0)</f>
        <v>0</v>
      </c>
      <c r="S1095" s="50">
        <f>VLOOKUP($A1095,'[1]ma sp 02'!$A$5:$BD$1101,S$1,0)</f>
        <v>0</v>
      </c>
      <c r="T1095" s="50">
        <f>VLOOKUP($A1095,'[1]ma sp 02'!$A$5:$BD$1101,T$1,0)</f>
        <v>0</v>
      </c>
      <c r="U1095" s="50">
        <f>VLOOKUP($A1095,'[1]ma sp 02'!$A$5:$BD$1101,U$1,0)</f>
        <v>0</v>
      </c>
      <c r="V1095" s="50">
        <f>VLOOKUP($A1095,'[1]ma sp 02'!$A$5:$BD$1101,V$1,0)</f>
        <v>0</v>
      </c>
      <c r="W1095" s="50">
        <f>VLOOKUP($A1095,'[1]ma sp 02'!$A$5:$BD$1101,W$1,0)</f>
        <v>0</v>
      </c>
      <c r="X1095" s="50"/>
      <c r="Y1095" s="62"/>
      <c r="Z1095" s="62"/>
      <c r="AA1095" s="62"/>
      <c r="AB1095" s="62"/>
      <c r="AC1095" s="62"/>
      <c r="AD1095" s="62"/>
      <c r="AE1095" s="62"/>
      <c r="AF1095" s="62"/>
      <c r="AG1095" s="53"/>
      <c r="AH1095" s="54"/>
      <c r="AI1095" s="54"/>
      <c r="AJ1095" s="62"/>
      <c r="AK1095" s="62"/>
      <c r="AL1095" s="9"/>
      <c r="AM1095" s="61"/>
      <c r="AN1095" s="62"/>
      <c r="AO1095" s="197" t="s">
        <v>3465</v>
      </c>
      <c r="AP1095" s="59"/>
      <c r="AQ1095" s="59"/>
      <c r="AR1095" s="59"/>
      <c r="AS1095" s="59"/>
      <c r="AT1095" s="59"/>
      <c r="AU1095" s="59"/>
      <c r="AV1095" s="59"/>
      <c r="AW1095" s="59"/>
      <c r="AX1095" s="59"/>
      <c r="AY1095" s="59"/>
      <c r="AZ1095" s="59"/>
      <c r="BA1095" s="141"/>
      <c r="BB1095" s="61"/>
      <c r="BC1095" s="165"/>
      <c r="BD1095" s="166"/>
      <c r="BE1095" s="167"/>
      <c r="BF1095" s="168"/>
      <c r="BG1095" s="167"/>
      <c r="BH1095" s="168"/>
      <c r="BI1095" s="169"/>
      <c r="BJ1095" s="168"/>
      <c r="BK1095" s="134"/>
      <c r="BL1095" s="168"/>
      <c r="BM1095" s="167"/>
      <c r="BN1095" s="168"/>
      <c r="BO1095" s="62"/>
      <c r="BP1095" s="168"/>
      <c r="BQ1095" s="168"/>
      <c r="BR1095" s="168"/>
      <c r="BS1095" s="135"/>
      <c r="BT1095" s="176"/>
      <c r="BU1095" s="167"/>
      <c r="BV1095" s="168"/>
      <c r="BW1095" s="167"/>
      <c r="BX1095" s="168"/>
      <c r="BY1095" s="167"/>
      <c r="BZ1095" s="176"/>
      <c r="CA1095" s="167"/>
      <c r="CB1095" s="168"/>
      <c r="CC1095" s="167"/>
      <c r="CD1095" s="168"/>
      <c r="CE1095" s="62"/>
      <c r="CF1095" s="62"/>
      <c r="CG1095" s="9"/>
      <c r="CH1095" s="9"/>
      <c r="CI1095" s="9"/>
      <c r="CJ1095" s="9"/>
      <c r="CK1095" s="9"/>
      <c r="CL1095" s="9"/>
      <c r="CM1095" s="9"/>
      <c r="CN1095" s="9"/>
      <c r="CO1095" s="9"/>
      <c r="CP1095" s="9"/>
    </row>
    <row r="1096" spans="1:94" ht="45" x14ac:dyDescent="0.25">
      <c r="A1096" s="127" t="s">
        <v>3466</v>
      </c>
      <c r="B1096" s="51" t="s">
        <v>3467</v>
      </c>
      <c r="C1096" s="62"/>
      <c r="D1096" s="84">
        <v>3</v>
      </c>
      <c r="E1096" s="62" t="s">
        <v>1023</v>
      </c>
      <c r="F1096" s="62">
        <v>5</v>
      </c>
      <c r="G1096" s="62"/>
      <c r="H1096" s="50">
        <f>VLOOKUP($A1096,'[1]ma sp 02'!$A$5:$BD$1101,H$1,0)</f>
        <v>0</v>
      </c>
      <c r="I1096" s="50">
        <f>VLOOKUP($A1096,'[1]ma sp 02'!$A$5:$BD$1101,I$1,0)</f>
        <v>0</v>
      </c>
      <c r="J1096" s="50">
        <f>VLOOKUP($A1096,'[1]ma sp 02'!$A$5:$BD$1101,J$1,0)</f>
        <v>0</v>
      </c>
      <c r="K1096" s="50">
        <f>VLOOKUP($A1096,'[1]ma sp 02'!$A$5:$BD$1101,K$1,0)</f>
        <v>0</v>
      </c>
      <c r="L1096" s="50">
        <f>VLOOKUP($A1096,'[1]ma sp 02'!$A$5:$BD$1101,L$1,0)</f>
        <v>0</v>
      </c>
      <c r="M1096" s="50">
        <f>VLOOKUP($A1096,'[1]ma sp 02'!$A$5:$BD$1101,M$1,0)</f>
        <v>0</v>
      </c>
      <c r="N1096" s="50">
        <f>VLOOKUP($A1096,'[1]ma sp 02'!$A$5:$BD$1101,N$1,0)</f>
        <v>0</v>
      </c>
      <c r="O1096" s="50">
        <f>VLOOKUP($A1096,'[1]ma sp 02'!$A$5:$BD$1101,O$1,0)</f>
        <v>0</v>
      </c>
      <c r="P1096" s="50">
        <f>VLOOKUP($A1096,'[1]ma sp 02'!$A$5:$BD$1101,P$1,0)</f>
        <v>0</v>
      </c>
      <c r="Q1096" s="50">
        <f>VLOOKUP($A1096,'[1]ma sp 02'!$A$5:$BD$1101,Q$1,0)</f>
        <v>0</v>
      </c>
      <c r="R1096" s="50">
        <f>VLOOKUP($A1096,'[1]ma sp 02'!$A$5:$BD$1101,R$1,0)</f>
        <v>0</v>
      </c>
      <c r="S1096" s="50">
        <f>VLOOKUP($A1096,'[1]ma sp 02'!$A$5:$BD$1101,S$1,0)</f>
        <v>0</v>
      </c>
      <c r="T1096" s="50">
        <f>VLOOKUP($A1096,'[1]ma sp 02'!$A$5:$BD$1101,T$1,0)</f>
        <v>0</v>
      </c>
      <c r="U1096" s="50">
        <f>VLOOKUP($A1096,'[1]ma sp 02'!$A$5:$BD$1101,U$1,0)</f>
        <v>0</v>
      </c>
      <c r="V1096" s="50">
        <f>VLOOKUP($A1096,'[1]ma sp 02'!$A$5:$BD$1101,V$1,0)</f>
        <v>0</v>
      </c>
      <c r="W1096" s="50">
        <f>VLOOKUP($A1096,'[1]ma sp 02'!$A$5:$BD$1101,W$1,0)</f>
        <v>0</v>
      </c>
      <c r="X1096" s="50"/>
      <c r="Y1096" s="62"/>
      <c r="Z1096" s="62"/>
      <c r="AA1096" s="62"/>
      <c r="AB1096" s="62"/>
      <c r="AC1096" s="62"/>
      <c r="AD1096" s="62"/>
      <c r="AE1096" s="62" t="s">
        <v>352</v>
      </c>
      <c r="AF1096" s="62" t="s">
        <v>353</v>
      </c>
      <c r="AG1096" s="53">
        <f>(0.03*0.91+0.012*1.4+0.075*0.925)*0.8</f>
        <v>9.0780000000000013E-2</v>
      </c>
      <c r="AH1096" s="54">
        <f>(2.3/0.75/2)*0.79</f>
        <v>1.2113333333333334</v>
      </c>
      <c r="AI1096" s="54">
        <f>(2.3/0.75/2)*0.79</f>
        <v>1.2113333333333334</v>
      </c>
      <c r="AJ1096" s="62">
        <v>9530</v>
      </c>
      <c r="AK1096" s="62">
        <v>9530</v>
      </c>
      <c r="AL1096" s="9" t="s">
        <v>354</v>
      </c>
      <c r="AM1096" s="61" t="s">
        <v>74</v>
      </c>
      <c r="AN1096" s="62">
        <v>190</v>
      </c>
      <c r="AO1096" s="61" t="s">
        <v>3334</v>
      </c>
      <c r="AP1096" s="59"/>
      <c r="AQ1096" s="59"/>
      <c r="AR1096" s="59"/>
      <c r="AS1096" s="59"/>
      <c r="AT1096" s="59"/>
      <c r="AU1096" s="59"/>
      <c r="AV1096" s="59"/>
      <c r="AW1096" s="59"/>
      <c r="AX1096" s="59"/>
      <c r="AY1096" s="59"/>
      <c r="AZ1096" s="59"/>
      <c r="BA1096" s="141"/>
      <c r="BB1096" s="61" t="s">
        <v>1894</v>
      </c>
      <c r="BC1096" s="165"/>
      <c r="BD1096" s="166"/>
      <c r="BE1096" s="167"/>
      <c r="BF1096" s="168"/>
      <c r="BG1096" s="167"/>
      <c r="BH1096" s="168"/>
      <c r="BI1096" s="169"/>
      <c r="BJ1096" s="168"/>
      <c r="BK1096" s="134"/>
      <c r="BL1096" s="168"/>
      <c r="BM1096" s="167"/>
      <c r="BN1096" s="168"/>
      <c r="BO1096" s="62"/>
      <c r="BP1096" s="168"/>
      <c r="BQ1096" s="168"/>
      <c r="BR1096" s="168"/>
      <c r="BS1096" s="135"/>
      <c r="BT1096" s="176"/>
      <c r="BU1096" s="167"/>
      <c r="BV1096" s="168"/>
      <c r="BW1096" s="167"/>
      <c r="BX1096" s="168"/>
      <c r="BY1096" s="167"/>
      <c r="BZ1096" s="176"/>
      <c r="CA1096" s="167"/>
      <c r="CB1096" s="168"/>
      <c r="CC1096" s="167"/>
      <c r="CD1096" s="168"/>
      <c r="CE1096" s="62"/>
      <c r="CF1096" s="62"/>
      <c r="CG1096" s="9"/>
      <c r="CH1096" s="9"/>
      <c r="CI1096" s="9"/>
      <c r="CJ1096" s="9"/>
      <c r="CK1096" s="9"/>
      <c r="CL1096" s="9"/>
      <c r="CM1096" s="9"/>
      <c r="CN1096" s="9"/>
      <c r="CO1096" s="9"/>
      <c r="CP1096" s="9"/>
    </row>
    <row r="1097" spans="1:94" ht="30" x14ac:dyDescent="0.25">
      <c r="A1097" s="127" t="s">
        <v>3468</v>
      </c>
      <c r="B1097" s="51" t="s">
        <v>3469</v>
      </c>
      <c r="C1097" s="62"/>
      <c r="D1097" s="84">
        <v>3</v>
      </c>
      <c r="E1097" s="62" t="s">
        <v>864</v>
      </c>
      <c r="F1097" s="62">
        <v>2</v>
      </c>
      <c r="G1097" s="62"/>
      <c r="H1097" s="50"/>
      <c r="I1097" s="50"/>
      <c r="J1097" s="50"/>
      <c r="K1097" s="50"/>
      <c r="L1097" s="50"/>
      <c r="M1097" s="50"/>
      <c r="N1097" s="50"/>
      <c r="O1097" s="50"/>
      <c r="P1097" s="50"/>
      <c r="Q1097" s="50"/>
      <c r="R1097" s="50"/>
      <c r="S1097" s="50"/>
      <c r="T1097" s="50"/>
      <c r="U1097" s="50"/>
      <c r="V1097" s="50"/>
      <c r="W1097" s="50"/>
      <c r="X1097" s="50"/>
      <c r="Y1097" s="62"/>
      <c r="Z1097" s="62"/>
      <c r="AA1097" s="62"/>
      <c r="AB1097" s="62"/>
      <c r="AC1097" s="62"/>
      <c r="AD1097" s="62"/>
      <c r="AE1097" s="62" t="s">
        <v>2500</v>
      </c>
      <c r="AF1097" s="62" t="s">
        <v>3470</v>
      </c>
      <c r="AG1097" s="53">
        <f>(0.02*0.91+0.006*2.71+ 0.055*0.925)*0.7</f>
        <v>5.9734500000000003E-2</v>
      </c>
      <c r="AH1097" s="54">
        <f>(2.5/0.75/2)*0.7</f>
        <v>1.1666666666666667</v>
      </c>
      <c r="AI1097" s="54">
        <f>(2.5/0.75/2)*0.7</f>
        <v>1.1666666666666667</v>
      </c>
      <c r="AJ1097" s="62">
        <v>9530</v>
      </c>
      <c r="AK1097" s="62">
        <v>9530</v>
      </c>
      <c r="AL1097" s="9" t="s">
        <v>3077</v>
      </c>
      <c r="AM1097" s="61" t="s">
        <v>3447</v>
      </c>
      <c r="AN1097" s="62">
        <v>180</v>
      </c>
      <c r="AO1097" s="69" t="s">
        <v>1959</v>
      </c>
      <c r="AP1097" s="59"/>
      <c r="AQ1097" s="59"/>
      <c r="AR1097" s="59"/>
      <c r="AS1097" s="59"/>
      <c r="AT1097" s="59"/>
      <c r="AU1097" s="59"/>
      <c r="AV1097" s="59"/>
      <c r="AW1097" s="59"/>
      <c r="AX1097" s="59"/>
      <c r="AY1097" s="59"/>
      <c r="AZ1097" s="59"/>
      <c r="BA1097" s="141"/>
      <c r="BB1097" s="61" t="s">
        <v>1894</v>
      </c>
      <c r="BC1097" s="165"/>
      <c r="BD1097" s="166"/>
      <c r="BE1097" s="167"/>
      <c r="BF1097" s="168"/>
      <c r="BG1097" s="167"/>
      <c r="BH1097" s="168"/>
      <c r="BI1097" s="169"/>
      <c r="BJ1097" s="168"/>
      <c r="BK1097" s="134"/>
      <c r="BL1097" s="168"/>
      <c r="BM1097" s="167"/>
      <c r="BN1097" s="168"/>
      <c r="BO1097" s="62"/>
      <c r="BP1097" s="168"/>
      <c r="BQ1097" s="168"/>
      <c r="BR1097" s="168"/>
      <c r="BS1097" s="135"/>
      <c r="BT1097" s="176"/>
      <c r="BU1097" s="167"/>
      <c r="BV1097" s="168"/>
      <c r="BW1097" s="167"/>
      <c r="BX1097" s="168"/>
      <c r="BY1097" s="167"/>
      <c r="BZ1097" s="176"/>
      <c r="CA1097" s="167"/>
      <c r="CB1097" s="168"/>
      <c r="CC1097" s="167"/>
      <c r="CD1097" s="168"/>
      <c r="CE1097" s="62"/>
      <c r="CF1097" s="62"/>
      <c r="CG1097" s="9"/>
      <c r="CH1097" s="9"/>
      <c r="CI1097" s="9"/>
      <c r="CJ1097" s="9"/>
      <c r="CK1097" s="9"/>
      <c r="CL1097" s="9"/>
      <c r="CM1097" s="9"/>
      <c r="CN1097" s="9"/>
      <c r="CO1097" s="9"/>
      <c r="CP1097" s="9"/>
    </row>
    <row r="1098" spans="1:94" ht="15.75" x14ac:dyDescent="0.25">
      <c r="A1098" s="127" t="s">
        <v>3471</v>
      </c>
      <c r="B1098" s="72" t="s">
        <v>3472</v>
      </c>
      <c r="C1098" s="62"/>
      <c r="D1098" s="84"/>
      <c r="E1098" s="62"/>
      <c r="F1098" s="62"/>
      <c r="G1098" s="62"/>
      <c r="H1098" s="50">
        <f>VLOOKUP($A1098,'[1]ma sp 02'!$A$5:$BD$1101,H$1,0)</f>
        <v>0</v>
      </c>
      <c r="I1098" s="50">
        <f>VLOOKUP($A1098,'[1]ma sp 02'!$A$5:$BD$1101,I$1,0)</f>
        <v>0</v>
      </c>
      <c r="J1098" s="50">
        <f>VLOOKUP($A1098,'[1]ma sp 02'!$A$5:$BD$1101,J$1,0)</f>
        <v>0</v>
      </c>
      <c r="K1098" s="50">
        <f>VLOOKUP($A1098,'[1]ma sp 02'!$A$5:$BD$1101,K$1,0)</f>
        <v>0</v>
      </c>
      <c r="L1098" s="50">
        <f>VLOOKUP($A1098,'[1]ma sp 02'!$A$5:$BD$1101,L$1,0)</f>
        <v>0</v>
      </c>
      <c r="M1098" s="50">
        <f>VLOOKUP($A1098,'[1]ma sp 02'!$A$5:$BD$1101,M$1,0)</f>
        <v>0</v>
      </c>
      <c r="N1098" s="50">
        <f>VLOOKUP($A1098,'[1]ma sp 02'!$A$5:$BD$1101,N$1,0)</f>
        <v>0</v>
      </c>
      <c r="O1098" s="50">
        <f>VLOOKUP($A1098,'[1]ma sp 02'!$A$5:$BD$1101,O$1,0)</f>
        <v>0</v>
      </c>
      <c r="P1098" s="50">
        <f>VLOOKUP($A1098,'[1]ma sp 02'!$A$5:$BD$1101,P$1,0)</f>
        <v>0</v>
      </c>
      <c r="Q1098" s="50">
        <f>VLOOKUP($A1098,'[1]ma sp 02'!$A$5:$BD$1101,Q$1,0)</f>
        <v>0</v>
      </c>
      <c r="R1098" s="50">
        <f>VLOOKUP($A1098,'[1]ma sp 02'!$A$5:$BD$1101,R$1,0)</f>
        <v>0</v>
      </c>
      <c r="S1098" s="50">
        <f>VLOOKUP($A1098,'[1]ma sp 02'!$A$5:$BD$1101,S$1,0)</f>
        <v>0</v>
      </c>
      <c r="T1098" s="50">
        <f>VLOOKUP($A1098,'[1]ma sp 02'!$A$5:$BD$1101,T$1,0)</f>
        <v>0</v>
      </c>
      <c r="U1098" s="50">
        <f>VLOOKUP($A1098,'[1]ma sp 02'!$A$5:$BD$1101,U$1,0)</f>
        <v>0</v>
      </c>
      <c r="V1098" s="50">
        <f>VLOOKUP($A1098,'[1]ma sp 02'!$A$5:$BD$1101,V$1,0)</f>
        <v>0</v>
      </c>
      <c r="W1098" s="50">
        <f>VLOOKUP($A1098,'[1]ma sp 02'!$A$5:$BD$1101,W$1,0)</f>
        <v>0</v>
      </c>
      <c r="X1098" s="50"/>
      <c r="Y1098" s="62"/>
      <c r="Z1098" s="62"/>
      <c r="AA1098" s="62"/>
      <c r="AB1098" s="62"/>
      <c r="AC1098" s="62"/>
      <c r="AD1098" s="62"/>
      <c r="AE1098" s="62"/>
      <c r="AF1098" s="62"/>
      <c r="AG1098" s="53"/>
      <c r="AH1098" s="54"/>
      <c r="AI1098" s="54"/>
      <c r="AJ1098" s="62"/>
      <c r="AK1098" s="62"/>
      <c r="AL1098" s="9"/>
      <c r="AM1098" s="61"/>
      <c r="AN1098" s="62"/>
      <c r="AO1098" s="197" t="s">
        <v>3465</v>
      </c>
      <c r="AP1098" s="59"/>
      <c r="AQ1098" s="59"/>
      <c r="AR1098" s="59"/>
      <c r="AS1098" s="59"/>
      <c r="AT1098" s="59"/>
      <c r="AU1098" s="59"/>
      <c r="AV1098" s="59"/>
      <c r="AW1098" s="59"/>
      <c r="AX1098" s="59"/>
      <c r="AY1098" s="59"/>
      <c r="AZ1098" s="59"/>
      <c r="BA1098" s="141"/>
      <c r="BB1098" s="61"/>
      <c r="BC1098" s="165"/>
      <c r="BD1098" s="166"/>
      <c r="BE1098" s="167"/>
      <c r="BF1098" s="168"/>
      <c r="BG1098" s="167"/>
      <c r="BH1098" s="168"/>
      <c r="BI1098" s="169"/>
      <c r="BJ1098" s="168"/>
      <c r="BK1098" s="134"/>
      <c r="BL1098" s="168"/>
      <c r="BM1098" s="167"/>
      <c r="BN1098" s="168"/>
      <c r="BO1098" s="62"/>
      <c r="BP1098" s="168"/>
      <c r="BQ1098" s="168"/>
      <c r="BR1098" s="168"/>
      <c r="BS1098" s="135"/>
      <c r="BT1098" s="176"/>
      <c r="BU1098" s="167"/>
      <c r="BV1098" s="168"/>
      <c r="BW1098" s="167"/>
      <c r="BX1098" s="168"/>
      <c r="BY1098" s="167"/>
      <c r="BZ1098" s="176"/>
      <c r="CA1098" s="167"/>
      <c r="CB1098" s="168"/>
      <c r="CC1098" s="167"/>
      <c r="CD1098" s="168"/>
      <c r="CE1098" s="62"/>
      <c r="CF1098" s="62"/>
      <c r="CG1098" s="9"/>
      <c r="CH1098" s="9"/>
      <c r="CI1098" s="9"/>
      <c r="CJ1098" s="9"/>
      <c r="CK1098" s="9"/>
      <c r="CL1098" s="9"/>
      <c r="CM1098" s="9"/>
      <c r="CN1098" s="9"/>
      <c r="CO1098" s="9"/>
      <c r="CP1098" s="9"/>
    </row>
    <row r="1099" spans="1:94" ht="30" x14ac:dyDescent="0.25">
      <c r="A1099" s="127" t="s">
        <v>3473</v>
      </c>
      <c r="B1099" s="51" t="s">
        <v>3474</v>
      </c>
      <c r="C1099" s="62"/>
      <c r="D1099" s="84"/>
      <c r="E1099" s="62" t="s">
        <v>3475</v>
      </c>
      <c r="F1099" s="62"/>
      <c r="G1099" s="62"/>
      <c r="H1099" s="50">
        <f>VLOOKUP($A1099,'[1]ma sp 02'!$A$5:$BD$1101,H$1,0)</f>
        <v>0</v>
      </c>
      <c r="I1099" s="50">
        <f>VLOOKUP($A1099,'[1]ma sp 02'!$A$5:$BD$1101,I$1,0)</f>
        <v>0</v>
      </c>
      <c r="J1099" s="50">
        <f>VLOOKUP($A1099,'[1]ma sp 02'!$A$5:$BD$1101,J$1,0)</f>
        <v>0</v>
      </c>
      <c r="K1099" s="50">
        <f>VLOOKUP($A1099,'[1]ma sp 02'!$A$5:$BD$1101,K$1,0)</f>
        <v>0</v>
      </c>
      <c r="L1099" s="50">
        <f>VLOOKUP($A1099,'[1]ma sp 02'!$A$5:$BD$1101,L$1,0)</f>
        <v>0</v>
      </c>
      <c r="M1099" s="50">
        <f>VLOOKUP($A1099,'[1]ma sp 02'!$A$5:$BD$1101,M$1,0)</f>
        <v>0</v>
      </c>
      <c r="N1099" s="50">
        <f>VLOOKUP($A1099,'[1]ma sp 02'!$A$5:$BD$1101,N$1,0)</f>
        <v>0</v>
      </c>
      <c r="O1099" s="50">
        <f>VLOOKUP($A1099,'[1]ma sp 02'!$A$5:$BD$1101,O$1,0)</f>
        <v>0</v>
      </c>
      <c r="P1099" s="50">
        <f>VLOOKUP($A1099,'[1]ma sp 02'!$A$5:$BD$1101,P$1,0)</f>
        <v>0</v>
      </c>
      <c r="Q1099" s="50">
        <f>VLOOKUP($A1099,'[1]ma sp 02'!$A$5:$BD$1101,Q$1,0)</f>
        <v>0</v>
      </c>
      <c r="R1099" s="50">
        <f>VLOOKUP($A1099,'[1]ma sp 02'!$A$5:$BD$1101,R$1,0)</f>
        <v>0</v>
      </c>
      <c r="S1099" s="50">
        <f>VLOOKUP($A1099,'[1]ma sp 02'!$A$5:$BD$1101,S$1,0)</f>
        <v>0</v>
      </c>
      <c r="T1099" s="50">
        <f>VLOOKUP($A1099,'[1]ma sp 02'!$A$5:$BD$1101,T$1,0)</f>
        <v>0</v>
      </c>
      <c r="U1099" s="50">
        <f>VLOOKUP($A1099,'[1]ma sp 02'!$A$5:$BD$1101,U$1,0)</f>
        <v>0</v>
      </c>
      <c r="V1099" s="50">
        <f>VLOOKUP($A1099,'[1]ma sp 02'!$A$5:$BD$1101,V$1,0)</f>
        <v>0</v>
      </c>
      <c r="W1099" s="50">
        <f>VLOOKUP($A1099,'[1]ma sp 02'!$A$5:$BD$1101,W$1,0)</f>
        <v>0</v>
      </c>
      <c r="X1099" s="50"/>
      <c r="Y1099" s="62"/>
      <c r="Z1099" s="62"/>
      <c r="AA1099" s="62"/>
      <c r="AB1099" s="62"/>
      <c r="AC1099" s="62"/>
      <c r="AD1099" s="62"/>
      <c r="AE1099" s="62" t="s">
        <v>3476</v>
      </c>
      <c r="AF1099" s="62"/>
      <c r="AG1099" s="53"/>
      <c r="AH1099" s="54">
        <f>(3/0.75/2)*0.978</f>
        <v>1.956</v>
      </c>
      <c r="AI1099" s="54"/>
      <c r="AJ1099" s="62">
        <v>6260</v>
      </c>
      <c r="AK1099" s="62"/>
      <c r="AL1099" s="9">
        <v>3.0000000000000001E-3</v>
      </c>
      <c r="AM1099" s="61" t="s">
        <v>1489</v>
      </c>
      <c r="AN1099" s="62"/>
      <c r="AO1099" s="61" t="s">
        <v>3477</v>
      </c>
      <c r="AP1099" s="59"/>
      <c r="AQ1099" s="59"/>
      <c r="AR1099" s="59"/>
      <c r="AS1099" s="59"/>
      <c r="AT1099" s="59"/>
      <c r="AU1099" s="59"/>
      <c r="AV1099" s="59"/>
      <c r="AW1099" s="59"/>
      <c r="AX1099" s="59"/>
      <c r="AY1099" s="59"/>
      <c r="AZ1099" s="59"/>
      <c r="BA1099" s="141"/>
      <c r="BB1099" s="61"/>
      <c r="BC1099" s="165"/>
      <c r="BD1099" s="166"/>
      <c r="BE1099" s="167"/>
      <c r="BF1099" s="168"/>
      <c r="BG1099" s="167"/>
      <c r="BH1099" s="168"/>
      <c r="BI1099" s="169"/>
      <c r="BJ1099" s="168"/>
      <c r="BK1099" s="134"/>
      <c r="BL1099" s="168"/>
      <c r="BM1099" s="167"/>
      <c r="BN1099" s="168"/>
      <c r="BO1099" s="62"/>
      <c r="BP1099" s="168"/>
      <c r="BQ1099" s="168"/>
      <c r="BR1099" s="168"/>
      <c r="BS1099" s="135"/>
      <c r="BT1099" s="176"/>
      <c r="BU1099" s="167"/>
      <c r="BV1099" s="168"/>
      <c r="BW1099" s="167"/>
      <c r="BX1099" s="168"/>
      <c r="BY1099" s="167"/>
      <c r="BZ1099" s="176"/>
      <c r="CA1099" s="167"/>
      <c r="CB1099" s="168"/>
      <c r="CC1099" s="167"/>
      <c r="CD1099" s="168"/>
      <c r="CE1099" s="62"/>
      <c r="CF1099" s="62"/>
      <c r="CG1099" s="9"/>
      <c r="CH1099" s="9"/>
      <c r="CI1099" s="9"/>
      <c r="CJ1099" s="9"/>
      <c r="CK1099" s="9"/>
      <c r="CL1099" s="9"/>
      <c r="CM1099" s="9"/>
      <c r="CN1099" s="9"/>
      <c r="CO1099" s="9"/>
      <c r="CP1099" s="9"/>
    </row>
    <row r="1100" spans="1:94" ht="30" x14ac:dyDescent="0.25">
      <c r="A1100" s="127" t="s">
        <v>3478</v>
      </c>
      <c r="B1100" s="51" t="s">
        <v>3479</v>
      </c>
      <c r="C1100" s="62"/>
      <c r="D1100" s="84">
        <v>1</v>
      </c>
      <c r="E1100" s="62" t="s">
        <v>97</v>
      </c>
      <c r="F1100" s="62">
        <v>7</v>
      </c>
      <c r="G1100" s="62"/>
      <c r="H1100" s="50">
        <f>VLOOKUP($A1100,'[1]ma sp 02'!$A$5:$BD$1101,H$1,0)</f>
        <v>0</v>
      </c>
      <c r="I1100" s="50">
        <f>VLOOKUP($A1100,'[1]ma sp 02'!$A$5:$BD$1101,I$1,0)</f>
        <v>0</v>
      </c>
      <c r="J1100" s="50">
        <f>VLOOKUP($A1100,'[1]ma sp 02'!$A$5:$BD$1101,J$1,0)</f>
        <v>0</v>
      </c>
      <c r="K1100" s="50">
        <f>VLOOKUP($A1100,'[1]ma sp 02'!$A$5:$BD$1101,K$1,0)</f>
        <v>0</v>
      </c>
      <c r="L1100" s="50">
        <f>VLOOKUP($A1100,'[1]ma sp 02'!$A$5:$BD$1101,L$1,0)</f>
        <v>0</v>
      </c>
      <c r="M1100" s="50">
        <f>VLOOKUP($A1100,'[1]ma sp 02'!$A$5:$BD$1101,M$1,0)</f>
        <v>0</v>
      </c>
      <c r="N1100" s="50">
        <f>VLOOKUP($A1100,'[1]ma sp 02'!$A$5:$BD$1101,N$1,0)</f>
        <v>0</v>
      </c>
      <c r="O1100" s="50">
        <f>VLOOKUP($A1100,'[1]ma sp 02'!$A$5:$BD$1101,O$1,0)</f>
        <v>0</v>
      </c>
      <c r="P1100" s="50">
        <f>VLOOKUP($A1100,'[1]ma sp 02'!$A$5:$BD$1101,P$1,0)</f>
        <v>0</v>
      </c>
      <c r="Q1100" s="50">
        <f>VLOOKUP($A1100,'[1]ma sp 02'!$A$5:$BD$1101,Q$1,0)</f>
        <v>0</v>
      </c>
      <c r="R1100" s="50">
        <f>VLOOKUP($A1100,'[1]ma sp 02'!$A$5:$BD$1101,R$1,0)</f>
        <v>0</v>
      </c>
      <c r="S1100" s="50">
        <f>VLOOKUP($A1100,'[1]ma sp 02'!$A$5:$BD$1101,S$1,0)</f>
        <v>0</v>
      </c>
      <c r="T1100" s="50">
        <f>VLOOKUP($A1100,'[1]ma sp 02'!$A$5:$BD$1101,T$1,0)</f>
        <v>0</v>
      </c>
      <c r="U1100" s="50">
        <f>VLOOKUP($A1100,'[1]ma sp 02'!$A$5:$BD$1101,U$1,0)</f>
        <v>0</v>
      </c>
      <c r="V1100" s="50">
        <f>VLOOKUP($A1100,'[1]ma sp 02'!$A$5:$BD$1101,V$1,0)</f>
        <v>0</v>
      </c>
      <c r="W1100" s="50">
        <f>VLOOKUP($A1100,'[1]ma sp 02'!$A$5:$BD$1101,W$1,0)</f>
        <v>0</v>
      </c>
      <c r="X1100" s="50"/>
      <c r="Y1100" s="62"/>
      <c r="Z1100" s="62"/>
      <c r="AA1100" s="62"/>
      <c r="AB1100" s="62"/>
      <c r="AC1100" s="62"/>
      <c r="AD1100" s="62"/>
      <c r="AE1100" s="62" t="s">
        <v>3480</v>
      </c>
      <c r="AF1100" s="62"/>
      <c r="AG1100" s="53">
        <f>(0.02*0.91+0.07*0.925)*0.54</f>
        <v>4.4793000000000013E-2</v>
      </c>
      <c r="AH1100" s="54">
        <f>(2.3/0.75/2)*0.54</f>
        <v>0.82799999999999996</v>
      </c>
      <c r="AI1100" s="54"/>
      <c r="AJ1100" s="62">
        <v>9530</v>
      </c>
      <c r="AK1100" s="62"/>
      <c r="AL1100" s="9">
        <v>2.3E-3</v>
      </c>
      <c r="AM1100" s="61" t="s">
        <v>386</v>
      </c>
      <c r="AN1100" s="62">
        <v>360</v>
      </c>
      <c r="AO1100" s="61" t="s">
        <v>3481</v>
      </c>
      <c r="AP1100" s="59"/>
      <c r="AQ1100" s="59"/>
      <c r="AR1100" s="59"/>
      <c r="AS1100" s="59"/>
      <c r="AT1100" s="59"/>
      <c r="AU1100" s="59"/>
      <c r="AV1100" s="59"/>
      <c r="AW1100" s="59"/>
      <c r="AX1100" s="59"/>
      <c r="AY1100" s="59"/>
      <c r="AZ1100" s="59"/>
      <c r="BA1100" s="141"/>
      <c r="BB1100" s="61"/>
      <c r="BC1100" s="165"/>
      <c r="BD1100" s="166"/>
      <c r="BE1100" s="167"/>
      <c r="BF1100" s="168"/>
      <c r="BG1100" s="167"/>
      <c r="BH1100" s="168"/>
      <c r="BI1100" s="169"/>
      <c r="BJ1100" s="168"/>
      <c r="BK1100" s="134"/>
      <c r="BL1100" s="168"/>
      <c r="BM1100" s="167"/>
      <c r="BN1100" s="168"/>
      <c r="BO1100" s="62"/>
      <c r="BP1100" s="168"/>
      <c r="BQ1100" s="168"/>
      <c r="BR1100" s="168"/>
      <c r="BS1100" s="135"/>
      <c r="BT1100" s="176"/>
      <c r="BU1100" s="167"/>
      <c r="BV1100" s="168"/>
      <c r="BW1100" s="167"/>
      <c r="BX1100" s="168"/>
      <c r="BY1100" s="167"/>
      <c r="BZ1100" s="176"/>
      <c r="CA1100" s="167"/>
      <c r="CB1100" s="168"/>
      <c r="CC1100" s="167"/>
      <c r="CD1100" s="168"/>
      <c r="CE1100" s="62"/>
      <c r="CF1100" s="62"/>
      <c r="CG1100" s="9"/>
      <c r="CH1100" s="9"/>
      <c r="CI1100" s="9"/>
      <c r="CJ1100" s="9"/>
      <c r="CK1100" s="9"/>
      <c r="CL1100" s="9"/>
      <c r="CM1100" s="9"/>
      <c r="CN1100" s="9"/>
      <c r="CO1100" s="9"/>
      <c r="CP1100" s="9"/>
    </row>
    <row r="1101" spans="1:94" ht="30" x14ac:dyDescent="0.25">
      <c r="A1101" s="127" t="s">
        <v>3482</v>
      </c>
      <c r="B1101" s="51" t="s">
        <v>3483</v>
      </c>
      <c r="C1101" s="62"/>
      <c r="D1101" s="84"/>
      <c r="E1101" s="62" t="s">
        <v>731</v>
      </c>
      <c r="F1101" s="62">
        <v>6</v>
      </c>
      <c r="G1101" s="62"/>
      <c r="H1101" s="50">
        <f>VLOOKUP($A1101,'[1]ma sp 02'!$A$5:$BD$1101,H$1,0)</f>
        <v>0</v>
      </c>
      <c r="I1101" s="50">
        <f>VLOOKUP($A1101,'[1]ma sp 02'!$A$5:$BD$1101,I$1,0)</f>
        <v>0</v>
      </c>
      <c r="J1101" s="50">
        <f>VLOOKUP($A1101,'[1]ma sp 02'!$A$5:$BD$1101,J$1,0)</f>
        <v>0</v>
      </c>
      <c r="K1101" s="50">
        <f>VLOOKUP($A1101,'[1]ma sp 02'!$A$5:$BD$1101,K$1,0)</f>
        <v>0</v>
      </c>
      <c r="L1101" s="50">
        <f>VLOOKUP($A1101,'[1]ma sp 02'!$A$5:$BD$1101,L$1,0)</f>
        <v>0</v>
      </c>
      <c r="M1101" s="50">
        <f>VLOOKUP($A1101,'[1]ma sp 02'!$A$5:$BD$1101,M$1,0)</f>
        <v>0</v>
      </c>
      <c r="N1101" s="50">
        <f>VLOOKUP($A1101,'[1]ma sp 02'!$A$5:$BD$1101,N$1,0)</f>
        <v>0</v>
      </c>
      <c r="O1101" s="50">
        <f>VLOOKUP($A1101,'[1]ma sp 02'!$A$5:$BD$1101,O$1,0)</f>
        <v>0</v>
      </c>
      <c r="P1101" s="50">
        <f>VLOOKUP($A1101,'[1]ma sp 02'!$A$5:$BD$1101,P$1,0)</f>
        <v>0</v>
      </c>
      <c r="Q1101" s="50">
        <f>VLOOKUP($A1101,'[1]ma sp 02'!$A$5:$BD$1101,Q$1,0)</f>
        <v>0</v>
      </c>
      <c r="R1101" s="50">
        <f>VLOOKUP($A1101,'[1]ma sp 02'!$A$5:$BD$1101,R$1,0)</f>
        <v>0</v>
      </c>
      <c r="S1101" s="50">
        <f>VLOOKUP($A1101,'[1]ma sp 02'!$A$5:$BD$1101,S$1,0)</f>
        <v>0</v>
      </c>
      <c r="T1101" s="50">
        <f>VLOOKUP($A1101,'[1]ma sp 02'!$A$5:$BD$1101,T$1,0)</f>
        <v>0</v>
      </c>
      <c r="U1101" s="50">
        <f>VLOOKUP($A1101,'[1]ma sp 02'!$A$5:$BD$1101,U$1,0)</f>
        <v>0</v>
      </c>
      <c r="V1101" s="50">
        <f>VLOOKUP($A1101,'[1]ma sp 02'!$A$5:$BD$1101,V$1,0)</f>
        <v>0</v>
      </c>
      <c r="W1101" s="50">
        <f>VLOOKUP($A1101,'[1]ma sp 02'!$A$5:$BD$1101,W$1,0)</f>
        <v>0</v>
      </c>
      <c r="X1101" s="50"/>
      <c r="Y1101" s="62"/>
      <c r="Z1101" s="62"/>
      <c r="AA1101" s="62"/>
      <c r="AB1101" s="62"/>
      <c r="AC1101" s="62"/>
      <c r="AD1101" s="62"/>
      <c r="AE1101" s="62" t="s">
        <v>3484</v>
      </c>
      <c r="AF1101" s="62" t="s">
        <v>3485</v>
      </c>
      <c r="AG1101" s="53">
        <f>(0.012*1.4+0.006*2.71+ 0.08*0.925)*0.57</f>
        <v>6.1024200000000001E-2</v>
      </c>
      <c r="AH1101" s="54">
        <f>(2.3/0.75/2)*0.57</f>
        <v>0.87399999999999989</v>
      </c>
      <c r="AI1101" s="54">
        <f>(2.3/0.75/2)*0.57</f>
        <v>0.87399999999999989</v>
      </c>
      <c r="AJ1101" s="62">
        <v>9530</v>
      </c>
      <c r="AK1101" s="62">
        <v>9530</v>
      </c>
      <c r="AL1101" s="9" t="s">
        <v>354</v>
      </c>
      <c r="AM1101" s="61" t="s">
        <v>1489</v>
      </c>
      <c r="AN1101" s="62"/>
      <c r="AO1101" s="61" t="s">
        <v>612</v>
      </c>
      <c r="AP1101" s="59"/>
      <c r="AQ1101" s="59"/>
      <c r="AR1101" s="59"/>
      <c r="AS1101" s="59"/>
      <c r="AT1101" s="59"/>
      <c r="AU1101" s="59"/>
      <c r="AV1101" s="59"/>
      <c r="AW1101" s="59"/>
      <c r="AX1101" s="59"/>
      <c r="AY1101" s="59"/>
      <c r="AZ1101" s="59"/>
      <c r="BA1101" s="141"/>
      <c r="BB1101" s="61" t="s">
        <v>952</v>
      </c>
      <c r="BC1101" s="165"/>
      <c r="BD1101" s="166"/>
      <c r="BE1101" s="167"/>
      <c r="BF1101" s="168"/>
      <c r="BG1101" s="167"/>
      <c r="BH1101" s="168"/>
      <c r="BI1101" s="169"/>
      <c r="BJ1101" s="168"/>
      <c r="BK1101" s="134"/>
      <c r="BL1101" s="168"/>
      <c r="BM1101" s="167"/>
      <c r="BN1101" s="168"/>
      <c r="BO1101" s="62"/>
      <c r="BP1101" s="168"/>
      <c r="BQ1101" s="168"/>
      <c r="BR1101" s="168"/>
      <c r="BS1101" s="135"/>
      <c r="BT1101" s="176"/>
      <c r="BU1101" s="167"/>
      <c r="BV1101" s="168"/>
      <c r="BW1101" s="167"/>
      <c r="BX1101" s="168"/>
      <c r="BY1101" s="167"/>
      <c r="BZ1101" s="176"/>
      <c r="CA1101" s="167"/>
      <c r="CB1101" s="168"/>
      <c r="CC1101" s="167"/>
      <c r="CD1101" s="168"/>
      <c r="CE1101" s="62"/>
      <c r="CF1101" s="62"/>
      <c r="CG1101" s="9"/>
      <c r="CH1101" s="9"/>
      <c r="CI1101" s="9"/>
      <c r="CJ1101" s="9"/>
      <c r="CK1101" s="9"/>
      <c r="CL1101" s="9"/>
      <c r="CM1101" s="9"/>
      <c r="CN1101" s="9"/>
      <c r="CO1101" s="9"/>
      <c r="CP1101" s="9"/>
    </row>
    <row r="1102" spans="1:94" ht="15.75" x14ac:dyDescent="0.25">
      <c r="A1102" s="127" t="s">
        <v>3486</v>
      </c>
      <c r="B1102" s="72" t="s">
        <v>3487</v>
      </c>
      <c r="C1102" s="62"/>
      <c r="D1102" s="84"/>
      <c r="E1102" s="62"/>
      <c r="F1102" s="62"/>
      <c r="G1102" s="62"/>
      <c r="H1102" s="50">
        <f>VLOOKUP($A1102,'[1]ma sp 02'!$A$5:$BD$1101,H$1,0)</f>
        <v>0</v>
      </c>
      <c r="I1102" s="50">
        <f>VLOOKUP($A1102,'[1]ma sp 02'!$A$5:$BD$1101,I$1,0)</f>
        <v>0</v>
      </c>
      <c r="J1102" s="50">
        <f>VLOOKUP($A1102,'[1]ma sp 02'!$A$5:$BD$1101,J$1,0)</f>
        <v>0</v>
      </c>
      <c r="K1102" s="50">
        <f>VLOOKUP($A1102,'[1]ma sp 02'!$A$5:$BD$1101,K$1,0)</f>
        <v>0</v>
      </c>
      <c r="L1102" s="50">
        <f>VLOOKUP($A1102,'[1]ma sp 02'!$A$5:$BD$1101,L$1,0)</f>
        <v>0</v>
      </c>
      <c r="M1102" s="50">
        <f>VLOOKUP($A1102,'[1]ma sp 02'!$A$5:$BD$1101,M$1,0)</f>
        <v>0</v>
      </c>
      <c r="N1102" s="50">
        <f>VLOOKUP($A1102,'[1]ma sp 02'!$A$5:$BD$1101,N$1,0)</f>
        <v>0</v>
      </c>
      <c r="O1102" s="50">
        <f>VLOOKUP($A1102,'[1]ma sp 02'!$A$5:$BD$1101,O$1,0)</f>
        <v>0</v>
      </c>
      <c r="P1102" s="50">
        <f>VLOOKUP($A1102,'[1]ma sp 02'!$A$5:$BD$1101,P$1,0)</f>
        <v>0</v>
      </c>
      <c r="Q1102" s="50">
        <f>VLOOKUP($A1102,'[1]ma sp 02'!$A$5:$BD$1101,Q$1,0)</f>
        <v>0</v>
      </c>
      <c r="R1102" s="50">
        <f>VLOOKUP($A1102,'[1]ma sp 02'!$A$5:$BD$1101,R$1,0)</f>
        <v>0</v>
      </c>
      <c r="S1102" s="50">
        <f>VLOOKUP($A1102,'[1]ma sp 02'!$A$5:$BD$1101,S$1,0)</f>
        <v>0</v>
      </c>
      <c r="T1102" s="50">
        <f>VLOOKUP($A1102,'[1]ma sp 02'!$A$5:$BD$1101,T$1,0)</f>
        <v>0</v>
      </c>
      <c r="U1102" s="50">
        <f>VLOOKUP($A1102,'[1]ma sp 02'!$A$5:$BD$1101,U$1,0)</f>
        <v>0</v>
      </c>
      <c r="V1102" s="50">
        <f>VLOOKUP($A1102,'[1]ma sp 02'!$A$5:$BD$1101,V$1,0)</f>
        <v>0</v>
      </c>
      <c r="W1102" s="50">
        <f>VLOOKUP($A1102,'[1]ma sp 02'!$A$5:$BD$1101,W$1,0)</f>
        <v>0</v>
      </c>
      <c r="X1102" s="50"/>
      <c r="Y1102" s="62"/>
      <c r="Z1102" s="62"/>
      <c r="AA1102" s="62"/>
      <c r="AB1102" s="62"/>
      <c r="AC1102" s="62"/>
      <c r="AD1102" s="62"/>
      <c r="AE1102" s="62"/>
      <c r="AF1102" s="62"/>
      <c r="AG1102" s="53"/>
      <c r="AH1102" s="54"/>
      <c r="AI1102" s="54"/>
      <c r="AJ1102" s="62"/>
      <c r="AK1102" s="62"/>
      <c r="AL1102" s="9"/>
      <c r="AM1102" s="61"/>
      <c r="AN1102" s="62"/>
      <c r="AO1102" s="197" t="s">
        <v>3465</v>
      </c>
      <c r="AP1102" s="59"/>
      <c r="AQ1102" s="59"/>
      <c r="AR1102" s="59"/>
      <c r="AS1102" s="59"/>
      <c r="AT1102" s="59"/>
      <c r="AU1102" s="59"/>
      <c r="AV1102" s="59"/>
      <c r="AW1102" s="59"/>
      <c r="AX1102" s="59"/>
      <c r="AY1102" s="59"/>
      <c r="AZ1102" s="59"/>
      <c r="BA1102" s="141"/>
      <c r="BB1102" s="61"/>
      <c r="BC1102" s="165"/>
      <c r="BD1102" s="166"/>
      <c r="BE1102" s="167"/>
      <c r="BF1102" s="168"/>
      <c r="BG1102" s="167"/>
      <c r="BH1102" s="168"/>
      <c r="BI1102" s="169"/>
      <c r="BJ1102" s="168"/>
      <c r="BK1102" s="134"/>
      <c r="BL1102" s="168"/>
      <c r="BM1102" s="167"/>
      <c r="BN1102" s="168"/>
      <c r="BO1102" s="62"/>
      <c r="BP1102" s="168"/>
      <c r="BQ1102" s="168"/>
      <c r="BR1102" s="168"/>
      <c r="BS1102" s="135"/>
      <c r="BT1102" s="176"/>
      <c r="BU1102" s="167"/>
      <c r="BV1102" s="168"/>
      <c r="BW1102" s="167"/>
      <c r="BX1102" s="168"/>
      <c r="BY1102" s="167"/>
      <c r="BZ1102" s="176"/>
      <c r="CA1102" s="167"/>
      <c r="CB1102" s="168"/>
      <c r="CC1102" s="167"/>
      <c r="CD1102" s="168"/>
      <c r="CE1102" s="62"/>
      <c r="CF1102" s="62"/>
      <c r="CG1102" s="9"/>
      <c r="CH1102" s="9"/>
      <c r="CI1102" s="9"/>
      <c r="CJ1102" s="9"/>
      <c r="CK1102" s="9"/>
      <c r="CL1102" s="9"/>
      <c r="CM1102" s="9"/>
      <c r="CN1102" s="9"/>
      <c r="CO1102" s="9"/>
      <c r="CP1102" s="9"/>
    </row>
    <row r="1103" spans="1:94" x14ac:dyDescent="0.25">
      <c r="A1103" s="127" t="s">
        <v>3488</v>
      </c>
      <c r="B1103" s="51"/>
      <c r="C1103" s="62"/>
      <c r="D1103" s="84"/>
      <c r="E1103" s="62"/>
      <c r="F1103" s="62"/>
      <c r="G1103" s="62"/>
      <c r="H1103" s="50">
        <f>VLOOKUP($A1103,'[1]ma sp 02'!$A$5:$BD$1101,H$1,0)</f>
        <v>0</v>
      </c>
      <c r="I1103" s="50">
        <f>VLOOKUP($A1103,'[1]ma sp 02'!$A$5:$BD$1101,I$1,0)</f>
        <v>0</v>
      </c>
      <c r="J1103" s="50">
        <f>VLOOKUP($A1103,'[1]ma sp 02'!$A$5:$BD$1101,J$1,0)</f>
        <v>0</v>
      </c>
      <c r="K1103" s="50">
        <f>VLOOKUP($A1103,'[1]ma sp 02'!$A$5:$BD$1101,K$1,0)</f>
        <v>0</v>
      </c>
      <c r="L1103" s="50">
        <f>VLOOKUP($A1103,'[1]ma sp 02'!$A$5:$BD$1101,L$1,0)</f>
        <v>0</v>
      </c>
      <c r="M1103" s="50">
        <f>VLOOKUP($A1103,'[1]ma sp 02'!$A$5:$BD$1101,M$1,0)</f>
        <v>0</v>
      </c>
      <c r="N1103" s="50">
        <f>VLOOKUP($A1103,'[1]ma sp 02'!$A$5:$BD$1101,N$1,0)</f>
        <v>0</v>
      </c>
      <c r="O1103" s="50">
        <f>VLOOKUP($A1103,'[1]ma sp 02'!$A$5:$BD$1101,O$1,0)</f>
        <v>0</v>
      </c>
      <c r="P1103" s="50">
        <f>VLOOKUP($A1103,'[1]ma sp 02'!$A$5:$BD$1101,P$1,0)</f>
        <v>0</v>
      </c>
      <c r="Q1103" s="50">
        <f>VLOOKUP($A1103,'[1]ma sp 02'!$A$5:$BD$1101,Q$1,0)</f>
        <v>0</v>
      </c>
      <c r="R1103" s="50">
        <f>VLOOKUP($A1103,'[1]ma sp 02'!$A$5:$BD$1101,R$1,0)</f>
        <v>0</v>
      </c>
      <c r="S1103" s="50">
        <f>VLOOKUP($A1103,'[1]ma sp 02'!$A$5:$BD$1101,S$1,0)</f>
        <v>0</v>
      </c>
      <c r="T1103" s="50">
        <f>VLOOKUP($A1103,'[1]ma sp 02'!$A$5:$BD$1101,T$1,0)</f>
        <v>0</v>
      </c>
      <c r="U1103" s="50">
        <f>VLOOKUP($A1103,'[1]ma sp 02'!$A$5:$BD$1101,U$1,0)</f>
        <v>0</v>
      </c>
      <c r="V1103" s="50">
        <f>VLOOKUP($A1103,'[1]ma sp 02'!$A$5:$BD$1101,V$1,0)</f>
        <v>0</v>
      </c>
      <c r="W1103" s="50">
        <f>VLOOKUP($A1103,'[1]ma sp 02'!$A$5:$BD$1101,W$1,0)</f>
        <v>0</v>
      </c>
      <c r="X1103" s="50"/>
      <c r="Y1103" s="62"/>
      <c r="Z1103" s="62"/>
      <c r="AA1103" s="62"/>
      <c r="AB1103" s="62"/>
      <c r="AC1103" s="62"/>
      <c r="AD1103" s="62"/>
      <c r="AE1103" s="62"/>
      <c r="AF1103" s="62"/>
      <c r="AG1103" s="53"/>
      <c r="AH1103" s="54"/>
      <c r="AI1103" s="54"/>
      <c r="AJ1103" s="62"/>
      <c r="AK1103" s="62"/>
      <c r="AL1103" s="9"/>
      <c r="AM1103" s="61"/>
      <c r="AN1103" s="62"/>
      <c r="AO1103" s="61"/>
      <c r="AP1103" s="59"/>
      <c r="AQ1103" s="59"/>
      <c r="AR1103" s="59"/>
      <c r="AS1103" s="59"/>
      <c r="AT1103" s="59"/>
      <c r="AU1103" s="59"/>
      <c r="AV1103" s="59"/>
      <c r="AW1103" s="59"/>
      <c r="AX1103" s="59"/>
      <c r="AY1103" s="59"/>
      <c r="AZ1103" s="59"/>
      <c r="BA1103" s="141"/>
      <c r="BB1103" s="61"/>
      <c r="BC1103" s="165"/>
      <c r="BD1103" s="166"/>
      <c r="BE1103" s="167"/>
      <c r="BF1103" s="168"/>
      <c r="BG1103" s="167"/>
      <c r="BH1103" s="168"/>
      <c r="BI1103" s="169"/>
      <c r="BJ1103" s="168"/>
      <c r="BK1103" s="134"/>
      <c r="BL1103" s="168"/>
      <c r="BM1103" s="167"/>
      <c r="BN1103" s="168"/>
      <c r="BO1103" s="62"/>
      <c r="BP1103" s="168"/>
      <c r="BQ1103" s="168"/>
      <c r="BR1103" s="168"/>
      <c r="BS1103" s="135"/>
      <c r="BT1103" s="176"/>
      <c r="BU1103" s="167"/>
      <c r="BV1103" s="168"/>
      <c r="BW1103" s="167"/>
      <c r="BX1103" s="168"/>
      <c r="BY1103" s="167"/>
      <c r="BZ1103" s="176"/>
      <c r="CA1103" s="167"/>
      <c r="CB1103" s="168"/>
      <c r="CC1103" s="167"/>
      <c r="CD1103" s="168"/>
      <c r="CE1103" s="62"/>
      <c r="CF1103" s="62"/>
      <c r="CG1103" s="9"/>
      <c r="CH1103" s="9"/>
      <c r="CI1103" s="9"/>
      <c r="CJ1103" s="9"/>
      <c r="CK1103" s="9"/>
      <c r="CL1103" s="9"/>
      <c r="CM1103" s="9"/>
      <c r="CN1103" s="9"/>
      <c r="CO1103" s="9"/>
      <c r="CP1103" s="9"/>
    </row>
    <row r="1104" spans="1:94" ht="45" x14ac:dyDescent="0.25">
      <c r="A1104" s="127" t="s">
        <v>3489</v>
      </c>
      <c r="B1104" s="51" t="s">
        <v>3490</v>
      </c>
      <c r="C1104" s="62"/>
      <c r="D1104" s="84">
        <v>1</v>
      </c>
      <c r="E1104" s="62" t="s">
        <v>3385</v>
      </c>
      <c r="F1104" s="62">
        <v>8</v>
      </c>
      <c r="G1104" s="62"/>
      <c r="H1104" s="50">
        <f>VLOOKUP($A1104,'[1]ma sp 02'!$A$5:$BD$1101,H$1,0)</f>
        <v>0</v>
      </c>
      <c r="I1104" s="50">
        <f>VLOOKUP($A1104,'[1]ma sp 02'!$A$5:$BD$1101,I$1,0)</f>
        <v>0</v>
      </c>
      <c r="J1104" s="50">
        <f>VLOOKUP($A1104,'[1]ma sp 02'!$A$5:$BD$1101,J$1,0)</f>
        <v>0</v>
      </c>
      <c r="K1104" s="50">
        <f>VLOOKUP($A1104,'[1]ma sp 02'!$A$5:$BD$1101,K$1,0)</f>
        <v>0</v>
      </c>
      <c r="L1104" s="50">
        <f>VLOOKUP($A1104,'[1]ma sp 02'!$A$5:$BD$1101,L$1,0)</f>
        <v>0</v>
      </c>
      <c r="M1104" s="50">
        <f>VLOOKUP($A1104,'[1]ma sp 02'!$A$5:$BD$1101,M$1,0)</f>
        <v>0</v>
      </c>
      <c r="N1104" s="50">
        <f>VLOOKUP($A1104,'[1]ma sp 02'!$A$5:$BD$1101,N$1,0)</f>
        <v>0</v>
      </c>
      <c r="O1104" s="50">
        <f>VLOOKUP($A1104,'[1]ma sp 02'!$A$5:$BD$1101,O$1,0)</f>
        <v>0</v>
      </c>
      <c r="P1104" s="50">
        <f>VLOOKUP($A1104,'[1]ma sp 02'!$A$5:$BD$1101,P$1,0)</f>
        <v>0</v>
      </c>
      <c r="Q1104" s="50">
        <f>VLOOKUP($A1104,'[1]ma sp 02'!$A$5:$BD$1101,Q$1,0)</f>
        <v>0</v>
      </c>
      <c r="R1104" s="50">
        <f>VLOOKUP($A1104,'[1]ma sp 02'!$A$5:$BD$1101,R$1,0)</f>
        <v>0</v>
      </c>
      <c r="S1104" s="50">
        <f>VLOOKUP($A1104,'[1]ma sp 02'!$A$5:$BD$1101,S$1,0)</f>
        <v>0</v>
      </c>
      <c r="T1104" s="50">
        <f>VLOOKUP($A1104,'[1]ma sp 02'!$A$5:$BD$1101,T$1,0)</f>
        <v>0</v>
      </c>
      <c r="U1104" s="50">
        <f>VLOOKUP($A1104,'[1]ma sp 02'!$A$5:$BD$1101,U$1,0)</f>
        <v>0</v>
      </c>
      <c r="V1104" s="50">
        <f>VLOOKUP($A1104,'[1]ma sp 02'!$A$5:$BD$1101,V$1,0)</f>
        <v>0</v>
      </c>
      <c r="W1104" s="50">
        <f>VLOOKUP($A1104,'[1]ma sp 02'!$A$5:$BD$1101,W$1,0)</f>
        <v>0</v>
      </c>
      <c r="X1104" s="50"/>
      <c r="Y1104" s="62"/>
      <c r="Z1104" s="62"/>
      <c r="AA1104" s="62"/>
      <c r="AB1104" s="62"/>
      <c r="AC1104" s="62"/>
      <c r="AD1104" s="62"/>
      <c r="AE1104" s="62" t="s">
        <v>3386</v>
      </c>
      <c r="AF1104" s="61" t="s">
        <v>3387</v>
      </c>
      <c r="AG1104" s="53">
        <f>(0.02*0.91+0.0064+0.015*1.15+0.05*0.94)*0.978</f>
        <v>8.6895299999999995E-2</v>
      </c>
      <c r="AH1104" s="54">
        <f>(4/0.75/2)*0.978</f>
        <v>2.6079999999999997</v>
      </c>
      <c r="AI1104" s="54">
        <f>(4/0.75/2)*0.978</f>
        <v>2.6079999999999997</v>
      </c>
      <c r="AJ1104" s="62">
        <v>9530</v>
      </c>
      <c r="AK1104" s="62">
        <v>9530</v>
      </c>
      <c r="AL1104" s="9" t="s">
        <v>3388</v>
      </c>
      <c r="AM1104" s="61" t="s">
        <v>1489</v>
      </c>
      <c r="AN1104" s="62">
        <v>200</v>
      </c>
      <c r="AO1104" s="61" t="s">
        <v>3389</v>
      </c>
      <c r="AP1104" s="59"/>
      <c r="AQ1104" s="59"/>
      <c r="AR1104" s="59"/>
      <c r="AS1104" s="59"/>
      <c r="AT1104" s="59"/>
      <c r="AU1104" s="59"/>
      <c r="AV1104" s="59"/>
      <c r="AW1104" s="59"/>
      <c r="AX1104" s="59"/>
      <c r="AY1104" s="59"/>
      <c r="AZ1104" s="59"/>
      <c r="BA1104" s="141" t="s">
        <v>1936</v>
      </c>
      <c r="BB1104" s="61" t="s">
        <v>952</v>
      </c>
      <c r="BC1104" s="165"/>
      <c r="BD1104" s="166"/>
      <c r="BE1104" s="167"/>
      <c r="BF1104" s="168"/>
      <c r="BG1104" s="167"/>
      <c r="BH1104" s="168"/>
      <c r="BI1104" s="169"/>
      <c r="BJ1104" s="168"/>
      <c r="BK1104" s="134"/>
      <c r="BL1104" s="168"/>
      <c r="BM1104" s="167"/>
      <c r="BN1104" s="168"/>
      <c r="BO1104" s="62"/>
      <c r="BP1104" s="168"/>
      <c r="BQ1104" s="168"/>
      <c r="BR1104" s="168"/>
      <c r="BS1104" s="135"/>
      <c r="BT1104" s="176"/>
      <c r="BU1104" s="167"/>
      <c r="BV1104" s="168"/>
      <c r="BW1104" s="167"/>
      <c r="BX1104" s="168"/>
      <c r="BY1104" s="167"/>
      <c r="BZ1104" s="176"/>
      <c r="CA1104" s="167"/>
      <c r="CB1104" s="168"/>
      <c r="CC1104" s="167"/>
      <c r="CD1104" s="168"/>
      <c r="CE1104" s="62"/>
      <c r="CF1104" s="62"/>
      <c r="CG1104" s="9"/>
      <c r="CH1104" s="9"/>
      <c r="CI1104" s="9"/>
      <c r="CJ1104" s="9"/>
      <c r="CK1104" s="9"/>
      <c r="CL1104" s="9"/>
      <c r="CM1104" s="9"/>
      <c r="CN1104" s="9"/>
      <c r="CO1104" s="9"/>
      <c r="CP1104" s="9"/>
    </row>
    <row r="1105" spans="1:94" ht="45" x14ac:dyDescent="0.25">
      <c r="A1105" s="127" t="s">
        <v>3491</v>
      </c>
      <c r="B1105" s="51" t="s">
        <v>3492</v>
      </c>
      <c r="C1105" s="62"/>
      <c r="D1105" s="84">
        <v>1</v>
      </c>
      <c r="E1105" s="62" t="s">
        <v>3385</v>
      </c>
      <c r="F1105" s="62">
        <v>8</v>
      </c>
      <c r="G1105" s="62"/>
      <c r="H1105" s="50"/>
      <c r="I1105" s="50"/>
      <c r="J1105" s="50"/>
      <c r="K1105" s="50"/>
      <c r="L1105" s="50"/>
      <c r="M1105" s="50"/>
      <c r="N1105" s="50"/>
      <c r="O1105" s="50"/>
      <c r="P1105" s="50"/>
      <c r="Q1105" s="50"/>
      <c r="R1105" s="50"/>
      <c r="S1105" s="50"/>
      <c r="T1105" s="50"/>
      <c r="U1105" s="50"/>
      <c r="V1105" s="50"/>
      <c r="W1105" s="50"/>
      <c r="X1105" s="50"/>
      <c r="Y1105" s="62"/>
      <c r="Z1105" s="62"/>
      <c r="AA1105" s="62"/>
      <c r="AB1105" s="62"/>
      <c r="AC1105" s="62"/>
      <c r="AD1105" s="62"/>
      <c r="AE1105" s="62" t="s">
        <v>3386</v>
      </c>
      <c r="AF1105" s="61" t="s">
        <v>3387</v>
      </c>
      <c r="AG1105" s="53">
        <f>(0.02*0.91+0.0064+0.015*1.15+0.05*0.94)*0.978</f>
        <v>8.6895299999999995E-2</v>
      </c>
      <c r="AH1105" s="54">
        <f>(4/0.75/2)*0.978</f>
        <v>2.6079999999999997</v>
      </c>
      <c r="AI1105" s="54">
        <f>(4/0.75/2)*0.978</f>
        <v>2.6079999999999997</v>
      </c>
      <c r="AJ1105" s="62">
        <v>9530</v>
      </c>
      <c r="AK1105" s="62">
        <v>9530</v>
      </c>
      <c r="AL1105" s="9" t="s">
        <v>3388</v>
      </c>
      <c r="AM1105" s="61" t="s">
        <v>1489</v>
      </c>
      <c r="AN1105" s="62">
        <v>200</v>
      </c>
      <c r="AO1105" s="61" t="s">
        <v>3389</v>
      </c>
      <c r="AP1105" s="59"/>
      <c r="AQ1105" s="59"/>
      <c r="AR1105" s="59"/>
      <c r="AS1105" s="59"/>
      <c r="AT1105" s="59"/>
      <c r="AU1105" s="59"/>
      <c r="AV1105" s="59"/>
      <c r="AW1105" s="59"/>
      <c r="AX1105" s="59"/>
      <c r="AY1105" s="59"/>
      <c r="AZ1105" s="59"/>
      <c r="BA1105" s="141" t="s">
        <v>1936</v>
      </c>
      <c r="BB1105" s="61" t="s">
        <v>952</v>
      </c>
      <c r="BC1105" s="165"/>
      <c r="BD1105" s="166"/>
      <c r="BE1105" s="167"/>
      <c r="BF1105" s="168"/>
      <c r="BG1105" s="167"/>
      <c r="BH1105" s="168"/>
      <c r="BI1105" s="169"/>
      <c r="BJ1105" s="168"/>
      <c r="BK1105" s="134"/>
      <c r="BL1105" s="168"/>
      <c r="BM1105" s="167"/>
      <c r="BN1105" s="168"/>
      <c r="BO1105" s="62"/>
      <c r="BP1105" s="168"/>
      <c r="BQ1105" s="168"/>
      <c r="BR1105" s="168"/>
      <c r="BS1105" s="135"/>
      <c r="BT1105" s="176"/>
      <c r="BU1105" s="167"/>
      <c r="BV1105" s="168"/>
      <c r="BW1105" s="167"/>
      <c r="BX1105" s="168"/>
      <c r="BY1105" s="167"/>
      <c r="BZ1105" s="176"/>
      <c r="CA1105" s="167"/>
      <c r="CB1105" s="168"/>
      <c r="CC1105" s="167"/>
      <c r="CD1105" s="168"/>
      <c r="CE1105" s="62"/>
      <c r="CF1105" s="62"/>
      <c r="CG1105" s="9"/>
      <c r="CH1105" s="9"/>
      <c r="CI1105" s="9"/>
      <c r="CJ1105" s="9"/>
      <c r="CK1105" s="9"/>
      <c r="CL1105" s="9"/>
      <c r="CM1105" s="9"/>
      <c r="CN1105" s="9"/>
      <c r="CO1105" s="9"/>
      <c r="CP1105" s="9"/>
    </row>
    <row r="1106" spans="1:94" ht="30" x14ac:dyDescent="0.25">
      <c r="A1106" s="127" t="s">
        <v>3493</v>
      </c>
      <c r="B1106" s="51" t="s">
        <v>3494</v>
      </c>
      <c r="C1106" s="62"/>
      <c r="D1106" s="84">
        <v>1</v>
      </c>
      <c r="E1106" s="62" t="s">
        <v>3495</v>
      </c>
      <c r="F1106" s="62">
        <v>4</v>
      </c>
      <c r="G1106" s="62"/>
      <c r="H1106" s="50"/>
      <c r="I1106" s="50"/>
      <c r="J1106" s="50"/>
      <c r="K1106" s="50"/>
      <c r="L1106" s="50"/>
      <c r="M1106" s="50"/>
      <c r="N1106" s="50"/>
      <c r="O1106" s="50"/>
      <c r="P1106" s="50"/>
      <c r="Q1106" s="50"/>
      <c r="R1106" s="50"/>
      <c r="S1106" s="50"/>
      <c r="T1106" s="50"/>
      <c r="U1106" s="50"/>
      <c r="V1106" s="50"/>
      <c r="W1106" s="50"/>
      <c r="X1106" s="50"/>
      <c r="Y1106" s="62"/>
      <c r="Z1106" s="62"/>
      <c r="AA1106" s="62"/>
      <c r="AB1106" s="62"/>
      <c r="AC1106" s="62"/>
      <c r="AD1106" s="62"/>
      <c r="AE1106" s="62" t="s">
        <v>3411</v>
      </c>
      <c r="AF1106" s="62"/>
      <c r="AG1106" s="53">
        <f>(0.04*0.98+0.025*0.925)*1.21</f>
        <v>7.5413250000000001E-2</v>
      </c>
      <c r="AH1106" s="54">
        <f>(1.2/0.75/2)*1.22</f>
        <v>0.97599999999999987</v>
      </c>
      <c r="AI1106" s="54"/>
      <c r="AJ1106" s="62" t="s">
        <v>1881</v>
      </c>
      <c r="AK1106" s="62"/>
      <c r="AL1106" s="9">
        <v>1.1999999999999999E-3</v>
      </c>
      <c r="AM1106" s="61" t="s">
        <v>1489</v>
      </c>
      <c r="AN1106" s="62">
        <v>3010</v>
      </c>
      <c r="AO1106" s="61" t="s">
        <v>3412</v>
      </c>
      <c r="AP1106" s="59"/>
      <c r="AQ1106" s="59"/>
      <c r="AR1106" s="59"/>
      <c r="AS1106" s="59"/>
      <c r="AT1106" s="59"/>
      <c r="AU1106" s="59"/>
      <c r="AV1106" s="59"/>
      <c r="AW1106" s="59"/>
      <c r="AX1106" s="59"/>
      <c r="AY1106" s="59"/>
      <c r="AZ1106" s="59"/>
      <c r="BA1106" s="141" t="s">
        <v>1936</v>
      </c>
      <c r="BB1106" s="61" t="s">
        <v>952</v>
      </c>
      <c r="BC1106" s="165"/>
      <c r="BD1106" s="166"/>
      <c r="BE1106" s="167"/>
      <c r="BF1106" s="168"/>
      <c r="BG1106" s="167"/>
      <c r="BH1106" s="168"/>
      <c r="BI1106" s="169"/>
      <c r="BJ1106" s="168"/>
      <c r="BK1106" s="134"/>
      <c r="BL1106" s="168"/>
      <c r="BM1106" s="167"/>
      <c r="BN1106" s="168"/>
      <c r="BO1106" s="62"/>
      <c r="BP1106" s="168"/>
      <c r="BQ1106" s="168"/>
      <c r="BR1106" s="168"/>
      <c r="BS1106" s="135"/>
      <c r="BT1106" s="176"/>
      <c r="BU1106" s="167"/>
      <c r="BV1106" s="168"/>
      <c r="BW1106" s="167"/>
      <c r="BX1106" s="168"/>
      <c r="BY1106" s="167"/>
      <c r="BZ1106" s="176"/>
      <c r="CA1106" s="167"/>
      <c r="CB1106" s="168"/>
      <c r="CC1106" s="167"/>
      <c r="CD1106" s="168"/>
      <c r="CE1106" s="62"/>
      <c r="CF1106" s="62"/>
      <c r="CG1106" s="9"/>
      <c r="CH1106" s="9"/>
      <c r="CI1106" s="9"/>
      <c r="CJ1106" s="9"/>
      <c r="CK1106" s="9"/>
      <c r="CL1106" s="9"/>
      <c r="CM1106" s="9"/>
      <c r="CN1106" s="9"/>
      <c r="CO1106" s="9"/>
      <c r="CP1106" s="9"/>
    </row>
    <row r="1107" spans="1:94" ht="45" x14ac:dyDescent="0.25">
      <c r="A1107" s="127" t="s">
        <v>3496</v>
      </c>
      <c r="B1107" s="51" t="s">
        <v>3497</v>
      </c>
      <c r="C1107" s="62"/>
      <c r="D1107" s="84">
        <v>1</v>
      </c>
      <c r="E1107" s="62" t="s">
        <v>3498</v>
      </c>
      <c r="F1107" s="62">
        <v>5</v>
      </c>
      <c r="G1107" s="62"/>
      <c r="H1107" s="50"/>
      <c r="I1107" s="50"/>
      <c r="J1107" s="50"/>
      <c r="K1107" s="50"/>
      <c r="L1107" s="50"/>
      <c r="M1107" s="50"/>
      <c r="N1107" s="50"/>
      <c r="O1107" s="50"/>
      <c r="P1107" s="50"/>
      <c r="Q1107" s="50"/>
      <c r="R1107" s="50"/>
      <c r="S1107" s="50"/>
      <c r="T1107" s="50"/>
      <c r="U1107" s="50"/>
      <c r="V1107" s="50"/>
      <c r="W1107" s="50"/>
      <c r="X1107" s="50"/>
      <c r="Y1107" s="62"/>
      <c r="Z1107" s="62"/>
      <c r="AA1107" s="62"/>
      <c r="AB1107" s="62"/>
      <c r="AC1107" s="62"/>
      <c r="AD1107" s="62"/>
      <c r="AE1107" s="62" t="s">
        <v>3499</v>
      </c>
      <c r="AF1107" s="61" t="s">
        <v>3500</v>
      </c>
      <c r="AG1107" s="53">
        <f>(0.02*0.91+0.0064+0.015*1.15+0.05*0.94)*1</f>
        <v>8.8849999999999998E-2</v>
      </c>
      <c r="AH1107" s="54">
        <f t="shared" ref="AH1107:AI1111" si="45">(4/0.75/2)*1</f>
        <v>2.6666666666666665</v>
      </c>
      <c r="AI1107" s="54">
        <f t="shared" si="45"/>
        <v>2.6666666666666665</v>
      </c>
      <c r="AJ1107" s="62">
        <v>9530</v>
      </c>
      <c r="AK1107" s="62">
        <v>9530</v>
      </c>
      <c r="AL1107" s="9" t="s">
        <v>3388</v>
      </c>
      <c r="AM1107" s="61" t="s">
        <v>1489</v>
      </c>
      <c r="AN1107" s="62">
        <v>80</v>
      </c>
      <c r="AO1107" s="61" t="s">
        <v>3501</v>
      </c>
      <c r="AP1107" s="59"/>
      <c r="AQ1107" s="59"/>
      <c r="AR1107" s="59"/>
      <c r="AS1107" s="59"/>
      <c r="AT1107" s="59"/>
      <c r="AU1107" s="59"/>
      <c r="AV1107" s="59"/>
      <c r="AW1107" s="59"/>
      <c r="AX1107" s="59"/>
      <c r="AY1107" s="59"/>
      <c r="AZ1107" s="59"/>
      <c r="BA1107" s="141" t="s">
        <v>1936</v>
      </c>
      <c r="BB1107" s="61" t="s">
        <v>952</v>
      </c>
      <c r="BC1107" s="165"/>
      <c r="BD1107" s="166"/>
      <c r="BE1107" s="167"/>
      <c r="BF1107" s="168"/>
      <c r="BG1107" s="167"/>
      <c r="BH1107" s="168"/>
      <c r="BI1107" s="169"/>
      <c r="BJ1107" s="168"/>
      <c r="BK1107" s="134"/>
      <c r="BL1107" s="168"/>
      <c r="BM1107" s="167"/>
      <c r="BN1107" s="168"/>
      <c r="BO1107" s="62"/>
      <c r="BP1107" s="168"/>
      <c r="BQ1107" s="168"/>
      <c r="BR1107" s="168"/>
      <c r="BS1107" s="135"/>
      <c r="BT1107" s="176"/>
      <c r="BU1107" s="167"/>
      <c r="BV1107" s="168"/>
      <c r="BW1107" s="167"/>
      <c r="BX1107" s="168"/>
      <c r="BY1107" s="167"/>
      <c r="BZ1107" s="176"/>
      <c r="CA1107" s="167"/>
      <c r="CB1107" s="168"/>
      <c r="CC1107" s="167"/>
      <c r="CD1107" s="168"/>
      <c r="CE1107" s="62"/>
      <c r="CF1107" s="62"/>
      <c r="CG1107" s="9"/>
      <c r="CH1107" s="9"/>
      <c r="CI1107" s="9"/>
      <c r="CJ1107" s="9"/>
      <c r="CK1107" s="9"/>
      <c r="CL1107" s="9"/>
      <c r="CM1107" s="9"/>
      <c r="CN1107" s="9"/>
      <c r="CO1107" s="9"/>
      <c r="CP1107" s="9"/>
    </row>
    <row r="1108" spans="1:94" ht="45" x14ac:dyDescent="0.25">
      <c r="A1108" s="127" t="s">
        <v>3502</v>
      </c>
      <c r="B1108" s="51" t="s">
        <v>3503</v>
      </c>
      <c r="C1108" s="62"/>
      <c r="D1108" s="84">
        <v>1</v>
      </c>
      <c r="E1108" s="62" t="s">
        <v>3498</v>
      </c>
      <c r="F1108" s="62">
        <v>5</v>
      </c>
      <c r="G1108" s="62"/>
      <c r="H1108" s="50"/>
      <c r="I1108" s="50"/>
      <c r="J1108" s="50"/>
      <c r="K1108" s="50"/>
      <c r="L1108" s="50"/>
      <c r="M1108" s="50"/>
      <c r="N1108" s="50"/>
      <c r="O1108" s="50"/>
      <c r="P1108" s="50"/>
      <c r="Q1108" s="50"/>
      <c r="R1108" s="50"/>
      <c r="S1108" s="50"/>
      <c r="T1108" s="50"/>
      <c r="U1108" s="50"/>
      <c r="V1108" s="50"/>
      <c r="W1108" s="50"/>
      <c r="X1108" s="50"/>
      <c r="Y1108" s="62"/>
      <c r="Z1108" s="62"/>
      <c r="AA1108" s="62"/>
      <c r="AB1108" s="62"/>
      <c r="AC1108" s="62"/>
      <c r="AD1108" s="62"/>
      <c r="AE1108" s="62" t="s">
        <v>3499</v>
      </c>
      <c r="AF1108" s="61" t="s">
        <v>3500</v>
      </c>
      <c r="AG1108" s="53">
        <f>(0.02*0.91+0.0064+0.015*1.15+0.05*0.94)*1</f>
        <v>8.8849999999999998E-2</v>
      </c>
      <c r="AH1108" s="54">
        <f t="shared" si="45"/>
        <v>2.6666666666666665</v>
      </c>
      <c r="AI1108" s="54">
        <f t="shared" si="45"/>
        <v>2.6666666666666665</v>
      </c>
      <c r="AJ1108" s="62">
        <v>9530</v>
      </c>
      <c r="AK1108" s="62">
        <v>9530</v>
      </c>
      <c r="AL1108" s="9" t="s">
        <v>3388</v>
      </c>
      <c r="AM1108" s="61" t="s">
        <v>1489</v>
      </c>
      <c r="AN1108" s="62">
        <v>80</v>
      </c>
      <c r="AO1108" s="61" t="s">
        <v>3501</v>
      </c>
      <c r="AP1108" s="59"/>
      <c r="AQ1108" s="59"/>
      <c r="AR1108" s="59"/>
      <c r="AS1108" s="59"/>
      <c r="AT1108" s="59"/>
      <c r="AU1108" s="59"/>
      <c r="AV1108" s="59"/>
      <c r="AW1108" s="59"/>
      <c r="AX1108" s="59"/>
      <c r="AY1108" s="59"/>
      <c r="AZ1108" s="59"/>
      <c r="BA1108" s="141" t="s">
        <v>1936</v>
      </c>
      <c r="BB1108" s="61" t="s">
        <v>952</v>
      </c>
      <c r="BC1108" s="165"/>
      <c r="BD1108" s="166"/>
      <c r="BE1108" s="167"/>
      <c r="BF1108" s="168"/>
      <c r="BG1108" s="167"/>
      <c r="BH1108" s="168"/>
      <c r="BI1108" s="169"/>
      <c r="BJ1108" s="168"/>
      <c r="BK1108" s="134"/>
      <c r="BL1108" s="168"/>
      <c r="BM1108" s="167"/>
      <c r="BN1108" s="168"/>
      <c r="BO1108" s="62"/>
      <c r="BP1108" s="168"/>
      <c r="BQ1108" s="168"/>
      <c r="BR1108" s="168"/>
      <c r="BS1108" s="135"/>
      <c r="BT1108" s="176"/>
      <c r="BU1108" s="167"/>
      <c r="BV1108" s="168"/>
      <c r="BW1108" s="167"/>
      <c r="BX1108" s="168"/>
      <c r="BY1108" s="167"/>
      <c r="BZ1108" s="176"/>
      <c r="CA1108" s="167"/>
      <c r="CB1108" s="168"/>
      <c r="CC1108" s="167"/>
      <c r="CD1108" s="168"/>
      <c r="CE1108" s="62"/>
      <c r="CF1108" s="62"/>
      <c r="CG1108" s="9"/>
      <c r="CH1108" s="9"/>
      <c r="CI1108" s="9"/>
      <c r="CJ1108" s="9"/>
      <c r="CK1108" s="9"/>
      <c r="CL1108" s="9"/>
      <c r="CM1108" s="9"/>
      <c r="CN1108" s="9"/>
      <c r="CO1108" s="9"/>
      <c r="CP1108" s="9"/>
    </row>
    <row r="1109" spans="1:94" ht="45" x14ac:dyDescent="0.25">
      <c r="A1109" s="127" t="s">
        <v>3504</v>
      </c>
      <c r="B1109" s="51" t="s">
        <v>3505</v>
      </c>
      <c r="C1109" s="62"/>
      <c r="D1109" s="84">
        <v>1</v>
      </c>
      <c r="E1109" s="62" t="s">
        <v>3498</v>
      </c>
      <c r="F1109" s="62">
        <v>5</v>
      </c>
      <c r="G1109" s="62"/>
      <c r="H1109" s="50"/>
      <c r="I1109" s="50"/>
      <c r="J1109" s="50"/>
      <c r="K1109" s="50"/>
      <c r="L1109" s="50"/>
      <c r="M1109" s="50"/>
      <c r="N1109" s="50"/>
      <c r="O1109" s="50"/>
      <c r="P1109" s="50"/>
      <c r="Q1109" s="50"/>
      <c r="R1109" s="50"/>
      <c r="S1109" s="50"/>
      <c r="T1109" s="50"/>
      <c r="U1109" s="50"/>
      <c r="V1109" s="50"/>
      <c r="W1109" s="50"/>
      <c r="X1109" s="50"/>
      <c r="Y1109" s="62"/>
      <c r="Z1109" s="62"/>
      <c r="AA1109" s="62"/>
      <c r="AB1109" s="62"/>
      <c r="AC1109" s="62"/>
      <c r="AD1109" s="62"/>
      <c r="AE1109" s="62" t="s">
        <v>3499</v>
      </c>
      <c r="AF1109" s="61" t="s">
        <v>3500</v>
      </c>
      <c r="AG1109" s="53">
        <f>(0.02*0.91+0.0064+0.015*1.15+0.05*0.94)*1</f>
        <v>8.8849999999999998E-2</v>
      </c>
      <c r="AH1109" s="54">
        <f t="shared" si="45"/>
        <v>2.6666666666666665</v>
      </c>
      <c r="AI1109" s="54">
        <f t="shared" si="45"/>
        <v>2.6666666666666665</v>
      </c>
      <c r="AJ1109" s="62">
        <v>9530</v>
      </c>
      <c r="AK1109" s="62">
        <v>9530</v>
      </c>
      <c r="AL1109" s="9" t="s">
        <v>3388</v>
      </c>
      <c r="AM1109" s="61" t="s">
        <v>1489</v>
      </c>
      <c r="AN1109" s="62">
        <v>80</v>
      </c>
      <c r="AO1109" s="61" t="s">
        <v>3501</v>
      </c>
      <c r="AP1109" s="59"/>
      <c r="AQ1109" s="59"/>
      <c r="AR1109" s="59"/>
      <c r="AS1109" s="59"/>
      <c r="AT1109" s="59"/>
      <c r="AU1109" s="59"/>
      <c r="AV1109" s="59"/>
      <c r="AW1109" s="59"/>
      <c r="AX1109" s="59"/>
      <c r="AY1109" s="59"/>
      <c r="AZ1109" s="59"/>
      <c r="BA1109" s="141" t="s">
        <v>1936</v>
      </c>
      <c r="BB1109" s="61" t="s">
        <v>952</v>
      </c>
      <c r="BC1109" s="165"/>
      <c r="BD1109" s="166"/>
      <c r="BE1109" s="167"/>
      <c r="BF1109" s="168"/>
      <c r="BG1109" s="167"/>
      <c r="BH1109" s="168"/>
      <c r="BI1109" s="169"/>
      <c r="BJ1109" s="168"/>
      <c r="BK1109" s="134"/>
      <c r="BL1109" s="168"/>
      <c r="BM1109" s="167"/>
      <c r="BN1109" s="168"/>
      <c r="BO1109" s="62"/>
      <c r="BP1109" s="168"/>
      <c r="BQ1109" s="168"/>
      <c r="BR1109" s="168"/>
      <c r="BS1109" s="135"/>
      <c r="BT1109" s="176"/>
      <c r="BU1109" s="167"/>
      <c r="BV1109" s="168"/>
      <c r="BW1109" s="167"/>
      <c r="BX1109" s="168"/>
      <c r="BY1109" s="167"/>
      <c r="BZ1109" s="176"/>
      <c r="CA1109" s="167"/>
      <c r="CB1109" s="168"/>
      <c r="CC1109" s="167"/>
      <c r="CD1109" s="168"/>
      <c r="CE1109" s="62"/>
      <c r="CF1109" s="62"/>
      <c r="CG1109" s="9"/>
      <c r="CH1109" s="9"/>
      <c r="CI1109" s="9"/>
      <c r="CJ1109" s="9"/>
      <c r="CK1109" s="9"/>
      <c r="CL1109" s="9"/>
      <c r="CM1109" s="9"/>
      <c r="CN1109" s="9"/>
      <c r="CO1109" s="9"/>
      <c r="CP1109" s="9"/>
    </row>
    <row r="1110" spans="1:94" ht="45" x14ac:dyDescent="0.25">
      <c r="A1110" s="127" t="s">
        <v>3506</v>
      </c>
      <c r="B1110" s="51" t="s">
        <v>3507</v>
      </c>
      <c r="C1110" s="62"/>
      <c r="D1110" s="84">
        <v>1</v>
      </c>
      <c r="E1110" s="62" t="s">
        <v>3498</v>
      </c>
      <c r="F1110" s="62">
        <v>5</v>
      </c>
      <c r="G1110" s="62"/>
      <c r="H1110" s="50"/>
      <c r="I1110" s="50"/>
      <c r="J1110" s="50"/>
      <c r="K1110" s="50"/>
      <c r="L1110" s="50"/>
      <c r="M1110" s="50"/>
      <c r="N1110" s="50"/>
      <c r="O1110" s="50"/>
      <c r="P1110" s="50"/>
      <c r="Q1110" s="50"/>
      <c r="R1110" s="50"/>
      <c r="S1110" s="50"/>
      <c r="T1110" s="50"/>
      <c r="U1110" s="50"/>
      <c r="V1110" s="50"/>
      <c r="W1110" s="50"/>
      <c r="X1110" s="50"/>
      <c r="Y1110" s="62"/>
      <c r="Z1110" s="62"/>
      <c r="AA1110" s="62"/>
      <c r="AB1110" s="62"/>
      <c r="AC1110" s="62"/>
      <c r="AD1110" s="62"/>
      <c r="AE1110" s="62" t="s">
        <v>3499</v>
      </c>
      <c r="AF1110" s="61" t="s">
        <v>3500</v>
      </c>
      <c r="AG1110" s="53">
        <f>(0.02*0.91+0.0064+0.015*1.15+0.05*0.94)*1</f>
        <v>8.8849999999999998E-2</v>
      </c>
      <c r="AH1110" s="54">
        <f t="shared" si="45"/>
        <v>2.6666666666666665</v>
      </c>
      <c r="AI1110" s="54">
        <f t="shared" si="45"/>
        <v>2.6666666666666665</v>
      </c>
      <c r="AJ1110" s="62">
        <v>9530</v>
      </c>
      <c r="AK1110" s="62">
        <v>9530</v>
      </c>
      <c r="AL1110" s="9" t="s">
        <v>3388</v>
      </c>
      <c r="AM1110" s="61" t="s">
        <v>1489</v>
      </c>
      <c r="AN1110" s="62">
        <v>80</v>
      </c>
      <c r="AO1110" s="61" t="s">
        <v>3501</v>
      </c>
      <c r="AP1110" s="59"/>
      <c r="AQ1110" s="59"/>
      <c r="AR1110" s="59"/>
      <c r="AS1110" s="59"/>
      <c r="AT1110" s="59"/>
      <c r="AU1110" s="59"/>
      <c r="AV1110" s="59"/>
      <c r="AW1110" s="59"/>
      <c r="AX1110" s="59"/>
      <c r="AY1110" s="59"/>
      <c r="AZ1110" s="59"/>
      <c r="BA1110" s="141" t="s">
        <v>1936</v>
      </c>
      <c r="BB1110" s="61" t="s">
        <v>952</v>
      </c>
      <c r="BC1110" s="165"/>
      <c r="BD1110" s="166"/>
      <c r="BE1110" s="167"/>
      <c r="BF1110" s="168"/>
      <c r="BG1110" s="167"/>
      <c r="BH1110" s="168"/>
      <c r="BI1110" s="169"/>
      <c r="BJ1110" s="168"/>
      <c r="BK1110" s="134"/>
      <c r="BL1110" s="168"/>
      <c r="BM1110" s="167"/>
      <c r="BN1110" s="168"/>
      <c r="BO1110" s="62"/>
      <c r="BP1110" s="168"/>
      <c r="BQ1110" s="168"/>
      <c r="BR1110" s="168"/>
      <c r="BS1110" s="135"/>
      <c r="BT1110" s="176"/>
      <c r="BU1110" s="167"/>
      <c r="BV1110" s="168"/>
      <c r="BW1110" s="167"/>
      <c r="BX1110" s="168"/>
      <c r="BY1110" s="167"/>
      <c r="BZ1110" s="176"/>
      <c r="CA1110" s="167"/>
      <c r="CB1110" s="168"/>
      <c r="CC1110" s="167"/>
      <c r="CD1110" s="168"/>
      <c r="CE1110" s="62"/>
      <c r="CF1110" s="62"/>
      <c r="CG1110" s="9"/>
      <c r="CH1110" s="9"/>
      <c r="CI1110" s="9"/>
      <c r="CJ1110" s="9"/>
      <c r="CK1110" s="9"/>
      <c r="CL1110" s="9"/>
      <c r="CM1110" s="9"/>
      <c r="CN1110" s="9"/>
      <c r="CO1110" s="9"/>
      <c r="CP1110" s="9"/>
    </row>
    <row r="1111" spans="1:94" ht="45" x14ac:dyDescent="0.25">
      <c r="A1111" s="127" t="s">
        <v>3508</v>
      </c>
      <c r="B1111" s="51" t="s">
        <v>3509</v>
      </c>
      <c r="C1111" s="62"/>
      <c r="D1111" s="84">
        <v>1</v>
      </c>
      <c r="E1111" s="62" t="s">
        <v>3498</v>
      </c>
      <c r="F1111" s="62">
        <v>5</v>
      </c>
      <c r="G1111" s="62"/>
      <c r="H1111" s="50"/>
      <c r="I1111" s="50"/>
      <c r="J1111" s="50"/>
      <c r="K1111" s="50"/>
      <c r="L1111" s="50"/>
      <c r="M1111" s="50"/>
      <c r="N1111" s="50"/>
      <c r="O1111" s="50"/>
      <c r="P1111" s="50"/>
      <c r="Q1111" s="50"/>
      <c r="R1111" s="50"/>
      <c r="S1111" s="50"/>
      <c r="T1111" s="50"/>
      <c r="U1111" s="50"/>
      <c r="V1111" s="50"/>
      <c r="W1111" s="50"/>
      <c r="X1111" s="50"/>
      <c r="Y1111" s="62"/>
      <c r="Z1111" s="62"/>
      <c r="AA1111" s="62"/>
      <c r="AB1111" s="62"/>
      <c r="AC1111" s="62"/>
      <c r="AD1111" s="62"/>
      <c r="AE1111" s="62" t="s">
        <v>3499</v>
      </c>
      <c r="AF1111" s="61" t="s">
        <v>3500</v>
      </c>
      <c r="AG1111" s="53">
        <f>(0.02*0.91+0.0064+0.015*1.15+0.05*0.94)*1</f>
        <v>8.8849999999999998E-2</v>
      </c>
      <c r="AH1111" s="54">
        <f t="shared" si="45"/>
        <v>2.6666666666666665</v>
      </c>
      <c r="AI1111" s="54">
        <f t="shared" si="45"/>
        <v>2.6666666666666665</v>
      </c>
      <c r="AJ1111" s="62">
        <v>9530</v>
      </c>
      <c r="AK1111" s="62">
        <v>9530</v>
      </c>
      <c r="AL1111" s="9" t="s">
        <v>3388</v>
      </c>
      <c r="AM1111" s="61" t="s">
        <v>1489</v>
      </c>
      <c r="AN1111" s="62">
        <v>80</v>
      </c>
      <c r="AO1111" s="61" t="s">
        <v>3501</v>
      </c>
      <c r="AP1111" s="59"/>
      <c r="AQ1111" s="59"/>
      <c r="AR1111" s="59"/>
      <c r="AS1111" s="59"/>
      <c r="AT1111" s="59"/>
      <c r="AU1111" s="59"/>
      <c r="AV1111" s="59"/>
      <c r="AW1111" s="59"/>
      <c r="AX1111" s="59"/>
      <c r="AY1111" s="59"/>
      <c r="AZ1111" s="59"/>
      <c r="BA1111" s="141" t="s">
        <v>1936</v>
      </c>
      <c r="BB1111" s="61" t="s">
        <v>952</v>
      </c>
      <c r="BC1111" s="165"/>
      <c r="BD1111" s="166"/>
      <c r="BE1111" s="167"/>
      <c r="BF1111" s="168"/>
      <c r="BG1111" s="167"/>
      <c r="BH1111" s="168"/>
      <c r="BI1111" s="169"/>
      <c r="BJ1111" s="168"/>
      <c r="BK1111" s="134"/>
      <c r="BL1111" s="168"/>
      <c r="BM1111" s="167"/>
      <c r="BN1111" s="168"/>
      <c r="BO1111" s="62"/>
      <c r="BP1111" s="168"/>
      <c r="BQ1111" s="168"/>
      <c r="BR1111" s="168"/>
      <c r="BS1111" s="135"/>
      <c r="BT1111" s="176"/>
      <c r="BU1111" s="167"/>
      <c r="BV1111" s="168"/>
      <c r="BW1111" s="167"/>
      <c r="BX1111" s="168"/>
      <c r="BY1111" s="167"/>
      <c r="BZ1111" s="176"/>
      <c r="CA1111" s="167"/>
      <c r="CB1111" s="168"/>
      <c r="CC1111" s="167"/>
      <c r="CD1111" s="168"/>
      <c r="CE1111" s="62"/>
      <c r="CF1111" s="62"/>
      <c r="CG1111" s="9"/>
      <c r="CH1111" s="9"/>
      <c r="CI1111" s="9"/>
      <c r="CJ1111" s="9"/>
      <c r="CK1111" s="9"/>
      <c r="CL1111" s="9"/>
      <c r="CM1111" s="9"/>
      <c r="CN1111" s="9"/>
      <c r="CO1111" s="9"/>
      <c r="CP1111" s="9"/>
    </row>
    <row r="1112" spans="1:94" ht="30" x14ac:dyDescent="0.25">
      <c r="A1112" s="127" t="s">
        <v>3510</v>
      </c>
      <c r="B1112" s="51" t="s">
        <v>3511</v>
      </c>
      <c r="C1112" s="62"/>
      <c r="D1112" s="84"/>
      <c r="E1112" s="62" t="s">
        <v>3512</v>
      </c>
      <c r="F1112" s="62"/>
      <c r="G1112" s="62"/>
      <c r="H1112" s="50" t="e">
        <f>VLOOKUP($A1112,'[1]ma sp 02'!$A$5:$BD$1101,H$1,0)</f>
        <v>#N/A</v>
      </c>
      <c r="I1112" s="50" t="e">
        <f>VLOOKUP($A1112,'[1]ma sp 02'!$A$5:$BD$1101,I$1,0)</f>
        <v>#N/A</v>
      </c>
      <c r="J1112" s="50" t="e">
        <f>VLOOKUP($A1112,'[1]ma sp 02'!$A$5:$BD$1101,J$1,0)</f>
        <v>#N/A</v>
      </c>
      <c r="K1112" s="50"/>
      <c r="L1112" s="50"/>
      <c r="M1112" s="50"/>
      <c r="N1112" s="50"/>
      <c r="O1112" s="50"/>
      <c r="P1112" s="50"/>
      <c r="Q1112" s="50"/>
      <c r="R1112" s="50"/>
      <c r="S1112" s="50"/>
      <c r="T1112" s="50"/>
      <c r="U1112" s="50"/>
      <c r="V1112" s="50"/>
      <c r="W1112" s="50"/>
      <c r="X1112" s="50"/>
      <c r="Y1112" s="62"/>
      <c r="Z1112" s="62"/>
      <c r="AA1112" s="62"/>
      <c r="AB1112" s="62"/>
      <c r="AC1112" s="62"/>
      <c r="AD1112" s="62"/>
      <c r="AE1112" s="62" t="s">
        <v>3513</v>
      </c>
      <c r="AF1112" s="62"/>
      <c r="AG1112" s="53"/>
      <c r="AH1112" s="54">
        <f>(3/0.75/2)*0.978</f>
        <v>1.956</v>
      </c>
      <c r="AI1112" s="54"/>
      <c r="AJ1112" s="62">
        <v>6260</v>
      </c>
      <c r="AK1112" s="62"/>
      <c r="AL1112" s="9">
        <v>3.0000000000000001E-3</v>
      </c>
      <c r="AM1112" s="61" t="s">
        <v>1489</v>
      </c>
      <c r="AN1112" s="62"/>
      <c r="AO1112" s="61" t="s">
        <v>3477</v>
      </c>
      <c r="AP1112" s="59"/>
      <c r="AQ1112" s="59"/>
      <c r="AR1112" s="59"/>
      <c r="AS1112" s="59"/>
      <c r="AT1112" s="59"/>
      <c r="AU1112" s="59"/>
      <c r="AV1112" s="59"/>
      <c r="AW1112" s="59"/>
      <c r="AX1112" s="59"/>
      <c r="AY1112" s="59"/>
      <c r="AZ1112" s="59"/>
      <c r="BA1112" s="141"/>
      <c r="BB1112" s="61"/>
      <c r="BC1112" s="165"/>
      <c r="BD1112" s="166"/>
      <c r="BE1112" s="167"/>
      <c r="BF1112" s="168"/>
      <c r="BG1112" s="167"/>
      <c r="BH1112" s="168"/>
      <c r="BI1112" s="169"/>
      <c r="BJ1112" s="168"/>
      <c r="BK1112" s="134"/>
      <c r="BL1112" s="168"/>
      <c r="BM1112" s="167"/>
      <c r="BN1112" s="168"/>
      <c r="BO1112" s="62"/>
      <c r="BP1112" s="168"/>
      <c r="BQ1112" s="168"/>
      <c r="BR1112" s="168"/>
      <c r="BS1112" s="135"/>
      <c r="BT1112" s="176"/>
      <c r="BU1112" s="167"/>
      <c r="BV1112" s="168"/>
      <c r="BW1112" s="167"/>
      <c r="BX1112" s="168"/>
      <c r="BY1112" s="167"/>
      <c r="BZ1112" s="176"/>
      <c r="CA1112" s="167"/>
      <c r="CB1112" s="168"/>
      <c r="CC1112" s="167"/>
      <c r="CD1112" s="168"/>
      <c r="CE1112" s="62"/>
      <c r="CF1112" s="62"/>
      <c r="CG1112" s="9"/>
      <c r="CH1112" s="9"/>
      <c r="CI1112" s="9"/>
      <c r="CJ1112" s="9"/>
      <c r="CK1112" s="9"/>
      <c r="CL1112" s="9"/>
      <c r="CM1112" s="9"/>
      <c r="CN1112" s="9"/>
      <c r="CO1112" s="9"/>
      <c r="CP1112" s="9"/>
    </row>
    <row r="1113" spans="1:94" ht="30" x14ac:dyDescent="0.25">
      <c r="A1113" s="127" t="s">
        <v>3514</v>
      </c>
      <c r="B1113" s="51" t="s">
        <v>3515</v>
      </c>
      <c r="C1113" s="62"/>
      <c r="D1113" s="84">
        <v>5</v>
      </c>
      <c r="E1113" s="62" t="s">
        <v>2213</v>
      </c>
      <c r="F1113" s="62">
        <v>7</v>
      </c>
      <c r="G1113" s="62"/>
      <c r="H1113" s="50"/>
      <c r="I1113" s="50"/>
      <c r="J1113" s="50"/>
      <c r="K1113" s="50"/>
      <c r="L1113" s="50"/>
      <c r="M1113" s="50"/>
      <c r="N1113" s="50"/>
      <c r="O1113" s="50"/>
      <c r="P1113" s="50"/>
      <c r="Q1113" s="50"/>
      <c r="R1113" s="50"/>
      <c r="S1113" s="50"/>
      <c r="T1113" s="50"/>
      <c r="U1113" s="50"/>
      <c r="V1113" s="50"/>
      <c r="W1113" s="50"/>
      <c r="X1113" s="50"/>
      <c r="Y1113" s="62"/>
      <c r="Z1113" s="62"/>
      <c r="AA1113" s="62"/>
      <c r="AB1113" s="62"/>
      <c r="AC1113" s="62"/>
      <c r="AD1113" s="62"/>
      <c r="AE1113" s="62" t="s">
        <v>2292</v>
      </c>
      <c r="AF1113" s="61" t="s">
        <v>335</v>
      </c>
      <c r="AG1113" s="53">
        <f>(0.02*0.91+0.006*2.71+ 0.07*0.925)*0.71</f>
        <v>7.0439100000000004E-2</v>
      </c>
      <c r="AH1113" s="54">
        <f>(3/0.75/2)*0.71</f>
        <v>1.42</v>
      </c>
      <c r="AI1113" s="54">
        <f>(3/0.75/2)*0.71</f>
        <v>1.42</v>
      </c>
      <c r="AJ1113" s="62">
        <v>9530</v>
      </c>
      <c r="AK1113" s="62">
        <v>9530</v>
      </c>
      <c r="AL1113" s="9" t="s">
        <v>1328</v>
      </c>
      <c r="AM1113" s="61" t="s">
        <v>1489</v>
      </c>
      <c r="AN1113" s="62">
        <v>1000</v>
      </c>
      <c r="AO1113" s="61" t="s">
        <v>3516</v>
      </c>
      <c r="AP1113" s="59"/>
      <c r="AQ1113" s="59"/>
      <c r="AR1113" s="59"/>
      <c r="AS1113" s="59"/>
      <c r="AT1113" s="59"/>
      <c r="AU1113" s="59"/>
      <c r="AV1113" s="59"/>
      <c r="AW1113" s="59"/>
      <c r="AX1113" s="59"/>
      <c r="AY1113" s="59"/>
      <c r="AZ1113" s="59"/>
      <c r="BA1113" s="141"/>
      <c r="BB1113" s="61"/>
      <c r="BC1113" s="165"/>
      <c r="BD1113" s="166"/>
      <c r="BE1113" s="167"/>
      <c r="BF1113" s="168"/>
      <c r="BG1113" s="167"/>
      <c r="BH1113" s="168"/>
      <c r="BI1113" s="169"/>
      <c r="BJ1113" s="168"/>
      <c r="BK1113" s="134"/>
      <c r="BL1113" s="168"/>
      <c r="BM1113" s="167"/>
      <c r="BN1113" s="168"/>
      <c r="BO1113" s="62"/>
      <c r="BP1113" s="168"/>
      <c r="BQ1113" s="168"/>
      <c r="BR1113" s="168"/>
      <c r="BS1113" s="135"/>
      <c r="BT1113" s="176"/>
      <c r="BU1113" s="167"/>
      <c r="BV1113" s="168"/>
      <c r="BW1113" s="167"/>
      <c r="BX1113" s="168"/>
      <c r="BY1113" s="167"/>
      <c r="BZ1113" s="176"/>
      <c r="CA1113" s="167"/>
      <c r="CB1113" s="168"/>
      <c r="CC1113" s="167"/>
      <c r="CD1113" s="168"/>
      <c r="CE1113" s="62"/>
      <c r="CF1113" s="62"/>
      <c r="CG1113" s="9"/>
      <c r="CH1113" s="9"/>
      <c r="CI1113" s="9"/>
      <c r="CJ1113" s="9"/>
      <c r="CK1113" s="9"/>
      <c r="CL1113" s="9"/>
      <c r="CM1113" s="9"/>
      <c r="CN1113" s="9"/>
      <c r="CO1113" s="9"/>
      <c r="CP1113" s="9"/>
    </row>
    <row r="1114" spans="1:94" x14ac:dyDescent="0.25">
      <c r="A1114" s="127" t="s">
        <v>3517</v>
      </c>
      <c r="B1114" s="51"/>
      <c r="C1114" s="62"/>
      <c r="D1114" s="84"/>
      <c r="E1114" s="62"/>
      <c r="F1114" s="62"/>
      <c r="G1114" s="62"/>
      <c r="H1114" s="50"/>
      <c r="I1114" s="50"/>
      <c r="J1114" s="50"/>
      <c r="K1114" s="50"/>
      <c r="L1114" s="50"/>
      <c r="M1114" s="50"/>
      <c r="N1114" s="50"/>
      <c r="O1114" s="50"/>
      <c r="P1114" s="50"/>
      <c r="Q1114" s="50"/>
      <c r="R1114" s="50"/>
      <c r="S1114" s="50"/>
      <c r="T1114" s="50"/>
      <c r="U1114" s="50"/>
      <c r="V1114" s="50"/>
      <c r="W1114" s="50"/>
      <c r="X1114" s="50"/>
      <c r="Y1114" s="62"/>
      <c r="Z1114" s="62"/>
      <c r="AA1114" s="62"/>
      <c r="AB1114" s="62"/>
      <c r="AC1114" s="62"/>
      <c r="AD1114" s="62"/>
      <c r="AE1114" s="62"/>
      <c r="AF1114" s="61"/>
      <c r="AG1114" s="53"/>
      <c r="AH1114" s="54"/>
      <c r="AI1114" s="54"/>
      <c r="AJ1114" s="62"/>
      <c r="AK1114" s="62"/>
      <c r="AL1114" s="9"/>
      <c r="AM1114" s="61"/>
      <c r="AN1114" s="62"/>
      <c r="AO1114" s="61"/>
      <c r="AP1114" s="59"/>
      <c r="AQ1114" s="59"/>
      <c r="AR1114" s="59"/>
      <c r="AS1114" s="59"/>
      <c r="AT1114" s="59"/>
      <c r="AU1114" s="59"/>
      <c r="AV1114" s="59"/>
      <c r="AW1114" s="59"/>
      <c r="AX1114" s="59"/>
      <c r="AY1114" s="59"/>
      <c r="AZ1114" s="59"/>
      <c r="BA1114" s="141"/>
      <c r="BB1114" s="61"/>
      <c r="BC1114" s="165"/>
      <c r="BD1114" s="166"/>
      <c r="BE1114" s="167"/>
      <c r="BF1114" s="168"/>
      <c r="BG1114" s="167"/>
      <c r="BH1114" s="168"/>
      <c r="BI1114" s="169"/>
      <c r="BJ1114" s="168"/>
      <c r="BK1114" s="134"/>
      <c r="BL1114" s="168"/>
      <c r="BM1114" s="167"/>
      <c r="BN1114" s="168"/>
      <c r="BO1114" s="62"/>
      <c r="BP1114" s="168"/>
      <c r="BQ1114" s="168"/>
      <c r="BR1114" s="168"/>
      <c r="BS1114" s="135"/>
      <c r="BT1114" s="176"/>
      <c r="BU1114" s="167"/>
      <c r="BV1114" s="168"/>
      <c r="BW1114" s="167"/>
      <c r="BX1114" s="168"/>
      <c r="BY1114" s="167"/>
      <c r="BZ1114" s="176"/>
      <c r="CA1114" s="167"/>
      <c r="CB1114" s="168"/>
      <c r="CC1114" s="167"/>
      <c r="CD1114" s="168"/>
      <c r="CE1114" s="62"/>
      <c r="CF1114" s="62"/>
      <c r="CG1114" s="9"/>
      <c r="CH1114" s="9"/>
      <c r="CI1114" s="9"/>
      <c r="CJ1114" s="9"/>
      <c r="CK1114" s="9"/>
      <c r="CL1114" s="9"/>
      <c r="CM1114" s="9"/>
      <c r="CN1114" s="9"/>
      <c r="CO1114" s="9"/>
      <c r="CP1114" s="9"/>
    </row>
    <row r="1115" spans="1:94" x14ac:dyDescent="0.25">
      <c r="A1115" s="127" t="s">
        <v>3518</v>
      </c>
      <c r="B1115" s="51"/>
      <c r="C1115" s="62"/>
      <c r="D1115" s="84"/>
      <c r="E1115" s="62"/>
      <c r="F1115" s="62"/>
      <c r="G1115" s="62"/>
      <c r="H1115" s="50"/>
      <c r="I1115" s="50"/>
      <c r="J1115" s="50"/>
      <c r="K1115" s="50"/>
      <c r="L1115" s="50"/>
      <c r="M1115" s="50"/>
      <c r="N1115" s="50"/>
      <c r="O1115" s="50"/>
      <c r="P1115" s="50"/>
      <c r="Q1115" s="50"/>
      <c r="R1115" s="50"/>
      <c r="S1115" s="50"/>
      <c r="T1115" s="50"/>
      <c r="U1115" s="50"/>
      <c r="V1115" s="50"/>
      <c r="W1115" s="50"/>
      <c r="X1115" s="50"/>
      <c r="Y1115" s="62"/>
      <c r="Z1115" s="62"/>
      <c r="AA1115" s="62"/>
      <c r="AB1115" s="62"/>
      <c r="AC1115" s="62"/>
      <c r="AD1115" s="62"/>
      <c r="AE1115" s="62"/>
      <c r="AF1115" s="61"/>
      <c r="AG1115" s="53"/>
      <c r="AH1115" s="54"/>
      <c r="AI1115" s="54"/>
      <c r="AJ1115" s="62"/>
      <c r="AK1115" s="62"/>
      <c r="AL1115" s="9"/>
      <c r="AM1115" s="61"/>
      <c r="AN1115" s="62"/>
      <c r="AO1115" s="61"/>
      <c r="AP1115" s="59"/>
      <c r="AQ1115" s="59"/>
      <c r="AR1115" s="59"/>
      <c r="AS1115" s="59"/>
      <c r="AT1115" s="59"/>
      <c r="AU1115" s="59"/>
      <c r="AV1115" s="59"/>
      <c r="AW1115" s="59"/>
      <c r="AX1115" s="59"/>
      <c r="AY1115" s="59"/>
      <c r="AZ1115" s="59"/>
      <c r="BA1115" s="141"/>
      <c r="BB1115" s="61"/>
      <c r="BC1115" s="165"/>
      <c r="BD1115" s="166"/>
      <c r="BE1115" s="167"/>
      <c r="BF1115" s="168"/>
      <c r="BG1115" s="167"/>
      <c r="BH1115" s="168"/>
      <c r="BI1115" s="169"/>
      <c r="BJ1115" s="168"/>
      <c r="BK1115" s="134"/>
      <c r="BL1115" s="168"/>
      <c r="BM1115" s="167"/>
      <c r="BN1115" s="168"/>
      <c r="BO1115" s="62"/>
      <c r="BP1115" s="168"/>
      <c r="BQ1115" s="168"/>
      <c r="BR1115" s="168"/>
      <c r="BS1115" s="135"/>
      <c r="BT1115" s="176"/>
      <c r="BU1115" s="167"/>
      <c r="BV1115" s="168"/>
      <c r="BW1115" s="167"/>
      <c r="BX1115" s="168"/>
      <c r="BY1115" s="167"/>
      <c r="BZ1115" s="176"/>
      <c r="CA1115" s="167"/>
      <c r="CB1115" s="168"/>
      <c r="CC1115" s="167"/>
      <c r="CD1115" s="168"/>
      <c r="CE1115" s="62"/>
      <c r="CF1115" s="62"/>
      <c r="CG1115" s="9"/>
      <c r="CH1115" s="9"/>
      <c r="CI1115" s="9"/>
      <c r="CJ1115" s="9"/>
      <c r="CK1115" s="9"/>
      <c r="CL1115" s="9"/>
      <c r="CM1115" s="9"/>
      <c r="CN1115" s="9"/>
      <c r="CO1115" s="9"/>
      <c r="CP1115" s="9"/>
    </row>
    <row r="1116" spans="1:94" x14ac:dyDescent="0.25">
      <c r="A1116" s="127" t="s">
        <v>3519</v>
      </c>
      <c r="B1116" s="51" t="s">
        <v>3520</v>
      </c>
      <c r="C1116" s="62"/>
      <c r="D1116" s="84">
        <v>2</v>
      </c>
      <c r="E1116" s="62" t="s">
        <v>393</v>
      </c>
      <c r="F1116" s="62">
        <v>8</v>
      </c>
      <c r="G1116" s="62"/>
      <c r="H1116" s="50">
        <v>0.15</v>
      </c>
      <c r="I1116" s="50">
        <v>5</v>
      </c>
      <c r="J1116" s="50">
        <v>3</v>
      </c>
      <c r="K1116" s="50">
        <v>0.25</v>
      </c>
      <c r="L1116" s="50">
        <v>0.25</v>
      </c>
      <c r="M1116" s="50"/>
      <c r="N1116" s="50"/>
      <c r="O1116" s="50"/>
      <c r="P1116" s="50">
        <v>0.05</v>
      </c>
      <c r="Q1116" s="50"/>
      <c r="R1116" s="50"/>
      <c r="S1116" s="50"/>
      <c r="T1116" s="50"/>
      <c r="U1116" s="50"/>
      <c r="V1116" s="50"/>
      <c r="W1116" s="50"/>
      <c r="X1116" s="50"/>
      <c r="Y1116" s="62"/>
      <c r="Z1116" s="62"/>
      <c r="AA1116" s="62"/>
      <c r="AB1116" s="62"/>
      <c r="AC1116" s="62"/>
      <c r="AD1116" s="62"/>
      <c r="AE1116" s="62" t="s">
        <v>394</v>
      </c>
      <c r="AF1116" s="61" t="s">
        <v>2069</v>
      </c>
      <c r="AG1116" s="53">
        <f>(0.012*1.4+0.012*1.4+0.035*0.925)*0.66</f>
        <v>4.3543500000000006E-2</v>
      </c>
      <c r="AH1116" s="54">
        <f>(2.5/0.75/2)*0.65</f>
        <v>1.0833333333333335</v>
      </c>
      <c r="AI1116" s="54">
        <f>(2.5/0.75/2)*0.65</f>
        <v>1.0833333333333335</v>
      </c>
      <c r="AJ1116" s="62">
        <v>9530</v>
      </c>
      <c r="AK1116" s="62">
        <v>9530</v>
      </c>
      <c r="AL1116" s="9" t="s">
        <v>3077</v>
      </c>
      <c r="AM1116" s="61" t="s">
        <v>1489</v>
      </c>
      <c r="AN1116" s="62">
        <v>216</v>
      </c>
      <c r="AO1116" s="61" t="s">
        <v>169</v>
      </c>
      <c r="AP1116" s="59"/>
      <c r="AQ1116" s="59"/>
      <c r="AR1116" s="59"/>
      <c r="AS1116" s="59"/>
      <c r="AT1116" s="59"/>
      <c r="AU1116" s="59"/>
      <c r="AV1116" s="59"/>
      <c r="AW1116" s="59"/>
      <c r="AX1116" s="59"/>
      <c r="AY1116" s="59"/>
      <c r="AZ1116" s="59"/>
      <c r="BA1116" s="141"/>
      <c r="BB1116" s="61"/>
      <c r="BC1116" s="165"/>
      <c r="BD1116" s="166"/>
      <c r="BE1116" s="167"/>
      <c r="BF1116" s="168"/>
      <c r="BG1116" s="167"/>
      <c r="BH1116" s="168"/>
      <c r="BI1116" s="169"/>
      <c r="BJ1116" s="168"/>
      <c r="BK1116" s="134"/>
      <c r="BL1116" s="168"/>
      <c r="BM1116" s="167"/>
      <c r="BN1116" s="168"/>
      <c r="BO1116" s="62"/>
      <c r="BP1116" s="168"/>
      <c r="BQ1116" s="168"/>
      <c r="BR1116" s="168"/>
      <c r="BS1116" s="135"/>
      <c r="BT1116" s="176"/>
      <c r="BU1116" s="167"/>
      <c r="BV1116" s="168"/>
      <c r="BW1116" s="167"/>
      <c r="BX1116" s="168"/>
      <c r="BY1116" s="167"/>
      <c r="BZ1116" s="176"/>
      <c r="CA1116" s="167"/>
      <c r="CB1116" s="168"/>
      <c r="CC1116" s="167"/>
      <c r="CD1116" s="168"/>
      <c r="CE1116" s="62"/>
      <c r="CF1116" s="62"/>
      <c r="CG1116" s="9"/>
      <c r="CH1116" s="9"/>
      <c r="CI1116" s="9"/>
      <c r="CJ1116" s="9"/>
      <c r="CK1116" s="9"/>
      <c r="CL1116" s="9"/>
      <c r="CM1116" s="9"/>
      <c r="CN1116" s="9"/>
      <c r="CO1116" s="9"/>
      <c r="CP1116" s="9"/>
    </row>
    <row r="1117" spans="1:94" ht="45" x14ac:dyDescent="0.25">
      <c r="A1117" s="127" t="s">
        <v>3521</v>
      </c>
      <c r="B1117" s="51" t="s">
        <v>3522</v>
      </c>
      <c r="C1117" s="62"/>
      <c r="D1117" s="84">
        <v>1</v>
      </c>
      <c r="E1117" s="62" t="s">
        <v>1913</v>
      </c>
      <c r="F1117" s="62">
        <v>2</v>
      </c>
      <c r="G1117" s="62"/>
      <c r="H1117" s="50"/>
      <c r="I1117" s="50"/>
      <c r="J1117" s="50"/>
      <c r="K1117" s="50"/>
      <c r="L1117" s="50"/>
      <c r="M1117" s="50"/>
      <c r="N1117" s="50"/>
      <c r="O1117" s="50"/>
      <c r="P1117" s="50"/>
      <c r="Q1117" s="50"/>
      <c r="R1117" s="50"/>
      <c r="S1117" s="50"/>
      <c r="T1117" s="50"/>
      <c r="U1117" s="50"/>
      <c r="V1117" s="50"/>
      <c r="W1117" s="50"/>
      <c r="X1117" s="50"/>
      <c r="Y1117" s="62"/>
      <c r="Z1117" s="62"/>
      <c r="AA1117" s="62"/>
      <c r="AB1117" s="62"/>
      <c r="AC1117" s="62"/>
      <c r="AD1117" s="62"/>
      <c r="AE1117" s="62" t="s">
        <v>3205</v>
      </c>
      <c r="AF1117" s="61"/>
      <c r="AG1117" s="53">
        <f>(0.03*0.91+0.05*0.91)*0.83</f>
        <v>6.0423999999999999E-2</v>
      </c>
      <c r="AH1117" s="54">
        <f>(1.4/0.75/2)*0.82</f>
        <v>0.7653333333333332</v>
      </c>
      <c r="AI1117" s="54"/>
      <c r="AJ1117" s="62" t="s">
        <v>1881</v>
      </c>
      <c r="AK1117" s="62"/>
      <c r="AL1117" s="9">
        <v>1.4E-3</v>
      </c>
      <c r="AM1117" s="61" t="s">
        <v>3186</v>
      </c>
      <c r="AN1117" s="62">
        <v>570</v>
      </c>
      <c r="AO1117" s="61" t="s">
        <v>2158</v>
      </c>
      <c r="AP1117" s="59"/>
      <c r="AQ1117" s="59"/>
      <c r="AR1117" s="59"/>
      <c r="AS1117" s="59"/>
      <c r="AT1117" s="59"/>
      <c r="AU1117" s="59"/>
      <c r="AV1117" s="59"/>
      <c r="AW1117" s="59"/>
      <c r="AX1117" s="59"/>
      <c r="AY1117" s="59"/>
      <c r="AZ1117" s="59"/>
      <c r="BA1117" s="141"/>
      <c r="BB1117" s="61" t="s">
        <v>1894</v>
      </c>
      <c r="BC1117" s="165"/>
      <c r="BD1117" s="166"/>
      <c r="BE1117" s="167"/>
      <c r="BF1117" s="168"/>
      <c r="BG1117" s="167"/>
      <c r="BH1117" s="168"/>
      <c r="BI1117" s="169"/>
      <c r="BJ1117" s="168"/>
      <c r="BK1117" s="134"/>
      <c r="BL1117" s="168"/>
      <c r="BM1117" s="167"/>
      <c r="BN1117" s="168"/>
      <c r="BO1117" s="62"/>
      <c r="BP1117" s="168"/>
      <c r="BQ1117" s="168"/>
      <c r="BR1117" s="168"/>
      <c r="BS1117" s="135"/>
      <c r="BT1117" s="176"/>
      <c r="BU1117" s="167"/>
      <c r="BV1117" s="168"/>
      <c r="BW1117" s="167"/>
      <c r="BX1117" s="168"/>
      <c r="BY1117" s="167"/>
      <c r="BZ1117" s="176"/>
      <c r="CA1117" s="167"/>
      <c r="CB1117" s="168"/>
      <c r="CC1117" s="167"/>
      <c r="CD1117" s="168"/>
      <c r="CE1117" s="62"/>
      <c r="CF1117" s="62"/>
      <c r="CG1117" s="9"/>
      <c r="CH1117" s="9"/>
      <c r="CI1117" s="9"/>
      <c r="CJ1117" s="9"/>
      <c r="CK1117" s="9"/>
      <c r="CL1117" s="9"/>
      <c r="CM1117" s="9"/>
      <c r="CN1117" s="9"/>
      <c r="CO1117" s="9"/>
      <c r="CP1117" s="9"/>
    </row>
    <row r="1118" spans="1:94" ht="45" x14ac:dyDescent="0.25">
      <c r="A1118" s="127" t="s">
        <v>3523</v>
      </c>
      <c r="B1118" s="51" t="s">
        <v>3524</v>
      </c>
      <c r="C1118" s="62"/>
      <c r="D1118" s="84">
        <v>1</v>
      </c>
      <c r="E1118" s="62" t="s">
        <v>1913</v>
      </c>
      <c r="F1118" s="62">
        <v>8</v>
      </c>
      <c r="G1118" s="62"/>
      <c r="H1118" s="50"/>
      <c r="I1118" s="50"/>
      <c r="J1118" s="50"/>
      <c r="K1118" s="50"/>
      <c r="L1118" s="50"/>
      <c r="M1118" s="50"/>
      <c r="N1118" s="50"/>
      <c r="O1118" s="50"/>
      <c r="P1118" s="50"/>
      <c r="Q1118" s="50"/>
      <c r="R1118" s="50"/>
      <c r="S1118" s="50"/>
      <c r="T1118" s="50"/>
      <c r="U1118" s="50"/>
      <c r="V1118" s="50"/>
      <c r="W1118" s="50"/>
      <c r="X1118" s="50"/>
      <c r="Y1118" s="62"/>
      <c r="Z1118" s="62"/>
      <c r="AA1118" s="62"/>
      <c r="AB1118" s="62"/>
      <c r="AC1118" s="62"/>
      <c r="AD1118" s="62"/>
      <c r="AE1118" s="62" t="s">
        <v>3205</v>
      </c>
      <c r="AF1118" s="61"/>
      <c r="AG1118" s="53">
        <f>(0.03*0.91+0.05*0.91)*0.83</f>
        <v>6.0423999999999999E-2</v>
      </c>
      <c r="AH1118" s="54">
        <f>(1.4/0.75/2)*0.91</f>
        <v>0.84933333333333327</v>
      </c>
      <c r="AI1118" s="54"/>
      <c r="AJ1118" s="62" t="s">
        <v>1881</v>
      </c>
      <c r="AK1118" s="62"/>
      <c r="AL1118" s="9">
        <v>1.4E-3</v>
      </c>
      <c r="AM1118" s="61" t="s">
        <v>74</v>
      </c>
      <c r="AN1118" s="62">
        <v>570</v>
      </c>
      <c r="AO1118" s="61" t="s">
        <v>2158</v>
      </c>
      <c r="AP1118" s="59"/>
      <c r="AQ1118" s="59"/>
      <c r="AR1118" s="59"/>
      <c r="AS1118" s="59"/>
      <c r="AT1118" s="59"/>
      <c r="AU1118" s="59"/>
      <c r="AV1118" s="59"/>
      <c r="AW1118" s="59"/>
      <c r="AX1118" s="59"/>
      <c r="AY1118" s="59"/>
      <c r="AZ1118" s="59"/>
      <c r="BA1118" s="141"/>
      <c r="BB1118" s="61" t="s">
        <v>1894</v>
      </c>
      <c r="BC1118" s="165"/>
      <c r="BD1118" s="166"/>
      <c r="BE1118" s="167"/>
      <c r="BF1118" s="168"/>
      <c r="BG1118" s="167"/>
      <c r="BH1118" s="168"/>
      <c r="BI1118" s="169"/>
      <c r="BJ1118" s="168"/>
      <c r="BK1118" s="134"/>
      <c r="BL1118" s="168"/>
      <c r="BM1118" s="167"/>
      <c r="BN1118" s="168"/>
      <c r="BO1118" s="62"/>
      <c r="BP1118" s="168"/>
      <c r="BQ1118" s="168"/>
      <c r="BR1118" s="168"/>
      <c r="BS1118" s="135"/>
      <c r="BT1118" s="176"/>
      <c r="BU1118" s="167"/>
      <c r="BV1118" s="168"/>
      <c r="BW1118" s="167"/>
      <c r="BX1118" s="168"/>
      <c r="BY1118" s="167"/>
      <c r="BZ1118" s="176"/>
      <c r="CA1118" s="167"/>
      <c r="CB1118" s="168"/>
      <c r="CC1118" s="167"/>
      <c r="CD1118" s="168"/>
      <c r="CE1118" s="62"/>
      <c r="CF1118" s="62"/>
      <c r="CG1118" s="9"/>
      <c r="CH1118" s="9"/>
      <c r="CI1118" s="9"/>
      <c r="CJ1118" s="9"/>
      <c r="CK1118" s="9"/>
      <c r="CL1118" s="9"/>
      <c r="CM1118" s="9"/>
      <c r="CN1118" s="9"/>
      <c r="CO1118" s="9"/>
      <c r="CP1118" s="9"/>
    </row>
    <row r="1119" spans="1:94" x14ac:dyDescent="0.25">
      <c r="A1119" s="127" t="s">
        <v>3525</v>
      </c>
      <c r="B1119" s="51" t="s">
        <v>3526</v>
      </c>
      <c r="C1119" s="62"/>
      <c r="D1119" s="84">
        <v>2</v>
      </c>
      <c r="E1119" s="62" t="s">
        <v>393</v>
      </c>
      <c r="F1119" s="62">
        <v>8</v>
      </c>
      <c r="G1119" s="62"/>
      <c r="H1119" s="50">
        <v>0.15</v>
      </c>
      <c r="I1119" s="50">
        <v>5</v>
      </c>
      <c r="J1119" s="50">
        <v>3</v>
      </c>
      <c r="K1119" s="50">
        <v>0.25</v>
      </c>
      <c r="L1119" s="50">
        <v>0.25</v>
      </c>
      <c r="M1119" s="50"/>
      <c r="N1119" s="50"/>
      <c r="O1119" s="50"/>
      <c r="P1119" s="50">
        <v>0.05</v>
      </c>
      <c r="Q1119" s="50"/>
      <c r="R1119" s="50"/>
      <c r="S1119" s="50"/>
      <c r="T1119" s="50"/>
      <c r="U1119" s="50"/>
      <c r="V1119" s="50"/>
      <c r="W1119" s="50"/>
      <c r="X1119" s="50"/>
      <c r="Y1119" s="62"/>
      <c r="Z1119" s="62"/>
      <c r="AA1119" s="62"/>
      <c r="AB1119" s="62"/>
      <c r="AC1119" s="62"/>
      <c r="AD1119" s="62"/>
      <c r="AE1119" s="62" t="s">
        <v>394</v>
      </c>
      <c r="AF1119" s="61" t="s">
        <v>2069</v>
      </c>
      <c r="AG1119" s="53">
        <f>(0.012*1.4+0.012*1.4+0.035*0.925)*0.66</f>
        <v>4.3543500000000006E-2</v>
      </c>
      <c r="AH1119" s="54">
        <f>(2.5/0.75/2)*0.65</f>
        <v>1.0833333333333335</v>
      </c>
      <c r="AI1119" s="54">
        <f>(2.5/0.75/2)*0.65</f>
        <v>1.0833333333333335</v>
      </c>
      <c r="AJ1119" s="62">
        <v>9530</v>
      </c>
      <c r="AK1119" s="62">
        <v>9530</v>
      </c>
      <c r="AL1119" s="9" t="s">
        <v>3077</v>
      </c>
      <c r="AM1119" s="61" t="s">
        <v>1489</v>
      </c>
      <c r="AN1119" s="62">
        <v>216</v>
      </c>
      <c r="AO1119" s="61" t="s">
        <v>169</v>
      </c>
      <c r="AP1119" s="59"/>
      <c r="AQ1119" s="59"/>
      <c r="AR1119" s="59"/>
      <c r="AS1119" s="59"/>
      <c r="AT1119" s="59"/>
      <c r="AU1119" s="59"/>
      <c r="AV1119" s="59"/>
      <c r="AW1119" s="59"/>
      <c r="AX1119" s="59"/>
      <c r="AY1119" s="59"/>
      <c r="AZ1119" s="59"/>
      <c r="BA1119" s="141"/>
      <c r="BB1119" s="61"/>
      <c r="BC1119" s="165"/>
      <c r="BD1119" s="166"/>
      <c r="BE1119" s="167"/>
      <c r="BF1119" s="168"/>
      <c r="BG1119" s="167"/>
      <c r="BH1119" s="168"/>
      <c r="BI1119" s="169"/>
      <c r="BJ1119" s="168"/>
      <c r="BK1119" s="134"/>
      <c r="BL1119" s="168"/>
      <c r="BM1119" s="167"/>
      <c r="BN1119" s="168"/>
      <c r="BO1119" s="62"/>
      <c r="BP1119" s="168"/>
      <c r="BQ1119" s="168"/>
      <c r="BR1119" s="168"/>
      <c r="BS1119" s="135"/>
      <c r="BT1119" s="176"/>
      <c r="BU1119" s="167"/>
      <c r="BV1119" s="168"/>
      <c r="BW1119" s="167"/>
      <c r="BX1119" s="168"/>
      <c r="BY1119" s="167"/>
      <c r="BZ1119" s="176"/>
      <c r="CA1119" s="167"/>
      <c r="CB1119" s="168"/>
      <c r="CC1119" s="167"/>
      <c r="CD1119" s="168"/>
      <c r="CE1119" s="62"/>
      <c r="CF1119" s="62"/>
      <c r="CG1119" s="9"/>
      <c r="CH1119" s="9"/>
      <c r="CI1119" s="9"/>
      <c r="CJ1119" s="9"/>
      <c r="CK1119" s="9"/>
      <c r="CL1119" s="9"/>
      <c r="CM1119" s="9"/>
      <c r="CN1119" s="9"/>
      <c r="CO1119" s="9"/>
      <c r="CP1119" s="9"/>
    </row>
    <row r="1120" spans="1:94" ht="45" x14ac:dyDescent="0.25">
      <c r="A1120" s="127" t="s">
        <v>3527</v>
      </c>
      <c r="B1120" s="51" t="s">
        <v>3528</v>
      </c>
      <c r="C1120" s="62"/>
      <c r="D1120" s="84">
        <v>1</v>
      </c>
      <c r="E1120" s="62" t="s">
        <v>3385</v>
      </c>
      <c r="F1120" s="62">
        <v>6</v>
      </c>
      <c r="G1120" s="62"/>
      <c r="H1120" s="50"/>
      <c r="I1120" s="50"/>
      <c r="J1120" s="50"/>
      <c r="K1120" s="50"/>
      <c r="L1120" s="50"/>
      <c r="M1120" s="50"/>
      <c r="N1120" s="50"/>
      <c r="O1120" s="50"/>
      <c r="P1120" s="50"/>
      <c r="Q1120" s="50"/>
      <c r="R1120" s="50"/>
      <c r="S1120" s="50"/>
      <c r="T1120" s="50"/>
      <c r="U1120" s="50"/>
      <c r="V1120" s="50"/>
      <c r="W1120" s="50"/>
      <c r="X1120" s="50"/>
      <c r="Y1120" s="62"/>
      <c r="Z1120" s="62"/>
      <c r="AA1120" s="62"/>
      <c r="AB1120" s="62"/>
      <c r="AC1120" s="62"/>
      <c r="AD1120" s="62"/>
      <c r="AE1120" s="62" t="s">
        <v>3386</v>
      </c>
      <c r="AF1120" s="61" t="s">
        <v>3387</v>
      </c>
      <c r="AG1120" s="53">
        <f>(0.02*0.91+0.0064+0.015*1.15+0.05*0.94)*0.978</f>
        <v>8.6895299999999995E-2</v>
      </c>
      <c r="AH1120" s="54">
        <f>(4/0.75/2)*0.978</f>
        <v>2.6079999999999997</v>
      </c>
      <c r="AI1120" s="54">
        <f>(4/0.75/2)*0.978</f>
        <v>2.6079999999999997</v>
      </c>
      <c r="AJ1120" s="62">
        <v>9530</v>
      </c>
      <c r="AK1120" s="62">
        <v>9530</v>
      </c>
      <c r="AL1120" s="9" t="s">
        <v>3388</v>
      </c>
      <c r="AM1120" s="61" t="s">
        <v>1489</v>
      </c>
      <c r="AN1120" s="62">
        <v>468</v>
      </c>
      <c r="AO1120" s="61" t="s">
        <v>3389</v>
      </c>
      <c r="AP1120" s="59"/>
      <c r="AQ1120" s="59"/>
      <c r="AR1120" s="59"/>
      <c r="AS1120" s="59"/>
      <c r="AT1120" s="59"/>
      <c r="AU1120" s="59"/>
      <c r="AV1120" s="59"/>
      <c r="AW1120" s="59"/>
      <c r="AX1120" s="59"/>
      <c r="AY1120" s="59"/>
      <c r="AZ1120" s="59"/>
      <c r="BA1120" s="141" t="s">
        <v>1936</v>
      </c>
      <c r="BB1120" s="61" t="s">
        <v>952</v>
      </c>
      <c r="BC1120" s="165"/>
      <c r="BD1120" s="166"/>
      <c r="BE1120" s="167"/>
      <c r="BF1120" s="168"/>
      <c r="BG1120" s="167"/>
      <c r="BH1120" s="168"/>
      <c r="BI1120" s="169"/>
      <c r="BJ1120" s="168"/>
      <c r="BK1120" s="134"/>
      <c r="BL1120" s="168"/>
      <c r="BM1120" s="167"/>
      <c r="BN1120" s="168"/>
      <c r="BO1120" s="62"/>
      <c r="BP1120" s="168"/>
      <c r="BQ1120" s="168"/>
      <c r="BR1120" s="168"/>
      <c r="BS1120" s="135"/>
      <c r="BT1120" s="176"/>
      <c r="BU1120" s="167"/>
      <c r="BV1120" s="168"/>
      <c r="BW1120" s="167"/>
      <c r="BX1120" s="168"/>
      <c r="BY1120" s="167"/>
      <c r="BZ1120" s="176"/>
      <c r="CA1120" s="167"/>
      <c r="CB1120" s="168"/>
      <c r="CC1120" s="167"/>
      <c r="CD1120" s="168"/>
      <c r="CE1120" s="62"/>
      <c r="CF1120" s="62"/>
      <c r="CG1120" s="9"/>
      <c r="CH1120" s="9"/>
      <c r="CI1120" s="9"/>
      <c r="CJ1120" s="9"/>
      <c r="CK1120" s="9"/>
      <c r="CL1120" s="9"/>
      <c r="CM1120" s="9"/>
      <c r="CN1120" s="9"/>
      <c r="CO1120" s="9"/>
      <c r="CP1120" s="9"/>
    </row>
    <row r="1121" spans="1:94" x14ac:dyDescent="0.25">
      <c r="A1121" s="127" t="s">
        <v>3529</v>
      </c>
      <c r="B1121" s="51"/>
      <c r="C1121" s="62"/>
      <c r="D1121" s="84"/>
      <c r="E1121" s="62"/>
      <c r="F1121" s="62"/>
      <c r="G1121" s="62"/>
      <c r="H1121" s="50"/>
      <c r="I1121" s="50"/>
      <c r="J1121" s="50"/>
      <c r="K1121" s="50"/>
      <c r="L1121" s="50"/>
      <c r="M1121" s="50"/>
      <c r="N1121" s="50"/>
      <c r="O1121" s="50"/>
      <c r="P1121" s="50"/>
      <c r="Q1121" s="50"/>
      <c r="R1121" s="50"/>
      <c r="S1121" s="50"/>
      <c r="T1121" s="50"/>
      <c r="U1121" s="50"/>
      <c r="V1121" s="50"/>
      <c r="W1121" s="50"/>
      <c r="X1121" s="50"/>
      <c r="Y1121" s="62"/>
      <c r="Z1121" s="62"/>
      <c r="AA1121" s="62"/>
      <c r="AB1121" s="62"/>
      <c r="AC1121" s="62"/>
      <c r="AD1121" s="62"/>
      <c r="AE1121" s="62"/>
      <c r="AF1121" s="61"/>
      <c r="AG1121" s="53"/>
      <c r="AH1121" s="54"/>
      <c r="AI1121" s="54"/>
      <c r="AJ1121" s="62"/>
      <c r="AK1121" s="62"/>
      <c r="AL1121" s="9"/>
      <c r="AM1121" s="61"/>
      <c r="AN1121" s="62"/>
      <c r="AO1121" s="61"/>
      <c r="AP1121" s="59"/>
      <c r="AQ1121" s="59"/>
      <c r="AR1121" s="59"/>
      <c r="AS1121" s="59"/>
      <c r="AT1121" s="59"/>
      <c r="AU1121" s="59"/>
      <c r="AV1121" s="59"/>
      <c r="AW1121" s="59"/>
      <c r="AX1121" s="59"/>
      <c r="AY1121" s="59"/>
      <c r="AZ1121" s="59"/>
      <c r="BA1121" s="141"/>
      <c r="BB1121" s="61"/>
      <c r="BC1121" s="165"/>
      <c r="BD1121" s="166"/>
      <c r="BE1121" s="167"/>
      <c r="BF1121" s="168"/>
      <c r="BG1121" s="167"/>
      <c r="BH1121" s="168"/>
      <c r="BI1121" s="169"/>
      <c r="BJ1121" s="168"/>
      <c r="BK1121" s="134"/>
      <c r="BL1121" s="168"/>
      <c r="BM1121" s="167"/>
      <c r="BN1121" s="168"/>
      <c r="BO1121" s="62"/>
      <c r="BP1121" s="168"/>
      <c r="BQ1121" s="168"/>
      <c r="BR1121" s="168"/>
      <c r="BS1121" s="135"/>
      <c r="BT1121" s="176"/>
      <c r="BU1121" s="167"/>
      <c r="BV1121" s="168"/>
      <c r="BW1121" s="167"/>
      <c r="BX1121" s="168"/>
      <c r="BY1121" s="167"/>
      <c r="BZ1121" s="176"/>
      <c r="CA1121" s="167"/>
      <c r="CB1121" s="168"/>
      <c r="CC1121" s="167"/>
      <c r="CD1121" s="168"/>
      <c r="CE1121" s="62"/>
      <c r="CF1121" s="62"/>
      <c r="CG1121" s="9"/>
      <c r="CH1121" s="9"/>
      <c r="CI1121" s="9"/>
      <c r="CJ1121" s="9"/>
      <c r="CK1121" s="9"/>
      <c r="CL1121" s="9"/>
      <c r="CM1121" s="9"/>
      <c r="CN1121" s="9"/>
      <c r="CO1121" s="9"/>
      <c r="CP1121" s="9"/>
    </row>
    <row r="1122" spans="1:94" x14ac:dyDescent="0.25">
      <c r="A1122" s="127" t="s">
        <v>3530</v>
      </c>
      <c r="B1122" s="51"/>
      <c r="C1122" s="62"/>
      <c r="D1122" s="84"/>
      <c r="E1122" s="62"/>
      <c r="F1122" s="62"/>
      <c r="G1122" s="62"/>
      <c r="H1122" s="50"/>
      <c r="I1122" s="50"/>
      <c r="J1122" s="50"/>
      <c r="K1122" s="50"/>
      <c r="L1122" s="50"/>
      <c r="M1122" s="50"/>
      <c r="N1122" s="50"/>
      <c r="O1122" s="50"/>
      <c r="P1122" s="50"/>
      <c r="Q1122" s="50"/>
      <c r="R1122" s="50"/>
      <c r="S1122" s="50"/>
      <c r="T1122" s="50"/>
      <c r="U1122" s="50"/>
      <c r="V1122" s="50"/>
      <c r="W1122" s="50"/>
      <c r="X1122" s="50"/>
      <c r="Y1122" s="62"/>
      <c r="Z1122" s="62"/>
      <c r="AA1122" s="62"/>
      <c r="AB1122" s="62"/>
      <c r="AC1122" s="62"/>
      <c r="AD1122" s="62"/>
      <c r="AE1122" s="62"/>
      <c r="AF1122" s="61"/>
      <c r="AG1122" s="53"/>
      <c r="AH1122" s="54"/>
      <c r="AI1122" s="54"/>
      <c r="AJ1122" s="62"/>
      <c r="AK1122" s="62"/>
      <c r="AL1122" s="9"/>
      <c r="AM1122" s="61"/>
      <c r="AN1122" s="62"/>
      <c r="AO1122" s="61"/>
      <c r="AP1122" s="59"/>
      <c r="AQ1122" s="59"/>
      <c r="AR1122" s="59"/>
      <c r="AS1122" s="59"/>
      <c r="AT1122" s="59"/>
      <c r="AU1122" s="59"/>
      <c r="AV1122" s="59"/>
      <c r="AW1122" s="59"/>
      <c r="AX1122" s="59"/>
      <c r="AY1122" s="59"/>
      <c r="AZ1122" s="59"/>
      <c r="BA1122" s="141"/>
      <c r="BB1122" s="61"/>
      <c r="BC1122" s="165"/>
      <c r="BD1122" s="166"/>
      <c r="BE1122" s="167"/>
      <c r="BF1122" s="168"/>
      <c r="BG1122" s="167"/>
      <c r="BH1122" s="168"/>
      <c r="BI1122" s="169"/>
      <c r="BJ1122" s="168"/>
      <c r="BK1122" s="134"/>
      <c r="BL1122" s="168"/>
      <c r="BM1122" s="167"/>
      <c r="BN1122" s="168"/>
      <c r="BO1122" s="62"/>
      <c r="BP1122" s="168"/>
      <c r="BQ1122" s="168"/>
      <c r="BR1122" s="168"/>
      <c r="BS1122" s="135"/>
      <c r="BT1122" s="176"/>
      <c r="BU1122" s="167"/>
      <c r="BV1122" s="168"/>
      <c r="BW1122" s="167"/>
      <c r="BX1122" s="168"/>
      <c r="BY1122" s="167"/>
      <c r="BZ1122" s="176"/>
      <c r="CA1122" s="167"/>
      <c r="CB1122" s="168"/>
      <c r="CC1122" s="167"/>
      <c r="CD1122" s="168"/>
      <c r="CE1122" s="62"/>
      <c r="CF1122" s="62"/>
      <c r="CG1122" s="9"/>
      <c r="CH1122" s="9"/>
      <c r="CI1122" s="9"/>
      <c r="CJ1122" s="9"/>
      <c r="CK1122" s="9"/>
      <c r="CL1122" s="9"/>
      <c r="CM1122" s="9"/>
      <c r="CN1122" s="9"/>
      <c r="CO1122" s="9"/>
      <c r="CP1122" s="9"/>
    </row>
    <row r="1123" spans="1:94" ht="15.75" x14ac:dyDescent="0.25">
      <c r="A1123" s="127" t="s">
        <v>3531</v>
      </c>
      <c r="B1123" s="51" t="s">
        <v>3532</v>
      </c>
      <c r="C1123" s="62"/>
      <c r="D1123" s="84"/>
      <c r="E1123" s="62"/>
      <c r="F1123" s="62"/>
      <c r="G1123" s="62"/>
      <c r="H1123" s="50"/>
      <c r="I1123" s="50"/>
      <c r="J1123" s="50"/>
      <c r="K1123" s="50"/>
      <c r="L1123" s="50"/>
      <c r="M1123" s="50"/>
      <c r="N1123" s="50"/>
      <c r="O1123" s="50"/>
      <c r="P1123" s="50"/>
      <c r="Q1123" s="50"/>
      <c r="R1123" s="50"/>
      <c r="S1123" s="50"/>
      <c r="T1123" s="50"/>
      <c r="U1123" s="50"/>
      <c r="V1123" s="50"/>
      <c r="W1123" s="50"/>
      <c r="X1123" s="50"/>
      <c r="Y1123" s="62"/>
      <c r="Z1123" s="62"/>
      <c r="AA1123" s="62"/>
      <c r="AB1123" s="62"/>
      <c r="AC1123" s="62"/>
      <c r="AD1123" s="62"/>
      <c r="AE1123" s="62"/>
      <c r="AF1123" s="61"/>
      <c r="AG1123" s="53"/>
      <c r="AH1123" s="54"/>
      <c r="AI1123" s="54"/>
      <c r="AJ1123" s="62"/>
      <c r="AK1123" s="62"/>
      <c r="AL1123" s="9"/>
      <c r="AM1123" s="61"/>
      <c r="AN1123" s="62"/>
      <c r="AO1123" s="197" t="s">
        <v>3465</v>
      </c>
      <c r="AP1123" s="59"/>
      <c r="AQ1123" s="59"/>
      <c r="AR1123" s="59"/>
      <c r="AS1123" s="59"/>
      <c r="AT1123" s="59"/>
      <c r="AU1123" s="59"/>
      <c r="AV1123" s="59"/>
      <c r="AW1123" s="59"/>
      <c r="AX1123" s="59"/>
      <c r="AY1123" s="59"/>
      <c r="AZ1123" s="59"/>
      <c r="BA1123" s="141"/>
      <c r="BB1123" s="61"/>
      <c r="BC1123" s="165"/>
      <c r="BD1123" s="166"/>
      <c r="BE1123" s="167"/>
      <c r="BF1123" s="168"/>
      <c r="BG1123" s="167"/>
      <c r="BH1123" s="168"/>
      <c r="BI1123" s="169"/>
      <c r="BJ1123" s="168"/>
      <c r="BK1123" s="134"/>
      <c r="BL1123" s="168"/>
      <c r="BM1123" s="167"/>
      <c r="BN1123" s="168"/>
      <c r="BO1123" s="62"/>
      <c r="BP1123" s="168"/>
      <c r="BQ1123" s="168"/>
      <c r="BR1123" s="168"/>
      <c r="BS1123" s="135"/>
      <c r="BT1123" s="176"/>
      <c r="BU1123" s="167"/>
      <c r="BV1123" s="168"/>
      <c r="BW1123" s="167"/>
      <c r="BX1123" s="168"/>
      <c r="BY1123" s="167"/>
      <c r="BZ1123" s="176"/>
      <c r="CA1123" s="167"/>
      <c r="CB1123" s="168"/>
      <c r="CC1123" s="167"/>
      <c r="CD1123" s="168"/>
      <c r="CE1123" s="62"/>
      <c r="CF1123" s="62"/>
      <c r="CG1123" s="9"/>
      <c r="CH1123" s="9"/>
      <c r="CI1123" s="9"/>
      <c r="CJ1123" s="9"/>
      <c r="CK1123" s="9"/>
      <c r="CL1123" s="9"/>
      <c r="CM1123" s="9"/>
      <c r="CN1123" s="9"/>
      <c r="CO1123" s="9"/>
      <c r="CP1123" s="9"/>
    </row>
    <row r="1124" spans="1:94" ht="30" x14ac:dyDescent="0.25">
      <c r="A1124" s="127" t="s">
        <v>3533</v>
      </c>
      <c r="B1124" s="51" t="s">
        <v>3534</v>
      </c>
      <c r="C1124" s="62"/>
      <c r="D1124" s="84"/>
      <c r="E1124" s="62" t="s">
        <v>3535</v>
      </c>
      <c r="F1124" s="62"/>
      <c r="G1124" s="62"/>
      <c r="H1124" s="50"/>
      <c r="I1124" s="50"/>
      <c r="J1124" s="50"/>
      <c r="K1124" s="50"/>
      <c r="L1124" s="50"/>
      <c r="M1124" s="50"/>
      <c r="N1124" s="50"/>
      <c r="O1124" s="50"/>
      <c r="P1124" s="50"/>
      <c r="Q1124" s="50"/>
      <c r="R1124" s="50"/>
      <c r="S1124" s="50"/>
      <c r="T1124" s="50"/>
      <c r="U1124" s="50"/>
      <c r="V1124" s="50"/>
      <c r="W1124" s="50"/>
      <c r="X1124" s="50"/>
      <c r="Y1124" s="62"/>
      <c r="Z1124" s="62"/>
      <c r="AA1124" s="62"/>
      <c r="AB1124" s="62"/>
      <c r="AC1124" s="62"/>
      <c r="AD1124" s="62"/>
      <c r="AE1124" s="62" t="s">
        <v>3536</v>
      </c>
      <c r="AF1124" s="61"/>
      <c r="AG1124" s="53"/>
      <c r="AH1124" s="54">
        <f>(3/0.75/2)*0.815</f>
        <v>1.63</v>
      </c>
      <c r="AI1124" s="54"/>
      <c r="AJ1124" s="62">
        <v>6260</v>
      </c>
      <c r="AK1124" s="62"/>
      <c r="AL1124" s="9">
        <v>3.0000000000000001E-3</v>
      </c>
      <c r="AM1124" s="61" t="s">
        <v>1489</v>
      </c>
      <c r="AN1124" s="62" t="s">
        <v>3537</v>
      </c>
      <c r="AO1124" s="61" t="s">
        <v>3477</v>
      </c>
      <c r="AP1124" s="59"/>
      <c r="AQ1124" s="59"/>
      <c r="AR1124" s="59"/>
      <c r="AS1124" s="59"/>
      <c r="AT1124" s="59"/>
      <c r="AU1124" s="59"/>
      <c r="AV1124" s="59"/>
      <c r="AW1124" s="59"/>
      <c r="AX1124" s="59"/>
      <c r="AY1124" s="59"/>
      <c r="AZ1124" s="59"/>
      <c r="BA1124" s="141"/>
      <c r="BB1124" s="61"/>
      <c r="BC1124" s="165"/>
      <c r="BD1124" s="166"/>
      <c r="BE1124" s="167"/>
      <c r="BF1124" s="168"/>
      <c r="BG1124" s="167"/>
      <c r="BH1124" s="168"/>
      <c r="BI1124" s="169"/>
      <c r="BJ1124" s="168"/>
      <c r="BK1124" s="134"/>
      <c r="BL1124" s="168"/>
      <c r="BM1124" s="167"/>
      <c r="BN1124" s="168"/>
      <c r="BO1124" s="62"/>
      <c r="BP1124" s="168"/>
      <c r="BQ1124" s="168"/>
      <c r="BR1124" s="168"/>
      <c r="BS1124" s="135"/>
      <c r="BT1124" s="176"/>
      <c r="BU1124" s="167"/>
      <c r="BV1124" s="168"/>
      <c r="BW1124" s="167"/>
      <c r="BX1124" s="168"/>
      <c r="BY1124" s="167"/>
      <c r="BZ1124" s="176"/>
      <c r="CA1124" s="167"/>
      <c r="CB1124" s="168"/>
      <c r="CC1124" s="167"/>
      <c r="CD1124" s="168"/>
      <c r="CE1124" s="62"/>
      <c r="CF1124" s="62"/>
      <c r="CG1124" s="9"/>
      <c r="CH1124" s="9"/>
      <c r="CI1124" s="9"/>
      <c r="CJ1124" s="9"/>
      <c r="CK1124" s="9"/>
      <c r="CL1124" s="9"/>
      <c r="CM1124" s="9"/>
      <c r="CN1124" s="9"/>
      <c r="CO1124" s="9"/>
      <c r="CP1124" s="9"/>
    </row>
    <row r="1125" spans="1:94" ht="30" x14ac:dyDescent="0.25">
      <c r="A1125" s="127" t="s">
        <v>3538</v>
      </c>
      <c r="B1125" s="51" t="s">
        <v>3539</v>
      </c>
      <c r="C1125" s="62"/>
      <c r="D1125" s="84"/>
      <c r="E1125" s="62" t="s">
        <v>1110</v>
      </c>
      <c r="F1125" s="62"/>
      <c r="G1125" s="62"/>
      <c r="H1125" s="50"/>
      <c r="I1125" s="50"/>
      <c r="J1125" s="50"/>
      <c r="K1125" s="50"/>
      <c r="L1125" s="50"/>
      <c r="M1125" s="50"/>
      <c r="N1125" s="50"/>
      <c r="O1125" s="50"/>
      <c r="P1125" s="50"/>
      <c r="Q1125" s="50"/>
      <c r="R1125" s="50"/>
      <c r="S1125" s="50"/>
      <c r="T1125" s="50"/>
      <c r="U1125" s="50"/>
      <c r="V1125" s="50"/>
      <c r="W1125" s="50"/>
      <c r="X1125" s="50"/>
      <c r="Y1125" s="62"/>
      <c r="Z1125" s="62"/>
      <c r="AA1125" s="62"/>
      <c r="AB1125" s="62"/>
      <c r="AC1125" s="62"/>
      <c r="AD1125" s="62"/>
      <c r="AE1125" s="62" t="s">
        <v>3540</v>
      </c>
      <c r="AF1125" s="61"/>
      <c r="AG1125" s="53"/>
      <c r="AH1125" s="54">
        <f>(3/0.75/2)*0.815</f>
        <v>1.63</v>
      </c>
      <c r="AI1125" s="54"/>
      <c r="AJ1125" s="62">
        <v>6260</v>
      </c>
      <c r="AK1125" s="62"/>
      <c r="AL1125" s="9">
        <v>3.0000000000000001E-3</v>
      </c>
      <c r="AM1125" s="61" t="s">
        <v>1489</v>
      </c>
      <c r="AN1125" s="62" t="s">
        <v>3537</v>
      </c>
      <c r="AO1125" s="61" t="s">
        <v>3477</v>
      </c>
      <c r="AP1125" s="59"/>
      <c r="AQ1125" s="59"/>
      <c r="AR1125" s="59"/>
      <c r="AS1125" s="59"/>
      <c r="AT1125" s="59"/>
      <c r="AU1125" s="59"/>
      <c r="AV1125" s="59"/>
      <c r="AW1125" s="59"/>
      <c r="AX1125" s="59"/>
      <c r="AY1125" s="59"/>
      <c r="AZ1125" s="59"/>
      <c r="BA1125" s="141"/>
      <c r="BB1125" s="61"/>
      <c r="BC1125" s="165"/>
      <c r="BD1125" s="166"/>
      <c r="BE1125" s="167"/>
      <c r="BF1125" s="168"/>
      <c r="BG1125" s="167"/>
      <c r="BH1125" s="168"/>
      <c r="BI1125" s="169"/>
      <c r="BJ1125" s="168"/>
      <c r="BK1125" s="134"/>
      <c r="BL1125" s="168"/>
      <c r="BM1125" s="167"/>
      <c r="BN1125" s="168"/>
      <c r="BO1125" s="62"/>
      <c r="BP1125" s="168"/>
      <c r="BQ1125" s="168"/>
      <c r="BR1125" s="168"/>
      <c r="BS1125" s="135"/>
      <c r="BT1125" s="176"/>
      <c r="BU1125" s="167"/>
      <c r="BV1125" s="168"/>
      <c r="BW1125" s="167"/>
      <c r="BX1125" s="168"/>
      <c r="BY1125" s="167"/>
      <c r="BZ1125" s="176"/>
      <c r="CA1125" s="167"/>
      <c r="CB1125" s="168"/>
      <c r="CC1125" s="167"/>
      <c r="CD1125" s="168"/>
      <c r="CE1125" s="62"/>
      <c r="CF1125" s="62"/>
      <c r="CG1125" s="9"/>
      <c r="CH1125" s="9"/>
      <c r="CI1125" s="9"/>
      <c r="CJ1125" s="9"/>
      <c r="CK1125" s="9"/>
      <c r="CL1125" s="9"/>
      <c r="CM1125" s="9"/>
      <c r="CN1125" s="9"/>
      <c r="CO1125" s="9"/>
      <c r="CP1125" s="9"/>
    </row>
    <row r="1126" spans="1:94" x14ac:dyDescent="0.25">
      <c r="A1126" s="127" t="s">
        <v>3541</v>
      </c>
      <c r="B1126" s="51"/>
      <c r="C1126" s="62"/>
      <c r="D1126" s="84"/>
      <c r="E1126" s="62"/>
      <c r="F1126" s="62"/>
      <c r="G1126" s="62"/>
      <c r="H1126" s="50"/>
      <c r="I1126" s="50"/>
      <c r="J1126" s="50"/>
      <c r="K1126" s="50"/>
      <c r="L1126" s="50"/>
      <c r="M1126" s="50"/>
      <c r="N1126" s="50"/>
      <c r="O1126" s="50"/>
      <c r="P1126" s="50"/>
      <c r="Q1126" s="50"/>
      <c r="R1126" s="50"/>
      <c r="S1126" s="50"/>
      <c r="T1126" s="50"/>
      <c r="U1126" s="50"/>
      <c r="V1126" s="50"/>
      <c r="W1126" s="50"/>
      <c r="X1126" s="50"/>
      <c r="Y1126" s="62"/>
      <c r="Z1126" s="62"/>
      <c r="AA1126" s="62"/>
      <c r="AB1126" s="62"/>
      <c r="AC1126" s="62"/>
      <c r="AD1126" s="62"/>
      <c r="AE1126" s="62"/>
      <c r="AF1126" s="61"/>
      <c r="AG1126" s="53"/>
      <c r="AH1126" s="54"/>
      <c r="AI1126" s="54"/>
      <c r="AJ1126" s="62"/>
      <c r="AK1126" s="62"/>
      <c r="AL1126" s="9"/>
      <c r="AM1126" s="61"/>
      <c r="AN1126" s="62"/>
      <c r="AO1126" s="61"/>
      <c r="AP1126" s="59"/>
      <c r="AQ1126" s="59"/>
      <c r="AR1126" s="59"/>
      <c r="AS1126" s="59"/>
      <c r="AT1126" s="59"/>
      <c r="AU1126" s="59"/>
      <c r="AV1126" s="59"/>
      <c r="AW1126" s="59"/>
      <c r="AX1126" s="59"/>
      <c r="AY1126" s="59"/>
      <c r="AZ1126" s="59"/>
      <c r="BA1126" s="141"/>
      <c r="BB1126" s="61"/>
      <c r="BC1126" s="165"/>
      <c r="BD1126" s="166"/>
      <c r="BE1126" s="167"/>
      <c r="BF1126" s="168"/>
      <c r="BG1126" s="167"/>
      <c r="BH1126" s="168"/>
      <c r="BI1126" s="169"/>
      <c r="BJ1126" s="168"/>
      <c r="BK1126" s="134"/>
      <c r="BL1126" s="168"/>
      <c r="BM1126" s="167"/>
      <c r="BN1126" s="168"/>
      <c r="BO1126" s="62"/>
      <c r="BP1126" s="168"/>
      <c r="BQ1126" s="168"/>
      <c r="BR1126" s="168"/>
      <c r="BS1126" s="135"/>
      <c r="BT1126" s="176"/>
      <c r="BU1126" s="167"/>
      <c r="BV1126" s="168"/>
      <c r="BW1126" s="167"/>
      <c r="BX1126" s="168"/>
      <c r="BY1126" s="167"/>
      <c r="BZ1126" s="176"/>
      <c r="CA1126" s="167"/>
      <c r="CB1126" s="168"/>
      <c r="CC1126" s="167"/>
      <c r="CD1126" s="168"/>
      <c r="CE1126" s="62"/>
      <c r="CF1126" s="62"/>
      <c r="CG1126" s="9"/>
      <c r="CH1126" s="9"/>
      <c r="CI1126" s="9"/>
      <c r="CJ1126" s="9"/>
      <c r="CK1126" s="9"/>
      <c r="CL1126" s="9"/>
      <c r="CM1126" s="9"/>
      <c r="CN1126" s="9"/>
      <c r="CO1126" s="9"/>
      <c r="CP1126" s="9"/>
    </row>
    <row r="1127" spans="1:94" x14ac:dyDescent="0.25">
      <c r="A1127" s="127" t="s">
        <v>3542</v>
      </c>
      <c r="B1127" s="51"/>
      <c r="C1127" s="62"/>
      <c r="D1127" s="84"/>
      <c r="E1127" s="62"/>
      <c r="F1127" s="62"/>
      <c r="G1127" s="62"/>
      <c r="H1127" s="50"/>
      <c r="I1127" s="50"/>
      <c r="J1127" s="50"/>
      <c r="K1127" s="50"/>
      <c r="L1127" s="50"/>
      <c r="M1127" s="50"/>
      <c r="N1127" s="50"/>
      <c r="O1127" s="50"/>
      <c r="P1127" s="50"/>
      <c r="Q1127" s="50"/>
      <c r="R1127" s="50"/>
      <c r="S1127" s="50"/>
      <c r="T1127" s="50"/>
      <c r="U1127" s="50"/>
      <c r="V1127" s="50"/>
      <c r="W1127" s="50"/>
      <c r="X1127" s="50"/>
      <c r="Y1127" s="62"/>
      <c r="Z1127" s="62"/>
      <c r="AA1127" s="62"/>
      <c r="AB1127" s="62"/>
      <c r="AC1127" s="62"/>
      <c r="AD1127" s="62"/>
      <c r="AE1127" s="62"/>
      <c r="AF1127" s="61"/>
      <c r="AG1127" s="53"/>
      <c r="AH1127" s="54"/>
      <c r="AI1127" s="54"/>
      <c r="AJ1127" s="62"/>
      <c r="AK1127" s="62"/>
      <c r="AL1127" s="9"/>
      <c r="AM1127" s="61"/>
      <c r="AN1127" s="62"/>
      <c r="AO1127" s="61"/>
      <c r="AP1127" s="59"/>
      <c r="AQ1127" s="59"/>
      <c r="AR1127" s="59"/>
      <c r="AS1127" s="59"/>
      <c r="AT1127" s="59"/>
      <c r="AU1127" s="59"/>
      <c r="AV1127" s="59"/>
      <c r="AW1127" s="59"/>
      <c r="AX1127" s="59"/>
      <c r="AY1127" s="59"/>
      <c r="AZ1127" s="59"/>
      <c r="BA1127" s="141"/>
      <c r="BB1127" s="61"/>
      <c r="BC1127" s="165"/>
      <c r="BD1127" s="166"/>
      <c r="BE1127" s="167"/>
      <c r="BF1127" s="168"/>
      <c r="BG1127" s="167"/>
      <c r="BH1127" s="168"/>
      <c r="BI1127" s="169"/>
      <c r="BJ1127" s="168"/>
      <c r="BK1127" s="134"/>
      <c r="BL1127" s="168"/>
      <c r="BM1127" s="167"/>
      <c r="BN1127" s="168"/>
      <c r="BO1127" s="62"/>
      <c r="BP1127" s="168"/>
      <c r="BQ1127" s="168"/>
      <c r="BR1127" s="168"/>
      <c r="BS1127" s="135"/>
      <c r="BT1127" s="176"/>
      <c r="BU1127" s="167"/>
      <c r="BV1127" s="168"/>
      <c r="BW1127" s="167"/>
      <c r="BX1127" s="168"/>
      <c r="BY1127" s="167"/>
      <c r="BZ1127" s="176"/>
      <c r="CA1127" s="167"/>
      <c r="CB1127" s="168"/>
      <c r="CC1127" s="167"/>
      <c r="CD1127" s="168"/>
      <c r="CE1127" s="62"/>
      <c r="CF1127" s="62"/>
      <c r="CG1127" s="9"/>
      <c r="CH1127" s="9"/>
      <c r="CI1127" s="9"/>
      <c r="CJ1127" s="9"/>
      <c r="CK1127" s="9"/>
      <c r="CL1127" s="9"/>
      <c r="CM1127" s="9"/>
      <c r="CN1127" s="9"/>
      <c r="CO1127" s="9"/>
      <c r="CP1127" s="9"/>
    </row>
    <row r="1128" spans="1:94" x14ac:dyDescent="0.25">
      <c r="A1128" s="127" t="s">
        <v>3543</v>
      </c>
      <c r="B1128" s="51"/>
      <c r="C1128" s="62"/>
      <c r="D1128" s="84"/>
      <c r="E1128" s="62"/>
      <c r="F1128" s="62"/>
      <c r="G1128" s="62"/>
      <c r="H1128" s="50"/>
      <c r="I1128" s="50"/>
      <c r="J1128" s="50"/>
      <c r="K1128" s="50"/>
      <c r="L1128" s="50"/>
      <c r="M1128" s="50"/>
      <c r="N1128" s="50"/>
      <c r="O1128" s="50"/>
      <c r="P1128" s="50"/>
      <c r="Q1128" s="50"/>
      <c r="R1128" s="50"/>
      <c r="S1128" s="50"/>
      <c r="T1128" s="50"/>
      <c r="U1128" s="50"/>
      <c r="V1128" s="50"/>
      <c r="W1128" s="50"/>
      <c r="X1128" s="50"/>
      <c r="Y1128" s="62"/>
      <c r="Z1128" s="62"/>
      <c r="AA1128" s="62"/>
      <c r="AB1128" s="62"/>
      <c r="AC1128" s="62"/>
      <c r="AD1128" s="62"/>
      <c r="AE1128" s="62"/>
      <c r="AF1128" s="61"/>
      <c r="AG1128" s="53"/>
      <c r="AH1128" s="54"/>
      <c r="AI1128" s="54"/>
      <c r="AJ1128" s="62"/>
      <c r="AK1128" s="62"/>
      <c r="AL1128" s="9"/>
      <c r="AM1128" s="61"/>
      <c r="AN1128" s="62"/>
      <c r="AO1128" s="61"/>
      <c r="AP1128" s="59"/>
      <c r="AQ1128" s="59"/>
      <c r="AR1128" s="59"/>
      <c r="AS1128" s="59"/>
      <c r="AT1128" s="59"/>
      <c r="AU1128" s="59"/>
      <c r="AV1128" s="59"/>
      <c r="AW1128" s="59"/>
      <c r="AX1128" s="59"/>
      <c r="AY1128" s="59"/>
      <c r="AZ1128" s="59"/>
      <c r="BA1128" s="141"/>
      <c r="BB1128" s="61"/>
      <c r="BC1128" s="165"/>
      <c r="BD1128" s="166"/>
      <c r="BE1128" s="167"/>
      <c r="BF1128" s="168"/>
      <c r="BG1128" s="167"/>
      <c r="BH1128" s="168"/>
      <c r="BI1128" s="169"/>
      <c r="BJ1128" s="168"/>
      <c r="BK1128" s="134"/>
      <c r="BL1128" s="168"/>
      <c r="BM1128" s="167"/>
      <c r="BN1128" s="168"/>
      <c r="BO1128" s="62"/>
      <c r="BP1128" s="168"/>
      <c r="BQ1128" s="168"/>
      <c r="BR1128" s="168"/>
      <c r="BS1128" s="135"/>
      <c r="BT1128" s="176"/>
      <c r="BU1128" s="167"/>
      <c r="BV1128" s="168"/>
      <c r="BW1128" s="167"/>
      <c r="BX1128" s="168"/>
      <c r="BY1128" s="167"/>
      <c r="BZ1128" s="176"/>
      <c r="CA1128" s="167"/>
      <c r="CB1128" s="168"/>
      <c r="CC1128" s="167"/>
      <c r="CD1128" s="168"/>
      <c r="CE1128" s="62"/>
      <c r="CF1128" s="62"/>
      <c r="CG1128" s="9"/>
      <c r="CH1128" s="9"/>
      <c r="CI1128" s="9"/>
      <c r="CJ1128" s="9"/>
      <c r="CK1128" s="9"/>
      <c r="CL1128" s="9"/>
      <c r="CM1128" s="9"/>
      <c r="CN1128" s="9"/>
      <c r="CO1128" s="9"/>
      <c r="CP1128" s="9"/>
    </row>
    <row r="1129" spans="1:94" x14ac:dyDescent="0.25">
      <c r="A1129" s="127" t="s">
        <v>3544</v>
      </c>
      <c r="B1129" s="51"/>
      <c r="C1129" s="62"/>
      <c r="D1129" s="84"/>
      <c r="E1129" s="62"/>
      <c r="F1129" s="62"/>
      <c r="G1129" s="62"/>
      <c r="H1129" s="50"/>
      <c r="I1129" s="50"/>
      <c r="J1129" s="50"/>
      <c r="K1129" s="50"/>
      <c r="L1129" s="50"/>
      <c r="M1129" s="50"/>
      <c r="N1129" s="50"/>
      <c r="O1129" s="50"/>
      <c r="P1129" s="50"/>
      <c r="Q1129" s="50"/>
      <c r="R1129" s="50"/>
      <c r="S1129" s="50"/>
      <c r="T1129" s="50"/>
      <c r="U1129" s="50"/>
      <c r="V1129" s="50"/>
      <c r="W1129" s="50"/>
      <c r="X1129" s="50"/>
      <c r="Y1129" s="62"/>
      <c r="Z1129" s="62"/>
      <c r="AA1129" s="62"/>
      <c r="AB1129" s="62"/>
      <c r="AC1129" s="62"/>
      <c r="AD1129" s="62"/>
      <c r="AE1129" s="62"/>
      <c r="AF1129" s="61"/>
      <c r="AG1129" s="53"/>
      <c r="AH1129" s="54"/>
      <c r="AI1129" s="54"/>
      <c r="AJ1129" s="62"/>
      <c r="AK1129" s="62"/>
      <c r="AL1129" s="9"/>
      <c r="AM1129" s="61"/>
      <c r="AN1129" s="62"/>
      <c r="AO1129" s="61"/>
      <c r="AP1129" s="59"/>
      <c r="AQ1129" s="59"/>
      <c r="AR1129" s="59"/>
      <c r="AS1129" s="59"/>
      <c r="AT1129" s="59"/>
      <c r="AU1129" s="59"/>
      <c r="AV1129" s="59"/>
      <c r="AW1129" s="59"/>
      <c r="AX1129" s="59"/>
      <c r="AY1129" s="59"/>
      <c r="AZ1129" s="59"/>
      <c r="BA1129" s="141"/>
      <c r="BB1129" s="61"/>
      <c r="BC1129" s="165"/>
      <c r="BD1129" s="166"/>
      <c r="BE1129" s="167"/>
      <c r="BF1129" s="168"/>
      <c r="BG1129" s="167"/>
      <c r="BH1129" s="168"/>
      <c r="BI1129" s="169"/>
      <c r="BJ1129" s="168"/>
      <c r="BK1129" s="134"/>
      <c r="BL1129" s="168"/>
      <c r="BM1129" s="167"/>
      <c r="BN1129" s="168"/>
      <c r="BO1129" s="62"/>
      <c r="BP1129" s="168"/>
      <c r="BQ1129" s="168"/>
      <c r="BR1129" s="168"/>
      <c r="BS1129" s="135"/>
      <c r="BT1129" s="176"/>
      <c r="BU1129" s="167"/>
      <c r="BV1129" s="168"/>
      <c r="BW1129" s="167"/>
      <c r="BX1129" s="168"/>
      <c r="BY1129" s="167"/>
      <c r="BZ1129" s="176"/>
      <c r="CA1129" s="167"/>
      <c r="CB1129" s="168"/>
      <c r="CC1129" s="167"/>
      <c r="CD1129" s="168"/>
      <c r="CE1129" s="62"/>
      <c r="CF1129" s="62"/>
      <c r="CG1129" s="9"/>
      <c r="CH1129" s="9"/>
      <c r="CI1129" s="9"/>
      <c r="CJ1129" s="9"/>
      <c r="CK1129" s="9"/>
      <c r="CL1129" s="9"/>
      <c r="CM1129" s="9"/>
      <c r="CN1129" s="9"/>
      <c r="CO1129" s="9"/>
      <c r="CP1129" s="9"/>
    </row>
    <row r="1130" spans="1:94" x14ac:dyDescent="0.25">
      <c r="A1130" s="127" t="s">
        <v>3545</v>
      </c>
      <c r="B1130" s="51"/>
      <c r="C1130" s="62"/>
      <c r="D1130" s="84"/>
      <c r="E1130" s="62"/>
      <c r="F1130" s="62"/>
      <c r="G1130" s="62"/>
      <c r="H1130" s="50"/>
      <c r="I1130" s="50"/>
      <c r="J1130" s="50"/>
      <c r="K1130" s="50"/>
      <c r="L1130" s="50"/>
      <c r="M1130" s="50"/>
      <c r="N1130" s="50"/>
      <c r="O1130" s="50"/>
      <c r="P1130" s="50"/>
      <c r="Q1130" s="50"/>
      <c r="R1130" s="50"/>
      <c r="S1130" s="50"/>
      <c r="T1130" s="50"/>
      <c r="U1130" s="50"/>
      <c r="V1130" s="50"/>
      <c r="W1130" s="50"/>
      <c r="X1130" s="50"/>
      <c r="Y1130" s="62"/>
      <c r="Z1130" s="62"/>
      <c r="AA1130" s="62"/>
      <c r="AB1130" s="62"/>
      <c r="AC1130" s="62"/>
      <c r="AD1130" s="62"/>
      <c r="AE1130" s="62"/>
      <c r="AF1130" s="61"/>
      <c r="AG1130" s="53"/>
      <c r="AH1130" s="54"/>
      <c r="AI1130" s="54"/>
      <c r="AJ1130" s="62"/>
      <c r="AK1130" s="62"/>
      <c r="AL1130" s="9"/>
      <c r="AM1130" s="61"/>
      <c r="AN1130" s="62"/>
      <c r="AO1130" s="61"/>
      <c r="AP1130" s="59"/>
      <c r="AQ1130" s="59"/>
      <c r="AR1130" s="59"/>
      <c r="AS1130" s="59"/>
      <c r="AT1130" s="59"/>
      <c r="AU1130" s="59"/>
      <c r="AV1130" s="59"/>
      <c r="AW1130" s="59"/>
      <c r="AX1130" s="59"/>
      <c r="AY1130" s="59"/>
      <c r="AZ1130" s="59"/>
      <c r="BA1130" s="141"/>
      <c r="BB1130" s="61"/>
      <c r="BC1130" s="165"/>
      <c r="BD1130" s="166"/>
      <c r="BE1130" s="167"/>
      <c r="BF1130" s="168"/>
      <c r="BG1130" s="167"/>
      <c r="BH1130" s="168"/>
      <c r="BI1130" s="169"/>
      <c r="BJ1130" s="168"/>
      <c r="BK1130" s="134"/>
      <c r="BL1130" s="168"/>
      <c r="BM1130" s="167"/>
      <c r="BN1130" s="168"/>
      <c r="BO1130" s="62"/>
      <c r="BP1130" s="168"/>
      <c r="BQ1130" s="168"/>
      <c r="BR1130" s="168"/>
      <c r="BS1130" s="135"/>
      <c r="BT1130" s="176"/>
      <c r="BU1130" s="167"/>
      <c r="BV1130" s="168"/>
      <c r="BW1130" s="167"/>
      <c r="BX1130" s="168"/>
      <c r="BY1130" s="167"/>
      <c r="BZ1130" s="176"/>
      <c r="CA1130" s="167"/>
      <c r="CB1130" s="168"/>
      <c r="CC1130" s="167"/>
      <c r="CD1130" s="168"/>
      <c r="CE1130" s="62"/>
      <c r="CF1130" s="62"/>
      <c r="CG1130" s="9"/>
      <c r="CH1130" s="9"/>
      <c r="CI1130" s="9"/>
      <c r="CJ1130" s="9"/>
      <c r="CK1130" s="9"/>
      <c r="CL1130" s="9"/>
      <c r="CM1130" s="9"/>
      <c r="CN1130" s="9"/>
      <c r="CO1130" s="9"/>
      <c r="CP1130" s="9"/>
    </row>
    <row r="1131" spans="1:94" x14ac:dyDescent="0.25">
      <c r="A1131" s="127" t="s">
        <v>3546</v>
      </c>
      <c r="B1131" s="51"/>
      <c r="C1131" s="62"/>
      <c r="D1131" s="84"/>
      <c r="E1131" s="62"/>
      <c r="F1131" s="62"/>
      <c r="G1131" s="62"/>
      <c r="H1131" s="50"/>
      <c r="I1131" s="50"/>
      <c r="J1131" s="50"/>
      <c r="K1131" s="50"/>
      <c r="L1131" s="50"/>
      <c r="M1131" s="50"/>
      <c r="N1131" s="50"/>
      <c r="O1131" s="50"/>
      <c r="P1131" s="50"/>
      <c r="Q1131" s="50"/>
      <c r="R1131" s="50"/>
      <c r="S1131" s="50"/>
      <c r="T1131" s="50"/>
      <c r="U1131" s="50"/>
      <c r="V1131" s="50"/>
      <c r="W1131" s="50"/>
      <c r="X1131" s="50"/>
      <c r="Y1131" s="62"/>
      <c r="Z1131" s="62"/>
      <c r="AA1131" s="62"/>
      <c r="AB1131" s="62"/>
      <c r="AC1131" s="62"/>
      <c r="AD1131" s="62"/>
      <c r="AE1131" s="62"/>
      <c r="AF1131" s="61"/>
      <c r="AG1131" s="53"/>
      <c r="AH1131" s="54"/>
      <c r="AI1131" s="54"/>
      <c r="AJ1131" s="62"/>
      <c r="AK1131" s="62"/>
      <c r="AL1131" s="9"/>
      <c r="AM1131" s="61"/>
      <c r="AN1131" s="62"/>
      <c r="AO1131" s="61"/>
      <c r="AP1131" s="59"/>
      <c r="AQ1131" s="59"/>
      <c r="AR1131" s="59"/>
      <c r="AS1131" s="59"/>
      <c r="AT1131" s="59"/>
      <c r="AU1131" s="59"/>
      <c r="AV1131" s="59"/>
      <c r="AW1131" s="59"/>
      <c r="AX1131" s="59"/>
      <c r="AY1131" s="59"/>
      <c r="AZ1131" s="59"/>
      <c r="BA1131" s="141"/>
      <c r="BB1131" s="61"/>
      <c r="BC1131" s="165"/>
      <c r="BD1131" s="166"/>
      <c r="BE1131" s="167"/>
      <c r="BF1131" s="168"/>
      <c r="BG1131" s="167"/>
      <c r="BH1131" s="168"/>
      <c r="BI1131" s="169"/>
      <c r="BJ1131" s="168"/>
      <c r="BK1131" s="134"/>
      <c r="BL1131" s="168"/>
      <c r="BM1131" s="167"/>
      <c r="BN1131" s="168"/>
      <c r="BO1131" s="62"/>
      <c r="BP1131" s="168"/>
      <c r="BQ1131" s="168"/>
      <c r="BR1131" s="168"/>
      <c r="BS1131" s="135"/>
      <c r="BT1131" s="176"/>
      <c r="BU1131" s="167"/>
      <c r="BV1131" s="168"/>
      <c r="BW1131" s="167"/>
      <c r="BX1131" s="168"/>
      <c r="BY1131" s="167"/>
      <c r="BZ1131" s="176"/>
      <c r="CA1131" s="167"/>
      <c r="CB1131" s="168"/>
      <c r="CC1131" s="167"/>
      <c r="CD1131" s="168"/>
      <c r="CE1131" s="62"/>
      <c r="CF1131" s="62"/>
      <c r="CG1131" s="9"/>
      <c r="CH1131" s="9"/>
      <c r="CI1131" s="9"/>
      <c r="CJ1131" s="9"/>
      <c r="CK1131" s="9"/>
      <c r="CL1131" s="9"/>
      <c r="CM1131" s="9"/>
      <c r="CN1131" s="9"/>
      <c r="CO1131" s="9"/>
      <c r="CP1131" s="9"/>
    </row>
    <row r="1132" spans="1:94" x14ac:dyDescent="0.25">
      <c r="A1132" s="127" t="s">
        <v>3547</v>
      </c>
      <c r="B1132" s="51"/>
      <c r="C1132" s="62"/>
      <c r="D1132" s="84"/>
      <c r="E1132" s="62"/>
      <c r="F1132" s="62"/>
      <c r="G1132" s="62"/>
      <c r="H1132" s="50"/>
      <c r="I1132" s="50"/>
      <c r="J1132" s="50"/>
      <c r="K1132" s="50"/>
      <c r="L1132" s="50"/>
      <c r="M1132" s="50"/>
      <c r="N1132" s="50"/>
      <c r="O1132" s="50"/>
      <c r="P1132" s="50"/>
      <c r="Q1132" s="50"/>
      <c r="R1132" s="50"/>
      <c r="S1132" s="50"/>
      <c r="T1132" s="50"/>
      <c r="U1132" s="50"/>
      <c r="V1132" s="50"/>
      <c r="W1132" s="50"/>
      <c r="X1132" s="50"/>
      <c r="Y1132" s="62"/>
      <c r="Z1132" s="62"/>
      <c r="AA1132" s="62"/>
      <c r="AB1132" s="62"/>
      <c r="AC1132" s="62"/>
      <c r="AD1132" s="62"/>
      <c r="AE1132" s="62"/>
      <c r="AF1132" s="61"/>
      <c r="AG1132" s="53"/>
      <c r="AH1132" s="54"/>
      <c r="AI1132" s="54"/>
      <c r="AJ1132" s="62"/>
      <c r="AK1132" s="62"/>
      <c r="AL1132" s="9"/>
      <c r="AM1132" s="61"/>
      <c r="AN1132" s="62"/>
      <c r="AO1132" s="61"/>
      <c r="AP1132" s="59"/>
      <c r="AQ1132" s="59"/>
      <c r="AR1132" s="59"/>
      <c r="AS1132" s="59"/>
      <c r="AT1132" s="59"/>
      <c r="AU1132" s="59"/>
      <c r="AV1132" s="59"/>
      <c r="AW1132" s="59"/>
      <c r="AX1132" s="59"/>
      <c r="AY1132" s="59"/>
      <c r="AZ1132" s="59"/>
      <c r="BA1132" s="141"/>
      <c r="BB1132" s="61"/>
      <c r="BC1132" s="165"/>
      <c r="BD1132" s="166"/>
      <c r="BE1132" s="167"/>
      <c r="BF1132" s="168"/>
      <c r="BG1132" s="167"/>
      <c r="BH1132" s="168"/>
      <c r="BI1132" s="169"/>
      <c r="BJ1132" s="168"/>
      <c r="BK1132" s="134"/>
      <c r="BL1132" s="168"/>
      <c r="BM1132" s="167"/>
      <c r="BN1132" s="168"/>
      <c r="BO1132" s="62"/>
      <c r="BP1132" s="168"/>
      <c r="BQ1132" s="168"/>
      <c r="BR1132" s="168"/>
      <c r="BS1132" s="135"/>
      <c r="BT1132" s="176"/>
      <c r="BU1132" s="167"/>
      <c r="BV1132" s="168"/>
      <c r="BW1132" s="167"/>
      <c r="BX1132" s="168"/>
      <c r="BY1132" s="167"/>
      <c r="BZ1132" s="176"/>
      <c r="CA1132" s="167"/>
      <c r="CB1132" s="168"/>
      <c r="CC1132" s="167"/>
      <c r="CD1132" s="168"/>
      <c r="CE1132" s="62"/>
      <c r="CF1132" s="62"/>
      <c r="CG1132" s="9"/>
      <c r="CH1132" s="9"/>
      <c r="CI1132" s="9"/>
      <c r="CJ1132" s="9"/>
      <c r="CK1132" s="9"/>
      <c r="CL1132" s="9"/>
      <c r="CM1132" s="9"/>
      <c r="CN1132" s="9"/>
      <c r="CO1132" s="9"/>
      <c r="CP1132" s="9"/>
    </row>
    <row r="1133" spans="1:94" x14ac:dyDescent="0.25">
      <c r="A1133" s="127" t="s">
        <v>3548</v>
      </c>
      <c r="B1133" s="51"/>
      <c r="C1133" s="62"/>
      <c r="D1133" s="84"/>
      <c r="E1133" s="62"/>
      <c r="F1133" s="62"/>
      <c r="G1133" s="62"/>
      <c r="H1133" s="50"/>
      <c r="I1133" s="50"/>
      <c r="J1133" s="50"/>
      <c r="K1133" s="50"/>
      <c r="L1133" s="50"/>
      <c r="M1133" s="50"/>
      <c r="N1133" s="50"/>
      <c r="O1133" s="50"/>
      <c r="P1133" s="50"/>
      <c r="Q1133" s="50"/>
      <c r="R1133" s="50"/>
      <c r="S1133" s="50"/>
      <c r="T1133" s="50"/>
      <c r="U1133" s="50"/>
      <c r="V1133" s="50"/>
      <c r="W1133" s="50"/>
      <c r="X1133" s="50"/>
      <c r="Y1133" s="62"/>
      <c r="Z1133" s="62"/>
      <c r="AA1133" s="62"/>
      <c r="AB1133" s="62"/>
      <c r="AC1133" s="62"/>
      <c r="AD1133" s="62"/>
      <c r="AE1133" s="62"/>
      <c r="AF1133" s="61"/>
      <c r="AG1133" s="53"/>
      <c r="AH1133" s="54"/>
      <c r="AI1133" s="54"/>
      <c r="AJ1133" s="62"/>
      <c r="AK1133" s="62"/>
      <c r="AL1133" s="9"/>
      <c r="AM1133" s="61"/>
      <c r="AN1133" s="62"/>
      <c r="AO1133" s="61"/>
      <c r="AP1133" s="59"/>
      <c r="AQ1133" s="59"/>
      <c r="AR1133" s="59"/>
      <c r="AS1133" s="59"/>
      <c r="AT1133" s="59"/>
      <c r="AU1133" s="59"/>
      <c r="AV1133" s="59"/>
      <c r="AW1133" s="59"/>
      <c r="AX1133" s="59"/>
      <c r="AY1133" s="59"/>
      <c r="AZ1133" s="59"/>
      <c r="BA1133" s="141"/>
      <c r="BB1133" s="61"/>
      <c r="BC1133" s="165"/>
      <c r="BD1133" s="166"/>
      <c r="BE1133" s="167"/>
      <c r="BF1133" s="168"/>
      <c r="BG1133" s="167"/>
      <c r="BH1133" s="168"/>
      <c r="BI1133" s="169"/>
      <c r="BJ1133" s="168"/>
      <c r="BK1133" s="134"/>
      <c r="BL1133" s="168"/>
      <c r="BM1133" s="167"/>
      <c r="BN1133" s="168"/>
      <c r="BO1133" s="62"/>
      <c r="BP1133" s="168"/>
      <c r="BQ1133" s="168"/>
      <c r="BR1133" s="168"/>
      <c r="BS1133" s="135"/>
      <c r="BT1133" s="176"/>
      <c r="BU1133" s="167"/>
      <c r="BV1133" s="168"/>
      <c r="BW1133" s="167"/>
      <c r="BX1133" s="168"/>
      <c r="BY1133" s="167"/>
      <c r="BZ1133" s="176"/>
      <c r="CA1133" s="167"/>
      <c r="CB1133" s="168"/>
      <c r="CC1133" s="167"/>
      <c r="CD1133" s="168"/>
      <c r="CE1133" s="62"/>
      <c r="CF1133" s="62"/>
      <c r="CG1133" s="9"/>
      <c r="CH1133" s="9"/>
      <c r="CI1133" s="9"/>
      <c r="CJ1133" s="9"/>
      <c r="CK1133" s="9"/>
      <c r="CL1133" s="9"/>
      <c r="CM1133" s="9"/>
      <c r="CN1133" s="9"/>
      <c r="CO1133" s="9"/>
      <c r="CP1133" s="9"/>
    </row>
    <row r="1134" spans="1:94" x14ac:dyDescent="0.25">
      <c r="A1134" s="127" t="s">
        <v>3549</v>
      </c>
      <c r="B1134" s="51"/>
      <c r="C1134" s="62"/>
      <c r="D1134" s="84"/>
      <c r="E1134" s="62"/>
      <c r="F1134" s="62"/>
      <c r="G1134" s="62"/>
      <c r="H1134" s="50"/>
      <c r="I1134" s="50"/>
      <c r="J1134" s="50"/>
      <c r="K1134" s="50"/>
      <c r="L1134" s="50"/>
      <c r="M1134" s="50"/>
      <c r="N1134" s="50"/>
      <c r="O1134" s="50"/>
      <c r="P1134" s="50"/>
      <c r="Q1134" s="50"/>
      <c r="R1134" s="50"/>
      <c r="S1134" s="50"/>
      <c r="T1134" s="50"/>
      <c r="U1134" s="50"/>
      <c r="V1134" s="50"/>
      <c r="W1134" s="50"/>
      <c r="X1134" s="50"/>
      <c r="Y1134" s="62"/>
      <c r="Z1134" s="62"/>
      <c r="AA1134" s="62"/>
      <c r="AB1134" s="62"/>
      <c r="AC1134" s="62"/>
      <c r="AD1134" s="62"/>
      <c r="AE1134" s="62"/>
      <c r="AF1134" s="61"/>
      <c r="AG1134" s="53"/>
      <c r="AH1134" s="54"/>
      <c r="AI1134" s="54"/>
      <c r="AJ1134" s="62"/>
      <c r="AK1134" s="62"/>
      <c r="AL1134" s="9"/>
      <c r="AM1134" s="61"/>
      <c r="AN1134" s="62"/>
      <c r="AO1134" s="61"/>
      <c r="AP1134" s="59"/>
      <c r="AQ1134" s="59"/>
      <c r="AR1134" s="59"/>
      <c r="AS1134" s="59"/>
      <c r="AT1134" s="59"/>
      <c r="AU1134" s="59"/>
      <c r="AV1134" s="59"/>
      <c r="AW1134" s="59"/>
      <c r="AX1134" s="59"/>
      <c r="AY1134" s="59"/>
      <c r="AZ1134" s="59"/>
      <c r="BA1134" s="141"/>
      <c r="BB1134" s="61"/>
      <c r="BC1134" s="165"/>
      <c r="BD1134" s="166"/>
      <c r="BE1134" s="167"/>
      <c r="BF1134" s="168"/>
      <c r="BG1134" s="167"/>
      <c r="BH1134" s="168"/>
      <c r="BI1134" s="169"/>
      <c r="BJ1134" s="168"/>
      <c r="BK1134" s="134"/>
      <c r="BL1134" s="168"/>
      <c r="BM1134" s="167"/>
      <c r="BN1134" s="168"/>
      <c r="BO1134" s="62"/>
      <c r="BP1134" s="168"/>
      <c r="BQ1134" s="168"/>
      <c r="BR1134" s="168"/>
      <c r="BS1134" s="135"/>
      <c r="BT1134" s="176"/>
      <c r="BU1134" s="167"/>
      <c r="BV1134" s="168"/>
      <c r="BW1134" s="167"/>
      <c r="BX1134" s="168"/>
      <c r="BY1134" s="167"/>
      <c r="BZ1134" s="176"/>
      <c r="CA1134" s="167"/>
      <c r="CB1134" s="168"/>
      <c r="CC1134" s="167"/>
      <c r="CD1134" s="168"/>
      <c r="CE1134" s="62"/>
      <c r="CF1134" s="62"/>
      <c r="CG1134" s="9"/>
      <c r="CH1134" s="9"/>
      <c r="CI1134" s="9"/>
      <c r="CJ1134" s="9"/>
      <c r="CK1134" s="9"/>
      <c r="CL1134" s="9"/>
      <c r="CM1134" s="9"/>
      <c r="CN1134" s="9"/>
      <c r="CO1134" s="9"/>
      <c r="CP1134" s="9"/>
    </row>
    <row r="1135" spans="1:94" x14ac:dyDescent="0.25">
      <c r="A1135" s="127" t="s">
        <v>3550</v>
      </c>
      <c r="B1135" s="51"/>
      <c r="C1135" s="62"/>
      <c r="D1135" s="84"/>
      <c r="E1135" s="62"/>
      <c r="F1135" s="62"/>
      <c r="G1135" s="62"/>
      <c r="H1135" s="50"/>
      <c r="I1135" s="50"/>
      <c r="J1135" s="50"/>
      <c r="K1135" s="50"/>
      <c r="L1135" s="50"/>
      <c r="M1135" s="50"/>
      <c r="N1135" s="50"/>
      <c r="O1135" s="50"/>
      <c r="P1135" s="50"/>
      <c r="Q1135" s="50"/>
      <c r="R1135" s="50"/>
      <c r="S1135" s="50"/>
      <c r="T1135" s="50"/>
      <c r="U1135" s="50"/>
      <c r="V1135" s="50"/>
      <c r="W1135" s="50"/>
      <c r="X1135" s="50"/>
      <c r="Y1135" s="62"/>
      <c r="Z1135" s="62"/>
      <c r="AA1135" s="62"/>
      <c r="AB1135" s="62"/>
      <c r="AC1135" s="62"/>
      <c r="AD1135" s="62"/>
      <c r="AE1135" s="62"/>
      <c r="AF1135" s="61"/>
      <c r="AG1135" s="53"/>
      <c r="AH1135" s="54"/>
      <c r="AI1135" s="54"/>
      <c r="AJ1135" s="62"/>
      <c r="AK1135" s="62"/>
      <c r="AL1135" s="9"/>
      <c r="AM1135" s="61"/>
      <c r="AN1135" s="62"/>
      <c r="AO1135" s="61"/>
      <c r="AP1135" s="59"/>
      <c r="AQ1135" s="59"/>
      <c r="AR1135" s="59"/>
      <c r="AS1135" s="59"/>
      <c r="AT1135" s="59"/>
      <c r="AU1135" s="59"/>
      <c r="AV1135" s="59"/>
      <c r="AW1135" s="59"/>
      <c r="AX1135" s="59"/>
      <c r="AY1135" s="59"/>
      <c r="AZ1135" s="59"/>
      <c r="BA1135" s="141"/>
      <c r="BB1135" s="61"/>
      <c r="BC1135" s="165"/>
      <c r="BD1135" s="166"/>
      <c r="BE1135" s="167"/>
      <c r="BF1135" s="168"/>
      <c r="BG1135" s="167"/>
      <c r="BH1135" s="168"/>
      <c r="BI1135" s="169"/>
      <c r="BJ1135" s="168"/>
      <c r="BK1135" s="134"/>
      <c r="BL1135" s="168"/>
      <c r="BM1135" s="167"/>
      <c r="BN1135" s="168"/>
      <c r="BO1135" s="62"/>
      <c r="BP1135" s="168"/>
      <c r="BQ1135" s="168"/>
      <c r="BR1135" s="168"/>
      <c r="BS1135" s="135"/>
      <c r="BT1135" s="176"/>
      <c r="BU1135" s="167"/>
      <c r="BV1135" s="168"/>
      <c r="BW1135" s="167"/>
      <c r="BX1135" s="168"/>
      <c r="BY1135" s="167"/>
      <c r="BZ1135" s="176"/>
      <c r="CA1135" s="167"/>
      <c r="CB1135" s="168"/>
      <c r="CC1135" s="167"/>
      <c r="CD1135" s="168"/>
      <c r="CE1135" s="62"/>
      <c r="CF1135" s="62"/>
      <c r="CG1135" s="9"/>
      <c r="CH1135" s="9"/>
      <c r="CI1135" s="9"/>
      <c r="CJ1135" s="9"/>
      <c r="CK1135" s="9"/>
      <c r="CL1135" s="9"/>
      <c r="CM1135" s="9"/>
      <c r="CN1135" s="9"/>
      <c r="CO1135" s="9"/>
      <c r="CP1135" s="9"/>
    </row>
    <row r="1136" spans="1:94" x14ac:dyDescent="0.25">
      <c r="A1136" s="127" t="s">
        <v>3551</v>
      </c>
      <c r="B1136" s="51"/>
      <c r="C1136" s="62"/>
      <c r="D1136" s="84"/>
      <c r="E1136" s="62"/>
      <c r="F1136" s="62"/>
      <c r="G1136" s="62"/>
      <c r="H1136" s="50"/>
      <c r="I1136" s="50"/>
      <c r="J1136" s="50"/>
      <c r="K1136" s="50"/>
      <c r="L1136" s="50"/>
      <c r="M1136" s="50"/>
      <c r="N1136" s="50"/>
      <c r="O1136" s="50"/>
      <c r="P1136" s="50"/>
      <c r="Q1136" s="50"/>
      <c r="R1136" s="50"/>
      <c r="S1136" s="50"/>
      <c r="T1136" s="50"/>
      <c r="U1136" s="50"/>
      <c r="V1136" s="50"/>
      <c r="W1136" s="50"/>
      <c r="X1136" s="50"/>
      <c r="Y1136" s="62"/>
      <c r="Z1136" s="62"/>
      <c r="AA1136" s="62"/>
      <c r="AB1136" s="62"/>
      <c r="AC1136" s="62"/>
      <c r="AD1136" s="62"/>
      <c r="AE1136" s="62"/>
      <c r="AF1136" s="61"/>
      <c r="AG1136" s="53"/>
      <c r="AH1136" s="54"/>
      <c r="AI1136" s="54"/>
      <c r="AJ1136" s="62"/>
      <c r="AK1136" s="62"/>
      <c r="AL1136" s="9"/>
      <c r="AM1136" s="61"/>
      <c r="AN1136" s="62"/>
      <c r="AO1136" s="61"/>
      <c r="AP1136" s="59"/>
      <c r="AQ1136" s="59"/>
      <c r="AR1136" s="59"/>
      <c r="AS1136" s="59"/>
      <c r="AT1136" s="59"/>
      <c r="AU1136" s="59"/>
      <c r="AV1136" s="59"/>
      <c r="AW1136" s="59"/>
      <c r="AX1136" s="59"/>
      <c r="AY1136" s="59"/>
      <c r="AZ1136" s="59"/>
      <c r="BA1136" s="141"/>
      <c r="BB1136" s="61"/>
      <c r="BC1136" s="165"/>
      <c r="BD1136" s="166"/>
      <c r="BE1136" s="167"/>
      <c r="BF1136" s="168"/>
      <c r="BG1136" s="167"/>
      <c r="BH1136" s="168"/>
      <c r="BI1136" s="169"/>
      <c r="BJ1136" s="168"/>
      <c r="BK1136" s="134"/>
      <c r="BL1136" s="168"/>
      <c r="BM1136" s="167"/>
      <c r="BN1136" s="168"/>
      <c r="BO1136" s="62"/>
      <c r="BP1136" s="168"/>
      <c r="BQ1136" s="168"/>
      <c r="BR1136" s="168"/>
      <c r="BS1136" s="135"/>
      <c r="BT1136" s="176"/>
      <c r="BU1136" s="167"/>
      <c r="BV1136" s="168"/>
      <c r="BW1136" s="167"/>
      <c r="BX1136" s="168"/>
      <c r="BY1136" s="167"/>
      <c r="BZ1136" s="176"/>
      <c r="CA1136" s="167"/>
      <c r="CB1136" s="168"/>
      <c r="CC1136" s="167"/>
      <c r="CD1136" s="168"/>
      <c r="CE1136" s="62"/>
      <c r="CF1136" s="62"/>
      <c r="CG1136" s="9"/>
      <c r="CH1136" s="9"/>
      <c r="CI1136" s="9"/>
      <c r="CJ1136" s="9"/>
      <c r="CK1136" s="9"/>
      <c r="CL1136" s="9"/>
      <c r="CM1136" s="9"/>
      <c r="CN1136" s="9"/>
      <c r="CO1136" s="9"/>
      <c r="CP1136" s="9"/>
    </row>
    <row r="1137" spans="1:94" x14ac:dyDescent="0.25">
      <c r="A1137" s="127" t="s">
        <v>3552</v>
      </c>
      <c r="B1137" s="51"/>
      <c r="C1137" s="62"/>
      <c r="D1137" s="84"/>
      <c r="E1137" s="62"/>
      <c r="F1137" s="62"/>
      <c r="G1137" s="62"/>
      <c r="H1137" s="50"/>
      <c r="I1137" s="50"/>
      <c r="J1137" s="50"/>
      <c r="K1137" s="50"/>
      <c r="L1137" s="50"/>
      <c r="M1137" s="50"/>
      <c r="N1137" s="50"/>
      <c r="O1137" s="50"/>
      <c r="P1137" s="50"/>
      <c r="Q1137" s="50"/>
      <c r="R1137" s="50"/>
      <c r="S1137" s="50"/>
      <c r="T1137" s="50"/>
      <c r="U1137" s="50"/>
      <c r="V1137" s="50"/>
      <c r="W1137" s="50"/>
      <c r="X1137" s="50"/>
      <c r="Y1137" s="62"/>
      <c r="Z1137" s="62"/>
      <c r="AA1137" s="62"/>
      <c r="AB1137" s="62"/>
      <c r="AC1137" s="62"/>
      <c r="AD1137" s="62"/>
      <c r="AE1137" s="62"/>
      <c r="AF1137" s="61"/>
      <c r="AG1137" s="53"/>
      <c r="AH1137" s="54"/>
      <c r="AI1137" s="54"/>
      <c r="AJ1137" s="62"/>
      <c r="AK1137" s="62"/>
      <c r="AL1137" s="9"/>
      <c r="AM1137" s="61"/>
      <c r="AN1137" s="62"/>
      <c r="AO1137" s="61"/>
      <c r="AP1137" s="59"/>
      <c r="AQ1137" s="59"/>
      <c r="AR1137" s="59"/>
      <c r="AS1137" s="59"/>
      <c r="AT1137" s="59"/>
      <c r="AU1137" s="59"/>
      <c r="AV1137" s="59"/>
      <c r="AW1137" s="59"/>
      <c r="AX1137" s="59"/>
      <c r="AY1137" s="59"/>
      <c r="AZ1137" s="59"/>
      <c r="BA1137" s="141"/>
      <c r="BB1137" s="61"/>
      <c r="BC1137" s="165"/>
      <c r="BD1137" s="166"/>
      <c r="BE1137" s="167"/>
      <c r="BF1137" s="168"/>
      <c r="BG1137" s="167"/>
      <c r="BH1137" s="168"/>
      <c r="BI1137" s="169"/>
      <c r="BJ1137" s="168"/>
      <c r="BK1137" s="134"/>
      <c r="BL1137" s="168"/>
      <c r="BM1137" s="167"/>
      <c r="BN1137" s="168"/>
      <c r="BO1137" s="62"/>
      <c r="BP1137" s="168"/>
      <c r="BQ1137" s="168"/>
      <c r="BR1137" s="168"/>
      <c r="BS1137" s="135"/>
      <c r="BT1137" s="176"/>
      <c r="BU1137" s="167"/>
      <c r="BV1137" s="168"/>
      <c r="BW1137" s="167"/>
      <c r="BX1137" s="168"/>
      <c r="BY1137" s="167"/>
      <c r="BZ1137" s="176"/>
      <c r="CA1137" s="167"/>
      <c r="CB1137" s="168"/>
      <c r="CC1137" s="167"/>
      <c r="CD1137" s="168"/>
      <c r="CE1137" s="62"/>
      <c r="CF1137" s="62"/>
      <c r="CG1137" s="9"/>
      <c r="CH1137" s="9"/>
      <c r="CI1137" s="9"/>
      <c r="CJ1137" s="9"/>
      <c r="CK1137" s="9"/>
      <c r="CL1137" s="9"/>
      <c r="CM1137" s="9"/>
      <c r="CN1137" s="9"/>
      <c r="CO1137" s="9"/>
      <c r="CP1137" s="9"/>
    </row>
    <row r="1138" spans="1:94" x14ac:dyDescent="0.25">
      <c r="A1138" s="127" t="s">
        <v>3553</v>
      </c>
      <c r="B1138" s="51"/>
      <c r="C1138" s="62"/>
      <c r="D1138" s="84"/>
      <c r="E1138" s="62"/>
      <c r="F1138" s="62"/>
      <c r="G1138" s="62"/>
      <c r="H1138" s="50"/>
      <c r="I1138" s="50"/>
      <c r="J1138" s="50"/>
      <c r="K1138" s="50"/>
      <c r="L1138" s="50"/>
      <c r="M1138" s="50"/>
      <c r="N1138" s="50"/>
      <c r="O1138" s="50"/>
      <c r="P1138" s="50"/>
      <c r="Q1138" s="50"/>
      <c r="R1138" s="50"/>
      <c r="S1138" s="50"/>
      <c r="T1138" s="50"/>
      <c r="U1138" s="50"/>
      <c r="V1138" s="50"/>
      <c r="W1138" s="50"/>
      <c r="X1138" s="50"/>
      <c r="Y1138" s="62"/>
      <c r="Z1138" s="62"/>
      <c r="AA1138" s="62"/>
      <c r="AB1138" s="62"/>
      <c r="AC1138" s="62"/>
      <c r="AD1138" s="62"/>
      <c r="AE1138" s="62"/>
      <c r="AF1138" s="61"/>
      <c r="AG1138" s="53"/>
      <c r="AH1138" s="54"/>
      <c r="AI1138" s="54"/>
      <c r="AJ1138" s="62"/>
      <c r="AK1138" s="62"/>
      <c r="AL1138" s="9"/>
      <c r="AM1138" s="61"/>
      <c r="AN1138" s="62"/>
      <c r="AO1138" s="61"/>
      <c r="AP1138" s="59"/>
      <c r="AQ1138" s="59"/>
      <c r="AR1138" s="59"/>
      <c r="AS1138" s="59"/>
      <c r="AT1138" s="59"/>
      <c r="AU1138" s="59"/>
      <c r="AV1138" s="59"/>
      <c r="AW1138" s="59"/>
      <c r="AX1138" s="59"/>
      <c r="AY1138" s="59"/>
      <c r="AZ1138" s="59"/>
      <c r="BA1138" s="141"/>
      <c r="BB1138" s="61"/>
      <c r="BC1138" s="165"/>
      <c r="BD1138" s="166"/>
      <c r="BE1138" s="167"/>
      <c r="BF1138" s="168"/>
      <c r="BG1138" s="167"/>
      <c r="BH1138" s="168"/>
      <c r="BI1138" s="169"/>
      <c r="BJ1138" s="168"/>
      <c r="BK1138" s="134"/>
      <c r="BL1138" s="168"/>
      <c r="BM1138" s="167"/>
      <c r="BN1138" s="168"/>
      <c r="BO1138" s="62"/>
      <c r="BP1138" s="168"/>
      <c r="BQ1138" s="168"/>
      <c r="BR1138" s="168"/>
      <c r="BS1138" s="135"/>
      <c r="BT1138" s="176"/>
      <c r="BU1138" s="167"/>
      <c r="BV1138" s="168"/>
      <c r="BW1138" s="167"/>
      <c r="BX1138" s="168"/>
      <c r="BY1138" s="167"/>
      <c r="BZ1138" s="176"/>
      <c r="CA1138" s="167"/>
      <c r="CB1138" s="168"/>
      <c r="CC1138" s="167"/>
      <c r="CD1138" s="168"/>
      <c r="CE1138" s="62"/>
      <c r="CF1138" s="62"/>
      <c r="CG1138" s="9"/>
      <c r="CH1138" s="9"/>
      <c r="CI1138" s="9"/>
      <c r="CJ1138" s="9"/>
      <c r="CK1138" s="9"/>
      <c r="CL1138" s="9"/>
      <c r="CM1138" s="9"/>
      <c r="CN1138" s="9"/>
      <c r="CO1138" s="9"/>
      <c r="CP1138" s="9"/>
    </row>
    <row r="1139" spans="1:94" x14ac:dyDescent="0.25">
      <c r="A1139" s="127" t="s">
        <v>3554</v>
      </c>
      <c r="B1139" s="51"/>
      <c r="C1139" s="62"/>
      <c r="D1139" s="84"/>
      <c r="E1139" s="62"/>
      <c r="F1139" s="62"/>
      <c r="G1139" s="62"/>
      <c r="H1139" s="50"/>
      <c r="I1139" s="50"/>
      <c r="J1139" s="50"/>
      <c r="K1139" s="50"/>
      <c r="L1139" s="50"/>
      <c r="M1139" s="50"/>
      <c r="N1139" s="50"/>
      <c r="O1139" s="50"/>
      <c r="P1139" s="50"/>
      <c r="Q1139" s="50"/>
      <c r="R1139" s="50"/>
      <c r="S1139" s="50"/>
      <c r="T1139" s="50"/>
      <c r="U1139" s="50"/>
      <c r="V1139" s="50"/>
      <c r="W1139" s="50"/>
      <c r="X1139" s="50"/>
      <c r="Y1139" s="62"/>
      <c r="Z1139" s="62"/>
      <c r="AA1139" s="62"/>
      <c r="AB1139" s="62"/>
      <c r="AC1139" s="62"/>
      <c r="AD1139" s="62"/>
      <c r="AE1139" s="62"/>
      <c r="AF1139" s="61"/>
      <c r="AG1139" s="53"/>
      <c r="AH1139" s="54"/>
      <c r="AI1139" s="54"/>
      <c r="AJ1139" s="62"/>
      <c r="AK1139" s="62"/>
      <c r="AL1139" s="9"/>
      <c r="AM1139" s="61"/>
      <c r="AN1139" s="62"/>
      <c r="AO1139" s="61"/>
      <c r="AP1139" s="59"/>
      <c r="AQ1139" s="59"/>
      <c r="AR1139" s="59"/>
      <c r="AS1139" s="59"/>
      <c r="AT1139" s="59"/>
      <c r="AU1139" s="59"/>
      <c r="AV1139" s="59"/>
      <c r="AW1139" s="59"/>
      <c r="AX1139" s="59"/>
      <c r="AY1139" s="59"/>
      <c r="AZ1139" s="59"/>
      <c r="BA1139" s="141"/>
      <c r="BB1139" s="61"/>
      <c r="BC1139" s="165"/>
      <c r="BD1139" s="166"/>
      <c r="BE1139" s="167"/>
      <c r="BF1139" s="168"/>
      <c r="BG1139" s="167"/>
      <c r="BH1139" s="168"/>
      <c r="BI1139" s="169"/>
      <c r="BJ1139" s="168"/>
      <c r="BK1139" s="134"/>
      <c r="BL1139" s="168"/>
      <c r="BM1139" s="167"/>
      <c r="BN1139" s="168"/>
      <c r="BO1139" s="62"/>
      <c r="BP1139" s="168"/>
      <c r="BQ1139" s="168"/>
      <c r="BR1139" s="168"/>
      <c r="BS1139" s="135"/>
      <c r="BT1139" s="176"/>
      <c r="BU1139" s="167"/>
      <c r="BV1139" s="168"/>
      <c r="BW1139" s="167"/>
      <c r="BX1139" s="168"/>
      <c r="BY1139" s="167"/>
      <c r="BZ1139" s="176"/>
      <c r="CA1139" s="167"/>
      <c r="CB1139" s="168"/>
      <c r="CC1139" s="167"/>
      <c r="CD1139" s="168"/>
      <c r="CE1139" s="62"/>
      <c r="CF1139" s="62"/>
      <c r="CG1139" s="9"/>
      <c r="CH1139" s="9"/>
      <c r="CI1139" s="9"/>
      <c r="CJ1139" s="9"/>
      <c r="CK1139" s="9"/>
      <c r="CL1139" s="9"/>
      <c r="CM1139" s="9"/>
      <c r="CN1139" s="9"/>
      <c r="CO1139" s="9"/>
      <c r="CP1139" s="9"/>
    </row>
    <row r="1140" spans="1:94" x14ac:dyDescent="0.25">
      <c r="A1140" s="127" t="s">
        <v>3555</v>
      </c>
      <c r="B1140" s="51"/>
      <c r="C1140" s="62"/>
      <c r="D1140" s="84"/>
      <c r="E1140" s="62"/>
      <c r="F1140" s="62"/>
      <c r="G1140" s="62"/>
      <c r="H1140" s="50"/>
      <c r="I1140" s="50"/>
      <c r="J1140" s="50"/>
      <c r="K1140" s="50"/>
      <c r="L1140" s="50"/>
      <c r="M1140" s="50"/>
      <c r="N1140" s="50"/>
      <c r="O1140" s="50"/>
      <c r="P1140" s="50"/>
      <c r="Q1140" s="50"/>
      <c r="R1140" s="50"/>
      <c r="S1140" s="50"/>
      <c r="T1140" s="50"/>
      <c r="U1140" s="50"/>
      <c r="V1140" s="50"/>
      <c r="W1140" s="50"/>
      <c r="X1140" s="50"/>
      <c r="Y1140" s="62"/>
      <c r="Z1140" s="62"/>
      <c r="AA1140" s="62"/>
      <c r="AB1140" s="62"/>
      <c r="AC1140" s="62"/>
      <c r="AD1140" s="62"/>
      <c r="AE1140" s="62"/>
      <c r="AF1140" s="61"/>
      <c r="AG1140" s="53"/>
      <c r="AH1140" s="54"/>
      <c r="AI1140" s="54"/>
      <c r="AJ1140" s="62"/>
      <c r="AK1140" s="62"/>
      <c r="AL1140" s="9"/>
      <c r="AM1140" s="61"/>
      <c r="AN1140" s="62"/>
      <c r="AO1140" s="61"/>
      <c r="AP1140" s="59"/>
      <c r="AQ1140" s="59"/>
      <c r="AR1140" s="59"/>
      <c r="AS1140" s="59"/>
      <c r="AT1140" s="59"/>
      <c r="AU1140" s="59"/>
      <c r="AV1140" s="59"/>
      <c r="AW1140" s="59"/>
      <c r="AX1140" s="59"/>
      <c r="AY1140" s="59"/>
      <c r="AZ1140" s="59"/>
      <c r="BA1140" s="141"/>
      <c r="BB1140" s="61"/>
      <c r="BC1140" s="165"/>
      <c r="BD1140" s="166"/>
      <c r="BE1140" s="167"/>
      <c r="BF1140" s="168"/>
      <c r="BG1140" s="167"/>
      <c r="BH1140" s="168"/>
      <c r="BI1140" s="169"/>
      <c r="BJ1140" s="168"/>
      <c r="BK1140" s="134"/>
      <c r="BL1140" s="168"/>
      <c r="BM1140" s="167"/>
      <c r="BN1140" s="168"/>
      <c r="BO1140" s="62"/>
      <c r="BP1140" s="168"/>
      <c r="BQ1140" s="168"/>
      <c r="BR1140" s="168"/>
      <c r="BS1140" s="135"/>
      <c r="BT1140" s="176"/>
      <c r="BU1140" s="167"/>
      <c r="BV1140" s="168"/>
      <c r="BW1140" s="167"/>
      <c r="BX1140" s="168"/>
      <c r="BY1140" s="167"/>
      <c r="BZ1140" s="176"/>
      <c r="CA1140" s="167"/>
      <c r="CB1140" s="168"/>
      <c r="CC1140" s="167"/>
      <c r="CD1140" s="168"/>
      <c r="CE1140" s="62"/>
      <c r="CF1140" s="62"/>
      <c r="CG1140" s="9"/>
      <c r="CH1140" s="9"/>
      <c r="CI1140" s="9"/>
      <c r="CJ1140" s="9"/>
      <c r="CK1140" s="9"/>
      <c r="CL1140" s="9"/>
      <c r="CM1140" s="9"/>
      <c r="CN1140" s="9"/>
      <c r="CO1140" s="9"/>
      <c r="CP1140" s="9"/>
    </row>
    <row r="1141" spans="1:94" x14ac:dyDescent="0.25">
      <c r="A1141" s="127" t="s">
        <v>3556</v>
      </c>
      <c r="B1141" s="51"/>
      <c r="C1141" s="62"/>
      <c r="D1141" s="84"/>
      <c r="E1141" s="62"/>
      <c r="F1141" s="62"/>
      <c r="G1141" s="62"/>
      <c r="H1141" s="50"/>
      <c r="I1141" s="50"/>
      <c r="J1141" s="50"/>
      <c r="K1141" s="50"/>
      <c r="L1141" s="50"/>
      <c r="M1141" s="50"/>
      <c r="N1141" s="50"/>
      <c r="O1141" s="50"/>
      <c r="P1141" s="50"/>
      <c r="Q1141" s="50"/>
      <c r="R1141" s="50"/>
      <c r="S1141" s="50"/>
      <c r="T1141" s="50"/>
      <c r="U1141" s="50"/>
      <c r="V1141" s="50"/>
      <c r="W1141" s="50"/>
      <c r="X1141" s="50"/>
      <c r="Y1141" s="62"/>
      <c r="Z1141" s="62"/>
      <c r="AA1141" s="62"/>
      <c r="AB1141" s="62"/>
      <c r="AC1141" s="62"/>
      <c r="AD1141" s="62"/>
      <c r="AE1141" s="62"/>
      <c r="AF1141" s="61"/>
      <c r="AG1141" s="53"/>
      <c r="AH1141" s="54"/>
      <c r="AI1141" s="54"/>
      <c r="AJ1141" s="62"/>
      <c r="AK1141" s="62"/>
      <c r="AL1141" s="9"/>
      <c r="AM1141" s="61"/>
      <c r="AN1141" s="62"/>
      <c r="AO1141" s="61"/>
      <c r="AP1141" s="59"/>
      <c r="AQ1141" s="59"/>
      <c r="AR1141" s="59"/>
      <c r="AS1141" s="59"/>
      <c r="AT1141" s="59"/>
      <c r="AU1141" s="59"/>
      <c r="AV1141" s="59"/>
      <c r="AW1141" s="59"/>
      <c r="AX1141" s="59"/>
      <c r="AY1141" s="59"/>
      <c r="AZ1141" s="59"/>
      <c r="BA1141" s="141"/>
      <c r="BB1141" s="61"/>
      <c r="BC1141" s="165"/>
      <c r="BD1141" s="166"/>
      <c r="BE1141" s="167"/>
      <c r="BF1141" s="168"/>
      <c r="BG1141" s="167"/>
      <c r="BH1141" s="168"/>
      <c r="BI1141" s="169"/>
      <c r="BJ1141" s="168"/>
      <c r="BK1141" s="134"/>
      <c r="BL1141" s="168"/>
      <c r="BM1141" s="167"/>
      <c r="BN1141" s="168"/>
      <c r="BO1141" s="62"/>
      <c r="BP1141" s="168"/>
      <c r="BQ1141" s="168"/>
      <c r="BR1141" s="168"/>
      <c r="BS1141" s="135"/>
      <c r="BT1141" s="176"/>
      <c r="BU1141" s="167"/>
      <c r="BV1141" s="168"/>
      <c r="BW1141" s="167"/>
      <c r="BX1141" s="168"/>
      <c r="BY1141" s="167"/>
      <c r="BZ1141" s="176"/>
      <c r="CA1141" s="167"/>
      <c r="CB1141" s="168"/>
      <c r="CC1141" s="167"/>
      <c r="CD1141" s="168"/>
      <c r="CE1141" s="62"/>
      <c r="CF1141" s="62"/>
      <c r="CG1141" s="9"/>
      <c r="CH1141" s="9"/>
      <c r="CI1141" s="9"/>
      <c r="CJ1141" s="9"/>
      <c r="CK1141" s="9"/>
      <c r="CL1141" s="9"/>
      <c r="CM1141" s="9"/>
      <c r="CN1141" s="9"/>
      <c r="CO1141" s="9"/>
      <c r="CP1141" s="9"/>
    </row>
    <row r="1142" spans="1:94" x14ac:dyDescent="0.25">
      <c r="A1142" s="127"/>
      <c r="B1142" s="51"/>
      <c r="C1142" s="62"/>
      <c r="D1142" s="84"/>
      <c r="E1142" s="62"/>
      <c r="F1142" s="62"/>
      <c r="G1142" s="62"/>
      <c r="H1142" s="50"/>
      <c r="I1142" s="50"/>
      <c r="J1142" s="50"/>
      <c r="K1142" s="50"/>
      <c r="L1142" s="50"/>
      <c r="M1142" s="50"/>
      <c r="N1142" s="50"/>
      <c r="O1142" s="50"/>
      <c r="P1142" s="50"/>
      <c r="Q1142" s="50"/>
      <c r="R1142" s="50"/>
      <c r="S1142" s="50"/>
      <c r="T1142" s="50"/>
      <c r="U1142" s="50"/>
      <c r="V1142" s="50"/>
      <c r="W1142" s="50"/>
      <c r="X1142" s="50"/>
      <c r="Y1142" s="62"/>
      <c r="Z1142" s="62"/>
      <c r="AA1142" s="62"/>
      <c r="AB1142" s="62"/>
      <c r="AC1142" s="62"/>
      <c r="AD1142" s="62"/>
      <c r="AE1142" s="62"/>
      <c r="AF1142" s="61"/>
      <c r="AG1142" s="53"/>
      <c r="AH1142" s="54"/>
      <c r="AI1142" s="54"/>
      <c r="AJ1142" s="62"/>
      <c r="AK1142" s="62"/>
      <c r="AL1142" s="9"/>
      <c r="AM1142" s="61"/>
      <c r="AN1142" s="62"/>
      <c r="AO1142" s="61"/>
      <c r="AP1142" s="59"/>
      <c r="AQ1142" s="59"/>
      <c r="AR1142" s="59"/>
      <c r="AS1142" s="59"/>
      <c r="AT1142" s="59"/>
      <c r="AU1142" s="59"/>
      <c r="AV1142" s="59"/>
      <c r="AW1142" s="59"/>
      <c r="AX1142" s="59"/>
      <c r="AY1142" s="59"/>
      <c r="AZ1142" s="59"/>
      <c r="BA1142" s="141"/>
      <c r="BB1142" s="61"/>
      <c r="BC1142" s="165"/>
      <c r="BD1142" s="166"/>
      <c r="BE1142" s="167"/>
      <c r="BF1142" s="168"/>
      <c r="BG1142" s="167"/>
      <c r="BH1142" s="168"/>
      <c r="BI1142" s="169"/>
      <c r="BJ1142" s="168"/>
      <c r="BK1142" s="134"/>
      <c r="BL1142" s="168"/>
      <c r="BM1142" s="167"/>
      <c r="BN1142" s="168"/>
      <c r="BO1142" s="62"/>
      <c r="BP1142" s="168"/>
      <c r="BQ1142" s="168"/>
      <c r="BR1142" s="168"/>
      <c r="BS1142" s="135"/>
      <c r="BT1142" s="176"/>
      <c r="BU1142" s="167"/>
      <c r="BV1142" s="168"/>
      <c r="BW1142" s="167"/>
      <c r="BX1142" s="168"/>
      <c r="BY1142" s="167"/>
      <c r="BZ1142" s="176"/>
      <c r="CA1142" s="167"/>
      <c r="CB1142" s="168"/>
      <c r="CC1142" s="167"/>
      <c r="CD1142" s="168"/>
      <c r="CE1142" s="62"/>
      <c r="CF1142" s="62"/>
      <c r="CG1142" s="9"/>
      <c r="CH1142" s="9"/>
      <c r="CI1142" s="9"/>
      <c r="CJ1142" s="9"/>
      <c r="CK1142" s="9"/>
      <c r="CL1142" s="9"/>
      <c r="CM1142" s="9"/>
      <c r="CN1142" s="9"/>
      <c r="CO1142" s="9"/>
      <c r="CP1142" s="9"/>
    </row>
    <row r="1143" spans="1:94" x14ac:dyDescent="0.25">
      <c r="A1143" s="127"/>
      <c r="B1143" s="51"/>
      <c r="C1143" s="62"/>
      <c r="D1143" s="84"/>
      <c r="E1143" s="62"/>
      <c r="F1143" s="62"/>
      <c r="G1143" s="62"/>
      <c r="H1143" s="50"/>
      <c r="I1143" s="50"/>
      <c r="J1143" s="50"/>
      <c r="K1143" s="50"/>
      <c r="L1143" s="50"/>
      <c r="M1143" s="50"/>
      <c r="N1143" s="50"/>
      <c r="O1143" s="50"/>
      <c r="P1143" s="50"/>
      <c r="Q1143" s="50"/>
      <c r="R1143" s="50"/>
      <c r="S1143" s="50"/>
      <c r="T1143" s="50"/>
      <c r="U1143" s="50"/>
      <c r="V1143" s="50"/>
      <c r="W1143" s="50"/>
      <c r="X1143" s="50"/>
      <c r="Y1143" s="62"/>
      <c r="Z1143" s="62"/>
      <c r="AA1143" s="62"/>
      <c r="AB1143" s="62"/>
      <c r="AC1143" s="62"/>
      <c r="AD1143" s="62"/>
      <c r="AE1143" s="62"/>
      <c r="AF1143" s="61"/>
      <c r="AG1143" s="53"/>
      <c r="AH1143" s="54"/>
      <c r="AI1143" s="54"/>
      <c r="AJ1143" s="62"/>
      <c r="AK1143" s="62"/>
      <c r="AL1143" s="9"/>
      <c r="AM1143" s="61"/>
      <c r="AN1143" s="62"/>
      <c r="AO1143" s="61"/>
      <c r="AP1143" s="59"/>
      <c r="AQ1143" s="59"/>
      <c r="AR1143" s="59"/>
      <c r="AS1143" s="59"/>
      <c r="AT1143" s="59"/>
      <c r="AU1143" s="59"/>
      <c r="AV1143" s="59"/>
      <c r="AW1143" s="59"/>
      <c r="AX1143" s="59"/>
      <c r="AY1143" s="59"/>
      <c r="AZ1143" s="59"/>
      <c r="BA1143" s="141"/>
      <c r="BB1143" s="61"/>
      <c r="BC1143" s="165"/>
      <c r="BD1143" s="166"/>
      <c r="BE1143" s="167"/>
      <c r="BF1143" s="168"/>
      <c r="BG1143" s="167"/>
      <c r="BH1143" s="168"/>
      <c r="BI1143" s="169"/>
      <c r="BJ1143" s="168"/>
      <c r="BK1143" s="134"/>
      <c r="BL1143" s="168"/>
      <c r="BM1143" s="167"/>
      <c r="BN1143" s="168"/>
      <c r="BO1143" s="62"/>
      <c r="BP1143" s="168"/>
      <c r="BQ1143" s="168"/>
      <c r="BR1143" s="168"/>
      <c r="BS1143" s="135"/>
      <c r="BT1143" s="176"/>
      <c r="BU1143" s="167"/>
      <c r="BV1143" s="168"/>
      <c r="BW1143" s="167"/>
      <c r="BX1143" s="168"/>
      <c r="BY1143" s="167"/>
      <c r="BZ1143" s="176"/>
      <c r="CA1143" s="167"/>
      <c r="CB1143" s="168"/>
      <c r="CC1143" s="167"/>
      <c r="CD1143" s="168"/>
      <c r="CE1143" s="62"/>
      <c r="CF1143" s="62"/>
      <c r="CG1143" s="9"/>
      <c r="CH1143" s="9"/>
      <c r="CI1143" s="9"/>
      <c r="CJ1143" s="9"/>
      <c r="CK1143" s="9"/>
      <c r="CL1143" s="9"/>
      <c r="CM1143" s="9"/>
      <c r="CN1143" s="9"/>
      <c r="CO1143" s="9"/>
      <c r="CP1143" s="9"/>
    </row>
    <row r="1144" spans="1:94" x14ac:dyDescent="0.25">
      <c r="A1144" s="127"/>
      <c r="B1144" s="51"/>
      <c r="C1144" s="62"/>
      <c r="D1144" s="84"/>
      <c r="E1144" s="62"/>
      <c r="F1144" s="62"/>
      <c r="G1144" s="62"/>
      <c r="H1144" s="50"/>
      <c r="I1144" s="50"/>
      <c r="J1144" s="50"/>
      <c r="K1144" s="50"/>
      <c r="L1144" s="50"/>
      <c r="M1144" s="50"/>
      <c r="N1144" s="50"/>
      <c r="O1144" s="50"/>
      <c r="P1144" s="50"/>
      <c r="Q1144" s="50"/>
      <c r="R1144" s="50"/>
      <c r="S1144" s="50"/>
      <c r="T1144" s="50"/>
      <c r="U1144" s="50"/>
      <c r="V1144" s="50"/>
      <c r="W1144" s="50"/>
      <c r="X1144" s="50"/>
      <c r="Y1144" s="62"/>
      <c r="Z1144" s="62"/>
      <c r="AA1144" s="62"/>
      <c r="AB1144" s="62"/>
      <c r="AC1144" s="62"/>
      <c r="AD1144" s="62"/>
      <c r="AE1144" s="62"/>
      <c r="AF1144" s="61"/>
      <c r="AG1144" s="53"/>
      <c r="AH1144" s="54"/>
      <c r="AI1144" s="54"/>
      <c r="AJ1144" s="62"/>
      <c r="AK1144" s="62"/>
      <c r="AL1144" s="9"/>
      <c r="AM1144" s="61"/>
      <c r="AN1144" s="62"/>
      <c r="AO1144" s="61"/>
      <c r="AP1144" s="59"/>
      <c r="AQ1144" s="59"/>
      <c r="AR1144" s="59"/>
      <c r="AS1144" s="59"/>
      <c r="AT1144" s="59"/>
      <c r="AU1144" s="59"/>
      <c r="AV1144" s="59"/>
      <c r="AW1144" s="59"/>
      <c r="AX1144" s="59"/>
      <c r="AY1144" s="59"/>
      <c r="AZ1144" s="59"/>
      <c r="BA1144" s="141"/>
      <c r="BB1144" s="61"/>
      <c r="BC1144" s="165"/>
      <c r="BD1144" s="166"/>
      <c r="BE1144" s="167"/>
      <c r="BF1144" s="168"/>
      <c r="BG1144" s="167"/>
      <c r="BH1144" s="168"/>
      <c r="BI1144" s="169"/>
      <c r="BJ1144" s="168"/>
      <c r="BK1144" s="134"/>
      <c r="BL1144" s="168"/>
      <c r="BM1144" s="167"/>
      <c r="BN1144" s="168"/>
      <c r="BO1144" s="62"/>
      <c r="BP1144" s="168"/>
      <c r="BQ1144" s="168"/>
      <c r="BR1144" s="168"/>
      <c r="BS1144" s="135"/>
      <c r="BT1144" s="176"/>
      <c r="BU1144" s="167"/>
      <c r="BV1144" s="168"/>
      <c r="BW1144" s="167"/>
      <c r="BX1144" s="168"/>
      <c r="BY1144" s="167"/>
      <c r="BZ1144" s="176"/>
      <c r="CA1144" s="167"/>
      <c r="CB1144" s="168"/>
      <c r="CC1144" s="167"/>
      <c r="CD1144" s="168"/>
      <c r="CE1144" s="62"/>
      <c r="CF1144" s="62"/>
      <c r="CG1144" s="9"/>
      <c r="CH1144" s="9"/>
      <c r="CI1144" s="9"/>
      <c r="CJ1144" s="9"/>
      <c r="CK1144" s="9"/>
      <c r="CL1144" s="9"/>
      <c r="CM1144" s="9"/>
      <c r="CN1144" s="9"/>
      <c r="CO1144" s="9"/>
      <c r="CP1144" s="9"/>
    </row>
    <row r="1145" spans="1:94" x14ac:dyDescent="0.25">
      <c r="A1145" s="127"/>
      <c r="B1145" s="51"/>
      <c r="C1145" s="62"/>
      <c r="D1145" s="84"/>
      <c r="E1145" s="62"/>
      <c r="F1145" s="62"/>
      <c r="G1145" s="62"/>
      <c r="H1145" s="50"/>
      <c r="I1145" s="50"/>
      <c r="J1145" s="50"/>
      <c r="K1145" s="50"/>
      <c r="L1145" s="50"/>
      <c r="M1145" s="50"/>
      <c r="N1145" s="50"/>
      <c r="O1145" s="50"/>
      <c r="P1145" s="50"/>
      <c r="Q1145" s="50"/>
      <c r="R1145" s="50"/>
      <c r="S1145" s="50"/>
      <c r="T1145" s="50"/>
      <c r="U1145" s="50"/>
      <c r="V1145" s="50"/>
      <c r="W1145" s="50"/>
      <c r="X1145" s="50"/>
      <c r="Y1145" s="62"/>
      <c r="Z1145" s="62"/>
      <c r="AA1145" s="62"/>
      <c r="AB1145" s="62"/>
      <c r="AC1145" s="62"/>
      <c r="AD1145" s="62"/>
      <c r="AE1145" s="62"/>
      <c r="AF1145" s="61"/>
      <c r="AG1145" s="53"/>
      <c r="AH1145" s="54"/>
      <c r="AI1145" s="54"/>
      <c r="AJ1145" s="62"/>
      <c r="AK1145" s="62"/>
      <c r="AL1145" s="9"/>
      <c r="AM1145" s="61"/>
      <c r="AN1145" s="62"/>
      <c r="AO1145" s="61"/>
      <c r="AP1145" s="59"/>
      <c r="AQ1145" s="59"/>
      <c r="AR1145" s="59"/>
      <c r="AS1145" s="59"/>
      <c r="AT1145" s="59"/>
      <c r="AU1145" s="59"/>
      <c r="AV1145" s="59"/>
      <c r="AW1145" s="59"/>
      <c r="AX1145" s="59"/>
      <c r="AY1145" s="59"/>
      <c r="AZ1145" s="59"/>
      <c r="BA1145" s="141"/>
      <c r="BB1145" s="61"/>
      <c r="BC1145" s="165"/>
      <c r="BD1145" s="166"/>
      <c r="BE1145" s="167"/>
      <c r="BF1145" s="168"/>
      <c r="BG1145" s="167"/>
      <c r="BH1145" s="168"/>
      <c r="BI1145" s="169"/>
      <c r="BJ1145" s="168"/>
      <c r="BK1145" s="134"/>
      <c r="BL1145" s="168"/>
      <c r="BM1145" s="167"/>
      <c r="BN1145" s="168"/>
      <c r="BO1145" s="62"/>
      <c r="BP1145" s="168"/>
      <c r="BQ1145" s="168"/>
      <c r="BR1145" s="168"/>
      <c r="BS1145" s="135"/>
      <c r="BT1145" s="176"/>
      <c r="BU1145" s="167"/>
      <c r="BV1145" s="168"/>
      <c r="BW1145" s="167"/>
      <c r="BX1145" s="168"/>
      <c r="BY1145" s="167"/>
      <c r="BZ1145" s="176"/>
      <c r="CA1145" s="167"/>
      <c r="CB1145" s="168"/>
      <c r="CC1145" s="167"/>
      <c r="CD1145" s="168"/>
      <c r="CE1145" s="62"/>
      <c r="CF1145" s="62"/>
      <c r="CG1145" s="9"/>
      <c r="CH1145" s="9"/>
      <c r="CI1145" s="9"/>
      <c r="CJ1145" s="9"/>
      <c r="CK1145" s="9"/>
      <c r="CL1145" s="9"/>
      <c r="CM1145" s="9"/>
      <c r="CN1145" s="9"/>
      <c r="CO1145" s="9"/>
      <c r="CP1145" s="9"/>
    </row>
    <row r="1146" spans="1:94" x14ac:dyDescent="0.25">
      <c r="A1146" s="127"/>
      <c r="B1146" s="51"/>
      <c r="C1146" s="62"/>
      <c r="D1146" s="84"/>
      <c r="E1146" s="62"/>
      <c r="F1146" s="62"/>
      <c r="G1146" s="62"/>
      <c r="H1146" s="50"/>
      <c r="I1146" s="50"/>
      <c r="J1146" s="50"/>
      <c r="K1146" s="50"/>
      <c r="L1146" s="50"/>
      <c r="M1146" s="50"/>
      <c r="N1146" s="50"/>
      <c r="O1146" s="50"/>
      <c r="P1146" s="50"/>
      <c r="Q1146" s="50"/>
      <c r="R1146" s="50"/>
      <c r="S1146" s="50"/>
      <c r="T1146" s="50"/>
      <c r="U1146" s="50"/>
      <c r="V1146" s="50"/>
      <c r="W1146" s="50"/>
      <c r="X1146" s="50"/>
      <c r="Y1146" s="62"/>
      <c r="Z1146" s="62"/>
      <c r="AA1146" s="62"/>
      <c r="AB1146" s="62"/>
      <c r="AC1146" s="62"/>
      <c r="AD1146" s="62"/>
      <c r="AE1146" s="62"/>
      <c r="AF1146" s="61"/>
      <c r="AG1146" s="53"/>
      <c r="AH1146" s="54"/>
      <c r="AI1146" s="54"/>
      <c r="AJ1146" s="62"/>
      <c r="AK1146" s="62"/>
      <c r="AL1146" s="9"/>
      <c r="AM1146" s="61"/>
      <c r="AN1146" s="62"/>
      <c r="AO1146" s="61"/>
      <c r="AP1146" s="59"/>
      <c r="AQ1146" s="59"/>
      <c r="AR1146" s="59"/>
      <c r="AS1146" s="59"/>
      <c r="AT1146" s="59"/>
      <c r="AU1146" s="59"/>
      <c r="AV1146" s="59"/>
      <c r="AW1146" s="59"/>
      <c r="AX1146" s="59"/>
      <c r="AY1146" s="59"/>
      <c r="AZ1146" s="59"/>
      <c r="BA1146" s="141"/>
      <c r="BB1146" s="61"/>
      <c r="BC1146" s="165"/>
      <c r="BD1146" s="166"/>
      <c r="BE1146" s="167"/>
      <c r="BF1146" s="168"/>
      <c r="BG1146" s="167"/>
      <c r="BH1146" s="168"/>
      <c r="BI1146" s="169"/>
      <c r="BJ1146" s="168"/>
      <c r="BK1146" s="134"/>
      <c r="BL1146" s="168"/>
      <c r="BM1146" s="167"/>
      <c r="BN1146" s="168"/>
      <c r="BO1146" s="62"/>
      <c r="BP1146" s="168"/>
      <c r="BQ1146" s="168"/>
      <c r="BR1146" s="168"/>
      <c r="BS1146" s="135"/>
      <c r="BT1146" s="176"/>
      <c r="BU1146" s="167"/>
      <c r="BV1146" s="168"/>
      <c r="BW1146" s="167"/>
      <c r="BX1146" s="168"/>
      <c r="BY1146" s="167"/>
      <c r="BZ1146" s="176"/>
      <c r="CA1146" s="167"/>
      <c r="CB1146" s="168"/>
      <c r="CC1146" s="167"/>
      <c r="CD1146" s="168"/>
      <c r="CE1146" s="62"/>
      <c r="CF1146" s="62"/>
      <c r="CG1146" s="9"/>
      <c r="CH1146" s="9"/>
      <c r="CI1146" s="9"/>
      <c r="CJ1146" s="9"/>
      <c r="CK1146" s="9"/>
      <c r="CL1146" s="9"/>
      <c r="CM1146" s="9"/>
      <c r="CN1146" s="9"/>
      <c r="CO1146" s="9"/>
      <c r="CP1146" s="9"/>
    </row>
    <row r="1147" spans="1:94" x14ac:dyDescent="0.25">
      <c r="A1147" s="127"/>
      <c r="B1147" s="51"/>
      <c r="C1147" s="62"/>
      <c r="D1147" s="84"/>
      <c r="E1147" s="62"/>
      <c r="F1147" s="62"/>
      <c r="G1147" s="62"/>
      <c r="H1147" s="50"/>
      <c r="I1147" s="50"/>
      <c r="J1147" s="50"/>
      <c r="K1147" s="50"/>
      <c r="L1147" s="50"/>
      <c r="M1147" s="50"/>
      <c r="N1147" s="50"/>
      <c r="O1147" s="50"/>
      <c r="P1147" s="50"/>
      <c r="Q1147" s="50"/>
      <c r="R1147" s="50"/>
      <c r="S1147" s="50"/>
      <c r="T1147" s="50"/>
      <c r="U1147" s="50"/>
      <c r="V1147" s="50"/>
      <c r="W1147" s="50"/>
      <c r="X1147" s="50"/>
      <c r="Y1147" s="62"/>
      <c r="Z1147" s="62"/>
      <c r="AA1147" s="62"/>
      <c r="AB1147" s="62"/>
      <c r="AC1147" s="62"/>
      <c r="AD1147" s="62"/>
      <c r="AE1147" s="62"/>
      <c r="AF1147" s="61"/>
      <c r="AG1147" s="53"/>
      <c r="AH1147" s="54"/>
      <c r="AI1147" s="54"/>
      <c r="AJ1147" s="62"/>
      <c r="AK1147" s="62"/>
      <c r="AL1147" s="9"/>
      <c r="AM1147" s="61"/>
      <c r="AN1147" s="62"/>
      <c r="AO1147" s="61"/>
      <c r="AP1147" s="59"/>
      <c r="AQ1147" s="59"/>
      <c r="AR1147" s="59"/>
      <c r="AS1147" s="59"/>
      <c r="AT1147" s="59"/>
      <c r="AU1147" s="59"/>
      <c r="AV1147" s="59"/>
      <c r="AW1147" s="59"/>
      <c r="AX1147" s="59"/>
      <c r="AY1147" s="59"/>
      <c r="AZ1147" s="59"/>
      <c r="BA1147" s="141"/>
      <c r="BB1147" s="61"/>
      <c r="BC1147" s="165"/>
      <c r="BD1147" s="166"/>
      <c r="BE1147" s="167"/>
      <c r="BF1147" s="168"/>
      <c r="BG1147" s="167"/>
      <c r="BH1147" s="168"/>
      <c r="BI1147" s="169"/>
      <c r="BJ1147" s="168"/>
      <c r="BK1147" s="134"/>
      <c r="BL1147" s="168"/>
      <c r="BM1147" s="167"/>
      <c r="BN1147" s="168"/>
      <c r="BO1147" s="62"/>
      <c r="BP1147" s="168"/>
      <c r="BQ1147" s="168"/>
      <c r="BR1147" s="168"/>
      <c r="BS1147" s="135"/>
      <c r="BT1147" s="176"/>
      <c r="BU1147" s="167"/>
      <c r="BV1147" s="168"/>
      <c r="BW1147" s="167"/>
      <c r="BX1147" s="168"/>
      <c r="BY1147" s="167"/>
      <c r="BZ1147" s="176"/>
      <c r="CA1147" s="167"/>
      <c r="CB1147" s="168"/>
      <c r="CC1147" s="167"/>
      <c r="CD1147" s="168"/>
      <c r="CE1147" s="62"/>
      <c r="CF1147" s="62"/>
      <c r="CG1147" s="9"/>
      <c r="CH1147" s="9"/>
      <c r="CI1147" s="9"/>
      <c r="CJ1147" s="9"/>
      <c r="CK1147" s="9"/>
      <c r="CL1147" s="9"/>
      <c r="CM1147" s="9"/>
      <c r="CN1147" s="9"/>
      <c r="CO1147" s="9"/>
      <c r="CP1147" s="9"/>
    </row>
    <row r="1148" spans="1:94" x14ac:dyDescent="0.25">
      <c r="A1148" s="127"/>
      <c r="B1148" s="51"/>
      <c r="C1148" s="62"/>
      <c r="D1148" s="84"/>
      <c r="E1148" s="62"/>
      <c r="F1148" s="62"/>
      <c r="G1148" s="62"/>
      <c r="H1148" s="50"/>
      <c r="I1148" s="50"/>
      <c r="J1148" s="50"/>
      <c r="K1148" s="50"/>
      <c r="L1148" s="50"/>
      <c r="M1148" s="50"/>
      <c r="N1148" s="50"/>
      <c r="O1148" s="50"/>
      <c r="P1148" s="50"/>
      <c r="Q1148" s="50"/>
      <c r="R1148" s="50"/>
      <c r="S1148" s="50"/>
      <c r="T1148" s="50"/>
      <c r="U1148" s="50"/>
      <c r="V1148" s="50"/>
      <c r="W1148" s="50"/>
      <c r="X1148" s="50"/>
      <c r="Y1148" s="62"/>
      <c r="Z1148" s="62"/>
      <c r="AA1148" s="62"/>
      <c r="AB1148" s="62"/>
      <c r="AC1148" s="62"/>
      <c r="AD1148" s="62"/>
      <c r="AE1148" s="62"/>
      <c r="AF1148" s="61"/>
      <c r="AG1148" s="53"/>
      <c r="AH1148" s="54"/>
      <c r="AI1148" s="54"/>
      <c r="AJ1148" s="62"/>
      <c r="AK1148" s="62"/>
      <c r="AL1148" s="9"/>
      <c r="AM1148" s="61"/>
      <c r="AN1148" s="62"/>
      <c r="AO1148" s="61"/>
      <c r="AP1148" s="59"/>
      <c r="AQ1148" s="59"/>
      <c r="AR1148" s="59"/>
      <c r="AS1148" s="59"/>
      <c r="AT1148" s="59"/>
      <c r="AU1148" s="59"/>
      <c r="AV1148" s="59"/>
      <c r="AW1148" s="59"/>
      <c r="AX1148" s="59"/>
      <c r="AY1148" s="59"/>
      <c r="AZ1148" s="59"/>
      <c r="BA1148" s="141"/>
      <c r="BB1148" s="61"/>
      <c r="BC1148" s="165"/>
      <c r="BD1148" s="166"/>
      <c r="BE1148" s="167"/>
      <c r="BF1148" s="168"/>
      <c r="BG1148" s="167"/>
      <c r="BH1148" s="168"/>
      <c r="BI1148" s="169"/>
      <c r="BJ1148" s="168"/>
      <c r="BK1148" s="134"/>
      <c r="BL1148" s="168"/>
      <c r="BM1148" s="167"/>
      <c r="BN1148" s="168"/>
      <c r="BO1148" s="62"/>
      <c r="BP1148" s="168"/>
      <c r="BQ1148" s="168"/>
      <c r="BR1148" s="168"/>
      <c r="BS1148" s="135"/>
      <c r="BT1148" s="176"/>
      <c r="BU1148" s="167"/>
      <c r="BV1148" s="168"/>
      <c r="BW1148" s="167"/>
      <c r="BX1148" s="168"/>
      <c r="BY1148" s="167"/>
      <c r="BZ1148" s="176"/>
      <c r="CA1148" s="167"/>
      <c r="CB1148" s="168"/>
      <c r="CC1148" s="167"/>
      <c r="CD1148" s="168"/>
      <c r="CE1148" s="62"/>
      <c r="CF1148" s="62"/>
      <c r="CG1148" s="9"/>
      <c r="CH1148" s="9"/>
      <c r="CI1148" s="9"/>
      <c r="CJ1148" s="9"/>
      <c r="CK1148" s="9"/>
      <c r="CL1148" s="9"/>
      <c r="CM1148" s="9"/>
      <c r="CN1148" s="9"/>
      <c r="CO1148" s="9"/>
      <c r="CP1148" s="9"/>
    </row>
    <row r="1149" spans="1:94" x14ac:dyDescent="0.25">
      <c r="A1149" s="127"/>
      <c r="B1149" s="51"/>
      <c r="C1149" s="62"/>
      <c r="D1149" s="84"/>
      <c r="E1149" s="62"/>
      <c r="F1149" s="62"/>
      <c r="G1149" s="62"/>
      <c r="H1149" s="50"/>
      <c r="I1149" s="50"/>
      <c r="J1149" s="50"/>
      <c r="K1149" s="50"/>
      <c r="L1149" s="50"/>
      <c r="M1149" s="50"/>
      <c r="N1149" s="50"/>
      <c r="O1149" s="50"/>
      <c r="P1149" s="50"/>
      <c r="Q1149" s="50"/>
      <c r="R1149" s="50"/>
      <c r="S1149" s="50"/>
      <c r="T1149" s="50"/>
      <c r="U1149" s="50"/>
      <c r="V1149" s="50"/>
      <c r="W1149" s="50"/>
      <c r="X1149" s="50"/>
      <c r="Y1149" s="62"/>
      <c r="Z1149" s="62"/>
      <c r="AA1149" s="62"/>
      <c r="AB1149" s="62"/>
      <c r="AC1149" s="62"/>
      <c r="AD1149" s="62"/>
      <c r="AE1149" s="62"/>
      <c r="AF1149" s="61"/>
      <c r="AG1149" s="53"/>
      <c r="AH1149" s="54"/>
      <c r="AI1149" s="54"/>
      <c r="AJ1149" s="62"/>
      <c r="AK1149" s="62"/>
      <c r="AL1149" s="9"/>
      <c r="AM1149" s="61"/>
      <c r="AN1149" s="62"/>
      <c r="AO1149" s="61"/>
      <c r="AP1149" s="59"/>
      <c r="AQ1149" s="59"/>
      <c r="AR1149" s="59"/>
      <c r="AS1149" s="59"/>
      <c r="AT1149" s="59"/>
      <c r="AU1149" s="59"/>
      <c r="AV1149" s="59"/>
      <c r="AW1149" s="59"/>
      <c r="AX1149" s="59"/>
      <c r="AY1149" s="59"/>
      <c r="AZ1149" s="59"/>
      <c r="BA1149" s="141"/>
      <c r="BB1149" s="61"/>
      <c r="BC1149" s="165"/>
      <c r="BD1149" s="166"/>
      <c r="BE1149" s="167"/>
      <c r="BF1149" s="168"/>
      <c r="BG1149" s="167"/>
      <c r="BH1149" s="168"/>
      <c r="BI1149" s="169"/>
      <c r="BJ1149" s="168"/>
      <c r="BK1149" s="134"/>
      <c r="BL1149" s="168"/>
      <c r="BM1149" s="167"/>
      <c r="BN1149" s="168"/>
      <c r="BO1149" s="62"/>
      <c r="BP1149" s="168"/>
      <c r="BQ1149" s="168"/>
      <c r="BR1149" s="168"/>
      <c r="BS1149" s="135"/>
      <c r="BT1149" s="176"/>
      <c r="BU1149" s="167"/>
      <c r="BV1149" s="168"/>
      <c r="BW1149" s="167"/>
      <c r="BX1149" s="168"/>
      <c r="BY1149" s="167"/>
      <c r="BZ1149" s="176"/>
      <c r="CA1149" s="167"/>
      <c r="CB1149" s="168"/>
      <c r="CC1149" s="167"/>
      <c r="CD1149" s="168"/>
      <c r="CE1149" s="62"/>
      <c r="CF1149" s="62"/>
      <c r="CG1149" s="9"/>
      <c r="CH1149" s="9"/>
      <c r="CI1149" s="9"/>
      <c r="CJ1149" s="9"/>
      <c r="CK1149" s="9"/>
      <c r="CL1149" s="9"/>
      <c r="CM1149" s="9"/>
      <c r="CN1149" s="9"/>
      <c r="CO1149" s="9"/>
      <c r="CP1149" s="9"/>
    </row>
    <row r="1150" spans="1:94" x14ac:dyDescent="0.25">
      <c r="A1150" s="127"/>
      <c r="B1150" s="51"/>
      <c r="C1150" s="62"/>
      <c r="D1150" s="84"/>
      <c r="E1150" s="62"/>
      <c r="F1150" s="62"/>
      <c r="G1150" s="62"/>
      <c r="H1150" s="50"/>
      <c r="I1150" s="50"/>
      <c r="J1150" s="50"/>
      <c r="K1150" s="50"/>
      <c r="L1150" s="50"/>
      <c r="M1150" s="50"/>
      <c r="N1150" s="50"/>
      <c r="O1150" s="50"/>
      <c r="P1150" s="50"/>
      <c r="Q1150" s="50"/>
      <c r="R1150" s="50"/>
      <c r="S1150" s="50"/>
      <c r="T1150" s="50"/>
      <c r="U1150" s="50"/>
      <c r="V1150" s="50"/>
      <c r="W1150" s="50"/>
      <c r="X1150" s="50"/>
      <c r="Y1150" s="62"/>
      <c r="Z1150" s="62"/>
      <c r="AA1150" s="62"/>
      <c r="AB1150" s="62"/>
      <c r="AC1150" s="62"/>
      <c r="AD1150" s="62"/>
      <c r="AE1150" s="62"/>
      <c r="AF1150" s="61"/>
      <c r="AG1150" s="53"/>
      <c r="AH1150" s="54"/>
      <c r="AI1150" s="54"/>
      <c r="AJ1150" s="62"/>
      <c r="AK1150" s="62"/>
      <c r="AL1150" s="9"/>
      <c r="AM1150" s="61"/>
      <c r="AN1150" s="62"/>
      <c r="AO1150" s="61"/>
      <c r="AP1150" s="59"/>
      <c r="AQ1150" s="59"/>
      <c r="AR1150" s="59"/>
      <c r="AS1150" s="59"/>
      <c r="AT1150" s="59"/>
      <c r="AU1150" s="59"/>
      <c r="AV1150" s="59"/>
      <c r="AW1150" s="59"/>
      <c r="AX1150" s="59"/>
      <c r="AY1150" s="59"/>
      <c r="AZ1150" s="59"/>
      <c r="BA1150" s="141"/>
      <c r="BB1150" s="61"/>
      <c r="BC1150" s="165"/>
      <c r="BD1150" s="166"/>
      <c r="BE1150" s="167"/>
      <c r="BF1150" s="168"/>
      <c r="BG1150" s="167"/>
      <c r="BH1150" s="168"/>
      <c r="BI1150" s="169"/>
      <c r="BJ1150" s="168"/>
      <c r="BK1150" s="134"/>
      <c r="BL1150" s="168"/>
      <c r="BM1150" s="167"/>
      <c r="BN1150" s="168"/>
      <c r="BO1150" s="62"/>
      <c r="BP1150" s="168"/>
      <c r="BQ1150" s="168"/>
      <c r="BR1150" s="168"/>
      <c r="BS1150" s="135"/>
      <c r="BT1150" s="176"/>
      <c r="BU1150" s="167"/>
      <c r="BV1150" s="168"/>
      <c r="BW1150" s="167"/>
      <c r="BX1150" s="168"/>
      <c r="BY1150" s="167"/>
      <c r="BZ1150" s="176"/>
      <c r="CA1150" s="167"/>
      <c r="CB1150" s="168"/>
      <c r="CC1150" s="167"/>
      <c r="CD1150" s="168"/>
      <c r="CE1150" s="62"/>
      <c r="CF1150" s="62"/>
      <c r="CG1150" s="9"/>
      <c r="CH1150" s="9"/>
      <c r="CI1150" s="9"/>
      <c r="CJ1150" s="9"/>
      <c r="CK1150" s="9"/>
      <c r="CL1150" s="9"/>
      <c r="CM1150" s="9"/>
      <c r="CN1150" s="9"/>
      <c r="CO1150" s="9"/>
      <c r="CP1150" s="9"/>
    </row>
    <row r="1151" spans="1:94" x14ac:dyDescent="0.25">
      <c r="A1151" s="127"/>
      <c r="B1151" s="51"/>
      <c r="C1151" s="62"/>
      <c r="D1151" s="84"/>
      <c r="E1151" s="62"/>
      <c r="F1151" s="62"/>
      <c r="G1151" s="62"/>
      <c r="H1151" s="50"/>
      <c r="I1151" s="50"/>
      <c r="J1151" s="50"/>
      <c r="K1151" s="50"/>
      <c r="L1151" s="50"/>
      <c r="M1151" s="50"/>
      <c r="N1151" s="50"/>
      <c r="O1151" s="50"/>
      <c r="P1151" s="50"/>
      <c r="Q1151" s="50"/>
      <c r="R1151" s="50"/>
      <c r="S1151" s="50"/>
      <c r="T1151" s="50"/>
      <c r="U1151" s="50"/>
      <c r="V1151" s="50"/>
      <c r="W1151" s="50"/>
      <c r="X1151" s="50"/>
      <c r="Y1151" s="62"/>
      <c r="Z1151" s="62"/>
      <c r="AA1151" s="62"/>
      <c r="AB1151" s="62"/>
      <c r="AC1151" s="62"/>
      <c r="AD1151" s="62"/>
      <c r="AE1151" s="62"/>
      <c r="AF1151" s="61"/>
      <c r="AG1151" s="53"/>
      <c r="AH1151" s="54"/>
      <c r="AI1151" s="54"/>
      <c r="AJ1151" s="62"/>
      <c r="AK1151" s="62"/>
      <c r="AL1151" s="9"/>
      <c r="AM1151" s="61"/>
      <c r="AN1151" s="62"/>
      <c r="AO1151" s="61"/>
      <c r="AP1151" s="59"/>
      <c r="AQ1151" s="59"/>
      <c r="AR1151" s="59"/>
      <c r="AS1151" s="59"/>
      <c r="AT1151" s="59"/>
      <c r="AU1151" s="59"/>
      <c r="AV1151" s="59"/>
      <c r="AW1151" s="59"/>
      <c r="AX1151" s="59"/>
      <c r="AY1151" s="59"/>
      <c r="AZ1151" s="59"/>
      <c r="BA1151" s="141"/>
      <c r="BB1151" s="61"/>
      <c r="BC1151" s="165"/>
      <c r="BD1151" s="166"/>
      <c r="BE1151" s="167"/>
      <c r="BF1151" s="168"/>
      <c r="BG1151" s="167"/>
      <c r="BH1151" s="168"/>
      <c r="BI1151" s="169"/>
      <c r="BJ1151" s="168"/>
      <c r="BK1151" s="134"/>
      <c r="BL1151" s="168"/>
      <c r="BM1151" s="167"/>
      <c r="BN1151" s="168"/>
      <c r="BO1151" s="62"/>
      <c r="BP1151" s="168"/>
      <c r="BQ1151" s="168"/>
      <c r="BR1151" s="168"/>
      <c r="BS1151" s="135"/>
      <c r="BT1151" s="176"/>
      <c r="BU1151" s="167"/>
      <c r="BV1151" s="168"/>
      <c r="BW1151" s="167"/>
      <c r="BX1151" s="168"/>
      <c r="BY1151" s="167"/>
      <c r="BZ1151" s="176"/>
      <c r="CA1151" s="167"/>
      <c r="CB1151" s="168"/>
      <c r="CC1151" s="167"/>
      <c r="CD1151" s="168"/>
      <c r="CE1151" s="62"/>
      <c r="CF1151" s="62"/>
      <c r="CG1151" s="9"/>
      <c r="CH1151" s="9"/>
      <c r="CI1151" s="9"/>
      <c r="CJ1151" s="9"/>
      <c r="CK1151" s="9"/>
      <c r="CL1151" s="9"/>
      <c r="CM1151" s="9"/>
      <c r="CN1151" s="9"/>
      <c r="CO1151" s="9"/>
      <c r="CP1151" s="9"/>
    </row>
    <row r="1152" spans="1:94" x14ac:dyDescent="0.25">
      <c r="A1152" s="127"/>
      <c r="B1152" s="51"/>
      <c r="C1152" s="62"/>
      <c r="D1152" s="84"/>
      <c r="E1152" s="62"/>
      <c r="F1152" s="62"/>
      <c r="G1152" s="62"/>
      <c r="H1152" s="50"/>
      <c r="I1152" s="50"/>
      <c r="J1152" s="50"/>
      <c r="K1152" s="50"/>
      <c r="L1152" s="50"/>
      <c r="M1152" s="50"/>
      <c r="N1152" s="50"/>
      <c r="O1152" s="50"/>
      <c r="P1152" s="50"/>
      <c r="Q1152" s="50"/>
      <c r="R1152" s="50"/>
      <c r="S1152" s="50"/>
      <c r="T1152" s="50"/>
      <c r="U1152" s="50"/>
      <c r="V1152" s="50"/>
      <c r="W1152" s="50"/>
      <c r="X1152" s="50"/>
      <c r="Y1152" s="62"/>
      <c r="Z1152" s="62"/>
      <c r="AA1152" s="62"/>
      <c r="AB1152" s="62"/>
      <c r="AC1152" s="62"/>
      <c r="AD1152" s="62"/>
      <c r="AE1152" s="62"/>
      <c r="AF1152" s="61"/>
      <c r="AG1152" s="53"/>
      <c r="AH1152" s="54"/>
      <c r="AI1152" s="54"/>
      <c r="AJ1152" s="62"/>
      <c r="AK1152" s="62"/>
      <c r="AL1152" s="9"/>
      <c r="AM1152" s="61"/>
      <c r="AN1152" s="62"/>
      <c r="AO1152" s="61"/>
      <c r="AP1152" s="59"/>
      <c r="AQ1152" s="59"/>
      <c r="AR1152" s="59"/>
      <c r="AS1152" s="59"/>
      <c r="AT1152" s="59"/>
      <c r="AU1152" s="59"/>
      <c r="AV1152" s="59"/>
      <c r="AW1152" s="59"/>
      <c r="AX1152" s="59"/>
      <c r="AY1152" s="59"/>
      <c r="AZ1152" s="59"/>
      <c r="BA1152" s="141"/>
      <c r="BB1152" s="61"/>
      <c r="BC1152" s="165"/>
      <c r="BD1152" s="166"/>
      <c r="BE1152" s="167"/>
      <c r="BF1152" s="168"/>
      <c r="BG1152" s="167"/>
      <c r="BH1152" s="168"/>
      <c r="BI1152" s="169"/>
      <c r="BJ1152" s="168"/>
      <c r="BK1152" s="134"/>
      <c r="BL1152" s="168"/>
      <c r="BM1152" s="167"/>
      <c r="BN1152" s="168"/>
      <c r="BO1152" s="62"/>
      <c r="BP1152" s="168"/>
      <c r="BQ1152" s="168"/>
      <c r="BR1152" s="168"/>
      <c r="BS1152" s="135"/>
      <c r="BT1152" s="176"/>
      <c r="BU1152" s="167"/>
      <c r="BV1152" s="168"/>
      <c r="BW1152" s="167"/>
      <c r="BX1152" s="168"/>
      <c r="BY1152" s="167"/>
      <c r="BZ1152" s="176"/>
      <c r="CA1152" s="167"/>
      <c r="CB1152" s="168"/>
      <c r="CC1152" s="167"/>
      <c r="CD1152" s="168"/>
      <c r="CE1152" s="62"/>
      <c r="CF1152" s="62"/>
      <c r="CG1152" s="9"/>
      <c r="CH1152" s="9"/>
      <c r="CI1152" s="9"/>
      <c r="CJ1152" s="9"/>
      <c r="CK1152" s="9"/>
      <c r="CL1152" s="9"/>
      <c r="CM1152" s="9"/>
      <c r="CN1152" s="9"/>
      <c r="CO1152" s="9"/>
      <c r="CP1152" s="9"/>
    </row>
    <row r="1153" spans="1:94" x14ac:dyDescent="0.25">
      <c r="A1153" s="127"/>
      <c r="B1153" s="51"/>
      <c r="C1153" s="62"/>
      <c r="D1153" s="84"/>
      <c r="E1153" s="62"/>
      <c r="F1153" s="62"/>
      <c r="G1153" s="62"/>
      <c r="H1153" s="50"/>
      <c r="I1153" s="50"/>
      <c r="J1153" s="50"/>
      <c r="K1153" s="50"/>
      <c r="L1153" s="50"/>
      <c r="M1153" s="50"/>
      <c r="N1153" s="50"/>
      <c r="O1153" s="50"/>
      <c r="P1153" s="50"/>
      <c r="Q1153" s="50"/>
      <c r="R1153" s="50"/>
      <c r="S1153" s="50"/>
      <c r="T1153" s="50"/>
      <c r="U1153" s="50"/>
      <c r="V1153" s="50"/>
      <c r="W1153" s="50"/>
      <c r="X1153" s="50"/>
      <c r="Y1153" s="62"/>
      <c r="Z1153" s="62"/>
      <c r="AA1153" s="62"/>
      <c r="AB1153" s="62"/>
      <c r="AC1153" s="62"/>
      <c r="AD1153" s="62"/>
      <c r="AE1153" s="62"/>
      <c r="AF1153" s="61"/>
      <c r="AG1153" s="53"/>
      <c r="AH1153" s="54"/>
      <c r="AI1153" s="54"/>
      <c r="AJ1153" s="62"/>
      <c r="AK1153" s="62"/>
      <c r="AL1153" s="9"/>
      <c r="AM1153" s="61"/>
      <c r="AN1153" s="62"/>
      <c r="AO1153" s="61"/>
      <c r="AP1153" s="59"/>
      <c r="AQ1153" s="59"/>
      <c r="AR1153" s="59"/>
      <c r="AS1153" s="59"/>
      <c r="AT1153" s="59"/>
      <c r="AU1153" s="59"/>
      <c r="AV1153" s="59"/>
      <c r="AW1153" s="59"/>
      <c r="AX1153" s="59"/>
      <c r="AY1153" s="59"/>
      <c r="AZ1153" s="59"/>
      <c r="BA1153" s="141"/>
      <c r="BB1153" s="61"/>
      <c r="BC1153" s="165"/>
      <c r="BD1153" s="166"/>
      <c r="BE1153" s="167"/>
      <c r="BF1153" s="168"/>
      <c r="BG1153" s="167"/>
      <c r="BH1153" s="168"/>
      <c r="BI1153" s="169"/>
      <c r="BJ1153" s="168"/>
      <c r="BK1153" s="134"/>
      <c r="BL1153" s="168"/>
      <c r="BM1153" s="167"/>
      <c r="BN1153" s="168"/>
      <c r="BO1153" s="62"/>
      <c r="BP1153" s="168"/>
      <c r="BQ1153" s="168"/>
      <c r="BR1153" s="168"/>
      <c r="BS1153" s="135"/>
      <c r="BT1153" s="176"/>
      <c r="BU1153" s="167"/>
      <c r="BV1153" s="168"/>
      <c r="BW1153" s="167"/>
      <c r="BX1153" s="168"/>
      <c r="BY1153" s="167"/>
      <c r="BZ1153" s="176"/>
      <c r="CA1153" s="167"/>
      <c r="CB1153" s="168"/>
      <c r="CC1153" s="167"/>
      <c r="CD1153" s="168"/>
      <c r="CE1153" s="62"/>
      <c r="CF1153" s="62"/>
      <c r="CG1153" s="9"/>
      <c r="CH1153" s="9"/>
      <c r="CI1153" s="9"/>
      <c r="CJ1153" s="9"/>
      <c r="CK1153" s="9"/>
      <c r="CL1153" s="9"/>
      <c r="CM1153" s="9"/>
      <c r="CN1153" s="9"/>
      <c r="CO1153" s="9"/>
      <c r="CP1153" s="9"/>
    </row>
    <row r="1154" spans="1:94" x14ac:dyDescent="0.25">
      <c r="A1154" s="127"/>
      <c r="B1154" s="51"/>
      <c r="C1154" s="62"/>
      <c r="D1154" s="84"/>
      <c r="E1154" s="62"/>
      <c r="F1154" s="62"/>
      <c r="G1154" s="62"/>
      <c r="H1154" s="50"/>
      <c r="I1154" s="50"/>
      <c r="J1154" s="50"/>
      <c r="K1154" s="50"/>
      <c r="L1154" s="50"/>
      <c r="M1154" s="50"/>
      <c r="N1154" s="50"/>
      <c r="O1154" s="50"/>
      <c r="P1154" s="50"/>
      <c r="Q1154" s="50"/>
      <c r="R1154" s="50"/>
      <c r="S1154" s="50"/>
      <c r="T1154" s="50"/>
      <c r="U1154" s="50"/>
      <c r="V1154" s="50"/>
      <c r="W1154" s="50"/>
      <c r="X1154" s="50"/>
      <c r="Y1154" s="62"/>
      <c r="Z1154" s="62"/>
      <c r="AA1154" s="62"/>
      <c r="AB1154" s="62"/>
      <c r="AC1154" s="62"/>
      <c r="AD1154" s="62"/>
      <c r="AE1154" s="62"/>
      <c r="AF1154" s="61"/>
      <c r="AG1154" s="53"/>
      <c r="AH1154" s="54"/>
      <c r="AI1154" s="54"/>
      <c r="AJ1154" s="62"/>
      <c r="AK1154" s="62"/>
      <c r="AL1154" s="9"/>
      <c r="AM1154" s="61"/>
      <c r="AN1154" s="62"/>
      <c r="AO1154" s="61"/>
      <c r="AP1154" s="59"/>
      <c r="AQ1154" s="59"/>
      <c r="AR1154" s="59"/>
      <c r="AS1154" s="59"/>
      <c r="AT1154" s="59"/>
      <c r="AU1154" s="59"/>
      <c r="AV1154" s="59"/>
      <c r="AW1154" s="59"/>
      <c r="AX1154" s="59"/>
      <c r="AY1154" s="59"/>
      <c r="AZ1154" s="59"/>
      <c r="BA1154" s="141"/>
      <c r="BB1154" s="61"/>
      <c r="BC1154" s="165"/>
      <c r="BD1154" s="166"/>
      <c r="BE1154" s="167"/>
      <c r="BF1154" s="168"/>
      <c r="BG1154" s="167"/>
      <c r="BH1154" s="168"/>
      <c r="BI1154" s="169"/>
      <c r="BJ1154" s="168"/>
      <c r="BK1154" s="134"/>
      <c r="BL1154" s="168"/>
      <c r="BM1154" s="167"/>
      <c r="BN1154" s="168"/>
      <c r="BO1154" s="62"/>
      <c r="BP1154" s="168"/>
      <c r="BQ1154" s="168"/>
      <c r="BR1154" s="168"/>
      <c r="BS1154" s="135"/>
      <c r="BT1154" s="176"/>
      <c r="BU1154" s="167"/>
      <c r="BV1154" s="168"/>
      <c r="BW1154" s="167"/>
      <c r="BX1154" s="168"/>
      <c r="BY1154" s="167"/>
      <c r="BZ1154" s="176"/>
      <c r="CA1154" s="167"/>
      <c r="CB1154" s="168"/>
      <c r="CC1154" s="167"/>
      <c r="CD1154" s="168"/>
      <c r="CE1154" s="62"/>
      <c r="CF1154" s="62"/>
      <c r="CG1154" s="9"/>
      <c r="CH1154" s="9"/>
      <c r="CI1154" s="9"/>
      <c r="CJ1154" s="9"/>
      <c r="CK1154" s="9"/>
      <c r="CL1154" s="9"/>
      <c r="CM1154" s="9"/>
      <c r="CN1154" s="9"/>
      <c r="CO1154" s="9"/>
      <c r="CP1154" s="9"/>
    </row>
    <row r="1155" spans="1:94" x14ac:dyDescent="0.25">
      <c r="A1155" s="127"/>
      <c r="B1155" s="51"/>
      <c r="C1155" s="62"/>
      <c r="D1155" s="84"/>
      <c r="E1155" s="62"/>
      <c r="F1155" s="62"/>
      <c r="G1155" s="62"/>
      <c r="H1155" s="50"/>
      <c r="I1155" s="50"/>
      <c r="J1155" s="50"/>
      <c r="K1155" s="50"/>
      <c r="L1155" s="50"/>
      <c r="M1155" s="50"/>
      <c r="N1155" s="50"/>
      <c r="O1155" s="50"/>
      <c r="P1155" s="50"/>
      <c r="Q1155" s="50"/>
      <c r="R1155" s="50"/>
      <c r="S1155" s="50"/>
      <c r="T1155" s="50"/>
      <c r="U1155" s="50"/>
      <c r="V1155" s="50"/>
      <c r="W1155" s="50"/>
      <c r="X1155" s="50"/>
      <c r="Y1155" s="62"/>
      <c r="Z1155" s="62"/>
      <c r="AA1155" s="62"/>
      <c r="AB1155" s="62"/>
      <c r="AC1155" s="62"/>
      <c r="AD1155" s="62"/>
      <c r="AE1155" s="62"/>
      <c r="AF1155" s="61"/>
      <c r="AG1155" s="53"/>
      <c r="AH1155" s="54"/>
      <c r="AI1155" s="54"/>
      <c r="AJ1155" s="62"/>
      <c r="AK1155" s="62"/>
      <c r="AL1155" s="9"/>
      <c r="AM1155" s="61"/>
      <c r="AN1155" s="62"/>
      <c r="AO1155" s="61"/>
      <c r="AP1155" s="59"/>
      <c r="AQ1155" s="59"/>
      <c r="AR1155" s="59"/>
      <c r="AS1155" s="59"/>
      <c r="AT1155" s="59"/>
      <c r="AU1155" s="59"/>
      <c r="AV1155" s="59"/>
      <c r="AW1155" s="59"/>
      <c r="AX1155" s="59"/>
      <c r="AY1155" s="59"/>
      <c r="AZ1155" s="59"/>
      <c r="BA1155" s="141"/>
      <c r="BB1155" s="61"/>
      <c r="BC1155" s="165"/>
      <c r="BD1155" s="166"/>
      <c r="BE1155" s="167"/>
      <c r="BF1155" s="168"/>
      <c r="BG1155" s="167"/>
      <c r="BH1155" s="168"/>
      <c r="BI1155" s="169"/>
      <c r="BJ1155" s="168"/>
      <c r="BK1155" s="134"/>
      <c r="BL1155" s="168"/>
      <c r="BM1155" s="167"/>
      <c r="BN1155" s="168"/>
      <c r="BO1155" s="62"/>
      <c r="BP1155" s="168"/>
      <c r="BQ1155" s="168"/>
      <c r="BR1155" s="168"/>
      <c r="BS1155" s="135"/>
      <c r="BT1155" s="176"/>
      <c r="BU1155" s="167"/>
      <c r="BV1155" s="168"/>
      <c r="BW1155" s="167"/>
      <c r="BX1155" s="168"/>
      <c r="BY1155" s="167"/>
      <c r="BZ1155" s="176"/>
      <c r="CA1155" s="167"/>
      <c r="CB1155" s="168"/>
      <c r="CC1155" s="167"/>
      <c r="CD1155" s="168"/>
      <c r="CE1155" s="62"/>
      <c r="CF1155" s="62"/>
      <c r="CG1155" s="9"/>
      <c r="CH1155" s="9"/>
      <c r="CI1155" s="9"/>
      <c r="CJ1155" s="9"/>
      <c r="CK1155" s="9"/>
      <c r="CL1155" s="9"/>
      <c r="CM1155" s="9"/>
      <c r="CN1155" s="9"/>
      <c r="CO1155" s="9"/>
      <c r="CP1155" s="9"/>
    </row>
    <row r="1156" spans="1:94" x14ac:dyDescent="0.25">
      <c r="A1156" s="127"/>
      <c r="B1156" s="51"/>
      <c r="C1156" s="62"/>
      <c r="D1156" s="84"/>
      <c r="E1156" s="62"/>
      <c r="F1156" s="62"/>
      <c r="G1156" s="62"/>
      <c r="H1156" s="50"/>
      <c r="I1156" s="50"/>
      <c r="J1156" s="50"/>
      <c r="K1156" s="50"/>
      <c r="L1156" s="50"/>
      <c r="M1156" s="50"/>
      <c r="N1156" s="50"/>
      <c r="O1156" s="50"/>
      <c r="P1156" s="50"/>
      <c r="Q1156" s="50"/>
      <c r="R1156" s="50"/>
      <c r="S1156" s="50"/>
      <c r="T1156" s="50"/>
      <c r="U1156" s="50"/>
      <c r="V1156" s="50"/>
      <c r="W1156" s="50"/>
      <c r="X1156" s="50"/>
      <c r="Y1156" s="62"/>
      <c r="Z1156" s="62"/>
      <c r="AA1156" s="62"/>
      <c r="AB1156" s="62"/>
      <c r="AC1156" s="62"/>
      <c r="AD1156" s="62"/>
      <c r="AE1156" s="62"/>
      <c r="AF1156" s="61"/>
      <c r="AG1156" s="53"/>
      <c r="AH1156" s="54"/>
      <c r="AI1156" s="54"/>
      <c r="AJ1156" s="62"/>
      <c r="AK1156" s="62"/>
      <c r="AL1156" s="9"/>
      <c r="AM1156" s="61"/>
      <c r="AN1156" s="62"/>
      <c r="AO1156" s="61"/>
      <c r="AP1156" s="59"/>
      <c r="AQ1156" s="59"/>
      <c r="AR1156" s="59"/>
      <c r="AS1156" s="59"/>
      <c r="AT1156" s="59"/>
      <c r="AU1156" s="59"/>
      <c r="AV1156" s="59"/>
      <c r="AW1156" s="59"/>
      <c r="AX1156" s="59"/>
      <c r="AY1156" s="59"/>
      <c r="AZ1156" s="59"/>
      <c r="BA1156" s="141"/>
      <c r="BB1156" s="61"/>
      <c r="BC1156" s="165"/>
      <c r="BD1156" s="166"/>
      <c r="BE1156" s="167"/>
      <c r="BF1156" s="168"/>
      <c r="BG1156" s="167"/>
      <c r="BH1156" s="168"/>
      <c r="BI1156" s="169"/>
      <c r="BJ1156" s="168"/>
      <c r="BK1156" s="134"/>
      <c r="BL1156" s="168"/>
      <c r="BM1156" s="167"/>
      <c r="BN1156" s="168"/>
      <c r="BO1156" s="62"/>
      <c r="BP1156" s="168"/>
      <c r="BQ1156" s="168"/>
      <c r="BR1156" s="168"/>
      <c r="BS1156" s="135"/>
      <c r="BT1156" s="176"/>
      <c r="BU1156" s="167"/>
      <c r="BV1156" s="168"/>
      <c r="BW1156" s="167"/>
      <c r="BX1156" s="168"/>
      <c r="BY1156" s="167"/>
      <c r="BZ1156" s="176"/>
      <c r="CA1156" s="167"/>
      <c r="CB1156" s="168"/>
      <c r="CC1156" s="167"/>
      <c r="CD1156" s="168"/>
      <c r="CE1156" s="62"/>
      <c r="CF1156" s="62"/>
      <c r="CG1156" s="9"/>
      <c r="CH1156" s="9"/>
      <c r="CI1156" s="9"/>
      <c r="CJ1156" s="9"/>
      <c r="CK1156" s="9"/>
      <c r="CL1156" s="9"/>
      <c r="CM1156" s="9"/>
      <c r="CN1156" s="9"/>
      <c r="CO1156" s="9"/>
      <c r="CP1156" s="9"/>
    </row>
    <row r="1157" spans="1:94" x14ac:dyDescent="0.25">
      <c r="A1157" s="127"/>
      <c r="B1157" s="51"/>
      <c r="C1157" s="62"/>
      <c r="D1157" s="84"/>
      <c r="E1157" s="62"/>
      <c r="F1157" s="62"/>
      <c r="G1157" s="62"/>
      <c r="H1157" s="50"/>
      <c r="I1157" s="50"/>
      <c r="J1157" s="50"/>
      <c r="K1157" s="50"/>
      <c r="L1157" s="50"/>
      <c r="M1157" s="50"/>
      <c r="N1157" s="50"/>
      <c r="O1157" s="50"/>
      <c r="P1157" s="50"/>
      <c r="Q1157" s="50"/>
      <c r="R1157" s="50"/>
      <c r="S1157" s="50"/>
      <c r="T1157" s="50"/>
      <c r="U1157" s="50"/>
      <c r="V1157" s="50"/>
      <c r="W1157" s="50"/>
      <c r="X1157" s="50"/>
      <c r="Y1157" s="62"/>
      <c r="Z1157" s="62"/>
      <c r="AA1157" s="62"/>
      <c r="AB1157" s="62"/>
      <c r="AC1157" s="62"/>
      <c r="AD1157" s="62"/>
      <c r="AE1157" s="62"/>
      <c r="AF1157" s="61"/>
      <c r="AG1157" s="53"/>
      <c r="AH1157" s="54"/>
      <c r="AI1157" s="54"/>
      <c r="AJ1157" s="62"/>
      <c r="AK1157" s="62"/>
      <c r="AL1157" s="9"/>
      <c r="AM1157" s="61"/>
      <c r="AN1157" s="62"/>
      <c r="AO1157" s="61"/>
      <c r="AP1157" s="59"/>
      <c r="AQ1157" s="59"/>
      <c r="AR1157" s="59"/>
      <c r="AS1157" s="59"/>
      <c r="AT1157" s="59"/>
      <c r="AU1157" s="59"/>
      <c r="AV1157" s="59"/>
      <c r="AW1157" s="59"/>
      <c r="AX1157" s="59"/>
      <c r="AY1157" s="59"/>
      <c r="AZ1157" s="59"/>
      <c r="BA1157" s="141"/>
      <c r="BB1157" s="61"/>
      <c r="BC1157" s="165"/>
      <c r="BD1157" s="166"/>
      <c r="BE1157" s="167"/>
      <c r="BF1157" s="168"/>
      <c r="BG1157" s="167"/>
      <c r="BH1157" s="168"/>
      <c r="BI1157" s="169"/>
      <c r="BJ1157" s="168"/>
      <c r="BK1157" s="134"/>
      <c r="BL1157" s="168"/>
      <c r="BM1157" s="167"/>
      <c r="BN1157" s="168"/>
      <c r="BO1157" s="62"/>
      <c r="BP1157" s="168"/>
      <c r="BQ1157" s="168"/>
      <c r="BR1157" s="168"/>
      <c r="BS1157" s="135"/>
      <c r="BT1157" s="176"/>
      <c r="BU1157" s="167"/>
      <c r="BV1157" s="168"/>
      <c r="BW1157" s="167"/>
      <c r="BX1157" s="168"/>
      <c r="BY1157" s="167"/>
      <c r="BZ1157" s="176"/>
      <c r="CA1157" s="167"/>
      <c r="CB1157" s="168"/>
      <c r="CC1157" s="167"/>
      <c r="CD1157" s="168"/>
      <c r="CE1157" s="62"/>
      <c r="CF1157" s="62"/>
      <c r="CG1157" s="9"/>
      <c r="CH1157" s="9"/>
      <c r="CI1157" s="9"/>
      <c r="CJ1157" s="9"/>
      <c r="CK1157" s="9"/>
      <c r="CL1157" s="9"/>
      <c r="CM1157" s="9"/>
      <c r="CN1157" s="9"/>
      <c r="CO1157" s="9"/>
      <c r="CP1157" s="9"/>
    </row>
    <row r="1158" spans="1:94" x14ac:dyDescent="0.25">
      <c r="A1158" s="127"/>
      <c r="B1158" s="51"/>
      <c r="C1158" s="62"/>
      <c r="D1158" s="84"/>
      <c r="E1158" s="62"/>
      <c r="F1158" s="62"/>
      <c r="G1158" s="62"/>
      <c r="H1158" s="50"/>
      <c r="I1158" s="50"/>
      <c r="J1158" s="50"/>
      <c r="K1158" s="50"/>
      <c r="L1158" s="50"/>
      <c r="M1158" s="50"/>
      <c r="N1158" s="50"/>
      <c r="O1158" s="50"/>
      <c r="P1158" s="50"/>
      <c r="Q1158" s="50"/>
      <c r="R1158" s="50"/>
      <c r="S1158" s="50"/>
      <c r="T1158" s="50"/>
      <c r="U1158" s="50"/>
      <c r="V1158" s="50"/>
      <c r="W1158" s="50"/>
      <c r="X1158" s="50"/>
      <c r="Y1158" s="62"/>
      <c r="Z1158" s="62"/>
      <c r="AA1158" s="62"/>
      <c r="AB1158" s="62"/>
      <c r="AC1158" s="62"/>
      <c r="AD1158" s="62"/>
      <c r="AE1158" s="62"/>
      <c r="AF1158" s="61"/>
      <c r="AG1158" s="53"/>
      <c r="AH1158" s="54"/>
      <c r="AI1158" s="54"/>
      <c r="AJ1158" s="62"/>
      <c r="AK1158" s="62"/>
      <c r="AL1158" s="9"/>
      <c r="AM1158" s="61"/>
      <c r="AN1158" s="62"/>
      <c r="AO1158" s="61"/>
      <c r="AP1158" s="59"/>
      <c r="AQ1158" s="59"/>
      <c r="AR1158" s="59"/>
      <c r="AS1158" s="59"/>
      <c r="AT1158" s="59"/>
      <c r="AU1158" s="59"/>
      <c r="AV1158" s="59"/>
      <c r="AW1158" s="59"/>
      <c r="AX1158" s="59"/>
      <c r="AY1158" s="59"/>
      <c r="AZ1158" s="59"/>
      <c r="BA1158" s="141"/>
      <c r="BB1158" s="61"/>
      <c r="BC1158" s="165"/>
      <c r="BD1158" s="166"/>
      <c r="BE1158" s="167"/>
      <c r="BF1158" s="168"/>
      <c r="BG1158" s="167"/>
      <c r="BH1158" s="168"/>
      <c r="BI1158" s="169"/>
      <c r="BJ1158" s="168"/>
      <c r="BK1158" s="134"/>
      <c r="BL1158" s="168"/>
      <c r="BM1158" s="167"/>
      <c r="BN1158" s="168"/>
      <c r="BO1158" s="62"/>
      <c r="BP1158" s="168"/>
      <c r="BQ1158" s="168"/>
      <c r="BR1158" s="168"/>
      <c r="BS1158" s="135"/>
      <c r="BT1158" s="176"/>
      <c r="BU1158" s="167"/>
      <c r="BV1158" s="168"/>
      <c r="BW1158" s="167"/>
      <c r="BX1158" s="168"/>
      <c r="BY1158" s="167"/>
      <c r="BZ1158" s="176"/>
      <c r="CA1158" s="167"/>
      <c r="CB1158" s="168"/>
      <c r="CC1158" s="167"/>
      <c r="CD1158" s="168"/>
      <c r="CE1158" s="62"/>
      <c r="CF1158" s="62"/>
      <c r="CG1158" s="9"/>
      <c r="CH1158" s="9"/>
      <c r="CI1158" s="9"/>
      <c r="CJ1158" s="9"/>
      <c r="CK1158" s="9"/>
      <c r="CL1158" s="9"/>
      <c r="CM1158" s="9"/>
      <c r="CN1158" s="9"/>
      <c r="CO1158" s="9"/>
      <c r="CP1158" s="9"/>
    </row>
    <row r="1159" spans="1:94" ht="30" x14ac:dyDescent="0.25">
      <c r="A1159" s="127" t="s">
        <v>2855</v>
      </c>
      <c r="B1159" s="51" t="s">
        <v>3557</v>
      </c>
      <c r="C1159" s="62"/>
      <c r="D1159" s="84">
        <v>6</v>
      </c>
      <c r="E1159" s="62" t="s">
        <v>2777</v>
      </c>
      <c r="F1159" s="62">
        <v>7</v>
      </c>
      <c r="G1159" s="62"/>
      <c r="H1159" s="50">
        <f>VLOOKUP($A1159,'[1]ma sp 02'!$A$5:$BD$1101,H$1,0)</f>
        <v>0.128</v>
      </c>
      <c r="I1159" s="50">
        <f>VLOOKUP($A1159,'[1]ma sp 02'!$A$5:$BD$1101,I$1,0)</f>
        <v>4.9249999999999998</v>
      </c>
      <c r="J1159" s="50">
        <f>VLOOKUP($A1159,'[1]ma sp 02'!$A$5:$BD$1101,J$1,0)</f>
        <v>0.23499999999999999</v>
      </c>
      <c r="K1159" s="50">
        <f>VLOOKUP($A1159,'[1]ma sp 02'!$A$5:$BD$1101,K$1,0)</f>
        <v>0.01</v>
      </c>
      <c r="L1159" s="50">
        <f>VLOOKUP($A1159,'[1]ma sp 02'!$A$5:$BD$1101,L$1,0)</f>
        <v>0.23499999999999999</v>
      </c>
      <c r="M1159" s="50">
        <f>VLOOKUP($A1159,'[1]ma sp 02'!$A$5:$BD$1101,M$1,0)</f>
        <v>0.59699999999999998</v>
      </c>
      <c r="N1159" s="50">
        <f>VLOOKUP($A1159,'[1]ma sp 02'!$A$5:$BD$1101,N$1,0)</f>
        <v>0</v>
      </c>
      <c r="O1159" s="50">
        <f>VLOOKUP($A1159,'[1]ma sp 02'!$A$5:$BD$1101,O$1,0)</f>
        <v>0</v>
      </c>
      <c r="P1159" s="50">
        <f>VLOOKUP($A1159,'[1]ma sp 02'!$A$5:$BD$1101,P$1,0)</f>
        <v>0.32</v>
      </c>
      <c r="Q1159" s="50">
        <f>VLOOKUP($A1159,'[1]ma sp 02'!$A$5:$BD$1101,Q$1,0)</f>
        <v>0</v>
      </c>
      <c r="R1159" s="50">
        <f>VLOOKUP($A1159,'[1]ma sp 02'!$A$5:$BD$1101,R$1,0)</f>
        <v>0</v>
      </c>
      <c r="S1159" s="50">
        <f>VLOOKUP($A1159,'[1]ma sp 02'!$A$5:$BD$1101,S$1,0)</f>
        <v>0</v>
      </c>
      <c r="T1159" s="50">
        <f>VLOOKUP($A1159,'[1]ma sp 02'!$A$5:$BD$1101,T$1,0)</f>
        <v>0.01</v>
      </c>
      <c r="U1159" s="50">
        <f>VLOOKUP($A1159,'[1]ma sp 02'!$A$5:$BD$1101,U$1,0)</f>
        <v>0</v>
      </c>
      <c r="V1159" s="50">
        <f>VLOOKUP($A1159,'[1]ma sp 02'!$A$5:$BD$1101,V$1,0)</f>
        <v>0</v>
      </c>
      <c r="W1159" s="50">
        <f>VLOOKUP($A1159,'[1]ma sp 02'!$A$5:$BD$1101,W$1,0)</f>
        <v>0</v>
      </c>
      <c r="X1159" s="50"/>
      <c r="Y1159" s="62"/>
      <c r="Z1159" s="62"/>
      <c r="AA1159" s="62"/>
      <c r="AB1159" s="62"/>
      <c r="AC1159" s="62"/>
      <c r="AD1159" s="62"/>
      <c r="AE1159" s="62" t="s">
        <v>2857</v>
      </c>
      <c r="AF1159" s="62"/>
      <c r="AG1159" s="53">
        <f>(0.015*1.15+0.045*0.925)*0.79</f>
        <v>4.6511249999999997E-2</v>
      </c>
      <c r="AH1159" s="54">
        <f>(2/0.75/2)*0.78</f>
        <v>1.04</v>
      </c>
      <c r="AI1159" s="54"/>
      <c r="AJ1159" s="192">
        <v>9530</v>
      </c>
      <c r="AK1159" s="62"/>
      <c r="AL1159" s="62">
        <v>2E-3</v>
      </c>
      <c r="AM1159" s="61" t="s">
        <v>1489</v>
      </c>
      <c r="AN1159" s="62">
        <v>98</v>
      </c>
      <c r="AO1159" s="61" t="s">
        <v>2684</v>
      </c>
      <c r="AP1159" s="59"/>
      <c r="AQ1159" s="59"/>
      <c r="AR1159" s="59"/>
      <c r="AS1159" s="59"/>
      <c r="AT1159" s="59"/>
      <c r="AU1159" s="59"/>
      <c r="AV1159" s="59"/>
      <c r="AW1159" s="59"/>
      <c r="AX1159" s="59"/>
      <c r="AY1159" s="59"/>
      <c r="AZ1159" s="59"/>
      <c r="BA1159" s="141"/>
      <c r="BB1159" s="61" t="s">
        <v>952</v>
      </c>
      <c r="BC1159" s="165"/>
      <c r="BD1159" s="166"/>
      <c r="BE1159" s="167"/>
      <c r="BF1159" s="168"/>
      <c r="BG1159" s="167"/>
      <c r="BH1159" s="168"/>
      <c r="BI1159" s="169"/>
      <c r="BJ1159" s="168"/>
      <c r="BK1159" s="134"/>
      <c r="BL1159" s="168"/>
      <c r="BM1159" s="167"/>
      <c r="BN1159" s="168"/>
      <c r="BO1159" s="62"/>
      <c r="BP1159" s="168"/>
      <c r="BQ1159" s="168"/>
      <c r="BR1159" s="168"/>
      <c r="BS1159" s="135"/>
      <c r="BT1159" s="176"/>
      <c r="BU1159" s="167"/>
      <c r="BV1159" s="168"/>
      <c r="BW1159" s="167"/>
      <c r="BX1159" s="168"/>
      <c r="BY1159" s="167"/>
      <c r="BZ1159" s="176"/>
      <c r="CA1159" s="167"/>
      <c r="CB1159" s="168"/>
      <c r="CC1159" s="167"/>
      <c r="CD1159" s="168"/>
      <c r="CE1159" s="62"/>
      <c r="CF1159" s="62"/>
      <c r="CG1159" s="9"/>
      <c r="CH1159" s="9"/>
      <c r="CI1159" s="9"/>
      <c r="CJ1159" s="9"/>
      <c r="CK1159" s="9"/>
      <c r="CL1159" s="9"/>
      <c r="CM1159" s="9"/>
      <c r="CN1159" s="9"/>
      <c r="CO1159" s="9"/>
      <c r="CP1159" s="9"/>
    </row>
    <row r="1160" spans="1:94" ht="30" x14ac:dyDescent="0.25">
      <c r="A1160" s="127" t="s">
        <v>2858</v>
      </c>
      <c r="B1160" s="51" t="s">
        <v>3558</v>
      </c>
      <c r="C1160" s="62"/>
      <c r="D1160" s="84">
        <v>6</v>
      </c>
      <c r="E1160" s="62" t="s">
        <v>819</v>
      </c>
      <c r="F1160" s="62">
        <v>6</v>
      </c>
      <c r="G1160" s="62"/>
      <c r="H1160" s="50">
        <f>VLOOKUP($A1160,'[1]ma sp 02'!$A$5:$BD$1101,H$1,0)</f>
        <v>0.26900000000000002</v>
      </c>
      <c r="I1160" s="50">
        <f>VLOOKUP($A1160,'[1]ma sp 02'!$A$5:$BD$1101,I$1,0)</f>
        <v>4.181</v>
      </c>
      <c r="J1160" s="50">
        <f>VLOOKUP($A1160,'[1]ma sp 02'!$A$5:$BD$1101,J$1,0)</f>
        <v>0.84399999999999997</v>
      </c>
      <c r="K1160" s="50">
        <f>VLOOKUP($A1160,'[1]ma sp 02'!$A$5:$BD$1101,K$1,0)</f>
        <v>0.88200000000000001</v>
      </c>
      <c r="L1160" s="50">
        <f>VLOOKUP($A1160,'[1]ma sp 02'!$A$5:$BD$1101,L$1,0)</f>
        <v>0.92100000000000004</v>
      </c>
      <c r="M1160" s="50">
        <f>VLOOKUP($A1160,'[1]ma sp 02'!$A$5:$BD$1101,M$1,0)</f>
        <v>0.53700000000000003</v>
      </c>
      <c r="N1160" s="50">
        <f>VLOOKUP($A1160,'[1]ma sp 02'!$A$5:$BD$1101,N$1,0)</f>
        <v>0</v>
      </c>
      <c r="O1160" s="50">
        <f>VLOOKUP($A1160,'[1]ma sp 02'!$A$5:$BD$1101,O$1,0)</f>
        <v>0</v>
      </c>
      <c r="P1160" s="50">
        <f>VLOOKUP($A1160,'[1]ma sp 02'!$A$5:$BD$1101,P$1,0)</f>
        <v>0</v>
      </c>
      <c r="Q1160" s="50">
        <f>VLOOKUP($A1160,'[1]ma sp 02'!$A$5:$BD$1101,Q$1,0)</f>
        <v>0</v>
      </c>
      <c r="R1160" s="50">
        <f>VLOOKUP($A1160,'[1]ma sp 02'!$A$5:$BD$1101,R$1,0)</f>
        <v>0</v>
      </c>
      <c r="S1160" s="50">
        <f>VLOOKUP($A1160,'[1]ma sp 02'!$A$5:$BD$1101,S$1,0)</f>
        <v>0</v>
      </c>
      <c r="T1160" s="50">
        <f>VLOOKUP($A1160,'[1]ma sp 02'!$A$5:$BD$1101,T$1,0)</f>
        <v>0.01</v>
      </c>
      <c r="U1160" s="50">
        <f>VLOOKUP($A1160,'[1]ma sp 02'!$A$5:$BD$1101,U$1,0)</f>
        <v>0</v>
      </c>
      <c r="V1160" s="50">
        <f>VLOOKUP($A1160,'[1]ma sp 02'!$A$5:$BD$1101,V$1,0)</f>
        <v>0</v>
      </c>
      <c r="W1160" s="50">
        <f>VLOOKUP($A1160,'[1]ma sp 02'!$A$5:$BD$1101,W$1,0)</f>
        <v>0</v>
      </c>
      <c r="X1160" s="50"/>
      <c r="Y1160" s="62"/>
      <c r="Z1160" s="62"/>
      <c r="AA1160" s="62"/>
      <c r="AB1160" s="62"/>
      <c r="AC1160" s="62"/>
      <c r="AD1160" s="62"/>
      <c r="AE1160" s="62" t="s">
        <v>2860</v>
      </c>
      <c r="AF1160" s="62"/>
      <c r="AG1160" s="53">
        <f>(0.015*1.15+0.045*0.925)*0.79</f>
        <v>4.6511249999999997E-2</v>
      </c>
      <c r="AH1160" s="54">
        <f>(2/0.75/2)*0.78</f>
        <v>1.04</v>
      </c>
      <c r="AI1160" s="54"/>
      <c r="AJ1160" s="192">
        <v>9530</v>
      </c>
      <c r="AK1160" s="62"/>
      <c r="AL1160" s="62">
        <v>2.3E-3</v>
      </c>
      <c r="AM1160" s="61" t="s">
        <v>74</v>
      </c>
      <c r="AN1160" s="62">
        <v>250</v>
      </c>
      <c r="AO1160" s="61" t="s">
        <v>2684</v>
      </c>
      <c r="AP1160" s="59"/>
      <c r="AQ1160" s="59"/>
      <c r="AR1160" s="59"/>
      <c r="AS1160" s="59"/>
      <c r="AT1160" s="59"/>
      <c r="AU1160" s="59"/>
      <c r="AV1160" s="59"/>
      <c r="AW1160" s="59"/>
      <c r="AX1160" s="59"/>
      <c r="AY1160" s="59"/>
      <c r="AZ1160" s="59"/>
      <c r="BA1160" s="141"/>
      <c r="BB1160" s="61" t="s">
        <v>1894</v>
      </c>
      <c r="BC1160" s="165"/>
      <c r="BD1160" s="166"/>
      <c r="BE1160" s="167"/>
      <c r="BF1160" s="168"/>
      <c r="BG1160" s="167"/>
      <c r="BH1160" s="168"/>
      <c r="BI1160" s="169"/>
      <c r="BJ1160" s="168"/>
      <c r="BK1160" s="134"/>
      <c r="BL1160" s="168"/>
      <c r="BM1160" s="167"/>
      <c r="BN1160" s="168"/>
      <c r="BO1160" s="62"/>
      <c r="BP1160" s="168"/>
      <c r="BQ1160" s="168"/>
      <c r="BR1160" s="168"/>
      <c r="BS1160" s="135"/>
      <c r="BT1160" s="176"/>
      <c r="BU1160" s="167"/>
      <c r="BV1160" s="168"/>
      <c r="BW1160" s="167"/>
      <c r="BX1160" s="168"/>
      <c r="BY1160" s="167"/>
      <c r="BZ1160" s="176"/>
      <c r="CA1160" s="167"/>
      <c r="CB1160" s="168"/>
      <c r="CC1160" s="167"/>
      <c r="CD1160" s="168"/>
      <c r="CE1160" s="62"/>
      <c r="CF1160" s="62"/>
      <c r="CG1160" s="9"/>
      <c r="CH1160" s="9"/>
      <c r="CI1160" s="9"/>
      <c r="CJ1160" s="9"/>
      <c r="CK1160" s="9"/>
      <c r="CL1160" s="9"/>
      <c r="CM1160" s="9"/>
      <c r="CN1160" s="9"/>
      <c r="CO1160" s="9"/>
      <c r="CP1160" s="9"/>
    </row>
    <row r="1161" spans="1:94" ht="45" x14ac:dyDescent="0.25">
      <c r="A1161" s="127" t="s">
        <v>2020</v>
      </c>
      <c r="B1161" s="51" t="s">
        <v>2021</v>
      </c>
      <c r="C1161" s="62"/>
      <c r="D1161" s="84">
        <v>1</v>
      </c>
      <c r="E1161" s="62" t="s">
        <v>1023</v>
      </c>
      <c r="F1161" s="62">
        <v>2</v>
      </c>
      <c r="G1161" s="62" t="s">
        <v>184</v>
      </c>
      <c r="H1161" s="50">
        <f>VLOOKUP($A1161,'[1]ma sp 02'!$A$5:$BD$1101,H$1,0)</f>
        <v>0</v>
      </c>
      <c r="I1161" s="50">
        <f>VLOOKUP($A1161,'[1]ma sp 02'!$A$5:$BD$1101,I$1,0)</f>
        <v>1.65</v>
      </c>
      <c r="J1161" s="50">
        <f>VLOOKUP($A1161,'[1]ma sp 02'!$A$5:$BD$1101,J$1,0)</f>
        <v>0</v>
      </c>
      <c r="K1161" s="50">
        <f>VLOOKUP($A1161,'[1]ma sp 02'!$A$5:$BD$1101,K$1,0)</f>
        <v>0</v>
      </c>
      <c r="L1161" s="50">
        <f>VLOOKUP($A1161,'[1]ma sp 02'!$A$5:$BD$1101,L$1,0)</f>
        <v>0.51</v>
      </c>
      <c r="M1161" s="50">
        <f>VLOOKUP($A1161,'[1]ma sp 02'!$A$5:$BD$1101,M$1,0)</f>
        <v>0</v>
      </c>
      <c r="N1161" s="50">
        <f>VLOOKUP($A1161,'[1]ma sp 02'!$A$5:$BD$1101,N$1,0)</f>
        <v>0</v>
      </c>
      <c r="O1161" s="50">
        <f>VLOOKUP($A1161,'[1]ma sp 02'!$A$5:$BD$1101,O$1,0)</f>
        <v>0.01</v>
      </c>
      <c r="P1161" s="50">
        <f>VLOOKUP($A1161,'[1]ma sp 02'!$A$5:$BD$1101,P$1,0)</f>
        <v>0</v>
      </c>
      <c r="Q1161" s="50">
        <f>VLOOKUP($A1161,'[1]ma sp 02'!$A$5:$BD$1101,Q$1,0)</f>
        <v>0</v>
      </c>
      <c r="R1161" s="50">
        <f>VLOOKUP($A1161,'[1]ma sp 02'!$A$5:$BD$1101,R$1,0)</f>
        <v>0</v>
      </c>
      <c r="S1161" s="50">
        <f>VLOOKUP($A1161,'[1]ma sp 02'!$A$5:$BD$1101,S$1,0)</f>
        <v>0</v>
      </c>
      <c r="T1161" s="50">
        <f>VLOOKUP($A1161,'[1]ma sp 02'!$A$5:$BD$1101,T$1,0)</f>
        <v>0</v>
      </c>
      <c r="U1161" s="50">
        <f>VLOOKUP($A1161,'[1]ma sp 02'!$A$5:$BD$1101,U$1,0)</f>
        <v>0</v>
      </c>
      <c r="V1161" s="50">
        <f>VLOOKUP($A1161,'[1]ma sp 02'!$A$5:$BD$1101,V$1,0)</f>
        <v>0</v>
      </c>
      <c r="W1161" s="50">
        <f>VLOOKUP($A1161,'[1]ma sp 02'!$A$5:$BD$1101,W$1,0)</f>
        <v>0</v>
      </c>
      <c r="X1161" s="50"/>
      <c r="Y1161" s="62"/>
      <c r="Z1161" s="62"/>
      <c r="AA1161" s="62"/>
      <c r="AB1161" s="62"/>
      <c r="AC1161" s="62"/>
      <c r="AD1161" s="62"/>
      <c r="AE1161" s="62" t="s">
        <v>1797</v>
      </c>
      <c r="AF1161" s="62" t="s">
        <v>2022</v>
      </c>
      <c r="AG1161" s="53">
        <f>(0.03*0.91+0.006*2.71+0.12*0.925)*0.8</f>
        <v>0.12364800000000001</v>
      </c>
      <c r="AH1161" s="54">
        <f>(3/0.75/2)*0.79</f>
        <v>1.58</v>
      </c>
      <c r="AI1161" s="54">
        <f>(3/0.75/2)*0.79</f>
        <v>1.58</v>
      </c>
      <c r="AJ1161" s="62">
        <v>9530</v>
      </c>
      <c r="AK1161" s="62">
        <v>9530</v>
      </c>
      <c r="AL1161" s="62" t="s">
        <v>1739</v>
      </c>
      <c r="AM1161" s="61" t="s">
        <v>1033</v>
      </c>
      <c r="AN1161" s="62">
        <v>240</v>
      </c>
      <c r="AO1161" s="61" t="s">
        <v>1902</v>
      </c>
      <c r="AP1161" s="59" t="str">
        <f>VLOOKUP($A1161,[4]Mssp!$A$1:$BC$65536,AP$1+1,0)</f>
        <v>F125351-1</v>
      </c>
      <c r="AQ1161" s="59" t="str">
        <f>VLOOKUP($A1161,[4]Mssp!$A$1:$BC$65536,AQ$1+1,0)</f>
        <v>F125351-2</v>
      </c>
      <c r="AR1161" s="59" t="e">
        <f>VLOOKUP($A1161,[4]Mssp!$A$1:$BC$65536,AR$1+1,0)</f>
        <v>#REF!</v>
      </c>
      <c r="AS1161" s="59" t="e">
        <f>VLOOKUP($A1161,[4]Mssp!$A$1:$BC$65536,AS$1+1,0)</f>
        <v>#REF!</v>
      </c>
      <c r="AT1161" s="59" t="e">
        <f>VLOOKUP($A1161,[4]Mssp!$A$1:$BC$65536,AT$1+1,0)</f>
        <v>#REF!</v>
      </c>
      <c r="AU1161" s="59" t="e">
        <f>VLOOKUP($A1161,[4]Mssp!$A$1:$BC$65536,AU$1+1,0)</f>
        <v>#REF!</v>
      </c>
      <c r="AV1161" s="59" t="e">
        <f>VLOOKUP($A1161,[4]Mssp!$A$1:$BC$65536,AV$1+1,0)</f>
        <v>#REF!</v>
      </c>
      <c r="AW1161" s="59" t="e">
        <f>VLOOKUP($A1161,[4]Mssp!$A$1:$BC$65536,AW$1+1,0)</f>
        <v>#REF!</v>
      </c>
      <c r="AX1161" s="59" t="e">
        <f>VLOOKUP($A1161,[4]Mssp!$A$1:$BC$65536,AX$1+1,0)</f>
        <v>#REF!</v>
      </c>
      <c r="AY1161" s="59" t="str">
        <f>VLOOKUP($A1161,[4]Mssp!$A$1:$BC$65536,AY$1+2,0)</f>
        <v>870x480</v>
      </c>
      <c r="AZ1161" s="59" t="str">
        <f>VLOOKUP($A1161,[4]Mssp!$A$5:$BB$800,54,0)</f>
        <v>R2</v>
      </c>
      <c r="BA1161" s="141"/>
      <c r="BB1161" s="61" t="s">
        <v>1894</v>
      </c>
      <c r="BC1161" s="165"/>
      <c r="BD1161" s="166"/>
      <c r="BE1161" s="167"/>
      <c r="BF1161" s="168"/>
      <c r="BG1161" s="167"/>
      <c r="BH1161" s="168"/>
      <c r="BI1161" s="169"/>
      <c r="BJ1161" s="168"/>
      <c r="BK1161" s="134"/>
      <c r="BL1161" s="168"/>
      <c r="BM1161" s="167"/>
      <c r="BN1161" s="168"/>
      <c r="BO1161" s="62"/>
      <c r="BP1161" s="168"/>
      <c r="BQ1161" s="168"/>
      <c r="BR1161" s="168"/>
      <c r="BS1161" s="135"/>
      <c r="BT1161" s="168"/>
      <c r="BU1161" s="167"/>
      <c r="BV1161" s="168"/>
      <c r="BW1161" s="167"/>
      <c r="BX1161" s="168"/>
      <c r="BY1161" s="167"/>
      <c r="BZ1161" s="168"/>
      <c r="CA1161" s="167"/>
      <c r="CB1161" s="168"/>
      <c r="CC1161" s="167"/>
      <c r="CD1161" s="168"/>
      <c r="CE1161" s="62"/>
      <c r="CF1161" s="62"/>
      <c r="CG1161" s="9"/>
      <c r="CH1161" s="9"/>
      <c r="CI1161" s="9"/>
      <c r="CJ1161" s="9"/>
      <c r="CK1161" s="9"/>
      <c r="CL1161" s="9"/>
      <c r="CM1161" s="9"/>
      <c r="CN1161" s="9"/>
      <c r="CO1161" s="9"/>
      <c r="CP1161" s="9"/>
    </row>
    <row r="1162" spans="1:94" ht="30" x14ac:dyDescent="0.25">
      <c r="A1162" s="198" t="s">
        <v>3559</v>
      </c>
      <c r="B1162" s="199" t="s">
        <v>3560</v>
      </c>
      <c r="C1162" s="9"/>
      <c r="D1162" s="9"/>
      <c r="E1162" s="9"/>
      <c r="F1162" s="9"/>
      <c r="G1162" s="9"/>
      <c r="H1162" s="200"/>
      <c r="I1162" s="200"/>
      <c r="J1162" s="200"/>
      <c r="K1162" s="200"/>
      <c r="L1162" s="200"/>
      <c r="M1162" s="200"/>
      <c r="N1162" s="200"/>
      <c r="O1162" s="200"/>
      <c r="P1162" s="200"/>
      <c r="Q1162" s="200"/>
      <c r="R1162" s="200"/>
      <c r="S1162" s="200"/>
      <c r="T1162" s="200"/>
      <c r="U1162" s="200"/>
      <c r="V1162" s="200"/>
      <c r="W1162" s="200"/>
      <c r="X1162" s="200"/>
      <c r="Y1162" s="9"/>
      <c r="Z1162" s="9"/>
      <c r="AA1162" s="9"/>
      <c r="AB1162" s="9"/>
      <c r="AC1162" s="9"/>
      <c r="AD1162" s="9"/>
      <c r="AE1162" s="9" t="s">
        <v>3561</v>
      </c>
      <c r="AF1162" s="9" t="s">
        <v>3562</v>
      </c>
      <c r="AG1162" s="201"/>
      <c r="AH1162" s="54">
        <f>(3/0.75/2)*0.76</f>
        <v>1.52</v>
      </c>
      <c r="AI1162" s="150"/>
      <c r="AJ1162" s="9"/>
      <c r="AK1162" s="9">
        <v>6260</v>
      </c>
      <c r="AL1162" s="9">
        <v>3.0000000000000001E-3</v>
      </c>
      <c r="AM1162" s="69" t="s">
        <v>1489</v>
      </c>
      <c r="AN1162" s="9"/>
      <c r="AO1162" s="69" t="s">
        <v>3563</v>
      </c>
      <c r="AP1162" s="202"/>
      <c r="AQ1162" s="202"/>
      <c r="AR1162" s="202"/>
      <c r="AS1162" s="202"/>
      <c r="AT1162" s="202"/>
      <c r="AU1162" s="202"/>
      <c r="AV1162" s="202"/>
      <c r="AW1162" s="202"/>
      <c r="AX1162" s="202"/>
      <c r="AY1162" s="202"/>
      <c r="AZ1162" s="202"/>
      <c r="BA1162" s="203" t="s">
        <v>3564</v>
      </c>
      <c r="BB1162" s="69" t="s">
        <v>952</v>
      </c>
      <c r="BC1162" s="204"/>
      <c r="BD1162" s="138"/>
      <c r="BE1162" s="205"/>
      <c r="BF1162" s="206"/>
      <c r="BG1162" s="205"/>
      <c r="BH1162" s="206"/>
      <c r="BI1162" s="207"/>
      <c r="BJ1162" s="206"/>
      <c r="BK1162" s="208"/>
      <c r="BL1162" s="206"/>
      <c r="BM1162" s="205"/>
      <c r="BN1162" s="206"/>
      <c r="BO1162" s="9"/>
      <c r="BP1162" s="206"/>
      <c r="BQ1162" s="206"/>
      <c r="BR1162" s="206"/>
      <c r="BS1162" s="209"/>
      <c r="BT1162" s="206"/>
      <c r="BU1162" s="205"/>
      <c r="BV1162" s="206"/>
      <c r="BW1162" s="205"/>
      <c r="BX1162" s="206"/>
      <c r="BY1162" s="205"/>
      <c r="BZ1162" s="206"/>
      <c r="CA1162" s="205"/>
      <c r="CB1162" s="206"/>
      <c r="CC1162" s="205"/>
      <c r="CD1162" s="206"/>
      <c r="CE1162" s="9"/>
      <c r="CF1162" s="9"/>
      <c r="CG1162" s="9"/>
      <c r="CH1162" s="9"/>
      <c r="CI1162" s="9"/>
      <c r="CJ1162" s="9"/>
      <c r="CK1162" s="9"/>
      <c r="CL1162" s="9"/>
      <c r="CM1162" s="9"/>
      <c r="CN1162" s="9"/>
      <c r="CO1162" s="9"/>
      <c r="CP1162" s="9"/>
    </row>
    <row r="1163" spans="1:94" ht="30" x14ac:dyDescent="0.25">
      <c r="A1163" s="9" t="s">
        <v>3565</v>
      </c>
      <c r="B1163" s="69" t="s">
        <v>3566</v>
      </c>
      <c r="C1163" s="9"/>
      <c r="D1163" s="9">
        <v>1</v>
      </c>
      <c r="E1163" s="9" t="s">
        <v>3567</v>
      </c>
      <c r="F1163" s="9"/>
      <c r="G1163" s="9"/>
      <c r="H1163" s="9"/>
      <c r="I1163" s="9"/>
      <c r="J1163" s="9"/>
      <c r="K1163" s="9"/>
      <c r="L1163" s="9"/>
      <c r="M1163" s="9"/>
      <c r="N1163" s="9"/>
      <c r="O1163" s="9"/>
      <c r="P1163" s="9"/>
      <c r="Q1163" s="9"/>
      <c r="R1163" s="9"/>
      <c r="S1163" s="9"/>
      <c r="T1163" s="9"/>
      <c r="U1163" s="9"/>
      <c r="V1163" s="9"/>
      <c r="W1163" s="9"/>
      <c r="X1163" s="9"/>
      <c r="Y1163" s="9"/>
      <c r="Z1163" s="9"/>
      <c r="AA1163" s="9"/>
      <c r="AB1163" s="9"/>
      <c r="AC1163" s="9"/>
      <c r="AD1163" s="9"/>
      <c r="AE1163" s="9" t="s">
        <v>1013</v>
      </c>
      <c r="AF1163" s="9"/>
      <c r="AG1163" s="9"/>
      <c r="AH1163" s="54">
        <f t="shared" ref="AH1163:AH1169" si="46">(2/0.75/2)*1.26</f>
        <v>1.68</v>
      </c>
      <c r="AI1163" s="9"/>
      <c r="AJ1163" s="9">
        <v>9530</v>
      </c>
      <c r="AK1163" s="9"/>
      <c r="AL1163" s="9">
        <v>2E-3</v>
      </c>
      <c r="AM1163" s="69"/>
      <c r="AN1163" s="9"/>
      <c r="AO1163" s="69" t="s">
        <v>1112</v>
      </c>
      <c r="AP1163" s="210"/>
      <c r="AQ1163" s="211"/>
      <c r="AR1163" s="211"/>
      <c r="AS1163" s="211"/>
      <c r="AT1163" s="211"/>
      <c r="AU1163" s="211"/>
      <c r="AV1163" s="211"/>
      <c r="AW1163" s="9"/>
      <c r="AX1163" s="9"/>
      <c r="AY1163" s="9"/>
      <c r="AZ1163" s="9"/>
      <c r="BA1163" s="120"/>
      <c r="BB1163" s="69"/>
      <c r="BC1163" s="9"/>
      <c r="BD1163" s="9"/>
      <c r="BE1163" s="9"/>
      <c r="BF1163" s="9"/>
      <c r="BG1163" s="9"/>
      <c r="BH1163" s="9"/>
      <c r="BI1163" s="9"/>
      <c r="BJ1163" s="9"/>
      <c r="BK1163" s="9"/>
      <c r="BL1163" s="9"/>
      <c r="BM1163" s="9"/>
      <c r="BN1163" s="9"/>
      <c r="BO1163" s="9"/>
      <c r="BP1163" s="9"/>
      <c r="BQ1163" s="9"/>
      <c r="BR1163" s="9"/>
      <c r="BS1163" s="9"/>
      <c r="BT1163" s="9"/>
      <c r="BU1163" s="9"/>
      <c r="BV1163" s="9"/>
      <c r="BW1163" s="9"/>
      <c r="BX1163" s="9"/>
      <c r="BY1163" s="9"/>
      <c r="BZ1163" s="9"/>
      <c r="CA1163" s="9"/>
      <c r="CB1163" s="9"/>
      <c r="CC1163" s="9"/>
      <c r="CD1163" s="9"/>
      <c r="CE1163" s="9"/>
      <c r="CF1163" s="9"/>
      <c r="CG1163" s="9"/>
      <c r="CH1163" s="9"/>
      <c r="CI1163" s="9"/>
      <c r="CJ1163" s="9"/>
      <c r="CK1163" s="9"/>
      <c r="CL1163" s="9"/>
      <c r="CM1163" s="9"/>
      <c r="CN1163" s="9"/>
      <c r="CO1163" s="9"/>
      <c r="CP1163" s="9"/>
    </row>
    <row r="1164" spans="1:94" ht="30" x14ac:dyDescent="0.25">
      <c r="A1164" s="9" t="s">
        <v>3568</v>
      </c>
      <c r="B1164" s="69" t="s">
        <v>3569</v>
      </c>
      <c r="C1164" s="9"/>
      <c r="D1164" s="9">
        <v>1</v>
      </c>
      <c r="E1164" s="9" t="s">
        <v>3570</v>
      </c>
      <c r="F1164" s="9"/>
      <c r="G1164" s="9"/>
      <c r="H1164" s="9"/>
      <c r="I1164" s="9"/>
      <c r="J1164" s="9"/>
      <c r="K1164" s="9"/>
      <c r="L1164" s="9"/>
      <c r="M1164" s="9"/>
      <c r="N1164" s="9"/>
      <c r="O1164" s="9"/>
      <c r="P1164" s="9"/>
      <c r="Q1164" s="9"/>
      <c r="R1164" s="9"/>
      <c r="S1164" s="9"/>
      <c r="T1164" s="9"/>
      <c r="U1164" s="9"/>
      <c r="V1164" s="9"/>
      <c r="W1164" s="9"/>
      <c r="X1164" s="9"/>
      <c r="Y1164" s="9"/>
      <c r="Z1164" s="9"/>
      <c r="AA1164" s="9"/>
      <c r="AB1164" s="9"/>
      <c r="AC1164" s="9"/>
      <c r="AD1164" s="9"/>
      <c r="AE1164" s="9" t="s">
        <v>1013</v>
      </c>
      <c r="AF1164" s="9"/>
      <c r="AG1164" s="9"/>
      <c r="AH1164" s="54">
        <f t="shared" si="46"/>
        <v>1.68</v>
      </c>
      <c r="AI1164" s="9"/>
      <c r="AJ1164" s="9">
        <v>9530</v>
      </c>
      <c r="AK1164" s="9"/>
      <c r="AL1164" s="9">
        <v>2E-3</v>
      </c>
      <c r="AM1164" s="69" t="s">
        <v>1489</v>
      </c>
      <c r="AN1164" s="9"/>
      <c r="AO1164" s="69" t="s">
        <v>1112</v>
      </c>
      <c r="AP1164" s="210"/>
      <c r="AQ1164" s="211"/>
      <c r="AR1164" s="211"/>
      <c r="AS1164" s="211"/>
      <c r="AT1164" s="211"/>
      <c r="AU1164" s="211"/>
      <c r="AV1164" s="211"/>
      <c r="AW1164" s="9"/>
      <c r="AX1164" s="9"/>
      <c r="AY1164" s="9"/>
      <c r="AZ1164" s="9"/>
      <c r="BA1164" s="120" t="s">
        <v>3571</v>
      </c>
      <c r="BB1164" s="69" t="s">
        <v>952</v>
      </c>
      <c r="BC1164" s="9"/>
      <c r="BD1164" s="9"/>
      <c r="BE1164" s="9"/>
      <c r="BF1164" s="9"/>
      <c r="BG1164" s="9"/>
      <c r="BH1164" s="9"/>
      <c r="BI1164" s="9"/>
      <c r="BJ1164" s="9"/>
      <c r="BK1164" s="9"/>
      <c r="BL1164" s="9"/>
      <c r="BM1164" s="9"/>
      <c r="BN1164" s="9"/>
      <c r="BO1164" s="9"/>
      <c r="BP1164" s="9"/>
      <c r="BQ1164" s="9"/>
      <c r="BR1164" s="9"/>
      <c r="BS1164" s="9"/>
      <c r="BT1164" s="9"/>
      <c r="BU1164" s="9"/>
      <c r="BV1164" s="9"/>
      <c r="BW1164" s="9"/>
      <c r="BX1164" s="9"/>
      <c r="BY1164" s="9"/>
      <c r="BZ1164" s="9"/>
      <c r="CA1164" s="9"/>
      <c r="CB1164" s="9"/>
      <c r="CC1164" s="9"/>
      <c r="CD1164" s="9"/>
      <c r="CE1164" s="9"/>
      <c r="CF1164" s="9"/>
      <c r="CG1164" s="9"/>
      <c r="CH1164" s="9"/>
      <c r="CI1164" s="9"/>
      <c r="CJ1164" s="9"/>
      <c r="CK1164" s="9"/>
      <c r="CL1164" s="9"/>
      <c r="CM1164" s="9"/>
      <c r="CN1164" s="9"/>
      <c r="CO1164" s="9"/>
      <c r="CP1164" s="9"/>
    </row>
    <row r="1165" spans="1:94" ht="30" x14ac:dyDescent="0.25">
      <c r="A1165" s="9" t="s">
        <v>3572</v>
      </c>
      <c r="B1165" s="69" t="s">
        <v>3573</v>
      </c>
      <c r="C1165" s="9"/>
      <c r="D1165" s="9">
        <v>1</v>
      </c>
      <c r="E1165" s="9" t="s">
        <v>3574</v>
      </c>
      <c r="F1165" s="9"/>
      <c r="G1165" s="9"/>
      <c r="H1165" s="9"/>
      <c r="I1165" s="9"/>
      <c r="J1165" s="9"/>
      <c r="K1165" s="9"/>
      <c r="L1165" s="9"/>
      <c r="M1165" s="9"/>
      <c r="N1165" s="9"/>
      <c r="O1165" s="9"/>
      <c r="P1165" s="9"/>
      <c r="Q1165" s="9"/>
      <c r="R1165" s="9"/>
      <c r="S1165" s="9"/>
      <c r="T1165" s="9"/>
      <c r="U1165" s="9"/>
      <c r="V1165" s="9"/>
      <c r="W1165" s="9"/>
      <c r="X1165" s="9"/>
      <c r="Y1165" s="9"/>
      <c r="Z1165" s="9"/>
      <c r="AA1165" s="9"/>
      <c r="AB1165" s="9"/>
      <c r="AC1165" s="9"/>
      <c r="AD1165" s="9"/>
      <c r="AE1165" s="9" t="s">
        <v>1013</v>
      </c>
      <c r="AF1165" s="9"/>
      <c r="AG1165" s="9"/>
      <c r="AH1165" s="54">
        <f t="shared" si="46"/>
        <v>1.68</v>
      </c>
      <c r="AI1165" s="9"/>
      <c r="AJ1165" s="9">
        <v>9530</v>
      </c>
      <c r="AK1165" s="9"/>
      <c r="AL1165" s="9">
        <v>2E-3</v>
      </c>
      <c r="AM1165" s="69"/>
      <c r="AN1165" s="9"/>
      <c r="AO1165" s="69" t="s">
        <v>1112</v>
      </c>
      <c r="AP1165" s="210"/>
      <c r="AQ1165" s="211"/>
      <c r="AR1165" s="211"/>
      <c r="AS1165" s="211"/>
      <c r="AT1165" s="211"/>
      <c r="AU1165" s="211"/>
      <c r="AV1165" s="211"/>
      <c r="AW1165" s="9"/>
      <c r="AX1165" s="9"/>
      <c r="AY1165" s="9"/>
      <c r="AZ1165" s="9"/>
      <c r="BA1165" s="120"/>
      <c r="BB1165" s="69"/>
      <c r="BC1165" s="9"/>
      <c r="BD1165" s="9"/>
      <c r="BE1165" s="9"/>
      <c r="BF1165" s="9"/>
      <c r="BG1165" s="9"/>
      <c r="BH1165" s="9"/>
      <c r="BI1165" s="9"/>
      <c r="BJ1165" s="9"/>
      <c r="BK1165" s="9"/>
      <c r="BL1165" s="9"/>
      <c r="BM1165" s="9"/>
      <c r="BN1165" s="9"/>
      <c r="BO1165" s="9"/>
      <c r="BP1165" s="9"/>
      <c r="BQ1165" s="9"/>
      <c r="BR1165" s="9"/>
      <c r="BS1165" s="9"/>
      <c r="BT1165" s="9"/>
      <c r="BU1165" s="9"/>
      <c r="BV1165" s="9"/>
      <c r="BW1165" s="9"/>
      <c r="BX1165" s="9"/>
      <c r="BY1165" s="9"/>
      <c r="BZ1165" s="9"/>
      <c r="CA1165" s="9"/>
      <c r="CB1165" s="9"/>
      <c r="CC1165" s="9"/>
      <c r="CD1165" s="9"/>
      <c r="CE1165" s="9"/>
      <c r="CF1165" s="9"/>
      <c r="CG1165" s="9"/>
      <c r="CH1165" s="9"/>
      <c r="CI1165" s="9"/>
      <c r="CJ1165" s="9"/>
      <c r="CK1165" s="9"/>
      <c r="CL1165" s="9"/>
      <c r="CM1165" s="9"/>
      <c r="CN1165" s="9"/>
      <c r="CO1165" s="9"/>
      <c r="CP1165" s="9"/>
    </row>
    <row r="1166" spans="1:94" ht="30" x14ac:dyDescent="0.25">
      <c r="A1166" s="9" t="s">
        <v>3575</v>
      </c>
      <c r="B1166" s="69" t="s">
        <v>3576</v>
      </c>
      <c r="C1166" s="9"/>
      <c r="D1166" s="9"/>
      <c r="E1166" s="9" t="s">
        <v>3577</v>
      </c>
      <c r="F1166" s="9"/>
      <c r="G1166" s="9"/>
      <c r="H1166" s="9"/>
      <c r="I1166" s="9"/>
      <c r="J1166" s="9"/>
      <c r="K1166" s="9"/>
      <c r="L1166" s="9"/>
      <c r="M1166" s="9"/>
      <c r="N1166" s="9"/>
      <c r="O1166" s="9"/>
      <c r="P1166" s="9"/>
      <c r="Q1166" s="9"/>
      <c r="R1166" s="9"/>
      <c r="S1166" s="9"/>
      <c r="T1166" s="9"/>
      <c r="U1166" s="9"/>
      <c r="V1166" s="9"/>
      <c r="W1166" s="9"/>
      <c r="X1166" s="9"/>
      <c r="Y1166" s="9"/>
      <c r="Z1166" s="9"/>
      <c r="AA1166" s="9"/>
      <c r="AB1166" s="9"/>
      <c r="AC1166" s="9"/>
      <c r="AD1166" s="9"/>
      <c r="AE1166" s="9" t="s">
        <v>1013</v>
      </c>
      <c r="AF1166" s="9"/>
      <c r="AG1166" s="9"/>
      <c r="AH1166" s="54">
        <f t="shared" si="46"/>
        <v>1.68</v>
      </c>
      <c r="AI1166" s="9"/>
      <c r="AJ1166" s="9" t="s">
        <v>1881</v>
      </c>
      <c r="AK1166" s="9"/>
      <c r="AL1166" s="9">
        <v>1.4E-3</v>
      </c>
      <c r="AM1166" s="69"/>
      <c r="AN1166" s="9"/>
      <c r="AO1166" s="69" t="s">
        <v>1112</v>
      </c>
      <c r="AP1166" s="210"/>
      <c r="AQ1166" s="211"/>
      <c r="AR1166" s="211"/>
      <c r="AS1166" s="211"/>
      <c r="AT1166" s="211"/>
      <c r="AU1166" s="211"/>
      <c r="AV1166" s="211"/>
      <c r="AW1166" s="9"/>
      <c r="AX1166" s="9"/>
      <c r="AY1166" s="9"/>
      <c r="AZ1166" s="9"/>
      <c r="BA1166" s="120"/>
      <c r="BB1166" s="69"/>
      <c r="BC1166" s="9"/>
      <c r="BD1166" s="9"/>
      <c r="BE1166" s="9"/>
      <c r="BF1166" s="9"/>
      <c r="BG1166" s="9"/>
      <c r="BH1166" s="9"/>
      <c r="BI1166" s="9"/>
      <c r="BJ1166" s="9"/>
      <c r="BK1166" s="9"/>
      <c r="BL1166" s="9"/>
      <c r="BM1166" s="9"/>
      <c r="BN1166" s="9"/>
      <c r="BO1166" s="9"/>
      <c r="BP1166" s="9"/>
      <c r="BQ1166" s="9"/>
      <c r="BR1166" s="9"/>
      <c r="BS1166" s="9"/>
      <c r="BT1166" s="9"/>
      <c r="BU1166" s="9"/>
      <c r="BV1166" s="9"/>
      <c r="BW1166" s="9"/>
      <c r="BX1166" s="9"/>
      <c r="BY1166" s="9"/>
      <c r="BZ1166" s="9"/>
      <c r="CA1166" s="9"/>
      <c r="CB1166" s="9"/>
      <c r="CC1166" s="9"/>
      <c r="CD1166" s="9"/>
      <c r="CE1166" s="9"/>
      <c r="CF1166" s="9"/>
      <c r="CG1166" s="9"/>
      <c r="CH1166" s="9"/>
      <c r="CI1166" s="9"/>
      <c r="CJ1166" s="9"/>
      <c r="CK1166" s="9"/>
      <c r="CL1166" s="9"/>
      <c r="CM1166" s="9"/>
      <c r="CN1166" s="9"/>
      <c r="CO1166" s="9"/>
      <c r="CP1166" s="9"/>
    </row>
    <row r="1167" spans="1:94" ht="30" x14ac:dyDescent="0.25">
      <c r="A1167" s="9" t="s">
        <v>3578</v>
      </c>
      <c r="B1167" s="69" t="s">
        <v>3579</v>
      </c>
      <c r="C1167" s="9"/>
      <c r="D1167" s="9"/>
      <c r="E1167" s="9" t="s">
        <v>3580</v>
      </c>
      <c r="F1167" s="9"/>
      <c r="G1167" s="9"/>
      <c r="H1167" s="9"/>
      <c r="I1167" s="9"/>
      <c r="J1167" s="9"/>
      <c r="K1167" s="9"/>
      <c r="L1167" s="9"/>
      <c r="M1167" s="9"/>
      <c r="N1167" s="9"/>
      <c r="O1167" s="9"/>
      <c r="P1167" s="9"/>
      <c r="Q1167" s="9"/>
      <c r="R1167" s="9"/>
      <c r="S1167" s="9"/>
      <c r="T1167" s="9"/>
      <c r="U1167" s="9"/>
      <c r="V1167" s="9"/>
      <c r="W1167" s="9"/>
      <c r="X1167" s="9"/>
      <c r="Y1167" s="9"/>
      <c r="Z1167" s="9"/>
      <c r="AA1167" s="9"/>
      <c r="AB1167" s="9"/>
      <c r="AC1167" s="9"/>
      <c r="AD1167" s="9"/>
      <c r="AE1167" s="9" t="s">
        <v>3581</v>
      </c>
      <c r="AF1167" s="9"/>
      <c r="AG1167" s="9"/>
      <c r="AH1167" s="54">
        <f t="shared" si="46"/>
        <v>1.68</v>
      </c>
      <c r="AI1167" s="9"/>
      <c r="AJ1167" s="9" t="s">
        <v>1881</v>
      </c>
      <c r="AK1167" s="9"/>
      <c r="AL1167" s="9">
        <v>1.1999999999999999E-3</v>
      </c>
      <c r="AM1167" s="69"/>
      <c r="AN1167" s="9"/>
      <c r="AO1167" s="69" t="s">
        <v>1112</v>
      </c>
      <c r="AP1167" s="210"/>
      <c r="AQ1167" s="211"/>
      <c r="AR1167" s="211"/>
      <c r="AS1167" s="211"/>
      <c r="AT1167" s="211"/>
      <c r="AU1167" s="211"/>
      <c r="AV1167" s="211"/>
      <c r="AW1167" s="9"/>
      <c r="AX1167" s="9"/>
      <c r="AY1167" s="9"/>
      <c r="AZ1167" s="9"/>
      <c r="BA1167" s="120"/>
      <c r="BB1167" s="69"/>
      <c r="BC1167" s="9"/>
      <c r="BD1167" s="9"/>
      <c r="BE1167" s="9"/>
      <c r="BF1167" s="9"/>
      <c r="BG1167" s="9"/>
      <c r="BH1167" s="9"/>
      <c r="BI1167" s="9"/>
      <c r="BJ1167" s="9"/>
      <c r="BK1167" s="9"/>
      <c r="BL1167" s="9"/>
      <c r="BM1167" s="9"/>
      <c r="BN1167" s="9"/>
      <c r="BO1167" s="9"/>
      <c r="BP1167" s="9"/>
      <c r="BQ1167" s="9"/>
      <c r="BR1167" s="9"/>
      <c r="BS1167" s="9"/>
      <c r="BT1167" s="9"/>
      <c r="BU1167" s="9"/>
      <c r="BV1167" s="9"/>
      <c r="BW1167" s="9"/>
      <c r="BX1167" s="9"/>
      <c r="BY1167" s="9"/>
      <c r="BZ1167" s="9"/>
      <c r="CA1167" s="9"/>
      <c r="CB1167" s="9"/>
      <c r="CC1167" s="9"/>
      <c r="CD1167" s="9"/>
      <c r="CE1167" s="9"/>
      <c r="CF1167" s="9"/>
      <c r="CG1167" s="9"/>
      <c r="CH1167" s="9"/>
      <c r="CI1167" s="9"/>
      <c r="CJ1167" s="9"/>
      <c r="CK1167" s="9"/>
      <c r="CL1167" s="9"/>
      <c r="CM1167" s="9"/>
      <c r="CN1167" s="9"/>
      <c r="CO1167" s="9"/>
      <c r="CP1167" s="9"/>
    </row>
    <row r="1168" spans="1:94" ht="30" x14ac:dyDescent="0.25">
      <c r="A1168" s="9" t="s">
        <v>3582</v>
      </c>
      <c r="B1168" s="69" t="s">
        <v>3583</v>
      </c>
      <c r="C1168" s="9"/>
      <c r="D1168" s="9"/>
      <c r="E1168" s="9" t="s">
        <v>3584</v>
      </c>
      <c r="F1168" s="9"/>
      <c r="G1168" s="9"/>
      <c r="H1168" s="9"/>
      <c r="I1168" s="9"/>
      <c r="J1168" s="9"/>
      <c r="K1168" s="9"/>
      <c r="L1168" s="9"/>
      <c r="M1168" s="9"/>
      <c r="N1168" s="9"/>
      <c r="O1168" s="9"/>
      <c r="P1168" s="9"/>
      <c r="Q1168" s="9"/>
      <c r="R1168" s="9"/>
      <c r="S1168" s="9"/>
      <c r="T1168" s="9"/>
      <c r="U1168" s="9"/>
      <c r="V1168" s="9"/>
      <c r="W1168" s="9"/>
      <c r="X1168" s="9"/>
      <c r="Y1168" s="9"/>
      <c r="Z1168" s="9"/>
      <c r="AA1168" s="9"/>
      <c r="AB1168" s="9"/>
      <c r="AC1168" s="9"/>
      <c r="AD1168" s="9"/>
      <c r="AE1168" s="9" t="s">
        <v>3585</v>
      </c>
      <c r="AF1168" s="9"/>
      <c r="AG1168" s="9"/>
      <c r="AH1168" s="54">
        <f t="shared" si="46"/>
        <v>1.68</v>
      </c>
      <c r="AI1168" s="9"/>
      <c r="AJ1168" s="9" t="s">
        <v>1881</v>
      </c>
      <c r="AK1168" s="9"/>
      <c r="AL1168" s="9">
        <v>1.1999999999999999E-3</v>
      </c>
      <c r="AM1168" s="69"/>
      <c r="AN1168" s="9"/>
      <c r="AO1168" s="69" t="s">
        <v>1112</v>
      </c>
      <c r="AP1168" s="210"/>
      <c r="AQ1168" s="211"/>
      <c r="AR1168" s="211"/>
      <c r="AS1168" s="211"/>
      <c r="AT1168" s="211"/>
      <c r="AU1168" s="211"/>
      <c r="AV1168" s="211"/>
      <c r="AW1168" s="9"/>
      <c r="AX1168" s="9"/>
      <c r="AY1168" s="9"/>
      <c r="AZ1168" s="9"/>
      <c r="BA1168" s="120"/>
      <c r="BB1168" s="69"/>
      <c r="BC1168" s="9"/>
      <c r="BD1168" s="9"/>
      <c r="BE1168" s="9"/>
      <c r="BF1168" s="9"/>
      <c r="BG1168" s="9"/>
      <c r="BH1168" s="9"/>
      <c r="BI1168" s="9"/>
      <c r="BJ1168" s="9"/>
      <c r="BK1168" s="9"/>
      <c r="BL1168" s="9"/>
      <c r="BM1168" s="9"/>
      <c r="BN1168" s="9"/>
      <c r="BO1168" s="9"/>
      <c r="BP1168" s="9"/>
      <c r="BQ1168" s="9"/>
      <c r="BR1168" s="9"/>
      <c r="BS1168" s="9"/>
      <c r="BT1168" s="9"/>
      <c r="BU1168" s="9"/>
      <c r="BV1168" s="9"/>
      <c r="BW1168" s="9"/>
      <c r="BX1168" s="9"/>
      <c r="BY1168" s="9"/>
      <c r="BZ1168" s="9"/>
      <c r="CA1168" s="9"/>
      <c r="CB1168" s="9"/>
      <c r="CC1168" s="9"/>
      <c r="CD1168" s="9"/>
      <c r="CE1168" s="9"/>
      <c r="CF1168" s="9"/>
      <c r="CG1168" s="9"/>
      <c r="CH1168" s="9"/>
      <c r="CI1168" s="9"/>
      <c r="CJ1168" s="9"/>
      <c r="CK1168" s="9"/>
      <c r="CL1168" s="9"/>
      <c r="CM1168" s="9"/>
      <c r="CN1168" s="9"/>
      <c r="CO1168" s="9"/>
      <c r="CP1168" s="9"/>
    </row>
    <row r="1169" spans="1:94" ht="30" x14ac:dyDescent="0.25">
      <c r="A1169" s="9" t="s">
        <v>3586</v>
      </c>
      <c r="B1169" s="69" t="s">
        <v>3587</v>
      </c>
      <c r="C1169" s="9"/>
      <c r="D1169" s="9"/>
      <c r="E1169" s="9" t="s">
        <v>3588</v>
      </c>
      <c r="F1169" s="9"/>
      <c r="G1169" s="9"/>
      <c r="H1169" s="9"/>
      <c r="I1169" s="9"/>
      <c r="J1169" s="9"/>
      <c r="K1169" s="9"/>
      <c r="L1169" s="9"/>
      <c r="M1169" s="9"/>
      <c r="N1169" s="9"/>
      <c r="O1169" s="9"/>
      <c r="P1169" s="9"/>
      <c r="Q1169" s="9"/>
      <c r="R1169" s="9"/>
      <c r="S1169" s="9"/>
      <c r="T1169" s="9"/>
      <c r="U1169" s="9"/>
      <c r="V1169" s="9"/>
      <c r="W1169" s="9"/>
      <c r="X1169" s="9"/>
      <c r="Y1169" s="9"/>
      <c r="Z1169" s="9"/>
      <c r="AA1169" s="9"/>
      <c r="AB1169" s="9"/>
      <c r="AC1169" s="9"/>
      <c r="AD1169" s="9"/>
      <c r="AE1169" s="9" t="s">
        <v>1013</v>
      </c>
      <c r="AF1169" s="9"/>
      <c r="AG1169" s="9"/>
      <c r="AH1169" s="54">
        <f t="shared" si="46"/>
        <v>1.68</v>
      </c>
      <c r="AI1169" s="9"/>
      <c r="AJ1169" s="9" t="s">
        <v>1881</v>
      </c>
      <c r="AK1169" s="9"/>
      <c r="AL1169" s="9">
        <v>1.1999999999999999E-3</v>
      </c>
      <c r="AM1169" s="69"/>
      <c r="AN1169" s="9"/>
      <c r="AO1169" s="69" t="s">
        <v>1112</v>
      </c>
      <c r="AP1169" s="210"/>
      <c r="AQ1169" s="211"/>
      <c r="AR1169" s="211"/>
      <c r="AS1169" s="211"/>
      <c r="AT1169" s="211"/>
      <c r="AU1169" s="211"/>
      <c r="AV1169" s="211"/>
      <c r="AW1169" s="9"/>
      <c r="AX1169" s="9"/>
      <c r="AY1169" s="9"/>
      <c r="AZ1169" s="9"/>
      <c r="BA1169" s="120"/>
      <c r="BB1169" s="69"/>
      <c r="BC1169" s="9"/>
      <c r="BD1169" s="9"/>
      <c r="BE1169" s="9"/>
      <c r="BF1169" s="9"/>
      <c r="BG1169" s="9"/>
      <c r="BH1169" s="9"/>
      <c r="BI1169" s="9"/>
      <c r="BJ1169" s="9"/>
      <c r="BK1169" s="9"/>
      <c r="BL1169" s="9"/>
      <c r="BM1169" s="9"/>
      <c r="BN1169" s="9"/>
      <c r="BO1169" s="9"/>
      <c r="BP1169" s="9"/>
      <c r="BQ1169" s="9"/>
      <c r="BR1169" s="9"/>
      <c r="BS1169" s="9"/>
      <c r="BT1169" s="9"/>
      <c r="BU1169" s="9"/>
      <c r="BV1169" s="9"/>
      <c r="BW1169" s="9"/>
      <c r="BX1169" s="9"/>
      <c r="BY1169" s="9"/>
      <c r="BZ1169" s="9"/>
      <c r="CA1169" s="9"/>
      <c r="CB1169" s="9"/>
      <c r="CC1169" s="9"/>
      <c r="CD1169" s="9"/>
      <c r="CE1169" s="9"/>
      <c r="CF1169" s="9"/>
      <c r="CG1169" s="9"/>
      <c r="CH1169" s="9"/>
      <c r="CI1169" s="9"/>
      <c r="CJ1169" s="9"/>
      <c r="CK1169" s="9"/>
      <c r="CL1169" s="9"/>
      <c r="CM1169" s="9"/>
      <c r="CN1169" s="9"/>
      <c r="CO1169" s="9"/>
      <c r="CP1169" s="9"/>
    </row>
    <row r="1170" spans="1:94" ht="30" x14ac:dyDescent="0.25">
      <c r="A1170" s="9" t="s">
        <v>3589</v>
      </c>
      <c r="B1170" s="69" t="s">
        <v>3590</v>
      </c>
      <c r="C1170" s="9"/>
      <c r="D1170" s="9"/>
      <c r="E1170" s="9" t="s">
        <v>3591</v>
      </c>
      <c r="F1170" s="9"/>
      <c r="G1170" s="9"/>
      <c r="H1170" s="9"/>
      <c r="I1170" s="9"/>
      <c r="J1170" s="9"/>
      <c r="K1170" s="9"/>
      <c r="L1170" s="9"/>
      <c r="M1170" s="9"/>
      <c r="N1170" s="9"/>
      <c r="O1170" s="9"/>
      <c r="P1170" s="9"/>
      <c r="Q1170" s="9"/>
      <c r="R1170" s="9"/>
      <c r="S1170" s="9"/>
      <c r="T1170" s="9"/>
      <c r="U1170" s="9"/>
      <c r="V1170" s="9"/>
      <c r="W1170" s="9"/>
      <c r="X1170" s="9"/>
      <c r="Y1170" s="9"/>
      <c r="Z1170" s="9"/>
      <c r="AA1170" s="9"/>
      <c r="AB1170" s="9"/>
      <c r="AC1170" s="9"/>
      <c r="AD1170" s="9"/>
      <c r="AE1170" s="9" t="s">
        <v>3592</v>
      </c>
      <c r="AF1170" s="9"/>
      <c r="AG1170" s="9"/>
      <c r="AH1170" s="54">
        <f>(2/0.75/2)*1.22</f>
        <v>1.6266666666666665</v>
      </c>
      <c r="AI1170" s="9"/>
      <c r="AJ1170" s="9">
        <v>9530</v>
      </c>
      <c r="AK1170" s="9"/>
      <c r="AL1170" s="9">
        <v>2E-3</v>
      </c>
      <c r="AM1170" s="69" t="s">
        <v>1489</v>
      </c>
      <c r="AN1170" s="9"/>
      <c r="AO1170" s="69" t="s">
        <v>1112</v>
      </c>
      <c r="AP1170" s="210"/>
      <c r="AQ1170" s="211"/>
      <c r="AR1170" s="211"/>
      <c r="AS1170" s="211"/>
      <c r="AT1170" s="211"/>
      <c r="AU1170" s="211"/>
      <c r="AV1170" s="211"/>
      <c r="AW1170" s="9"/>
      <c r="AX1170" s="9"/>
      <c r="AY1170" s="9"/>
      <c r="AZ1170" s="9"/>
      <c r="BA1170" s="120">
        <v>2030</v>
      </c>
      <c r="BB1170" s="69" t="s">
        <v>952</v>
      </c>
      <c r="BC1170" s="9"/>
      <c r="BD1170" s="9"/>
      <c r="BE1170" s="9"/>
      <c r="BF1170" s="9"/>
      <c r="BG1170" s="9"/>
      <c r="BH1170" s="9"/>
      <c r="BI1170" s="9"/>
      <c r="BJ1170" s="9"/>
      <c r="BK1170" s="9"/>
      <c r="BL1170" s="9"/>
      <c r="BM1170" s="9"/>
      <c r="BN1170" s="9"/>
      <c r="BO1170" s="9"/>
      <c r="BP1170" s="9"/>
      <c r="BQ1170" s="9"/>
      <c r="BR1170" s="9"/>
      <c r="BS1170" s="9"/>
      <c r="BT1170" s="9"/>
      <c r="BU1170" s="9"/>
      <c r="BV1170" s="9"/>
      <c r="BW1170" s="9"/>
      <c r="BX1170" s="9"/>
      <c r="BY1170" s="9"/>
      <c r="BZ1170" s="9"/>
      <c r="CA1170" s="9"/>
      <c r="CB1170" s="9"/>
      <c r="CC1170" s="9"/>
      <c r="CD1170" s="9"/>
      <c r="CE1170" s="9"/>
      <c r="CF1170" s="9"/>
      <c r="CG1170" s="9"/>
      <c r="CH1170" s="9"/>
      <c r="CI1170" s="9"/>
      <c r="CJ1170" s="9"/>
      <c r="CK1170" s="9"/>
      <c r="CL1170" s="9"/>
      <c r="CM1170" s="9"/>
      <c r="CN1170" s="9"/>
      <c r="CO1170" s="9"/>
      <c r="CP1170" s="9"/>
    </row>
    <row r="1171" spans="1:94" ht="30" x14ac:dyDescent="0.25">
      <c r="A1171" s="9" t="s">
        <v>3593</v>
      </c>
      <c r="B1171" s="69" t="s">
        <v>3594</v>
      </c>
      <c r="C1171" s="9"/>
      <c r="D1171" s="9"/>
      <c r="E1171" s="9" t="s">
        <v>3570</v>
      </c>
      <c r="F1171" s="9"/>
      <c r="G1171" s="9"/>
      <c r="H1171" s="9"/>
      <c r="I1171" s="9"/>
      <c r="J1171" s="9"/>
      <c r="K1171" s="9"/>
      <c r="L1171" s="9"/>
      <c r="M1171" s="9"/>
      <c r="N1171" s="9"/>
      <c r="O1171" s="9"/>
      <c r="P1171" s="9"/>
      <c r="Q1171" s="9"/>
      <c r="R1171" s="9"/>
      <c r="S1171" s="9"/>
      <c r="T1171" s="9"/>
      <c r="U1171" s="9"/>
      <c r="V1171" s="9"/>
      <c r="W1171" s="9"/>
      <c r="X1171" s="9"/>
      <c r="Y1171" s="9"/>
      <c r="Z1171" s="9"/>
      <c r="AA1171" s="9"/>
      <c r="AB1171" s="9"/>
      <c r="AC1171" s="9"/>
      <c r="AD1171" s="9"/>
      <c r="AE1171" s="9" t="s">
        <v>1013</v>
      </c>
      <c r="AF1171" s="9"/>
      <c r="AG1171" s="9"/>
      <c r="AH1171" s="54">
        <f>(2/0.75/2)*1.26</f>
        <v>1.68</v>
      </c>
      <c r="AI1171" s="9"/>
      <c r="AJ1171" s="9" t="s">
        <v>1881</v>
      </c>
      <c r="AK1171" s="9"/>
      <c r="AL1171" s="9">
        <v>1.1999999999999999E-3</v>
      </c>
      <c r="AM1171" s="69" t="s">
        <v>1489</v>
      </c>
      <c r="AN1171" s="9"/>
      <c r="AO1171" s="69" t="s">
        <v>1112</v>
      </c>
      <c r="AP1171" s="210"/>
      <c r="AQ1171" s="211"/>
      <c r="AR1171" s="211"/>
      <c r="AS1171" s="211"/>
      <c r="AT1171" s="211"/>
      <c r="AU1171" s="211"/>
      <c r="AV1171" s="211"/>
      <c r="AW1171" s="9"/>
      <c r="AX1171" s="9"/>
      <c r="AY1171" s="9"/>
      <c r="AZ1171" s="9"/>
      <c r="BA1171" s="120">
        <v>2030</v>
      </c>
      <c r="BB1171" s="69" t="s">
        <v>952</v>
      </c>
      <c r="BC1171" s="9"/>
      <c r="BD1171" s="9"/>
      <c r="BE1171" s="9"/>
      <c r="BF1171" s="9"/>
      <c r="BG1171" s="9"/>
      <c r="BH1171" s="9"/>
      <c r="BI1171" s="9"/>
      <c r="BJ1171" s="9"/>
      <c r="BK1171" s="9"/>
      <c r="BL1171" s="9"/>
      <c r="BM1171" s="9"/>
      <c r="BN1171" s="9"/>
      <c r="BO1171" s="9"/>
      <c r="BP1171" s="9"/>
      <c r="BQ1171" s="9"/>
      <c r="BR1171" s="9"/>
      <c r="BS1171" s="9"/>
      <c r="BT1171" s="9"/>
      <c r="BU1171" s="9"/>
      <c r="BV1171" s="9"/>
      <c r="BW1171" s="9"/>
      <c r="BX1171" s="9"/>
      <c r="BY1171" s="9"/>
      <c r="BZ1171" s="9"/>
      <c r="CA1171" s="9"/>
      <c r="CB1171" s="9"/>
      <c r="CC1171" s="9"/>
      <c r="CD1171" s="9"/>
      <c r="CE1171" s="9"/>
      <c r="CF1171" s="9"/>
      <c r="CG1171" s="9"/>
      <c r="CH1171" s="9"/>
      <c r="CI1171" s="9"/>
      <c r="CJ1171" s="9"/>
      <c r="CK1171" s="9"/>
      <c r="CL1171" s="9"/>
      <c r="CM1171" s="9"/>
      <c r="CN1171" s="9"/>
      <c r="CO1171" s="9"/>
      <c r="CP1171" s="9"/>
    </row>
    <row r="1172" spans="1:94" ht="30" x14ac:dyDescent="0.25">
      <c r="A1172" s="9" t="s">
        <v>3595</v>
      </c>
      <c r="B1172" s="69" t="s">
        <v>3596</v>
      </c>
      <c r="C1172" s="9"/>
      <c r="D1172" s="9"/>
      <c r="E1172" s="9" t="s">
        <v>3597</v>
      </c>
      <c r="F1172" s="9">
        <v>2</v>
      </c>
      <c r="G1172" s="9" t="s">
        <v>2197</v>
      </c>
      <c r="H1172" s="9"/>
      <c r="I1172" s="9"/>
      <c r="J1172" s="9"/>
      <c r="K1172" s="9"/>
      <c r="L1172" s="9"/>
      <c r="M1172" s="9"/>
      <c r="N1172" s="9"/>
      <c r="O1172" s="9"/>
      <c r="P1172" s="9"/>
      <c r="Q1172" s="9"/>
      <c r="R1172" s="9"/>
      <c r="S1172" s="9"/>
      <c r="T1172" s="9"/>
      <c r="U1172" s="9"/>
      <c r="V1172" s="9"/>
      <c r="W1172" s="9"/>
      <c r="X1172" s="9"/>
      <c r="Y1172" s="9"/>
      <c r="Z1172" s="9"/>
      <c r="AA1172" s="9"/>
      <c r="AB1172" s="9"/>
      <c r="AC1172" s="9"/>
      <c r="AD1172" s="9"/>
      <c r="AE1172" s="9"/>
      <c r="AF1172" s="9"/>
      <c r="AG1172" s="9"/>
      <c r="AH1172" s="54"/>
      <c r="AI1172" s="9"/>
      <c r="AJ1172" s="9"/>
      <c r="AK1172" s="9"/>
      <c r="AL1172" s="9"/>
      <c r="AM1172" s="69" t="s">
        <v>1489</v>
      </c>
      <c r="AN1172" s="9"/>
      <c r="AO1172" s="69" t="s">
        <v>2150</v>
      </c>
      <c r="AP1172" s="210"/>
      <c r="AQ1172" s="211"/>
      <c r="AR1172" s="211"/>
      <c r="AS1172" s="211"/>
      <c r="AT1172" s="211"/>
      <c r="AU1172" s="211"/>
      <c r="AV1172" s="211"/>
      <c r="AW1172" s="9"/>
      <c r="AX1172" s="9"/>
      <c r="AY1172" s="9"/>
      <c r="AZ1172" s="9"/>
      <c r="BA1172" s="120">
        <v>2030</v>
      </c>
      <c r="BB1172" s="69" t="s">
        <v>952</v>
      </c>
      <c r="BC1172" s="9"/>
      <c r="BD1172" s="9"/>
      <c r="BE1172" s="9"/>
      <c r="BF1172" s="9"/>
      <c r="BG1172" s="9"/>
      <c r="BH1172" s="9"/>
      <c r="BI1172" s="9"/>
      <c r="BJ1172" s="9"/>
      <c r="BK1172" s="9"/>
      <c r="BL1172" s="9"/>
      <c r="BM1172" s="9"/>
      <c r="BN1172" s="9"/>
      <c r="BO1172" s="9"/>
      <c r="BP1172" s="9"/>
      <c r="BQ1172" s="9"/>
      <c r="BR1172" s="9"/>
      <c r="BS1172" s="9"/>
      <c r="BT1172" s="9"/>
      <c r="BU1172" s="9"/>
      <c r="BV1172" s="9"/>
      <c r="BW1172" s="9"/>
      <c r="BX1172" s="9"/>
      <c r="BY1172" s="9"/>
      <c r="BZ1172" s="9"/>
      <c r="CA1172" s="9"/>
      <c r="CB1172" s="9"/>
      <c r="CC1172" s="9"/>
      <c r="CD1172" s="9"/>
      <c r="CE1172" s="9"/>
      <c r="CF1172" s="9"/>
      <c r="CG1172" s="9"/>
      <c r="CH1172" s="9"/>
      <c r="CI1172" s="9"/>
      <c r="CJ1172" s="9"/>
      <c r="CK1172" s="9"/>
      <c r="CL1172" s="9"/>
      <c r="CM1172" s="9"/>
      <c r="CN1172" s="9"/>
      <c r="CO1172" s="9"/>
      <c r="CP1172" s="9"/>
    </row>
    <row r="1173" spans="1:94" ht="30" x14ac:dyDescent="0.25">
      <c r="A1173" s="9" t="s">
        <v>3598</v>
      </c>
      <c r="B1173" s="69" t="s">
        <v>3599</v>
      </c>
      <c r="C1173" s="9"/>
      <c r="D1173" s="9"/>
      <c r="E1173" s="9" t="s">
        <v>3600</v>
      </c>
      <c r="F1173" s="9"/>
      <c r="G1173" s="9"/>
      <c r="H1173" s="9"/>
      <c r="I1173" s="9"/>
      <c r="J1173" s="9"/>
      <c r="K1173" s="9"/>
      <c r="L1173" s="9"/>
      <c r="M1173" s="9"/>
      <c r="N1173" s="9"/>
      <c r="O1173" s="9"/>
      <c r="P1173" s="9"/>
      <c r="Q1173" s="9"/>
      <c r="R1173" s="9"/>
      <c r="S1173" s="9"/>
      <c r="T1173" s="9"/>
      <c r="U1173" s="9"/>
      <c r="V1173" s="9"/>
      <c r="W1173" s="9"/>
      <c r="X1173" s="9"/>
      <c r="Y1173" s="9"/>
      <c r="Z1173" s="9"/>
      <c r="AA1173" s="9"/>
      <c r="AB1173" s="9"/>
      <c r="AC1173" s="9"/>
      <c r="AD1173" s="9"/>
      <c r="AE1173" s="9" t="s">
        <v>3601</v>
      </c>
      <c r="AF1173" s="9"/>
      <c r="AG1173" s="9"/>
      <c r="AH1173" s="54">
        <f>(2/0.75/2)*1.05</f>
        <v>1.4</v>
      </c>
      <c r="AI1173" s="9"/>
      <c r="AJ1173" s="9">
        <v>9530</v>
      </c>
      <c r="AK1173" s="9"/>
      <c r="AL1173" s="9">
        <v>2E-3</v>
      </c>
      <c r="AM1173" s="69" t="s">
        <v>1489</v>
      </c>
      <c r="AN1173" s="9"/>
      <c r="AO1173" s="69" t="s">
        <v>2150</v>
      </c>
      <c r="AP1173" s="210"/>
      <c r="AQ1173" s="211"/>
      <c r="AR1173" s="211"/>
      <c r="AS1173" s="211"/>
      <c r="AT1173" s="211"/>
      <c r="AU1173" s="211"/>
      <c r="AV1173" s="211"/>
      <c r="AW1173" s="9"/>
      <c r="AX1173" s="9"/>
      <c r="AY1173" s="9"/>
      <c r="AZ1173" s="9"/>
      <c r="BA1173" s="120">
        <v>2030</v>
      </c>
      <c r="BB1173" s="69" t="s">
        <v>952</v>
      </c>
      <c r="BC1173" s="9"/>
      <c r="BD1173" s="9"/>
      <c r="BE1173" s="9"/>
      <c r="BF1173" s="9"/>
      <c r="BG1173" s="9"/>
      <c r="BH1173" s="9"/>
      <c r="BI1173" s="9"/>
      <c r="BJ1173" s="9"/>
      <c r="BK1173" s="9"/>
      <c r="BL1173" s="9"/>
      <c r="BM1173" s="9"/>
      <c r="BN1173" s="9"/>
      <c r="BO1173" s="9"/>
      <c r="BP1173" s="9"/>
      <c r="BQ1173" s="9"/>
      <c r="BR1173" s="9"/>
      <c r="BS1173" s="9"/>
      <c r="BT1173" s="9"/>
      <c r="BU1173" s="9"/>
      <c r="BV1173" s="9"/>
      <c r="BW1173" s="9"/>
      <c r="BX1173" s="9"/>
      <c r="BY1173" s="9"/>
      <c r="BZ1173" s="9"/>
      <c r="CA1173" s="9"/>
      <c r="CB1173" s="9"/>
      <c r="CC1173" s="9"/>
      <c r="CD1173" s="9"/>
      <c r="CE1173" s="9"/>
      <c r="CF1173" s="9"/>
      <c r="CG1173" s="9"/>
      <c r="CH1173" s="9"/>
      <c r="CI1173" s="9"/>
      <c r="CJ1173" s="9"/>
      <c r="CK1173" s="9"/>
      <c r="CL1173" s="9"/>
      <c r="CM1173" s="9"/>
      <c r="CN1173" s="9"/>
      <c r="CO1173" s="9"/>
      <c r="CP1173" s="9"/>
    </row>
    <row r="1174" spans="1:94" ht="30" x14ac:dyDescent="0.25">
      <c r="A1174" s="9" t="s">
        <v>3602</v>
      </c>
      <c r="B1174" s="69" t="s">
        <v>3603</v>
      </c>
      <c r="C1174" s="9"/>
      <c r="D1174" s="9"/>
      <c r="E1174" s="9" t="s">
        <v>3604</v>
      </c>
      <c r="F1174" s="9"/>
      <c r="G1174" s="9"/>
      <c r="H1174" s="9"/>
      <c r="I1174" s="9"/>
      <c r="J1174" s="9"/>
      <c r="K1174" s="9"/>
      <c r="L1174" s="9"/>
      <c r="M1174" s="9"/>
      <c r="N1174" s="9"/>
      <c r="O1174" s="9"/>
      <c r="P1174" s="9"/>
      <c r="Q1174" s="9"/>
      <c r="R1174" s="9"/>
      <c r="S1174" s="9"/>
      <c r="T1174" s="9"/>
      <c r="U1174" s="9"/>
      <c r="V1174" s="9"/>
      <c r="W1174" s="9"/>
      <c r="X1174" s="9"/>
      <c r="Y1174" s="9"/>
      <c r="Z1174" s="9"/>
      <c r="AA1174" s="9"/>
      <c r="AB1174" s="9"/>
      <c r="AC1174" s="9"/>
      <c r="AD1174" s="9"/>
      <c r="AE1174" s="9" t="s">
        <v>1013</v>
      </c>
      <c r="AF1174" s="9"/>
      <c r="AG1174" s="9"/>
      <c r="AH1174" s="54">
        <f>(2/0.75/2)*1.26</f>
        <v>1.68</v>
      </c>
      <c r="AI1174" s="9"/>
      <c r="AJ1174" s="9">
        <v>9530</v>
      </c>
      <c r="AK1174" s="9"/>
      <c r="AL1174" s="9">
        <v>2E-3</v>
      </c>
      <c r="AM1174" s="69" t="s">
        <v>1489</v>
      </c>
      <c r="AN1174" s="9"/>
      <c r="AO1174" s="69" t="s">
        <v>1112</v>
      </c>
      <c r="AP1174" s="210"/>
      <c r="AQ1174" s="211"/>
      <c r="AR1174" s="211"/>
      <c r="AS1174" s="211"/>
      <c r="AT1174" s="211"/>
      <c r="AU1174" s="211"/>
      <c r="AV1174" s="211"/>
      <c r="AW1174" s="9"/>
      <c r="AX1174" s="9"/>
      <c r="AY1174" s="9"/>
      <c r="AZ1174" s="9"/>
      <c r="BA1174" s="120">
        <v>2030</v>
      </c>
      <c r="BB1174" s="69" t="s">
        <v>952</v>
      </c>
      <c r="BC1174" s="9"/>
      <c r="BD1174" s="9"/>
      <c r="BE1174" s="9"/>
      <c r="BF1174" s="9"/>
      <c r="BG1174" s="9"/>
      <c r="BH1174" s="9"/>
      <c r="BI1174" s="9"/>
      <c r="BJ1174" s="9"/>
      <c r="BK1174" s="9"/>
      <c r="BL1174" s="9"/>
      <c r="BM1174" s="9"/>
      <c r="BN1174" s="9"/>
      <c r="BO1174" s="9"/>
      <c r="BP1174" s="9"/>
      <c r="BQ1174" s="9"/>
      <c r="BR1174" s="9"/>
      <c r="BS1174" s="9"/>
      <c r="BT1174" s="9"/>
      <c r="BU1174" s="9"/>
      <c r="BV1174" s="9"/>
      <c r="BW1174" s="9"/>
      <c r="BX1174" s="9"/>
      <c r="BY1174" s="9"/>
      <c r="BZ1174" s="9"/>
      <c r="CA1174" s="9"/>
      <c r="CB1174" s="9"/>
      <c r="CC1174" s="9"/>
      <c r="CD1174" s="9"/>
      <c r="CE1174" s="9"/>
      <c r="CF1174" s="9"/>
      <c r="CG1174" s="9"/>
      <c r="CH1174" s="9"/>
      <c r="CI1174" s="9"/>
      <c r="CJ1174" s="9"/>
      <c r="CK1174" s="9"/>
      <c r="CL1174" s="9"/>
      <c r="CM1174" s="9"/>
      <c r="CN1174" s="9"/>
      <c r="CO1174" s="9"/>
      <c r="CP1174" s="9"/>
    </row>
    <row r="1175" spans="1:94" ht="30" x14ac:dyDescent="0.25">
      <c r="A1175" s="9" t="s">
        <v>3605</v>
      </c>
      <c r="B1175" s="69" t="s">
        <v>3606</v>
      </c>
      <c r="C1175" s="9"/>
      <c r="D1175" s="9"/>
      <c r="E1175" s="9" t="s">
        <v>3607</v>
      </c>
      <c r="F1175" s="9"/>
      <c r="G1175" s="9"/>
      <c r="H1175" s="9"/>
      <c r="I1175" s="9"/>
      <c r="J1175" s="9"/>
      <c r="K1175" s="9"/>
      <c r="L1175" s="9"/>
      <c r="M1175" s="9"/>
      <c r="N1175" s="9"/>
      <c r="O1175" s="9"/>
      <c r="P1175" s="9"/>
      <c r="Q1175" s="9"/>
      <c r="R1175" s="9"/>
      <c r="S1175" s="9"/>
      <c r="T1175" s="9"/>
      <c r="U1175" s="9"/>
      <c r="V1175" s="9"/>
      <c r="W1175" s="9"/>
      <c r="X1175" s="9"/>
      <c r="Y1175" s="9"/>
      <c r="Z1175" s="9"/>
      <c r="AA1175" s="9"/>
      <c r="AB1175" s="9"/>
      <c r="AC1175" s="9"/>
      <c r="AD1175" s="9"/>
      <c r="AE1175" s="9" t="s">
        <v>1013</v>
      </c>
      <c r="AF1175" s="9"/>
      <c r="AG1175" s="9"/>
      <c r="AH1175" s="54">
        <f>(2/0.75/2)*1.26</f>
        <v>1.68</v>
      </c>
      <c r="AI1175" s="9"/>
      <c r="AJ1175" s="9">
        <v>9530</v>
      </c>
      <c r="AK1175" s="9"/>
      <c r="AL1175" s="9">
        <v>2E-3</v>
      </c>
      <c r="AM1175" s="69" t="s">
        <v>1489</v>
      </c>
      <c r="AN1175" s="9"/>
      <c r="AO1175" s="69" t="s">
        <v>1112</v>
      </c>
      <c r="AP1175" s="210"/>
      <c r="AQ1175" s="211"/>
      <c r="AR1175" s="211"/>
      <c r="AS1175" s="211"/>
      <c r="AT1175" s="211"/>
      <c r="AU1175" s="211"/>
      <c r="AV1175" s="211"/>
      <c r="AW1175" s="9"/>
      <c r="AX1175" s="9"/>
      <c r="AY1175" s="9"/>
      <c r="AZ1175" s="9"/>
      <c r="BA1175" s="120"/>
      <c r="BB1175" s="69"/>
      <c r="BC1175" s="9"/>
      <c r="BD1175" s="9"/>
      <c r="BE1175" s="9"/>
      <c r="BF1175" s="9"/>
      <c r="BG1175" s="9"/>
      <c r="BH1175" s="9"/>
      <c r="BI1175" s="9"/>
      <c r="BJ1175" s="9"/>
      <c r="BK1175" s="9"/>
      <c r="BL1175" s="9"/>
      <c r="BM1175" s="9"/>
      <c r="BN1175" s="9"/>
      <c r="BO1175" s="9"/>
      <c r="BP1175" s="9"/>
      <c r="BQ1175" s="9"/>
      <c r="BR1175" s="9"/>
      <c r="BS1175" s="9"/>
      <c r="BT1175" s="9"/>
      <c r="BU1175" s="9"/>
      <c r="BV1175" s="9"/>
      <c r="BW1175" s="9"/>
      <c r="BX1175" s="9"/>
      <c r="BY1175" s="9"/>
      <c r="BZ1175" s="9"/>
      <c r="CA1175" s="9"/>
      <c r="CB1175" s="9"/>
      <c r="CC1175" s="9"/>
      <c r="CD1175" s="9"/>
      <c r="CE1175" s="9"/>
      <c r="CF1175" s="9"/>
      <c r="CG1175" s="9"/>
      <c r="CH1175" s="9"/>
      <c r="CI1175" s="9"/>
      <c r="CJ1175" s="9"/>
      <c r="CK1175" s="9"/>
      <c r="CL1175" s="9"/>
      <c r="CM1175" s="9"/>
      <c r="CN1175" s="9"/>
      <c r="CO1175" s="9"/>
      <c r="CP1175" s="9"/>
    </row>
    <row r="1176" spans="1:94" x14ac:dyDescent="0.25">
      <c r="A1176" s="62" t="s">
        <v>3608</v>
      </c>
      <c r="B1176" s="9" t="s">
        <v>3609</v>
      </c>
      <c r="C1176" s="62"/>
      <c r="D1176" s="84"/>
      <c r="E1176" s="62" t="s">
        <v>3610</v>
      </c>
      <c r="F1176" s="62"/>
      <c r="G1176" s="62"/>
      <c r="H1176" s="62"/>
      <c r="I1176" s="62"/>
      <c r="J1176" s="62"/>
      <c r="K1176" s="62"/>
      <c r="L1176" s="62"/>
      <c r="M1176" s="62"/>
      <c r="N1176" s="62"/>
      <c r="O1176" s="62"/>
      <c r="P1176" s="62"/>
      <c r="Q1176" s="62"/>
      <c r="R1176" s="62"/>
      <c r="S1176" s="62"/>
      <c r="T1176" s="62"/>
      <c r="U1176" s="62"/>
      <c r="V1176" s="62"/>
      <c r="W1176" s="62"/>
      <c r="X1176" s="62"/>
      <c r="Y1176" s="62"/>
      <c r="Z1176" s="62"/>
      <c r="AA1176" s="62"/>
      <c r="AB1176" s="62"/>
      <c r="AC1176" s="62"/>
      <c r="AD1176" s="62"/>
      <c r="AE1176" s="9" t="s">
        <v>1013</v>
      </c>
      <c r="AF1176" s="62"/>
      <c r="AG1176" s="62"/>
      <c r="AH1176" s="54">
        <f>(2/0.75/2)*1.26</f>
        <v>1.68</v>
      </c>
      <c r="AI1176" s="9"/>
      <c r="AJ1176" s="9">
        <v>9530</v>
      </c>
      <c r="AK1176" s="9"/>
      <c r="AL1176" s="9">
        <v>2E-3</v>
      </c>
      <c r="AM1176" s="69" t="s">
        <v>1489</v>
      </c>
      <c r="AN1176" s="9"/>
      <c r="AO1176" s="69" t="s">
        <v>1112</v>
      </c>
      <c r="AP1176" s="212"/>
      <c r="AQ1176" s="213"/>
      <c r="AR1176" s="213"/>
      <c r="AS1176" s="213"/>
      <c r="AT1176" s="213"/>
      <c r="AU1176" s="213"/>
      <c r="AV1176" s="213"/>
      <c r="AW1176" s="62"/>
      <c r="AX1176" s="62"/>
      <c r="AY1176" s="62"/>
      <c r="AZ1176" s="62"/>
      <c r="BA1176" s="141"/>
      <c r="BB1176" s="61"/>
      <c r="BC1176" s="165"/>
      <c r="BD1176" s="166"/>
      <c r="BE1176" s="167"/>
      <c r="BF1176" s="168"/>
      <c r="BG1176" s="167"/>
      <c r="BH1176" s="168"/>
      <c r="BI1176" s="169"/>
      <c r="BJ1176" s="168"/>
      <c r="BK1176" s="134"/>
      <c r="BL1176" s="168"/>
      <c r="BM1176" s="167"/>
      <c r="BN1176" s="168"/>
      <c r="BO1176" s="62"/>
      <c r="BP1176" s="168"/>
      <c r="BQ1176" s="168"/>
      <c r="BR1176" s="168"/>
      <c r="BS1176" s="135"/>
      <c r="BT1176" s="168"/>
      <c r="BU1176" s="167"/>
      <c r="BV1176" s="168"/>
      <c r="BW1176" s="167"/>
      <c r="BX1176" s="168"/>
      <c r="BY1176" s="167"/>
      <c r="BZ1176" s="168"/>
      <c r="CA1176" s="167"/>
      <c r="CB1176" s="168"/>
      <c r="CC1176" s="167"/>
      <c r="CD1176" s="168"/>
      <c r="CE1176" s="62"/>
      <c r="CF1176" s="62"/>
      <c r="CG1176" s="9"/>
      <c r="CH1176" s="9"/>
      <c r="CI1176" s="9"/>
      <c r="CJ1176" s="9"/>
      <c r="CK1176" s="9"/>
      <c r="CL1176" s="9"/>
      <c r="CM1176" s="9"/>
      <c r="CN1176" s="9"/>
      <c r="CO1176" s="9"/>
      <c r="CP1176" s="9"/>
    </row>
    <row r="1177" spans="1:94" x14ac:dyDescent="0.25">
      <c r="A1177" s="62" t="s">
        <v>3611</v>
      </c>
      <c r="B1177" s="9" t="s">
        <v>3612</v>
      </c>
      <c r="C1177" s="62"/>
      <c r="D1177" s="84"/>
      <c r="E1177" s="62" t="s">
        <v>3613</v>
      </c>
      <c r="F1177" s="62"/>
      <c r="G1177" s="62"/>
      <c r="H1177" s="62"/>
      <c r="I1177" s="62"/>
      <c r="J1177" s="62"/>
      <c r="K1177" s="62"/>
      <c r="L1177" s="62"/>
      <c r="M1177" s="62"/>
      <c r="N1177" s="62"/>
      <c r="O1177" s="62"/>
      <c r="P1177" s="62"/>
      <c r="Q1177" s="62"/>
      <c r="R1177" s="62"/>
      <c r="S1177" s="62"/>
      <c r="T1177" s="62"/>
      <c r="U1177" s="62"/>
      <c r="V1177" s="62"/>
      <c r="W1177" s="62"/>
      <c r="X1177" s="62"/>
      <c r="Y1177" s="62"/>
      <c r="Z1177" s="62"/>
      <c r="AA1177" s="62"/>
      <c r="AB1177" s="62"/>
      <c r="AC1177" s="62"/>
      <c r="AD1177" s="62"/>
      <c r="AE1177" s="9" t="s">
        <v>1013</v>
      </c>
      <c r="AF1177" s="62"/>
      <c r="AG1177" s="62"/>
      <c r="AH1177" s="54">
        <f>(2/0.75/2)*1.26</f>
        <v>1.68</v>
      </c>
      <c r="AI1177" s="9"/>
      <c r="AJ1177" s="9">
        <v>9530</v>
      </c>
      <c r="AK1177" s="9"/>
      <c r="AL1177" s="9">
        <v>1.1999999999999999E-3</v>
      </c>
      <c r="AM1177" s="69" t="s">
        <v>1489</v>
      </c>
      <c r="AN1177" s="9"/>
      <c r="AO1177" s="69" t="s">
        <v>1112</v>
      </c>
      <c r="AP1177" s="212"/>
      <c r="AQ1177" s="213"/>
      <c r="AR1177" s="213"/>
      <c r="AS1177" s="213"/>
      <c r="AT1177" s="213"/>
      <c r="AU1177" s="213"/>
      <c r="AV1177" s="213"/>
      <c r="AW1177" s="62"/>
      <c r="AX1177" s="62"/>
      <c r="AY1177" s="62"/>
      <c r="AZ1177" s="62"/>
      <c r="BA1177" s="141"/>
      <c r="BB1177" s="61"/>
      <c r="BC1177" s="165"/>
      <c r="BD1177" s="166"/>
      <c r="BE1177" s="167"/>
      <c r="BF1177" s="168"/>
      <c r="BG1177" s="167"/>
      <c r="BH1177" s="168"/>
      <c r="BI1177" s="214"/>
      <c r="BJ1177" s="168"/>
      <c r="BK1177" s="134"/>
      <c r="BL1177" s="168"/>
      <c r="BM1177" s="167"/>
      <c r="BN1177" s="168"/>
      <c r="BO1177" s="62"/>
      <c r="BP1177" s="168"/>
      <c r="BQ1177" s="168"/>
      <c r="BR1177" s="168"/>
      <c r="BS1177" s="135"/>
      <c r="BT1177" s="168"/>
      <c r="BU1177" s="167"/>
      <c r="BV1177" s="168"/>
      <c r="BW1177" s="167"/>
      <c r="BX1177" s="168"/>
      <c r="BY1177" s="167"/>
      <c r="BZ1177" s="168"/>
      <c r="CA1177" s="167"/>
      <c r="CB1177" s="168"/>
      <c r="CC1177" s="167"/>
      <c r="CD1177" s="168"/>
      <c r="CE1177" s="62"/>
      <c r="CF1177" s="62"/>
      <c r="CG1177" s="9"/>
      <c r="CH1177" s="9"/>
      <c r="CI1177" s="9"/>
      <c r="CJ1177" s="9"/>
      <c r="CK1177" s="9"/>
      <c r="CL1177" s="9"/>
      <c r="CM1177" s="9"/>
      <c r="CN1177" s="9"/>
      <c r="CO1177" s="9"/>
      <c r="CP1177" s="9"/>
    </row>
    <row r="1178" spans="1:94" x14ac:dyDescent="0.25">
      <c r="A1178" s="62"/>
      <c r="B1178" s="62"/>
      <c r="C1178" s="62"/>
      <c r="D1178" s="84"/>
      <c r="E1178" s="62"/>
      <c r="F1178" s="62"/>
      <c r="G1178" s="62"/>
      <c r="H1178" s="62"/>
      <c r="I1178" s="62"/>
      <c r="J1178" s="62"/>
      <c r="K1178" s="62"/>
      <c r="L1178" s="62"/>
      <c r="M1178" s="62"/>
      <c r="N1178" s="62"/>
      <c r="O1178" s="62"/>
      <c r="P1178" s="62"/>
      <c r="Q1178" s="62"/>
      <c r="R1178" s="62"/>
      <c r="S1178" s="62"/>
      <c r="T1178" s="62"/>
      <c r="U1178" s="62"/>
      <c r="V1178" s="62"/>
      <c r="W1178" s="62"/>
      <c r="X1178" s="62"/>
      <c r="Y1178" s="62"/>
      <c r="Z1178" s="62"/>
      <c r="AA1178" s="62"/>
      <c r="AB1178" s="62"/>
      <c r="AC1178" s="62"/>
      <c r="AD1178" s="62"/>
      <c r="AE1178" s="62"/>
      <c r="AF1178" s="62"/>
      <c r="AG1178" s="62"/>
      <c r="AH1178" s="124"/>
      <c r="AI1178" s="62"/>
      <c r="AJ1178" s="62"/>
      <c r="AK1178" s="62"/>
      <c r="AL1178" s="62"/>
      <c r="AM1178" s="61"/>
      <c r="AN1178" s="62"/>
      <c r="AO1178" s="61"/>
      <c r="AP1178" s="212"/>
      <c r="AQ1178" s="213"/>
      <c r="AR1178" s="213"/>
      <c r="AS1178" s="213"/>
      <c r="AT1178" s="213"/>
      <c r="AU1178" s="213"/>
      <c r="AV1178" s="213"/>
      <c r="AW1178" s="62"/>
      <c r="AX1178" s="62"/>
      <c r="AY1178" s="62"/>
      <c r="AZ1178" s="62"/>
      <c r="BA1178" s="141"/>
      <c r="BB1178" s="61"/>
      <c r="BC1178" s="165"/>
      <c r="BD1178" s="166"/>
      <c r="BE1178" s="167"/>
      <c r="BF1178" s="168"/>
      <c r="BG1178" s="167"/>
      <c r="BH1178" s="168"/>
      <c r="BI1178" s="214"/>
      <c r="BJ1178" s="168"/>
      <c r="BK1178" s="134"/>
      <c r="BL1178" s="168"/>
      <c r="BM1178" s="167"/>
      <c r="BN1178" s="168"/>
      <c r="BO1178" s="62"/>
      <c r="BP1178" s="168"/>
      <c r="BQ1178" s="168"/>
      <c r="BR1178" s="168"/>
      <c r="BS1178" s="135"/>
      <c r="BT1178" s="168"/>
      <c r="BU1178" s="167"/>
      <c r="BV1178" s="168"/>
      <c r="BW1178" s="167"/>
      <c r="BX1178" s="168"/>
      <c r="BY1178" s="167"/>
      <c r="BZ1178" s="168"/>
      <c r="CA1178" s="167"/>
      <c r="CB1178" s="168"/>
      <c r="CC1178" s="167"/>
      <c r="CD1178" s="168"/>
      <c r="CE1178" s="62"/>
      <c r="CF1178" s="62"/>
      <c r="CG1178" s="9"/>
      <c r="CH1178" s="9"/>
      <c r="CI1178" s="9"/>
      <c r="CJ1178" s="9"/>
      <c r="CK1178" s="9"/>
      <c r="CL1178" s="9"/>
      <c r="CM1178" s="9"/>
      <c r="CN1178" s="9"/>
      <c r="CO1178" s="9"/>
      <c r="CP1178" s="9"/>
    </row>
    <row r="1179" spans="1:94" ht="42.75" x14ac:dyDescent="0.25">
      <c r="A1179" s="62" t="s">
        <v>3614</v>
      </c>
      <c r="B1179" s="62" t="s">
        <v>3615</v>
      </c>
      <c r="C1179" s="62"/>
      <c r="D1179" s="84"/>
      <c r="E1179" s="62"/>
      <c r="F1179" s="62"/>
      <c r="G1179" s="62"/>
      <c r="H1179" s="62"/>
      <c r="I1179" s="62"/>
      <c r="J1179" s="62"/>
      <c r="K1179" s="62"/>
      <c r="L1179" s="62"/>
      <c r="M1179" s="62"/>
      <c r="N1179" s="62"/>
      <c r="O1179" s="62"/>
      <c r="P1179" s="62"/>
      <c r="Q1179" s="62"/>
      <c r="R1179" s="62"/>
      <c r="S1179" s="62"/>
      <c r="T1179" s="62"/>
      <c r="U1179" s="62"/>
      <c r="V1179" s="62"/>
      <c r="W1179" s="62"/>
      <c r="X1179" s="62"/>
      <c r="Y1179" s="62"/>
      <c r="Z1179" s="62"/>
      <c r="AA1179" s="62"/>
      <c r="AB1179" s="62"/>
      <c r="AC1179" s="62"/>
      <c r="AD1179" s="62"/>
      <c r="AE1179" s="62"/>
      <c r="AF1179" s="62"/>
      <c r="AG1179" s="62"/>
      <c r="AH1179" s="124"/>
      <c r="AI1179" s="62"/>
      <c r="AJ1179" s="62"/>
      <c r="AK1179" s="62"/>
      <c r="AL1179" s="62"/>
      <c r="AM1179" s="61"/>
      <c r="AN1179" s="62"/>
      <c r="AO1179" s="61" t="s">
        <v>1112</v>
      </c>
      <c r="AP1179" s="212"/>
      <c r="AQ1179" s="213"/>
      <c r="AR1179" s="213"/>
      <c r="AS1179" s="213"/>
      <c r="AT1179" s="213"/>
      <c r="AU1179" s="213"/>
      <c r="AV1179" s="213"/>
      <c r="AW1179" s="62"/>
      <c r="AX1179" s="62"/>
      <c r="AY1179" s="62"/>
      <c r="AZ1179" s="62"/>
      <c r="BA1179" s="141"/>
      <c r="BB1179" s="61"/>
      <c r="BC1179" s="165" t="s">
        <v>1615</v>
      </c>
      <c r="BD1179" s="166">
        <v>0.39</v>
      </c>
      <c r="BE1179" s="167" t="s">
        <v>1616</v>
      </c>
      <c r="BF1179" s="168">
        <v>0.1</v>
      </c>
      <c r="BG1179" s="167" t="s">
        <v>1617</v>
      </c>
      <c r="BH1179" s="168">
        <v>0.01</v>
      </c>
      <c r="BI1179" s="214" t="s">
        <v>1618</v>
      </c>
      <c r="BJ1179" s="168">
        <v>0.5</v>
      </c>
      <c r="BK1179" s="134" t="s">
        <v>1615</v>
      </c>
      <c r="BL1179" s="168">
        <v>0.4</v>
      </c>
      <c r="BM1179" s="167" t="s">
        <v>1618</v>
      </c>
      <c r="BN1179" s="168">
        <v>0.5</v>
      </c>
      <c r="BO1179" s="62" t="s">
        <v>3616</v>
      </c>
      <c r="BP1179" s="168">
        <v>0.1</v>
      </c>
      <c r="BQ1179" s="168"/>
      <c r="BR1179" s="168"/>
      <c r="BS1179" s="135" t="s">
        <v>1615</v>
      </c>
      <c r="BT1179" s="168">
        <v>0.85</v>
      </c>
      <c r="BU1179" s="167" t="s">
        <v>1616</v>
      </c>
      <c r="BV1179" s="168">
        <v>0.1</v>
      </c>
      <c r="BW1179" s="167" t="s">
        <v>2153</v>
      </c>
      <c r="BX1179" s="168">
        <v>0.02</v>
      </c>
      <c r="BY1179" s="167" t="s">
        <v>3617</v>
      </c>
      <c r="BZ1179" s="168">
        <v>0.01</v>
      </c>
      <c r="CA1179" s="167" t="s">
        <v>1621</v>
      </c>
      <c r="CB1179" s="168">
        <v>0.02</v>
      </c>
      <c r="CC1179" s="167" t="s">
        <v>1622</v>
      </c>
      <c r="CD1179" s="168"/>
      <c r="CE1179" s="62"/>
      <c r="CF1179" s="62"/>
      <c r="CG1179" s="9"/>
      <c r="CH1179" s="9"/>
      <c r="CI1179" s="9"/>
      <c r="CJ1179" s="9"/>
      <c r="CK1179" s="9"/>
      <c r="CL1179" s="9"/>
      <c r="CM1179" s="9"/>
      <c r="CN1179" s="9"/>
      <c r="CO1179" s="9"/>
      <c r="CP1179" s="9"/>
    </row>
    <row r="1180" spans="1:94" ht="42.75" x14ac:dyDescent="0.25">
      <c r="A1180" s="62" t="s">
        <v>3618</v>
      </c>
      <c r="B1180" s="167" t="s">
        <v>3619</v>
      </c>
      <c r="C1180" s="167"/>
      <c r="D1180" s="131"/>
      <c r="E1180" s="167"/>
      <c r="F1180" s="167"/>
      <c r="G1180" s="167"/>
      <c r="H1180" s="167"/>
      <c r="I1180" s="62"/>
      <c r="J1180" s="62"/>
      <c r="K1180" s="62"/>
      <c r="L1180" s="62"/>
      <c r="M1180" s="62"/>
      <c r="N1180" s="62"/>
      <c r="O1180" s="62"/>
      <c r="P1180" s="62"/>
      <c r="Q1180" s="62"/>
      <c r="R1180" s="62"/>
      <c r="S1180" s="62"/>
      <c r="T1180" s="62"/>
      <c r="U1180" s="62"/>
      <c r="V1180" s="62"/>
      <c r="W1180" s="62"/>
      <c r="X1180" s="62"/>
      <c r="Y1180" s="62"/>
      <c r="Z1180" s="62"/>
      <c r="AA1180" s="62"/>
      <c r="AB1180" s="62"/>
      <c r="AC1180" s="62"/>
      <c r="AD1180" s="62"/>
      <c r="AE1180" s="62"/>
      <c r="AF1180" s="62"/>
      <c r="AG1180" s="62"/>
      <c r="AH1180" s="124"/>
      <c r="AI1180" s="62"/>
      <c r="AJ1180" s="62"/>
      <c r="AK1180" s="62"/>
      <c r="AL1180" s="62"/>
      <c r="AM1180" s="61"/>
      <c r="AN1180" s="62"/>
      <c r="AO1180" s="61" t="s">
        <v>1112</v>
      </c>
      <c r="AP1180" s="212"/>
      <c r="AQ1180" s="213"/>
      <c r="AR1180" s="213"/>
      <c r="AS1180" s="213"/>
      <c r="AT1180" s="213"/>
      <c r="AU1180" s="213"/>
      <c r="AV1180" s="213"/>
      <c r="AW1180" s="62"/>
      <c r="AX1180" s="62"/>
      <c r="AY1180" s="62"/>
      <c r="AZ1180" s="62"/>
      <c r="BA1180" s="141"/>
      <c r="BB1180" s="61"/>
      <c r="BC1180" s="165" t="s">
        <v>1615</v>
      </c>
      <c r="BD1180" s="166">
        <v>0.39</v>
      </c>
      <c r="BE1180" s="167" t="s">
        <v>1616</v>
      </c>
      <c r="BF1180" s="168">
        <v>0.1</v>
      </c>
      <c r="BG1180" s="167" t="s">
        <v>1617</v>
      </c>
      <c r="BH1180" s="168">
        <v>0.01</v>
      </c>
      <c r="BI1180" s="214" t="s">
        <v>1618</v>
      </c>
      <c r="BJ1180" s="168">
        <v>0.5</v>
      </c>
      <c r="BK1180" s="134" t="s">
        <v>1615</v>
      </c>
      <c r="BL1180" s="168">
        <v>0.4</v>
      </c>
      <c r="BM1180" s="167" t="s">
        <v>1618</v>
      </c>
      <c r="BN1180" s="168">
        <v>0.5</v>
      </c>
      <c r="BO1180" s="62" t="s">
        <v>3616</v>
      </c>
      <c r="BP1180" s="168">
        <v>0.1</v>
      </c>
      <c r="BQ1180" s="168"/>
      <c r="BR1180" s="168"/>
      <c r="BS1180" s="135" t="s">
        <v>1615</v>
      </c>
      <c r="BT1180" s="168">
        <v>0.85</v>
      </c>
      <c r="BU1180" s="167" t="s">
        <v>1616</v>
      </c>
      <c r="BV1180" s="168">
        <v>0.1</v>
      </c>
      <c r="BW1180" s="167" t="s">
        <v>2153</v>
      </c>
      <c r="BX1180" s="168">
        <v>0.02</v>
      </c>
      <c r="BY1180" s="167" t="s">
        <v>1617</v>
      </c>
      <c r="BZ1180" s="168">
        <v>0.01</v>
      </c>
      <c r="CA1180" s="167" t="s">
        <v>1621</v>
      </c>
      <c r="CB1180" s="168">
        <v>0.02</v>
      </c>
      <c r="CC1180" s="167" t="s">
        <v>1622</v>
      </c>
      <c r="CD1180" s="168"/>
      <c r="CE1180" s="62"/>
      <c r="CF1180" s="62"/>
      <c r="CG1180" s="9"/>
      <c r="CH1180" s="9"/>
      <c r="CI1180" s="9"/>
      <c r="CJ1180" s="9"/>
      <c r="CK1180" s="9"/>
      <c r="CL1180" s="9"/>
      <c r="CM1180" s="9"/>
      <c r="CN1180" s="9"/>
      <c r="CO1180" s="9"/>
      <c r="CP1180" s="9"/>
    </row>
    <row r="1181" spans="1:94" ht="42.75" x14ac:dyDescent="0.25">
      <c r="A1181" s="62" t="s">
        <v>3620</v>
      </c>
      <c r="B1181" s="167" t="s">
        <v>3621</v>
      </c>
      <c r="C1181" s="62"/>
      <c r="D1181" s="84"/>
      <c r="E1181" s="62"/>
      <c r="F1181" s="62"/>
      <c r="G1181" s="62"/>
      <c r="H1181" s="62"/>
      <c r="I1181" s="62"/>
      <c r="J1181" s="62"/>
      <c r="K1181" s="62"/>
      <c r="L1181" s="62"/>
      <c r="M1181" s="62"/>
      <c r="N1181" s="62"/>
      <c r="O1181" s="62"/>
      <c r="P1181" s="62"/>
      <c r="Q1181" s="62"/>
      <c r="R1181" s="62"/>
      <c r="S1181" s="62"/>
      <c r="T1181" s="62"/>
      <c r="U1181" s="62"/>
      <c r="V1181" s="62"/>
      <c r="W1181" s="62"/>
      <c r="X1181" s="62"/>
      <c r="Y1181" s="62"/>
      <c r="Z1181" s="62"/>
      <c r="AA1181" s="62"/>
      <c r="AB1181" s="62"/>
      <c r="AC1181" s="62"/>
      <c r="AD1181" s="62"/>
      <c r="AE1181" s="62"/>
      <c r="AF1181" s="62"/>
      <c r="AG1181" s="62"/>
      <c r="AH1181" s="124"/>
      <c r="AI1181" s="62"/>
      <c r="AJ1181" s="62"/>
      <c r="AK1181" s="62"/>
      <c r="AL1181" s="62"/>
      <c r="AM1181" s="61"/>
      <c r="AN1181" s="62"/>
      <c r="AO1181" s="61" t="s">
        <v>1112</v>
      </c>
      <c r="AP1181" s="212"/>
      <c r="AQ1181" s="213"/>
      <c r="AR1181" s="213"/>
      <c r="AS1181" s="213"/>
      <c r="AT1181" s="213"/>
      <c r="AU1181" s="213"/>
      <c r="AV1181" s="213"/>
      <c r="AW1181" s="62"/>
      <c r="AX1181" s="62"/>
      <c r="AY1181" s="62"/>
      <c r="AZ1181" s="62"/>
      <c r="BA1181" s="141"/>
      <c r="BB1181" s="61"/>
      <c r="BC1181" s="165" t="s">
        <v>1615</v>
      </c>
      <c r="BD1181" s="166">
        <v>0.64</v>
      </c>
      <c r="BE1181" s="167" t="s">
        <v>1616</v>
      </c>
      <c r="BF1181" s="168">
        <v>0.1</v>
      </c>
      <c r="BG1181" s="167" t="s">
        <v>1617</v>
      </c>
      <c r="BH1181" s="168">
        <v>0.01</v>
      </c>
      <c r="BI1181" s="214" t="s">
        <v>1618</v>
      </c>
      <c r="BJ1181" s="168">
        <v>0.25</v>
      </c>
      <c r="BK1181" s="134" t="s">
        <v>1615</v>
      </c>
      <c r="BL1181" s="168">
        <v>0.65</v>
      </c>
      <c r="BM1181" s="167" t="s">
        <v>1618</v>
      </c>
      <c r="BN1181" s="168">
        <v>0.25</v>
      </c>
      <c r="BO1181" s="62" t="s">
        <v>3616</v>
      </c>
      <c r="BP1181" s="168">
        <v>0.1</v>
      </c>
      <c r="BQ1181" s="168"/>
      <c r="BR1181" s="168"/>
      <c r="BS1181" s="135" t="s">
        <v>1615</v>
      </c>
      <c r="BT1181" s="168">
        <v>0.85</v>
      </c>
      <c r="BU1181" s="167" t="s">
        <v>1616</v>
      </c>
      <c r="BV1181" s="168">
        <v>0.1</v>
      </c>
      <c r="BW1181" s="167" t="s">
        <v>2153</v>
      </c>
      <c r="BX1181" s="168">
        <v>0.02</v>
      </c>
      <c r="BY1181" s="167" t="s">
        <v>1617</v>
      </c>
      <c r="BZ1181" s="168">
        <v>0.01</v>
      </c>
      <c r="CA1181" s="167" t="s">
        <v>1621</v>
      </c>
      <c r="CB1181" s="168">
        <v>0.02</v>
      </c>
      <c r="CC1181" s="62"/>
      <c r="CD1181" s="168"/>
      <c r="CE1181" s="62"/>
      <c r="CF1181" s="62"/>
      <c r="CG1181" s="9"/>
      <c r="CH1181" s="9"/>
      <c r="CI1181" s="9"/>
      <c r="CJ1181" s="9"/>
      <c r="CK1181" s="9"/>
      <c r="CL1181" s="9"/>
      <c r="CM1181" s="9"/>
      <c r="CN1181" s="9"/>
      <c r="CO1181" s="9"/>
      <c r="CP1181" s="9"/>
    </row>
    <row r="1182" spans="1:94" ht="42.75" x14ac:dyDescent="0.25">
      <c r="A1182" s="62" t="s">
        <v>3622</v>
      </c>
      <c r="B1182" s="131" t="s">
        <v>3623</v>
      </c>
      <c r="C1182" s="215"/>
      <c r="D1182" s="215"/>
      <c r="E1182" s="167"/>
      <c r="F1182" s="167"/>
      <c r="G1182" s="167"/>
      <c r="H1182" s="167"/>
      <c r="I1182" s="62"/>
      <c r="J1182" s="62"/>
      <c r="K1182" s="62"/>
      <c r="L1182" s="62"/>
      <c r="M1182" s="62"/>
      <c r="N1182" s="62"/>
      <c r="O1182" s="62"/>
      <c r="P1182" s="62"/>
      <c r="Q1182" s="62"/>
      <c r="R1182" s="62"/>
      <c r="S1182" s="62"/>
      <c r="T1182" s="62"/>
      <c r="U1182" s="62"/>
      <c r="V1182" s="62"/>
      <c r="W1182" s="62"/>
      <c r="X1182" s="62"/>
      <c r="Y1182" s="62"/>
      <c r="Z1182" s="62"/>
      <c r="AA1182" s="62"/>
      <c r="AB1182" s="62"/>
      <c r="AC1182" s="62"/>
      <c r="AD1182" s="62"/>
      <c r="AE1182" s="62"/>
      <c r="AF1182" s="62"/>
      <c r="AG1182" s="62"/>
      <c r="AH1182" s="124"/>
      <c r="AI1182" s="62"/>
      <c r="AJ1182" s="62"/>
      <c r="AK1182" s="62"/>
      <c r="AL1182" s="62"/>
      <c r="AM1182" s="61"/>
      <c r="AN1182" s="62"/>
      <c r="AO1182" s="61" t="s">
        <v>1112</v>
      </c>
      <c r="AP1182" s="212"/>
      <c r="AQ1182" s="213"/>
      <c r="AR1182" s="213"/>
      <c r="AS1182" s="213"/>
      <c r="AT1182" s="213"/>
      <c r="AU1182" s="213"/>
      <c r="AV1182" s="213"/>
      <c r="AW1182" s="62"/>
      <c r="AX1182" s="62"/>
      <c r="AY1182" s="62"/>
      <c r="AZ1182" s="62"/>
      <c r="BA1182" s="141"/>
      <c r="BB1182" s="61"/>
      <c r="BC1182" s="165" t="s">
        <v>1615</v>
      </c>
      <c r="BD1182" s="166">
        <v>0.39</v>
      </c>
      <c r="BE1182" s="167" t="s">
        <v>1616</v>
      </c>
      <c r="BF1182" s="168">
        <v>0.1</v>
      </c>
      <c r="BG1182" s="167" t="s">
        <v>1617</v>
      </c>
      <c r="BH1182" s="168">
        <v>0.01</v>
      </c>
      <c r="BI1182" s="214" t="s">
        <v>1618</v>
      </c>
      <c r="BJ1182" s="168">
        <v>0.5</v>
      </c>
      <c r="BK1182" s="134" t="s">
        <v>1615</v>
      </c>
      <c r="BL1182" s="168">
        <v>0.4</v>
      </c>
      <c r="BM1182" s="167" t="s">
        <v>1618</v>
      </c>
      <c r="BN1182" s="168">
        <v>0.5</v>
      </c>
      <c r="BO1182" s="62" t="s">
        <v>3616</v>
      </c>
      <c r="BP1182" s="168">
        <v>0.1</v>
      </c>
      <c r="BQ1182" s="168"/>
      <c r="BR1182" s="168"/>
      <c r="BS1182" s="135" t="s">
        <v>1615</v>
      </c>
      <c r="BT1182" s="168">
        <v>0.85</v>
      </c>
      <c r="BU1182" s="167" t="s">
        <v>1616</v>
      </c>
      <c r="BV1182" s="168">
        <v>0.1</v>
      </c>
      <c r="BW1182" s="167" t="s">
        <v>2153</v>
      </c>
      <c r="BX1182" s="168">
        <v>0.02</v>
      </c>
      <c r="BY1182" s="167" t="s">
        <v>1617</v>
      </c>
      <c r="BZ1182" s="168">
        <v>0.01</v>
      </c>
      <c r="CA1182" s="167" t="s">
        <v>1621</v>
      </c>
      <c r="CB1182" s="168">
        <v>0.02</v>
      </c>
      <c r="CC1182" s="62"/>
      <c r="CD1182" s="168"/>
      <c r="CE1182" s="62"/>
      <c r="CF1182" s="62"/>
      <c r="CG1182" s="9"/>
      <c r="CH1182" s="9"/>
      <c r="CI1182" s="9"/>
      <c r="CJ1182" s="9"/>
      <c r="CK1182" s="9"/>
      <c r="CL1182" s="9"/>
      <c r="CM1182" s="9"/>
      <c r="CN1182" s="9"/>
      <c r="CO1182" s="9"/>
      <c r="CP1182" s="9"/>
    </row>
    <row r="1183" spans="1:94" ht="199.5" x14ac:dyDescent="0.25">
      <c r="A1183" s="62" t="s">
        <v>3624</v>
      </c>
      <c r="B1183" s="131" t="s">
        <v>3625</v>
      </c>
      <c r="C1183" s="215"/>
      <c r="D1183" s="215"/>
      <c r="E1183" s="167"/>
      <c r="F1183" s="167"/>
      <c r="G1183" s="167"/>
      <c r="H1183" s="167"/>
      <c r="I1183" s="62"/>
      <c r="J1183" s="62"/>
      <c r="K1183" s="62"/>
      <c r="L1183" s="62"/>
      <c r="M1183" s="62"/>
      <c r="N1183" s="62"/>
      <c r="O1183" s="62"/>
      <c r="P1183" s="62"/>
      <c r="Q1183" s="62"/>
      <c r="R1183" s="62"/>
      <c r="S1183" s="62"/>
      <c r="T1183" s="62"/>
      <c r="U1183" s="62"/>
      <c r="V1183" s="62"/>
      <c r="W1183" s="62"/>
      <c r="X1183" s="62"/>
      <c r="Y1183" s="62"/>
      <c r="Z1183" s="62"/>
      <c r="AA1183" s="62"/>
      <c r="AB1183" s="62"/>
      <c r="AC1183" s="62"/>
      <c r="AD1183" s="62"/>
      <c r="AE1183" s="62"/>
      <c r="AF1183" s="62"/>
      <c r="AG1183" s="62"/>
      <c r="AH1183" s="124"/>
      <c r="AI1183" s="62"/>
      <c r="AJ1183" s="62"/>
      <c r="AK1183" s="62"/>
      <c r="AL1183" s="62"/>
      <c r="AM1183" s="61"/>
      <c r="AN1183" s="62"/>
      <c r="AO1183" s="61" t="s">
        <v>1112</v>
      </c>
      <c r="AP1183" s="212"/>
      <c r="AQ1183" s="213"/>
      <c r="AR1183" s="213"/>
      <c r="AS1183" s="213"/>
      <c r="AT1183" s="213"/>
      <c r="AU1183" s="213"/>
      <c r="AV1183" s="213"/>
      <c r="AW1183" s="62"/>
      <c r="AX1183" s="62"/>
      <c r="AY1183" s="62"/>
      <c r="AZ1183" s="62"/>
      <c r="BA1183" s="141"/>
      <c r="BB1183" s="61"/>
      <c r="BC1183" s="165" t="s">
        <v>1615</v>
      </c>
      <c r="BD1183" s="166">
        <v>0.64</v>
      </c>
      <c r="BE1183" s="167" t="s">
        <v>1616</v>
      </c>
      <c r="BF1183" s="168">
        <v>0.1</v>
      </c>
      <c r="BG1183" s="167" t="s">
        <v>1617</v>
      </c>
      <c r="BH1183" s="168">
        <v>0.01</v>
      </c>
      <c r="BI1183" s="214" t="s">
        <v>1618</v>
      </c>
      <c r="BJ1183" s="168">
        <v>0.25</v>
      </c>
      <c r="BK1183" s="134" t="s">
        <v>1615</v>
      </c>
      <c r="BL1183" s="168">
        <v>0.65</v>
      </c>
      <c r="BM1183" s="167" t="s">
        <v>1618</v>
      </c>
      <c r="BN1183" s="168">
        <v>0.25</v>
      </c>
      <c r="BO1183" s="62" t="s">
        <v>3616</v>
      </c>
      <c r="BP1183" s="168">
        <v>0.1</v>
      </c>
      <c r="BQ1183" s="168"/>
      <c r="BR1183" s="168"/>
      <c r="BS1183" s="135" t="s">
        <v>1615</v>
      </c>
      <c r="BT1183" s="168">
        <v>0.85</v>
      </c>
      <c r="BU1183" s="167" t="s">
        <v>1616</v>
      </c>
      <c r="BV1183" s="168">
        <v>0.1</v>
      </c>
      <c r="BW1183" s="167" t="s">
        <v>2153</v>
      </c>
      <c r="BX1183" s="168">
        <v>0.02</v>
      </c>
      <c r="BY1183" s="167" t="s">
        <v>1617</v>
      </c>
      <c r="BZ1183" s="168">
        <v>0.01</v>
      </c>
      <c r="CA1183" s="167" t="s">
        <v>1621</v>
      </c>
      <c r="CB1183" s="168">
        <v>0.02</v>
      </c>
      <c r="CC1183" s="62"/>
      <c r="CD1183" s="168"/>
      <c r="CE1183" s="165" t="s">
        <v>3626</v>
      </c>
      <c r="CF1183" s="165"/>
      <c r="CG1183" s="216"/>
      <c r="CH1183" s="9"/>
      <c r="CI1183" s="216"/>
      <c r="CJ1183" s="216"/>
      <c r="CK1183" s="216"/>
      <c r="CL1183" s="216"/>
      <c r="CM1183" s="216"/>
      <c r="CN1183" s="216"/>
      <c r="CO1183" s="216"/>
      <c r="CP1183" s="9"/>
    </row>
    <row r="1184" spans="1:94" ht="409.5" x14ac:dyDescent="0.25">
      <c r="A1184" s="62" t="s">
        <v>3627</v>
      </c>
      <c r="B1184" s="131" t="s">
        <v>3628</v>
      </c>
      <c r="C1184" s="215"/>
      <c r="D1184" s="215"/>
      <c r="E1184" s="167"/>
      <c r="F1184" s="167"/>
      <c r="G1184" s="167"/>
      <c r="H1184" s="167"/>
      <c r="I1184" s="62"/>
      <c r="J1184" s="62"/>
      <c r="K1184" s="62"/>
      <c r="L1184" s="62"/>
      <c r="M1184" s="62"/>
      <c r="N1184" s="62"/>
      <c r="O1184" s="62"/>
      <c r="P1184" s="62"/>
      <c r="Q1184" s="62"/>
      <c r="R1184" s="62"/>
      <c r="S1184" s="62"/>
      <c r="T1184" s="62"/>
      <c r="U1184" s="62"/>
      <c r="V1184" s="62"/>
      <c r="W1184" s="62"/>
      <c r="X1184" s="62"/>
      <c r="Y1184" s="62"/>
      <c r="Z1184" s="62"/>
      <c r="AA1184" s="62"/>
      <c r="AB1184" s="62"/>
      <c r="AC1184" s="62"/>
      <c r="AD1184" s="62"/>
      <c r="AE1184" s="62"/>
      <c r="AF1184" s="62"/>
      <c r="AG1184" s="62"/>
      <c r="AH1184" s="124"/>
      <c r="AI1184" s="62"/>
      <c r="AJ1184" s="62"/>
      <c r="AK1184" s="62"/>
      <c r="AL1184" s="62"/>
      <c r="AM1184" s="61"/>
      <c r="AN1184" s="62"/>
      <c r="AO1184" s="61" t="s">
        <v>1112</v>
      </c>
      <c r="AP1184" s="212"/>
      <c r="AQ1184" s="213"/>
      <c r="AR1184" s="213"/>
      <c r="AS1184" s="213"/>
      <c r="AT1184" s="213"/>
      <c r="AU1184" s="213"/>
      <c r="AV1184" s="213"/>
      <c r="AW1184" s="62"/>
      <c r="AX1184" s="62"/>
      <c r="AY1184" s="62"/>
      <c r="AZ1184" s="62"/>
      <c r="BA1184" s="141"/>
      <c r="BB1184" s="61"/>
      <c r="BC1184" s="165" t="s">
        <v>1615</v>
      </c>
      <c r="BD1184" s="166">
        <v>0.87</v>
      </c>
      <c r="BE1184" s="167" t="s">
        <v>1616</v>
      </c>
      <c r="BF1184" s="168">
        <v>0.1</v>
      </c>
      <c r="BG1184" s="167" t="s">
        <v>1617</v>
      </c>
      <c r="BH1184" s="168">
        <v>0.01</v>
      </c>
      <c r="BI1184" s="214" t="s">
        <v>2153</v>
      </c>
      <c r="BJ1184" s="168">
        <v>0.02</v>
      </c>
      <c r="BK1184" s="134" t="s">
        <v>1615</v>
      </c>
      <c r="BL1184" s="168">
        <v>0.4</v>
      </c>
      <c r="BM1184" s="167" t="s">
        <v>1618</v>
      </c>
      <c r="BN1184" s="168">
        <v>0.5</v>
      </c>
      <c r="BO1184" s="62" t="s">
        <v>3616</v>
      </c>
      <c r="BP1184" s="168">
        <v>0.1</v>
      </c>
      <c r="BQ1184" s="168"/>
      <c r="BR1184" s="168"/>
      <c r="BS1184" s="135" t="s">
        <v>1619</v>
      </c>
      <c r="BT1184" s="168">
        <v>0.39</v>
      </c>
      <c r="BU1184" s="167" t="s">
        <v>1616</v>
      </c>
      <c r="BV1184" s="168">
        <v>0.1</v>
      </c>
      <c r="BW1184" s="167" t="s">
        <v>1618</v>
      </c>
      <c r="BX1184" s="168">
        <v>0.5</v>
      </c>
      <c r="BY1184" s="167" t="s">
        <v>1617</v>
      </c>
      <c r="BZ1184" s="168">
        <v>0.01</v>
      </c>
      <c r="CA1184" s="167" t="s">
        <v>1621</v>
      </c>
      <c r="CB1184" s="168"/>
      <c r="CC1184" s="62"/>
      <c r="CD1184" s="168"/>
      <c r="CE1184" s="165" t="s">
        <v>3629</v>
      </c>
      <c r="CF1184" s="165"/>
      <c r="CG1184" s="204"/>
      <c r="CH1184" s="9"/>
      <c r="CI1184" s="204"/>
      <c r="CJ1184" s="204"/>
      <c r="CK1184" s="204"/>
      <c r="CL1184" s="204"/>
      <c r="CM1184" s="204"/>
      <c r="CN1184" s="204"/>
      <c r="CO1184" s="204"/>
      <c r="CP1184" s="9"/>
    </row>
    <row r="1185" spans="1:94" ht="256.5" x14ac:dyDescent="0.25">
      <c r="A1185" s="62" t="s">
        <v>3630</v>
      </c>
      <c r="B1185" s="131" t="s">
        <v>3631</v>
      </c>
      <c r="C1185" s="215"/>
      <c r="D1185" s="215"/>
      <c r="E1185" s="167"/>
      <c r="F1185" s="167"/>
      <c r="G1185" s="167"/>
      <c r="H1185" s="167"/>
      <c r="I1185" s="62"/>
      <c r="J1185" s="62"/>
      <c r="K1185" s="62"/>
      <c r="L1185" s="62"/>
      <c r="M1185" s="62"/>
      <c r="N1185" s="62"/>
      <c r="O1185" s="62"/>
      <c r="P1185" s="62"/>
      <c r="Q1185" s="62"/>
      <c r="R1185" s="62"/>
      <c r="S1185" s="62"/>
      <c r="T1185" s="62"/>
      <c r="U1185" s="62"/>
      <c r="V1185" s="62"/>
      <c r="W1185" s="62"/>
      <c r="X1185" s="62"/>
      <c r="Y1185" s="62"/>
      <c r="Z1185" s="62"/>
      <c r="AA1185" s="62"/>
      <c r="AB1185" s="62"/>
      <c r="AC1185" s="62"/>
      <c r="AD1185" s="62"/>
      <c r="AE1185" s="62"/>
      <c r="AF1185" s="62"/>
      <c r="AG1185" s="62"/>
      <c r="AH1185" s="124"/>
      <c r="AI1185" s="62"/>
      <c r="AJ1185" s="62"/>
      <c r="AK1185" s="62"/>
      <c r="AL1185" s="62"/>
      <c r="AM1185" s="61"/>
      <c r="AN1185" s="62"/>
      <c r="AO1185" s="61" t="s">
        <v>1112</v>
      </c>
      <c r="AP1185" s="212"/>
      <c r="AQ1185" s="213"/>
      <c r="AR1185" s="213"/>
      <c r="AS1185" s="213"/>
      <c r="AT1185" s="213"/>
      <c r="AU1185" s="213"/>
      <c r="AV1185" s="213"/>
      <c r="AW1185" s="62"/>
      <c r="AX1185" s="62"/>
      <c r="AY1185" s="62"/>
      <c r="AZ1185" s="62"/>
      <c r="BA1185" s="141"/>
      <c r="BB1185" s="61"/>
      <c r="BC1185" s="165" t="s">
        <v>1615</v>
      </c>
      <c r="BD1185" s="166">
        <v>0.79</v>
      </c>
      <c r="BE1185" s="167" t="s">
        <v>1616</v>
      </c>
      <c r="BF1185" s="168">
        <v>0.2</v>
      </c>
      <c r="BG1185" s="167" t="s">
        <v>1617</v>
      </c>
      <c r="BH1185" s="168">
        <v>0.01</v>
      </c>
      <c r="BI1185" s="214" t="s">
        <v>1618</v>
      </c>
      <c r="BJ1185" s="168">
        <v>0</v>
      </c>
      <c r="BK1185" s="134" t="s">
        <v>1619</v>
      </c>
      <c r="BL1185" s="168">
        <v>1</v>
      </c>
      <c r="BM1185" s="167" t="s">
        <v>1618</v>
      </c>
      <c r="BN1185" s="168"/>
      <c r="BO1185" s="62" t="s">
        <v>3616</v>
      </c>
      <c r="BP1185" s="168"/>
      <c r="BQ1185" s="168"/>
      <c r="BR1185" s="168"/>
      <c r="BS1185" s="135" t="s">
        <v>1619</v>
      </c>
      <c r="BT1185" s="168">
        <v>0.79</v>
      </c>
      <c r="BU1185" s="167" t="s">
        <v>1616</v>
      </c>
      <c r="BV1185" s="168">
        <v>0.2</v>
      </c>
      <c r="BW1185" s="167" t="s">
        <v>2153</v>
      </c>
      <c r="BX1185" s="168"/>
      <c r="BY1185" s="167" t="s">
        <v>1617</v>
      </c>
      <c r="BZ1185" s="168">
        <v>0.01</v>
      </c>
      <c r="CA1185" s="167" t="s">
        <v>1621</v>
      </c>
      <c r="CB1185" s="168"/>
      <c r="CC1185" s="62"/>
      <c r="CD1185" s="168"/>
      <c r="CE1185" s="165" t="s">
        <v>3632</v>
      </c>
      <c r="CF1185" s="165"/>
      <c r="CG1185" s="204"/>
      <c r="CH1185" s="9"/>
      <c r="CI1185" s="204"/>
      <c r="CJ1185" s="204"/>
      <c r="CK1185" s="204"/>
      <c r="CL1185" s="204"/>
      <c r="CM1185" s="204"/>
      <c r="CN1185" s="204"/>
      <c r="CO1185" s="204"/>
      <c r="CP1185" s="9"/>
    </row>
    <row r="1186" spans="1:94" x14ac:dyDescent="0.25">
      <c r="A1186" s="9" t="s">
        <v>3633</v>
      </c>
      <c r="B1186" s="9" t="s">
        <v>3634</v>
      </c>
      <c r="C1186" s="9"/>
      <c r="D1186" s="9"/>
      <c r="E1186" s="9"/>
      <c r="F1186" s="9"/>
      <c r="G1186" s="9"/>
      <c r="H1186" s="9"/>
      <c r="I1186" s="9"/>
      <c r="J1186" s="9"/>
      <c r="K1186" s="9"/>
      <c r="L1186" s="9"/>
      <c r="M1186" s="9"/>
      <c r="N1186" s="9"/>
      <c r="O1186" s="9"/>
      <c r="P1186" s="9"/>
      <c r="Q1186" s="9"/>
      <c r="R1186" s="9"/>
      <c r="S1186" s="9"/>
      <c r="T1186" s="9"/>
      <c r="U1186" s="9"/>
      <c r="V1186" s="9"/>
      <c r="W1186" s="9"/>
      <c r="X1186" s="9"/>
      <c r="Y1186" s="9"/>
      <c r="Z1186" s="9"/>
      <c r="AA1186" s="9"/>
      <c r="AB1186" s="9"/>
      <c r="AC1186" s="9"/>
      <c r="AD1186" s="9"/>
      <c r="AE1186" s="9"/>
      <c r="AF1186" s="9"/>
      <c r="AG1186" s="9"/>
      <c r="AH1186" s="9"/>
      <c r="AI1186" s="9"/>
      <c r="AJ1186" s="9"/>
      <c r="AK1186" s="9"/>
      <c r="AL1186" s="9"/>
      <c r="AM1186" s="69"/>
      <c r="AN1186" s="9"/>
      <c r="AO1186" s="61" t="s">
        <v>1112</v>
      </c>
      <c r="AP1186" s="210"/>
      <c r="AQ1186" s="211"/>
      <c r="AR1186" s="211"/>
      <c r="AS1186" s="211"/>
      <c r="AT1186" s="211"/>
      <c r="AU1186" s="211"/>
      <c r="AV1186" s="211"/>
      <c r="AW1186" s="9"/>
      <c r="AX1186" s="9"/>
      <c r="AY1186" s="9"/>
      <c r="AZ1186" s="9"/>
      <c r="BA1186" s="120"/>
      <c r="BB1186" s="69"/>
      <c r="BC1186" s="9"/>
      <c r="BD1186" s="9"/>
      <c r="BE1186" s="9"/>
      <c r="BF1186" s="9"/>
      <c r="BG1186" s="9"/>
      <c r="BH1186" s="9"/>
      <c r="BI1186" s="9"/>
      <c r="BJ1186" s="9"/>
      <c r="BK1186" s="9"/>
      <c r="BL1186" s="9"/>
      <c r="BM1186" s="9"/>
      <c r="BN1186" s="9"/>
      <c r="BO1186" s="9"/>
      <c r="BP1186" s="9"/>
      <c r="BQ1186" s="9"/>
      <c r="BR1186" s="9"/>
      <c r="BS1186" s="9"/>
      <c r="BT1186" s="9"/>
      <c r="BU1186" s="9"/>
      <c r="BV1186" s="9"/>
      <c r="BW1186" s="9"/>
      <c r="BX1186" s="9"/>
      <c r="BY1186" s="9"/>
      <c r="BZ1186" s="9"/>
      <c r="CA1186" s="9"/>
      <c r="CB1186" s="9"/>
      <c r="CC1186" s="9"/>
      <c r="CD1186" s="9"/>
      <c r="CE1186" s="9"/>
      <c r="CF1186" s="9"/>
      <c r="CG1186" s="9"/>
      <c r="CH1186" s="9"/>
      <c r="CI1186" s="9"/>
      <c r="CJ1186" s="9"/>
      <c r="CK1186" s="9"/>
      <c r="CL1186" s="9"/>
      <c r="CM1186" s="9"/>
      <c r="CN1186" s="9"/>
      <c r="CO1186" s="9"/>
      <c r="CP1186" s="9"/>
    </row>
    <row r="1187" spans="1:94" ht="42.75" x14ac:dyDescent="0.25">
      <c r="A1187" s="62" t="s">
        <v>3635</v>
      </c>
      <c r="B1187" s="131" t="s">
        <v>3636</v>
      </c>
      <c r="C1187" s="215"/>
      <c r="D1187" s="215"/>
      <c r="E1187" s="167"/>
      <c r="F1187" s="167"/>
      <c r="G1187" s="167"/>
      <c r="H1187" s="167"/>
      <c r="I1187" s="62"/>
      <c r="J1187" s="62"/>
      <c r="K1187" s="62"/>
      <c r="L1187" s="62"/>
      <c r="M1187" s="62"/>
      <c r="N1187" s="62"/>
      <c r="O1187" s="62"/>
      <c r="P1187" s="62"/>
      <c r="Q1187" s="62"/>
      <c r="R1187" s="62"/>
      <c r="S1187" s="62"/>
      <c r="T1187" s="62"/>
      <c r="U1187" s="62"/>
      <c r="V1187" s="62"/>
      <c r="W1187" s="62"/>
      <c r="X1187" s="62"/>
      <c r="Y1187" s="62"/>
      <c r="Z1187" s="62"/>
      <c r="AA1187" s="62"/>
      <c r="AB1187" s="62"/>
      <c r="AC1187" s="62"/>
      <c r="AD1187" s="62"/>
      <c r="AE1187" s="62"/>
      <c r="AF1187" s="62"/>
      <c r="AG1187" s="62"/>
      <c r="AH1187" s="124"/>
      <c r="AI1187" s="62"/>
      <c r="AJ1187" s="62"/>
      <c r="AK1187" s="62"/>
      <c r="AL1187" s="62"/>
      <c r="AM1187" s="61"/>
      <c r="AN1187" s="62"/>
      <c r="AO1187" s="61" t="s">
        <v>1112</v>
      </c>
      <c r="AP1187" s="212"/>
      <c r="AQ1187" s="213"/>
      <c r="AR1187" s="213"/>
      <c r="AS1187" s="213"/>
      <c r="AT1187" s="213"/>
      <c r="AU1187" s="213"/>
      <c r="AV1187" s="213"/>
      <c r="AW1187" s="62"/>
      <c r="AX1187" s="62"/>
      <c r="AY1187" s="62"/>
      <c r="AZ1187" s="62"/>
      <c r="BA1187" s="141"/>
      <c r="BB1187" s="61"/>
      <c r="BC1187" s="165" t="s">
        <v>1615</v>
      </c>
      <c r="BD1187" s="166">
        <v>0.79</v>
      </c>
      <c r="BE1187" s="167" t="s">
        <v>1616</v>
      </c>
      <c r="BF1187" s="168">
        <v>0.2</v>
      </c>
      <c r="BG1187" s="167" t="s">
        <v>1617</v>
      </c>
      <c r="BH1187" s="168">
        <v>0.01</v>
      </c>
      <c r="BI1187" s="214" t="s">
        <v>1618</v>
      </c>
      <c r="BJ1187" s="168">
        <v>0</v>
      </c>
      <c r="BK1187" s="134" t="s">
        <v>1619</v>
      </c>
      <c r="BL1187" s="168">
        <v>1</v>
      </c>
      <c r="BM1187" s="167" t="s">
        <v>1618</v>
      </c>
      <c r="BN1187" s="168"/>
      <c r="BO1187" s="62" t="s">
        <v>3616</v>
      </c>
      <c r="BP1187" s="168"/>
      <c r="BQ1187" s="168"/>
      <c r="BR1187" s="168"/>
      <c r="BS1187" s="135" t="s">
        <v>1619</v>
      </c>
      <c r="BT1187" s="168">
        <v>0.79</v>
      </c>
      <c r="BU1187" s="167" t="s">
        <v>1616</v>
      </c>
      <c r="BV1187" s="168">
        <v>0.2</v>
      </c>
      <c r="BW1187" s="167" t="s">
        <v>2153</v>
      </c>
      <c r="BX1187" s="168"/>
      <c r="BY1187" s="167" t="s">
        <v>1617</v>
      </c>
      <c r="BZ1187" s="168">
        <v>0.01</v>
      </c>
      <c r="CA1187" s="167" t="s">
        <v>1621</v>
      </c>
      <c r="CB1187" s="168"/>
      <c r="CC1187" s="62"/>
      <c r="CD1187" s="168"/>
      <c r="CE1187" s="165"/>
      <c r="CF1187" s="165"/>
      <c r="CG1187" s="217"/>
      <c r="CH1187" s="9"/>
      <c r="CI1187" s="217"/>
      <c r="CJ1187" s="217"/>
      <c r="CK1187" s="217"/>
      <c r="CL1187" s="217"/>
      <c r="CM1187" s="217"/>
      <c r="CN1187" s="217"/>
      <c r="CO1187" s="217"/>
      <c r="CP1187" s="9"/>
    </row>
    <row r="1188" spans="1:94" ht="42.75" x14ac:dyDescent="0.25">
      <c r="A1188" s="62" t="s">
        <v>3637</v>
      </c>
      <c r="B1188" s="131" t="s">
        <v>3638</v>
      </c>
      <c r="C1188" s="215"/>
      <c r="D1188" s="215"/>
      <c r="E1188" s="167"/>
      <c r="F1188" s="167"/>
      <c r="G1188" s="167"/>
      <c r="H1188" s="167"/>
      <c r="I1188" s="62"/>
      <c r="J1188" s="62"/>
      <c r="K1188" s="62"/>
      <c r="L1188" s="62"/>
      <c r="M1188" s="62"/>
      <c r="N1188" s="62"/>
      <c r="O1188" s="62"/>
      <c r="P1188" s="62"/>
      <c r="Q1188" s="62"/>
      <c r="R1188" s="62"/>
      <c r="S1188" s="62"/>
      <c r="T1188" s="62"/>
      <c r="U1188" s="62"/>
      <c r="V1188" s="62"/>
      <c r="W1188" s="62"/>
      <c r="X1188" s="62"/>
      <c r="Y1188" s="62"/>
      <c r="Z1188" s="62"/>
      <c r="AA1188" s="62"/>
      <c r="AB1188" s="62"/>
      <c r="AC1188" s="62"/>
      <c r="AD1188" s="62"/>
      <c r="AE1188" s="62"/>
      <c r="AF1188" s="62"/>
      <c r="AG1188" s="62"/>
      <c r="AH1188" s="124"/>
      <c r="AI1188" s="62"/>
      <c r="AJ1188" s="62"/>
      <c r="AK1188" s="62"/>
      <c r="AL1188" s="62"/>
      <c r="AM1188" s="61"/>
      <c r="AN1188" s="62"/>
      <c r="AO1188" s="61" t="s">
        <v>1112</v>
      </c>
      <c r="AP1188" s="212"/>
      <c r="AQ1188" s="213"/>
      <c r="AR1188" s="213"/>
      <c r="AS1188" s="213"/>
      <c r="AT1188" s="213"/>
      <c r="AU1188" s="213"/>
      <c r="AV1188" s="213"/>
      <c r="AW1188" s="62"/>
      <c r="AX1188" s="62"/>
      <c r="AY1188" s="62"/>
      <c r="AZ1188" s="62"/>
      <c r="BA1188" s="141"/>
      <c r="BB1188" s="61"/>
      <c r="BC1188" s="165" t="s">
        <v>1615</v>
      </c>
      <c r="BD1188" s="166">
        <v>0.79</v>
      </c>
      <c r="BE1188" s="167" t="s">
        <v>1616</v>
      </c>
      <c r="BF1188" s="168">
        <v>0.2</v>
      </c>
      <c r="BG1188" s="167" t="s">
        <v>1617</v>
      </c>
      <c r="BH1188" s="168">
        <v>0.01</v>
      </c>
      <c r="BI1188" s="214" t="s">
        <v>1618</v>
      </c>
      <c r="BJ1188" s="168">
        <v>0</v>
      </c>
      <c r="BK1188" s="134" t="s">
        <v>1619</v>
      </c>
      <c r="BL1188" s="168">
        <v>1</v>
      </c>
      <c r="BM1188" s="167" t="s">
        <v>1618</v>
      </c>
      <c r="BN1188" s="168"/>
      <c r="BO1188" s="62" t="s">
        <v>3616</v>
      </c>
      <c r="BP1188" s="168"/>
      <c r="BQ1188" s="168"/>
      <c r="BR1188" s="168"/>
      <c r="BS1188" s="135" t="s">
        <v>1619</v>
      </c>
      <c r="BT1188" s="168">
        <v>0.79</v>
      </c>
      <c r="BU1188" s="167" t="s">
        <v>1616</v>
      </c>
      <c r="BV1188" s="168">
        <v>0.2</v>
      </c>
      <c r="BW1188" s="167" t="s">
        <v>2153</v>
      </c>
      <c r="BX1188" s="168"/>
      <c r="BY1188" s="167" t="s">
        <v>1617</v>
      </c>
      <c r="BZ1188" s="168">
        <v>0.01</v>
      </c>
      <c r="CA1188" s="167" t="s">
        <v>1621</v>
      </c>
      <c r="CB1188" s="168"/>
      <c r="CC1188" s="62"/>
      <c r="CD1188" s="168"/>
      <c r="CE1188" s="165"/>
      <c r="CF1188" s="165"/>
      <c r="CG1188" s="204"/>
      <c r="CH1188" s="9"/>
      <c r="CI1188" s="204"/>
      <c r="CJ1188" s="204"/>
      <c r="CK1188" s="204"/>
      <c r="CL1188" s="204"/>
      <c r="CM1188" s="204"/>
      <c r="CN1188" s="204"/>
      <c r="CO1188" s="204"/>
      <c r="CP1188" s="9"/>
    </row>
    <row r="1189" spans="1:94" ht="42.75" x14ac:dyDescent="0.25">
      <c r="A1189" s="126" t="s">
        <v>3639</v>
      </c>
      <c r="B1189" s="131" t="s">
        <v>3640</v>
      </c>
      <c r="C1189" s="215"/>
      <c r="D1189" s="215"/>
      <c r="E1189" s="167"/>
      <c r="F1189" s="167"/>
      <c r="G1189" s="167"/>
      <c r="H1189" s="167"/>
      <c r="I1189" s="62"/>
      <c r="J1189" s="62"/>
      <c r="K1189" s="62"/>
      <c r="L1189" s="62"/>
      <c r="M1189" s="62"/>
      <c r="N1189" s="62"/>
      <c r="O1189" s="62"/>
      <c r="P1189" s="62"/>
      <c r="Q1189" s="62"/>
      <c r="R1189" s="62"/>
      <c r="S1189" s="62"/>
      <c r="T1189" s="62"/>
      <c r="U1189" s="62"/>
      <c r="V1189" s="62"/>
      <c r="W1189" s="62"/>
      <c r="X1189" s="62"/>
      <c r="Y1189" s="62"/>
      <c r="Z1189" s="62"/>
      <c r="AA1189" s="62"/>
      <c r="AB1189" s="62"/>
      <c r="AC1189" s="62"/>
      <c r="AD1189" s="62"/>
      <c r="AE1189" s="62"/>
      <c r="AF1189" s="62"/>
      <c r="AG1189" s="62"/>
      <c r="AH1189" s="124"/>
      <c r="AI1189" s="62"/>
      <c r="AJ1189" s="62"/>
      <c r="AK1189" s="62"/>
      <c r="AL1189" s="62"/>
      <c r="AM1189" s="61"/>
      <c r="AN1189" s="62"/>
      <c r="AO1189" s="61" t="s">
        <v>1112</v>
      </c>
      <c r="AP1189" s="212"/>
      <c r="AQ1189" s="213"/>
      <c r="AR1189" s="213"/>
      <c r="AS1189" s="213"/>
      <c r="AT1189" s="213"/>
      <c r="AU1189" s="213"/>
      <c r="AV1189" s="213"/>
      <c r="AW1189" s="62"/>
      <c r="AX1189" s="62"/>
      <c r="AY1189" s="62"/>
      <c r="AZ1189" s="62"/>
      <c r="BA1189" s="141"/>
      <c r="BB1189" s="61"/>
      <c r="BC1189" s="165" t="s">
        <v>1615</v>
      </c>
      <c r="BD1189" s="166">
        <v>0.79</v>
      </c>
      <c r="BE1189" s="167" t="s">
        <v>1616</v>
      </c>
      <c r="BF1189" s="168">
        <v>0.2</v>
      </c>
      <c r="BG1189" s="167" t="s">
        <v>1617</v>
      </c>
      <c r="BH1189" s="168">
        <v>0.01</v>
      </c>
      <c r="BI1189" s="214" t="s">
        <v>1618</v>
      </c>
      <c r="BJ1189" s="168">
        <v>0</v>
      </c>
      <c r="BK1189" s="134" t="s">
        <v>1619</v>
      </c>
      <c r="BL1189" s="168">
        <v>1</v>
      </c>
      <c r="BM1189" s="167" t="s">
        <v>1618</v>
      </c>
      <c r="BN1189" s="168"/>
      <c r="BO1189" s="62" t="s">
        <v>3616</v>
      </c>
      <c r="BP1189" s="168"/>
      <c r="BQ1189" s="168"/>
      <c r="BR1189" s="168"/>
      <c r="BS1189" s="135" t="s">
        <v>1619</v>
      </c>
      <c r="BT1189" s="168">
        <v>0.79</v>
      </c>
      <c r="BU1189" s="167" t="s">
        <v>1616</v>
      </c>
      <c r="BV1189" s="168">
        <v>0.2</v>
      </c>
      <c r="BW1189" s="167" t="s">
        <v>2153</v>
      </c>
      <c r="BX1189" s="168"/>
      <c r="BY1189" s="167" t="s">
        <v>1617</v>
      </c>
      <c r="BZ1189" s="168">
        <v>0.01</v>
      </c>
      <c r="CA1189" s="167" t="s">
        <v>1621</v>
      </c>
      <c r="CB1189" s="168"/>
      <c r="CC1189" s="62"/>
      <c r="CD1189" s="168"/>
      <c r="CE1189" s="165"/>
      <c r="CF1189" s="165"/>
      <c r="CG1189" s="204"/>
      <c r="CH1189" s="9"/>
      <c r="CI1189" s="204"/>
      <c r="CJ1189" s="204"/>
      <c r="CK1189" s="204"/>
      <c r="CL1189" s="204"/>
      <c r="CM1189" s="204"/>
      <c r="CN1189" s="204"/>
      <c r="CO1189" s="204"/>
      <c r="CP1189" s="9"/>
    </row>
    <row r="1190" spans="1:94" ht="42.75" x14ac:dyDescent="0.25">
      <c r="A1190" s="62" t="s">
        <v>3641</v>
      </c>
      <c r="B1190" s="131" t="s">
        <v>3642</v>
      </c>
      <c r="C1190" s="215"/>
      <c r="D1190" s="215"/>
      <c r="E1190" s="167"/>
      <c r="F1190" s="167"/>
      <c r="G1190" s="167"/>
      <c r="H1190" s="167"/>
      <c r="I1190" s="62"/>
      <c r="J1190" s="62"/>
      <c r="K1190" s="62"/>
      <c r="L1190" s="62"/>
      <c r="M1190" s="62"/>
      <c r="N1190" s="62"/>
      <c r="O1190" s="62"/>
      <c r="P1190" s="62"/>
      <c r="Q1190" s="62"/>
      <c r="R1190" s="62"/>
      <c r="S1190" s="62"/>
      <c r="T1190" s="62"/>
      <c r="U1190" s="62"/>
      <c r="V1190" s="62"/>
      <c r="W1190" s="62"/>
      <c r="X1190" s="62"/>
      <c r="Y1190" s="62"/>
      <c r="Z1190" s="62"/>
      <c r="AA1190" s="62"/>
      <c r="AB1190" s="62"/>
      <c r="AC1190" s="62"/>
      <c r="AD1190" s="62"/>
      <c r="AE1190" s="62"/>
      <c r="AF1190" s="62"/>
      <c r="AG1190" s="62"/>
      <c r="AH1190" s="124"/>
      <c r="AI1190" s="62"/>
      <c r="AJ1190" s="62"/>
      <c r="AK1190" s="62"/>
      <c r="AL1190" s="62"/>
      <c r="AM1190" s="61"/>
      <c r="AN1190" s="62"/>
      <c r="AO1190" s="61" t="s">
        <v>1112</v>
      </c>
      <c r="AP1190" s="212"/>
      <c r="AQ1190" s="213"/>
      <c r="AR1190" s="213"/>
      <c r="AS1190" s="213"/>
      <c r="AT1190" s="213"/>
      <c r="AU1190" s="213"/>
      <c r="AV1190" s="213"/>
      <c r="AW1190" s="62"/>
      <c r="AX1190" s="62"/>
      <c r="AY1190" s="62"/>
      <c r="AZ1190" s="62"/>
      <c r="BA1190" s="141"/>
      <c r="BB1190" s="61"/>
      <c r="BC1190" s="165" t="s">
        <v>1615</v>
      </c>
      <c r="BD1190" s="166">
        <v>0.79</v>
      </c>
      <c r="BE1190" s="167" t="s">
        <v>1616</v>
      </c>
      <c r="BF1190" s="168">
        <v>0.2</v>
      </c>
      <c r="BG1190" s="167" t="s">
        <v>1617</v>
      </c>
      <c r="BH1190" s="168">
        <v>0.01</v>
      </c>
      <c r="BI1190" s="214" t="s">
        <v>1618</v>
      </c>
      <c r="BJ1190" s="168">
        <v>0</v>
      </c>
      <c r="BK1190" s="134" t="s">
        <v>1619</v>
      </c>
      <c r="BL1190" s="168">
        <v>1</v>
      </c>
      <c r="BM1190" s="167" t="s">
        <v>1618</v>
      </c>
      <c r="BN1190" s="168"/>
      <c r="BO1190" s="62" t="s">
        <v>3616</v>
      </c>
      <c r="BP1190" s="168"/>
      <c r="BQ1190" s="168"/>
      <c r="BR1190" s="168"/>
      <c r="BS1190" s="135" t="s">
        <v>1619</v>
      </c>
      <c r="BT1190" s="168">
        <v>0.79</v>
      </c>
      <c r="BU1190" s="167" t="s">
        <v>1616</v>
      </c>
      <c r="BV1190" s="168">
        <v>0.2</v>
      </c>
      <c r="BW1190" s="167" t="s">
        <v>2153</v>
      </c>
      <c r="BX1190" s="168"/>
      <c r="BY1190" s="167" t="s">
        <v>1617</v>
      </c>
      <c r="BZ1190" s="168">
        <v>0.01</v>
      </c>
      <c r="CA1190" s="167" t="s">
        <v>1621</v>
      </c>
      <c r="CB1190" s="168"/>
      <c r="CC1190" s="62"/>
      <c r="CD1190" s="168"/>
      <c r="CE1190" s="165"/>
      <c r="CF1190" s="165"/>
      <c r="CG1190" s="204"/>
      <c r="CH1190" s="9"/>
      <c r="CI1190" s="204"/>
      <c r="CJ1190" s="204"/>
      <c r="CK1190" s="204"/>
      <c r="CL1190" s="204"/>
      <c r="CM1190" s="204"/>
      <c r="CN1190" s="204"/>
      <c r="CO1190" s="204"/>
      <c r="CP1190" s="9"/>
    </row>
    <row r="1191" spans="1:94" ht="42.75" x14ac:dyDescent="0.25">
      <c r="A1191" s="62" t="s">
        <v>3643</v>
      </c>
      <c r="B1191" s="131" t="s">
        <v>3644</v>
      </c>
      <c r="C1191" s="215"/>
      <c r="D1191" s="215"/>
      <c r="E1191" s="167"/>
      <c r="F1191" s="167"/>
      <c r="G1191" s="167"/>
      <c r="H1191" s="167"/>
      <c r="I1191" s="62"/>
      <c r="J1191" s="62"/>
      <c r="K1191" s="62"/>
      <c r="L1191" s="62"/>
      <c r="M1191" s="62"/>
      <c r="N1191" s="62"/>
      <c r="O1191" s="62"/>
      <c r="P1191" s="62"/>
      <c r="Q1191" s="62"/>
      <c r="R1191" s="62"/>
      <c r="S1191" s="62"/>
      <c r="T1191" s="62"/>
      <c r="U1191" s="62"/>
      <c r="V1191" s="62"/>
      <c r="W1191" s="62"/>
      <c r="X1191" s="62"/>
      <c r="Y1191" s="62"/>
      <c r="Z1191" s="62"/>
      <c r="AA1191" s="62"/>
      <c r="AB1191" s="62"/>
      <c r="AC1191" s="62"/>
      <c r="AD1191" s="62"/>
      <c r="AE1191" s="62"/>
      <c r="AF1191" s="62"/>
      <c r="AG1191" s="62"/>
      <c r="AH1191" s="124"/>
      <c r="AI1191" s="62"/>
      <c r="AJ1191" s="62"/>
      <c r="AK1191" s="62"/>
      <c r="AL1191" s="62"/>
      <c r="AM1191" s="61"/>
      <c r="AN1191" s="62"/>
      <c r="AO1191" s="61" t="s">
        <v>1112</v>
      </c>
      <c r="AP1191" s="212"/>
      <c r="AQ1191" s="213"/>
      <c r="AR1191" s="213"/>
      <c r="AS1191" s="213"/>
      <c r="AT1191" s="213"/>
      <c r="AU1191" s="213"/>
      <c r="AV1191" s="213"/>
      <c r="AW1191" s="62"/>
      <c r="AX1191" s="62"/>
      <c r="AY1191" s="62"/>
      <c r="AZ1191" s="62"/>
      <c r="BA1191" s="141"/>
      <c r="BB1191" s="61"/>
      <c r="BC1191" s="165" t="s">
        <v>1615</v>
      </c>
      <c r="BD1191" s="166">
        <v>0.79</v>
      </c>
      <c r="BE1191" s="167" t="s">
        <v>1616</v>
      </c>
      <c r="BF1191" s="168">
        <v>0.2</v>
      </c>
      <c r="BG1191" s="167" t="s">
        <v>1617</v>
      </c>
      <c r="BH1191" s="168">
        <v>0.01</v>
      </c>
      <c r="BI1191" s="214" t="s">
        <v>1618</v>
      </c>
      <c r="BJ1191" s="168">
        <v>0</v>
      </c>
      <c r="BK1191" s="134" t="s">
        <v>1619</v>
      </c>
      <c r="BL1191" s="168">
        <v>1</v>
      </c>
      <c r="BM1191" s="167" t="s">
        <v>1618</v>
      </c>
      <c r="BN1191" s="168"/>
      <c r="BO1191" s="62" t="s">
        <v>3616</v>
      </c>
      <c r="BP1191" s="168"/>
      <c r="BQ1191" s="168"/>
      <c r="BR1191" s="168"/>
      <c r="BS1191" s="135" t="s">
        <v>1619</v>
      </c>
      <c r="BT1191" s="168">
        <v>0.79</v>
      </c>
      <c r="BU1191" s="167" t="s">
        <v>1616</v>
      </c>
      <c r="BV1191" s="168">
        <v>0.2</v>
      </c>
      <c r="BW1191" s="167" t="s">
        <v>2153</v>
      </c>
      <c r="BX1191" s="168"/>
      <c r="BY1191" s="167" t="s">
        <v>1617</v>
      </c>
      <c r="BZ1191" s="168">
        <v>0.01</v>
      </c>
      <c r="CA1191" s="167" t="s">
        <v>1621</v>
      </c>
      <c r="CB1191" s="168"/>
      <c r="CC1191" s="62"/>
      <c r="CD1191" s="168"/>
      <c r="CE1191" s="165"/>
      <c r="CF1191" s="165"/>
      <c r="CG1191" s="204"/>
      <c r="CH1191" s="9"/>
      <c r="CI1191" s="204"/>
      <c r="CJ1191" s="204"/>
      <c r="CK1191" s="204"/>
      <c r="CL1191" s="204"/>
      <c r="CM1191" s="204"/>
      <c r="CN1191" s="204"/>
      <c r="CO1191" s="204"/>
      <c r="CP1191" s="9"/>
    </row>
    <row r="1192" spans="1:94" ht="42.75" x14ac:dyDescent="0.25">
      <c r="A1192" s="62" t="s">
        <v>3645</v>
      </c>
      <c r="B1192" s="131" t="s">
        <v>3646</v>
      </c>
      <c r="C1192" s="215"/>
      <c r="D1192" s="215"/>
      <c r="E1192" s="167"/>
      <c r="F1192" s="167"/>
      <c r="G1192" s="167"/>
      <c r="H1192" s="167"/>
      <c r="I1192" s="62"/>
      <c r="J1192" s="62"/>
      <c r="K1192" s="62"/>
      <c r="L1192" s="62"/>
      <c r="M1192" s="62"/>
      <c r="N1192" s="62"/>
      <c r="O1192" s="62"/>
      <c r="P1192" s="62"/>
      <c r="Q1192" s="62"/>
      <c r="R1192" s="62"/>
      <c r="S1192" s="62"/>
      <c r="T1192" s="62"/>
      <c r="U1192" s="62"/>
      <c r="V1192" s="62"/>
      <c r="W1192" s="62"/>
      <c r="X1192" s="62"/>
      <c r="Y1192" s="62"/>
      <c r="Z1192" s="62"/>
      <c r="AA1192" s="62"/>
      <c r="AB1192" s="62"/>
      <c r="AC1192" s="62"/>
      <c r="AD1192" s="62"/>
      <c r="AE1192" s="62"/>
      <c r="AF1192" s="62"/>
      <c r="AG1192" s="62"/>
      <c r="AH1192" s="124"/>
      <c r="AI1192" s="62"/>
      <c r="AJ1192" s="62"/>
      <c r="AK1192" s="62"/>
      <c r="AL1192" s="62"/>
      <c r="AM1192" s="61"/>
      <c r="AN1192" s="62"/>
      <c r="AO1192" s="61" t="s">
        <v>1112</v>
      </c>
      <c r="AP1192" s="212"/>
      <c r="AQ1192" s="213"/>
      <c r="AR1192" s="213"/>
      <c r="AS1192" s="213"/>
      <c r="AT1192" s="213"/>
      <c r="AU1192" s="213"/>
      <c r="AV1192" s="213"/>
      <c r="AW1192" s="62"/>
      <c r="AX1192" s="62"/>
      <c r="AY1192" s="62"/>
      <c r="AZ1192" s="62"/>
      <c r="BA1192" s="141"/>
      <c r="BB1192" s="61"/>
      <c r="BC1192" s="165" t="s">
        <v>1615</v>
      </c>
      <c r="BD1192" s="166">
        <v>0.79</v>
      </c>
      <c r="BE1192" s="167" t="s">
        <v>1616</v>
      </c>
      <c r="BF1192" s="168">
        <v>0.2</v>
      </c>
      <c r="BG1192" s="167" t="s">
        <v>1617</v>
      </c>
      <c r="BH1192" s="168">
        <v>0.01</v>
      </c>
      <c r="BI1192" s="214" t="s">
        <v>1618</v>
      </c>
      <c r="BJ1192" s="168">
        <v>0</v>
      </c>
      <c r="BK1192" s="134" t="s">
        <v>1619</v>
      </c>
      <c r="BL1192" s="168">
        <v>1</v>
      </c>
      <c r="BM1192" s="167" t="s">
        <v>1618</v>
      </c>
      <c r="BN1192" s="168"/>
      <c r="BO1192" s="62" t="s">
        <v>3616</v>
      </c>
      <c r="BP1192" s="168"/>
      <c r="BQ1192" s="168"/>
      <c r="BR1192" s="168"/>
      <c r="BS1192" s="135" t="s">
        <v>1619</v>
      </c>
      <c r="BT1192" s="168">
        <v>0.79</v>
      </c>
      <c r="BU1192" s="167" t="s">
        <v>1616</v>
      </c>
      <c r="BV1192" s="168">
        <v>0.2</v>
      </c>
      <c r="BW1192" s="167" t="s">
        <v>2153</v>
      </c>
      <c r="BX1192" s="168"/>
      <c r="BY1192" s="167" t="s">
        <v>1617</v>
      </c>
      <c r="BZ1192" s="168">
        <v>0.01</v>
      </c>
      <c r="CA1192" s="167" t="s">
        <v>1621</v>
      </c>
      <c r="CB1192" s="168"/>
      <c r="CC1192" s="62"/>
      <c r="CD1192" s="168"/>
      <c r="CE1192" s="165"/>
      <c r="CF1192" s="165"/>
      <c r="CG1192" s="204"/>
      <c r="CH1192" s="9"/>
      <c r="CI1192" s="204"/>
      <c r="CJ1192" s="204"/>
      <c r="CK1192" s="204"/>
      <c r="CL1192" s="204"/>
      <c r="CM1192" s="204"/>
      <c r="CN1192" s="204"/>
      <c r="CO1192" s="204"/>
      <c r="CP1192" s="9"/>
    </row>
    <row r="1193" spans="1:94" ht="42.75" x14ac:dyDescent="0.25">
      <c r="A1193" s="62" t="s">
        <v>3647</v>
      </c>
      <c r="B1193" s="131" t="s">
        <v>3648</v>
      </c>
      <c r="C1193" s="215"/>
      <c r="D1193" s="215"/>
      <c r="E1193" s="167"/>
      <c r="F1193" s="167"/>
      <c r="G1193" s="167"/>
      <c r="H1193" s="167"/>
      <c r="I1193" s="62"/>
      <c r="J1193" s="62"/>
      <c r="K1193" s="62"/>
      <c r="L1193" s="62"/>
      <c r="M1193" s="62"/>
      <c r="N1193" s="62"/>
      <c r="O1193" s="62"/>
      <c r="P1193" s="62"/>
      <c r="Q1193" s="62"/>
      <c r="R1193" s="62"/>
      <c r="S1193" s="62"/>
      <c r="T1193" s="62"/>
      <c r="U1193" s="62"/>
      <c r="V1193" s="62"/>
      <c r="W1193" s="62"/>
      <c r="X1193" s="62"/>
      <c r="Y1193" s="62"/>
      <c r="Z1193" s="62"/>
      <c r="AA1193" s="62"/>
      <c r="AB1193" s="62"/>
      <c r="AC1193" s="62"/>
      <c r="AD1193" s="62"/>
      <c r="AE1193" s="62"/>
      <c r="AF1193" s="62"/>
      <c r="AG1193" s="62"/>
      <c r="AH1193" s="124"/>
      <c r="AI1193" s="62"/>
      <c r="AJ1193" s="62"/>
      <c r="AK1193" s="62"/>
      <c r="AL1193" s="62"/>
      <c r="AM1193" s="61"/>
      <c r="AN1193" s="62"/>
      <c r="AO1193" s="61" t="s">
        <v>1112</v>
      </c>
      <c r="AP1193" s="212"/>
      <c r="AQ1193" s="213"/>
      <c r="AR1193" s="213"/>
      <c r="AS1193" s="213"/>
      <c r="AT1193" s="213"/>
      <c r="AU1193" s="213"/>
      <c r="AV1193" s="213"/>
      <c r="AW1193" s="62"/>
      <c r="AX1193" s="62"/>
      <c r="AY1193" s="62"/>
      <c r="AZ1193" s="62"/>
      <c r="BA1193" s="141"/>
      <c r="BB1193" s="61"/>
      <c r="BC1193" s="165" t="s">
        <v>1615</v>
      </c>
      <c r="BD1193" s="166">
        <v>0.79</v>
      </c>
      <c r="BE1193" s="167" t="s">
        <v>1616</v>
      </c>
      <c r="BF1193" s="168">
        <v>0.2</v>
      </c>
      <c r="BG1193" s="167" t="s">
        <v>1617</v>
      </c>
      <c r="BH1193" s="168">
        <v>0.01</v>
      </c>
      <c r="BI1193" s="214" t="s">
        <v>1618</v>
      </c>
      <c r="BJ1193" s="168">
        <v>0</v>
      </c>
      <c r="BK1193" s="134" t="s">
        <v>1619</v>
      </c>
      <c r="BL1193" s="168">
        <v>1</v>
      </c>
      <c r="BM1193" s="167" t="s">
        <v>1618</v>
      </c>
      <c r="BN1193" s="168"/>
      <c r="BO1193" s="62" t="s">
        <v>3616</v>
      </c>
      <c r="BP1193" s="168"/>
      <c r="BQ1193" s="168"/>
      <c r="BR1193" s="168"/>
      <c r="BS1193" s="135" t="s">
        <v>1619</v>
      </c>
      <c r="BT1193" s="168">
        <v>0.79</v>
      </c>
      <c r="BU1193" s="167" t="s">
        <v>1616</v>
      </c>
      <c r="BV1193" s="168">
        <v>0.2</v>
      </c>
      <c r="BW1193" s="167" t="s">
        <v>2153</v>
      </c>
      <c r="BX1193" s="168"/>
      <c r="BY1193" s="167" t="s">
        <v>1617</v>
      </c>
      <c r="BZ1193" s="168">
        <v>0.01</v>
      </c>
      <c r="CA1193" s="167" t="s">
        <v>1621</v>
      </c>
      <c r="CB1193" s="168"/>
      <c r="CC1193" s="62"/>
      <c r="CD1193" s="168"/>
      <c r="CE1193" s="165"/>
      <c r="CF1193" s="165"/>
      <c r="CG1193" s="204"/>
      <c r="CH1193" s="9"/>
      <c r="CI1193" s="204"/>
      <c r="CJ1193" s="204"/>
      <c r="CK1193" s="204"/>
      <c r="CL1193" s="204"/>
      <c r="CM1193" s="204"/>
      <c r="CN1193" s="204"/>
      <c r="CO1193" s="204"/>
      <c r="CP1193" s="9"/>
    </row>
    <row r="1194" spans="1:94" ht="42.75" x14ac:dyDescent="0.25">
      <c r="A1194" s="62" t="s">
        <v>3649</v>
      </c>
      <c r="B1194" s="131" t="s">
        <v>3650</v>
      </c>
      <c r="C1194" s="215"/>
      <c r="D1194" s="215"/>
      <c r="E1194" s="167"/>
      <c r="F1194" s="167"/>
      <c r="G1194" s="167"/>
      <c r="H1194" s="167"/>
      <c r="I1194" s="62"/>
      <c r="J1194" s="62"/>
      <c r="K1194" s="62"/>
      <c r="L1194" s="62"/>
      <c r="M1194" s="62"/>
      <c r="N1194" s="62"/>
      <c r="O1194" s="62"/>
      <c r="P1194" s="62"/>
      <c r="Q1194" s="62"/>
      <c r="R1194" s="62"/>
      <c r="S1194" s="62"/>
      <c r="T1194" s="62"/>
      <c r="U1194" s="62"/>
      <c r="V1194" s="62"/>
      <c r="W1194" s="62"/>
      <c r="X1194" s="62"/>
      <c r="Y1194" s="62"/>
      <c r="Z1194" s="62"/>
      <c r="AA1194" s="62"/>
      <c r="AB1194" s="62"/>
      <c r="AC1194" s="62"/>
      <c r="AD1194" s="62"/>
      <c r="AE1194" s="62"/>
      <c r="AF1194" s="62"/>
      <c r="AG1194" s="62"/>
      <c r="AH1194" s="124"/>
      <c r="AI1194" s="62"/>
      <c r="AJ1194" s="62"/>
      <c r="AK1194" s="62"/>
      <c r="AL1194" s="62"/>
      <c r="AM1194" s="61"/>
      <c r="AN1194" s="62"/>
      <c r="AO1194" s="61" t="s">
        <v>1112</v>
      </c>
      <c r="AP1194" s="212"/>
      <c r="AQ1194" s="213"/>
      <c r="AR1194" s="213"/>
      <c r="AS1194" s="213"/>
      <c r="AT1194" s="213"/>
      <c r="AU1194" s="213"/>
      <c r="AV1194" s="213"/>
      <c r="AW1194" s="62"/>
      <c r="AX1194" s="62"/>
      <c r="AY1194" s="62"/>
      <c r="AZ1194" s="62"/>
      <c r="BA1194" s="141"/>
      <c r="BB1194" s="61"/>
      <c r="BC1194" s="165" t="s">
        <v>1615</v>
      </c>
      <c r="BD1194" s="166">
        <v>0.79</v>
      </c>
      <c r="BE1194" s="167" t="s">
        <v>1616</v>
      </c>
      <c r="BF1194" s="168">
        <v>0.2</v>
      </c>
      <c r="BG1194" s="167" t="s">
        <v>1617</v>
      </c>
      <c r="BH1194" s="168">
        <v>0.01</v>
      </c>
      <c r="BI1194" s="214" t="s">
        <v>1618</v>
      </c>
      <c r="BJ1194" s="168">
        <v>0</v>
      </c>
      <c r="BK1194" s="134" t="s">
        <v>1619</v>
      </c>
      <c r="BL1194" s="168">
        <v>1</v>
      </c>
      <c r="BM1194" s="167" t="s">
        <v>1618</v>
      </c>
      <c r="BN1194" s="168"/>
      <c r="BO1194" s="62" t="s">
        <v>3616</v>
      </c>
      <c r="BP1194" s="168"/>
      <c r="BQ1194" s="168"/>
      <c r="BR1194" s="168"/>
      <c r="BS1194" s="135" t="s">
        <v>1619</v>
      </c>
      <c r="BT1194" s="168">
        <v>0.79</v>
      </c>
      <c r="BU1194" s="167" t="s">
        <v>1616</v>
      </c>
      <c r="BV1194" s="168">
        <v>0.2</v>
      </c>
      <c r="BW1194" s="167" t="s">
        <v>2153</v>
      </c>
      <c r="BX1194" s="168"/>
      <c r="BY1194" s="167" t="s">
        <v>1617</v>
      </c>
      <c r="BZ1194" s="168">
        <v>0.01</v>
      </c>
      <c r="CA1194" s="167" t="s">
        <v>1621</v>
      </c>
      <c r="CB1194" s="168"/>
      <c r="CC1194" s="62"/>
      <c r="CD1194" s="168"/>
      <c r="CE1194" s="165"/>
      <c r="CF1194" s="165"/>
      <c r="CG1194" s="204"/>
      <c r="CH1194" s="9"/>
      <c r="CI1194" s="204"/>
      <c r="CJ1194" s="204"/>
      <c r="CK1194" s="204"/>
      <c r="CL1194" s="204"/>
      <c r="CM1194" s="204"/>
      <c r="CN1194" s="204"/>
      <c r="CO1194" s="204"/>
      <c r="CP1194" s="9"/>
    </row>
    <row r="1195" spans="1:94" ht="42.75" x14ac:dyDescent="0.25">
      <c r="A1195" s="62" t="s">
        <v>3651</v>
      </c>
      <c r="B1195" s="131" t="s">
        <v>3652</v>
      </c>
      <c r="C1195" s="215"/>
      <c r="D1195" s="215"/>
      <c r="E1195" s="215"/>
      <c r="F1195" s="215"/>
      <c r="G1195" s="215"/>
      <c r="H1195" s="218"/>
      <c r="I1195" s="62"/>
      <c r="J1195" s="62"/>
      <c r="K1195" s="62"/>
      <c r="L1195" s="62"/>
      <c r="M1195" s="62"/>
      <c r="N1195" s="62"/>
      <c r="O1195" s="62"/>
      <c r="P1195" s="62"/>
      <c r="Q1195" s="62"/>
      <c r="R1195" s="62"/>
      <c r="S1195" s="62"/>
      <c r="T1195" s="62"/>
      <c r="U1195" s="62"/>
      <c r="V1195" s="62"/>
      <c r="W1195" s="62"/>
      <c r="X1195" s="62"/>
      <c r="Y1195" s="62"/>
      <c r="Z1195" s="62"/>
      <c r="AA1195" s="62"/>
      <c r="AB1195" s="62"/>
      <c r="AC1195" s="62"/>
      <c r="AD1195" s="62"/>
      <c r="AE1195" s="62"/>
      <c r="AF1195" s="62"/>
      <c r="AG1195" s="62"/>
      <c r="AH1195" s="62"/>
      <c r="AI1195" s="62"/>
      <c r="AJ1195" s="62"/>
      <c r="AK1195" s="62"/>
      <c r="AL1195" s="62"/>
      <c r="AM1195" s="61"/>
      <c r="AN1195" s="62"/>
      <c r="AO1195" s="61" t="s">
        <v>1112</v>
      </c>
      <c r="AP1195" s="212"/>
      <c r="AQ1195" s="213"/>
      <c r="AR1195" s="213"/>
      <c r="AS1195" s="213"/>
      <c r="AT1195" s="213"/>
      <c r="AU1195" s="213"/>
      <c r="AV1195" s="213"/>
      <c r="AW1195" s="62"/>
      <c r="AX1195" s="62"/>
      <c r="AY1195" s="62"/>
      <c r="AZ1195" s="62"/>
      <c r="BA1195" s="141"/>
      <c r="BB1195" s="61"/>
      <c r="BC1195" s="165" t="s">
        <v>1615</v>
      </c>
      <c r="BD1195" s="166">
        <v>0.79</v>
      </c>
      <c r="BE1195" s="167" t="s">
        <v>1616</v>
      </c>
      <c r="BF1195" s="168">
        <v>0.2</v>
      </c>
      <c r="BG1195" s="167" t="s">
        <v>1617</v>
      </c>
      <c r="BH1195" s="168">
        <v>0.01</v>
      </c>
      <c r="BI1195" s="214" t="s">
        <v>1618</v>
      </c>
      <c r="BJ1195" s="168">
        <v>0</v>
      </c>
      <c r="BK1195" s="134" t="s">
        <v>1619</v>
      </c>
      <c r="BL1195" s="168">
        <v>1</v>
      </c>
      <c r="BM1195" s="167" t="s">
        <v>1618</v>
      </c>
      <c r="BN1195" s="168"/>
      <c r="BO1195" s="62" t="s">
        <v>3616</v>
      </c>
      <c r="BP1195" s="168"/>
      <c r="BQ1195" s="168"/>
      <c r="BR1195" s="168"/>
      <c r="BS1195" s="135" t="s">
        <v>1619</v>
      </c>
      <c r="BT1195" s="168">
        <v>0.79</v>
      </c>
      <c r="BU1195" s="167" t="s">
        <v>1616</v>
      </c>
      <c r="BV1195" s="168">
        <v>0.2</v>
      </c>
      <c r="BW1195" s="167" t="s">
        <v>2153</v>
      </c>
      <c r="BX1195" s="168"/>
      <c r="BY1195" s="167" t="s">
        <v>1617</v>
      </c>
      <c r="BZ1195" s="168">
        <v>0.01</v>
      </c>
      <c r="CA1195" s="167" t="s">
        <v>1621</v>
      </c>
      <c r="CB1195" s="168"/>
      <c r="CC1195" s="62"/>
      <c r="CD1195" s="168"/>
      <c r="CE1195" s="165"/>
      <c r="CF1195" s="165"/>
      <c r="CG1195" s="204"/>
      <c r="CH1195" s="9"/>
      <c r="CI1195" s="204"/>
      <c r="CJ1195" s="204"/>
      <c r="CK1195" s="204"/>
      <c r="CL1195" s="204"/>
      <c r="CM1195" s="204"/>
      <c r="CN1195" s="204"/>
      <c r="CO1195" s="204"/>
      <c r="CP1195" s="9"/>
    </row>
    <row r="1196" spans="1:94" x14ac:dyDescent="0.25">
      <c r="A1196" s="62" t="s">
        <v>3653</v>
      </c>
      <c r="B1196" s="131" t="s">
        <v>3654</v>
      </c>
      <c r="C1196" s="215"/>
      <c r="D1196" s="215"/>
      <c r="E1196" s="215"/>
      <c r="F1196" s="215"/>
      <c r="G1196" s="215"/>
      <c r="H1196" s="218"/>
      <c r="I1196" s="62"/>
      <c r="J1196" s="62"/>
      <c r="K1196" s="62"/>
      <c r="L1196" s="62"/>
      <c r="M1196" s="62"/>
      <c r="N1196" s="62"/>
      <c r="O1196" s="62"/>
      <c r="P1196" s="62"/>
      <c r="Q1196" s="62"/>
      <c r="R1196" s="62"/>
      <c r="S1196" s="62"/>
      <c r="T1196" s="62"/>
      <c r="U1196" s="62"/>
      <c r="V1196" s="62"/>
      <c r="W1196" s="62"/>
      <c r="X1196" s="62"/>
      <c r="Y1196" s="62"/>
      <c r="Z1196" s="62"/>
      <c r="AA1196" s="62"/>
      <c r="AB1196" s="62"/>
      <c r="AC1196" s="62"/>
      <c r="AD1196" s="62"/>
      <c r="AE1196" s="62"/>
      <c r="AF1196" s="62"/>
      <c r="AG1196" s="62"/>
      <c r="AH1196" s="62"/>
      <c r="AI1196" s="62"/>
      <c r="AJ1196" s="62"/>
      <c r="AK1196" s="62"/>
      <c r="AL1196" s="62"/>
      <c r="AM1196" s="61"/>
      <c r="AN1196" s="62"/>
      <c r="AO1196" s="61" t="s">
        <v>1112</v>
      </c>
      <c r="AP1196" s="212"/>
      <c r="AQ1196" s="213"/>
      <c r="AR1196" s="213"/>
      <c r="AS1196" s="213"/>
      <c r="AT1196" s="213"/>
      <c r="AU1196" s="213"/>
      <c r="AV1196" s="213"/>
      <c r="AW1196" s="62"/>
      <c r="AX1196" s="62"/>
      <c r="AY1196" s="62"/>
      <c r="AZ1196" s="62"/>
      <c r="BA1196" s="141"/>
      <c r="BB1196" s="61"/>
      <c r="BC1196" s="165"/>
      <c r="BD1196" s="166"/>
      <c r="BE1196" s="167"/>
      <c r="BF1196" s="168"/>
      <c r="BG1196" s="167"/>
      <c r="BH1196" s="168"/>
      <c r="BI1196" s="214"/>
      <c r="BJ1196" s="168"/>
      <c r="BK1196" s="134"/>
      <c r="BL1196" s="168"/>
      <c r="BM1196" s="167"/>
      <c r="BN1196" s="168"/>
      <c r="BO1196" s="62"/>
      <c r="BP1196" s="168"/>
      <c r="BQ1196" s="168"/>
      <c r="BR1196" s="168"/>
      <c r="BS1196" s="135"/>
      <c r="BT1196" s="168"/>
      <c r="BU1196" s="167"/>
      <c r="BV1196" s="168"/>
      <c r="BW1196" s="167"/>
      <c r="BX1196" s="168"/>
      <c r="BY1196" s="167"/>
      <c r="BZ1196" s="168"/>
      <c r="CA1196" s="167"/>
      <c r="CB1196" s="168"/>
      <c r="CC1196" s="62"/>
      <c r="CD1196" s="168"/>
      <c r="CE1196" s="165"/>
      <c r="CF1196" s="165"/>
      <c r="CG1196" s="204"/>
      <c r="CH1196" s="9"/>
      <c r="CI1196" s="204"/>
      <c r="CJ1196" s="204"/>
      <c r="CK1196" s="204"/>
      <c r="CL1196" s="204"/>
      <c r="CM1196" s="204"/>
      <c r="CN1196" s="204"/>
      <c r="CO1196" s="204"/>
      <c r="CP1196" s="9"/>
    </row>
    <row r="1197" spans="1:94" ht="42.75" x14ac:dyDescent="0.25">
      <c r="A1197" s="62" t="s">
        <v>1251</v>
      </c>
      <c r="B1197" s="131" t="s">
        <v>3655</v>
      </c>
      <c r="C1197" s="215"/>
      <c r="D1197" s="215"/>
      <c r="E1197" s="215"/>
      <c r="F1197" s="215"/>
      <c r="G1197" s="215"/>
      <c r="H1197" s="218"/>
      <c r="I1197" s="62"/>
      <c r="J1197" s="62"/>
      <c r="K1197" s="62"/>
      <c r="L1197" s="62"/>
      <c r="M1197" s="62"/>
      <c r="N1197" s="62"/>
      <c r="O1197" s="62"/>
      <c r="P1197" s="62"/>
      <c r="Q1197" s="62"/>
      <c r="R1197" s="62"/>
      <c r="S1197" s="62"/>
      <c r="T1197" s="62"/>
      <c r="U1197" s="62"/>
      <c r="V1197" s="62"/>
      <c r="W1197" s="62"/>
      <c r="X1197" s="62"/>
      <c r="Y1197" s="62"/>
      <c r="Z1197" s="62"/>
      <c r="AA1197" s="62"/>
      <c r="AB1197" s="62"/>
      <c r="AC1197" s="62"/>
      <c r="AD1197" s="62"/>
      <c r="AE1197" s="62"/>
      <c r="AF1197" s="62"/>
      <c r="AG1197" s="62"/>
      <c r="AH1197" s="62"/>
      <c r="AI1197" s="62"/>
      <c r="AJ1197" s="62"/>
      <c r="AK1197" s="62"/>
      <c r="AL1197" s="62"/>
      <c r="AM1197" s="61"/>
      <c r="AN1197" s="62"/>
      <c r="AO1197" s="61" t="s">
        <v>1112</v>
      </c>
      <c r="AP1197" s="212"/>
      <c r="AQ1197" s="213"/>
      <c r="AR1197" s="213"/>
      <c r="AS1197" s="213"/>
      <c r="AT1197" s="213"/>
      <c r="AU1197" s="213"/>
      <c r="AV1197" s="213"/>
      <c r="AW1197" s="62"/>
      <c r="AX1197" s="62"/>
      <c r="AY1197" s="62"/>
      <c r="AZ1197" s="62"/>
      <c r="BA1197" s="141"/>
      <c r="BB1197" s="61"/>
      <c r="BC1197" s="165" t="s">
        <v>1615</v>
      </c>
      <c r="BD1197" s="166">
        <v>0.79</v>
      </c>
      <c r="BE1197" s="167" t="s">
        <v>1616</v>
      </c>
      <c r="BF1197" s="168">
        <v>0.2</v>
      </c>
      <c r="BG1197" s="167" t="s">
        <v>1617</v>
      </c>
      <c r="BH1197" s="168">
        <v>0.01</v>
      </c>
      <c r="BI1197" s="214" t="s">
        <v>1618</v>
      </c>
      <c r="BJ1197" s="168">
        <v>0</v>
      </c>
      <c r="BK1197" s="134" t="s">
        <v>1619</v>
      </c>
      <c r="BL1197" s="168">
        <v>1</v>
      </c>
      <c r="BM1197" s="167" t="s">
        <v>1618</v>
      </c>
      <c r="BN1197" s="168"/>
      <c r="BO1197" s="62" t="s">
        <v>3616</v>
      </c>
      <c r="BP1197" s="168"/>
      <c r="BQ1197" s="168"/>
      <c r="BR1197" s="168"/>
      <c r="BS1197" s="135" t="s">
        <v>1619</v>
      </c>
      <c r="BT1197" s="168">
        <v>0.79</v>
      </c>
      <c r="BU1197" s="167" t="s">
        <v>1616</v>
      </c>
      <c r="BV1197" s="168">
        <v>0.2</v>
      </c>
      <c r="BW1197" s="167" t="s">
        <v>2153</v>
      </c>
      <c r="BX1197" s="168"/>
      <c r="BY1197" s="167" t="s">
        <v>1617</v>
      </c>
      <c r="BZ1197" s="168">
        <v>0.01</v>
      </c>
      <c r="CA1197" s="167" t="s">
        <v>1621</v>
      </c>
      <c r="CB1197" s="168"/>
      <c r="CC1197" s="62"/>
      <c r="CD1197" s="168"/>
      <c r="CE1197" s="165"/>
      <c r="CF1197" s="165"/>
      <c r="CG1197" s="204"/>
      <c r="CH1197" s="9"/>
      <c r="CI1197" s="204"/>
      <c r="CJ1197" s="204"/>
      <c r="CK1197" s="204"/>
      <c r="CL1197" s="204"/>
      <c r="CM1197" s="204"/>
      <c r="CN1197" s="204"/>
      <c r="CO1197" s="204"/>
      <c r="CP1197" s="9"/>
    </row>
    <row r="1198" spans="1:94" ht="42.75" x14ac:dyDescent="0.25">
      <c r="A1198" s="62" t="s">
        <v>3656</v>
      </c>
      <c r="B1198" s="131" t="s">
        <v>3657</v>
      </c>
      <c r="C1198" s="215"/>
      <c r="D1198" s="215"/>
      <c r="E1198" s="215"/>
      <c r="F1198" s="215"/>
      <c r="G1198" s="215"/>
      <c r="H1198" s="218"/>
      <c r="I1198" s="62"/>
      <c r="J1198" s="62"/>
      <c r="K1198" s="62"/>
      <c r="L1198" s="62"/>
      <c r="M1198" s="62"/>
      <c r="N1198" s="62"/>
      <c r="O1198" s="62"/>
      <c r="P1198" s="62"/>
      <c r="Q1198" s="62"/>
      <c r="R1198" s="62"/>
      <c r="S1198" s="62"/>
      <c r="T1198" s="62"/>
      <c r="U1198" s="62"/>
      <c r="V1198" s="62"/>
      <c r="W1198" s="62"/>
      <c r="X1198" s="62"/>
      <c r="Y1198" s="62"/>
      <c r="Z1198" s="62"/>
      <c r="AA1198" s="62"/>
      <c r="AB1198" s="62"/>
      <c r="AC1198" s="62"/>
      <c r="AD1198" s="62"/>
      <c r="AE1198" s="62"/>
      <c r="AF1198" s="62"/>
      <c r="AG1198" s="62"/>
      <c r="AH1198" s="62"/>
      <c r="AI1198" s="62"/>
      <c r="AJ1198" s="62"/>
      <c r="AK1198" s="62"/>
      <c r="AL1198" s="62"/>
      <c r="AM1198" s="61"/>
      <c r="AN1198" s="62"/>
      <c r="AO1198" s="61" t="s">
        <v>1112</v>
      </c>
      <c r="AP1198" s="212"/>
      <c r="AQ1198" s="213"/>
      <c r="AR1198" s="213"/>
      <c r="AS1198" s="213"/>
      <c r="AT1198" s="213"/>
      <c r="AU1198" s="213"/>
      <c r="AV1198" s="213"/>
      <c r="AW1198" s="62"/>
      <c r="AX1198" s="62"/>
      <c r="AY1198" s="62"/>
      <c r="AZ1198" s="62"/>
      <c r="BA1198" s="141"/>
      <c r="BB1198" s="61"/>
      <c r="BC1198" s="165" t="s">
        <v>1615</v>
      </c>
      <c r="BD1198" s="166">
        <v>0.79</v>
      </c>
      <c r="BE1198" s="167" t="s">
        <v>1616</v>
      </c>
      <c r="BF1198" s="168">
        <v>0.2</v>
      </c>
      <c r="BG1198" s="167" t="s">
        <v>1617</v>
      </c>
      <c r="BH1198" s="168">
        <v>0.01</v>
      </c>
      <c r="BI1198" s="214" t="s">
        <v>1618</v>
      </c>
      <c r="BJ1198" s="168">
        <v>0</v>
      </c>
      <c r="BK1198" s="134" t="s">
        <v>1619</v>
      </c>
      <c r="BL1198" s="168">
        <v>1</v>
      </c>
      <c r="BM1198" s="167" t="s">
        <v>1618</v>
      </c>
      <c r="BN1198" s="168"/>
      <c r="BO1198" s="62" t="s">
        <v>3616</v>
      </c>
      <c r="BP1198" s="168"/>
      <c r="BQ1198" s="168"/>
      <c r="BR1198" s="168"/>
      <c r="BS1198" s="135" t="s">
        <v>1619</v>
      </c>
      <c r="BT1198" s="168">
        <v>0.79</v>
      </c>
      <c r="BU1198" s="167" t="s">
        <v>1616</v>
      </c>
      <c r="BV1198" s="168">
        <v>0.2</v>
      </c>
      <c r="BW1198" s="167" t="s">
        <v>2153</v>
      </c>
      <c r="BX1198" s="168"/>
      <c r="BY1198" s="167" t="s">
        <v>1617</v>
      </c>
      <c r="BZ1198" s="168">
        <v>0.01</v>
      </c>
      <c r="CA1198" s="167" t="s">
        <v>1621</v>
      </c>
      <c r="CB1198" s="168"/>
      <c r="CC1198" s="62"/>
      <c r="CD1198" s="168"/>
      <c r="CE1198" s="165"/>
      <c r="CF1198" s="165"/>
      <c r="CG1198" s="204"/>
      <c r="CH1198" s="9"/>
      <c r="CI1198" s="204"/>
      <c r="CJ1198" s="204"/>
      <c r="CK1198" s="204"/>
      <c r="CL1198" s="204"/>
      <c r="CM1198" s="204"/>
      <c r="CN1198" s="204"/>
      <c r="CO1198" s="204"/>
      <c r="CP1198" s="9"/>
    </row>
    <row r="1199" spans="1:94" ht="256.5" x14ac:dyDescent="0.25">
      <c r="A1199" s="62" t="s">
        <v>3658</v>
      </c>
      <c r="B1199" s="131" t="s">
        <v>3659</v>
      </c>
      <c r="C1199" s="215"/>
      <c r="D1199" s="215"/>
      <c r="E1199" s="215"/>
      <c r="F1199" s="215"/>
      <c r="G1199" s="215"/>
      <c r="H1199" s="218"/>
      <c r="I1199" s="62"/>
      <c r="J1199" s="62"/>
      <c r="K1199" s="62"/>
      <c r="L1199" s="62"/>
      <c r="M1199" s="62"/>
      <c r="N1199" s="62"/>
      <c r="O1199" s="62"/>
      <c r="P1199" s="62"/>
      <c r="Q1199" s="62"/>
      <c r="R1199" s="62"/>
      <c r="S1199" s="62"/>
      <c r="T1199" s="62"/>
      <c r="U1199" s="62"/>
      <c r="V1199" s="62"/>
      <c r="W1199" s="62"/>
      <c r="X1199" s="62"/>
      <c r="Y1199" s="62"/>
      <c r="Z1199" s="62"/>
      <c r="AA1199" s="62"/>
      <c r="AB1199" s="62"/>
      <c r="AC1199" s="62"/>
      <c r="AD1199" s="62"/>
      <c r="AE1199" s="62"/>
      <c r="AF1199" s="62"/>
      <c r="AG1199" s="62"/>
      <c r="AH1199" s="62"/>
      <c r="AI1199" s="62"/>
      <c r="AJ1199" s="62"/>
      <c r="AK1199" s="62"/>
      <c r="AL1199" s="62"/>
      <c r="AM1199" s="61"/>
      <c r="AN1199" s="62"/>
      <c r="AO1199" s="61" t="s">
        <v>1112</v>
      </c>
      <c r="AP1199" s="212"/>
      <c r="AQ1199" s="213"/>
      <c r="AR1199" s="213"/>
      <c r="AS1199" s="213"/>
      <c r="AT1199" s="213"/>
      <c r="AU1199" s="213"/>
      <c r="AV1199" s="213"/>
      <c r="AW1199" s="62"/>
      <c r="AX1199" s="62"/>
      <c r="AY1199" s="62"/>
      <c r="AZ1199" s="62"/>
      <c r="BA1199" s="141"/>
      <c r="BB1199" s="61"/>
      <c r="BC1199" s="165" t="s">
        <v>1615</v>
      </c>
      <c r="BD1199" s="166">
        <v>0.79</v>
      </c>
      <c r="BE1199" s="167" t="s">
        <v>1616</v>
      </c>
      <c r="BF1199" s="168">
        <v>0.2</v>
      </c>
      <c r="BG1199" s="167" t="s">
        <v>1617</v>
      </c>
      <c r="BH1199" s="168">
        <v>0.01</v>
      </c>
      <c r="BI1199" s="214" t="s">
        <v>1618</v>
      </c>
      <c r="BJ1199" s="168">
        <v>0</v>
      </c>
      <c r="BK1199" s="134" t="s">
        <v>1619</v>
      </c>
      <c r="BL1199" s="168">
        <v>1</v>
      </c>
      <c r="BM1199" s="167" t="s">
        <v>1618</v>
      </c>
      <c r="BN1199" s="168"/>
      <c r="BO1199" s="62" t="s">
        <v>3616</v>
      </c>
      <c r="BP1199" s="168"/>
      <c r="BQ1199" s="168"/>
      <c r="BR1199" s="168"/>
      <c r="BS1199" s="135" t="s">
        <v>1619</v>
      </c>
      <c r="BT1199" s="168">
        <v>0.79</v>
      </c>
      <c r="BU1199" s="167" t="s">
        <v>1616</v>
      </c>
      <c r="BV1199" s="168">
        <v>0.2</v>
      </c>
      <c r="BW1199" s="167" t="s">
        <v>2153</v>
      </c>
      <c r="BX1199" s="168"/>
      <c r="BY1199" s="167" t="s">
        <v>1617</v>
      </c>
      <c r="BZ1199" s="168">
        <v>0.01</v>
      </c>
      <c r="CA1199" s="167" t="s">
        <v>1621</v>
      </c>
      <c r="CB1199" s="168"/>
      <c r="CC1199" s="62"/>
      <c r="CD1199" s="168"/>
      <c r="CE1199" s="165" t="s">
        <v>3660</v>
      </c>
      <c r="CF1199" s="165"/>
      <c r="CG1199" s="216"/>
      <c r="CH1199" s="9"/>
      <c r="CI1199" s="216"/>
      <c r="CJ1199" s="216"/>
      <c r="CK1199" s="216"/>
      <c r="CL1199" s="216"/>
      <c r="CM1199" s="216"/>
      <c r="CN1199" s="216"/>
      <c r="CO1199" s="216"/>
      <c r="CP1199" s="9"/>
    </row>
    <row r="1200" spans="1:94" ht="42.75" x14ac:dyDescent="0.25">
      <c r="A1200" s="62" t="s">
        <v>3661</v>
      </c>
      <c r="B1200" s="131" t="s">
        <v>3662</v>
      </c>
      <c r="C1200" s="215"/>
      <c r="D1200" s="215"/>
      <c r="E1200" s="215"/>
      <c r="F1200" s="215"/>
      <c r="G1200" s="215"/>
      <c r="H1200" s="218"/>
      <c r="I1200" s="62"/>
      <c r="J1200" s="62"/>
      <c r="K1200" s="62"/>
      <c r="L1200" s="62"/>
      <c r="M1200" s="62"/>
      <c r="N1200" s="62"/>
      <c r="O1200" s="62"/>
      <c r="P1200" s="62"/>
      <c r="Q1200" s="62"/>
      <c r="R1200" s="62"/>
      <c r="S1200" s="62"/>
      <c r="T1200" s="62"/>
      <c r="U1200" s="62"/>
      <c r="V1200" s="62"/>
      <c r="W1200" s="62"/>
      <c r="X1200" s="62"/>
      <c r="Y1200" s="62"/>
      <c r="Z1200" s="62"/>
      <c r="AA1200" s="62"/>
      <c r="AB1200" s="62"/>
      <c r="AC1200" s="62"/>
      <c r="AD1200" s="62"/>
      <c r="AE1200" s="62"/>
      <c r="AF1200" s="62"/>
      <c r="AG1200" s="62"/>
      <c r="AH1200" s="62"/>
      <c r="AI1200" s="62"/>
      <c r="AJ1200" s="62"/>
      <c r="AK1200" s="62"/>
      <c r="AL1200" s="62"/>
      <c r="AM1200" s="61"/>
      <c r="AN1200" s="62"/>
      <c r="AO1200" s="61" t="s">
        <v>1112</v>
      </c>
      <c r="AP1200" s="212"/>
      <c r="AQ1200" s="213"/>
      <c r="AR1200" s="213"/>
      <c r="AS1200" s="213"/>
      <c r="AT1200" s="213"/>
      <c r="AU1200" s="213"/>
      <c r="AV1200" s="213"/>
      <c r="AW1200" s="62"/>
      <c r="AX1200" s="62"/>
      <c r="AY1200" s="62"/>
      <c r="AZ1200" s="62"/>
      <c r="BA1200" s="141"/>
      <c r="BB1200" s="61"/>
      <c r="BC1200" s="165" t="s">
        <v>1615</v>
      </c>
      <c r="BD1200" s="166">
        <v>0.79</v>
      </c>
      <c r="BE1200" s="167" t="s">
        <v>1616</v>
      </c>
      <c r="BF1200" s="168">
        <v>0.2</v>
      </c>
      <c r="BG1200" s="167" t="s">
        <v>1617</v>
      </c>
      <c r="BH1200" s="168">
        <v>0.01</v>
      </c>
      <c r="BI1200" s="214" t="s">
        <v>1618</v>
      </c>
      <c r="BJ1200" s="168">
        <v>0</v>
      </c>
      <c r="BK1200" s="134" t="s">
        <v>1619</v>
      </c>
      <c r="BL1200" s="168">
        <v>1</v>
      </c>
      <c r="BM1200" s="167" t="s">
        <v>1618</v>
      </c>
      <c r="BN1200" s="168"/>
      <c r="BO1200" s="62" t="s">
        <v>3616</v>
      </c>
      <c r="BP1200" s="168"/>
      <c r="BQ1200" s="168"/>
      <c r="BR1200" s="168"/>
      <c r="BS1200" s="135" t="s">
        <v>1619</v>
      </c>
      <c r="BT1200" s="168">
        <v>0.79</v>
      </c>
      <c r="BU1200" s="167" t="s">
        <v>1616</v>
      </c>
      <c r="BV1200" s="168">
        <v>0.2</v>
      </c>
      <c r="BW1200" s="167" t="s">
        <v>2153</v>
      </c>
      <c r="BX1200" s="168"/>
      <c r="BY1200" s="167" t="s">
        <v>1617</v>
      </c>
      <c r="BZ1200" s="168">
        <v>0.01</v>
      </c>
      <c r="CA1200" s="167" t="s">
        <v>1621</v>
      </c>
      <c r="CB1200" s="168"/>
      <c r="CC1200" s="62"/>
      <c r="CD1200" s="168"/>
      <c r="CE1200" s="165"/>
      <c r="CF1200" s="165"/>
      <c r="CG1200" s="217"/>
      <c r="CH1200" s="9"/>
      <c r="CI1200" s="217"/>
      <c r="CJ1200" s="217"/>
      <c r="CK1200" s="217"/>
      <c r="CL1200" s="217"/>
      <c r="CM1200" s="217"/>
      <c r="CN1200" s="217"/>
      <c r="CO1200" s="217"/>
      <c r="CP1200" s="9"/>
    </row>
    <row r="1201" spans="1:94" ht="42.75" x14ac:dyDescent="0.25">
      <c r="A1201" s="62" t="s">
        <v>3663</v>
      </c>
      <c r="B1201" s="131" t="s">
        <v>3664</v>
      </c>
      <c r="C1201" s="215"/>
      <c r="D1201" s="215"/>
      <c r="E1201" s="215"/>
      <c r="F1201" s="215"/>
      <c r="G1201" s="215"/>
      <c r="H1201" s="218"/>
      <c r="I1201" s="62"/>
      <c r="J1201" s="62"/>
      <c r="K1201" s="62"/>
      <c r="L1201" s="62"/>
      <c r="M1201" s="62"/>
      <c r="N1201" s="62"/>
      <c r="O1201" s="62"/>
      <c r="P1201" s="62"/>
      <c r="Q1201" s="62"/>
      <c r="R1201" s="62"/>
      <c r="S1201" s="62"/>
      <c r="T1201" s="62"/>
      <c r="U1201" s="62"/>
      <c r="V1201" s="62"/>
      <c r="W1201" s="62"/>
      <c r="X1201" s="62"/>
      <c r="Y1201" s="62"/>
      <c r="Z1201" s="62"/>
      <c r="AA1201" s="62"/>
      <c r="AB1201" s="62"/>
      <c r="AC1201" s="62"/>
      <c r="AD1201" s="62"/>
      <c r="AE1201" s="62"/>
      <c r="AF1201" s="62"/>
      <c r="AG1201" s="62"/>
      <c r="AH1201" s="62"/>
      <c r="AI1201" s="62"/>
      <c r="AJ1201" s="62"/>
      <c r="AK1201" s="62"/>
      <c r="AL1201" s="62"/>
      <c r="AM1201" s="61"/>
      <c r="AN1201" s="62"/>
      <c r="AO1201" s="61" t="s">
        <v>1112</v>
      </c>
      <c r="AP1201" s="212"/>
      <c r="AQ1201" s="213"/>
      <c r="AR1201" s="213"/>
      <c r="AS1201" s="213"/>
      <c r="AT1201" s="213"/>
      <c r="AU1201" s="213"/>
      <c r="AV1201" s="213"/>
      <c r="AW1201" s="62"/>
      <c r="AX1201" s="62"/>
      <c r="AY1201" s="62"/>
      <c r="AZ1201" s="62"/>
      <c r="BA1201" s="141"/>
      <c r="BB1201" s="61"/>
      <c r="BC1201" s="165" t="s">
        <v>1615</v>
      </c>
      <c r="BD1201" s="166">
        <v>0.79</v>
      </c>
      <c r="BE1201" s="167" t="s">
        <v>1616</v>
      </c>
      <c r="BF1201" s="168">
        <v>0.2</v>
      </c>
      <c r="BG1201" s="167" t="s">
        <v>1617</v>
      </c>
      <c r="BH1201" s="168">
        <v>0.01</v>
      </c>
      <c r="BI1201" s="214" t="s">
        <v>1618</v>
      </c>
      <c r="BJ1201" s="168">
        <v>0</v>
      </c>
      <c r="BK1201" s="134" t="s">
        <v>1619</v>
      </c>
      <c r="BL1201" s="168">
        <v>1</v>
      </c>
      <c r="BM1201" s="167" t="s">
        <v>1618</v>
      </c>
      <c r="BN1201" s="168"/>
      <c r="BO1201" s="62" t="s">
        <v>3616</v>
      </c>
      <c r="BP1201" s="168"/>
      <c r="BQ1201" s="168"/>
      <c r="BR1201" s="168"/>
      <c r="BS1201" s="135" t="s">
        <v>1619</v>
      </c>
      <c r="BT1201" s="168">
        <v>0.79</v>
      </c>
      <c r="BU1201" s="167" t="s">
        <v>1616</v>
      </c>
      <c r="BV1201" s="168">
        <v>0.2</v>
      </c>
      <c r="BW1201" s="167" t="s">
        <v>2153</v>
      </c>
      <c r="BX1201" s="168"/>
      <c r="BY1201" s="167" t="s">
        <v>1617</v>
      </c>
      <c r="BZ1201" s="168">
        <v>0.01</v>
      </c>
      <c r="CA1201" s="167" t="s">
        <v>1621</v>
      </c>
      <c r="CB1201" s="168"/>
      <c r="CC1201" s="62"/>
      <c r="CD1201" s="168"/>
      <c r="CE1201" s="165"/>
      <c r="CF1201" s="165"/>
      <c r="CG1201" s="204"/>
      <c r="CH1201" s="9"/>
      <c r="CI1201" s="204"/>
      <c r="CJ1201" s="204"/>
      <c r="CK1201" s="204"/>
      <c r="CL1201" s="204"/>
      <c r="CM1201" s="204"/>
      <c r="CN1201" s="204"/>
      <c r="CO1201" s="204"/>
      <c r="CP1201" s="9"/>
    </row>
    <row r="1202" spans="1:94" ht="42.75" x14ac:dyDescent="0.25">
      <c r="A1202" s="126" t="s">
        <v>3665</v>
      </c>
      <c r="B1202" s="131" t="s">
        <v>3666</v>
      </c>
      <c r="C1202" s="215"/>
      <c r="D1202" s="215"/>
      <c r="E1202" s="215"/>
      <c r="F1202" s="215"/>
      <c r="G1202" s="215"/>
      <c r="H1202" s="218"/>
      <c r="I1202" s="62"/>
      <c r="J1202" s="62"/>
      <c r="K1202" s="62"/>
      <c r="L1202" s="62"/>
      <c r="M1202" s="62"/>
      <c r="N1202" s="62"/>
      <c r="O1202" s="62"/>
      <c r="P1202" s="62"/>
      <c r="Q1202" s="62"/>
      <c r="R1202" s="62"/>
      <c r="S1202" s="62"/>
      <c r="T1202" s="62"/>
      <c r="U1202" s="62"/>
      <c r="V1202" s="62"/>
      <c r="W1202" s="62"/>
      <c r="X1202" s="62"/>
      <c r="Y1202" s="62"/>
      <c r="Z1202" s="62"/>
      <c r="AA1202" s="62"/>
      <c r="AB1202" s="62"/>
      <c r="AC1202" s="62"/>
      <c r="AD1202" s="62"/>
      <c r="AE1202" s="62"/>
      <c r="AF1202" s="62"/>
      <c r="AG1202" s="62"/>
      <c r="AH1202" s="62"/>
      <c r="AI1202" s="62"/>
      <c r="AJ1202" s="62"/>
      <c r="AK1202" s="62"/>
      <c r="AL1202" s="62"/>
      <c r="AM1202" s="61"/>
      <c r="AN1202" s="62"/>
      <c r="AO1202" s="61" t="s">
        <v>1112</v>
      </c>
      <c r="AP1202" s="212"/>
      <c r="AQ1202" s="213"/>
      <c r="AR1202" s="213"/>
      <c r="AS1202" s="213"/>
      <c r="AT1202" s="213"/>
      <c r="AU1202" s="213"/>
      <c r="AV1202" s="213"/>
      <c r="AW1202" s="62"/>
      <c r="AX1202" s="62"/>
      <c r="AY1202" s="62"/>
      <c r="AZ1202" s="62"/>
      <c r="BA1202" s="141"/>
      <c r="BB1202" s="61"/>
      <c r="BC1202" s="165" t="s">
        <v>1615</v>
      </c>
      <c r="BD1202" s="166">
        <v>0.79</v>
      </c>
      <c r="BE1202" s="167" t="s">
        <v>1616</v>
      </c>
      <c r="BF1202" s="168">
        <v>0.2</v>
      </c>
      <c r="BG1202" s="167" t="s">
        <v>1617</v>
      </c>
      <c r="BH1202" s="168">
        <v>0.01</v>
      </c>
      <c r="BI1202" s="214" t="s">
        <v>1618</v>
      </c>
      <c r="BJ1202" s="168">
        <v>0</v>
      </c>
      <c r="BK1202" s="134" t="s">
        <v>1619</v>
      </c>
      <c r="BL1202" s="168">
        <v>1</v>
      </c>
      <c r="BM1202" s="167" t="s">
        <v>1618</v>
      </c>
      <c r="BN1202" s="168"/>
      <c r="BO1202" s="62" t="s">
        <v>3616</v>
      </c>
      <c r="BP1202" s="168"/>
      <c r="BQ1202" s="168"/>
      <c r="BR1202" s="168"/>
      <c r="BS1202" s="135" t="s">
        <v>1619</v>
      </c>
      <c r="BT1202" s="168">
        <v>0.79</v>
      </c>
      <c r="BU1202" s="167" t="s">
        <v>1616</v>
      </c>
      <c r="BV1202" s="168">
        <v>0.2</v>
      </c>
      <c r="BW1202" s="167" t="s">
        <v>2153</v>
      </c>
      <c r="BX1202" s="168"/>
      <c r="BY1202" s="167" t="s">
        <v>1617</v>
      </c>
      <c r="BZ1202" s="168">
        <v>0.01</v>
      </c>
      <c r="CA1202" s="167" t="s">
        <v>1621</v>
      </c>
      <c r="CB1202" s="168"/>
      <c r="CC1202" s="62"/>
      <c r="CD1202" s="168"/>
      <c r="CE1202" s="165"/>
      <c r="CF1202" s="165"/>
      <c r="CG1202" s="204"/>
      <c r="CH1202" s="9"/>
      <c r="CI1202" s="204"/>
      <c r="CJ1202" s="204"/>
      <c r="CK1202" s="204"/>
      <c r="CL1202" s="204"/>
      <c r="CM1202" s="204"/>
      <c r="CN1202" s="204"/>
      <c r="CO1202" s="204"/>
      <c r="CP1202" s="9"/>
    </row>
    <row r="1203" spans="1:94" ht="42.75" x14ac:dyDescent="0.25">
      <c r="A1203" s="126" t="s">
        <v>3667</v>
      </c>
      <c r="B1203" s="131" t="s">
        <v>3668</v>
      </c>
      <c r="C1203" s="215"/>
      <c r="D1203" s="215"/>
      <c r="E1203" s="215"/>
      <c r="F1203" s="215"/>
      <c r="G1203" s="215"/>
      <c r="H1203" s="218"/>
      <c r="I1203" s="62"/>
      <c r="J1203" s="62"/>
      <c r="K1203" s="62"/>
      <c r="L1203" s="62"/>
      <c r="M1203" s="62"/>
      <c r="N1203" s="62"/>
      <c r="O1203" s="62"/>
      <c r="P1203" s="62"/>
      <c r="Q1203" s="62"/>
      <c r="R1203" s="62"/>
      <c r="S1203" s="62"/>
      <c r="T1203" s="62"/>
      <c r="U1203" s="62"/>
      <c r="V1203" s="62"/>
      <c r="W1203" s="62"/>
      <c r="X1203" s="62"/>
      <c r="Y1203" s="62"/>
      <c r="Z1203" s="62"/>
      <c r="AA1203" s="62"/>
      <c r="AB1203" s="62"/>
      <c r="AC1203" s="62"/>
      <c r="AD1203" s="62"/>
      <c r="AE1203" s="62"/>
      <c r="AF1203" s="62"/>
      <c r="AG1203" s="62"/>
      <c r="AH1203" s="62"/>
      <c r="AI1203" s="62"/>
      <c r="AJ1203" s="62"/>
      <c r="AK1203" s="62"/>
      <c r="AL1203" s="62"/>
      <c r="AM1203" s="61"/>
      <c r="AN1203" s="62"/>
      <c r="AO1203" s="61" t="s">
        <v>1112</v>
      </c>
      <c r="AP1203" s="212"/>
      <c r="AQ1203" s="213"/>
      <c r="AR1203" s="213"/>
      <c r="AS1203" s="213"/>
      <c r="AT1203" s="213"/>
      <c r="AU1203" s="213"/>
      <c r="AV1203" s="213"/>
      <c r="AW1203" s="62"/>
      <c r="AX1203" s="62"/>
      <c r="AY1203" s="62"/>
      <c r="AZ1203" s="62"/>
      <c r="BA1203" s="141"/>
      <c r="BB1203" s="61"/>
      <c r="BC1203" s="165" t="s">
        <v>1615</v>
      </c>
      <c r="BD1203" s="166">
        <v>0.79</v>
      </c>
      <c r="BE1203" s="167" t="s">
        <v>1616</v>
      </c>
      <c r="BF1203" s="168">
        <v>0.2</v>
      </c>
      <c r="BG1203" s="167" t="s">
        <v>1617</v>
      </c>
      <c r="BH1203" s="168">
        <v>0.01</v>
      </c>
      <c r="BI1203" s="214" t="s">
        <v>1618</v>
      </c>
      <c r="BJ1203" s="168">
        <v>0</v>
      </c>
      <c r="BK1203" s="134" t="s">
        <v>1619</v>
      </c>
      <c r="BL1203" s="168">
        <v>1</v>
      </c>
      <c r="BM1203" s="167" t="s">
        <v>1618</v>
      </c>
      <c r="BN1203" s="168"/>
      <c r="BO1203" s="62" t="s">
        <v>3616</v>
      </c>
      <c r="BP1203" s="168"/>
      <c r="BQ1203" s="168"/>
      <c r="BR1203" s="168"/>
      <c r="BS1203" s="135" t="s">
        <v>1619</v>
      </c>
      <c r="BT1203" s="168">
        <v>0.79</v>
      </c>
      <c r="BU1203" s="167" t="s">
        <v>1616</v>
      </c>
      <c r="BV1203" s="168">
        <v>0.2</v>
      </c>
      <c r="BW1203" s="167" t="s">
        <v>2153</v>
      </c>
      <c r="BX1203" s="168"/>
      <c r="BY1203" s="167" t="s">
        <v>1617</v>
      </c>
      <c r="BZ1203" s="168">
        <v>0.01</v>
      </c>
      <c r="CA1203" s="167" t="s">
        <v>1621</v>
      </c>
      <c r="CB1203" s="168"/>
      <c r="CC1203" s="62"/>
      <c r="CD1203" s="168"/>
      <c r="CE1203" s="165"/>
      <c r="CF1203" s="165"/>
      <c r="CG1203" s="204"/>
      <c r="CH1203" s="9"/>
      <c r="CI1203" s="204"/>
      <c r="CJ1203" s="204"/>
      <c r="CK1203" s="204"/>
      <c r="CL1203" s="204"/>
      <c r="CM1203" s="204"/>
      <c r="CN1203" s="204"/>
      <c r="CO1203" s="204"/>
      <c r="CP1203" s="9"/>
    </row>
    <row r="1204" spans="1:94" ht="42.75" x14ac:dyDescent="0.25">
      <c r="A1204" s="126" t="s">
        <v>3669</v>
      </c>
      <c r="B1204" s="131" t="s">
        <v>3670</v>
      </c>
      <c r="C1204" s="215"/>
      <c r="D1204" s="215"/>
      <c r="E1204" s="215"/>
      <c r="F1204" s="215"/>
      <c r="G1204" s="215"/>
      <c r="H1204" s="218"/>
      <c r="I1204" s="62"/>
      <c r="J1204" s="62"/>
      <c r="K1204" s="62"/>
      <c r="L1204" s="62"/>
      <c r="M1204" s="62"/>
      <c r="N1204" s="62"/>
      <c r="O1204" s="62"/>
      <c r="P1204" s="62"/>
      <c r="Q1204" s="62"/>
      <c r="R1204" s="62"/>
      <c r="S1204" s="62"/>
      <c r="T1204" s="62"/>
      <c r="U1204" s="62"/>
      <c r="V1204" s="62"/>
      <c r="W1204" s="62"/>
      <c r="X1204" s="62"/>
      <c r="Y1204" s="62"/>
      <c r="Z1204" s="62"/>
      <c r="AA1204" s="62"/>
      <c r="AB1204" s="62"/>
      <c r="AC1204" s="62"/>
      <c r="AD1204" s="62"/>
      <c r="AE1204" s="62"/>
      <c r="AF1204" s="62"/>
      <c r="AG1204" s="62"/>
      <c r="AH1204" s="62"/>
      <c r="AI1204" s="62"/>
      <c r="AJ1204" s="62"/>
      <c r="AK1204" s="62"/>
      <c r="AL1204" s="62"/>
      <c r="AM1204" s="61"/>
      <c r="AN1204" s="62"/>
      <c r="AO1204" s="61" t="s">
        <v>1112</v>
      </c>
      <c r="AP1204" s="212"/>
      <c r="AQ1204" s="213"/>
      <c r="AR1204" s="213"/>
      <c r="AS1204" s="213"/>
      <c r="AT1204" s="213"/>
      <c r="AU1204" s="213"/>
      <c r="AV1204" s="213"/>
      <c r="AW1204" s="62"/>
      <c r="AX1204" s="62"/>
      <c r="AY1204" s="62"/>
      <c r="AZ1204" s="62"/>
      <c r="BA1204" s="141"/>
      <c r="BB1204" s="61"/>
      <c r="BC1204" s="165" t="s">
        <v>1615</v>
      </c>
      <c r="BD1204" s="166">
        <v>0.79</v>
      </c>
      <c r="BE1204" s="167" t="s">
        <v>1616</v>
      </c>
      <c r="BF1204" s="168">
        <v>0.2</v>
      </c>
      <c r="BG1204" s="167" t="s">
        <v>1617</v>
      </c>
      <c r="BH1204" s="168">
        <v>0.01</v>
      </c>
      <c r="BI1204" s="214" t="s">
        <v>1618</v>
      </c>
      <c r="BJ1204" s="168">
        <v>0</v>
      </c>
      <c r="BK1204" s="134" t="s">
        <v>1619</v>
      </c>
      <c r="BL1204" s="168">
        <v>1</v>
      </c>
      <c r="BM1204" s="167" t="s">
        <v>1618</v>
      </c>
      <c r="BN1204" s="168"/>
      <c r="BO1204" s="62" t="s">
        <v>3616</v>
      </c>
      <c r="BP1204" s="168"/>
      <c r="BQ1204" s="168"/>
      <c r="BR1204" s="168"/>
      <c r="BS1204" s="135" t="s">
        <v>1619</v>
      </c>
      <c r="BT1204" s="168">
        <v>0.79</v>
      </c>
      <c r="BU1204" s="167" t="s">
        <v>1616</v>
      </c>
      <c r="BV1204" s="168">
        <v>0.2</v>
      </c>
      <c r="BW1204" s="167" t="s">
        <v>2153</v>
      </c>
      <c r="BX1204" s="168"/>
      <c r="BY1204" s="167" t="s">
        <v>1617</v>
      </c>
      <c r="BZ1204" s="168">
        <v>0.01</v>
      </c>
      <c r="CA1204" s="167" t="s">
        <v>1621</v>
      </c>
      <c r="CB1204" s="168"/>
      <c r="CC1204" s="62"/>
      <c r="CD1204" s="168"/>
      <c r="CE1204" s="165"/>
      <c r="CF1204" s="165"/>
      <c r="CG1204" s="204"/>
      <c r="CH1204" s="9"/>
      <c r="CI1204" s="204"/>
      <c r="CJ1204" s="204"/>
      <c r="CK1204" s="204"/>
      <c r="CL1204" s="204"/>
      <c r="CM1204" s="204"/>
      <c r="CN1204" s="204"/>
      <c r="CO1204" s="204"/>
      <c r="CP1204" s="9"/>
    </row>
    <row r="1205" spans="1:94" ht="42.75" x14ac:dyDescent="0.25">
      <c r="A1205" s="62" t="s">
        <v>3671</v>
      </c>
      <c r="B1205" s="131" t="s">
        <v>3672</v>
      </c>
      <c r="C1205" s="215"/>
      <c r="D1205" s="215"/>
      <c r="E1205" s="215"/>
      <c r="F1205" s="215"/>
      <c r="G1205" s="215"/>
      <c r="H1205" s="218"/>
      <c r="I1205" s="62"/>
      <c r="J1205" s="62"/>
      <c r="K1205" s="62"/>
      <c r="L1205" s="62"/>
      <c r="M1205" s="62"/>
      <c r="N1205" s="62"/>
      <c r="O1205" s="62"/>
      <c r="P1205" s="62"/>
      <c r="Q1205" s="62"/>
      <c r="R1205" s="62"/>
      <c r="S1205" s="62"/>
      <c r="T1205" s="62"/>
      <c r="U1205" s="62"/>
      <c r="V1205" s="62"/>
      <c r="W1205" s="62"/>
      <c r="X1205" s="62"/>
      <c r="Y1205" s="62"/>
      <c r="Z1205" s="62"/>
      <c r="AA1205" s="62"/>
      <c r="AB1205" s="62"/>
      <c r="AC1205" s="62"/>
      <c r="AD1205" s="62"/>
      <c r="AE1205" s="62"/>
      <c r="AF1205" s="62"/>
      <c r="AG1205" s="62"/>
      <c r="AH1205" s="62"/>
      <c r="AI1205" s="62"/>
      <c r="AJ1205" s="62"/>
      <c r="AK1205" s="62"/>
      <c r="AL1205" s="62"/>
      <c r="AM1205" s="61"/>
      <c r="AN1205" s="62"/>
      <c r="AO1205" s="61" t="s">
        <v>1112</v>
      </c>
      <c r="AP1205" s="212"/>
      <c r="AQ1205" s="213"/>
      <c r="AR1205" s="213"/>
      <c r="AS1205" s="213"/>
      <c r="AT1205" s="213"/>
      <c r="AU1205" s="213"/>
      <c r="AV1205" s="213"/>
      <c r="AW1205" s="62"/>
      <c r="AX1205" s="62"/>
      <c r="AY1205" s="62"/>
      <c r="AZ1205" s="62"/>
      <c r="BA1205" s="141"/>
      <c r="BB1205" s="61"/>
      <c r="BC1205" s="165" t="s">
        <v>1615</v>
      </c>
      <c r="BD1205" s="166">
        <v>0.79</v>
      </c>
      <c r="BE1205" s="167" t="s">
        <v>1616</v>
      </c>
      <c r="BF1205" s="168">
        <v>0.2</v>
      </c>
      <c r="BG1205" s="167" t="s">
        <v>1617</v>
      </c>
      <c r="BH1205" s="168">
        <v>0.01</v>
      </c>
      <c r="BI1205" s="214" t="s">
        <v>1618</v>
      </c>
      <c r="BJ1205" s="168">
        <v>0</v>
      </c>
      <c r="BK1205" s="134" t="s">
        <v>1619</v>
      </c>
      <c r="BL1205" s="168">
        <v>1</v>
      </c>
      <c r="BM1205" s="167" t="s">
        <v>1618</v>
      </c>
      <c r="BN1205" s="168"/>
      <c r="BO1205" s="62" t="s">
        <v>3616</v>
      </c>
      <c r="BP1205" s="168"/>
      <c r="BQ1205" s="168"/>
      <c r="BR1205" s="168"/>
      <c r="BS1205" s="135" t="s">
        <v>1619</v>
      </c>
      <c r="BT1205" s="168">
        <v>0.79</v>
      </c>
      <c r="BU1205" s="167" t="s">
        <v>1616</v>
      </c>
      <c r="BV1205" s="168">
        <v>0.2</v>
      </c>
      <c r="BW1205" s="167" t="s">
        <v>2153</v>
      </c>
      <c r="BX1205" s="168"/>
      <c r="BY1205" s="167" t="s">
        <v>1617</v>
      </c>
      <c r="BZ1205" s="168">
        <v>0.01</v>
      </c>
      <c r="CA1205" s="167" t="s">
        <v>1621</v>
      </c>
      <c r="CB1205" s="168"/>
      <c r="CC1205" s="62"/>
      <c r="CD1205" s="168"/>
      <c r="CE1205" s="165"/>
      <c r="CF1205" s="165"/>
      <c r="CG1205" s="204"/>
      <c r="CH1205" s="9"/>
      <c r="CI1205" s="204"/>
      <c r="CJ1205" s="204"/>
      <c r="CK1205" s="204"/>
      <c r="CL1205" s="204"/>
      <c r="CM1205" s="204"/>
      <c r="CN1205" s="204"/>
      <c r="CO1205" s="204"/>
      <c r="CP1205" s="9"/>
    </row>
    <row r="1206" spans="1:94" ht="42.75" x14ac:dyDescent="0.25">
      <c r="A1206" s="62" t="s">
        <v>3673</v>
      </c>
      <c r="B1206" s="131" t="s">
        <v>3674</v>
      </c>
      <c r="C1206" s="215"/>
      <c r="D1206" s="215"/>
      <c r="E1206" s="215"/>
      <c r="F1206" s="215"/>
      <c r="G1206" s="215"/>
      <c r="H1206" s="218"/>
      <c r="I1206" s="62"/>
      <c r="J1206" s="62"/>
      <c r="K1206" s="62"/>
      <c r="L1206" s="62"/>
      <c r="M1206" s="62"/>
      <c r="N1206" s="62"/>
      <c r="O1206" s="62"/>
      <c r="P1206" s="62"/>
      <c r="Q1206" s="62"/>
      <c r="R1206" s="62"/>
      <c r="S1206" s="62"/>
      <c r="T1206" s="62"/>
      <c r="U1206" s="62"/>
      <c r="V1206" s="62"/>
      <c r="W1206" s="62"/>
      <c r="X1206" s="62"/>
      <c r="Y1206" s="62"/>
      <c r="Z1206" s="62"/>
      <c r="AA1206" s="62"/>
      <c r="AB1206" s="62"/>
      <c r="AC1206" s="62"/>
      <c r="AD1206" s="62"/>
      <c r="AE1206" s="62"/>
      <c r="AF1206" s="62"/>
      <c r="AG1206" s="62"/>
      <c r="AH1206" s="62"/>
      <c r="AI1206" s="62"/>
      <c r="AJ1206" s="62"/>
      <c r="AK1206" s="62"/>
      <c r="AL1206" s="62"/>
      <c r="AM1206" s="61"/>
      <c r="AN1206" s="62"/>
      <c r="AO1206" s="61" t="s">
        <v>1112</v>
      </c>
      <c r="AP1206" s="212"/>
      <c r="AQ1206" s="213"/>
      <c r="AR1206" s="213"/>
      <c r="AS1206" s="213"/>
      <c r="AT1206" s="213"/>
      <c r="AU1206" s="213"/>
      <c r="AV1206" s="213"/>
      <c r="AW1206" s="62"/>
      <c r="AX1206" s="62"/>
      <c r="AY1206" s="62"/>
      <c r="AZ1206" s="62"/>
      <c r="BA1206" s="141"/>
      <c r="BB1206" s="61"/>
      <c r="BC1206" s="165" t="s">
        <v>1615</v>
      </c>
      <c r="BD1206" s="166">
        <v>0.79</v>
      </c>
      <c r="BE1206" s="167" t="s">
        <v>1616</v>
      </c>
      <c r="BF1206" s="168">
        <v>0.2</v>
      </c>
      <c r="BG1206" s="167" t="s">
        <v>1617</v>
      </c>
      <c r="BH1206" s="168">
        <v>0.01</v>
      </c>
      <c r="BI1206" s="214" t="s">
        <v>1618</v>
      </c>
      <c r="BJ1206" s="168">
        <v>0</v>
      </c>
      <c r="BK1206" s="134" t="s">
        <v>1619</v>
      </c>
      <c r="BL1206" s="168">
        <v>1</v>
      </c>
      <c r="BM1206" s="167" t="s">
        <v>1618</v>
      </c>
      <c r="BN1206" s="168"/>
      <c r="BO1206" s="62" t="s">
        <v>3616</v>
      </c>
      <c r="BP1206" s="168"/>
      <c r="BQ1206" s="168"/>
      <c r="BR1206" s="168"/>
      <c r="BS1206" s="135" t="s">
        <v>1619</v>
      </c>
      <c r="BT1206" s="168">
        <v>0.79</v>
      </c>
      <c r="BU1206" s="167" t="s">
        <v>1616</v>
      </c>
      <c r="BV1206" s="168">
        <v>0.2</v>
      </c>
      <c r="BW1206" s="167" t="s">
        <v>2153</v>
      </c>
      <c r="BX1206" s="168"/>
      <c r="BY1206" s="167" t="s">
        <v>1617</v>
      </c>
      <c r="BZ1206" s="168">
        <v>0.01</v>
      </c>
      <c r="CA1206" s="167" t="s">
        <v>1621</v>
      </c>
      <c r="CB1206" s="168"/>
      <c r="CC1206" s="62"/>
      <c r="CD1206" s="168"/>
      <c r="CE1206" s="165"/>
      <c r="CF1206" s="165"/>
      <c r="CG1206" s="204"/>
      <c r="CH1206" s="9"/>
      <c r="CI1206" s="204"/>
      <c r="CJ1206" s="204"/>
      <c r="CK1206" s="204"/>
      <c r="CL1206" s="204"/>
      <c r="CM1206" s="204"/>
      <c r="CN1206" s="204"/>
      <c r="CO1206" s="204"/>
      <c r="CP1206" s="9"/>
    </row>
    <row r="1207" spans="1:94" ht="42.75" x14ac:dyDescent="0.25">
      <c r="A1207" s="62" t="s">
        <v>3675</v>
      </c>
      <c r="B1207" s="131" t="s">
        <v>3676</v>
      </c>
      <c r="C1207" s="215"/>
      <c r="D1207" s="215"/>
      <c r="E1207" s="215"/>
      <c r="F1207" s="215"/>
      <c r="G1207" s="215"/>
      <c r="H1207" s="218"/>
      <c r="I1207" s="62"/>
      <c r="J1207" s="62"/>
      <c r="K1207" s="62"/>
      <c r="L1207" s="62"/>
      <c r="M1207" s="62"/>
      <c r="N1207" s="62"/>
      <c r="O1207" s="62"/>
      <c r="P1207" s="62"/>
      <c r="Q1207" s="62"/>
      <c r="R1207" s="62"/>
      <c r="S1207" s="62"/>
      <c r="T1207" s="62"/>
      <c r="U1207" s="62"/>
      <c r="V1207" s="62"/>
      <c r="W1207" s="62"/>
      <c r="X1207" s="62"/>
      <c r="Y1207" s="62"/>
      <c r="Z1207" s="62"/>
      <c r="AA1207" s="62"/>
      <c r="AB1207" s="62"/>
      <c r="AC1207" s="62"/>
      <c r="AD1207" s="62"/>
      <c r="AE1207" s="62"/>
      <c r="AF1207" s="62"/>
      <c r="AG1207" s="62"/>
      <c r="AH1207" s="62"/>
      <c r="AI1207" s="62"/>
      <c r="AJ1207" s="62"/>
      <c r="AK1207" s="62"/>
      <c r="AL1207" s="62"/>
      <c r="AM1207" s="61"/>
      <c r="AN1207" s="62"/>
      <c r="AO1207" s="61" t="s">
        <v>1112</v>
      </c>
      <c r="AP1207" s="212"/>
      <c r="AQ1207" s="213"/>
      <c r="AR1207" s="213"/>
      <c r="AS1207" s="213"/>
      <c r="AT1207" s="213"/>
      <c r="AU1207" s="213"/>
      <c r="AV1207" s="213"/>
      <c r="AW1207" s="62"/>
      <c r="AX1207" s="62"/>
      <c r="AY1207" s="62"/>
      <c r="AZ1207" s="62"/>
      <c r="BA1207" s="141"/>
      <c r="BB1207" s="61"/>
      <c r="BC1207" s="165" t="s">
        <v>1615</v>
      </c>
      <c r="BD1207" s="166">
        <v>0.79</v>
      </c>
      <c r="BE1207" s="167" t="s">
        <v>1616</v>
      </c>
      <c r="BF1207" s="168">
        <v>0.2</v>
      </c>
      <c r="BG1207" s="167" t="s">
        <v>1617</v>
      </c>
      <c r="BH1207" s="168">
        <v>0.01</v>
      </c>
      <c r="BI1207" s="214" t="s">
        <v>1618</v>
      </c>
      <c r="BJ1207" s="168">
        <v>0</v>
      </c>
      <c r="BK1207" s="134" t="s">
        <v>1619</v>
      </c>
      <c r="BL1207" s="168">
        <v>1</v>
      </c>
      <c r="BM1207" s="167" t="s">
        <v>1618</v>
      </c>
      <c r="BN1207" s="168"/>
      <c r="BO1207" s="62" t="s">
        <v>3616</v>
      </c>
      <c r="BP1207" s="168"/>
      <c r="BQ1207" s="168"/>
      <c r="BR1207" s="168"/>
      <c r="BS1207" s="135" t="s">
        <v>1619</v>
      </c>
      <c r="BT1207" s="168">
        <v>0.79</v>
      </c>
      <c r="BU1207" s="167" t="s">
        <v>1616</v>
      </c>
      <c r="BV1207" s="168">
        <v>0.2</v>
      </c>
      <c r="BW1207" s="167" t="s">
        <v>2153</v>
      </c>
      <c r="BX1207" s="168"/>
      <c r="BY1207" s="167" t="s">
        <v>1617</v>
      </c>
      <c r="BZ1207" s="168">
        <v>0.01</v>
      </c>
      <c r="CA1207" s="167" t="s">
        <v>1621</v>
      </c>
      <c r="CB1207" s="168"/>
      <c r="CC1207" s="62"/>
      <c r="CD1207" s="168"/>
      <c r="CE1207" s="165"/>
      <c r="CF1207" s="165"/>
      <c r="CG1207" s="204"/>
      <c r="CH1207" s="9"/>
      <c r="CI1207" s="204"/>
      <c r="CJ1207" s="204"/>
      <c r="CK1207" s="204"/>
      <c r="CL1207" s="204"/>
      <c r="CM1207" s="204"/>
      <c r="CN1207" s="204"/>
      <c r="CO1207" s="204"/>
      <c r="CP1207" s="9"/>
    </row>
    <row r="1208" spans="1:94" ht="42.75" x14ac:dyDescent="0.25">
      <c r="A1208" s="62" t="s">
        <v>3677</v>
      </c>
      <c r="B1208" s="131" t="s">
        <v>3678</v>
      </c>
      <c r="C1208" s="215"/>
      <c r="D1208" s="215"/>
      <c r="E1208" s="215"/>
      <c r="F1208" s="215"/>
      <c r="G1208" s="215"/>
      <c r="H1208" s="218"/>
      <c r="I1208" s="62"/>
      <c r="J1208" s="62"/>
      <c r="K1208" s="62"/>
      <c r="L1208" s="62"/>
      <c r="M1208" s="62"/>
      <c r="N1208" s="62"/>
      <c r="O1208" s="62"/>
      <c r="P1208" s="62"/>
      <c r="Q1208" s="62"/>
      <c r="R1208" s="62"/>
      <c r="S1208" s="62"/>
      <c r="T1208" s="62"/>
      <c r="U1208" s="62"/>
      <c r="V1208" s="62"/>
      <c r="W1208" s="62"/>
      <c r="X1208" s="62"/>
      <c r="Y1208" s="62"/>
      <c r="Z1208" s="62"/>
      <c r="AA1208" s="62"/>
      <c r="AB1208" s="62"/>
      <c r="AC1208" s="62"/>
      <c r="AD1208" s="62"/>
      <c r="AE1208" s="62"/>
      <c r="AF1208" s="62"/>
      <c r="AG1208" s="62"/>
      <c r="AH1208" s="62"/>
      <c r="AI1208" s="62"/>
      <c r="AJ1208" s="62"/>
      <c r="AK1208" s="62"/>
      <c r="AL1208" s="62"/>
      <c r="AM1208" s="61"/>
      <c r="AN1208" s="62"/>
      <c r="AO1208" s="61" t="s">
        <v>1112</v>
      </c>
      <c r="AP1208" s="212"/>
      <c r="AQ1208" s="213"/>
      <c r="AR1208" s="213"/>
      <c r="AS1208" s="213"/>
      <c r="AT1208" s="213"/>
      <c r="AU1208" s="213"/>
      <c r="AV1208" s="213"/>
      <c r="AW1208" s="62"/>
      <c r="AX1208" s="62"/>
      <c r="AY1208" s="62"/>
      <c r="AZ1208" s="62"/>
      <c r="BA1208" s="141"/>
      <c r="BB1208" s="61"/>
      <c r="BC1208" s="165" t="s">
        <v>1615</v>
      </c>
      <c r="BD1208" s="166">
        <v>0.79</v>
      </c>
      <c r="BE1208" s="167" t="s">
        <v>1616</v>
      </c>
      <c r="BF1208" s="168">
        <v>0.2</v>
      </c>
      <c r="BG1208" s="167" t="s">
        <v>1617</v>
      </c>
      <c r="BH1208" s="168">
        <v>0.01</v>
      </c>
      <c r="BI1208" s="214" t="s">
        <v>1618</v>
      </c>
      <c r="BJ1208" s="168">
        <v>0</v>
      </c>
      <c r="BK1208" s="134" t="s">
        <v>1619</v>
      </c>
      <c r="BL1208" s="168">
        <v>1</v>
      </c>
      <c r="BM1208" s="167" t="s">
        <v>1618</v>
      </c>
      <c r="BN1208" s="168"/>
      <c r="BO1208" s="62" t="s">
        <v>3616</v>
      </c>
      <c r="BP1208" s="168"/>
      <c r="BQ1208" s="168"/>
      <c r="BR1208" s="168"/>
      <c r="BS1208" s="135" t="s">
        <v>1619</v>
      </c>
      <c r="BT1208" s="168">
        <v>0.79</v>
      </c>
      <c r="BU1208" s="167" t="s">
        <v>1616</v>
      </c>
      <c r="BV1208" s="168">
        <v>0.2</v>
      </c>
      <c r="BW1208" s="167" t="s">
        <v>2153</v>
      </c>
      <c r="BX1208" s="168"/>
      <c r="BY1208" s="167" t="s">
        <v>1617</v>
      </c>
      <c r="BZ1208" s="168">
        <v>0.01</v>
      </c>
      <c r="CA1208" s="167" t="s">
        <v>1621</v>
      </c>
      <c r="CB1208" s="168"/>
      <c r="CC1208" s="62"/>
      <c r="CD1208" s="168"/>
      <c r="CE1208" s="165"/>
      <c r="CF1208" s="165"/>
      <c r="CG1208" s="204"/>
      <c r="CH1208" s="9"/>
      <c r="CI1208" s="204"/>
      <c r="CJ1208" s="204"/>
      <c r="CK1208" s="204"/>
      <c r="CL1208" s="204"/>
      <c r="CM1208" s="204"/>
      <c r="CN1208" s="204"/>
      <c r="CO1208" s="204"/>
      <c r="CP1208" s="9"/>
    </row>
    <row r="1209" spans="1:94" ht="57" x14ac:dyDescent="0.25">
      <c r="A1209" s="62" t="s">
        <v>3679</v>
      </c>
      <c r="B1209" s="131" t="s">
        <v>3680</v>
      </c>
      <c r="C1209" s="215"/>
      <c r="D1209" s="215"/>
      <c r="E1209" s="215"/>
      <c r="F1209" s="215"/>
      <c r="G1209" s="215"/>
      <c r="H1209" s="218"/>
      <c r="I1209" s="62"/>
      <c r="J1209" s="62"/>
      <c r="K1209" s="62"/>
      <c r="L1209" s="62"/>
      <c r="M1209" s="62"/>
      <c r="N1209" s="62"/>
      <c r="O1209" s="62"/>
      <c r="P1209" s="62"/>
      <c r="Q1209" s="62"/>
      <c r="R1209" s="62"/>
      <c r="S1209" s="62"/>
      <c r="T1209" s="62"/>
      <c r="U1209" s="62"/>
      <c r="V1209" s="62"/>
      <c r="W1209" s="62"/>
      <c r="X1209" s="62"/>
      <c r="Y1209" s="62"/>
      <c r="Z1209" s="62"/>
      <c r="AA1209" s="62"/>
      <c r="AB1209" s="62"/>
      <c r="AC1209" s="62"/>
      <c r="AD1209" s="62"/>
      <c r="AE1209" s="62"/>
      <c r="AF1209" s="62"/>
      <c r="AG1209" s="62"/>
      <c r="AH1209" s="62"/>
      <c r="AI1209" s="62"/>
      <c r="AJ1209" s="62"/>
      <c r="AK1209" s="62"/>
      <c r="AL1209" s="62"/>
      <c r="AM1209" s="61"/>
      <c r="AN1209" s="62"/>
      <c r="AO1209" s="61" t="s">
        <v>1112</v>
      </c>
      <c r="AP1209" s="212"/>
      <c r="AQ1209" s="213"/>
      <c r="AR1209" s="213"/>
      <c r="AS1209" s="213"/>
      <c r="AT1209" s="213"/>
      <c r="AU1209" s="213"/>
      <c r="AV1209" s="213"/>
      <c r="AW1209" s="62"/>
      <c r="AX1209" s="62"/>
      <c r="AY1209" s="62"/>
      <c r="AZ1209" s="62"/>
      <c r="BA1209" s="141"/>
      <c r="BB1209" s="61"/>
      <c r="BC1209" s="165" t="s">
        <v>1615</v>
      </c>
      <c r="BD1209" s="166">
        <v>0.79</v>
      </c>
      <c r="BE1209" s="167" t="s">
        <v>1616</v>
      </c>
      <c r="BF1209" s="168">
        <v>0.2</v>
      </c>
      <c r="BG1209" s="167" t="s">
        <v>1617</v>
      </c>
      <c r="BH1209" s="168">
        <v>0.01</v>
      </c>
      <c r="BI1209" s="214" t="s">
        <v>1618</v>
      </c>
      <c r="BJ1209" s="168">
        <v>0</v>
      </c>
      <c r="BK1209" s="134" t="s">
        <v>1619</v>
      </c>
      <c r="BL1209" s="168">
        <v>1</v>
      </c>
      <c r="BM1209" s="167" t="s">
        <v>1618</v>
      </c>
      <c r="BN1209" s="168"/>
      <c r="BO1209" s="62" t="s">
        <v>3616</v>
      </c>
      <c r="BP1209" s="168"/>
      <c r="BQ1209" s="168"/>
      <c r="BR1209" s="168"/>
      <c r="BS1209" s="135" t="s">
        <v>1619</v>
      </c>
      <c r="BT1209" s="168">
        <v>0.79</v>
      </c>
      <c r="BU1209" s="167" t="s">
        <v>1616</v>
      </c>
      <c r="BV1209" s="168">
        <v>0.2</v>
      </c>
      <c r="BW1209" s="167" t="s">
        <v>2153</v>
      </c>
      <c r="BX1209" s="168"/>
      <c r="BY1209" s="167" t="s">
        <v>1617</v>
      </c>
      <c r="BZ1209" s="168">
        <v>0.01</v>
      </c>
      <c r="CA1209" s="167" t="s">
        <v>1621</v>
      </c>
      <c r="CB1209" s="168"/>
      <c r="CC1209" s="62"/>
      <c r="CD1209" s="168"/>
      <c r="CE1209" s="165" t="s">
        <v>3681</v>
      </c>
      <c r="CF1209" s="165"/>
      <c r="CG1209" s="216"/>
      <c r="CH1209" s="9"/>
      <c r="CI1209" s="216"/>
      <c r="CJ1209" s="216"/>
      <c r="CK1209" s="216"/>
      <c r="CL1209" s="216"/>
      <c r="CM1209" s="216"/>
      <c r="CN1209" s="216"/>
      <c r="CO1209" s="216"/>
      <c r="CP1209" s="9"/>
    </row>
    <row r="1210" spans="1:94" ht="57" x14ac:dyDescent="0.25">
      <c r="A1210" s="62" t="s">
        <v>3682</v>
      </c>
      <c r="B1210" s="131" t="s">
        <v>3683</v>
      </c>
      <c r="C1210" s="215"/>
      <c r="D1210" s="215"/>
      <c r="E1210" s="215"/>
      <c r="F1210" s="215"/>
      <c r="G1210" s="215"/>
      <c r="H1210" s="218"/>
      <c r="I1210" s="62"/>
      <c r="J1210" s="62"/>
      <c r="K1210" s="62"/>
      <c r="L1210" s="62"/>
      <c r="M1210" s="62"/>
      <c r="N1210" s="62"/>
      <c r="O1210" s="62"/>
      <c r="P1210" s="62"/>
      <c r="Q1210" s="62"/>
      <c r="R1210" s="62"/>
      <c r="S1210" s="62"/>
      <c r="T1210" s="62"/>
      <c r="U1210" s="62"/>
      <c r="V1210" s="62"/>
      <c r="W1210" s="62"/>
      <c r="X1210" s="62"/>
      <c r="Y1210" s="62"/>
      <c r="Z1210" s="62"/>
      <c r="AA1210" s="62"/>
      <c r="AB1210" s="62"/>
      <c r="AC1210" s="62"/>
      <c r="AD1210" s="62"/>
      <c r="AE1210" s="62"/>
      <c r="AF1210" s="62"/>
      <c r="AG1210" s="62"/>
      <c r="AH1210" s="62"/>
      <c r="AI1210" s="62"/>
      <c r="AJ1210" s="62"/>
      <c r="AK1210" s="62"/>
      <c r="AL1210" s="62"/>
      <c r="AM1210" s="61"/>
      <c r="AN1210" s="62"/>
      <c r="AO1210" s="61" t="s">
        <v>1112</v>
      </c>
      <c r="AP1210" s="212"/>
      <c r="AQ1210" s="213"/>
      <c r="AR1210" s="213"/>
      <c r="AS1210" s="213"/>
      <c r="AT1210" s="213"/>
      <c r="AU1210" s="213"/>
      <c r="AV1210" s="213"/>
      <c r="AW1210" s="62"/>
      <c r="AX1210" s="62"/>
      <c r="AY1210" s="62"/>
      <c r="AZ1210" s="62"/>
      <c r="BA1210" s="141"/>
      <c r="BB1210" s="61"/>
      <c r="BC1210" s="165" t="s">
        <v>1615</v>
      </c>
      <c r="BD1210" s="166">
        <v>0.79</v>
      </c>
      <c r="BE1210" s="167" t="s">
        <v>1616</v>
      </c>
      <c r="BF1210" s="168">
        <v>0.2</v>
      </c>
      <c r="BG1210" s="167" t="s">
        <v>1617</v>
      </c>
      <c r="BH1210" s="168">
        <v>0.01</v>
      </c>
      <c r="BI1210" s="214" t="s">
        <v>1618</v>
      </c>
      <c r="BJ1210" s="168">
        <v>0</v>
      </c>
      <c r="BK1210" s="134" t="s">
        <v>1619</v>
      </c>
      <c r="BL1210" s="168">
        <v>1</v>
      </c>
      <c r="BM1210" s="167" t="s">
        <v>1618</v>
      </c>
      <c r="BN1210" s="168"/>
      <c r="BO1210" s="62" t="s">
        <v>3616</v>
      </c>
      <c r="BP1210" s="168"/>
      <c r="BQ1210" s="168"/>
      <c r="BR1210" s="168"/>
      <c r="BS1210" s="135" t="s">
        <v>1619</v>
      </c>
      <c r="BT1210" s="168">
        <v>0.79</v>
      </c>
      <c r="BU1210" s="167" t="s">
        <v>1616</v>
      </c>
      <c r="BV1210" s="168">
        <v>0.2</v>
      </c>
      <c r="BW1210" s="167" t="s">
        <v>2153</v>
      </c>
      <c r="BX1210" s="168"/>
      <c r="BY1210" s="167" t="s">
        <v>1617</v>
      </c>
      <c r="BZ1210" s="168">
        <v>0.01</v>
      </c>
      <c r="CA1210" s="167" t="s">
        <v>1621</v>
      </c>
      <c r="CB1210" s="168"/>
      <c r="CC1210" s="62"/>
      <c r="CD1210" s="168"/>
      <c r="CE1210" s="165" t="s">
        <v>3681</v>
      </c>
      <c r="CF1210" s="165"/>
      <c r="CG1210" s="204"/>
      <c r="CH1210" s="9"/>
      <c r="CI1210" s="204"/>
      <c r="CJ1210" s="204"/>
      <c r="CK1210" s="204"/>
      <c r="CL1210" s="204"/>
      <c r="CM1210" s="204"/>
      <c r="CN1210" s="204"/>
      <c r="CO1210" s="204"/>
      <c r="CP1210" s="9"/>
    </row>
    <row r="1211" spans="1:94" x14ac:dyDescent="0.25">
      <c r="A1211" s="62" t="s">
        <v>3684</v>
      </c>
      <c r="B1211" s="131" t="s">
        <v>3685</v>
      </c>
      <c r="C1211" s="215"/>
      <c r="D1211" s="215"/>
      <c r="E1211" s="215"/>
      <c r="F1211" s="215"/>
      <c r="G1211" s="215"/>
      <c r="H1211" s="218"/>
      <c r="I1211" s="62"/>
      <c r="J1211" s="62"/>
      <c r="K1211" s="62"/>
      <c r="L1211" s="62"/>
      <c r="M1211" s="62"/>
      <c r="N1211" s="62"/>
      <c r="O1211" s="62"/>
      <c r="P1211" s="62"/>
      <c r="Q1211" s="62"/>
      <c r="R1211" s="62"/>
      <c r="S1211" s="62"/>
      <c r="T1211" s="62"/>
      <c r="U1211" s="62"/>
      <c r="V1211" s="62"/>
      <c r="W1211" s="62"/>
      <c r="X1211" s="62"/>
      <c r="Y1211" s="62"/>
      <c r="Z1211" s="62"/>
      <c r="AA1211" s="62"/>
      <c r="AB1211" s="62"/>
      <c r="AC1211" s="62"/>
      <c r="AD1211" s="62"/>
      <c r="AE1211" s="62"/>
      <c r="AF1211" s="62"/>
      <c r="AG1211" s="62"/>
      <c r="AH1211" s="62"/>
      <c r="AI1211" s="62"/>
      <c r="AJ1211" s="62"/>
      <c r="AK1211" s="62"/>
      <c r="AL1211" s="62"/>
      <c r="AM1211" s="61"/>
      <c r="AN1211" s="62"/>
      <c r="AO1211" s="61" t="s">
        <v>1112</v>
      </c>
      <c r="AP1211" s="212"/>
      <c r="AQ1211" s="213"/>
      <c r="AR1211" s="213"/>
      <c r="AS1211" s="213"/>
      <c r="AT1211" s="213"/>
      <c r="AU1211" s="213"/>
      <c r="AV1211" s="213"/>
      <c r="AW1211" s="62"/>
      <c r="AX1211" s="62"/>
      <c r="AY1211" s="62"/>
      <c r="AZ1211" s="62"/>
      <c r="BA1211" s="141"/>
      <c r="BB1211" s="61"/>
      <c r="BC1211" s="165"/>
      <c r="BD1211" s="166"/>
      <c r="BE1211" s="167"/>
      <c r="BF1211" s="168"/>
      <c r="BG1211" s="167"/>
      <c r="BH1211" s="168"/>
      <c r="BI1211" s="214"/>
      <c r="BJ1211" s="168"/>
      <c r="BK1211" s="134"/>
      <c r="BL1211" s="168"/>
      <c r="BM1211" s="167"/>
      <c r="BN1211" s="168"/>
      <c r="BO1211" s="62"/>
      <c r="BP1211" s="168"/>
      <c r="BQ1211" s="168"/>
      <c r="BR1211" s="168"/>
      <c r="BS1211" s="135"/>
      <c r="BT1211" s="168"/>
      <c r="BU1211" s="167"/>
      <c r="BV1211" s="168"/>
      <c r="BW1211" s="167"/>
      <c r="BX1211" s="168"/>
      <c r="BY1211" s="167"/>
      <c r="BZ1211" s="168"/>
      <c r="CA1211" s="167"/>
      <c r="CB1211" s="168"/>
      <c r="CC1211" s="62"/>
      <c r="CD1211" s="168"/>
      <c r="CE1211" s="165"/>
      <c r="CF1211" s="165"/>
      <c r="CG1211" s="204"/>
      <c r="CH1211" s="9"/>
      <c r="CI1211" s="204"/>
      <c r="CJ1211" s="204"/>
      <c r="CK1211" s="204"/>
      <c r="CL1211" s="204"/>
      <c r="CM1211" s="204"/>
      <c r="CN1211" s="204"/>
      <c r="CO1211" s="204"/>
      <c r="CP1211" s="9"/>
    </row>
    <row r="1212" spans="1:94" ht="42.75" x14ac:dyDescent="0.25">
      <c r="A1212" s="62" t="s">
        <v>3686</v>
      </c>
      <c r="B1212" s="131" t="s">
        <v>3687</v>
      </c>
      <c r="C1212" s="215"/>
      <c r="D1212" s="215"/>
      <c r="E1212" s="215"/>
      <c r="F1212" s="215"/>
      <c r="G1212" s="215"/>
      <c r="H1212" s="218"/>
      <c r="I1212" s="62"/>
      <c r="J1212" s="62"/>
      <c r="K1212" s="62"/>
      <c r="L1212" s="62"/>
      <c r="M1212" s="62"/>
      <c r="N1212" s="62"/>
      <c r="O1212" s="62"/>
      <c r="P1212" s="62"/>
      <c r="Q1212" s="62"/>
      <c r="R1212" s="62"/>
      <c r="S1212" s="62"/>
      <c r="T1212" s="62"/>
      <c r="U1212" s="62"/>
      <c r="V1212" s="62"/>
      <c r="W1212" s="62"/>
      <c r="X1212" s="62"/>
      <c r="Y1212" s="62"/>
      <c r="Z1212" s="62"/>
      <c r="AA1212" s="62"/>
      <c r="AB1212" s="62"/>
      <c r="AC1212" s="62"/>
      <c r="AD1212" s="62"/>
      <c r="AE1212" s="62"/>
      <c r="AF1212" s="62"/>
      <c r="AG1212" s="62"/>
      <c r="AH1212" s="62"/>
      <c r="AI1212" s="62"/>
      <c r="AJ1212" s="62"/>
      <c r="AK1212" s="62"/>
      <c r="AL1212" s="62"/>
      <c r="AM1212" s="61"/>
      <c r="AN1212" s="62"/>
      <c r="AO1212" s="61" t="s">
        <v>1112</v>
      </c>
      <c r="AP1212" s="212"/>
      <c r="AQ1212" s="213"/>
      <c r="AR1212" s="213"/>
      <c r="AS1212" s="213"/>
      <c r="AT1212" s="213"/>
      <c r="AU1212" s="213"/>
      <c r="AV1212" s="213"/>
      <c r="AW1212" s="62"/>
      <c r="AX1212" s="62"/>
      <c r="AY1212" s="62"/>
      <c r="AZ1212" s="62"/>
      <c r="BA1212" s="141"/>
      <c r="BB1212" s="61"/>
      <c r="BC1212" s="165" t="s">
        <v>1615</v>
      </c>
      <c r="BD1212" s="166">
        <v>0.79</v>
      </c>
      <c r="BE1212" s="167" t="s">
        <v>1616</v>
      </c>
      <c r="BF1212" s="168">
        <v>0.2</v>
      </c>
      <c r="BG1212" s="167" t="s">
        <v>1617</v>
      </c>
      <c r="BH1212" s="168">
        <v>0.01</v>
      </c>
      <c r="BI1212" s="214" t="s">
        <v>1618</v>
      </c>
      <c r="BJ1212" s="168">
        <v>0</v>
      </c>
      <c r="BK1212" s="134" t="s">
        <v>1619</v>
      </c>
      <c r="BL1212" s="168">
        <v>1</v>
      </c>
      <c r="BM1212" s="167" t="s">
        <v>1618</v>
      </c>
      <c r="BN1212" s="168"/>
      <c r="BO1212" s="62" t="s">
        <v>3616</v>
      </c>
      <c r="BP1212" s="168"/>
      <c r="BQ1212" s="168"/>
      <c r="BR1212" s="168"/>
      <c r="BS1212" s="135" t="s">
        <v>1619</v>
      </c>
      <c r="BT1212" s="168">
        <v>0.79</v>
      </c>
      <c r="BU1212" s="167" t="s">
        <v>1616</v>
      </c>
      <c r="BV1212" s="168">
        <v>0.2</v>
      </c>
      <c r="BW1212" s="167" t="s">
        <v>2153</v>
      </c>
      <c r="BX1212" s="168"/>
      <c r="BY1212" s="167" t="s">
        <v>1617</v>
      </c>
      <c r="BZ1212" s="168">
        <v>0.01</v>
      </c>
      <c r="CA1212" s="167" t="s">
        <v>1621</v>
      </c>
      <c r="CB1212" s="168"/>
      <c r="CC1212" s="62"/>
      <c r="CD1212" s="168"/>
      <c r="CE1212" s="165"/>
      <c r="CF1212" s="165"/>
      <c r="CG1212" s="204"/>
      <c r="CH1212" s="9"/>
      <c r="CI1212" s="204"/>
      <c r="CJ1212" s="204"/>
      <c r="CK1212" s="204"/>
      <c r="CL1212" s="204"/>
      <c r="CM1212" s="204"/>
      <c r="CN1212" s="204"/>
      <c r="CO1212" s="204"/>
      <c r="CP1212" s="9"/>
    </row>
    <row r="1213" spans="1:94" ht="42.75" x14ac:dyDescent="0.25">
      <c r="A1213" s="62" t="s">
        <v>3688</v>
      </c>
      <c r="B1213" s="131" t="s">
        <v>3689</v>
      </c>
      <c r="C1213" s="215"/>
      <c r="D1213" s="215"/>
      <c r="E1213" s="215"/>
      <c r="F1213" s="215"/>
      <c r="G1213" s="215"/>
      <c r="H1213" s="218"/>
      <c r="I1213" s="62"/>
      <c r="J1213" s="62"/>
      <c r="K1213" s="62"/>
      <c r="L1213" s="62"/>
      <c r="M1213" s="62"/>
      <c r="N1213" s="62"/>
      <c r="O1213" s="62"/>
      <c r="P1213" s="62"/>
      <c r="Q1213" s="62"/>
      <c r="R1213" s="62"/>
      <c r="S1213" s="62"/>
      <c r="T1213" s="62"/>
      <c r="U1213" s="62"/>
      <c r="V1213" s="62"/>
      <c r="W1213" s="62"/>
      <c r="X1213" s="62"/>
      <c r="Y1213" s="62"/>
      <c r="Z1213" s="62"/>
      <c r="AA1213" s="62"/>
      <c r="AB1213" s="62"/>
      <c r="AC1213" s="62"/>
      <c r="AD1213" s="62"/>
      <c r="AE1213" s="62"/>
      <c r="AF1213" s="62"/>
      <c r="AG1213" s="62"/>
      <c r="AH1213" s="62"/>
      <c r="AI1213" s="62"/>
      <c r="AJ1213" s="62"/>
      <c r="AK1213" s="62"/>
      <c r="AL1213" s="62"/>
      <c r="AM1213" s="61"/>
      <c r="AN1213" s="62"/>
      <c r="AO1213" s="61" t="s">
        <v>1112</v>
      </c>
      <c r="AP1213" s="212"/>
      <c r="AQ1213" s="213"/>
      <c r="AR1213" s="213"/>
      <c r="AS1213" s="213"/>
      <c r="AT1213" s="213"/>
      <c r="AU1213" s="213"/>
      <c r="AV1213" s="213"/>
      <c r="AW1213" s="62"/>
      <c r="AX1213" s="62"/>
      <c r="AY1213" s="62"/>
      <c r="AZ1213" s="62"/>
      <c r="BA1213" s="141"/>
      <c r="BB1213" s="61"/>
      <c r="BC1213" s="165" t="s">
        <v>1615</v>
      </c>
      <c r="BD1213" s="166">
        <v>0.79</v>
      </c>
      <c r="BE1213" s="167" t="s">
        <v>1616</v>
      </c>
      <c r="BF1213" s="168">
        <v>0.2</v>
      </c>
      <c r="BG1213" s="167" t="s">
        <v>1617</v>
      </c>
      <c r="BH1213" s="168">
        <v>0.01</v>
      </c>
      <c r="BI1213" s="214" t="s">
        <v>1618</v>
      </c>
      <c r="BJ1213" s="168">
        <v>0</v>
      </c>
      <c r="BK1213" s="134" t="s">
        <v>1619</v>
      </c>
      <c r="BL1213" s="168">
        <v>1</v>
      </c>
      <c r="BM1213" s="167" t="s">
        <v>1618</v>
      </c>
      <c r="BN1213" s="168"/>
      <c r="BO1213" s="62" t="s">
        <v>3616</v>
      </c>
      <c r="BP1213" s="168"/>
      <c r="BQ1213" s="168"/>
      <c r="BR1213" s="168"/>
      <c r="BS1213" s="135" t="s">
        <v>1619</v>
      </c>
      <c r="BT1213" s="168">
        <v>0.79</v>
      </c>
      <c r="BU1213" s="167" t="s">
        <v>1616</v>
      </c>
      <c r="BV1213" s="168">
        <v>0.2</v>
      </c>
      <c r="BW1213" s="167" t="s">
        <v>2153</v>
      </c>
      <c r="BX1213" s="168"/>
      <c r="BY1213" s="167" t="s">
        <v>1617</v>
      </c>
      <c r="BZ1213" s="168">
        <v>0.01</v>
      </c>
      <c r="CA1213" s="167" t="s">
        <v>1621</v>
      </c>
      <c r="CB1213" s="168"/>
      <c r="CC1213" s="62"/>
      <c r="CD1213" s="168"/>
      <c r="CE1213" s="165"/>
      <c r="CF1213" s="165"/>
      <c r="CG1213" s="204"/>
      <c r="CH1213" s="9"/>
      <c r="CI1213" s="204"/>
      <c r="CJ1213" s="204"/>
      <c r="CK1213" s="204"/>
      <c r="CL1213" s="204"/>
      <c r="CM1213" s="204"/>
      <c r="CN1213" s="204"/>
      <c r="CO1213" s="204"/>
      <c r="CP1213" s="9"/>
    </row>
    <row r="1214" spans="1:94" ht="42.75" x14ac:dyDescent="0.25">
      <c r="A1214" s="62" t="s">
        <v>3690</v>
      </c>
      <c r="B1214" s="131" t="s">
        <v>3691</v>
      </c>
      <c r="C1214" s="215"/>
      <c r="D1214" s="215"/>
      <c r="E1214" s="215"/>
      <c r="F1214" s="215"/>
      <c r="G1214" s="215"/>
      <c r="H1214" s="218"/>
      <c r="I1214" s="62"/>
      <c r="J1214" s="62"/>
      <c r="K1214" s="62"/>
      <c r="L1214" s="62"/>
      <c r="M1214" s="62"/>
      <c r="N1214" s="62"/>
      <c r="O1214" s="62"/>
      <c r="P1214" s="62"/>
      <c r="Q1214" s="62"/>
      <c r="R1214" s="62"/>
      <c r="S1214" s="62"/>
      <c r="T1214" s="62"/>
      <c r="U1214" s="62"/>
      <c r="V1214" s="62"/>
      <c r="W1214" s="62"/>
      <c r="X1214" s="62"/>
      <c r="Y1214" s="62"/>
      <c r="Z1214" s="62"/>
      <c r="AA1214" s="62"/>
      <c r="AB1214" s="62"/>
      <c r="AC1214" s="62"/>
      <c r="AD1214" s="62"/>
      <c r="AE1214" s="62"/>
      <c r="AF1214" s="62"/>
      <c r="AG1214" s="62"/>
      <c r="AH1214" s="62"/>
      <c r="AI1214" s="62"/>
      <c r="AJ1214" s="62"/>
      <c r="AK1214" s="62"/>
      <c r="AL1214" s="62"/>
      <c r="AM1214" s="61"/>
      <c r="AN1214" s="62"/>
      <c r="AO1214" s="61" t="s">
        <v>1112</v>
      </c>
      <c r="AP1214" s="212"/>
      <c r="AQ1214" s="213"/>
      <c r="AR1214" s="213"/>
      <c r="AS1214" s="213"/>
      <c r="AT1214" s="213"/>
      <c r="AU1214" s="213"/>
      <c r="AV1214" s="213"/>
      <c r="AW1214" s="62"/>
      <c r="AX1214" s="62"/>
      <c r="AY1214" s="62"/>
      <c r="AZ1214" s="62"/>
      <c r="BA1214" s="141"/>
      <c r="BB1214" s="61"/>
      <c r="BC1214" s="165" t="s">
        <v>1615</v>
      </c>
      <c r="BD1214" s="166">
        <v>0.79</v>
      </c>
      <c r="BE1214" s="167" t="s">
        <v>1616</v>
      </c>
      <c r="BF1214" s="168">
        <v>0.2</v>
      </c>
      <c r="BG1214" s="167" t="s">
        <v>1617</v>
      </c>
      <c r="BH1214" s="168">
        <v>0.01</v>
      </c>
      <c r="BI1214" s="214" t="s">
        <v>1618</v>
      </c>
      <c r="BJ1214" s="168">
        <v>0</v>
      </c>
      <c r="BK1214" s="134" t="s">
        <v>1619</v>
      </c>
      <c r="BL1214" s="168">
        <v>1</v>
      </c>
      <c r="BM1214" s="167" t="s">
        <v>1618</v>
      </c>
      <c r="BN1214" s="168"/>
      <c r="BO1214" s="62" t="s">
        <v>3616</v>
      </c>
      <c r="BP1214" s="168"/>
      <c r="BQ1214" s="168"/>
      <c r="BR1214" s="168"/>
      <c r="BS1214" s="135" t="s">
        <v>1619</v>
      </c>
      <c r="BT1214" s="168">
        <v>0.79</v>
      </c>
      <c r="BU1214" s="167" t="s">
        <v>1616</v>
      </c>
      <c r="BV1214" s="168">
        <v>0.2</v>
      </c>
      <c r="BW1214" s="167" t="s">
        <v>2153</v>
      </c>
      <c r="BX1214" s="168"/>
      <c r="BY1214" s="167" t="s">
        <v>1617</v>
      </c>
      <c r="BZ1214" s="168">
        <v>0.01</v>
      </c>
      <c r="CA1214" s="167" t="s">
        <v>1621</v>
      </c>
      <c r="CB1214" s="168"/>
      <c r="CC1214" s="62"/>
      <c r="CD1214" s="168"/>
      <c r="CE1214" s="165"/>
      <c r="CF1214" s="165"/>
      <c r="CG1214" s="204"/>
      <c r="CH1214" s="9"/>
      <c r="CI1214" s="204"/>
      <c r="CJ1214" s="204"/>
      <c r="CK1214" s="204"/>
      <c r="CL1214" s="204"/>
      <c r="CM1214" s="204"/>
      <c r="CN1214" s="204"/>
      <c r="CO1214" s="204"/>
      <c r="CP1214" s="9"/>
    </row>
    <row r="1215" spans="1:94" x14ac:dyDescent="0.25">
      <c r="A1215" s="62" t="s">
        <v>3692</v>
      </c>
      <c r="B1215" s="131" t="s">
        <v>3693</v>
      </c>
      <c r="C1215" s="215"/>
      <c r="D1215" s="215"/>
      <c r="E1215" s="215"/>
      <c r="F1215" s="215"/>
      <c r="G1215" s="215"/>
      <c r="H1215" s="218"/>
      <c r="I1215" s="62"/>
      <c r="J1215" s="62"/>
      <c r="K1215" s="62"/>
      <c r="L1215" s="62"/>
      <c r="M1215" s="62"/>
      <c r="N1215" s="62"/>
      <c r="O1215" s="62"/>
      <c r="P1215" s="62"/>
      <c r="Q1215" s="62"/>
      <c r="R1215" s="62"/>
      <c r="S1215" s="62"/>
      <c r="T1215" s="62"/>
      <c r="U1215" s="62"/>
      <c r="V1215" s="62"/>
      <c r="W1215" s="62"/>
      <c r="X1215" s="62"/>
      <c r="Y1215" s="62"/>
      <c r="Z1215" s="62"/>
      <c r="AA1215" s="62"/>
      <c r="AB1215" s="62"/>
      <c r="AC1215" s="62"/>
      <c r="AD1215" s="62"/>
      <c r="AE1215" s="62"/>
      <c r="AF1215" s="62"/>
      <c r="AG1215" s="62"/>
      <c r="AH1215" s="62"/>
      <c r="AI1215" s="62"/>
      <c r="AJ1215" s="62"/>
      <c r="AK1215" s="62"/>
      <c r="AL1215" s="62"/>
      <c r="AM1215" s="61"/>
      <c r="AN1215" s="62"/>
      <c r="AO1215" s="61" t="s">
        <v>1112</v>
      </c>
      <c r="AP1215" s="212"/>
      <c r="AQ1215" s="213"/>
      <c r="AR1215" s="213"/>
      <c r="AS1215" s="213"/>
      <c r="AT1215" s="213"/>
      <c r="AU1215" s="213"/>
      <c r="AV1215" s="213"/>
      <c r="AW1215" s="62"/>
      <c r="AX1215" s="62"/>
      <c r="AY1215" s="62"/>
      <c r="AZ1215" s="62"/>
      <c r="BA1215" s="141"/>
      <c r="BB1215" s="61"/>
      <c r="BC1215" s="165"/>
      <c r="BD1215" s="166"/>
      <c r="BE1215" s="167"/>
      <c r="BF1215" s="168"/>
      <c r="BG1215" s="167"/>
      <c r="BH1215" s="168"/>
      <c r="BI1215" s="214"/>
      <c r="BJ1215" s="168"/>
      <c r="BK1215" s="134"/>
      <c r="BL1215" s="168"/>
      <c r="BM1215" s="167"/>
      <c r="BN1215" s="168"/>
      <c r="BO1215" s="62"/>
      <c r="BP1215" s="168"/>
      <c r="BQ1215" s="168"/>
      <c r="BR1215" s="168"/>
      <c r="BS1215" s="135"/>
      <c r="BT1215" s="168"/>
      <c r="BU1215" s="167"/>
      <c r="BV1215" s="168"/>
      <c r="BW1215" s="167"/>
      <c r="BX1215" s="168"/>
      <c r="BY1215" s="167"/>
      <c r="BZ1215" s="168"/>
      <c r="CA1215" s="167"/>
      <c r="CB1215" s="168"/>
      <c r="CC1215" s="62"/>
      <c r="CD1215" s="168"/>
      <c r="CE1215" s="165"/>
      <c r="CF1215" s="165"/>
      <c r="CG1215" s="204"/>
      <c r="CH1215" s="9"/>
      <c r="CI1215" s="204"/>
      <c r="CJ1215" s="204"/>
      <c r="CK1215" s="204"/>
      <c r="CL1215" s="204"/>
      <c r="CM1215" s="204"/>
      <c r="CN1215" s="204"/>
      <c r="CO1215" s="204"/>
      <c r="CP1215" s="9"/>
    </row>
    <row r="1216" spans="1:94" ht="42.75" x14ac:dyDescent="0.25">
      <c r="A1216" s="62" t="s">
        <v>3694</v>
      </c>
      <c r="B1216" s="131" t="s">
        <v>3695</v>
      </c>
      <c r="C1216" s="215"/>
      <c r="D1216" s="215"/>
      <c r="E1216" s="215"/>
      <c r="F1216" s="215"/>
      <c r="G1216" s="215"/>
      <c r="H1216" s="218"/>
      <c r="I1216" s="62"/>
      <c r="J1216" s="62"/>
      <c r="K1216" s="62"/>
      <c r="L1216" s="62"/>
      <c r="M1216" s="62"/>
      <c r="N1216" s="62"/>
      <c r="O1216" s="62"/>
      <c r="P1216" s="62"/>
      <c r="Q1216" s="62"/>
      <c r="R1216" s="62"/>
      <c r="S1216" s="62"/>
      <c r="T1216" s="62"/>
      <c r="U1216" s="62"/>
      <c r="V1216" s="62"/>
      <c r="W1216" s="62"/>
      <c r="X1216" s="62"/>
      <c r="Y1216" s="62"/>
      <c r="Z1216" s="62"/>
      <c r="AA1216" s="62"/>
      <c r="AB1216" s="62"/>
      <c r="AC1216" s="62"/>
      <c r="AD1216" s="62"/>
      <c r="AE1216" s="62"/>
      <c r="AF1216" s="62"/>
      <c r="AG1216" s="62"/>
      <c r="AH1216" s="62"/>
      <c r="AI1216" s="62"/>
      <c r="AJ1216" s="62"/>
      <c r="AK1216" s="62"/>
      <c r="AL1216" s="62"/>
      <c r="AM1216" s="61"/>
      <c r="AN1216" s="62"/>
      <c r="AO1216" s="61" t="s">
        <v>1112</v>
      </c>
      <c r="AP1216" s="212"/>
      <c r="AQ1216" s="213"/>
      <c r="AR1216" s="213"/>
      <c r="AS1216" s="213"/>
      <c r="AT1216" s="213"/>
      <c r="AU1216" s="213"/>
      <c r="AV1216" s="213"/>
      <c r="AW1216" s="62"/>
      <c r="AX1216" s="62"/>
      <c r="AY1216" s="62"/>
      <c r="AZ1216" s="62"/>
      <c r="BA1216" s="141"/>
      <c r="BB1216" s="61"/>
      <c r="BC1216" s="165" t="s">
        <v>1615</v>
      </c>
      <c r="BD1216" s="166">
        <v>0.79</v>
      </c>
      <c r="BE1216" s="167" t="s">
        <v>1616</v>
      </c>
      <c r="BF1216" s="168">
        <v>0.2</v>
      </c>
      <c r="BG1216" s="167" t="s">
        <v>1617</v>
      </c>
      <c r="BH1216" s="168">
        <v>0.01</v>
      </c>
      <c r="BI1216" s="214" t="s">
        <v>1618</v>
      </c>
      <c r="BJ1216" s="168">
        <v>0</v>
      </c>
      <c r="BK1216" s="134" t="s">
        <v>1619</v>
      </c>
      <c r="BL1216" s="168">
        <v>1</v>
      </c>
      <c r="BM1216" s="167" t="s">
        <v>1618</v>
      </c>
      <c r="BN1216" s="168"/>
      <c r="BO1216" s="62" t="s">
        <v>3616</v>
      </c>
      <c r="BP1216" s="168"/>
      <c r="BQ1216" s="168"/>
      <c r="BR1216" s="168"/>
      <c r="BS1216" s="135" t="s">
        <v>1619</v>
      </c>
      <c r="BT1216" s="168">
        <v>0.79</v>
      </c>
      <c r="BU1216" s="167" t="s">
        <v>1616</v>
      </c>
      <c r="BV1216" s="168">
        <v>0.2</v>
      </c>
      <c r="BW1216" s="167" t="s">
        <v>2153</v>
      </c>
      <c r="BX1216" s="168"/>
      <c r="BY1216" s="167" t="s">
        <v>1617</v>
      </c>
      <c r="BZ1216" s="168">
        <v>0.01</v>
      </c>
      <c r="CA1216" s="167" t="s">
        <v>1621</v>
      </c>
      <c r="CB1216" s="168"/>
      <c r="CC1216" s="62"/>
      <c r="CD1216" s="168"/>
      <c r="CE1216" s="165"/>
      <c r="CF1216" s="165"/>
      <c r="CG1216" s="204"/>
      <c r="CH1216" s="9"/>
      <c r="CI1216" s="204"/>
      <c r="CJ1216" s="204"/>
      <c r="CK1216" s="204"/>
      <c r="CL1216" s="204"/>
      <c r="CM1216" s="204"/>
      <c r="CN1216" s="204"/>
      <c r="CO1216" s="204"/>
      <c r="CP1216" s="9"/>
    </row>
    <row r="1217" spans="1:94" ht="42.75" x14ac:dyDescent="0.25">
      <c r="A1217" s="62" t="s">
        <v>3696</v>
      </c>
      <c r="B1217" s="131" t="s">
        <v>3697</v>
      </c>
      <c r="C1217" s="215"/>
      <c r="D1217" s="215"/>
      <c r="E1217" s="215"/>
      <c r="F1217" s="215"/>
      <c r="G1217" s="215"/>
      <c r="H1217" s="218"/>
      <c r="I1217" s="62"/>
      <c r="J1217" s="62"/>
      <c r="K1217" s="62"/>
      <c r="L1217" s="62"/>
      <c r="M1217" s="62"/>
      <c r="N1217" s="62"/>
      <c r="O1217" s="62"/>
      <c r="P1217" s="62"/>
      <c r="Q1217" s="62"/>
      <c r="R1217" s="62"/>
      <c r="S1217" s="62"/>
      <c r="T1217" s="62"/>
      <c r="U1217" s="62"/>
      <c r="V1217" s="62"/>
      <c r="W1217" s="62"/>
      <c r="X1217" s="62"/>
      <c r="Y1217" s="62"/>
      <c r="Z1217" s="62"/>
      <c r="AA1217" s="62"/>
      <c r="AB1217" s="62"/>
      <c r="AC1217" s="62"/>
      <c r="AD1217" s="62"/>
      <c r="AE1217" s="62"/>
      <c r="AF1217" s="62"/>
      <c r="AG1217" s="62"/>
      <c r="AH1217" s="62"/>
      <c r="AI1217" s="62"/>
      <c r="AJ1217" s="62"/>
      <c r="AK1217" s="62"/>
      <c r="AL1217" s="62"/>
      <c r="AM1217" s="61"/>
      <c r="AN1217" s="62"/>
      <c r="AO1217" s="61" t="s">
        <v>1112</v>
      </c>
      <c r="AP1217" s="212"/>
      <c r="AQ1217" s="213"/>
      <c r="AR1217" s="213"/>
      <c r="AS1217" s="213"/>
      <c r="AT1217" s="213"/>
      <c r="AU1217" s="213"/>
      <c r="AV1217" s="213"/>
      <c r="AW1217" s="62"/>
      <c r="AX1217" s="62"/>
      <c r="AY1217" s="62"/>
      <c r="AZ1217" s="62"/>
      <c r="BA1217" s="141"/>
      <c r="BB1217" s="61"/>
      <c r="BC1217" s="165" t="s">
        <v>1615</v>
      </c>
      <c r="BD1217" s="166">
        <v>0.79</v>
      </c>
      <c r="BE1217" s="167" t="s">
        <v>1616</v>
      </c>
      <c r="BF1217" s="168">
        <v>0.2</v>
      </c>
      <c r="BG1217" s="167" t="s">
        <v>1617</v>
      </c>
      <c r="BH1217" s="168">
        <v>0.01</v>
      </c>
      <c r="BI1217" s="214" t="s">
        <v>1618</v>
      </c>
      <c r="BJ1217" s="168">
        <v>0</v>
      </c>
      <c r="BK1217" s="134" t="s">
        <v>1619</v>
      </c>
      <c r="BL1217" s="168">
        <v>1</v>
      </c>
      <c r="BM1217" s="167" t="s">
        <v>1618</v>
      </c>
      <c r="BN1217" s="168"/>
      <c r="BO1217" s="62" t="s">
        <v>3616</v>
      </c>
      <c r="BP1217" s="168"/>
      <c r="BQ1217" s="168"/>
      <c r="BR1217" s="168"/>
      <c r="BS1217" s="135" t="s">
        <v>1619</v>
      </c>
      <c r="BT1217" s="168">
        <v>0.79</v>
      </c>
      <c r="BU1217" s="167" t="s">
        <v>1616</v>
      </c>
      <c r="BV1217" s="168">
        <v>0.2</v>
      </c>
      <c r="BW1217" s="167" t="s">
        <v>2153</v>
      </c>
      <c r="BX1217" s="168"/>
      <c r="BY1217" s="167" t="s">
        <v>1617</v>
      </c>
      <c r="BZ1217" s="168">
        <v>0.01</v>
      </c>
      <c r="CA1217" s="167" t="s">
        <v>1621</v>
      </c>
      <c r="CB1217" s="168"/>
      <c r="CC1217" s="62"/>
      <c r="CD1217" s="168"/>
      <c r="CE1217" s="165"/>
      <c r="CF1217" s="165"/>
      <c r="CG1217" s="204"/>
      <c r="CH1217" s="9"/>
      <c r="CI1217" s="204"/>
      <c r="CJ1217" s="204"/>
      <c r="CK1217" s="204"/>
      <c r="CL1217" s="204"/>
      <c r="CM1217" s="204"/>
      <c r="CN1217" s="204"/>
      <c r="CO1217" s="204"/>
      <c r="CP1217" s="9"/>
    </row>
    <row r="1218" spans="1:94" ht="42.75" x14ac:dyDescent="0.25">
      <c r="A1218" s="62" t="s">
        <v>3698</v>
      </c>
      <c r="B1218" s="131" t="s">
        <v>3699</v>
      </c>
      <c r="C1218" s="215"/>
      <c r="D1218" s="215"/>
      <c r="E1218" s="215"/>
      <c r="F1218" s="215"/>
      <c r="G1218" s="215"/>
      <c r="H1218" s="218"/>
      <c r="I1218" s="62"/>
      <c r="J1218" s="62"/>
      <c r="K1218" s="62"/>
      <c r="L1218" s="62"/>
      <c r="M1218" s="62"/>
      <c r="N1218" s="62"/>
      <c r="O1218" s="62"/>
      <c r="P1218" s="62"/>
      <c r="Q1218" s="62"/>
      <c r="R1218" s="62"/>
      <c r="S1218" s="62"/>
      <c r="T1218" s="62"/>
      <c r="U1218" s="62"/>
      <c r="V1218" s="62"/>
      <c r="W1218" s="62"/>
      <c r="X1218" s="62"/>
      <c r="Y1218" s="62"/>
      <c r="Z1218" s="62"/>
      <c r="AA1218" s="62"/>
      <c r="AB1218" s="62"/>
      <c r="AC1218" s="62"/>
      <c r="AD1218" s="62"/>
      <c r="AE1218" s="62"/>
      <c r="AF1218" s="62"/>
      <c r="AG1218" s="62"/>
      <c r="AH1218" s="62"/>
      <c r="AI1218" s="62"/>
      <c r="AJ1218" s="62"/>
      <c r="AK1218" s="62"/>
      <c r="AL1218" s="62"/>
      <c r="AM1218" s="61"/>
      <c r="AN1218" s="62"/>
      <c r="AO1218" s="61" t="s">
        <v>1112</v>
      </c>
      <c r="AP1218" s="212"/>
      <c r="AQ1218" s="213"/>
      <c r="AR1218" s="213"/>
      <c r="AS1218" s="213"/>
      <c r="AT1218" s="213"/>
      <c r="AU1218" s="213"/>
      <c r="AV1218" s="213"/>
      <c r="AW1218" s="62"/>
      <c r="AX1218" s="62"/>
      <c r="AY1218" s="62"/>
      <c r="AZ1218" s="62"/>
      <c r="BA1218" s="141"/>
      <c r="BB1218" s="61"/>
      <c r="BC1218" s="165" t="s">
        <v>1615</v>
      </c>
      <c r="BD1218" s="166">
        <v>0.79</v>
      </c>
      <c r="BE1218" s="167" t="s">
        <v>1616</v>
      </c>
      <c r="BF1218" s="168">
        <v>0.2</v>
      </c>
      <c r="BG1218" s="167" t="s">
        <v>1617</v>
      </c>
      <c r="BH1218" s="168">
        <v>0.01</v>
      </c>
      <c r="BI1218" s="214" t="s">
        <v>1618</v>
      </c>
      <c r="BJ1218" s="168">
        <v>0</v>
      </c>
      <c r="BK1218" s="134" t="s">
        <v>1619</v>
      </c>
      <c r="BL1218" s="168">
        <v>1</v>
      </c>
      <c r="BM1218" s="167" t="s">
        <v>1618</v>
      </c>
      <c r="BN1218" s="168"/>
      <c r="BO1218" s="62" t="s">
        <v>3616</v>
      </c>
      <c r="BP1218" s="168"/>
      <c r="BQ1218" s="168"/>
      <c r="BR1218" s="168"/>
      <c r="BS1218" s="135" t="s">
        <v>1619</v>
      </c>
      <c r="BT1218" s="168">
        <v>0.79</v>
      </c>
      <c r="BU1218" s="167" t="s">
        <v>1616</v>
      </c>
      <c r="BV1218" s="168">
        <v>0.2</v>
      </c>
      <c r="BW1218" s="167" t="s">
        <v>2153</v>
      </c>
      <c r="BX1218" s="168"/>
      <c r="BY1218" s="167" t="s">
        <v>1617</v>
      </c>
      <c r="BZ1218" s="168">
        <v>0.01</v>
      </c>
      <c r="CA1218" s="167" t="s">
        <v>1621</v>
      </c>
      <c r="CB1218" s="168"/>
      <c r="CC1218" s="62"/>
      <c r="CD1218" s="168"/>
      <c r="CE1218" s="165"/>
      <c r="CF1218" s="165"/>
      <c r="CG1218" s="204"/>
      <c r="CH1218" s="9"/>
      <c r="CI1218" s="204"/>
      <c r="CJ1218" s="204"/>
      <c r="CK1218" s="204"/>
      <c r="CL1218" s="204"/>
      <c r="CM1218" s="204"/>
      <c r="CN1218" s="204"/>
      <c r="CO1218" s="204"/>
      <c r="CP1218" s="9"/>
    </row>
    <row r="1219" spans="1:94" ht="42.75" x14ac:dyDescent="0.25">
      <c r="A1219" s="62" t="s">
        <v>3700</v>
      </c>
      <c r="B1219" s="131" t="s">
        <v>3701</v>
      </c>
      <c r="C1219" s="215"/>
      <c r="D1219" s="215"/>
      <c r="E1219" s="215"/>
      <c r="F1219" s="215"/>
      <c r="G1219" s="215"/>
      <c r="H1219" s="218"/>
      <c r="I1219" s="62"/>
      <c r="J1219" s="62"/>
      <c r="K1219" s="62"/>
      <c r="L1219" s="62"/>
      <c r="M1219" s="62"/>
      <c r="N1219" s="62"/>
      <c r="O1219" s="62"/>
      <c r="P1219" s="62"/>
      <c r="Q1219" s="62"/>
      <c r="R1219" s="62"/>
      <c r="S1219" s="62"/>
      <c r="T1219" s="62"/>
      <c r="U1219" s="62"/>
      <c r="V1219" s="62"/>
      <c r="W1219" s="62"/>
      <c r="X1219" s="62"/>
      <c r="Y1219" s="62"/>
      <c r="Z1219" s="62"/>
      <c r="AA1219" s="62"/>
      <c r="AB1219" s="62"/>
      <c r="AC1219" s="62"/>
      <c r="AD1219" s="62"/>
      <c r="AE1219" s="62"/>
      <c r="AF1219" s="62"/>
      <c r="AG1219" s="62"/>
      <c r="AH1219" s="62"/>
      <c r="AI1219" s="62"/>
      <c r="AJ1219" s="62"/>
      <c r="AK1219" s="62"/>
      <c r="AL1219" s="62"/>
      <c r="AM1219" s="61"/>
      <c r="AN1219" s="62"/>
      <c r="AO1219" s="61" t="s">
        <v>1112</v>
      </c>
      <c r="AP1219" s="212"/>
      <c r="AQ1219" s="213"/>
      <c r="AR1219" s="213"/>
      <c r="AS1219" s="213"/>
      <c r="AT1219" s="213"/>
      <c r="AU1219" s="213"/>
      <c r="AV1219" s="213"/>
      <c r="AW1219" s="62"/>
      <c r="AX1219" s="62"/>
      <c r="AY1219" s="62"/>
      <c r="AZ1219" s="62"/>
      <c r="BA1219" s="141"/>
      <c r="BB1219" s="61"/>
      <c r="BC1219" s="165" t="s">
        <v>1615</v>
      </c>
      <c r="BD1219" s="166">
        <v>0.79</v>
      </c>
      <c r="BE1219" s="167" t="s">
        <v>1616</v>
      </c>
      <c r="BF1219" s="168">
        <v>0.2</v>
      </c>
      <c r="BG1219" s="167" t="s">
        <v>1617</v>
      </c>
      <c r="BH1219" s="168">
        <v>0.01</v>
      </c>
      <c r="BI1219" s="214" t="s">
        <v>1618</v>
      </c>
      <c r="BJ1219" s="168">
        <v>0</v>
      </c>
      <c r="BK1219" s="134" t="s">
        <v>1619</v>
      </c>
      <c r="BL1219" s="168">
        <v>1</v>
      </c>
      <c r="BM1219" s="167" t="s">
        <v>1618</v>
      </c>
      <c r="BN1219" s="168"/>
      <c r="BO1219" s="62" t="s">
        <v>3616</v>
      </c>
      <c r="BP1219" s="168"/>
      <c r="BQ1219" s="168"/>
      <c r="BR1219" s="168"/>
      <c r="BS1219" s="135" t="s">
        <v>1619</v>
      </c>
      <c r="BT1219" s="168">
        <v>0.79</v>
      </c>
      <c r="BU1219" s="167" t="s">
        <v>1616</v>
      </c>
      <c r="BV1219" s="168">
        <v>0.2</v>
      </c>
      <c r="BW1219" s="167" t="s">
        <v>2153</v>
      </c>
      <c r="BX1219" s="168"/>
      <c r="BY1219" s="167" t="s">
        <v>1617</v>
      </c>
      <c r="BZ1219" s="168">
        <v>0.01</v>
      </c>
      <c r="CA1219" s="167" t="s">
        <v>1621</v>
      </c>
      <c r="CB1219" s="168"/>
      <c r="CC1219" s="62"/>
      <c r="CD1219" s="168"/>
      <c r="CE1219" s="165"/>
      <c r="CF1219" s="165"/>
      <c r="CG1219" s="204"/>
      <c r="CH1219" s="9"/>
      <c r="CI1219" s="204"/>
      <c r="CJ1219" s="204"/>
      <c r="CK1219" s="204"/>
      <c r="CL1219" s="204"/>
      <c r="CM1219" s="204"/>
      <c r="CN1219" s="204"/>
      <c r="CO1219" s="204"/>
      <c r="CP1219" s="9"/>
    </row>
    <row r="1220" spans="1:94" ht="42.75" x14ac:dyDescent="0.25">
      <c r="A1220" s="126" t="s">
        <v>3702</v>
      </c>
      <c r="B1220" s="131" t="s">
        <v>3703</v>
      </c>
      <c r="C1220" s="215"/>
      <c r="D1220" s="215"/>
      <c r="E1220" s="215"/>
      <c r="F1220" s="215"/>
      <c r="G1220" s="215"/>
      <c r="H1220" s="218"/>
      <c r="I1220" s="62"/>
      <c r="J1220" s="62"/>
      <c r="K1220" s="62"/>
      <c r="L1220" s="62"/>
      <c r="M1220" s="62"/>
      <c r="N1220" s="62"/>
      <c r="O1220" s="62"/>
      <c r="P1220" s="62"/>
      <c r="Q1220" s="62"/>
      <c r="R1220" s="62"/>
      <c r="S1220" s="62"/>
      <c r="T1220" s="62"/>
      <c r="U1220" s="62"/>
      <c r="V1220" s="62"/>
      <c r="W1220" s="62"/>
      <c r="X1220" s="62"/>
      <c r="Y1220" s="62"/>
      <c r="Z1220" s="62"/>
      <c r="AA1220" s="62"/>
      <c r="AB1220" s="62"/>
      <c r="AC1220" s="62"/>
      <c r="AD1220" s="62"/>
      <c r="AE1220" s="62"/>
      <c r="AF1220" s="62"/>
      <c r="AG1220" s="62"/>
      <c r="AH1220" s="62"/>
      <c r="AI1220" s="62"/>
      <c r="AJ1220" s="62"/>
      <c r="AK1220" s="62"/>
      <c r="AL1220" s="62"/>
      <c r="AM1220" s="61"/>
      <c r="AN1220" s="62"/>
      <c r="AO1220" s="61" t="s">
        <v>1112</v>
      </c>
      <c r="AP1220" s="212"/>
      <c r="AQ1220" s="213"/>
      <c r="AR1220" s="213"/>
      <c r="AS1220" s="213"/>
      <c r="AT1220" s="213"/>
      <c r="AU1220" s="213"/>
      <c r="AV1220" s="213"/>
      <c r="AW1220" s="62"/>
      <c r="AX1220" s="62"/>
      <c r="AY1220" s="62"/>
      <c r="AZ1220" s="62"/>
      <c r="BA1220" s="141"/>
      <c r="BB1220" s="61"/>
      <c r="BC1220" s="165" t="s">
        <v>1615</v>
      </c>
      <c r="BD1220" s="166">
        <v>0.79</v>
      </c>
      <c r="BE1220" s="167" t="s">
        <v>1616</v>
      </c>
      <c r="BF1220" s="168">
        <v>0.2</v>
      </c>
      <c r="BG1220" s="167" t="s">
        <v>1617</v>
      </c>
      <c r="BH1220" s="168">
        <v>0.01</v>
      </c>
      <c r="BI1220" s="214" t="s">
        <v>1618</v>
      </c>
      <c r="BJ1220" s="168">
        <v>0</v>
      </c>
      <c r="BK1220" s="134" t="s">
        <v>1619</v>
      </c>
      <c r="BL1220" s="168">
        <v>1</v>
      </c>
      <c r="BM1220" s="167" t="s">
        <v>1618</v>
      </c>
      <c r="BN1220" s="168"/>
      <c r="BO1220" s="62" t="s">
        <v>3616</v>
      </c>
      <c r="BP1220" s="168"/>
      <c r="BQ1220" s="168"/>
      <c r="BR1220" s="168"/>
      <c r="BS1220" s="135" t="s">
        <v>1619</v>
      </c>
      <c r="BT1220" s="168">
        <v>0.79</v>
      </c>
      <c r="BU1220" s="167" t="s">
        <v>1616</v>
      </c>
      <c r="BV1220" s="168">
        <v>0.2</v>
      </c>
      <c r="BW1220" s="167" t="s">
        <v>2153</v>
      </c>
      <c r="BX1220" s="168"/>
      <c r="BY1220" s="167" t="s">
        <v>1617</v>
      </c>
      <c r="BZ1220" s="168">
        <v>0.01</v>
      </c>
      <c r="CA1220" s="167" t="s">
        <v>1621</v>
      </c>
      <c r="CB1220" s="168"/>
      <c r="CC1220" s="62"/>
      <c r="CD1220" s="168"/>
      <c r="CE1220" s="165"/>
      <c r="CF1220" s="165"/>
      <c r="CG1220" s="204"/>
      <c r="CH1220" s="9"/>
      <c r="CI1220" s="204"/>
      <c r="CJ1220" s="204"/>
      <c r="CK1220" s="204"/>
      <c r="CL1220" s="204"/>
      <c r="CM1220" s="204"/>
      <c r="CN1220" s="204"/>
      <c r="CO1220" s="204"/>
      <c r="CP1220" s="9"/>
    </row>
    <row r="1221" spans="1:94" ht="42.75" x14ac:dyDescent="0.25">
      <c r="A1221" s="126" t="s">
        <v>3704</v>
      </c>
      <c r="B1221" s="131" t="s">
        <v>3705</v>
      </c>
      <c r="C1221" s="215"/>
      <c r="D1221" s="215"/>
      <c r="E1221" s="215"/>
      <c r="F1221" s="215"/>
      <c r="G1221" s="215"/>
      <c r="H1221" s="218"/>
      <c r="I1221" s="62"/>
      <c r="J1221" s="62"/>
      <c r="K1221" s="62"/>
      <c r="L1221" s="62"/>
      <c r="M1221" s="62"/>
      <c r="N1221" s="62"/>
      <c r="O1221" s="62"/>
      <c r="P1221" s="62"/>
      <c r="Q1221" s="62"/>
      <c r="R1221" s="62"/>
      <c r="S1221" s="62"/>
      <c r="T1221" s="62"/>
      <c r="U1221" s="62"/>
      <c r="V1221" s="62"/>
      <c r="W1221" s="62"/>
      <c r="X1221" s="62"/>
      <c r="Y1221" s="62"/>
      <c r="Z1221" s="62"/>
      <c r="AA1221" s="62"/>
      <c r="AB1221" s="62"/>
      <c r="AC1221" s="62"/>
      <c r="AD1221" s="62"/>
      <c r="AE1221" s="62"/>
      <c r="AF1221" s="62"/>
      <c r="AG1221" s="62"/>
      <c r="AH1221" s="62"/>
      <c r="AI1221" s="62"/>
      <c r="AJ1221" s="62"/>
      <c r="AK1221" s="62"/>
      <c r="AL1221" s="62"/>
      <c r="AM1221" s="61"/>
      <c r="AN1221" s="62"/>
      <c r="AO1221" s="61" t="s">
        <v>1112</v>
      </c>
      <c r="AP1221" s="212"/>
      <c r="AQ1221" s="213"/>
      <c r="AR1221" s="213"/>
      <c r="AS1221" s="213"/>
      <c r="AT1221" s="213"/>
      <c r="AU1221" s="213"/>
      <c r="AV1221" s="213"/>
      <c r="AW1221" s="62"/>
      <c r="AX1221" s="62"/>
      <c r="AY1221" s="62"/>
      <c r="AZ1221" s="62"/>
      <c r="BA1221" s="141"/>
      <c r="BB1221" s="61"/>
      <c r="BC1221" s="165" t="s">
        <v>1615</v>
      </c>
      <c r="BD1221" s="166">
        <v>0.79</v>
      </c>
      <c r="BE1221" s="167" t="s">
        <v>1616</v>
      </c>
      <c r="BF1221" s="168">
        <v>0.2</v>
      </c>
      <c r="BG1221" s="167" t="s">
        <v>1617</v>
      </c>
      <c r="BH1221" s="168">
        <v>0.01</v>
      </c>
      <c r="BI1221" s="214" t="s">
        <v>1618</v>
      </c>
      <c r="BJ1221" s="168">
        <v>0</v>
      </c>
      <c r="BK1221" s="134" t="s">
        <v>1619</v>
      </c>
      <c r="BL1221" s="168">
        <v>1</v>
      </c>
      <c r="BM1221" s="167" t="s">
        <v>1618</v>
      </c>
      <c r="BN1221" s="168"/>
      <c r="BO1221" s="62" t="s">
        <v>3616</v>
      </c>
      <c r="BP1221" s="168"/>
      <c r="BQ1221" s="168"/>
      <c r="BR1221" s="168"/>
      <c r="BS1221" s="135" t="s">
        <v>1619</v>
      </c>
      <c r="BT1221" s="168">
        <v>0.79</v>
      </c>
      <c r="BU1221" s="167" t="s">
        <v>1616</v>
      </c>
      <c r="BV1221" s="168">
        <v>0.2</v>
      </c>
      <c r="BW1221" s="167" t="s">
        <v>2153</v>
      </c>
      <c r="BX1221" s="168"/>
      <c r="BY1221" s="167" t="s">
        <v>1617</v>
      </c>
      <c r="BZ1221" s="168">
        <v>0.01</v>
      </c>
      <c r="CA1221" s="167" t="s">
        <v>1621</v>
      </c>
      <c r="CB1221" s="168"/>
      <c r="CC1221" s="62"/>
      <c r="CD1221" s="168"/>
      <c r="CE1221" s="165"/>
      <c r="CF1221" s="165"/>
      <c r="CG1221" s="204"/>
      <c r="CH1221" s="9"/>
      <c r="CI1221" s="204"/>
      <c r="CJ1221" s="204"/>
      <c r="CK1221" s="204"/>
      <c r="CL1221" s="204"/>
      <c r="CM1221" s="204"/>
      <c r="CN1221" s="204"/>
      <c r="CO1221" s="204"/>
      <c r="CP1221" s="9"/>
    </row>
    <row r="1222" spans="1:94" ht="42.75" x14ac:dyDescent="0.25">
      <c r="A1222" s="126" t="s">
        <v>3706</v>
      </c>
      <c r="B1222" s="131" t="s">
        <v>3707</v>
      </c>
      <c r="C1222" s="215"/>
      <c r="D1222" s="215"/>
      <c r="E1222" s="215"/>
      <c r="F1222" s="215"/>
      <c r="G1222" s="215"/>
      <c r="H1222" s="218"/>
      <c r="I1222" s="62"/>
      <c r="J1222" s="62"/>
      <c r="K1222" s="62"/>
      <c r="L1222" s="62"/>
      <c r="M1222" s="62"/>
      <c r="N1222" s="62"/>
      <c r="O1222" s="62"/>
      <c r="P1222" s="62"/>
      <c r="Q1222" s="62"/>
      <c r="R1222" s="62"/>
      <c r="S1222" s="62"/>
      <c r="T1222" s="62"/>
      <c r="U1222" s="62"/>
      <c r="V1222" s="62"/>
      <c r="W1222" s="62"/>
      <c r="X1222" s="62"/>
      <c r="Y1222" s="62"/>
      <c r="Z1222" s="62"/>
      <c r="AA1222" s="62"/>
      <c r="AB1222" s="62"/>
      <c r="AC1222" s="62"/>
      <c r="AD1222" s="62"/>
      <c r="AE1222" s="62"/>
      <c r="AF1222" s="62"/>
      <c r="AG1222" s="62"/>
      <c r="AH1222" s="62"/>
      <c r="AI1222" s="62"/>
      <c r="AJ1222" s="62"/>
      <c r="AK1222" s="62"/>
      <c r="AL1222" s="62"/>
      <c r="AM1222" s="61"/>
      <c r="AN1222" s="62"/>
      <c r="AO1222" s="61" t="s">
        <v>1112</v>
      </c>
      <c r="AP1222" s="212"/>
      <c r="AQ1222" s="213"/>
      <c r="AR1222" s="213"/>
      <c r="AS1222" s="213"/>
      <c r="AT1222" s="213"/>
      <c r="AU1222" s="213"/>
      <c r="AV1222" s="213"/>
      <c r="AW1222" s="62"/>
      <c r="AX1222" s="62"/>
      <c r="AY1222" s="62"/>
      <c r="AZ1222" s="62"/>
      <c r="BA1222" s="141"/>
      <c r="BB1222" s="61"/>
      <c r="BC1222" s="165" t="s">
        <v>1615</v>
      </c>
      <c r="BD1222" s="166">
        <v>0.79</v>
      </c>
      <c r="BE1222" s="167" t="s">
        <v>1616</v>
      </c>
      <c r="BF1222" s="168">
        <v>0.2</v>
      </c>
      <c r="BG1222" s="167" t="s">
        <v>1617</v>
      </c>
      <c r="BH1222" s="168">
        <v>0.01</v>
      </c>
      <c r="BI1222" s="214" t="s">
        <v>1618</v>
      </c>
      <c r="BJ1222" s="168">
        <v>0</v>
      </c>
      <c r="BK1222" s="134" t="s">
        <v>1619</v>
      </c>
      <c r="BL1222" s="168">
        <v>1</v>
      </c>
      <c r="BM1222" s="167" t="s">
        <v>1618</v>
      </c>
      <c r="BN1222" s="168"/>
      <c r="BO1222" s="62" t="s">
        <v>3616</v>
      </c>
      <c r="BP1222" s="168"/>
      <c r="BQ1222" s="168"/>
      <c r="BR1222" s="168"/>
      <c r="BS1222" s="135" t="s">
        <v>1619</v>
      </c>
      <c r="BT1222" s="168">
        <v>0.79</v>
      </c>
      <c r="BU1222" s="167" t="s">
        <v>1616</v>
      </c>
      <c r="BV1222" s="168">
        <v>0.2</v>
      </c>
      <c r="BW1222" s="167" t="s">
        <v>2153</v>
      </c>
      <c r="BX1222" s="168"/>
      <c r="BY1222" s="167" t="s">
        <v>1617</v>
      </c>
      <c r="BZ1222" s="168">
        <v>0.01</v>
      </c>
      <c r="CA1222" s="167" t="s">
        <v>1621</v>
      </c>
      <c r="CB1222" s="168"/>
      <c r="CC1222" s="62"/>
      <c r="CD1222" s="168"/>
      <c r="CE1222" s="165"/>
      <c r="CF1222" s="165"/>
      <c r="CG1222" s="204"/>
      <c r="CH1222" s="9"/>
      <c r="CI1222" s="204"/>
      <c r="CJ1222" s="204"/>
      <c r="CK1222" s="204"/>
      <c r="CL1222" s="204"/>
      <c r="CM1222" s="204"/>
      <c r="CN1222" s="204"/>
      <c r="CO1222" s="204"/>
      <c r="CP1222" s="9"/>
    </row>
    <row r="1223" spans="1:94" ht="42.75" x14ac:dyDescent="0.25">
      <c r="A1223" s="126" t="s">
        <v>3708</v>
      </c>
      <c r="B1223" s="131" t="s">
        <v>3709</v>
      </c>
      <c r="C1223" s="215"/>
      <c r="D1223" s="215"/>
      <c r="E1223" s="215"/>
      <c r="F1223" s="215"/>
      <c r="G1223" s="215"/>
      <c r="H1223" s="218"/>
      <c r="I1223" s="62"/>
      <c r="J1223" s="62"/>
      <c r="K1223" s="62"/>
      <c r="L1223" s="62"/>
      <c r="M1223" s="62"/>
      <c r="N1223" s="62"/>
      <c r="O1223" s="62"/>
      <c r="P1223" s="62"/>
      <c r="Q1223" s="62"/>
      <c r="R1223" s="62"/>
      <c r="S1223" s="62"/>
      <c r="T1223" s="62"/>
      <c r="U1223" s="62"/>
      <c r="V1223" s="62"/>
      <c r="W1223" s="62"/>
      <c r="X1223" s="62"/>
      <c r="Y1223" s="62"/>
      <c r="Z1223" s="62"/>
      <c r="AA1223" s="62"/>
      <c r="AB1223" s="62"/>
      <c r="AC1223" s="62"/>
      <c r="AD1223" s="62"/>
      <c r="AE1223" s="62"/>
      <c r="AF1223" s="62"/>
      <c r="AG1223" s="62"/>
      <c r="AH1223" s="62"/>
      <c r="AI1223" s="62"/>
      <c r="AJ1223" s="62"/>
      <c r="AK1223" s="62"/>
      <c r="AL1223" s="62"/>
      <c r="AM1223" s="61"/>
      <c r="AN1223" s="62"/>
      <c r="AO1223" s="61" t="s">
        <v>1112</v>
      </c>
      <c r="AP1223" s="212"/>
      <c r="AQ1223" s="213"/>
      <c r="AR1223" s="213"/>
      <c r="AS1223" s="213"/>
      <c r="AT1223" s="213"/>
      <c r="AU1223" s="213"/>
      <c r="AV1223" s="213"/>
      <c r="AW1223" s="62"/>
      <c r="AX1223" s="62"/>
      <c r="AY1223" s="62"/>
      <c r="AZ1223" s="62"/>
      <c r="BA1223" s="141"/>
      <c r="BB1223" s="61"/>
      <c r="BC1223" s="165" t="s">
        <v>1615</v>
      </c>
      <c r="BD1223" s="166">
        <v>0.79</v>
      </c>
      <c r="BE1223" s="167" t="s">
        <v>1616</v>
      </c>
      <c r="BF1223" s="168">
        <v>0.2</v>
      </c>
      <c r="BG1223" s="167" t="s">
        <v>1617</v>
      </c>
      <c r="BH1223" s="168">
        <v>0.01</v>
      </c>
      <c r="BI1223" s="214" t="s">
        <v>1618</v>
      </c>
      <c r="BJ1223" s="168">
        <v>0</v>
      </c>
      <c r="BK1223" s="134" t="s">
        <v>1619</v>
      </c>
      <c r="BL1223" s="168">
        <v>1</v>
      </c>
      <c r="BM1223" s="167" t="s">
        <v>1618</v>
      </c>
      <c r="BN1223" s="168"/>
      <c r="BO1223" s="62" t="s">
        <v>3616</v>
      </c>
      <c r="BP1223" s="168"/>
      <c r="BQ1223" s="168"/>
      <c r="BR1223" s="168"/>
      <c r="BS1223" s="135" t="s">
        <v>1619</v>
      </c>
      <c r="BT1223" s="168">
        <v>0.79</v>
      </c>
      <c r="BU1223" s="167" t="s">
        <v>1616</v>
      </c>
      <c r="BV1223" s="168">
        <v>0.2</v>
      </c>
      <c r="BW1223" s="167" t="s">
        <v>2153</v>
      </c>
      <c r="BX1223" s="168"/>
      <c r="BY1223" s="167" t="s">
        <v>1617</v>
      </c>
      <c r="BZ1223" s="168">
        <v>0.01</v>
      </c>
      <c r="CA1223" s="167" t="s">
        <v>1621</v>
      </c>
      <c r="CB1223" s="168"/>
      <c r="CC1223" s="62"/>
      <c r="CD1223" s="168"/>
      <c r="CE1223" s="165"/>
      <c r="CF1223" s="165"/>
      <c r="CG1223" s="204"/>
      <c r="CH1223" s="9"/>
      <c r="CI1223" s="204"/>
      <c r="CJ1223" s="204"/>
      <c r="CK1223" s="204"/>
      <c r="CL1223" s="204"/>
      <c r="CM1223" s="204"/>
      <c r="CN1223" s="204"/>
      <c r="CO1223" s="204"/>
      <c r="CP1223" s="9"/>
    </row>
    <row r="1224" spans="1:94" ht="42.75" x14ac:dyDescent="0.25">
      <c r="A1224" s="126" t="s">
        <v>3710</v>
      </c>
      <c r="B1224" s="131" t="s">
        <v>3711</v>
      </c>
      <c r="C1224" s="215"/>
      <c r="D1224" s="215"/>
      <c r="E1224" s="215"/>
      <c r="F1224" s="215"/>
      <c r="G1224" s="215"/>
      <c r="H1224" s="218"/>
      <c r="I1224" s="62"/>
      <c r="J1224" s="62"/>
      <c r="K1224" s="62"/>
      <c r="L1224" s="62"/>
      <c r="M1224" s="62"/>
      <c r="N1224" s="62"/>
      <c r="O1224" s="62"/>
      <c r="P1224" s="62"/>
      <c r="Q1224" s="62"/>
      <c r="R1224" s="62"/>
      <c r="S1224" s="62"/>
      <c r="T1224" s="62"/>
      <c r="U1224" s="62"/>
      <c r="V1224" s="62"/>
      <c r="W1224" s="62"/>
      <c r="X1224" s="62"/>
      <c r="Y1224" s="62"/>
      <c r="Z1224" s="62"/>
      <c r="AA1224" s="62"/>
      <c r="AB1224" s="62"/>
      <c r="AC1224" s="62"/>
      <c r="AD1224" s="62"/>
      <c r="AE1224" s="62"/>
      <c r="AF1224" s="62"/>
      <c r="AG1224" s="62"/>
      <c r="AH1224" s="62"/>
      <c r="AI1224" s="62"/>
      <c r="AJ1224" s="62"/>
      <c r="AK1224" s="62"/>
      <c r="AL1224" s="62"/>
      <c r="AM1224" s="61"/>
      <c r="AN1224" s="62"/>
      <c r="AO1224" s="61" t="s">
        <v>1112</v>
      </c>
      <c r="AP1224" s="212"/>
      <c r="AQ1224" s="213"/>
      <c r="AR1224" s="213"/>
      <c r="AS1224" s="213"/>
      <c r="AT1224" s="213"/>
      <c r="AU1224" s="213"/>
      <c r="AV1224" s="213"/>
      <c r="AW1224" s="62"/>
      <c r="AX1224" s="62"/>
      <c r="AY1224" s="62"/>
      <c r="AZ1224" s="62"/>
      <c r="BA1224" s="141"/>
      <c r="BB1224" s="61"/>
      <c r="BC1224" s="165" t="s">
        <v>1615</v>
      </c>
      <c r="BD1224" s="166">
        <v>0.79</v>
      </c>
      <c r="BE1224" s="167" t="s">
        <v>1616</v>
      </c>
      <c r="BF1224" s="168">
        <v>0.2</v>
      </c>
      <c r="BG1224" s="167" t="s">
        <v>1617</v>
      </c>
      <c r="BH1224" s="168">
        <v>0.01</v>
      </c>
      <c r="BI1224" s="214" t="s">
        <v>1618</v>
      </c>
      <c r="BJ1224" s="168">
        <v>0</v>
      </c>
      <c r="BK1224" s="134" t="s">
        <v>1619</v>
      </c>
      <c r="BL1224" s="168">
        <v>1</v>
      </c>
      <c r="BM1224" s="167" t="s">
        <v>1618</v>
      </c>
      <c r="BN1224" s="168"/>
      <c r="BO1224" s="62" t="s">
        <v>3616</v>
      </c>
      <c r="BP1224" s="168"/>
      <c r="BQ1224" s="168"/>
      <c r="BR1224" s="168"/>
      <c r="BS1224" s="135" t="s">
        <v>1619</v>
      </c>
      <c r="BT1224" s="168">
        <v>0.79</v>
      </c>
      <c r="BU1224" s="167" t="s">
        <v>1616</v>
      </c>
      <c r="BV1224" s="168">
        <v>0.2</v>
      </c>
      <c r="BW1224" s="167" t="s">
        <v>2153</v>
      </c>
      <c r="BX1224" s="168"/>
      <c r="BY1224" s="167" t="s">
        <v>1617</v>
      </c>
      <c r="BZ1224" s="168">
        <v>0.01</v>
      </c>
      <c r="CA1224" s="167" t="s">
        <v>1621</v>
      </c>
      <c r="CB1224" s="168"/>
      <c r="CC1224" s="62"/>
      <c r="CD1224" s="168"/>
      <c r="CE1224" s="165"/>
      <c r="CF1224" s="165"/>
      <c r="CG1224" s="204"/>
      <c r="CH1224" s="9"/>
      <c r="CI1224" s="204"/>
      <c r="CJ1224" s="204"/>
      <c r="CK1224" s="204"/>
      <c r="CL1224" s="204"/>
      <c r="CM1224" s="204"/>
      <c r="CN1224" s="204"/>
      <c r="CO1224" s="204"/>
      <c r="CP1224" s="9"/>
    </row>
    <row r="1225" spans="1:94" ht="42.75" x14ac:dyDescent="0.25">
      <c r="A1225" s="126" t="s">
        <v>1312</v>
      </c>
      <c r="B1225" s="131" t="s">
        <v>3712</v>
      </c>
      <c r="C1225" s="215"/>
      <c r="D1225" s="215"/>
      <c r="E1225" s="215"/>
      <c r="F1225" s="215"/>
      <c r="G1225" s="215"/>
      <c r="H1225" s="218"/>
      <c r="I1225" s="62"/>
      <c r="J1225" s="62"/>
      <c r="K1225" s="62"/>
      <c r="L1225" s="62"/>
      <c r="M1225" s="62"/>
      <c r="N1225" s="62"/>
      <c r="O1225" s="62"/>
      <c r="P1225" s="62"/>
      <c r="Q1225" s="62"/>
      <c r="R1225" s="62"/>
      <c r="S1225" s="62"/>
      <c r="T1225" s="62"/>
      <c r="U1225" s="62"/>
      <c r="V1225" s="62"/>
      <c r="W1225" s="62"/>
      <c r="X1225" s="62"/>
      <c r="Y1225" s="62"/>
      <c r="Z1225" s="62"/>
      <c r="AA1225" s="62"/>
      <c r="AB1225" s="62"/>
      <c r="AC1225" s="62"/>
      <c r="AD1225" s="62"/>
      <c r="AE1225" s="62"/>
      <c r="AF1225" s="62"/>
      <c r="AG1225" s="62"/>
      <c r="AH1225" s="62"/>
      <c r="AI1225" s="62"/>
      <c r="AJ1225" s="62"/>
      <c r="AK1225" s="62"/>
      <c r="AL1225" s="62"/>
      <c r="AM1225" s="61"/>
      <c r="AN1225" s="62"/>
      <c r="AO1225" s="61" t="s">
        <v>1112</v>
      </c>
      <c r="AP1225" s="212"/>
      <c r="AQ1225" s="213"/>
      <c r="AR1225" s="213"/>
      <c r="AS1225" s="213"/>
      <c r="AT1225" s="213"/>
      <c r="AU1225" s="213"/>
      <c r="AV1225" s="213"/>
      <c r="AW1225" s="62"/>
      <c r="AX1225" s="62"/>
      <c r="AY1225" s="62"/>
      <c r="AZ1225" s="62"/>
      <c r="BA1225" s="141"/>
      <c r="BB1225" s="61"/>
      <c r="BC1225" s="165" t="s">
        <v>1615</v>
      </c>
      <c r="BD1225" s="166">
        <v>0.79</v>
      </c>
      <c r="BE1225" s="167" t="s">
        <v>1616</v>
      </c>
      <c r="BF1225" s="168">
        <v>0.2</v>
      </c>
      <c r="BG1225" s="167" t="s">
        <v>1617</v>
      </c>
      <c r="BH1225" s="168">
        <v>0.01</v>
      </c>
      <c r="BI1225" s="214" t="s">
        <v>1618</v>
      </c>
      <c r="BJ1225" s="168">
        <v>0</v>
      </c>
      <c r="BK1225" s="134" t="s">
        <v>1619</v>
      </c>
      <c r="BL1225" s="168">
        <v>1</v>
      </c>
      <c r="BM1225" s="167" t="s">
        <v>1618</v>
      </c>
      <c r="BN1225" s="168"/>
      <c r="BO1225" s="62" t="s">
        <v>3616</v>
      </c>
      <c r="BP1225" s="168"/>
      <c r="BQ1225" s="168"/>
      <c r="BR1225" s="168"/>
      <c r="BS1225" s="135" t="s">
        <v>1619</v>
      </c>
      <c r="BT1225" s="168">
        <v>0.79</v>
      </c>
      <c r="BU1225" s="167" t="s">
        <v>1616</v>
      </c>
      <c r="BV1225" s="168">
        <v>0.2</v>
      </c>
      <c r="BW1225" s="167" t="s">
        <v>2153</v>
      </c>
      <c r="BX1225" s="168"/>
      <c r="BY1225" s="167" t="s">
        <v>1617</v>
      </c>
      <c r="BZ1225" s="168">
        <v>0.01</v>
      </c>
      <c r="CA1225" s="167" t="s">
        <v>1621</v>
      </c>
      <c r="CB1225" s="168"/>
      <c r="CC1225" s="62"/>
      <c r="CD1225" s="168"/>
      <c r="CE1225" s="165"/>
      <c r="CF1225" s="165"/>
      <c r="CG1225" s="204"/>
      <c r="CH1225" s="9"/>
      <c r="CI1225" s="204"/>
      <c r="CJ1225" s="204"/>
      <c r="CK1225" s="204"/>
      <c r="CL1225" s="204"/>
      <c r="CM1225" s="204"/>
      <c r="CN1225" s="204"/>
      <c r="CO1225" s="204"/>
      <c r="CP1225" s="9"/>
    </row>
    <row r="1226" spans="1:94" ht="42.75" x14ac:dyDescent="0.25">
      <c r="A1226" s="126" t="s">
        <v>3713</v>
      </c>
      <c r="B1226" s="131" t="s">
        <v>3714</v>
      </c>
      <c r="C1226" s="215"/>
      <c r="D1226" s="215"/>
      <c r="E1226" s="215"/>
      <c r="F1226" s="215"/>
      <c r="G1226" s="215"/>
      <c r="H1226" s="218"/>
      <c r="I1226" s="62"/>
      <c r="J1226" s="62"/>
      <c r="K1226" s="62"/>
      <c r="L1226" s="62"/>
      <c r="M1226" s="62"/>
      <c r="N1226" s="62"/>
      <c r="O1226" s="62"/>
      <c r="P1226" s="62"/>
      <c r="Q1226" s="62"/>
      <c r="R1226" s="62"/>
      <c r="S1226" s="62"/>
      <c r="T1226" s="62"/>
      <c r="U1226" s="62"/>
      <c r="V1226" s="62"/>
      <c r="W1226" s="62"/>
      <c r="X1226" s="62"/>
      <c r="Y1226" s="62"/>
      <c r="Z1226" s="62"/>
      <c r="AA1226" s="62"/>
      <c r="AB1226" s="62"/>
      <c r="AC1226" s="62"/>
      <c r="AD1226" s="62"/>
      <c r="AE1226" s="62"/>
      <c r="AF1226" s="62"/>
      <c r="AG1226" s="62"/>
      <c r="AH1226" s="62"/>
      <c r="AI1226" s="62"/>
      <c r="AJ1226" s="62"/>
      <c r="AK1226" s="62"/>
      <c r="AL1226" s="62"/>
      <c r="AM1226" s="61"/>
      <c r="AN1226" s="62"/>
      <c r="AO1226" s="61" t="s">
        <v>1112</v>
      </c>
      <c r="AP1226" s="212"/>
      <c r="AQ1226" s="213"/>
      <c r="AR1226" s="213"/>
      <c r="AS1226" s="213"/>
      <c r="AT1226" s="213"/>
      <c r="AU1226" s="213"/>
      <c r="AV1226" s="213"/>
      <c r="AW1226" s="62"/>
      <c r="AX1226" s="62"/>
      <c r="AY1226" s="62"/>
      <c r="AZ1226" s="62"/>
      <c r="BA1226" s="141"/>
      <c r="BB1226" s="61"/>
      <c r="BC1226" s="165" t="s">
        <v>1615</v>
      </c>
      <c r="BD1226" s="166">
        <v>0.79</v>
      </c>
      <c r="BE1226" s="167" t="s">
        <v>1616</v>
      </c>
      <c r="BF1226" s="168">
        <v>0.2</v>
      </c>
      <c r="BG1226" s="167" t="s">
        <v>1617</v>
      </c>
      <c r="BH1226" s="168">
        <v>0.01</v>
      </c>
      <c r="BI1226" s="214" t="s">
        <v>1618</v>
      </c>
      <c r="BJ1226" s="168">
        <v>0</v>
      </c>
      <c r="BK1226" s="134" t="s">
        <v>1619</v>
      </c>
      <c r="BL1226" s="168">
        <v>1</v>
      </c>
      <c r="BM1226" s="167" t="s">
        <v>1618</v>
      </c>
      <c r="BN1226" s="168"/>
      <c r="BO1226" s="62" t="s">
        <v>3616</v>
      </c>
      <c r="BP1226" s="168"/>
      <c r="BQ1226" s="168"/>
      <c r="BR1226" s="168"/>
      <c r="BS1226" s="135" t="s">
        <v>1619</v>
      </c>
      <c r="BT1226" s="168">
        <v>0.79</v>
      </c>
      <c r="BU1226" s="167" t="s">
        <v>1616</v>
      </c>
      <c r="BV1226" s="168">
        <v>0.2</v>
      </c>
      <c r="BW1226" s="167" t="s">
        <v>2153</v>
      </c>
      <c r="BX1226" s="168"/>
      <c r="BY1226" s="167" t="s">
        <v>1617</v>
      </c>
      <c r="BZ1226" s="168">
        <v>0.01</v>
      </c>
      <c r="CA1226" s="167" t="s">
        <v>1621</v>
      </c>
      <c r="CB1226" s="168"/>
      <c r="CC1226" s="62"/>
      <c r="CD1226" s="168"/>
      <c r="CE1226" s="165"/>
      <c r="CF1226" s="165"/>
      <c r="CG1226" s="204"/>
      <c r="CH1226" s="9"/>
      <c r="CI1226" s="204"/>
      <c r="CJ1226" s="204"/>
      <c r="CK1226" s="204"/>
      <c r="CL1226" s="204"/>
      <c r="CM1226" s="204"/>
      <c r="CN1226" s="204"/>
      <c r="CO1226" s="204"/>
      <c r="CP1226" s="9"/>
    </row>
    <row r="1227" spans="1:94" ht="42.75" x14ac:dyDescent="0.25">
      <c r="A1227" s="126" t="s">
        <v>3715</v>
      </c>
      <c r="B1227" s="131" t="s">
        <v>3716</v>
      </c>
      <c r="C1227" s="215"/>
      <c r="D1227" s="215"/>
      <c r="E1227" s="215"/>
      <c r="F1227" s="215"/>
      <c r="G1227" s="215"/>
      <c r="H1227" s="218"/>
      <c r="I1227" s="62"/>
      <c r="J1227" s="62"/>
      <c r="K1227" s="62"/>
      <c r="L1227" s="62"/>
      <c r="M1227" s="62"/>
      <c r="N1227" s="62"/>
      <c r="O1227" s="62"/>
      <c r="P1227" s="62"/>
      <c r="Q1227" s="62"/>
      <c r="R1227" s="62"/>
      <c r="S1227" s="62"/>
      <c r="T1227" s="62"/>
      <c r="U1227" s="62"/>
      <c r="V1227" s="62"/>
      <c r="W1227" s="62"/>
      <c r="X1227" s="62"/>
      <c r="Y1227" s="62"/>
      <c r="Z1227" s="62"/>
      <c r="AA1227" s="62"/>
      <c r="AB1227" s="62"/>
      <c r="AC1227" s="62"/>
      <c r="AD1227" s="62"/>
      <c r="AE1227" s="62"/>
      <c r="AF1227" s="62"/>
      <c r="AG1227" s="62"/>
      <c r="AH1227" s="62"/>
      <c r="AI1227" s="62"/>
      <c r="AJ1227" s="62"/>
      <c r="AK1227" s="62"/>
      <c r="AL1227" s="62"/>
      <c r="AM1227" s="61"/>
      <c r="AN1227" s="62"/>
      <c r="AO1227" s="61" t="s">
        <v>1112</v>
      </c>
      <c r="AP1227" s="212"/>
      <c r="AQ1227" s="213"/>
      <c r="AR1227" s="213"/>
      <c r="AS1227" s="213"/>
      <c r="AT1227" s="213"/>
      <c r="AU1227" s="213"/>
      <c r="AV1227" s="213"/>
      <c r="AW1227" s="62"/>
      <c r="AX1227" s="62"/>
      <c r="AY1227" s="62"/>
      <c r="AZ1227" s="62"/>
      <c r="BA1227" s="141"/>
      <c r="BB1227" s="61"/>
      <c r="BC1227" s="165" t="s">
        <v>1615</v>
      </c>
      <c r="BD1227" s="166">
        <v>0.79</v>
      </c>
      <c r="BE1227" s="167" t="s">
        <v>1616</v>
      </c>
      <c r="BF1227" s="168">
        <v>0.2</v>
      </c>
      <c r="BG1227" s="167" t="s">
        <v>1617</v>
      </c>
      <c r="BH1227" s="168">
        <v>0.01</v>
      </c>
      <c r="BI1227" s="214" t="s">
        <v>1618</v>
      </c>
      <c r="BJ1227" s="168">
        <v>0</v>
      </c>
      <c r="BK1227" s="134" t="s">
        <v>1619</v>
      </c>
      <c r="BL1227" s="168">
        <v>1</v>
      </c>
      <c r="BM1227" s="167" t="s">
        <v>1618</v>
      </c>
      <c r="BN1227" s="168"/>
      <c r="BO1227" s="62" t="s">
        <v>3616</v>
      </c>
      <c r="BP1227" s="168"/>
      <c r="BQ1227" s="168"/>
      <c r="BR1227" s="168"/>
      <c r="BS1227" s="135" t="s">
        <v>1619</v>
      </c>
      <c r="BT1227" s="168">
        <v>0.79</v>
      </c>
      <c r="BU1227" s="167" t="s">
        <v>1616</v>
      </c>
      <c r="BV1227" s="168">
        <v>0.2</v>
      </c>
      <c r="BW1227" s="167" t="s">
        <v>2153</v>
      </c>
      <c r="BX1227" s="168"/>
      <c r="BY1227" s="167" t="s">
        <v>1617</v>
      </c>
      <c r="BZ1227" s="168">
        <v>0.01</v>
      </c>
      <c r="CA1227" s="167" t="s">
        <v>1621</v>
      </c>
      <c r="CB1227" s="168"/>
      <c r="CC1227" s="62"/>
      <c r="CD1227" s="168"/>
      <c r="CE1227" s="165"/>
      <c r="CF1227" s="165"/>
      <c r="CG1227" s="204"/>
      <c r="CH1227" s="9"/>
      <c r="CI1227" s="204"/>
      <c r="CJ1227" s="204"/>
      <c r="CK1227" s="204"/>
      <c r="CL1227" s="204"/>
      <c r="CM1227" s="204"/>
      <c r="CN1227" s="204"/>
      <c r="CO1227" s="204"/>
      <c r="CP1227" s="9"/>
    </row>
    <row r="1228" spans="1:94" ht="42.75" x14ac:dyDescent="0.25">
      <c r="A1228" s="126" t="s">
        <v>3717</v>
      </c>
      <c r="B1228" s="131" t="s">
        <v>3718</v>
      </c>
      <c r="C1228" s="215"/>
      <c r="D1228" s="215"/>
      <c r="E1228" s="215"/>
      <c r="F1228" s="215"/>
      <c r="G1228" s="215"/>
      <c r="H1228" s="218"/>
      <c r="I1228" s="62"/>
      <c r="J1228" s="62"/>
      <c r="K1228" s="62"/>
      <c r="L1228" s="62"/>
      <c r="M1228" s="62"/>
      <c r="N1228" s="62"/>
      <c r="O1228" s="62"/>
      <c r="P1228" s="62"/>
      <c r="Q1228" s="62"/>
      <c r="R1228" s="62"/>
      <c r="S1228" s="62"/>
      <c r="T1228" s="62"/>
      <c r="U1228" s="62"/>
      <c r="V1228" s="62"/>
      <c r="W1228" s="62"/>
      <c r="X1228" s="62"/>
      <c r="Y1228" s="62"/>
      <c r="Z1228" s="62"/>
      <c r="AA1228" s="62"/>
      <c r="AB1228" s="62"/>
      <c r="AC1228" s="62"/>
      <c r="AD1228" s="62"/>
      <c r="AE1228" s="62"/>
      <c r="AF1228" s="62"/>
      <c r="AG1228" s="62"/>
      <c r="AH1228" s="62"/>
      <c r="AI1228" s="62"/>
      <c r="AJ1228" s="62"/>
      <c r="AK1228" s="62"/>
      <c r="AL1228" s="62"/>
      <c r="AM1228" s="61"/>
      <c r="AN1228" s="62"/>
      <c r="AO1228" s="61" t="s">
        <v>1112</v>
      </c>
      <c r="AP1228" s="212"/>
      <c r="AQ1228" s="213"/>
      <c r="AR1228" s="213"/>
      <c r="AS1228" s="213"/>
      <c r="AT1228" s="213"/>
      <c r="AU1228" s="213"/>
      <c r="AV1228" s="213"/>
      <c r="AW1228" s="62"/>
      <c r="AX1228" s="62"/>
      <c r="AY1228" s="62"/>
      <c r="AZ1228" s="62"/>
      <c r="BA1228" s="141"/>
      <c r="BB1228" s="61"/>
      <c r="BC1228" s="165" t="s">
        <v>1615</v>
      </c>
      <c r="BD1228" s="166">
        <v>0.79</v>
      </c>
      <c r="BE1228" s="167" t="s">
        <v>1616</v>
      </c>
      <c r="BF1228" s="168">
        <v>0.2</v>
      </c>
      <c r="BG1228" s="167" t="s">
        <v>1617</v>
      </c>
      <c r="BH1228" s="168">
        <v>0.01</v>
      </c>
      <c r="BI1228" s="214" t="s">
        <v>1618</v>
      </c>
      <c r="BJ1228" s="168">
        <v>0</v>
      </c>
      <c r="BK1228" s="134" t="s">
        <v>1619</v>
      </c>
      <c r="BL1228" s="168">
        <v>1</v>
      </c>
      <c r="BM1228" s="167" t="s">
        <v>1618</v>
      </c>
      <c r="BN1228" s="168"/>
      <c r="BO1228" s="62" t="s">
        <v>3616</v>
      </c>
      <c r="BP1228" s="168"/>
      <c r="BQ1228" s="168"/>
      <c r="BR1228" s="168"/>
      <c r="BS1228" s="135" t="s">
        <v>1619</v>
      </c>
      <c r="BT1228" s="168">
        <v>0.79</v>
      </c>
      <c r="BU1228" s="167" t="s">
        <v>1616</v>
      </c>
      <c r="BV1228" s="168">
        <v>0.2</v>
      </c>
      <c r="BW1228" s="167" t="s">
        <v>2153</v>
      </c>
      <c r="BX1228" s="168"/>
      <c r="BY1228" s="167" t="s">
        <v>1617</v>
      </c>
      <c r="BZ1228" s="168">
        <v>0.01</v>
      </c>
      <c r="CA1228" s="167" t="s">
        <v>1621</v>
      </c>
      <c r="CB1228" s="168"/>
      <c r="CC1228" s="62"/>
      <c r="CD1228" s="168"/>
      <c r="CE1228" s="165"/>
      <c r="CF1228" s="165"/>
      <c r="CG1228" s="204"/>
      <c r="CH1228" s="9"/>
      <c r="CI1228" s="204"/>
      <c r="CJ1228" s="204"/>
      <c r="CK1228" s="204"/>
      <c r="CL1228" s="204"/>
      <c r="CM1228" s="204"/>
      <c r="CN1228" s="204"/>
      <c r="CO1228" s="204"/>
      <c r="CP1228" s="9"/>
    </row>
    <row r="1229" spans="1:94" ht="42.75" x14ac:dyDescent="0.25">
      <c r="A1229" s="126" t="s">
        <v>1293</v>
      </c>
      <c r="B1229" s="131" t="s">
        <v>3719</v>
      </c>
      <c r="C1229" s="215"/>
      <c r="D1229" s="215"/>
      <c r="E1229" s="215"/>
      <c r="F1229" s="215"/>
      <c r="G1229" s="215"/>
      <c r="H1229" s="218"/>
      <c r="I1229" s="62"/>
      <c r="J1229" s="62"/>
      <c r="K1229" s="62"/>
      <c r="L1229" s="62"/>
      <c r="M1229" s="62"/>
      <c r="N1229" s="62"/>
      <c r="O1229" s="62"/>
      <c r="P1229" s="62"/>
      <c r="Q1229" s="62"/>
      <c r="R1229" s="62"/>
      <c r="S1229" s="62"/>
      <c r="T1229" s="62"/>
      <c r="U1229" s="62"/>
      <c r="V1229" s="62"/>
      <c r="W1229" s="62"/>
      <c r="X1229" s="62"/>
      <c r="Y1229" s="62"/>
      <c r="Z1229" s="62"/>
      <c r="AA1229" s="62"/>
      <c r="AB1229" s="62"/>
      <c r="AC1229" s="62"/>
      <c r="AD1229" s="62"/>
      <c r="AE1229" s="62"/>
      <c r="AF1229" s="62"/>
      <c r="AG1229" s="62"/>
      <c r="AH1229" s="62"/>
      <c r="AI1229" s="62"/>
      <c r="AJ1229" s="62"/>
      <c r="AK1229" s="62"/>
      <c r="AL1229" s="62"/>
      <c r="AM1229" s="61"/>
      <c r="AN1229" s="62"/>
      <c r="AO1229" s="61" t="s">
        <v>1112</v>
      </c>
      <c r="AP1229" s="212"/>
      <c r="AQ1229" s="213"/>
      <c r="AR1229" s="213"/>
      <c r="AS1229" s="213"/>
      <c r="AT1229" s="213"/>
      <c r="AU1229" s="213"/>
      <c r="AV1229" s="213"/>
      <c r="AW1229" s="62"/>
      <c r="AX1229" s="62"/>
      <c r="AY1229" s="62"/>
      <c r="AZ1229" s="62"/>
      <c r="BA1229" s="141"/>
      <c r="BB1229" s="61"/>
      <c r="BC1229" s="165" t="s">
        <v>1615</v>
      </c>
      <c r="BD1229" s="166">
        <v>0.79</v>
      </c>
      <c r="BE1229" s="167" t="s">
        <v>1616</v>
      </c>
      <c r="BF1229" s="168">
        <v>0.2</v>
      </c>
      <c r="BG1229" s="167" t="s">
        <v>1617</v>
      </c>
      <c r="BH1229" s="168">
        <v>0.01</v>
      </c>
      <c r="BI1229" s="214" t="s">
        <v>1618</v>
      </c>
      <c r="BJ1229" s="168">
        <v>0</v>
      </c>
      <c r="BK1229" s="134" t="s">
        <v>1619</v>
      </c>
      <c r="BL1229" s="168">
        <v>1</v>
      </c>
      <c r="BM1229" s="167" t="s">
        <v>1618</v>
      </c>
      <c r="BN1229" s="168"/>
      <c r="BO1229" s="62" t="s">
        <v>3616</v>
      </c>
      <c r="BP1229" s="168"/>
      <c r="BQ1229" s="168"/>
      <c r="BR1229" s="168"/>
      <c r="BS1229" s="135" t="s">
        <v>1619</v>
      </c>
      <c r="BT1229" s="168">
        <v>0.79</v>
      </c>
      <c r="BU1229" s="167" t="s">
        <v>1616</v>
      </c>
      <c r="BV1229" s="168">
        <v>0.2</v>
      </c>
      <c r="BW1229" s="167" t="s">
        <v>2153</v>
      </c>
      <c r="BX1229" s="168"/>
      <c r="BY1229" s="167" t="s">
        <v>1617</v>
      </c>
      <c r="BZ1229" s="168">
        <v>0.01</v>
      </c>
      <c r="CA1229" s="167" t="s">
        <v>1621</v>
      </c>
      <c r="CB1229" s="168"/>
      <c r="CC1229" s="62"/>
      <c r="CD1229" s="168"/>
      <c r="CE1229" s="165"/>
      <c r="CF1229" s="165"/>
      <c r="CG1229" s="204"/>
      <c r="CH1229" s="9"/>
      <c r="CI1229" s="204"/>
      <c r="CJ1229" s="204"/>
      <c r="CK1229" s="204"/>
      <c r="CL1229" s="204"/>
      <c r="CM1229" s="204"/>
      <c r="CN1229" s="204"/>
      <c r="CO1229" s="204"/>
      <c r="CP1229" s="9"/>
    </row>
    <row r="1230" spans="1:94" ht="42.75" x14ac:dyDescent="0.25">
      <c r="A1230" s="126" t="s">
        <v>3720</v>
      </c>
      <c r="B1230" s="131" t="s">
        <v>3721</v>
      </c>
      <c r="C1230" s="215"/>
      <c r="D1230" s="215"/>
      <c r="E1230" s="215"/>
      <c r="F1230" s="215"/>
      <c r="G1230" s="215"/>
      <c r="H1230" s="218"/>
      <c r="I1230" s="62"/>
      <c r="J1230" s="62"/>
      <c r="K1230" s="62"/>
      <c r="L1230" s="62"/>
      <c r="M1230" s="62"/>
      <c r="N1230" s="62"/>
      <c r="O1230" s="62"/>
      <c r="P1230" s="62"/>
      <c r="Q1230" s="62"/>
      <c r="R1230" s="62"/>
      <c r="S1230" s="62"/>
      <c r="T1230" s="62"/>
      <c r="U1230" s="62"/>
      <c r="V1230" s="62"/>
      <c r="W1230" s="62"/>
      <c r="X1230" s="62"/>
      <c r="Y1230" s="62"/>
      <c r="Z1230" s="62"/>
      <c r="AA1230" s="62"/>
      <c r="AB1230" s="62"/>
      <c r="AC1230" s="62"/>
      <c r="AD1230" s="62"/>
      <c r="AE1230" s="62"/>
      <c r="AF1230" s="62"/>
      <c r="AG1230" s="62"/>
      <c r="AH1230" s="62"/>
      <c r="AI1230" s="62"/>
      <c r="AJ1230" s="62"/>
      <c r="AK1230" s="62"/>
      <c r="AL1230" s="62"/>
      <c r="AM1230" s="61"/>
      <c r="AN1230" s="62"/>
      <c r="AO1230" s="61" t="s">
        <v>1112</v>
      </c>
      <c r="AP1230" s="212"/>
      <c r="AQ1230" s="213"/>
      <c r="AR1230" s="213"/>
      <c r="AS1230" s="213"/>
      <c r="AT1230" s="213"/>
      <c r="AU1230" s="213"/>
      <c r="AV1230" s="213"/>
      <c r="AW1230" s="62"/>
      <c r="AX1230" s="62"/>
      <c r="AY1230" s="62"/>
      <c r="AZ1230" s="62"/>
      <c r="BA1230" s="141"/>
      <c r="BB1230" s="61"/>
      <c r="BC1230" s="165" t="s">
        <v>1615</v>
      </c>
      <c r="BD1230" s="166">
        <v>0.79</v>
      </c>
      <c r="BE1230" s="167" t="s">
        <v>1616</v>
      </c>
      <c r="BF1230" s="168">
        <v>0.2</v>
      </c>
      <c r="BG1230" s="167" t="s">
        <v>1617</v>
      </c>
      <c r="BH1230" s="168">
        <v>0.01</v>
      </c>
      <c r="BI1230" s="214" t="s">
        <v>1618</v>
      </c>
      <c r="BJ1230" s="168">
        <v>0</v>
      </c>
      <c r="BK1230" s="134" t="s">
        <v>1619</v>
      </c>
      <c r="BL1230" s="168">
        <v>1</v>
      </c>
      <c r="BM1230" s="167" t="s">
        <v>1618</v>
      </c>
      <c r="BN1230" s="168"/>
      <c r="BO1230" s="62" t="s">
        <v>3616</v>
      </c>
      <c r="BP1230" s="168"/>
      <c r="BQ1230" s="168"/>
      <c r="BR1230" s="168"/>
      <c r="BS1230" s="135" t="s">
        <v>1619</v>
      </c>
      <c r="BT1230" s="168">
        <v>0.79</v>
      </c>
      <c r="BU1230" s="167" t="s">
        <v>1616</v>
      </c>
      <c r="BV1230" s="168">
        <v>0.2</v>
      </c>
      <c r="BW1230" s="167" t="s">
        <v>2153</v>
      </c>
      <c r="BX1230" s="168"/>
      <c r="BY1230" s="167" t="s">
        <v>1617</v>
      </c>
      <c r="BZ1230" s="168">
        <v>0.01</v>
      </c>
      <c r="CA1230" s="167" t="s">
        <v>1621</v>
      </c>
      <c r="CB1230" s="168"/>
      <c r="CC1230" s="62"/>
      <c r="CD1230" s="168"/>
      <c r="CE1230" s="165"/>
      <c r="CF1230" s="165"/>
      <c r="CG1230" s="204"/>
      <c r="CH1230" s="9"/>
      <c r="CI1230" s="204"/>
      <c r="CJ1230" s="204"/>
      <c r="CK1230" s="204"/>
      <c r="CL1230" s="204"/>
      <c r="CM1230" s="204"/>
      <c r="CN1230" s="204"/>
      <c r="CO1230" s="204"/>
      <c r="CP1230" s="9"/>
    </row>
    <row r="1231" spans="1:94" ht="42.75" x14ac:dyDescent="0.25">
      <c r="A1231" s="62" t="s">
        <v>3722</v>
      </c>
      <c r="B1231" s="131" t="s">
        <v>3723</v>
      </c>
      <c r="C1231" s="215"/>
      <c r="D1231" s="215"/>
      <c r="E1231" s="215"/>
      <c r="F1231" s="215"/>
      <c r="G1231" s="215"/>
      <c r="H1231" s="218"/>
      <c r="I1231" s="62"/>
      <c r="J1231" s="62"/>
      <c r="K1231" s="62"/>
      <c r="L1231" s="62"/>
      <c r="M1231" s="62"/>
      <c r="N1231" s="62"/>
      <c r="O1231" s="62"/>
      <c r="P1231" s="62"/>
      <c r="Q1231" s="62"/>
      <c r="R1231" s="62"/>
      <c r="S1231" s="62"/>
      <c r="T1231" s="62"/>
      <c r="U1231" s="62"/>
      <c r="V1231" s="62"/>
      <c r="W1231" s="62"/>
      <c r="X1231" s="62"/>
      <c r="Y1231" s="62"/>
      <c r="Z1231" s="62"/>
      <c r="AA1231" s="62"/>
      <c r="AB1231" s="62"/>
      <c r="AC1231" s="62"/>
      <c r="AD1231" s="62"/>
      <c r="AE1231" s="62"/>
      <c r="AF1231" s="62"/>
      <c r="AG1231" s="62"/>
      <c r="AH1231" s="62"/>
      <c r="AI1231" s="62"/>
      <c r="AJ1231" s="62"/>
      <c r="AK1231" s="62"/>
      <c r="AL1231" s="62"/>
      <c r="AM1231" s="61"/>
      <c r="AN1231" s="62"/>
      <c r="AO1231" s="61" t="s">
        <v>1112</v>
      </c>
      <c r="AP1231" s="212"/>
      <c r="AQ1231" s="213"/>
      <c r="AR1231" s="213"/>
      <c r="AS1231" s="213"/>
      <c r="AT1231" s="213"/>
      <c r="AU1231" s="213"/>
      <c r="AV1231" s="213"/>
      <c r="AW1231" s="62"/>
      <c r="AX1231" s="62"/>
      <c r="AY1231" s="62"/>
      <c r="AZ1231" s="62"/>
      <c r="BA1231" s="141"/>
      <c r="BB1231" s="61"/>
      <c r="BC1231" s="165" t="s">
        <v>1615</v>
      </c>
      <c r="BD1231" s="166">
        <v>0.79</v>
      </c>
      <c r="BE1231" s="167" t="s">
        <v>1616</v>
      </c>
      <c r="BF1231" s="168">
        <v>0.2</v>
      </c>
      <c r="BG1231" s="167" t="s">
        <v>1617</v>
      </c>
      <c r="BH1231" s="168">
        <v>0.01</v>
      </c>
      <c r="BI1231" s="214" t="s">
        <v>1618</v>
      </c>
      <c r="BJ1231" s="168">
        <v>0</v>
      </c>
      <c r="BK1231" s="134" t="s">
        <v>1619</v>
      </c>
      <c r="BL1231" s="168">
        <v>1</v>
      </c>
      <c r="BM1231" s="167" t="s">
        <v>1618</v>
      </c>
      <c r="BN1231" s="168"/>
      <c r="BO1231" s="62" t="s">
        <v>3616</v>
      </c>
      <c r="BP1231" s="168"/>
      <c r="BQ1231" s="168"/>
      <c r="BR1231" s="168"/>
      <c r="BS1231" s="135" t="s">
        <v>1619</v>
      </c>
      <c r="BT1231" s="168">
        <v>0.79</v>
      </c>
      <c r="BU1231" s="167" t="s">
        <v>1616</v>
      </c>
      <c r="BV1231" s="168">
        <v>0.2</v>
      </c>
      <c r="BW1231" s="167" t="s">
        <v>2153</v>
      </c>
      <c r="BX1231" s="168"/>
      <c r="BY1231" s="167" t="s">
        <v>1617</v>
      </c>
      <c r="BZ1231" s="168">
        <v>0.01</v>
      </c>
      <c r="CA1231" s="167" t="s">
        <v>1621</v>
      </c>
      <c r="CB1231" s="168"/>
      <c r="CC1231" s="62"/>
      <c r="CD1231" s="168"/>
      <c r="CE1231" s="165"/>
      <c r="CF1231" s="165"/>
      <c r="CG1231" s="204"/>
      <c r="CH1231" s="9"/>
      <c r="CI1231" s="204"/>
      <c r="CJ1231" s="204"/>
      <c r="CK1231" s="204"/>
      <c r="CL1231" s="204"/>
      <c r="CM1231" s="204"/>
      <c r="CN1231" s="204"/>
      <c r="CO1231" s="204"/>
      <c r="CP1231" s="9"/>
    </row>
    <row r="1232" spans="1:94" ht="15.75" x14ac:dyDescent="0.25">
      <c r="A1232" s="126" t="s">
        <v>3724</v>
      </c>
      <c r="B1232" s="131" t="s">
        <v>3725</v>
      </c>
      <c r="C1232" s="215"/>
      <c r="D1232" s="215"/>
      <c r="E1232" s="215"/>
      <c r="F1232" s="215"/>
      <c r="G1232" s="215"/>
      <c r="H1232" s="218"/>
      <c r="I1232" s="62"/>
      <c r="J1232" s="62"/>
      <c r="K1232" s="62"/>
      <c r="L1232" s="62"/>
      <c r="M1232" s="62"/>
      <c r="N1232" s="62"/>
      <c r="O1232" s="62"/>
      <c r="P1232" s="62"/>
      <c r="Q1232" s="62"/>
      <c r="R1232" s="62"/>
      <c r="S1232" s="62"/>
      <c r="T1232" s="62"/>
      <c r="U1232" s="62"/>
      <c r="V1232" s="62"/>
      <c r="W1232" s="62"/>
      <c r="X1232" s="62"/>
      <c r="Y1232" s="62"/>
      <c r="Z1232" s="62"/>
      <c r="AA1232" s="62"/>
      <c r="AB1232" s="62"/>
      <c r="AC1232" s="62"/>
      <c r="AD1232" s="62"/>
      <c r="AE1232" s="62"/>
      <c r="AF1232" s="62"/>
      <c r="AG1232" s="62"/>
      <c r="AH1232" s="62"/>
      <c r="AI1232" s="62"/>
      <c r="AJ1232" s="62"/>
      <c r="AK1232" s="62"/>
      <c r="AL1232" s="62"/>
      <c r="AM1232" s="61"/>
      <c r="AN1232" s="62"/>
      <c r="AO1232" s="61" t="s">
        <v>1112</v>
      </c>
      <c r="AP1232" s="212"/>
      <c r="AQ1232" s="213"/>
      <c r="AR1232" s="213"/>
      <c r="AS1232" s="213"/>
      <c r="AT1232" s="213"/>
      <c r="AU1232" s="213"/>
      <c r="AV1232" s="213"/>
      <c r="AW1232" s="62"/>
      <c r="AX1232" s="62"/>
      <c r="AY1232" s="62"/>
      <c r="AZ1232" s="62"/>
      <c r="BA1232" s="141"/>
      <c r="BB1232" s="61"/>
      <c r="BC1232" s="165"/>
      <c r="BD1232" s="166"/>
      <c r="BE1232" s="167"/>
      <c r="BF1232" s="168"/>
      <c r="BG1232" s="167"/>
      <c r="BH1232" s="168"/>
      <c r="BI1232" s="214"/>
      <c r="BJ1232" s="168"/>
      <c r="BK1232" s="134"/>
      <c r="BL1232" s="168"/>
      <c r="BM1232" s="167"/>
      <c r="BN1232" s="168"/>
      <c r="BO1232" s="62"/>
      <c r="BP1232" s="168"/>
      <c r="BQ1232" s="168"/>
      <c r="BR1232" s="168"/>
      <c r="BS1232" s="135"/>
      <c r="BT1232" s="168"/>
      <c r="BU1232" s="167"/>
      <c r="BV1232" s="168"/>
      <c r="BW1232" s="167"/>
      <c r="BX1232" s="168"/>
      <c r="BY1232" s="167"/>
      <c r="BZ1232" s="168"/>
      <c r="CA1232" s="167"/>
      <c r="CB1232" s="168"/>
      <c r="CC1232" s="62"/>
      <c r="CD1232" s="168"/>
      <c r="CE1232" s="165"/>
      <c r="CF1232" s="165"/>
      <c r="CG1232" s="204"/>
      <c r="CH1232" s="9"/>
      <c r="CI1232" s="204"/>
      <c r="CJ1232" s="204"/>
      <c r="CK1232" s="204"/>
      <c r="CL1232" s="204"/>
      <c r="CM1232" s="204"/>
      <c r="CN1232" s="204"/>
      <c r="CO1232" s="204"/>
      <c r="CP1232" s="9"/>
    </row>
    <row r="1233" spans="1:94" ht="15.75" x14ac:dyDescent="0.25">
      <c r="A1233" s="126" t="s">
        <v>3726</v>
      </c>
      <c r="B1233" s="131" t="s">
        <v>3727</v>
      </c>
      <c r="C1233" s="215"/>
      <c r="D1233" s="215"/>
      <c r="E1233" s="215"/>
      <c r="F1233" s="215"/>
      <c r="G1233" s="215"/>
      <c r="H1233" s="218"/>
      <c r="I1233" s="62"/>
      <c r="J1233" s="62"/>
      <c r="K1233" s="62"/>
      <c r="L1233" s="62"/>
      <c r="M1233" s="62"/>
      <c r="N1233" s="62"/>
      <c r="O1233" s="62"/>
      <c r="P1233" s="62"/>
      <c r="Q1233" s="62"/>
      <c r="R1233" s="62"/>
      <c r="S1233" s="62"/>
      <c r="T1233" s="62"/>
      <c r="U1233" s="62"/>
      <c r="V1233" s="62"/>
      <c r="W1233" s="62"/>
      <c r="X1233" s="62"/>
      <c r="Y1233" s="62"/>
      <c r="Z1233" s="62"/>
      <c r="AA1233" s="62"/>
      <c r="AB1233" s="62"/>
      <c r="AC1233" s="62"/>
      <c r="AD1233" s="62"/>
      <c r="AE1233" s="62"/>
      <c r="AF1233" s="62"/>
      <c r="AG1233" s="62"/>
      <c r="AH1233" s="62"/>
      <c r="AI1233" s="62"/>
      <c r="AJ1233" s="62"/>
      <c r="AK1233" s="62"/>
      <c r="AL1233" s="62"/>
      <c r="AM1233" s="61"/>
      <c r="AN1233" s="62"/>
      <c r="AO1233" s="61" t="s">
        <v>1112</v>
      </c>
      <c r="AP1233" s="212"/>
      <c r="AQ1233" s="213"/>
      <c r="AR1233" s="213"/>
      <c r="AS1233" s="213"/>
      <c r="AT1233" s="213"/>
      <c r="AU1233" s="213"/>
      <c r="AV1233" s="213"/>
      <c r="AW1233" s="62"/>
      <c r="AX1233" s="62"/>
      <c r="AY1233" s="62"/>
      <c r="AZ1233" s="62"/>
      <c r="BA1233" s="141"/>
      <c r="BB1233" s="61"/>
      <c r="BC1233" s="165"/>
      <c r="BD1233" s="166"/>
      <c r="BE1233" s="167"/>
      <c r="BF1233" s="168"/>
      <c r="BG1233" s="167"/>
      <c r="BH1233" s="168"/>
      <c r="BI1233" s="214"/>
      <c r="BJ1233" s="168"/>
      <c r="BK1233" s="134"/>
      <c r="BL1233" s="168"/>
      <c r="BM1233" s="167"/>
      <c r="BN1233" s="168"/>
      <c r="BO1233" s="62"/>
      <c r="BP1233" s="168"/>
      <c r="BQ1233" s="168"/>
      <c r="BR1233" s="168"/>
      <c r="BS1233" s="135"/>
      <c r="BT1233" s="168"/>
      <c r="BU1233" s="167"/>
      <c r="BV1233" s="168"/>
      <c r="BW1233" s="167"/>
      <c r="BX1233" s="168"/>
      <c r="BY1233" s="167"/>
      <c r="BZ1233" s="168"/>
      <c r="CA1233" s="167"/>
      <c r="CB1233" s="168"/>
      <c r="CC1233" s="62"/>
      <c r="CD1233" s="168"/>
      <c r="CE1233" s="165"/>
      <c r="CF1233" s="165"/>
      <c r="CG1233" s="204"/>
      <c r="CH1233" s="9"/>
      <c r="CI1233" s="204"/>
      <c r="CJ1233" s="204"/>
      <c r="CK1233" s="204"/>
      <c r="CL1233" s="204"/>
      <c r="CM1233" s="204"/>
      <c r="CN1233" s="204"/>
      <c r="CO1233" s="204"/>
      <c r="CP1233" s="9"/>
    </row>
    <row r="1234" spans="1:94" ht="15.75" x14ac:dyDescent="0.25">
      <c r="A1234" s="126" t="s">
        <v>3728</v>
      </c>
      <c r="B1234" s="131" t="s">
        <v>3729</v>
      </c>
      <c r="C1234" s="215"/>
      <c r="D1234" s="215"/>
      <c r="E1234" s="215"/>
      <c r="F1234" s="215"/>
      <c r="G1234" s="215"/>
      <c r="H1234" s="218"/>
      <c r="I1234" s="62"/>
      <c r="J1234" s="62"/>
      <c r="K1234" s="62"/>
      <c r="L1234" s="62"/>
      <c r="M1234" s="62"/>
      <c r="N1234" s="62"/>
      <c r="O1234" s="62"/>
      <c r="P1234" s="62"/>
      <c r="Q1234" s="62"/>
      <c r="R1234" s="62"/>
      <c r="S1234" s="62"/>
      <c r="T1234" s="62"/>
      <c r="U1234" s="62"/>
      <c r="V1234" s="62"/>
      <c r="W1234" s="62"/>
      <c r="X1234" s="62"/>
      <c r="Y1234" s="62"/>
      <c r="Z1234" s="62"/>
      <c r="AA1234" s="62"/>
      <c r="AB1234" s="62"/>
      <c r="AC1234" s="62"/>
      <c r="AD1234" s="62"/>
      <c r="AE1234" s="62"/>
      <c r="AF1234" s="62"/>
      <c r="AG1234" s="62"/>
      <c r="AH1234" s="62"/>
      <c r="AI1234" s="62"/>
      <c r="AJ1234" s="62"/>
      <c r="AK1234" s="62"/>
      <c r="AL1234" s="62"/>
      <c r="AM1234" s="61"/>
      <c r="AN1234" s="62"/>
      <c r="AO1234" s="61" t="s">
        <v>1112</v>
      </c>
      <c r="AP1234" s="212"/>
      <c r="AQ1234" s="213"/>
      <c r="AR1234" s="213"/>
      <c r="AS1234" s="213"/>
      <c r="AT1234" s="213"/>
      <c r="AU1234" s="213"/>
      <c r="AV1234" s="213"/>
      <c r="AW1234" s="62"/>
      <c r="AX1234" s="62"/>
      <c r="AY1234" s="62"/>
      <c r="AZ1234" s="62"/>
      <c r="BA1234" s="141"/>
      <c r="BB1234" s="61"/>
      <c r="BC1234" s="165"/>
      <c r="BD1234" s="166"/>
      <c r="BE1234" s="167"/>
      <c r="BF1234" s="168"/>
      <c r="BG1234" s="167"/>
      <c r="BH1234" s="168"/>
      <c r="BI1234" s="214"/>
      <c r="BJ1234" s="168"/>
      <c r="BK1234" s="134"/>
      <c r="BL1234" s="168"/>
      <c r="BM1234" s="167"/>
      <c r="BN1234" s="168"/>
      <c r="BO1234" s="62"/>
      <c r="BP1234" s="168"/>
      <c r="BQ1234" s="168"/>
      <c r="BR1234" s="168"/>
      <c r="BS1234" s="135"/>
      <c r="BT1234" s="168"/>
      <c r="BU1234" s="167"/>
      <c r="BV1234" s="168"/>
      <c r="BW1234" s="167"/>
      <c r="BX1234" s="168"/>
      <c r="BY1234" s="167"/>
      <c r="BZ1234" s="168"/>
      <c r="CA1234" s="167"/>
      <c r="CB1234" s="168"/>
      <c r="CC1234" s="62"/>
      <c r="CD1234" s="168"/>
      <c r="CE1234" s="165"/>
      <c r="CF1234" s="165"/>
      <c r="CG1234" s="204"/>
      <c r="CH1234" s="9"/>
      <c r="CI1234" s="204"/>
      <c r="CJ1234" s="204"/>
      <c r="CK1234" s="204"/>
      <c r="CL1234" s="204"/>
      <c r="CM1234" s="204"/>
      <c r="CN1234" s="204"/>
      <c r="CO1234" s="204"/>
      <c r="CP1234" s="9"/>
    </row>
    <row r="1235" spans="1:94" ht="15.75" x14ac:dyDescent="0.25">
      <c r="A1235" s="126" t="s">
        <v>3730</v>
      </c>
      <c r="B1235" s="131" t="s">
        <v>3731</v>
      </c>
      <c r="C1235" s="215"/>
      <c r="D1235" s="215"/>
      <c r="E1235" s="215"/>
      <c r="F1235" s="215"/>
      <c r="G1235" s="215"/>
      <c r="H1235" s="218"/>
      <c r="I1235" s="62"/>
      <c r="J1235" s="62"/>
      <c r="K1235" s="62"/>
      <c r="L1235" s="62"/>
      <c r="M1235" s="62"/>
      <c r="N1235" s="62"/>
      <c r="O1235" s="62"/>
      <c r="P1235" s="62"/>
      <c r="Q1235" s="62"/>
      <c r="R1235" s="62"/>
      <c r="S1235" s="62"/>
      <c r="T1235" s="62"/>
      <c r="U1235" s="62"/>
      <c r="V1235" s="62"/>
      <c r="W1235" s="62"/>
      <c r="X1235" s="62"/>
      <c r="Y1235" s="62"/>
      <c r="Z1235" s="62"/>
      <c r="AA1235" s="62"/>
      <c r="AB1235" s="62"/>
      <c r="AC1235" s="62"/>
      <c r="AD1235" s="62"/>
      <c r="AE1235" s="62"/>
      <c r="AF1235" s="62"/>
      <c r="AG1235" s="62"/>
      <c r="AH1235" s="62"/>
      <c r="AI1235" s="62"/>
      <c r="AJ1235" s="62"/>
      <c r="AK1235" s="62"/>
      <c r="AL1235" s="62"/>
      <c r="AM1235" s="61"/>
      <c r="AN1235" s="62"/>
      <c r="AO1235" s="61" t="s">
        <v>1112</v>
      </c>
      <c r="AP1235" s="212"/>
      <c r="AQ1235" s="213"/>
      <c r="AR1235" s="213"/>
      <c r="AS1235" s="213"/>
      <c r="AT1235" s="213"/>
      <c r="AU1235" s="213"/>
      <c r="AV1235" s="213"/>
      <c r="AW1235" s="62"/>
      <c r="AX1235" s="62"/>
      <c r="AY1235" s="62"/>
      <c r="AZ1235" s="62"/>
      <c r="BA1235" s="141"/>
      <c r="BB1235" s="61"/>
      <c r="BC1235" s="165"/>
      <c r="BD1235" s="166"/>
      <c r="BE1235" s="167"/>
      <c r="BF1235" s="168"/>
      <c r="BG1235" s="167"/>
      <c r="BH1235" s="168"/>
      <c r="BI1235" s="214"/>
      <c r="BJ1235" s="168"/>
      <c r="BK1235" s="134"/>
      <c r="BL1235" s="168"/>
      <c r="BM1235" s="167"/>
      <c r="BN1235" s="168"/>
      <c r="BO1235" s="62"/>
      <c r="BP1235" s="168"/>
      <c r="BQ1235" s="168"/>
      <c r="BR1235" s="168"/>
      <c r="BS1235" s="135"/>
      <c r="BT1235" s="168"/>
      <c r="BU1235" s="167"/>
      <c r="BV1235" s="168"/>
      <c r="BW1235" s="167"/>
      <c r="BX1235" s="168"/>
      <c r="BY1235" s="167"/>
      <c r="BZ1235" s="168"/>
      <c r="CA1235" s="167"/>
      <c r="CB1235" s="168"/>
      <c r="CC1235" s="62"/>
      <c r="CD1235" s="168"/>
      <c r="CE1235" s="165"/>
      <c r="CF1235" s="165"/>
      <c r="CG1235" s="204"/>
      <c r="CH1235" s="9"/>
      <c r="CI1235" s="204"/>
      <c r="CJ1235" s="204"/>
      <c r="CK1235" s="204"/>
      <c r="CL1235" s="204"/>
      <c r="CM1235" s="204"/>
      <c r="CN1235" s="204"/>
      <c r="CO1235" s="204"/>
      <c r="CP1235" s="9"/>
    </row>
    <row r="1236" spans="1:94" ht="42.75" x14ac:dyDescent="0.25">
      <c r="A1236" s="62" t="s">
        <v>3732</v>
      </c>
      <c r="B1236" s="131" t="s">
        <v>3733</v>
      </c>
      <c r="C1236" s="215"/>
      <c r="D1236" s="215"/>
      <c r="E1236" s="215"/>
      <c r="F1236" s="215"/>
      <c r="G1236" s="215"/>
      <c r="H1236" s="218"/>
      <c r="I1236" s="62"/>
      <c r="J1236" s="62"/>
      <c r="K1236" s="62"/>
      <c r="L1236" s="62"/>
      <c r="M1236" s="62"/>
      <c r="N1236" s="62"/>
      <c r="O1236" s="62"/>
      <c r="P1236" s="62"/>
      <c r="Q1236" s="62"/>
      <c r="R1236" s="62"/>
      <c r="S1236" s="62"/>
      <c r="T1236" s="62"/>
      <c r="U1236" s="62"/>
      <c r="V1236" s="62"/>
      <c r="W1236" s="62"/>
      <c r="X1236" s="62"/>
      <c r="Y1236" s="62"/>
      <c r="Z1236" s="62"/>
      <c r="AA1236" s="62"/>
      <c r="AB1236" s="62"/>
      <c r="AC1236" s="62"/>
      <c r="AD1236" s="62"/>
      <c r="AE1236" s="62"/>
      <c r="AF1236" s="62"/>
      <c r="AG1236" s="62"/>
      <c r="AH1236" s="62"/>
      <c r="AI1236" s="62"/>
      <c r="AJ1236" s="62"/>
      <c r="AK1236" s="62"/>
      <c r="AL1236" s="62"/>
      <c r="AM1236" s="61"/>
      <c r="AN1236" s="62"/>
      <c r="AO1236" s="61" t="s">
        <v>1112</v>
      </c>
      <c r="AP1236" s="212"/>
      <c r="AQ1236" s="213"/>
      <c r="AR1236" s="213"/>
      <c r="AS1236" s="213"/>
      <c r="AT1236" s="213"/>
      <c r="AU1236" s="213"/>
      <c r="AV1236" s="213"/>
      <c r="AW1236" s="62"/>
      <c r="AX1236" s="62"/>
      <c r="AY1236" s="62"/>
      <c r="AZ1236" s="62"/>
      <c r="BA1236" s="141"/>
      <c r="BB1236" s="61"/>
      <c r="BC1236" s="165" t="s">
        <v>1615</v>
      </c>
      <c r="BD1236" s="166">
        <v>0.79</v>
      </c>
      <c r="BE1236" s="167" t="s">
        <v>1616</v>
      </c>
      <c r="BF1236" s="168">
        <v>0.2</v>
      </c>
      <c r="BG1236" s="167" t="s">
        <v>1617</v>
      </c>
      <c r="BH1236" s="168">
        <v>0.01</v>
      </c>
      <c r="BI1236" s="214" t="s">
        <v>1618</v>
      </c>
      <c r="BJ1236" s="168">
        <v>0</v>
      </c>
      <c r="BK1236" s="134" t="s">
        <v>1619</v>
      </c>
      <c r="BL1236" s="168">
        <v>1</v>
      </c>
      <c r="BM1236" s="167" t="s">
        <v>1618</v>
      </c>
      <c r="BN1236" s="168"/>
      <c r="BO1236" s="62" t="s">
        <v>3616</v>
      </c>
      <c r="BP1236" s="168"/>
      <c r="BQ1236" s="168"/>
      <c r="BR1236" s="168"/>
      <c r="BS1236" s="135" t="s">
        <v>1619</v>
      </c>
      <c r="BT1236" s="168">
        <v>0.79</v>
      </c>
      <c r="BU1236" s="167" t="s">
        <v>1616</v>
      </c>
      <c r="BV1236" s="168">
        <v>0.2</v>
      </c>
      <c r="BW1236" s="167" t="s">
        <v>2153</v>
      </c>
      <c r="BX1236" s="168"/>
      <c r="BY1236" s="167" t="s">
        <v>1617</v>
      </c>
      <c r="BZ1236" s="168">
        <v>0.01</v>
      </c>
      <c r="CA1236" s="167" t="s">
        <v>1621</v>
      </c>
      <c r="CB1236" s="168"/>
      <c r="CC1236" s="62"/>
      <c r="CD1236" s="168"/>
      <c r="CE1236" s="165"/>
      <c r="CF1236" s="165"/>
      <c r="CG1236" s="204"/>
      <c r="CH1236" s="9"/>
      <c r="CI1236" s="204"/>
      <c r="CJ1236" s="204"/>
      <c r="CK1236" s="204"/>
      <c r="CL1236" s="204"/>
      <c r="CM1236" s="204"/>
      <c r="CN1236" s="204"/>
      <c r="CO1236" s="204"/>
      <c r="CP1236" s="9"/>
    </row>
    <row r="1237" spans="1:94" ht="42.75" x14ac:dyDescent="0.25">
      <c r="A1237" s="62" t="s">
        <v>3688</v>
      </c>
      <c r="B1237" s="131" t="s">
        <v>3718</v>
      </c>
      <c r="C1237" s="215"/>
      <c r="D1237" s="215"/>
      <c r="E1237" s="215"/>
      <c r="F1237" s="215"/>
      <c r="G1237" s="215"/>
      <c r="H1237" s="218"/>
      <c r="I1237" s="62"/>
      <c r="J1237" s="62"/>
      <c r="K1237" s="62"/>
      <c r="L1237" s="62"/>
      <c r="M1237" s="62"/>
      <c r="N1237" s="62"/>
      <c r="O1237" s="62"/>
      <c r="P1237" s="62"/>
      <c r="Q1237" s="62"/>
      <c r="R1237" s="62"/>
      <c r="S1237" s="62"/>
      <c r="T1237" s="62"/>
      <c r="U1237" s="62"/>
      <c r="V1237" s="62"/>
      <c r="W1237" s="62"/>
      <c r="X1237" s="62"/>
      <c r="Y1237" s="62"/>
      <c r="Z1237" s="62"/>
      <c r="AA1237" s="62"/>
      <c r="AB1237" s="62"/>
      <c r="AC1237" s="62"/>
      <c r="AD1237" s="62"/>
      <c r="AE1237" s="62"/>
      <c r="AF1237" s="62"/>
      <c r="AG1237" s="62"/>
      <c r="AH1237" s="62"/>
      <c r="AI1237" s="62"/>
      <c r="AJ1237" s="62"/>
      <c r="AK1237" s="62"/>
      <c r="AL1237" s="62"/>
      <c r="AM1237" s="61"/>
      <c r="AN1237" s="62"/>
      <c r="AO1237" s="61" t="s">
        <v>1112</v>
      </c>
      <c r="AP1237" s="212"/>
      <c r="AQ1237" s="213"/>
      <c r="AR1237" s="213"/>
      <c r="AS1237" s="213"/>
      <c r="AT1237" s="213"/>
      <c r="AU1237" s="213"/>
      <c r="AV1237" s="213"/>
      <c r="AW1237" s="62"/>
      <c r="AX1237" s="62"/>
      <c r="AY1237" s="62"/>
      <c r="AZ1237" s="62"/>
      <c r="BA1237" s="141"/>
      <c r="BB1237" s="61"/>
      <c r="BC1237" s="165" t="s">
        <v>1615</v>
      </c>
      <c r="BD1237" s="166">
        <v>0.79</v>
      </c>
      <c r="BE1237" s="167" t="s">
        <v>1616</v>
      </c>
      <c r="BF1237" s="168">
        <v>0.2</v>
      </c>
      <c r="BG1237" s="167" t="s">
        <v>1617</v>
      </c>
      <c r="BH1237" s="168">
        <v>0.01</v>
      </c>
      <c r="BI1237" s="214" t="s">
        <v>1618</v>
      </c>
      <c r="BJ1237" s="168">
        <v>0</v>
      </c>
      <c r="BK1237" s="134" t="s">
        <v>1619</v>
      </c>
      <c r="BL1237" s="168">
        <v>1</v>
      </c>
      <c r="BM1237" s="167" t="s">
        <v>1618</v>
      </c>
      <c r="BN1237" s="168"/>
      <c r="BO1237" s="62" t="s">
        <v>3616</v>
      </c>
      <c r="BP1237" s="168"/>
      <c r="BQ1237" s="168"/>
      <c r="BR1237" s="168"/>
      <c r="BS1237" s="135" t="s">
        <v>1619</v>
      </c>
      <c r="BT1237" s="168">
        <v>0.79</v>
      </c>
      <c r="BU1237" s="167" t="s">
        <v>1616</v>
      </c>
      <c r="BV1237" s="168">
        <v>0.2</v>
      </c>
      <c r="BW1237" s="167" t="s">
        <v>2153</v>
      </c>
      <c r="BX1237" s="168"/>
      <c r="BY1237" s="167" t="s">
        <v>1617</v>
      </c>
      <c r="BZ1237" s="168">
        <v>0.01</v>
      </c>
      <c r="CA1237" s="167" t="s">
        <v>1621</v>
      </c>
      <c r="CB1237" s="168"/>
      <c r="CC1237" s="62"/>
      <c r="CD1237" s="168"/>
      <c r="CE1237" s="165"/>
      <c r="CF1237" s="165"/>
      <c r="CG1237" s="204"/>
      <c r="CH1237" s="9"/>
      <c r="CI1237" s="204"/>
      <c r="CJ1237" s="204"/>
      <c r="CK1237" s="204"/>
      <c r="CL1237" s="204"/>
      <c r="CM1237" s="204"/>
      <c r="CN1237" s="204"/>
      <c r="CO1237" s="204"/>
      <c r="CP1237" s="9"/>
    </row>
    <row r="1238" spans="1:94" ht="42.75" x14ac:dyDescent="0.25">
      <c r="A1238" s="62" t="s">
        <v>3734</v>
      </c>
      <c r="B1238" s="131" t="s">
        <v>3735</v>
      </c>
      <c r="C1238" s="215"/>
      <c r="D1238" s="215"/>
      <c r="E1238" s="215"/>
      <c r="F1238" s="215"/>
      <c r="G1238" s="215"/>
      <c r="H1238" s="218"/>
      <c r="I1238" s="62"/>
      <c r="J1238" s="62"/>
      <c r="K1238" s="62"/>
      <c r="L1238" s="62"/>
      <c r="M1238" s="62"/>
      <c r="N1238" s="62"/>
      <c r="O1238" s="62"/>
      <c r="P1238" s="62"/>
      <c r="Q1238" s="62"/>
      <c r="R1238" s="62"/>
      <c r="S1238" s="62"/>
      <c r="T1238" s="62"/>
      <c r="U1238" s="62"/>
      <c r="V1238" s="62"/>
      <c r="W1238" s="62"/>
      <c r="X1238" s="62"/>
      <c r="Y1238" s="62"/>
      <c r="Z1238" s="62"/>
      <c r="AA1238" s="62"/>
      <c r="AB1238" s="62"/>
      <c r="AC1238" s="62"/>
      <c r="AD1238" s="62"/>
      <c r="AE1238" s="62"/>
      <c r="AF1238" s="62"/>
      <c r="AG1238" s="62"/>
      <c r="AH1238" s="62"/>
      <c r="AI1238" s="62"/>
      <c r="AJ1238" s="62"/>
      <c r="AK1238" s="62"/>
      <c r="AL1238" s="62"/>
      <c r="AM1238" s="61"/>
      <c r="AN1238" s="62"/>
      <c r="AO1238" s="61" t="s">
        <v>1112</v>
      </c>
      <c r="AP1238" s="212"/>
      <c r="AQ1238" s="213"/>
      <c r="AR1238" s="213"/>
      <c r="AS1238" s="213"/>
      <c r="AT1238" s="213"/>
      <c r="AU1238" s="213"/>
      <c r="AV1238" s="213"/>
      <c r="AW1238" s="62"/>
      <c r="AX1238" s="62"/>
      <c r="AY1238" s="62"/>
      <c r="AZ1238" s="62"/>
      <c r="BA1238" s="141"/>
      <c r="BB1238" s="61"/>
      <c r="BC1238" s="165" t="s">
        <v>1615</v>
      </c>
      <c r="BD1238" s="166">
        <v>0.79</v>
      </c>
      <c r="BE1238" s="167" t="s">
        <v>1616</v>
      </c>
      <c r="BF1238" s="168">
        <v>0.2</v>
      </c>
      <c r="BG1238" s="167" t="s">
        <v>1617</v>
      </c>
      <c r="BH1238" s="168">
        <v>0.01</v>
      </c>
      <c r="BI1238" s="214" t="s">
        <v>1618</v>
      </c>
      <c r="BJ1238" s="168">
        <v>0</v>
      </c>
      <c r="BK1238" s="134" t="s">
        <v>1619</v>
      </c>
      <c r="BL1238" s="168">
        <v>1</v>
      </c>
      <c r="BM1238" s="167" t="s">
        <v>1618</v>
      </c>
      <c r="BN1238" s="168"/>
      <c r="BO1238" s="62" t="s">
        <v>3616</v>
      </c>
      <c r="BP1238" s="168"/>
      <c r="BQ1238" s="168"/>
      <c r="BR1238" s="168"/>
      <c r="BS1238" s="135" t="s">
        <v>1619</v>
      </c>
      <c r="BT1238" s="168">
        <v>0.79</v>
      </c>
      <c r="BU1238" s="167" t="s">
        <v>1616</v>
      </c>
      <c r="BV1238" s="168">
        <v>0.2</v>
      </c>
      <c r="BW1238" s="167" t="s">
        <v>2153</v>
      </c>
      <c r="BX1238" s="168"/>
      <c r="BY1238" s="167" t="s">
        <v>1617</v>
      </c>
      <c r="BZ1238" s="168">
        <v>0.01</v>
      </c>
      <c r="CA1238" s="167" t="s">
        <v>1621</v>
      </c>
      <c r="CB1238" s="168"/>
      <c r="CC1238" s="62"/>
      <c r="CD1238" s="168"/>
      <c r="CE1238" s="165"/>
      <c r="CF1238" s="165"/>
      <c r="CG1238" s="204"/>
      <c r="CH1238" s="9"/>
      <c r="CI1238" s="204"/>
      <c r="CJ1238" s="204"/>
      <c r="CK1238" s="204"/>
      <c r="CL1238" s="204"/>
      <c r="CM1238" s="204"/>
      <c r="CN1238" s="204"/>
      <c r="CO1238" s="204"/>
      <c r="CP1238" s="9"/>
    </row>
    <row r="1239" spans="1:94" ht="42.75" x14ac:dyDescent="0.25">
      <c r="A1239" s="62" t="s">
        <v>3736</v>
      </c>
      <c r="B1239" s="131" t="s">
        <v>3737</v>
      </c>
      <c r="C1239" s="215"/>
      <c r="D1239" s="215"/>
      <c r="E1239" s="215"/>
      <c r="F1239" s="215"/>
      <c r="G1239" s="215"/>
      <c r="H1239" s="218"/>
      <c r="I1239" s="62"/>
      <c r="J1239" s="62"/>
      <c r="K1239" s="62"/>
      <c r="L1239" s="62"/>
      <c r="M1239" s="62"/>
      <c r="N1239" s="62"/>
      <c r="O1239" s="62"/>
      <c r="P1239" s="62"/>
      <c r="Q1239" s="62"/>
      <c r="R1239" s="62"/>
      <c r="S1239" s="62"/>
      <c r="T1239" s="62"/>
      <c r="U1239" s="62"/>
      <c r="V1239" s="62"/>
      <c r="W1239" s="62"/>
      <c r="X1239" s="62"/>
      <c r="Y1239" s="62"/>
      <c r="Z1239" s="62"/>
      <c r="AA1239" s="62"/>
      <c r="AB1239" s="62"/>
      <c r="AC1239" s="62"/>
      <c r="AD1239" s="62"/>
      <c r="AE1239" s="62"/>
      <c r="AF1239" s="62"/>
      <c r="AG1239" s="62"/>
      <c r="AH1239" s="62"/>
      <c r="AI1239" s="62"/>
      <c r="AJ1239" s="62"/>
      <c r="AK1239" s="62"/>
      <c r="AL1239" s="62"/>
      <c r="AM1239" s="61"/>
      <c r="AN1239" s="62"/>
      <c r="AO1239" s="61" t="s">
        <v>1112</v>
      </c>
      <c r="AP1239" s="212"/>
      <c r="AQ1239" s="213"/>
      <c r="AR1239" s="213"/>
      <c r="AS1239" s="213"/>
      <c r="AT1239" s="213"/>
      <c r="AU1239" s="213"/>
      <c r="AV1239" s="213"/>
      <c r="AW1239" s="62"/>
      <c r="AX1239" s="62"/>
      <c r="AY1239" s="62"/>
      <c r="AZ1239" s="62"/>
      <c r="BA1239" s="141"/>
      <c r="BB1239" s="61"/>
      <c r="BC1239" s="165" t="s">
        <v>1615</v>
      </c>
      <c r="BD1239" s="166">
        <v>0.79</v>
      </c>
      <c r="BE1239" s="167" t="s">
        <v>1616</v>
      </c>
      <c r="BF1239" s="168">
        <v>0.2</v>
      </c>
      <c r="BG1239" s="167" t="s">
        <v>1617</v>
      </c>
      <c r="BH1239" s="168">
        <v>0.01</v>
      </c>
      <c r="BI1239" s="214" t="s">
        <v>1618</v>
      </c>
      <c r="BJ1239" s="168">
        <v>0</v>
      </c>
      <c r="BK1239" s="134" t="s">
        <v>1619</v>
      </c>
      <c r="BL1239" s="168">
        <v>1</v>
      </c>
      <c r="BM1239" s="167" t="s">
        <v>1618</v>
      </c>
      <c r="BN1239" s="168"/>
      <c r="BO1239" s="62" t="s">
        <v>3616</v>
      </c>
      <c r="BP1239" s="168"/>
      <c r="BQ1239" s="168"/>
      <c r="BR1239" s="168"/>
      <c r="BS1239" s="135" t="s">
        <v>1619</v>
      </c>
      <c r="BT1239" s="168">
        <v>0.79</v>
      </c>
      <c r="BU1239" s="167" t="s">
        <v>1616</v>
      </c>
      <c r="BV1239" s="168">
        <v>0.2</v>
      </c>
      <c r="BW1239" s="167" t="s">
        <v>2153</v>
      </c>
      <c r="BX1239" s="168"/>
      <c r="BY1239" s="167" t="s">
        <v>1617</v>
      </c>
      <c r="BZ1239" s="168">
        <v>0.01</v>
      </c>
      <c r="CA1239" s="167" t="s">
        <v>1621</v>
      </c>
      <c r="CB1239" s="168"/>
      <c r="CC1239" s="62"/>
      <c r="CD1239" s="168"/>
      <c r="CE1239" s="165"/>
      <c r="CF1239" s="165"/>
      <c r="CG1239" s="204"/>
      <c r="CH1239" s="9"/>
      <c r="CI1239" s="204"/>
      <c r="CJ1239" s="204"/>
      <c r="CK1239" s="204"/>
      <c r="CL1239" s="204"/>
      <c r="CM1239" s="204"/>
      <c r="CN1239" s="204"/>
      <c r="CO1239" s="204"/>
      <c r="CP1239" s="9"/>
    </row>
    <row r="1240" spans="1:94" ht="42.75" x14ac:dyDescent="0.25">
      <c r="A1240" s="62" t="s">
        <v>3738</v>
      </c>
      <c r="B1240" s="131" t="s">
        <v>3739</v>
      </c>
      <c r="C1240" s="215"/>
      <c r="D1240" s="215"/>
      <c r="E1240" s="215"/>
      <c r="F1240" s="215"/>
      <c r="G1240" s="215"/>
      <c r="H1240" s="218"/>
      <c r="I1240" s="62"/>
      <c r="J1240" s="62"/>
      <c r="K1240" s="62"/>
      <c r="L1240" s="62"/>
      <c r="M1240" s="62"/>
      <c r="N1240" s="62"/>
      <c r="O1240" s="62"/>
      <c r="P1240" s="62"/>
      <c r="Q1240" s="62"/>
      <c r="R1240" s="62"/>
      <c r="S1240" s="62"/>
      <c r="T1240" s="62"/>
      <c r="U1240" s="62"/>
      <c r="V1240" s="62"/>
      <c r="W1240" s="62"/>
      <c r="X1240" s="62"/>
      <c r="Y1240" s="62"/>
      <c r="Z1240" s="62"/>
      <c r="AA1240" s="62"/>
      <c r="AB1240" s="62"/>
      <c r="AC1240" s="62"/>
      <c r="AD1240" s="62"/>
      <c r="AE1240" s="62"/>
      <c r="AF1240" s="62"/>
      <c r="AG1240" s="62"/>
      <c r="AH1240" s="62"/>
      <c r="AI1240" s="62"/>
      <c r="AJ1240" s="62"/>
      <c r="AK1240" s="62"/>
      <c r="AL1240" s="62"/>
      <c r="AM1240" s="61"/>
      <c r="AN1240" s="62"/>
      <c r="AO1240" s="61" t="s">
        <v>1112</v>
      </c>
      <c r="AP1240" s="212"/>
      <c r="AQ1240" s="213"/>
      <c r="AR1240" s="213"/>
      <c r="AS1240" s="213"/>
      <c r="AT1240" s="213"/>
      <c r="AU1240" s="213"/>
      <c r="AV1240" s="213"/>
      <c r="AW1240" s="62"/>
      <c r="AX1240" s="62"/>
      <c r="AY1240" s="62"/>
      <c r="AZ1240" s="62"/>
      <c r="BA1240" s="141"/>
      <c r="BB1240" s="61"/>
      <c r="BC1240" s="165" t="s">
        <v>1615</v>
      </c>
      <c r="BD1240" s="166">
        <v>0.79</v>
      </c>
      <c r="BE1240" s="167" t="s">
        <v>1616</v>
      </c>
      <c r="BF1240" s="168">
        <v>0.2</v>
      </c>
      <c r="BG1240" s="167" t="s">
        <v>1617</v>
      </c>
      <c r="BH1240" s="168">
        <v>0.01</v>
      </c>
      <c r="BI1240" s="214" t="s">
        <v>1618</v>
      </c>
      <c r="BJ1240" s="168">
        <v>0</v>
      </c>
      <c r="BK1240" s="134" t="s">
        <v>1619</v>
      </c>
      <c r="BL1240" s="168">
        <v>1</v>
      </c>
      <c r="BM1240" s="167" t="s">
        <v>1618</v>
      </c>
      <c r="BN1240" s="168"/>
      <c r="BO1240" s="62" t="s">
        <v>3616</v>
      </c>
      <c r="BP1240" s="168"/>
      <c r="BQ1240" s="168"/>
      <c r="BR1240" s="168"/>
      <c r="BS1240" s="135" t="s">
        <v>1619</v>
      </c>
      <c r="BT1240" s="168">
        <v>0.79</v>
      </c>
      <c r="BU1240" s="167" t="s">
        <v>1616</v>
      </c>
      <c r="BV1240" s="168">
        <v>0.2</v>
      </c>
      <c r="BW1240" s="167" t="s">
        <v>2153</v>
      </c>
      <c r="BX1240" s="168"/>
      <c r="BY1240" s="167" t="s">
        <v>1617</v>
      </c>
      <c r="BZ1240" s="168">
        <v>0.01</v>
      </c>
      <c r="CA1240" s="167" t="s">
        <v>1621</v>
      </c>
      <c r="CB1240" s="168"/>
      <c r="CC1240" s="62"/>
      <c r="CD1240" s="168"/>
      <c r="CE1240" s="165"/>
      <c r="CF1240" s="165"/>
      <c r="CG1240" s="204"/>
      <c r="CH1240" s="9"/>
      <c r="CI1240" s="204"/>
      <c r="CJ1240" s="204"/>
      <c r="CK1240" s="204"/>
      <c r="CL1240" s="204"/>
      <c r="CM1240" s="204"/>
      <c r="CN1240" s="204"/>
      <c r="CO1240" s="204"/>
      <c r="CP1240" s="9"/>
    </row>
    <row r="1241" spans="1:94" ht="42.75" x14ac:dyDescent="0.25">
      <c r="A1241" s="62" t="s">
        <v>3740</v>
      </c>
      <c r="B1241" s="131" t="s">
        <v>3741</v>
      </c>
      <c r="C1241" s="215"/>
      <c r="D1241" s="215"/>
      <c r="E1241" s="215"/>
      <c r="F1241" s="215"/>
      <c r="G1241" s="215"/>
      <c r="H1241" s="218"/>
      <c r="I1241" s="62"/>
      <c r="J1241" s="62"/>
      <c r="K1241" s="62"/>
      <c r="L1241" s="62"/>
      <c r="M1241" s="62"/>
      <c r="N1241" s="62"/>
      <c r="O1241" s="62"/>
      <c r="P1241" s="62"/>
      <c r="Q1241" s="62"/>
      <c r="R1241" s="62"/>
      <c r="S1241" s="62"/>
      <c r="T1241" s="62"/>
      <c r="U1241" s="62"/>
      <c r="V1241" s="62"/>
      <c r="W1241" s="62"/>
      <c r="X1241" s="62"/>
      <c r="Y1241" s="62"/>
      <c r="Z1241" s="62"/>
      <c r="AA1241" s="62"/>
      <c r="AB1241" s="62"/>
      <c r="AC1241" s="62"/>
      <c r="AD1241" s="62"/>
      <c r="AE1241" s="62"/>
      <c r="AF1241" s="62"/>
      <c r="AG1241" s="62"/>
      <c r="AH1241" s="62"/>
      <c r="AI1241" s="62"/>
      <c r="AJ1241" s="62"/>
      <c r="AK1241" s="62"/>
      <c r="AL1241" s="62"/>
      <c r="AM1241" s="61"/>
      <c r="AN1241" s="62"/>
      <c r="AO1241" s="61" t="s">
        <v>1112</v>
      </c>
      <c r="AP1241" s="212"/>
      <c r="AQ1241" s="213"/>
      <c r="AR1241" s="213"/>
      <c r="AS1241" s="213"/>
      <c r="AT1241" s="213"/>
      <c r="AU1241" s="213"/>
      <c r="AV1241" s="213"/>
      <c r="AW1241" s="62"/>
      <c r="AX1241" s="62"/>
      <c r="AY1241" s="62"/>
      <c r="AZ1241" s="62"/>
      <c r="BA1241" s="141"/>
      <c r="BB1241" s="61"/>
      <c r="BC1241" s="165" t="s">
        <v>1615</v>
      </c>
      <c r="BD1241" s="166">
        <v>0.79</v>
      </c>
      <c r="BE1241" s="167" t="s">
        <v>1616</v>
      </c>
      <c r="BF1241" s="168">
        <v>0.2</v>
      </c>
      <c r="BG1241" s="167" t="s">
        <v>1617</v>
      </c>
      <c r="BH1241" s="168">
        <v>0.01</v>
      </c>
      <c r="BI1241" s="214" t="s">
        <v>1618</v>
      </c>
      <c r="BJ1241" s="168">
        <v>0</v>
      </c>
      <c r="BK1241" s="134" t="s">
        <v>1619</v>
      </c>
      <c r="BL1241" s="168">
        <v>1</v>
      </c>
      <c r="BM1241" s="167" t="s">
        <v>1618</v>
      </c>
      <c r="BN1241" s="168"/>
      <c r="BO1241" s="62" t="s">
        <v>3616</v>
      </c>
      <c r="BP1241" s="168"/>
      <c r="BQ1241" s="168"/>
      <c r="BR1241" s="168"/>
      <c r="BS1241" s="135" t="s">
        <v>1619</v>
      </c>
      <c r="BT1241" s="168">
        <v>0.79</v>
      </c>
      <c r="BU1241" s="167" t="s">
        <v>1616</v>
      </c>
      <c r="BV1241" s="168">
        <v>0.2</v>
      </c>
      <c r="BW1241" s="167" t="s">
        <v>2153</v>
      </c>
      <c r="BX1241" s="168"/>
      <c r="BY1241" s="167" t="s">
        <v>1617</v>
      </c>
      <c r="BZ1241" s="168">
        <v>0.01</v>
      </c>
      <c r="CA1241" s="167" t="s">
        <v>1621</v>
      </c>
      <c r="CB1241" s="168"/>
      <c r="CC1241" s="62"/>
      <c r="CD1241" s="168"/>
      <c r="CE1241" s="165"/>
      <c r="CF1241" s="165"/>
      <c r="CG1241" s="204"/>
      <c r="CH1241" s="9"/>
      <c r="CI1241" s="204"/>
      <c r="CJ1241" s="204"/>
      <c r="CK1241" s="204"/>
      <c r="CL1241" s="204"/>
      <c r="CM1241" s="204"/>
      <c r="CN1241" s="204"/>
      <c r="CO1241" s="204"/>
      <c r="CP1241" s="9"/>
    </row>
    <row r="1242" spans="1:94" ht="42.75" x14ac:dyDescent="0.25">
      <c r="A1242" s="62" t="s">
        <v>3742</v>
      </c>
      <c r="B1242" s="131" t="s">
        <v>3743</v>
      </c>
      <c r="C1242" s="215"/>
      <c r="D1242" s="215"/>
      <c r="E1242" s="215"/>
      <c r="F1242" s="215"/>
      <c r="G1242" s="215"/>
      <c r="H1242" s="218"/>
      <c r="I1242" s="62"/>
      <c r="J1242" s="62"/>
      <c r="K1242" s="62"/>
      <c r="L1242" s="62"/>
      <c r="M1242" s="62"/>
      <c r="N1242" s="62"/>
      <c r="O1242" s="62"/>
      <c r="P1242" s="62"/>
      <c r="Q1242" s="62"/>
      <c r="R1242" s="62"/>
      <c r="S1242" s="62"/>
      <c r="T1242" s="62"/>
      <c r="U1242" s="62"/>
      <c r="V1242" s="62"/>
      <c r="W1242" s="62"/>
      <c r="X1242" s="62"/>
      <c r="Y1242" s="62"/>
      <c r="Z1242" s="62"/>
      <c r="AA1242" s="62"/>
      <c r="AB1242" s="62"/>
      <c r="AC1242" s="62"/>
      <c r="AD1242" s="62"/>
      <c r="AE1242" s="62"/>
      <c r="AF1242" s="62"/>
      <c r="AG1242" s="62"/>
      <c r="AH1242" s="62"/>
      <c r="AI1242" s="62"/>
      <c r="AJ1242" s="62"/>
      <c r="AK1242" s="62"/>
      <c r="AL1242" s="62"/>
      <c r="AM1242" s="61"/>
      <c r="AN1242" s="62"/>
      <c r="AO1242" s="61" t="s">
        <v>1112</v>
      </c>
      <c r="AP1242" s="212"/>
      <c r="AQ1242" s="213"/>
      <c r="AR1242" s="213"/>
      <c r="AS1242" s="213"/>
      <c r="AT1242" s="213"/>
      <c r="AU1242" s="213"/>
      <c r="AV1242" s="213"/>
      <c r="AW1242" s="62"/>
      <c r="AX1242" s="62"/>
      <c r="AY1242" s="62"/>
      <c r="AZ1242" s="62"/>
      <c r="BA1242" s="141"/>
      <c r="BB1242" s="61"/>
      <c r="BC1242" s="165" t="s">
        <v>1615</v>
      </c>
      <c r="BD1242" s="166">
        <v>0.79</v>
      </c>
      <c r="BE1242" s="167" t="s">
        <v>1616</v>
      </c>
      <c r="BF1242" s="168">
        <v>0.2</v>
      </c>
      <c r="BG1242" s="167" t="s">
        <v>1617</v>
      </c>
      <c r="BH1242" s="168">
        <v>0.01</v>
      </c>
      <c r="BI1242" s="214" t="s">
        <v>1618</v>
      </c>
      <c r="BJ1242" s="168">
        <v>0</v>
      </c>
      <c r="BK1242" s="134" t="s">
        <v>1619</v>
      </c>
      <c r="BL1242" s="168">
        <v>1</v>
      </c>
      <c r="BM1242" s="167" t="s">
        <v>1618</v>
      </c>
      <c r="BN1242" s="168"/>
      <c r="BO1242" s="62" t="s">
        <v>3616</v>
      </c>
      <c r="BP1242" s="168"/>
      <c r="BQ1242" s="168"/>
      <c r="BR1242" s="168"/>
      <c r="BS1242" s="135" t="s">
        <v>1619</v>
      </c>
      <c r="BT1242" s="168">
        <v>0.79</v>
      </c>
      <c r="BU1242" s="167" t="s">
        <v>1616</v>
      </c>
      <c r="BV1242" s="168">
        <v>0.2</v>
      </c>
      <c r="BW1242" s="167" t="s">
        <v>2153</v>
      </c>
      <c r="BX1242" s="168"/>
      <c r="BY1242" s="167" t="s">
        <v>1617</v>
      </c>
      <c r="BZ1242" s="168">
        <v>0.01</v>
      </c>
      <c r="CA1242" s="167" t="s">
        <v>1621</v>
      </c>
      <c r="CB1242" s="168"/>
      <c r="CC1242" s="62"/>
      <c r="CD1242" s="168"/>
      <c r="CE1242" s="165"/>
      <c r="CF1242" s="165"/>
      <c r="CG1242" s="204"/>
      <c r="CH1242" s="9"/>
      <c r="CI1242" s="204"/>
      <c r="CJ1242" s="204"/>
      <c r="CK1242" s="204"/>
      <c r="CL1242" s="204"/>
      <c r="CM1242" s="204"/>
      <c r="CN1242" s="204"/>
      <c r="CO1242" s="204"/>
      <c r="CP1242" s="9"/>
    </row>
    <row r="1243" spans="1:94" ht="42.75" x14ac:dyDescent="0.25">
      <c r="A1243" s="62" t="s">
        <v>3744</v>
      </c>
      <c r="B1243" s="131" t="s">
        <v>3745</v>
      </c>
      <c r="C1243" s="215"/>
      <c r="D1243" s="215"/>
      <c r="E1243" s="215"/>
      <c r="F1243" s="215"/>
      <c r="G1243" s="215"/>
      <c r="H1243" s="218"/>
      <c r="I1243" s="62"/>
      <c r="J1243" s="62"/>
      <c r="K1243" s="62"/>
      <c r="L1243" s="62"/>
      <c r="M1243" s="62"/>
      <c r="N1243" s="62"/>
      <c r="O1243" s="62"/>
      <c r="P1243" s="62"/>
      <c r="Q1243" s="62"/>
      <c r="R1243" s="62"/>
      <c r="S1243" s="62"/>
      <c r="T1243" s="62"/>
      <c r="U1243" s="62"/>
      <c r="V1243" s="62"/>
      <c r="W1243" s="62"/>
      <c r="X1243" s="62"/>
      <c r="Y1243" s="62"/>
      <c r="Z1243" s="62"/>
      <c r="AA1243" s="62"/>
      <c r="AB1243" s="62"/>
      <c r="AC1243" s="62"/>
      <c r="AD1243" s="62"/>
      <c r="AE1243" s="62"/>
      <c r="AF1243" s="62"/>
      <c r="AG1243" s="62"/>
      <c r="AH1243" s="62"/>
      <c r="AI1243" s="62"/>
      <c r="AJ1243" s="62"/>
      <c r="AK1243" s="62"/>
      <c r="AL1243" s="62"/>
      <c r="AM1243" s="61"/>
      <c r="AN1243" s="62"/>
      <c r="AO1243" s="61" t="s">
        <v>1112</v>
      </c>
      <c r="AP1243" s="212"/>
      <c r="AQ1243" s="213"/>
      <c r="AR1243" s="213"/>
      <c r="AS1243" s="213"/>
      <c r="AT1243" s="213"/>
      <c r="AU1243" s="213"/>
      <c r="AV1243" s="213"/>
      <c r="AW1243" s="62"/>
      <c r="AX1243" s="62"/>
      <c r="AY1243" s="62"/>
      <c r="AZ1243" s="62"/>
      <c r="BA1243" s="141"/>
      <c r="BB1243" s="61"/>
      <c r="BC1243" s="165" t="s">
        <v>1615</v>
      </c>
      <c r="BD1243" s="166">
        <v>0.79</v>
      </c>
      <c r="BE1243" s="167" t="s">
        <v>1616</v>
      </c>
      <c r="BF1243" s="168">
        <v>0.2</v>
      </c>
      <c r="BG1243" s="167" t="s">
        <v>1617</v>
      </c>
      <c r="BH1243" s="168">
        <v>0.01</v>
      </c>
      <c r="BI1243" s="214" t="s">
        <v>1618</v>
      </c>
      <c r="BJ1243" s="168">
        <v>0</v>
      </c>
      <c r="BK1243" s="134" t="s">
        <v>1619</v>
      </c>
      <c r="BL1243" s="168">
        <v>1</v>
      </c>
      <c r="BM1243" s="167" t="s">
        <v>1618</v>
      </c>
      <c r="BN1243" s="168"/>
      <c r="BO1243" s="62" t="s">
        <v>3616</v>
      </c>
      <c r="BP1243" s="168"/>
      <c r="BQ1243" s="168"/>
      <c r="BR1243" s="168"/>
      <c r="BS1243" s="135" t="s">
        <v>1619</v>
      </c>
      <c r="BT1243" s="168">
        <v>0.79</v>
      </c>
      <c r="BU1243" s="167" t="s">
        <v>1616</v>
      </c>
      <c r="BV1243" s="168">
        <v>0.2</v>
      </c>
      <c r="BW1243" s="167" t="s">
        <v>2153</v>
      </c>
      <c r="BX1243" s="168"/>
      <c r="BY1243" s="167" t="s">
        <v>1617</v>
      </c>
      <c r="BZ1243" s="168">
        <v>0.01</v>
      </c>
      <c r="CA1243" s="167" t="s">
        <v>1621</v>
      </c>
      <c r="CB1243" s="168"/>
      <c r="CC1243" s="62"/>
      <c r="CD1243" s="168"/>
      <c r="CE1243" s="165"/>
      <c r="CF1243" s="165"/>
      <c r="CG1243" s="204"/>
      <c r="CH1243" s="9"/>
      <c r="CI1243" s="204"/>
      <c r="CJ1243" s="204"/>
      <c r="CK1243" s="204"/>
      <c r="CL1243" s="204"/>
      <c r="CM1243" s="204"/>
      <c r="CN1243" s="204"/>
      <c r="CO1243" s="204"/>
      <c r="CP1243" s="9"/>
    </row>
    <row r="1244" spans="1:94" ht="42.75" x14ac:dyDescent="0.25">
      <c r="A1244" s="62" t="s">
        <v>3746</v>
      </c>
      <c r="B1244" s="131" t="s">
        <v>3747</v>
      </c>
      <c r="C1244" s="215"/>
      <c r="D1244" s="215"/>
      <c r="E1244" s="215"/>
      <c r="F1244" s="215"/>
      <c r="G1244" s="215"/>
      <c r="H1244" s="218"/>
      <c r="I1244" s="62"/>
      <c r="J1244" s="62"/>
      <c r="K1244" s="62"/>
      <c r="L1244" s="62"/>
      <c r="M1244" s="62"/>
      <c r="N1244" s="62"/>
      <c r="O1244" s="62"/>
      <c r="P1244" s="62"/>
      <c r="Q1244" s="62"/>
      <c r="R1244" s="62"/>
      <c r="S1244" s="62"/>
      <c r="T1244" s="62"/>
      <c r="U1244" s="62"/>
      <c r="V1244" s="62"/>
      <c r="W1244" s="62"/>
      <c r="X1244" s="62"/>
      <c r="Y1244" s="62"/>
      <c r="Z1244" s="62"/>
      <c r="AA1244" s="62"/>
      <c r="AB1244" s="62"/>
      <c r="AC1244" s="62"/>
      <c r="AD1244" s="62"/>
      <c r="AE1244" s="62"/>
      <c r="AF1244" s="62"/>
      <c r="AG1244" s="62"/>
      <c r="AH1244" s="62"/>
      <c r="AI1244" s="62"/>
      <c r="AJ1244" s="62"/>
      <c r="AK1244" s="62"/>
      <c r="AL1244" s="62"/>
      <c r="AM1244" s="61"/>
      <c r="AN1244" s="62"/>
      <c r="AO1244" s="61" t="s">
        <v>1112</v>
      </c>
      <c r="AP1244" s="212"/>
      <c r="AQ1244" s="213"/>
      <c r="AR1244" s="213"/>
      <c r="AS1244" s="213"/>
      <c r="AT1244" s="213"/>
      <c r="AU1244" s="213"/>
      <c r="AV1244" s="213"/>
      <c r="AW1244" s="62"/>
      <c r="AX1244" s="62"/>
      <c r="AY1244" s="62"/>
      <c r="AZ1244" s="62"/>
      <c r="BA1244" s="141"/>
      <c r="BB1244" s="61"/>
      <c r="BC1244" s="165" t="s">
        <v>1615</v>
      </c>
      <c r="BD1244" s="166">
        <v>0.79</v>
      </c>
      <c r="BE1244" s="167" t="s">
        <v>1616</v>
      </c>
      <c r="BF1244" s="168">
        <v>0.2</v>
      </c>
      <c r="BG1244" s="167" t="s">
        <v>1617</v>
      </c>
      <c r="BH1244" s="168">
        <v>0.01</v>
      </c>
      <c r="BI1244" s="214" t="s">
        <v>1618</v>
      </c>
      <c r="BJ1244" s="168">
        <v>0</v>
      </c>
      <c r="BK1244" s="134" t="s">
        <v>1619</v>
      </c>
      <c r="BL1244" s="168">
        <v>1</v>
      </c>
      <c r="BM1244" s="167" t="s">
        <v>1618</v>
      </c>
      <c r="BN1244" s="168"/>
      <c r="BO1244" s="62" t="s">
        <v>3616</v>
      </c>
      <c r="BP1244" s="168"/>
      <c r="BQ1244" s="168"/>
      <c r="BR1244" s="168"/>
      <c r="BS1244" s="135" t="s">
        <v>1619</v>
      </c>
      <c r="BT1244" s="168">
        <v>0.79</v>
      </c>
      <c r="BU1244" s="167" t="s">
        <v>1616</v>
      </c>
      <c r="BV1244" s="168">
        <v>0.2</v>
      </c>
      <c r="BW1244" s="167" t="s">
        <v>2153</v>
      </c>
      <c r="BX1244" s="168"/>
      <c r="BY1244" s="167" t="s">
        <v>1617</v>
      </c>
      <c r="BZ1244" s="168">
        <v>0.01</v>
      </c>
      <c r="CA1244" s="167" t="s">
        <v>1621</v>
      </c>
      <c r="CB1244" s="168"/>
      <c r="CC1244" s="62"/>
      <c r="CD1244" s="168"/>
      <c r="CE1244" s="165"/>
      <c r="CF1244" s="165"/>
      <c r="CG1244" s="204"/>
      <c r="CH1244" s="9"/>
      <c r="CI1244" s="204"/>
      <c r="CJ1244" s="204"/>
      <c r="CK1244" s="204"/>
      <c r="CL1244" s="204"/>
      <c r="CM1244" s="204"/>
      <c r="CN1244" s="204"/>
      <c r="CO1244" s="204"/>
      <c r="CP1244" s="9"/>
    </row>
    <row r="1245" spans="1:94" ht="42.75" x14ac:dyDescent="0.25">
      <c r="A1245" s="62" t="s">
        <v>3748</v>
      </c>
      <c r="B1245" s="131" t="s">
        <v>3749</v>
      </c>
      <c r="C1245" s="215"/>
      <c r="D1245" s="215"/>
      <c r="E1245" s="215"/>
      <c r="F1245" s="215"/>
      <c r="G1245" s="215"/>
      <c r="H1245" s="218"/>
      <c r="I1245" s="62"/>
      <c r="J1245" s="62"/>
      <c r="K1245" s="62"/>
      <c r="L1245" s="62"/>
      <c r="M1245" s="62"/>
      <c r="N1245" s="62"/>
      <c r="O1245" s="62"/>
      <c r="P1245" s="62"/>
      <c r="Q1245" s="62"/>
      <c r="R1245" s="62"/>
      <c r="S1245" s="62"/>
      <c r="T1245" s="62"/>
      <c r="U1245" s="62"/>
      <c r="V1245" s="62"/>
      <c r="W1245" s="62"/>
      <c r="X1245" s="62"/>
      <c r="Y1245" s="62"/>
      <c r="Z1245" s="62"/>
      <c r="AA1245" s="62"/>
      <c r="AB1245" s="62"/>
      <c r="AC1245" s="62"/>
      <c r="AD1245" s="62"/>
      <c r="AE1245" s="62"/>
      <c r="AF1245" s="62"/>
      <c r="AG1245" s="62"/>
      <c r="AH1245" s="62"/>
      <c r="AI1245" s="62"/>
      <c r="AJ1245" s="62"/>
      <c r="AK1245" s="62"/>
      <c r="AL1245" s="62"/>
      <c r="AM1245" s="61"/>
      <c r="AN1245" s="62"/>
      <c r="AO1245" s="61" t="s">
        <v>1112</v>
      </c>
      <c r="AP1245" s="212"/>
      <c r="AQ1245" s="213"/>
      <c r="AR1245" s="213"/>
      <c r="AS1245" s="213"/>
      <c r="AT1245" s="213"/>
      <c r="AU1245" s="213"/>
      <c r="AV1245" s="213"/>
      <c r="AW1245" s="62"/>
      <c r="AX1245" s="62"/>
      <c r="AY1245" s="62"/>
      <c r="AZ1245" s="62"/>
      <c r="BA1245" s="141"/>
      <c r="BB1245" s="61"/>
      <c r="BC1245" s="165" t="s">
        <v>1615</v>
      </c>
      <c r="BD1245" s="166">
        <v>0.79</v>
      </c>
      <c r="BE1245" s="167" t="s">
        <v>1616</v>
      </c>
      <c r="BF1245" s="168">
        <v>0.2</v>
      </c>
      <c r="BG1245" s="167" t="s">
        <v>1617</v>
      </c>
      <c r="BH1245" s="168">
        <v>0.01</v>
      </c>
      <c r="BI1245" s="214" t="s">
        <v>1618</v>
      </c>
      <c r="BJ1245" s="168">
        <v>0</v>
      </c>
      <c r="BK1245" s="134" t="s">
        <v>1619</v>
      </c>
      <c r="BL1245" s="168">
        <v>1</v>
      </c>
      <c r="BM1245" s="167" t="s">
        <v>1618</v>
      </c>
      <c r="BN1245" s="168"/>
      <c r="BO1245" s="62" t="s">
        <v>3616</v>
      </c>
      <c r="BP1245" s="168"/>
      <c r="BQ1245" s="168"/>
      <c r="BR1245" s="168"/>
      <c r="BS1245" s="135" t="s">
        <v>1619</v>
      </c>
      <c r="BT1245" s="168">
        <v>0.79</v>
      </c>
      <c r="BU1245" s="167" t="s">
        <v>1616</v>
      </c>
      <c r="BV1245" s="168">
        <v>0.2</v>
      </c>
      <c r="BW1245" s="167" t="s">
        <v>2153</v>
      </c>
      <c r="BX1245" s="168"/>
      <c r="BY1245" s="167" t="s">
        <v>1617</v>
      </c>
      <c r="BZ1245" s="168">
        <v>0.01</v>
      </c>
      <c r="CA1245" s="167" t="s">
        <v>1621</v>
      </c>
      <c r="CB1245" s="168"/>
      <c r="CC1245" s="62"/>
      <c r="CD1245" s="168"/>
      <c r="CE1245" s="165"/>
      <c r="CF1245" s="165"/>
      <c r="CG1245" s="204"/>
      <c r="CH1245" s="9"/>
      <c r="CI1245" s="204"/>
      <c r="CJ1245" s="204"/>
      <c r="CK1245" s="204"/>
      <c r="CL1245" s="204"/>
      <c r="CM1245" s="204"/>
      <c r="CN1245" s="204"/>
      <c r="CO1245" s="204"/>
      <c r="CP1245" s="9"/>
    </row>
    <row r="1246" spans="1:94" ht="42.75" x14ac:dyDescent="0.25">
      <c r="A1246" s="62" t="s">
        <v>3750</v>
      </c>
      <c r="B1246" s="131" t="s">
        <v>3751</v>
      </c>
      <c r="C1246" s="215"/>
      <c r="D1246" s="215"/>
      <c r="E1246" s="215"/>
      <c r="F1246" s="215"/>
      <c r="G1246" s="215"/>
      <c r="H1246" s="218"/>
      <c r="I1246" s="62"/>
      <c r="J1246" s="62"/>
      <c r="K1246" s="62"/>
      <c r="L1246" s="62"/>
      <c r="M1246" s="62"/>
      <c r="N1246" s="62"/>
      <c r="O1246" s="62"/>
      <c r="P1246" s="62"/>
      <c r="Q1246" s="62"/>
      <c r="R1246" s="62"/>
      <c r="S1246" s="62"/>
      <c r="T1246" s="62"/>
      <c r="U1246" s="62"/>
      <c r="V1246" s="62"/>
      <c r="W1246" s="62"/>
      <c r="X1246" s="62"/>
      <c r="Y1246" s="62"/>
      <c r="Z1246" s="62"/>
      <c r="AA1246" s="62"/>
      <c r="AB1246" s="62"/>
      <c r="AC1246" s="62"/>
      <c r="AD1246" s="62"/>
      <c r="AE1246" s="62"/>
      <c r="AF1246" s="62"/>
      <c r="AG1246" s="62"/>
      <c r="AH1246" s="62"/>
      <c r="AI1246" s="62"/>
      <c r="AJ1246" s="62"/>
      <c r="AK1246" s="62"/>
      <c r="AL1246" s="62"/>
      <c r="AM1246" s="61"/>
      <c r="AN1246" s="62"/>
      <c r="AO1246" s="61" t="s">
        <v>1112</v>
      </c>
      <c r="AP1246" s="212"/>
      <c r="AQ1246" s="213"/>
      <c r="AR1246" s="213"/>
      <c r="AS1246" s="213"/>
      <c r="AT1246" s="213"/>
      <c r="AU1246" s="213"/>
      <c r="AV1246" s="213"/>
      <c r="AW1246" s="62"/>
      <c r="AX1246" s="62"/>
      <c r="AY1246" s="62"/>
      <c r="AZ1246" s="62"/>
      <c r="BA1246" s="141"/>
      <c r="BB1246" s="61"/>
      <c r="BC1246" s="165" t="s">
        <v>1615</v>
      </c>
      <c r="BD1246" s="166">
        <v>0.79</v>
      </c>
      <c r="BE1246" s="167" t="s">
        <v>1616</v>
      </c>
      <c r="BF1246" s="168">
        <v>0.2</v>
      </c>
      <c r="BG1246" s="167" t="s">
        <v>1617</v>
      </c>
      <c r="BH1246" s="168">
        <v>0.01</v>
      </c>
      <c r="BI1246" s="214" t="s">
        <v>1618</v>
      </c>
      <c r="BJ1246" s="168">
        <v>0</v>
      </c>
      <c r="BK1246" s="134" t="s">
        <v>1619</v>
      </c>
      <c r="BL1246" s="168">
        <v>1</v>
      </c>
      <c r="BM1246" s="167" t="s">
        <v>1618</v>
      </c>
      <c r="BN1246" s="168"/>
      <c r="BO1246" s="62" t="s">
        <v>3616</v>
      </c>
      <c r="BP1246" s="168"/>
      <c r="BQ1246" s="168"/>
      <c r="BR1246" s="168"/>
      <c r="BS1246" s="135" t="s">
        <v>1619</v>
      </c>
      <c r="BT1246" s="168">
        <v>0.79</v>
      </c>
      <c r="BU1246" s="167" t="s">
        <v>1616</v>
      </c>
      <c r="BV1246" s="168">
        <v>0.2</v>
      </c>
      <c r="BW1246" s="167" t="s">
        <v>2153</v>
      </c>
      <c r="BX1246" s="168"/>
      <c r="BY1246" s="167" t="s">
        <v>1617</v>
      </c>
      <c r="BZ1246" s="168">
        <v>0.01</v>
      </c>
      <c r="CA1246" s="167" t="s">
        <v>1621</v>
      </c>
      <c r="CB1246" s="168"/>
      <c r="CC1246" s="62"/>
      <c r="CD1246" s="168"/>
      <c r="CE1246" s="165"/>
      <c r="CF1246" s="165"/>
      <c r="CG1246" s="204"/>
      <c r="CH1246" s="9"/>
      <c r="CI1246" s="204"/>
      <c r="CJ1246" s="204"/>
      <c r="CK1246" s="204"/>
      <c r="CL1246" s="204"/>
      <c r="CM1246" s="204"/>
      <c r="CN1246" s="204"/>
      <c r="CO1246" s="204"/>
      <c r="CP1246" s="9"/>
    </row>
    <row r="1247" spans="1:94" ht="42.75" x14ac:dyDescent="0.25">
      <c r="A1247" s="62" t="s">
        <v>3752</v>
      </c>
      <c r="B1247" s="131" t="s">
        <v>3753</v>
      </c>
      <c r="C1247" s="215"/>
      <c r="D1247" s="215"/>
      <c r="E1247" s="215"/>
      <c r="F1247" s="215"/>
      <c r="G1247" s="215"/>
      <c r="H1247" s="218"/>
      <c r="I1247" s="62"/>
      <c r="J1247" s="62"/>
      <c r="K1247" s="62"/>
      <c r="L1247" s="62"/>
      <c r="M1247" s="62"/>
      <c r="N1247" s="62"/>
      <c r="O1247" s="62"/>
      <c r="P1247" s="62"/>
      <c r="Q1247" s="62"/>
      <c r="R1247" s="62"/>
      <c r="S1247" s="62"/>
      <c r="T1247" s="62"/>
      <c r="U1247" s="62"/>
      <c r="V1247" s="62"/>
      <c r="W1247" s="62"/>
      <c r="X1247" s="62"/>
      <c r="Y1247" s="62"/>
      <c r="Z1247" s="62"/>
      <c r="AA1247" s="62"/>
      <c r="AB1247" s="62"/>
      <c r="AC1247" s="62"/>
      <c r="AD1247" s="62"/>
      <c r="AE1247" s="62"/>
      <c r="AF1247" s="62"/>
      <c r="AG1247" s="62"/>
      <c r="AH1247" s="62"/>
      <c r="AI1247" s="62"/>
      <c r="AJ1247" s="62"/>
      <c r="AK1247" s="62"/>
      <c r="AL1247" s="62"/>
      <c r="AM1247" s="61"/>
      <c r="AN1247" s="62"/>
      <c r="AO1247" s="61" t="s">
        <v>1112</v>
      </c>
      <c r="AP1247" s="212"/>
      <c r="AQ1247" s="213"/>
      <c r="AR1247" s="213"/>
      <c r="AS1247" s="213"/>
      <c r="AT1247" s="213"/>
      <c r="AU1247" s="213"/>
      <c r="AV1247" s="213"/>
      <c r="AW1247" s="62"/>
      <c r="AX1247" s="62"/>
      <c r="AY1247" s="62"/>
      <c r="AZ1247" s="62"/>
      <c r="BA1247" s="141"/>
      <c r="BB1247" s="61"/>
      <c r="BC1247" s="165" t="s">
        <v>1615</v>
      </c>
      <c r="BD1247" s="166">
        <v>0.79</v>
      </c>
      <c r="BE1247" s="167" t="s">
        <v>1616</v>
      </c>
      <c r="BF1247" s="168">
        <v>0.2</v>
      </c>
      <c r="BG1247" s="167" t="s">
        <v>1617</v>
      </c>
      <c r="BH1247" s="168">
        <v>0.01</v>
      </c>
      <c r="BI1247" s="214" t="s">
        <v>1618</v>
      </c>
      <c r="BJ1247" s="168">
        <v>0</v>
      </c>
      <c r="BK1247" s="134" t="s">
        <v>1619</v>
      </c>
      <c r="BL1247" s="168">
        <v>1</v>
      </c>
      <c r="BM1247" s="167" t="s">
        <v>1618</v>
      </c>
      <c r="BN1247" s="168"/>
      <c r="BO1247" s="62" t="s">
        <v>3616</v>
      </c>
      <c r="BP1247" s="168"/>
      <c r="BQ1247" s="168"/>
      <c r="BR1247" s="168"/>
      <c r="BS1247" s="135" t="s">
        <v>1619</v>
      </c>
      <c r="BT1247" s="168">
        <v>0.79</v>
      </c>
      <c r="BU1247" s="167" t="s">
        <v>1616</v>
      </c>
      <c r="BV1247" s="168">
        <v>0.2</v>
      </c>
      <c r="BW1247" s="167" t="s">
        <v>2153</v>
      </c>
      <c r="BX1247" s="168"/>
      <c r="BY1247" s="167" t="s">
        <v>1617</v>
      </c>
      <c r="BZ1247" s="168">
        <v>0.01</v>
      </c>
      <c r="CA1247" s="167" t="s">
        <v>1621</v>
      </c>
      <c r="CB1247" s="168"/>
      <c r="CC1247" s="62"/>
      <c r="CD1247" s="168"/>
      <c r="CE1247" s="165"/>
      <c r="CF1247" s="165"/>
      <c r="CG1247" s="204"/>
      <c r="CH1247" s="9"/>
      <c r="CI1247" s="204"/>
      <c r="CJ1247" s="204"/>
      <c r="CK1247" s="204"/>
      <c r="CL1247" s="204"/>
      <c r="CM1247" s="204"/>
      <c r="CN1247" s="204"/>
      <c r="CO1247" s="204"/>
      <c r="CP1247" s="9"/>
    </row>
    <row r="1248" spans="1:94" ht="327.75" x14ac:dyDescent="0.25">
      <c r="A1248" s="62" t="s">
        <v>3754</v>
      </c>
      <c r="B1248" s="131" t="s">
        <v>3755</v>
      </c>
      <c r="C1248" s="215"/>
      <c r="D1248" s="215"/>
      <c r="E1248" s="215"/>
      <c r="F1248" s="215"/>
      <c r="G1248" s="215"/>
      <c r="H1248" s="218"/>
      <c r="I1248" s="62"/>
      <c r="J1248" s="62"/>
      <c r="K1248" s="62"/>
      <c r="L1248" s="62"/>
      <c r="M1248" s="62"/>
      <c r="N1248" s="62"/>
      <c r="O1248" s="62"/>
      <c r="P1248" s="62"/>
      <c r="Q1248" s="62"/>
      <c r="R1248" s="62"/>
      <c r="S1248" s="62"/>
      <c r="T1248" s="62"/>
      <c r="U1248" s="62"/>
      <c r="V1248" s="62"/>
      <c r="W1248" s="62"/>
      <c r="X1248" s="62"/>
      <c r="Y1248" s="62"/>
      <c r="Z1248" s="62"/>
      <c r="AA1248" s="62"/>
      <c r="AB1248" s="62"/>
      <c r="AC1248" s="62"/>
      <c r="AD1248" s="62"/>
      <c r="AE1248" s="62"/>
      <c r="AF1248" s="62"/>
      <c r="AG1248" s="62"/>
      <c r="AH1248" s="62"/>
      <c r="AI1248" s="62"/>
      <c r="AJ1248" s="62"/>
      <c r="AK1248" s="62"/>
      <c r="AL1248" s="62"/>
      <c r="AM1248" s="61"/>
      <c r="AN1248" s="62"/>
      <c r="AO1248" s="61" t="s">
        <v>1112</v>
      </c>
      <c r="AP1248" s="212"/>
      <c r="AQ1248" s="213"/>
      <c r="AR1248" s="213"/>
      <c r="AS1248" s="213"/>
      <c r="AT1248" s="213"/>
      <c r="AU1248" s="213"/>
      <c r="AV1248" s="213"/>
      <c r="AW1248" s="62"/>
      <c r="AX1248" s="62"/>
      <c r="AY1248" s="62"/>
      <c r="AZ1248" s="62"/>
      <c r="BA1248" s="141"/>
      <c r="BB1248" s="61"/>
      <c r="BC1248" s="165" t="s">
        <v>1615</v>
      </c>
      <c r="BD1248" s="166">
        <v>0.79</v>
      </c>
      <c r="BE1248" s="167" t="s">
        <v>1616</v>
      </c>
      <c r="BF1248" s="168">
        <v>0.2</v>
      </c>
      <c r="BG1248" s="167" t="s">
        <v>1617</v>
      </c>
      <c r="BH1248" s="168">
        <v>0.01</v>
      </c>
      <c r="BI1248" s="214" t="s">
        <v>1618</v>
      </c>
      <c r="BJ1248" s="168">
        <v>0</v>
      </c>
      <c r="BK1248" s="134" t="s">
        <v>1619</v>
      </c>
      <c r="BL1248" s="168">
        <v>1</v>
      </c>
      <c r="BM1248" s="167" t="s">
        <v>1618</v>
      </c>
      <c r="BN1248" s="168"/>
      <c r="BO1248" s="62" t="s">
        <v>3616</v>
      </c>
      <c r="BP1248" s="168"/>
      <c r="BQ1248" s="168"/>
      <c r="BR1248" s="168"/>
      <c r="BS1248" s="135" t="s">
        <v>1619</v>
      </c>
      <c r="BT1248" s="168">
        <v>0.79</v>
      </c>
      <c r="BU1248" s="167" t="s">
        <v>1616</v>
      </c>
      <c r="BV1248" s="168">
        <v>0.2</v>
      </c>
      <c r="BW1248" s="167" t="s">
        <v>2153</v>
      </c>
      <c r="BX1248" s="168"/>
      <c r="BY1248" s="167" t="s">
        <v>1617</v>
      </c>
      <c r="BZ1248" s="168">
        <v>0.01</v>
      </c>
      <c r="CA1248" s="167" t="s">
        <v>1621</v>
      </c>
      <c r="CB1248" s="168"/>
      <c r="CC1248" s="62"/>
      <c r="CD1248" s="168"/>
      <c r="CE1248" s="165" t="s">
        <v>3756</v>
      </c>
      <c r="CF1248" s="165"/>
      <c r="CG1248" s="204"/>
      <c r="CH1248" s="9"/>
      <c r="CI1248" s="204"/>
      <c r="CJ1248" s="204"/>
      <c r="CK1248" s="204"/>
      <c r="CL1248" s="204"/>
      <c r="CM1248" s="204"/>
      <c r="CN1248" s="204"/>
      <c r="CO1248" s="204"/>
      <c r="CP1248" s="9"/>
    </row>
    <row r="1249" spans="1:94" ht="313.5" x14ac:dyDescent="0.25">
      <c r="A1249" s="62" t="s">
        <v>3757</v>
      </c>
      <c r="B1249" s="131" t="s">
        <v>3758</v>
      </c>
      <c r="C1249" s="215"/>
      <c r="D1249" s="215"/>
      <c r="E1249" s="215"/>
      <c r="F1249" s="215"/>
      <c r="G1249" s="215"/>
      <c r="H1249" s="218"/>
      <c r="I1249" s="62"/>
      <c r="J1249" s="62"/>
      <c r="K1249" s="62"/>
      <c r="L1249" s="62"/>
      <c r="M1249" s="62"/>
      <c r="N1249" s="62"/>
      <c r="O1249" s="62"/>
      <c r="P1249" s="62"/>
      <c r="Q1249" s="62"/>
      <c r="R1249" s="62"/>
      <c r="S1249" s="62"/>
      <c r="T1249" s="62"/>
      <c r="U1249" s="62"/>
      <c r="V1249" s="62"/>
      <c r="W1249" s="62"/>
      <c r="X1249" s="62"/>
      <c r="Y1249" s="62"/>
      <c r="Z1249" s="62"/>
      <c r="AA1249" s="62"/>
      <c r="AB1249" s="62"/>
      <c r="AC1249" s="62"/>
      <c r="AD1249" s="62"/>
      <c r="AE1249" s="62"/>
      <c r="AF1249" s="62"/>
      <c r="AG1249" s="62"/>
      <c r="AH1249" s="62"/>
      <c r="AI1249" s="62"/>
      <c r="AJ1249" s="62"/>
      <c r="AK1249" s="62"/>
      <c r="AL1249" s="62"/>
      <c r="AM1249" s="61"/>
      <c r="AN1249" s="62"/>
      <c r="AO1249" s="61" t="s">
        <v>1112</v>
      </c>
      <c r="AP1249" s="212"/>
      <c r="AQ1249" s="213"/>
      <c r="AR1249" s="213"/>
      <c r="AS1249" s="213"/>
      <c r="AT1249" s="213"/>
      <c r="AU1249" s="213"/>
      <c r="AV1249" s="213"/>
      <c r="AW1249" s="62"/>
      <c r="AX1249" s="62"/>
      <c r="AY1249" s="62"/>
      <c r="AZ1249" s="62"/>
      <c r="BA1249" s="141"/>
      <c r="BB1249" s="61"/>
      <c r="BC1249" s="165" t="s">
        <v>1615</v>
      </c>
      <c r="BD1249" s="166">
        <v>0.79</v>
      </c>
      <c r="BE1249" s="167" t="s">
        <v>1616</v>
      </c>
      <c r="BF1249" s="168">
        <v>0.2</v>
      </c>
      <c r="BG1249" s="167" t="s">
        <v>1617</v>
      </c>
      <c r="BH1249" s="168">
        <v>0.01</v>
      </c>
      <c r="BI1249" s="214" t="s">
        <v>1618</v>
      </c>
      <c r="BJ1249" s="168">
        <v>0</v>
      </c>
      <c r="BK1249" s="134" t="s">
        <v>1619</v>
      </c>
      <c r="BL1249" s="168">
        <v>1</v>
      </c>
      <c r="BM1249" s="167" t="s">
        <v>1618</v>
      </c>
      <c r="BN1249" s="168"/>
      <c r="BO1249" s="62" t="s">
        <v>3616</v>
      </c>
      <c r="BP1249" s="168"/>
      <c r="BQ1249" s="168"/>
      <c r="BR1249" s="168"/>
      <c r="BS1249" s="135" t="s">
        <v>1619</v>
      </c>
      <c r="BT1249" s="168">
        <v>0.79</v>
      </c>
      <c r="BU1249" s="167" t="s">
        <v>1616</v>
      </c>
      <c r="BV1249" s="168">
        <v>0.2</v>
      </c>
      <c r="BW1249" s="167" t="s">
        <v>2153</v>
      </c>
      <c r="BX1249" s="168"/>
      <c r="BY1249" s="167" t="s">
        <v>1617</v>
      </c>
      <c r="BZ1249" s="168">
        <v>0.01</v>
      </c>
      <c r="CA1249" s="167" t="s">
        <v>1621</v>
      </c>
      <c r="CB1249" s="168"/>
      <c r="CC1249" s="62"/>
      <c r="CD1249" s="168"/>
      <c r="CE1249" s="165" t="s">
        <v>3759</v>
      </c>
      <c r="CF1249" s="165"/>
      <c r="CG1249" s="204"/>
      <c r="CH1249" s="9"/>
      <c r="CI1249" s="204"/>
      <c r="CJ1249" s="204"/>
      <c r="CK1249" s="204"/>
      <c r="CL1249" s="204"/>
      <c r="CM1249" s="204"/>
      <c r="CN1249" s="204"/>
      <c r="CO1249" s="204"/>
      <c r="CP1249" s="9"/>
    </row>
    <row r="1250" spans="1:94" ht="384.75" x14ac:dyDescent="0.25">
      <c r="A1250" s="62" t="s">
        <v>3760</v>
      </c>
      <c r="B1250" s="131" t="s">
        <v>3761</v>
      </c>
      <c r="C1250" s="215"/>
      <c r="D1250" s="215"/>
      <c r="E1250" s="215"/>
      <c r="F1250" s="215"/>
      <c r="G1250" s="215"/>
      <c r="H1250" s="218"/>
      <c r="I1250" s="62"/>
      <c r="J1250" s="62"/>
      <c r="K1250" s="62"/>
      <c r="L1250" s="62"/>
      <c r="M1250" s="62"/>
      <c r="N1250" s="62"/>
      <c r="O1250" s="62"/>
      <c r="P1250" s="62"/>
      <c r="Q1250" s="62"/>
      <c r="R1250" s="62"/>
      <c r="S1250" s="62"/>
      <c r="T1250" s="62"/>
      <c r="U1250" s="62"/>
      <c r="V1250" s="62"/>
      <c r="W1250" s="62"/>
      <c r="X1250" s="62"/>
      <c r="Y1250" s="62"/>
      <c r="Z1250" s="62"/>
      <c r="AA1250" s="62"/>
      <c r="AB1250" s="62"/>
      <c r="AC1250" s="62"/>
      <c r="AD1250" s="62"/>
      <c r="AE1250" s="62"/>
      <c r="AF1250" s="62"/>
      <c r="AG1250" s="62"/>
      <c r="AH1250" s="62"/>
      <c r="AI1250" s="62"/>
      <c r="AJ1250" s="62"/>
      <c r="AK1250" s="62"/>
      <c r="AL1250" s="62"/>
      <c r="AM1250" s="61"/>
      <c r="AN1250" s="62"/>
      <c r="AO1250" s="61" t="s">
        <v>1112</v>
      </c>
      <c r="AP1250" s="212"/>
      <c r="AQ1250" s="213"/>
      <c r="AR1250" s="213"/>
      <c r="AS1250" s="213"/>
      <c r="AT1250" s="213"/>
      <c r="AU1250" s="213"/>
      <c r="AV1250" s="213"/>
      <c r="AW1250" s="62"/>
      <c r="AX1250" s="62"/>
      <c r="AY1250" s="62"/>
      <c r="AZ1250" s="62"/>
      <c r="BA1250" s="141"/>
      <c r="BB1250" s="61"/>
      <c r="BC1250" s="165" t="s">
        <v>1615</v>
      </c>
      <c r="BD1250" s="166">
        <v>0.79</v>
      </c>
      <c r="BE1250" s="167" t="s">
        <v>1616</v>
      </c>
      <c r="BF1250" s="168">
        <v>0.2</v>
      </c>
      <c r="BG1250" s="167" t="s">
        <v>1617</v>
      </c>
      <c r="BH1250" s="168">
        <v>0.01</v>
      </c>
      <c r="BI1250" s="214" t="s">
        <v>1618</v>
      </c>
      <c r="BJ1250" s="168">
        <v>0</v>
      </c>
      <c r="BK1250" s="134" t="s">
        <v>1619</v>
      </c>
      <c r="BL1250" s="168">
        <v>1</v>
      </c>
      <c r="BM1250" s="167" t="s">
        <v>1618</v>
      </c>
      <c r="BN1250" s="168"/>
      <c r="BO1250" s="62" t="s">
        <v>3616</v>
      </c>
      <c r="BP1250" s="168"/>
      <c r="BQ1250" s="168"/>
      <c r="BR1250" s="168"/>
      <c r="BS1250" s="135" t="s">
        <v>1619</v>
      </c>
      <c r="BT1250" s="168">
        <v>0.79</v>
      </c>
      <c r="BU1250" s="167" t="s">
        <v>1616</v>
      </c>
      <c r="BV1250" s="168">
        <v>0.2</v>
      </c>
      <c r="BW1250" s="167" t="s">
        <v>2153</v>
      </c>
      <c r="BX1250" s="168"/>
      <c r="BY1250" s="167" t="s">
        <v>1617</v>
      </c>
      <c r="BZ1250" s="168">
        <v>0.01</v>
      </c>
      <c r="CA1250" s="167" t="s">
        <v>1621</v>
      </c>
      <c r="CB1250" s="168"/>
      <c r="CC1250" s="62"/>
      <c r="CD1250" s="168"/>
      <c r="CE1250" s="165" t="s">
        <v>3762</v>
      </c>
      <c r="CF1250" s="165"/>
      <c r="CG1250" s="204"/>
      <c r="CH1250" s="9"/>
      <c r="CI1250" s="204"/>
      <c r="CJ1250" s="204"/>
      <c r="CK1250" s="204"/>
      <c r="CL1250" s="204"/>
      <c r="CM1250" s="204"/>
      <c r="CN1250" s="204"/>
      <c r="CO1250" s="204"/>
      <c r="CP1250" s="9"/>
    </row>
    <row r="1251" spans="1:94" ht="384.75" x14ac:dyDescent="0.25">
      <c r="A1251" s="62" t="s">
        <v>3763</v>
      </c>
      <c r="B1251" s="131" t="s">
        <v>3731</v>
      </c>
      <c r="C1251" s="215"/>
      <c r="D1251" s="215"/>
      <c r="E1251" s="215"/>
      <c r="F1251" s="215"/>
      <c r="G1251" s="215"/>
      <c r="H1251" s="218"/>
      <c r="I1251" s="62"/>
      <c r="J1251" s="62"/>
      <c r="K1251" s="62"/>
      <c r="L1251" s="62"/>
      <c r="M1251" s="62"/>
      <c r="N1251" s="62"/>
      <c r="O1251" s="62"/>
      <c r="P1251" s="62"/>
      <c r="Q1251" s="62"/>
      <c r="R1251" s="62"/>
      <c r="S1251" s="62"/>
      <c r="T1251" s="62"/>
      <c r="U1251" s="62"/>
      <c r="V1251" s="62"/>
      <c r="W1251" s="62"/>
      <c r="X1251" s="62"/>
      <c r="Y1251" s="62"/>
      <c r="Z1251" s="62"/>
      <c r="AA1251" s="62"/>
      <c r="AB1251" s="62"/>
      <c r="AC1251" s="62"/>
      <c r="AD1251" s="62"/>
      <c r="AE1251" s="62"/>
      <c r="AF1251" s="62"/>
      <c r="AG1251" s="62"/>
      <c r="AH1251" s="62"/>
      <c r="AI1251" s="62"/>
      <c r="AJ1251" s="62"/>
      <c r="AK1251" s="62"/>
      <c r="AL1251" s="62"/>
      <c r="AM1251" s="61"/>
      <c r="AN1251" s="62"/>
      <c r="AO1251" s="61" t="s">
        <v>1112</v>
      </c>
      <c r="AP1251" s="212"/>
      <c r="AQ1251" s="213"/>
      <c r="AR1251" s="213"/>
      <c r="AS1251" s="213"/>
      <c r="AT1251" s="213"/>
      <c r="AU1251" s="213"/>
      <c r="AV1251" s="213"/>
      <c r="AW1251" s="62"/>
      <c r="AX1251" s="62"/>
      <c r="AY1251" s="62"/>
      <c r="AZ1251" s="62"/>
      <c r="BA1251" s="141"/>
      <c r="BB1251" s="61"/>
      <c r="BC1251" s="165" t="s">
        <v>1615</v>
      </c>
      <c r="BD1251" s="166">
        <v>0.79</v>
      </c>
      <c r="BE1251" s="167" t="s">
        <v>1616</v>
      </c>
      <c r="BF1251" s="168">
        <v>0.2</v>
      </c>
      <c r="BG1251" s="167" t="s">
        <v>1617</v>
      </c>
      <c r="BH1251" s="168">
        <v>0.01</v>
      </c>
      <c r="BI1251" s="214" t="s">
        <v>1618</v>
      </c>
      <c r="BJ1251" s="168">
        <v>0</v>
      </c>
      <c r="BK1251" s="134" t="s">
        <v>1619</v>
      </c>
      <c r="BL1251" s="168">
        <v>1</v>
      </c>
      <c r="BM1251" s="167" t="s">
        <v>1618</v>
      </c>
      <c r="BN1251" s="168"/>
      <c r="BO1251" s="62" t="s">
        <v>3616</v>
      </c>
      <c r="BP1251" s="168"/>
      <c r="BQ1251" s="168"/>
      <c r="BR1251" s="168"/>
      <c r="BS1251" s="135" t="s">
        <v>1619</v>
      </c>
      <c r="BT1251" s="168">
        <v>0.79</v>
      </c>
      <c r="BU1251" s="167" t="s">
        <v>1616</v>
      </c>
      <c r="BV1251" s="168">
        <v>0.2</v>
      </c>
      <c r="BW1251" s="167" t="s">
        <v>2153</v>
      </c>
      <c r="BX1251" s="168"/>
      <c r="BY1251" s="167" t="s">
        <v>1617</v>
      </c>
      <c r="BZ1251" s="168">
        <v>0.01</v>
      </c>
      <c r="CA1251" s="167" t="s">
        <v>1621</v>
      </c>
      <c r="CB1251" s="168"/>
      <c r="CC1251" s="62"/>
      <c r="CD1251" s="168"/>
      <c r="CE1251" s="165" t="s">
        <v>3762</v>
      </c>
      <c r="CF1251" s="165"/>
      <c r="CG1251" s="204"/>
      <c r="CH1251" s="9"/>
      <c r="CI1251" s="204"/>
      <c r="CJ1251" s="204"/>
      <c r="CK1251" s="204"/>
      <c r="CL1251" s="204"/>
      <c r="CM1251" s="204"/>
      <c r="CN1251" s="204"/>
      <c r="CO1251" s="204"/>
      <c r="CP1251" s="9"/>
    </row>
    <row r="1252" spans="1:94" ht="42.75" x14ac:dyDescent="0.25">
      <c r="A1252" s="62" t="s">
        <v>3764</v>
      </c>
      <c r="B1252" s="131" t="s">
        <v>3765</v>
      </c>
      <c r="C1252" s="215"/>
      <c r="D1252" s="215"/>
      <c r="E1252" s="215"/>
      <c r="F1252" s="215"/>
      <c r="G1252" s="215"/>
      <c r="H1252" s="218"/>
      <c r="I1252" s="62"/>
      <c r="J1252" s="62"/>
      <c r="K1252" s="62"/>
      <c r="L1252" s="62"/>
      <c r="M1252" s="62"/>
      <c r="N1252" s="62"/>
      <c r="O1252" s="62"/>
      <c r="P1252" s="62"/>
      <c r="Q1252" s="62"/>
      <c r="R1252" s="62"/>
      <c r="S1252" s="62"/>
      <c r="T1252" s="62"/>
      <c r="U1252" s="62"/>
      <c r="V1252" s="62"/>
      <c r="W1252" s="62"/>
      <c r="X1252" s="62"/>
      <c r="Y1252" s="62"/>
      <c r="Z1252" s="62"/>
      <c r="AA1252" s="62"/>
      <c r="AB1252" s="62"/>
      <c r="AC1252" s="62"/>
      <c r="AD1252" s="62"/>
      <c r="AE1252" s="62"/>
      <c r="AF1252" s="62"/>
      <c r="AG1252" s="62"/>
      <c r="AH1252" s="62"/>
      <c r="AI1252" s="62"/>
      <c r="AJ1252" s="62"/>
      <c r="AK1252" s="62"/>
      <c r="AL1252" s="62"/>
      <c r="AM1252" s="61"/>
      <c r="AN1252" s="62"/>
      <c r="AO1252" s="61" t="s">
        <v>1112</v>
      </c>
      <c r="AP1252" s="212"/>
      <c r="AQ1252" s="213"/>
      <c r="AR1252" s="213"/>
      <c r="AS1252" s="213"/>
      <c r="AT1252" s="213"/>
      <c r="AU1252" s="213"/>
      <c r="AV1252" s="213"/>
      <c r="AW1252" s="62"/>
      <c r="AX1252" s="62"/>
      <c r="AY1252" s="62"/>
      <c r="AZ1252" s="62"/>
      <c r="BA1252" s="141"/>
      <c r="BB1252" s="61"/>
      <c r="BC1252" s="165" t="s">
        <v>1615</v>
      </c>
      <c r="BD1252" s="166">
        <v>0.79</v>
      </c>
      <c r="BE1252" s="167" t="s">
        <v>1616</v>
      </c>
      <c r="BF1252" s="168">
        <v>0.2</v>
      </c>
      <c r="BG1252" s="167" t="s">
        <v>1617</v>
      </c>
      <c r="BH1252" s="168">
        <v>0.01</v>
      </c>
      <c r="BI1252" s="214" t="s">
        <v>1618</v>
      </c>
      <c r="BJ1252" s="168">
        <v>0</v>
      </c>
      <c r="BK1252" s="134" t="s">
        <v>1619</v>
      </c>
      <c r="BL1252" s="168">
        <v>1</v>
      </c>
      <c r="BM1252" s="167" t="s">
        <v>1618</v>
      </c>
      <c r="BN1252" s="168"/>
      <c r="BO1252" s="62" t="s">
        <v>3616</v>
      </c>
      <c r="BP1252" s="168"/>
      <c r="BQ1252" s="168"/>
      <c r="BR1252" s="168"/>
      <c r="BS1252" s="135" t="s">
        <v>1619</v>
      </c>
      <c r="BT1252" s="168">
        <v>0.79</v>
      </c>
      <c r="BU1252" s="167" t="s">
        <v>1616</v>
      </c>
      <c r="BV1252" s="168">
        <v>0.2</v>
      </c>
      <c r="BW1252" s="167" t="s">
        <v>2153</v>
      </c>
      <c r="BX1252" s="168"/>
      <c r="BY1252" s="167" t="s">
        <v>1617</v>
      </c>
      <c r="BZ1252" s="168">
        <v>0.01</v>
      </c>
      <c r="CA1252" s="167" t="s">
        <v>1621</v>
      </c>
      <c r="CB1252" s="168"/>
      <c r="CC1252" s="62"/>
      <c r="CD1252" s="168"/>
      <c r="CE1252" s="165"/>
      <c r="CF1252" s="165"/>
      <c r="CG1252" s="217"/>
      <c r="CH1252" s="9"/>
      <c r="CI1252" s="217"/>
      <c r="CJ1252" s="217"/>
      <c r="CK1252" s="217"/>
      <c r="CL1252" s="217"/>
      <c r="CM1252" s="217"/>
      <c r="CN1252" s="217"/>
      <c r="CO1252" s="217"/>
      <c r="CP1252" s="9"/>
    </row>
    <row r="1253" spans="1:94" ht="270.75" x14ac:dyDescent="0.25">
      <c r="A1253" s="62" t="s">
        <v>3766</v>
      </c>
      <c r="B1253" s="131" t="s">
        <v>3767</v>
      </c>
      <c r="C1253" s="215"/>
      <c r="D1253" s="215"/>
      <c r="E1253" s="215"/>
      <c r="F1253" s="215"/>
      <c r="G1253" s="215"/>
      <c r="H1253" s="218"/>
      <c r="I1253" s="62"/>
      <c r="J1253" s="62"/>
      <c r="K1253" s="62"/>
      <c r="L1253" s="62"/>
      <c r="M1253" s="62"/>
      <c r="N1253" s="62"/>
      <c r="O1253" s="62"/>
      <c r="P1253" s="62"/>
      <c r="Q1253" s="62"/>
      <c r="R1253" s="62"/>
      <c r="S1253" s="62"/>
      <c r="T1253" s="62"/>
      <c r="U1253" s="62"/>
      <c r="V1253" s="62"/>
      <c r="W1253" s="62"/>
      <c r="X1253" s="62"/>
      <c r="Y1253" s="62"/>
      <c r="Z1253" s="62"/>
      <c r="AA1253" s="62"/>
      <c r="AB1253" s="62"/>
      <c r="AC1253" s="62"/>
      <c r="AD1253" s="62"/>
      <c r="AE1253" s="62"/>
      <c r="AF1253" s="62"/>
      <c r="AG1253" s="62"/>
      <c r="AH1253" s="62"/>
      <c r="AI1253" s="62"/>
      <c r="AJ1253" s="62"/>
      <c r="AK1253" s="62"/>
      <c r="AL1253" s="62"/>
      <c r="AM1253" s="61"/>
      <c r="AN1253" s="62"/>
      <c r="AO1253" s="61" t="s">
        <v>1112</v>
      </c>
      <c r="AP1253" s="212"/>
      <c r="AQ1253" s="213"/>
      <c r="AR1253" s="213"/>
      <c r="AS1253" s="213"/>
      <c r="AT1253" s="213"/>
      <c r="AU1253" s="213"/>
      <c r="AV1253" s="213"/>
      <c r="AW1253" s="62"/>
      <c r="AX1253" s="62"/>
      <c r="AY1253" s="62"/>
      <c r="AZ1253" s="62"/>
      <c r="BA1253" s="141"/>
      <c r="BB1253" s="61"/>
      <c r="BC1253" s="165" t="s">
        <v>1615</v>
      </c>
      <c r="BD1253" s="166">
        <v>0.89</v>
      </c>
      <c r="BE1253" s="167" t="s">
        <v>1616</v>
      </c>
      <c r="BF1253" s="168">
        <v>0.1</v>
      </c>
      <c r="BG1253" s="167" t="s">
        <v>1617</v>
      </c>
      <c r="BH1253" s="168">
        <v>0.01</v>
      </c>
      <c r="BI1253" s="214" t="s">
        <v>1618</v>
      </c>
      <c r="BJ1253" s="168">
        <v>0</v>
      </c>
      <c r="BK1253" s="134" t="s">
        <v>1615</v>
      </c>
      <c r="BL1253" s="168">
        <v>0.89</v>
      </c>
      <c r="BM1253" s="167" t="s">
        <v>2152</v>
      </c>
      <c r="BN1253" s="168">
        <v>0.1</v>
      </c>
      <c r="BO1253" s="62" t="s">
        <v>3616</v>
      </c>
      <c r="BP1253" s="168"/>
      <c r="BQ1253" s="168"/>
      <c r="BR1253" s="168"/>
      <c r="BS1253" s="135" t="s">
        <v>1615</v>
      </c>
      <c r="BT1253" s="168">
        <v>0.87</v>
      </c>
      <c r="BU1253" s="167" t="s">
        <v>1616</v>
      </c>
      <c r="BV1253" s="168">
        <v>0.1</v>
      </c>
      <c r="BW1253" s="167" t="s">
        <v>2153</v>
      </c>
      <c r="BX1253" s="168"/>
      <c r="BY1253" s="167" t="s">
        <v>1617</v>
      </c>
      <c r="BZ1253" s="168">
        <v>0.01</v>
      </c>
      <c r="CA1253" s="167" t="s">
        <v>1621</v>
      </c>
      <c r="CB1253" s="168">
        <v>0.02</v>
      </c>
      <c r="CC1253" s="62"/>
      <c r="CD1253" s="168"/>
      <c r="CE1253" s="165" t="s">
        <v>3768</v>
      </c>
      <c r="CF1253" s="165"/>
      <c r="CG1253" s="216"/>
      <c r="CH1253" s="9"/>
      <c r="CI1253" s="216"/>
      <c r="CJ1253" s="216"/>
      <c r="CK1253" s="216"/>
      <c r="CL1253" s="216"/>
      <c r="CM1253" s="216"/>
      <c r="CN1253" s="216"/>
      <c r="CO1253" s="216"/>
      <c r="CP1253" s="9"/>
    </row>
    <row r="1254" spans="1:94" ht="42.75" x14ac:dyDescent="0.25">
      <c r="A1254" s="62" t="s">
        <v>3769</v>
      </c>
      <c r="B1254" s="131" t="s">
        <v>3770</v>
      </c>
      <c r="C1254" s="215"/>
      <c r="D1254" s="215"/>
      <c r="E1254" s="215"/>
      <c r="F1254" s="215"/>
      <c r="G1254" s="215"/>
      <c r="H1254" s="218"/>
      <c r="I1254" s="62"/>
      <c r="J1254" s="62"/>
      <c r="K1254" s="62"/>
      <c r="L1254" s="62"/>
      <c r="M1254" s="62"/>
      <c r="N1254" s="62"/>
      <c r="O1254" s="62"/>
      <c r="P1254" s="62"/>
      <c r="Q1254" s="62"/>
      <c r="R1254" s="62"/>
      <c r="S1254" s="62"/>
      <c r="T1254" s="62"/>
      <c r="U1254" s="62"/>
      <c r="V1254" s="62"/>
      <c r="W1254" s="62"/>
      <c r="X1254" s="62"/>
      <c r="Y1254" s="62"/>
      <c r="Z1254" s="62"/>
      <c r="AA1254" s="62"/>
      <c r="AB1254" s="62"/>
      <c r="AC1254" s="62"/>
      <c r="AD1254" s="62"/>
      <c r="AE1254" s="62"/>
      <c r="AF1254" s="62"/>
      <c r="AG1254" s="62"/>
      <c r="AH1254" s="62"/>
      <c r="AI1254" s="62"/>
      <c r="AJ1254" s="62"/>
      <c r="AK1254" s="62"/>
      <c r="AL1254" s="62"/>
      <c r="AM1254" s="61"/>
      <c r="AN1254" s="62"/>
      <c r="AO1254" s="61" t="s">
        <v>1112</v>
      </c>
      <c r="AP1254" s="212"/>
      <c r="AQ1254" s="213"/>
      <c r="AR1254" s="213"/>
      <c r="AS1254" s="213"/>
      <c r="AT1254" s="213"/>
      <c r="AU1254" s="213"/>
      <c r="AV1254" s="213"/>
      <c r="AW1254" s="62"/>
      <c r="AX1254" s="62"/>
      <c r="AY1254" s="62"/>
      <c r="AZ1254" s="62"/>
      <c r="BA1254" s="141"/>
      <c r="BB1254" s="61"/>
      <c r="BC1254" s="165" t="s">
        <v>1615</v>
      </c>
      <c r="BD1254" s="166">
        <v>0.79</v>
      </c>
      <c r="BE1254" s="167" t="s">
        <v>1616</v>
      </c>
      <c r="BF1254" s="168">
        <v>0.2</v>
      </c>
      <c r="BG1254" s="167" t="s">
        <v>1617</v>
      </c>
      <c r="BH1254" s="168">
        <v>0.01</v>
      </c>
      <c r="BI1254" s="214" t="s">
        <v>1618</v>
      </c>
      <c r="BJ1254" s="168">
        <v>0</v>
      </c>
      <c r="BK1254" s="134" t="s">
        <v>1619</v>
      </c>
      <c r="BL1254" s="168">
        <v>1</v>
      </c>
      <c r="BM1254" s="167" t="s">
        <v>2152</v>
      </c>
      <c r="BN1254" s="168"/>
      <c r="BO1254" s="62"/>
      <c r="BP1254" s="168"/>
      <c r="BQ1254" s="168"/>
      <c r="BR1254" s="168"/>
      <c r="BS1254" s="135" t="s">
        <v>1615</v>
      </c>
      <c r="BT1254" s="168">
        <v>0.79</v>
      </c>
      <c r="BU1254" s="167" t="s">
        <v>1616</v>
      </c>
      <c r="BV1254" s="168">
        <v>0.2</v>
      </c>
      <c r="BW1254" s="167" t="s">
        <v>2153</v>
      </c>
      <c r="BX1254" s="168"/>
      <c r="BY1254" s="167" t="s">
        <v>1617</v>
      </c>
      <c r="BZ1254" s="168">
        <v>0.01</v>
      </c>
      <c r="CA1254" s="167" t="s">
        <v>1621</v>
      </c>
      <c r="CB1254" s="168"/>
      <c r="CC1254" s="62"/>
      <c r="CD1254" s="168"/>
      <c r="CE1254" s="165"/>
      <c r="CF1254" s="165"/>
      <c r="CG1254" s="217"/>
      <c r="CH1254" s="9"/>
      <c r="CI1254" s="217"/>
      <c r="CJ1254" s="217"/>
      <c r="CK1254" s="217"/>
      <c r="CL1254" s="217"/>
      <c r="CM1254" s="217"/>
      <c r="CN1254" s="217"/>
      <c r="CO1254" s="217"/>
      <c r="CP1254" s="9"/>
    </row>
    <row r="1255" spans="1:94" ht="42.75" x14ac:dyDescent="0.25">
      <c r="A1255" s="62" t="s">
        <v>3658</v>
      </c>
      <c r="B1255" s="131" t="s">
        <v>3659</v>
      </c>
      <c r="C1255" s="215"/>
      <c r="D1255" s="215"/>
      <c r="E1255" s="215"/>
      <c r="F1255" s="215"/>
      <c r="G1255" s="215"/>
      <c r="H1255" s="218"/>
      <c r="I1255" s="62"/>
      <c r="J1255" s="62"/>
      <c r="K1255" s="62"/>
      <c r="L1255" s="62"/>
      <c r="M1255" s="62"/>
      <c r="N1255" s="62"/>
      <c r="O1255" s="62"/>
      <c r="P1255" s="62"/>
      <c r="Q1255" s="62"/>
      <c r="R1255" s="62"/>
      <c r="S1255" s="62"/>
      <c r="T1255" s="62"/>
      <c r="U1255" s="62"/>
      <c r="V1255" s="62"/>
      <c r="W1255" s="62"/>
      <c r="X1255" s="62"/>
      <c r="Y1255" s="62"/>
      <c r="Z1255" s="62"/>
      <c r="AA1255" s="62"/>
      <c r="AB1255" s="62"/>
      <c r="AC1255" s="62"/>
      <c r="AD1255" s="62"/>
      <c r="AE1255" s="62"/>
      <c r="AF1255" s="62"/>
      <c r="AG1255" s="62"/>
      <c r="AH1255" s="62"/>
      <c r="AI1255" s="62"/>
      <c r="AJ1255" s="62"/>
      <c r="AK1255" s="62"/>
      <c r="AL1255" s="62"/>
      <c r="AM1255" s="61"/>
      <c r="AN1255" s="62"/>
      <c r="AO1255" s="61" t="s">
        <v>1112</v>
      </c>
      <c r="AP1255" s="212"/>
      <c r="AQ1255" s="213"/>
      <c r="AR1255" s="213"/>
      <c r="AS1255" s="213"/>
      <c r="AT1255" s="213"/>
      <c r="AU1255" s="213"/>
      <c r="AV1255" s="213"/>
      <c r="AW1255" s="62"/>
      <c r="AX1255" s="62"/>
      <c r="AY1255" s="62"/>
      <c r="AZ1255" s="62"/>
      <c r="BA1255" s="141"/>
      <c r="BB1255" s="61"/>
      <c r="BC1255" s="165" t="s">
        <v>1615</v>
      </c>
      <c r="BD1255" s="166">
        <v>0.89</v>
      </c>
      <c r="BE1255" s="167" t="s">
        <v>1616</v>
      </c>
      <c r="BF1255" s="168">
        <v>0.1</v>
      </c>
      <c r="BG1255" s="167" t="s">
        <v>1617</v>
      </c>
      <c r="BH1255" s="168">
        <v>0.01</v>
      </c>
      <c r="BI1255" s="214" t="s">
        <v>1618</v>
      </c>
      <c r="BJ1255" s="168">
        <v>0</v>
      </c>
      <c r="BK1255" s="134" t="s">
        <v>1615</v>
      </c>
      <c r="BL1255" s="168">
        <v>0.9</v>
      </c>
      <c r="BM1255" s="167" t="s">
        <v>2152</v>
      </c>
      <c r="BN1255" s="168">
        <v>0.1</v>
      </c>
      <c r="BO1255" s="62"/>
      <c r="BP1255" s="168"/>
      <c r="BQ1255" s="168"/>
      <c r="BR1255" s="168"/>
      <c r="BS1255" s="135" t="s">
        <v>1615</v>
      </c>
      <c r="BT1255" s="168">
        <v>0.87</v>
      </c>
      <c r="BU1255" s="167" t="s">
        <v>1616</v>
      </c>
      <c r="BV1255" s="168">
        <v>0.1</v>
      </c>
      <c r="BW1255" s="167" t="s">
        <v>2153</v>
      </c>
      <c r="BX1255" s="168"/>
      <c r="BY1255" s="167" t="s">
        <v>1617</v>
      </c>
      <c r="BZ1255" s="168">
        <v>0.01</v>
      </c>
      <c r="CA1255" s="167" t="s">
        <v>1621</v>
      </c>
      <c r="CB1255" s="168">
        <v>0.02</v>
      </c>
      <c r="CC1255" s="62"/>
      <c r="CD1255" s="168"/>
      <c r="CE1255" s="62"/>
      <c r="CF1255" s="62"/>
      <c r="CG1255" s="9"/>
      <c r="CH1255" s="9"/>
      <c r="CI1255" s="9"/>
      <c r="CJ1255" s="9"/>
      <c r="CK1255" s="9"/>
      <c r="CL1255" s="9"/>
      <c r="CM1255" s="9"/>
      <c r="CN1255" s="9"/>
      <c r="CO1255" s="9"/>
      <c r="CP1255" s="9"/>
    </row>
    <row r="1256" spans="1:94" ht="270.75" x14ac:dyDescent="0.25">
      <c r="A1256" s="62" t="s">
        <v>3771</v>
      </c>
      <c r="B1256" s="131" t="s">
        <v>3772</v>
      </c>
      <c r="C1256" s="215"/>
      <c r="D1256" s="215"/>
      <c r="E1256" s="215"/>
      <c r="F1256" s="215"/>
      <c r="G1256" s="215"/>
      <c r="H1256" s="218"/>
      <c r="I1256" s="62"/>
      <c r="J1256" s="62"/>
      <c r="K1256" s="62"/>
      <c r="L1256" s="62"/>
      <c r="M1256" s="62"/>
      <c r="N1256" s="62"/>
      <c r="O1256" s="62"/>
      <c r="P1256" s="62"/>
      <c r="Q1256" s="62"/>
      <c r="R1256" s="62"/>
      <c r="S1256" s="62"/>
      <c r="T1256" s="62"/>
      <c r="U1256" s="62"/>
      <c r="V1256" s="62"/>
      <c r="W1256" s="62"/>
      <c r="X1256" s="62"/>
      <c r="Y1256" s="62"/>
      <c r="Z1256" s="62"/>
      <c r="AA1256" s="62"/>
      <c r="AB1256" s="62"/>
      <c r="AC1256" s="62"/>
      <c r="AD1256" s="62"/>
      <c r="AE1256" s="62"/>
      <c r="AF1256" s="62"/>
      <c r="AG1256" s="62"/>
      <c r="AH1256" s="62"/>
      <c r="AI1256" s="62"/>
      <c r="AJ1256" s="62"/>
      <c r="AK1256" s="62"/>
      <c r="AL1256" s="62"/>
      <c r="AM1256" s="61"/>
      <c r="AN1256" s="62"/>
      <c r="AO1256" s="61" t="s">
        <v>1112</v>
      </c>
      <c r="AP1256" s="212"/>
      <c r="AQ1256" s="213"/>
      <c r="AR1256" s="213"/>
      <c r="AS1256" s="213"/>
      <c r="AT1256" s="213"/>
      <c r="AU1256" s="213"/>
      <c r="AV1256" s="213"/>
      <c r="AW1256" s="62"/>
      <c r="AX1256" s="62"/>
      <c r="AY1256" s="62"/>
      <c r="AZ1256" s="62"/>
      <c r="BA1256" s="141"/>
      <c r="BB1256" s="61"/>
      <c r="BC1256" s="165" t="s">
        <v>1615</v>
      </c>
      <c r="BD1256" s="166">
        <v>0.79</v>
      </c>
      <c r="BE1256" s="167" t="s">
        <v>1616</v>
      </c>
      <c r="BF1256" s="168">
        <v>0.2</v>
      </c>
      <c r="BG1256" s="167" t="s">
        <v>1617</v>
      </c>
      <c r="BH1256" s="168">
        <v>0.01</v>
      </c>
      <c r="BI1256" s="214" t="s">
        <v>1618</v>
      </c>
      <c r="BJ1256" s="168">
        <v>0</v>
      </c>
      <c r="BK1256" s="134" t="s">
        <v>1619</v>
      </c>
      <c r="BL1256" s="168">
        <v>1</v>
      </c>
      <c r="BM1256" s="167" t="s">
        <v>2152</v>
      </c>
      <c r="BN1256" s="168"/>
      <c r="BO1256" s="62"/>
      <c r="BP1256" s="168"/>
      <c r="BQ1256" s="168"/>
      <c r="BR1256" s="168"/>
      <c r="BS1256" s="135" t="s">
        <v>1615</v>
      </c>
      <c r="BT1256" s="168"/>
      <c r="BU1256" s="167" t="s">
        <v>1616</v>
      </c>
      <c r="BV1256" s="168"/>
      <c r="BW1256" s="167" t="s">
        <v>2153</v>
      </c>
      <c r="BX1256" s="168"/>
      <c r="BY1256" s="167" t="s">
        <v>1617</v>
      </c>
      <c r="BZ1256" s="168"/>
      <c r="CA1256" s="167" t="s">
        <v>1621</v>
      </c>
      <c r="CB1256" s="168"/>
      <c r="CC1256" s="62"/>
      <c r="CD1256" s="168"/>
      <c r="CE1256" s="165" t="s">
        <v>3773</v>
      </c>
      <c r="CF1256" s="165"/>
      <c r="CG1256" s="204"/>
      <c r="CH1256" s="9"/>
      <c r="CI1256" s="204"/>
      <c r="CJ1256" s="204"/>
      <c r="CK1256" s="204"/>
      <c r="CL1256" s="204"/>
      <c r="CM1256" s="204"/>
      <c r="CN1256" s="204"/>
      <c r="CO1256" s="204"/>
      <c r="CP1256" s="9"/>
    </row>
    <row r="1257" spans="1:94" ht="270.75" x14ac:dyDescent="0.25">
      <c r="A1257" s="104" t="s">
        <v>3774</v>
      </c>
      <c r="B1257" s="219" t="s">
        <v>3775</v>
      </c>
      <c r="C1257" s="220"/>
      <c r="D1257" s="220"/>
      <c r="E1257" s="220"/>
      <c r="F1257" s="220"/>
      <c r="G1257" s="220"/>
      <c r="H1257" s="221"/>
      <c r="I1257" s="104"/>
      <c r="J1257" s="104"/>
      <c r="K1257" s="104"/>
      <c r="L1257" s="104"/>
      <c r="M1257" s="104"/>
      <c r="N1257" s="104"/>
      <c r="O1257" s="104"/>
      <c r="P1257" s="104"/>
      <c r="Q1257" s="104"/>
      <c r="R1257" s="104"/>
      <c r="S1257" s="104"/>
      <c r="T1257" s="104"/>
      <c r="U1257" s="104"/>
      <c r="V1257" s="104"/>
      <c r="W1257" s="104"/>
      <c r="X1257" s="104"/>
      <c r="Y1257" s="104"/>
      <c r="Z1257" s="104"/>
      <c r="AA1257" s="104"/>
      <c r="AB1257" s="104"/>
      <c r="AC1257" s="104"/>
      <c r="AD1257" s="104"/>
      <c r="AE1257" s="104"/>
      <c r="AF1257" s="104"/>
      <c r="AG1257" s="104"/>
      <c r="AH1257" s="104"/>
      <c r="AI1257" s="104"/>
      <c r="AJ1257" s="104"/>
      <c r="AK1257" s="104"/>
      <c r="AL1257" s="104"/>
      <c r="AM1257" s="103"/>
      <c r="AN1257" s="104"/>
      <c r="AO1257" s="61" t="s">
        <v>1112</v>
      </c>
      <c r="AP1257" s="222"/>
      <c r="AQ1257" s="104"/>
      <c r="AR1257" s="104"/>
      <c r="AS1257" s="104"/>
      <c r="AT1257" s="104"/>
      <c r="AU1257" s="104"/>
      <c r="AV1257" s="104"/>
      <c r="AW1257" s="104"/>
      <c r="AX1257" s="104"/>
      <c r="AY1257" s="104"/>
      <c r="AZ1257" s="104"/>
      <c r="BA1257" s="182"/>
      <c r="BB1257" s="103"/>
      <c r="BC1257" s="183" t="s">
        <v>1615</v>
      </c>
      <c r="BD1257" s="184">
        <v>0.79</v>
      </c>
      <c r="BE1257" s="185" t="s">
        <v>1616</v>
      </c>
      <c r="BF1257" s="186">
        <v>0.2</v>
      </c>
      <c r="BG1257" s="185" t="s">
        <v>1617</v>
      </c>
      <c r="BH1257" s="186">
        <v>0.01</v>
      </c>
      <c r="BI1257" s="223" t="s">
        <v>1618</v>
      </c>
      <c r="BJ1257" s="186">
        <v>0</v>
      </c>
      <c r="BK1257" s="187" t="s">
        <v>1619</v>
      </c>
      <c r="BL1257" s="186">
        <v>1</v>
      </c>
      <c r="BM1257" s="185" t="s">
        <v>2152</v>
      </c>
      <c r="BN1257" s="186"/>
      <c r="BO1257" s="104"/>
      <c r="BP1257" s="186"/>
      <c r="BQ1257" s="186"/>
      <c r="BR1257" s="186"/>
      <c r="BS1257" s="135" t="s">
        <v>1619</v>
      </c>
      <c r="BT1257" s="168">
        <v>0.79</v>
      </c>
      <c r="BU1257" s="167" t="s">
        <v>1616</v>
      </c>
      <c r="BV1257" s="168">
        <v>0.2</v>
      </c>
      <c r="BW1257" s="167" t="s">
        <v>2153</v>
      </c>
      <c r="BX1257" s="168"/>
      <c r="BY1257" s="167" t="s">
        <v>1617</v>
      </c>
      <c r="BZ1257" s="168">
        <v>0.01</v>
      </c>
      <c r="CA1257" s="167" t="s">
        <v>1621</v>
      </c>
      <c r="CB1257" s="168"/>
      <c r="CC1257" s="62"/>
      <c r="CD1257" s="168"/>
      <c r="CE1257" s="183" t="s">
        <v>3773</v>
      </c>
      <c r="CF1257" s="183"/>
      <c r="CG1257" s="224"/>
      <c r="CH1257" s="9"/>
      <c r="CI1257" s="224"/>
      <c r="CJ1257" s="224"/>
      <c r="CK1257" s="224"/>
      <c r="CL1257" s="224"/>
      <c r="CM1257" s="224"/>
      <c r="CN1257" s="224"/>
      <c r="CO1257" s="224"/>
      <c r="CP1257" s="105"/>
    </row>
    <row r="1258" spans="1:94" ht="270.75" x14ac:dyDescent="0.25">
      <c r="A1258" s="104" t="s">
        <v>3776</v>
      </c>
      <c r="B1258" s="219" t="s">
        <v>3777</v>
      </c>
      <c r="C1258" s="220"/>
      <c r="D1258" s="220"/>
      <c r="E1258" s="220"/>
      <c r="F1258" s="220"/>
      <c r="G1258" s="220"/>
      <c r="H1258" s="221"/>
      <c r="I1258" s="104"/>
      <c r="J1258" s="104"/>
      <c r="K1258" s="104"/>
      <c r="L1258" s="104"/>
      <c r="M1258" s="104"/>
      <c r="N1258" s="104"/>
      <c r="O1258" s="104"/>
      <c r="P1258" s="104"/>
      <c r="Q1258" s="104"/>
      <c r="R1258" s="104"/>
      <c r="S1258" s="104"/>
      <c r="T1258" s="104"/>
      <c r="U1258" s="104"/>
      <c r="V1258" s="104"/>
      <c r="W1258" s="104"/>
      <c r="X1258" s="104"/>
      <c r="Y1258" s="104"/>
      <c r="Z1258" s="104"/>
      <c r="AA1258" s="104"/>
      <c r="AB1258" s="104"/>
      <c r="AC1258" s="104"/>
      <c r="AD1258" s="104"/>
      <c r="AE1258" s="104"/>
      <c r="AF1258" s="104"/>
      <c r="AG1258" s="104"/>
      <c r="AH1258" s="104"/>
      <c r="AI1258" s="104"/>
      <c r="AJ1258" s="104"/>
      <c r="AK1258" s="104"/>
      <c r="AL1258" s="104"/>
      <c r="AM1258" s="103"/>
      <c r="AN1258" s="104"/>
      <c r="AO1258" s="61" t="s">
        <v>1112</v>
      </c>
      <c r="AP1258" s="222"/>
      <c r="AQ1258" s="104"/>
      <c r="AR1258" s="104"/>
      <c r="AS1258" s="104"/>
      <c r="AT1258" s="104"/>
      <c r="AU1258" s="104"/>
      <c r="AV1258" s="104"/>
      <c r="AW1258" s="104"/>
      <c r="AX1258" s="104"/>
      <c r="AY1258" s="104"/>
      <c r="AZ1258" s="104"/>
      <c r="BA1258" s="182"/>
      <c r="BB1258" s="103"/>
      <c r="BC1258" s="183" t="s">
        <v>1615</v>
      </c>
      <c r="BD1258" s="184">
        <v>0.79</v>
      </c>
      <c r="BE1258" s="185" t="s">
        <v>1616</v>
      </c>
      <c r="BF1258" s="186">
        <v>0.2</v>
      </c>
      <c r="BG1258" s="185" t="s">
        <v>1617</v>
      </c>
      <c r="BH1258" s="186">
        <v>0.01</v>
      </c>
      <c r="BI1258" s="223" t="s">
        <v>1618</v>
      </c>
      <c r="BJ1258" s="186">
        <v>0</v>
      </c>
      <c r="BK1258" s="187" t="s">
        <v>1619</v>
      </c>
      <c r="BL1258" s="186">
        <v>1</v>
      </c>
      <c r="BM1258" s="185" t="s">
        <v>2152</v>
      </c>
      <c r="BN1258" s="186"/>
      <c r="BO1258" s="104"/>
      <c r="BP1258" s="186"/>
      <c r="BQ1258" s="186"/>
      <c r="BR1258" s="186"/>
      <c r="BS1258" s="135" t="s">
        <v>1619</v>
      </c>
      <c r="BT1258" s="168">
        <v>0.79</v>
      </c>
      <c r="BU1258" s="167" t="s">
        <v>1616</v>
      </c>
      <c r="BV1258" s="168">
        <v>0.2</v>
      </c>
      <c r="BW1258" s="167" t="s">
        <v>2153</v>
      </c>
      <c r="BX1258" s="168"/>
      <c r="BY1258" s="167" t="s">
        <v>1617</v>
      </c>
      <c r="BZ1258" s="168">
        <v>0.01</v>
      </c>
      <c r="CA1258" s="167" t="s">
        <v>1621</v>
      </c>
      <c r="CB1258" s="168"/>
      <c r="CC1258" s="62"/>
      <c r="CD1258" s="168"/>
      <c r="CE1258" s="183" t="s">
        <v>3773</v>
      </c>
      <c r="CF1258" s="183"/>
      <c r="CG1258" s="224"/>
      <c r="CH1258" s="9"/>
      <c r="CI1258" s="224"/>
      <c r="CJ1258" s="224"/>
      <c r="CK1258" s="224"/>
      <c r="CL1258" s="224"/>
      <c r="CM1258" s="224"/>
      <c r="CN1258" s="224"/>
      <c r="CO1258" s="224"/>
      <c r="CP1258" s="105"/>
    </row>
    <row r="1259" spans="1:94" ht="270.75" x14ac:dyDescent="0.25">
      <c r="A1259" s="104" t="s">
        <v>3778</v>
      </c>
      <c r="B1259" s="219" t="s">
        <v>3779</v>
      </c>
      <c r="C1259" s="220"/>
      <c r="D1259" s="220"/>
      <c r="E1259" s="220"/>
      <c r="F1259" s="220"/>
      <c r="G1259" s="220"/>
      <c r="H1259" s="221"/>
      <c r="I1259" s="104"/>
      <c r="J1259" s="104"/>
      <c r="K1259" s="104"/>
      <c r="L1259" s="104"/>
      <c r="M1259" s="104"/>
      <c r="N1259" s="104"/>
      <c r="O1259" s="104"/>
      <c r="P1259" s="104"/>
      <c r="Q1259" s="104"/>
      <c r="R1259" s="104"/>
      <c r="S1259" s="104"/>
      <c r="T1259" s="104"/>
      <c r="U1259" s="104"/>
      <c r="V1259" s="104"/>
      <c r="W1259" s="104"/>
      <c r="X1259" s="104"/>
      <c r="Y1259" s="104"/>
      <c r="Z1259" s="104"/>
      <c r="AA1259" s="104"/>
      <c r="AB1259" s="104"/>
      <c r="AC1259" s="104"/>
      <c r="AD1259" s="104"/>
      <c r="AE1259" s="104"/>
      <c r="AF1259" s="104"/>
      <c r="AG1259" s="104"/>
      <c r="AH1259" s="104"/>
      <c r="AI1259" s="104"/>
      <c r="AJ1259" s="104"/>
      <c r="AK1259" s="104"/>
      <c r="AL1259" s="104"/>
      <c r="AM1259" s="103"/>
      <c r="AN1259" s="104"/>
      <c r="AO1259" s="61" t="s">
        <v>1112</v>
      </c>
      <c r="AP1259" s="222"/>
      <c r="AQ1259" s="104"/>
      <c r="AR1259" s="104"/>
      <c r="AS1259" s="104"/>
      <c r="AT1259" s="104"/>
      <c r="AU1259" s="104"/>
      <c r="AV1259" s="104"/>
      <c r="AW1259" s="104"/>
      <c r="AX1259" s="104"/>
      <c r="AY1259" s="104"/>
      <c r="AZ1259" s="104"/>
      <c r="BA1259" s="182"/>
      <c r="BB1259" s="103"/>
      <c r="BC1259" s="183" t="s">
        <v>1615</v>
      </c>
      <c r="BD1259" s="184">
        <v>0.79</v>
      </c>
      <c r="BE1259" s="185" t="s">
        <v>1616</v>
      </c>
      <c r="BF1259" s="186">
        <v>0.2</v>
      </c>
      <c r="BG1259" s="185" t="s">
        <v>1617</v>
      </c>
      <c r="BH1259" s="186">
        <v>0.01</v>
      </c>
      <c r="BI1259" s="223" t="s">
        <v>1618</v>
      </c>
      <c r="BJ1259" s="186">
        <v>0</v>
      </c>
      <c r="BK1259" s="187" t="s">
        <v>1619</v>
      </c>
      <c r="BL1259" s="186">
        <v>1</v>
      </c>
      <c r="BM1259" s="185" t="s">
        <v>2152</v>
      </c>
      <c r="BN1259" s="186"/>
      <c r="BO1259" s="104"/>
      <c r="BP1259" s="186"/>
      <c r="BQ1259" s="186"/>
      <c r="BR1259" s="186"/>
      <c r="BS1259" s="135" t="s">
        <v>1619</v>
      </c>
      <c r="BT1259" s="168">
        <v>0.79</v>
      </c>
      <c r="BU1259" s="167" t="s">
        <v>1616</v>
      </c>
      <c r="BV1259" s="168">
        <v>0.2</v>
      </c>
      <c r="BW1259" s="167" t="s">
        <v>2153</v>
      </c>
      <c r="BX1259" s="168"/>
      <c r="BY1259" s="167" t="s">
        <v>1617</v>
      </c>
      <c r="BZ1259" s="168">
        <v>0.01</v>
      </c>
      <c r="CA1259" s="167" t="s">
        <v>1621</v>
      </c>
      <c r="CB1259" s="168"/>
      <c r="CC1259" s="62"/>
      <c r="CD1259" s="168"/>
      <c r="CE1259" s="183" t="s">
        <v>3773</v>
      </c>
      <c r="CF1259" s="183"/>
      <c r="CG1259" s="224"/>
      <c r="CH1259" s="9"/>
      <c r="CI1259" s="224"/>
      <c r="CJ1259" s="224"/>
      <c r="CK1259" s="224"/>
      <c r="CL1259" s="224"/>
      <c r="CM1259" s="224"/>
      <c r="CN1259" s="224"/>
      <c r="CO1259" s="224"/>
      <c r="CP1259" s="105"/>
    </row>
    <row r="1260" spans="1:94" x14ac:dyDescent="0.25">
      <c r="A1260" s="62" t="s">
        <v>3780</v>
      </c>
      <c r="B1260" s="131" t="s">
        <v>3781</v>
      </c>
      <c r="C1260" s="215"/>
      <c r="D1260" s="215"/>
      <c r="E1260" s="215"/>
      <c r="F1260" s="215"/>
      <c r="G1260" s="215"/>
      <c r="H1260" s="218"/>
      <c r="I1260" s="62"/>
      <c r="J1260" s="62"/>
      <c r="K1260" s="62"/>
      <c r="L1260" s="62"/>
      <c r="M1260" s="62"/>
      <c r="N1260" s="62"/>
      <c r="O1260" s="62"/>
      <c r="P1260" s="62"/>
      <c r="Q1260" s="62"/>
      <c r="R1260" s="62"/>
      <c r="S1260" s="62"/>
      <c r="T1260" s="62"/>
      <c r="U1260" s="62"/>
      <c r="V1260" s="62"/>
      <c r="W1260" s="62"/>
      <c r="X1260" s="62"/>
      <c r="Y1260" s="62"/>
      <c r="Z1260" s="62"/>
      <c r="AA1260" s="62"/>
      <c r="AB1260" s="62"/>
      <c r="AC1260" s="62"/>
      <c r="AD1260" s="62"/>
      <c r="AE1260" s="62"/>
      <c r="AF1260" s="62"/>
      <c r="AG1260" s="62"/>
      <c r="AH1260" s="62"/>
      <c r="AI1260" s="62"/>
      <c r="AJ1260" s="62"/>
      <c r="AK1260" s="62"/>
      <c r="AL1260" s="62"/>
      <c r="AM1260" s="61"/>
      <c r="AN1260" s="62"/>
      <c r="AO1260" s="61" t="s">
        <v>1112</v>
      </c>
      <c r="AP1260" s="212"/>
      <c r="AQ1260" s="213"/>
      <c r="AR1260" s="213"/>
      <c r="AS1260" s="213"/>
      <c r="AT1260" s="213"/>
      <c r="AU1260" s="213"/>
      <c r="AV1260" s="213"/>
      <c r="AW1260" s="62"/>
      <c r="AX1260" s="62"/>
      <c r="AY1260" s="62"/>
      <c r="AZ1260" s="62"/>
      <c r="BA1260" s="141"/>
      <c r="BB1260" s="61"/>
      <c r="BC1260" s="165"/>
      <c r="BD1260" s="166"/>
      <c r="BE1260" s="167"/>
      <c r="BF1260" s="168"/>
      <c r="BG1260" s="167"/>
      <c r="BH1260" s="168"/>
      <c r="BI1260" s="214"/>
      <c r="BJ1260" s="168"/>
      <c r="BK1260" s="134"/>
      <c r="BL1260" s="168"/>
      <c r="BM1260" s="167"/>
      <c r="BN1260" s="168"/>
      <c r="BO1260" s="62"/>
      <c r="BP1260" s="168"/>
      <c r="BQ1260" s="168"/>
      <c r="BR1260" s="168"/>
      <c r="BS1260" s="135"/>
      <c r="BT1260" s="168"/>
      <c r="BU1260" s="167"/>
      <c r="BV1260" s="168"/>
      <c r="BW1260" s="167"/>
      <c r="BX1260" s="168"/>
      <c r="BY1260" s="167"/>
      <c r="BZ1260" s="168"/>
      <c r="CA1260" s="167"/>
      <c r="CB1260" s="168"/>
      <c r="CC1260" s="62"/>
      <c r="CD1260" s="168"/>
      <c r="CE1260" s="165"/>
      <c r="CF1260" s="165"/>
      <c r="CG1260" s="204"/>
      <c r="CH1260" s="9"/>
      <c r="CI1260" s="204"/>
      <c r="CJ1260" s="204"/>
      <c r="CK1260" s="204"/>
      <c r="CL1260" s="204"/>
      <c r="CM1260" s="204"/>
      <c r="CN1260" s="204"/>
      <c r="CO1260" s="204"/>
      <c r="CP1260" s="9"/>
    </row>
    <row r="1261" spans="1:94" ht="313.5" x14ac:dyDescent="0.25">
      <c r="A1261" s="62" t="s">
        <v>3782</v>
      </c>
      <c r="B1261" s="131" t="s">
        <v>3783</v>
      </c>
      <c r="C1261" s="215"/>
      <c r="D1261" s="215"/>
      <c r="E1261" s="215"/>
      <c r="F1261" s="215"/>
      <c r="G1261" s="215"/>
      <c r="H1261" s="218"/>
      <c r="I1261" s="62"/>
      <c r="J1261" s="62"/>
      <c r="K1261" s="62"/>
      <c r="L1261" s="62"/>
      <c r="M1261" s="62"/>
      <c r="N1261" s="62"/>
      <c r="O1261" s="62"/>
      <c r="P1261" s="62"/>
      <c r="Q1261" s="62"/>
      <c r="R1261" s="62"/>
      <c r="S1261" s="62"/>
      <c r="T1261" s="62"/>
      <c r="U1261" s="62"/>
      <c r="V1261" s="62"/>
      <c r="W1261" s="62"/>
      <c r="X1261" s="62"/>
      <c r="Y1261" s="62"/>
      <c r="Z1261" s="62"/>
      <c r="AA1261" s="62"/>
      <c r="AB1261" s="62"/>
      <c r="AC1261" s="62"/>
      <c r="AD1261" s="62"/>
      <c r="AE1261" s="62"/>
      <c r="AF1261" s="62"/>
      <c r="AG1261" s="62"/>
      <c r="AH1261" s="62"/>
      <c r="AI1261" s="62"/>
      <c r="AJ1261" s="62"/>
      <c r="AK1261" s="62"/>
      <c r="AL1261" s="62"/>
      <c r="AM1261" s="61"/>
      <c r="AN1261" s="62"/>
      <c r="AO1261" s="61" t="s">
        <v>1112</v>
      </c>
      <c r="AP1261" s="212"/>
      <c r="AQ1261" s="213"/>
      <c r="AR1261" s="213"/>
      <c r="AS1261" s="213"/>
      <c r="AT1261" s="213"/>
      <c r="AU1261" s="213"/>
      <c r="AV1261" s="213"/>
      <c r="AW1261" s="62"/>
      <c r="AX1261" s="62"/>
      <c r="AY1261" s="62"/>
      <c r="AZ1261" s="62"/>
      <c r="BA1261" s="141"/>
      <c r="BB1261" s="61"/>
      <c r="BC1261" s="165" t="s">
        <v>1615</v>
      </c>
      <c r="BD1261" s="166">
        <v>0.79</v>
      </c>
      <c r="BE1261" s="167" t="s">
        <v>1616</v>
      </c>
      <c r="BF1261" s="168">
        <v>0.2</v>
      </c>
      <c r="BG1261" s="167" t="s">
        <v>1617</v>
      </c>
      <c r="BH1261" s="168">
        <v>0.01</v>
      </c>
      <c r="BI1261" s="214" t="s">
        <v>1618</v>
      </c>
      <c r="BJ1261" s="168">
        <v>0</v>
      </c>
      <c r="BK1261" s="134" t="s">
        <v>1619</v>
      </c>
      <c r="BL1261" s="168">
        <v>1</v>
      </c>
      <c r="BM1261" s="167" t="s">
        <v>2152</v>
      </c>
      <c r="BN1261" s="168"/>
      <c r="BO1261" s="62"/>
      <c r="BP1261" s="168"/>
      <c r="BQ1261" s="168"/>
      <c r="BR1261" s="168"/>
      <c r="BS1261" s="135" t="s">
        <v>1619</v>
      </c>
      <c r="BT1261" s="168">
        <v>0.79</v>
      </c>
      <c r="BU1261" s="167" t="s">
        <v>1616</v>
      </c>
      <c r="BV1261" s="168">
        <v>0.2</v>
      </c>
      <c r="BW1261" s="167" t="s">
        <v>2153</v>
      </c>
      <c r="BX1261" s="168"/>
      <c r="BY1261" s="167" t="s">
        <v>1617</v>
      </c>
      <c r="BZ1261" s="168">
        <v>0.01</v>
      </c>
      <c r="CA1261" s="167" t="s">
        <v>1621</v>
      </c>
      <c r="CB1261" s="168"/>
      <c r="CC1261" s="62"/>
      <c r="CD1261" s="168"/>
      <c r="CE1261" s="165" t="s">
        <v>3784</v>
      </c>
      <c r="CF1261" s="165"/>
      <c r="CG1261" s="204"/>
      <c r="CH1261" s="9"/>
      <c r="CI1261" s="204"/>
      <c r="CJ1261" s="204"/>
      <c r="CK1261" s="204"/>
      <c r="CL1261" s="204"/>
      <c r="CM1261" s="204"/>
      <c r="CN1261" s="204"/>
      <c r="CO1261" s="204"/>
      <c r="CP1261" s="9"/>
    </row>
    <row r="1262" spans="1:94" ht="384.75" x14ac:dyDescent="0.25">
      <c r="A1262" s="62" t="s">
        <v>3785</v>
      </c>
      <c r="B1262" s="131" t="s">
        <v>3786</v>
      </c>
      <c r="C1262" s="215"/>
      <c r="D1262" s="215"/>
      <c r="E1262" s="215"/>
      <c r="F1262" s="215"/>
      <c r="G1262" s="215"/>
      <c r="H1262" s="218"/>
      <c r="I1262" s="62"/>
      <c r="J1262" s="62"/>
      <c r="K1262" s="62"/>
      <c r="L1262" s="62"/>
      <c r="M1262" s="62"/>
      <c r="N1262" s="62"/>
      <c r="O1262" s="62"/>
      <c r="P1262" s="62"/>
      <c r="Q1262" s="62"/>
      <c r="R1262" s="62"/>
      <c r="S1262" s="62"/>
      <c r="T1262" s="62"/>
      <c r="U1262" s="62"/>
      <c r="V1262" s="62"/>
      <c r="W1262" s="62"/>
      <c r="X1262" s="62"/>
      <c r="Y1262" s="62"/>
      <c r="Z1262" s="62"/>
      <c r="AA1262" s="62"/>
      <c r="AB1262" s="62"/>
      <c r="AC1262" s="62"/>
      <c r="AD1262" s="62"/>
      <c r="AE1262" s="62"/>
      <c r="AF1262" s="62"/>
      <c r="AG1262" s="62"/>
      <c r="AH1262" s="62"/>
      <c r="AI1262" s="62"/>
      <c r="AJ1262" s="62"/>
      <c r="AK1262" s="62"/>
      <c r="AL1262" s="62"/>
      <c r="AM1262" s="61"/>
      <c r="AN1262" s="62"/>
      <c r="AO1262" s="61" t="s">
        <v>1112</v>
      </c>
      <c r="AP1262" s="212"/>
      <c r="AQ1262" s="213"/>
      <c r="AR1262" s="213"/>
      <c r="AS1262" s="213"/>
      <c r="AT1262" s="213"/>
      <c r="AU1262" s="213"/>
      <c r="AV1262" s="213"/>
      <c r="AW1262" s="62"/>
      <c r="AX1262" s="62"/>
      <c r="AY1262" s="62"/>
      <c r="AZ1262" s="62"/>
      <c r="BA1262" s="141"/>
      <c r="BB1262" s="61"/>
      <c r="BC1262" s="165" t="s">
        <v>1615</v>
      </c>
      <c r="BD1262" s="166">
        <v>0.79</v>
      </c>
      <c r="BE1262" s="167" t="s">
        <v>1616</v>
      </c>
      <c r="BF1262" s="168">
        <v>0.2</v>
      </c>
      <c r="BG1262" s="167" t="s">
        <v>1617</v>
      </c>
      <c r="BH1262" s="168">
        <v>0.01</v>
      </c>
      <c r="BI1262" s="214" t="s">
        <v>1618</v>
      </c>
      <c r="BJ1262" s="168">
        <v>0</v>
      </c>
      <c r="BK1262" s="134" t="s">
        <v>1619</v>
      </c>
      <c r="BL1262" s="168">
        <v>1</v>
      </c>
      <c r="BM1262" s="167" t="s">
        <v>2152</v>
      </c>
      <c r="BN1262" s="168"/>
      <c r="BO1262" s="62"/>
      <c r="BP1262" s="168"/>
      <c r="BQ1262" s="168"/>
      <c r="BR1262" s="168"/>
      <c r="BS1262" s="135" t="s">
        <v>1619</v>
      </c>
      <c r="BT1262" s="168">
        <v>0.79</v>
      </c>
      <c r="BU1262" s="167" t="s">
        <v>1616</v>
      </c>
      <c r="BV1262" s="168">
        <v>0.2</v>
      </c>
      <c r="BW1262" s="167" t="s">
        <v>2153</v>
      </c>
      <c r="BX1262" s="168"/>
      <c r="BY1262" s="167" t="s">
        <v>1617</v>
      </c>
      <c r="BZ1262" s="168">
        <v>0.01</v>
      </c>
      <c r="CA1262" s="167" t="s">
        <v>1621</v>
      </c>
      <c r="CB1262" s="168"/>
      <c r="CC1262" s="62"/>
      <c r="CD1262" s="168"/>
      <c r="CE1262" s="165" t="s">
        <v>3787</v>
      </c>
      <c r="CF1262" s="165"/>
      <c r="CG1262" s="217"/>
      <c r="CH1262" s="9"/>
      <c r="CI1262" s="217"/>
      <c r="CJ1262" s="217"/>
      <c r="CK1262" s="217"/>
      <c r="CL1262" s="217"/>
      <c r="CM1262" s="217"/>
      <c r="CN1262" s="217"/>
      <c r="CO1262" s="217"/>
      <c r="CP1262" s="9"/>
    </row>
    <row r="1263" spans="1:94" ht="384.75" x14ac:dyDescent="0.25">
      <c r="A1263" s="62" t="s">
        <v>3788</v>
      </c>
      <c r="B1263" s="131" t="s">
        <v>3789</v>
      </c>
      <c r="C1263" s="215"/>
      <c r="D1263" s="215"/>
      <c r="E1263" s="215"/>
      <c r="F1263" s="215"/>
      <c r="G1263" s="215"/>
      <c r="H1263" s="218"/>
      <c r="I1263" s="62"/>
      <c r="J1263" s="62"/>
      <c r="K1263" s="62"/>
      <c r="L1263" s="62"/>
      <c r="M1263" s="62"/>
      <c r="N1263" s="62"/>
      <c r="O1263" s="62"/>
      <c r="P1263" s="62"/>
      <c r="Q1263" s="62"/>
      <c r="R1263" s="62"/>
      <c r="S1263" s="62"/>
      <c r="T1263" s="62"/>
      <c r="U1263" s="62"/>
      <c r="V1263" s="62"/>
      <c r="W1263" s="62"/>
      <c r="X1263" s="62"/>
      <c r="Y1263" s="62"/>
      <c r="Z1263" s="62"/>
      <c r="AA1263" s="62"/>
      <c r="AB1263" s="62"/>
      <c r="AC1263" s="62"/>
      <c r="AD1263" s="62"/>
      <c r="AE1263" s="62"/>
      <c r="AF1263" s="62"/>
      <c r="AG1263" s="62"/>
      <c r="AH1263" s="62"/>
      <c r="AI1263" s="62"/>
      <c r="AJ1263" s="62"/>
      <c r="AK1263" s="62"/>
      <c r="AL1263" s="62"/>
      <c r="AM1263" s="61"/>
      <c r="AN1263" s="62"/>
      <c r="AO1263" s="61" t="s">
        <v>1112</v>
      </c>
      <c r="AP1263" s="212"/>
      <c r="AQ1263" s="213"/>
      <c r="AR1263" s="213"/>
      <c r="AS1263" s="213"/>
      <c r="AT1263" s="213"/>
      <c r="AU1263" s="213"/>
      <c r="AV1263" s="213"/>
      <c r="AW1263" s="62"/>
      <c r="AX1263" s="62"/>
      <c r="AY1263" s="62"/>
      <c r="AZ1263" s="62"/>
      <c r="BA1263" s="141"/>
      <c r="BB1263" s="61"/>
      <c r="BC1263" s="165" t="s">
        <v>1615</v>
      </c>
      <c r="BD1263" s="166">
        <v>0.79</v>
      </c>
      <c r="BE1263" s="167" t="s">
        <v>1616</v>
      </c>
      <c r="BF1263" s="168">
        <v>0.2</v>
      </c>
      <c r="BG1263" s="167" t="s">
        <v>1617</v>
      </c>
      <c r="BH1263" s="168">
        <v>0.01</v>
      </c>
      <c r="BI1263" s="214" t="s">
        <v>1618</v>
      </c>
      <c r="BJ1263" s="168">
        <v>0</v>
      </c>
      <c r="BK1263" s="134" t="s">
        <v>1619</v>
      </c>
      <c r="BL1263" s="168">
        <v>1</v>
      </c>
      <c r="BM1263" s="167" t="s">
        <v>2152</v>
      </c>
      <c r="BN1263" s="168"/>
      <c r="BO1263" s="62"/>
      <c r="BP1263" s="168"/>
      <c r="BQ1263" s="168"/>
      <c r="BR1263" s="168"/>
      <c r="BS1263" s="135" t="s">
        <v>1615</v>
      </c>
      <c r="BT1263" s="168">
        <v>0.79</v>
      </c>
      <c r="BU1263" s="167" t="s">
        <v>1616</v>
      </c>
      <c r="BV1263" s="168">
        <v>0.2</v>
      </c>
      <c r="BW1263" s="167" t="s">
        <v>2153</v>
      </c>
      <c r="BX1263" s="168"/>
      <c r="BY1263" s="167" t="s">
        <v>1617</v>
      </c>
      <c r="BZ1263" s="168">
        <v>0.01</v>
      </c>
      <c r="CA1263" s="167" t="s">
        <v>1621</v>
      </c>
      <c r="CB1263" s="168"/>
      <c r="CC1263" s="62"/>
      <c r="CD1263" s="168"/>
      <c r="CE1263" s="165" t="s">
        <v>3790</v>
      </c>
      <c r="CF1263" s="62"/>
      <c r="CG1263" s="9"/>
      <c r="CH1263" s="9"/>
      <c r="CI1263" s="9"/>
      <c r="CJ1263" s="9"/>
      <c r="CK1263" s="9"/>
      <c r="CL1263" s="9"/>
      <c r="CM1263" s="9"/>
      <c r="CN1263" s="9"/>
      <c r="CO1263" s="9"/>
      <c r="CP1263" s="9"/>
    </row>
    <row r="1264" spans="1:94" x14ac:dyDescent="0.25">
      <c r="A1264" s="62" t="s">
        <v>3661</v>
      </c>
      <c r="B1264" s="131" t="s">
        <v>3791</v>
      </c>
      <c r="C1264" s="215"/>
      <c r="D1264" s="215"/>
      <c r="E1264" s="215"/>
      <c r="F1264" s="215"/>
      <c r="G1264" s="215"/>
      <c r="H1264" s="218"/>
      <c r="I1264" s="62"/>
      <c r="J1264" s="62"/>
      <c r="K1264" s="62"/>
      <c r="L1264" s="62"/>
      <c r="M1264" s="62"/>
      <c r="N1264" s="62"/>
      <c r="O1264" s="62"/>
      <c r="P1264" s="62"/>
      <c r="Q1264" s="62"/>
      <c r="R1264" s="62"/>
      <c r="S1264" s="62"/>
      <c r="T1264" s="62"/>
      <c r="U1264" s="62"/>
      <c r="V1264" s="62"/>
      <c r="W1264" s="62"/>
      <c r="X1264" s="62"/>
      <c r="Y1264" s="62"/>
      <c r="Z1264" s="62"/>
      <c r="AA1264" s="62"/>
      <c r="AB1264" s="62"/>
      <c r="AC1264" s="62"/>
      <c r="AD1264" s="62"/>
      <c r="AE1264" s="62"/>
      <c r="AF1264" s="62"/>
      <c r="AG1264" s="62"/>
      <c r="AH1264" s="62"/>
      <c r="AI1264" s="62"/>
      <c r="AJ1264" s="62"/>
      <c r="AK1264" s="62"/>
      <c r="AL1264" s="62"/>
      <c r="AM1264" s="61"/>
      <c r="AN1264" s="62"/>
      <c r="AO1264" s="61" t="s">
        <v>1112</v>
      </c>
      <c r="AP1264" s="212"/>
      <c r="AQ1264" s="213"/>
      <c r="AR1264" s="213"/>
      <c r="AS1264" s="213"/>
      <c r="AT1264" s="213"/>
      <c r="AU1264" s="213"/>
      <c r="AV1264" s="213"/>
      <c r="AW1264" s="62"/>
      <c r="AX1264" s="62"/>
      <c r="AY1264" s="62"/>
      <c r="AZ1264" s="62"/>
      <c r="BA1264" s="141"/>
      <c r="BB1264" s="61"/>
      <c r="BC1264" s="165"/>
      <c r="BD1264" s="166"/>
      <c r="BE1264" s="167"/>
      <c r="BF1264" s="168"/>
      <c r="BG1264" s="167"/>
      <c r="BH1264" s="168"/>
      <c r="BI1264" s="214"/>
      <c r="BJ1264" s="168"/>
      <c r="BK1264" s="134"/>
      <c r="BL1264" s="168"/>
      <c r="BM1264" s="167"/>
      <c r="BN1264" s="168"/>
      <c r="BO1264" s="62"/>
      <c r="BP1264" s="168"/>
      <c r="BQ1264" s="168"/>
      <c r="BR1264" s="168"/>
      <c r="BS1264" s="135"/>
      <c r="BT1264" s="168"/>
      <c r="BU1264" s="167"/>
      <c r="BV1264" s="168"/>
      <c r="BW1264" s="167"/>
      <c r="BX1264" s="168"/>
      <c r="BY1264" s="167"/>
      <c r="BZ1264" s="168"/>
      <c r="CA1264" s="167"/>
      <c r="CB1264" s="168"/>
      <c r="CC1264" s="62"/>
      <c r="CD1264" s="168"/>
      <c r="CE1264" s="165"/>
      <c r="CF1264" s="62"/>
      <c r="CG1264" s="9"/>
      <c r="CH1264" s="9"/>
      <c r="CI1264" s="9"/>
      <c r="CJ1264" s="9"/>
      <c r="CK1264" s="9"/>
      <c r="CL1264" s="9"/>
      <c r="CM1264" s="9"/>
      <c r="CN1264" s="9"/>
      <c r="CO1264" s="9"/>
      <c r="CP1264" s="9"/>
    </row>
    <row r="1265" spans="1:94" ht="30" x14ac:dyDescent="0.25">
      <c r="A1265" s="225" t="s">
        <v>3792</v>
      </c>
      <c r="B1265" s="225" t="s">
        <v>3793</v>
      </c>
      <c r="C1265" s="215"/>
      <c r="D1265" s="215"/>
      <c r="E1265" s="215"/>
      <c r="F1265" s="215"/>
      <c r="G1265" s="215"/>
      <c r="H1265" s="218"/>
      <c r="I1265" s="62"/>
      <c r="J1265" s="62"/>
      <c r="K1265" s="62"/>
      <c r="L1265" s="62"/>
      <c r="M1265" s="62"/>
      <c r="N1265" s="62"/>
      <c r="O1265" s="62"/>
      <c r="P1265" s="62"/>
      <c r="Q1265" s="62"/>
      <c r="R1265" s="62"/>
      <c r="S1265" s="62"/>
      <c r="T1265" s="62"/>
      <c r="U1265" s="62"/>
      <c r="V1265" s="62"/>
      <c r="W1265" s="62"/>
      <c r="X1265" s="62"/>
      <c r="Y1265" s="62"/>
      <c r="Z1265" s="62"/>
      <c r="AA1265" s="62"/>
      <c r="AB1265" s="62"/>
      <c r="AC1265" s="62"/>
      <c r="AD1265" s="62"/>
      <c r="AE1265" s="62"/>
      <c r="AF1265" s="62"/>
      <c r="AG1265" s="62"/>
      <c r="AH1265" s="62"/>
      <c r="AI1265" s="62"/>
      <c r="AJ1265" s="62"/>
      <c r="AK1265" s="62"/>
      <c r="AL1265" s="62"/>
      <c r="AM1265" s="61"/>
      <c r="AN1265" s="62"/>
      <c r="AO1265" s="61" t="s">
        <v>959</v>
      </c>
      <c r="AP1265" s="212"/>
      <c r="AQ1265" s="213"/>
      <c r="AR1265" s="213"/>
      <c r="AS1265" s="213"/>
      <c r="AT1265" s="213"/>
      <c r="AU1265" s="213"/>
      <c r="AV1265" s="213"/>
      <c r="AW1265" s="62"/>
      <c r="AX1265" s="62"/>
      <c r="AY1265" s="62"/>
      <c r="AZ1265" s="62"/>
      <c r="BA1265" s="141"/>
      <c r="BB1265" s="61"/>
      <c r="BC1265" s="165"/>
      <c r="BD1265" s="166"/>
      <c r="BE1265" s="167"/>
      <c r="BF1265" s="168"/>
      <c r="BG1265" s="167"/>
      <c r="BH1265" s="168"/>
      <c r="BI1265" s="214"/>
      <c r="BJ1265" s="168"/>
      <c r="BK1265" s="134"/>
      <c r="BL1265" s="168"/>
      <c r="BM1265" s="167"/>
      <c r="BN1265" s="168"/>
      <c r="BO1265" s="62"/>
      <c r="BP1265" s="168"/>
      <c r="BQ1265" s="168"/>
      <c r="BR1265" s="168"/>
      <c r="BS1265" s="135"/>
      <c r="BT1265" s="168"/>
      <c r="BU1265" s="167"/>
      <c r="BV1265" s="168"/>
      <c r="BW1265" s="167"/>
      <c r="BX1265" s="168"/>
      <c r="BY1265" s="167"/>
      <c r="BZ1265" s="168"/>
      <c r="CA1265" s="167"/>
      <c r="CB1265" s="168"/>
      <c r="CC1265" s="62"/>
      <c r="CD1265" s="168"/>
      <c r="CE1265" s="165"/>
      <c r="CF1265" s="62"/>
      <c r="CG1265" s="9"/>
      <c r="CH1265" s="9"/>
      <c r="CI1265" s="9"/>
      <c r="CJ1265" s="9"/>
      <c r="CK1265" s="9"/>
      <c r="CL1265" s="9"/>
      <c r="CM1265" s="9"/>
      <c r="CN1265" s="9"/>
      <c r="CO1265" s="9"/>
      <c r="CP1265" s="9"/>
    </row>
    <row r="1266" spans="1:94" ht="15.75" x14ac:dyDescent="0.25">
      <c r="A1266" s="126" t="s">
        <v>3794</v>
      </c>
      <c r="B1266" s="9" t="s">
        <v>3795</v>
      </c>
      <c r="C1266" s="9"/>
      <c r="D1266" s="9"/>
      <c r="E1266" s="9"/>
      <c r="F1266" s="9"/>
      <c r="G1266" s="9"/>
      <c r="H1266" s="9"/>
      <c r="I1266" s="9"/>
      <c r="J1266" s="9"/>
      <c r="K1266" s="9"/>
      <c r="L1266" s="9"/>
      <c r="M1266" s="9"/>
      <c r="N1266" s="9"/>
      <c r="O1266" s="9"/>
      <c r="P1266" s="9"/>
      <c r="Q1266" s="9"/>
      <c r="R1266" s="9"/>
      <c r="S1266" s="9"/>
      <c r="T1266" s="9"/>
      <c r="U1266" s="9"/>
      <c r="V1266" s="9"/>
      <c r="W1266" s="9"/>
      <c r="X1266" s="9"/>
      <c r="Y1266" s="9"/>
      <c r="Z1266" s="9"/>
      <c r="AA1266" s="9"/>
      <c r="AB1266" s="9"/>
      <c r="AC1266" s="9"/>
      <c r="AD1266" s="9"/>
      <c r="AE1266" s="9"/>
      <c r="AF1266" s="9"/>
      <c r="AG1266" s="9"/>
      <c r="AH1266" s="9"/>
      <c r="AI1266" s="9"/>
      <c r="AJ1266" s="9"/>
      <c r="AK1266" s="9"/>
      <c r="AL1266" s="9"/>
      <c r="AM1266" s="69"/>
      <c r="AN1266" s="9"/>
      <c r="AO1266" s="69" t="s">
        <v>2150</v>
      </c>
      <c r="AP1266" s="210"/>
      <c r="AQ1266" s="211"/>
      <c r="AR1266" s="211"/>
      <c r="AS1266" s="211"/>
      <c r="AT1266" s="211"/>
      <c r="AU1266" s="211"/>
      <c r="AV1266" s="211"/>
      <c r="AW1266" s="9"/>
      <c r="AX1266" s="9"/>
      <c r="AY1266" s="9"/>
      <c r="AZ1266" s="9"/>
      <c r="BA1266" s="120"/>
      <c r="BB1266" s="69"/>
      <c r="BC1266" s="9"/>
      <c r="BD1266" s="9"/>
      <c r="BE1266" s="9"/>
      <c r="BF1266" s="9"/>
      <c r="BG1266" s="9"/>
      <c r="BH1266" s="9"/>
      <c r="BI1266" s="9"/>
      <c r="BJ1266" s="9"/>
      <c r="BK1266" s="9"/>
      <c r="BL1266" s="9"/>
      <c r="BM1266" s="9"/>
      <c r="BN1266" s="9"/>
      <c r="BO1266" s="9"/>
      <c r="BP1266" s="9"/>
      <c r="BQ1266" s="9"/>
      <c r="BR1266" s="9"/>
      <c r="BS1266" s="9"/>
      <c r="BT1266" s="9"/>
      <c r="BU1266" s="9"/>
      <c r="BV1266" s="9"/>
      <c r="BW1266" s="9"/>
      <c r="BX1266" s="9"/>
      <c r="BY1266" s="9"/>
      <c r="BZ1266" s="9"/>
      <c r="CA1266" s="9"/>
      <c r="CB1266" s="9"/>
      <c r="CC1266" s="9"/>
      <c r="CD1266" s="9"/>
      <c r="CE1266" s="9"/>
      <c r="CF1266" s="9"/>
      <c r="CG1266" s="9"/>
      <c r="CH1266" s="9"/>
      <c r="CI1266" s="9"/>
      <c r="CJ1266" s="9"/>
      <c r="CK1266" s="9"/>
      <c r="CL1266" s="9"/>
      <c r="CM1266" s="9"/>
      <c r="CN1266" s="9"/>
      <c r="CO1266" s="9"/>
      <c r="CP1266" s="9"/>
    </row>
    <row r="1267" spans="1:94" ht="15.75" x14ac:dyDescent="0.25">
      <c r="A1267" s="126" t="s">
        <v>3796</v>
      </c>
      <c r="B1267" s="9" t="s">
        <v>3797</v>
      </c>
      <c r="C1267" s="9"/>
      <c r="D1267" s="9"/>
      <c r="E1267" s="9"/>
      <c r="F1267" s="9"/>
      <c r="G1267" s="9"/>
      <c r="H1267" s="9"/>
      <c r="I1267" s="9"/>
      <c r="J1267" s="9"/>
      <c r="K1267" s="9"/>
      <c r="L1267" s="9"/>
      <c r="M1267" s="9"/>
      <c r="N1267" s="9"/>
      <c r="O1267" s="9"/>
      <c r="P1267" s="9"/>
      <c r="Q1267" s="9"/>
      <c r="R1267" s="9"/>
      <c r="S1267" s="9"/>
      <c r="T1267" s="9"/>
      <c r="U1267" s="9"/>
      <c r="V1267" s="9"/>
      <c r="W1267" s="9"/>
      <c r="X1267" s="9"/>
      <c r="Y1267" s="9"/>
      <c r="Z1267" s="9"/>
      <c r="AA1267" s="9"/>
      <c r="AB1267" s="9"/>
      <c r="AC1267" s="9"/>
      <c r="AD1267" s="9"/>
      <c r="AE1267" s="9"/>
      <c r="AF1267" s="9"/>
      <c r="AG1267" s="9"/>
      <c r="AH1267" s="9"/>
      <c r="AI1267" s="9"/>
      <c r="AJ1267" s="9"/>
      <c r="AK1267" s="9"/>
      <c r="AL1267" s="9"/>
      <c r="AM1267" s="69"/>
      <c r="AN1267" s="9"/>
      <c r="AO1267" s="69" t="s">
        <v>2150</v>
      </c>
      <c r="AP1267" s="210"/>
      <c r="AQ1267" s="211"/>
      <c r="AR1267" s="211"/>
      <c r="AS1267" s="211"/>
      <c r="AT1267" s="211"/>
      <c r="AU1267" s="211"/>
      <c r="AV1267" s="211"/>
      <c r="AW1267" s="9"/>
      <c r="AX1267" s="9"/>
      <c r="AY1267" s="9"/>
      <c r="AZ1267" s="9"/>
      <c r="BA1267" s="120"/>
      <c r="BB1267" s="69"/>
      <c r="BC1267" s="9"/>
      <c r="BD1267" s="9"/>
      <c r="BE1267" s="9"/>
      <c r="BF1267" s="9"/>
      <c r="BG1267" s="9"/>
      <c r="BH1267" s="9"/>
      <c r="BI1267" s="9"/>
      <c r="BJ1267" s="9"/>
      <c r="BK1267" s="9"/>
      <c r="BL1267" s="9"/>
      <c r="BM1267" s="9"/>
      <c r="BN1267" s="9"/>
      <c r="BO1267" s="9"/>
      <c r="BP1267" s="9"/>
      <c r="BQ1267" s="9"/>
      <c r="BR1267" s="9"/>
      <c r="BS1267" s="9"/>
      <c r="BT1267" s="9"/>
      <c r="BU1267" s="9"/>
      <c r="BV1267" s="9"/>
      <c r="BW1267" s="9"/>
      <c r="BX1267" s="9"/>
      <c r="BY1267" s="9"/>
      <c r="BZ1267" s="9"/>
      <c r="CA1267" s="9"/>
      <c r="CB1267" s="9"/>
      <c r="CC1267" s="9"/>
      <c r="CD1267" s="9"/>
      <c r="CE1267" s="9"/>
      <c r="CF1267" s="9"/>
      <c r="CG1267" s="9"/>
      <c r="CH1267" s="9"/>
      <c r="CI1267" s="9"/>
      <c r="CJ1267" s="9"/>
      <c r="CK1267" s="9"/>
      <c r="CL1267" s="9"/>
      <c r="CM1267" s="9"/>
      <c r="CN1267" s="9"/>
      <c r="CO1267" s="9"/>
      <c r="CP1267" s="9"/>
    </row>
    <row r="1268" spans="1:94" ht="15.75" x14ac:dyDescent="0.25">
      <c r="A1268" s="126" t="s">
        <v>3798</v>
      </c>
      <c r="B1268" s="9" t="s">
        <v>3799</v>
      </c>
      <c r="C1268" s="9"/>
      <c r="D1268" s="9"/>
      <c r="E1268" s="9"/>
      <c r="F1268" s="9"/>
      <c r="G1268" s="9"/>
      <c r="H1268" s="9"/>
      <c r="I1268" s="9"/>
      <c r="J1268" s="9"/>
      <c r="K1268" s="9"/>
      <c r="L1268" s="9"/>
      <c r="M1268" s="9"/>
      <c r="N1268" s="9"/>
      <c r="O1268" s="9"/>
      <c r="P1268" s="9"/>
      <c r="Q1268" s="9"/>
      <c r="R1268" s="9"/>
      <c r="S1268" s="9"/>
      <c r="T1268" s="9"/>
      <c r="U1268" s="9"/>
      <c r="V1268" s="9"/>
      <c r="W1268" s="9"/>
      <c r="X1268" s="9"/>
      <c r="Y1268" s="9"/>
      <c r="Z1268" s="9"/>
      <c r="AA1268" s="9"/>
      <c r="AB1268" s="9"/>
      <c r="AC1268" s="9"/>
      <c r="AD1268" s="9"/>
      <c r="AE1268" s="9"/>
      <c r="AF1268" s="9"/>
      <c r="AG1268" s="9"/>
      <c r="AH1268" s="9"/>
      <c r="AI1268" s="9"/>
      <c r="AJ1268" s="9"/>
      <c r="AK1268" s="9"/>
      <c r="AL1268" s="9"/>
      <c r="AM1268" s="69"/>
      <c r="AN1268" s="9"/>
      <c r="AO1268" s="69" t="s">
        <v>2150</v>
      </c>
      <c r="AP1268" s="210"/>
      <c r="AQ1268" s="211"/>
      <c r="AR1268" s="211"/>
      <c r="AS1268" s="211"/>
      <c r="AT1268" s="211"/>
      <c r="AU1268" s="211"/>
      <c r="AV1268" s="211"/>
      <c r="AW1268" s="9"/>
      <c r="AX1268" s="9"/>
      <c r="AY1268" s="9"/>
      <c r="AZ1268" s="9"/>
      <c r="BA1268" s="120"/>
      <c r="BB1268" s="69"/>
      <c r="BC1268" s="9"/>
      <c r="BD1268" s="9"/>
      <c r="BE1268" s="9"/>
      <c r="BF1268" s="9"/>
      <c r="BG1268" s="9"/>
      <c r="BH1268" s="9"/>
      <c r="BI1268" s="9"/>
      <c r="BJ1268" s="9"/>
      <c r="BK1268" s="9"/>
      <c r="BL1268" s="9"/>
      <c r="BM1268" s="9"/>
      <c r="BN1268" s="9"/>
      <c r="BO1268" s="9"/>
      <c r="BP1268" s="9"/>
      <c r="BQ1268" s="9"/>
      <c r="BR1268" s="9"/>
      <c r="BS1268" s="9"/>
      <c r="BT1268" s="9"/>
      <c r="BU1268" s="9"/>
      <c r="BV1268" s="9"/>
      <c r="BW1268" s="9"/>
      <c r="BX1268" s="9"/>
      <c r="BY1268" s="9"/>
      <c r="BZ1268" s="9"/>
      <c r="CA1268" s="9"/>
      <c r="CB1268" s="9"/>
      <c r="CC1268" s="9"/>
      <c r="CD1268" s="9"/>
      <c r="CE1268" s="9"/>
      <c r="CF1268" s="9"/>
      <c r="CG1268" s="9"/>
      <c r="CH1268" s="9"/>
      <c r="CI1268" s="9"/>
      <c r="CJ1268" s="9"/>
      <c r="CK1268" s="9"/>
      <c r="CL1268" s="9"/>
      <c r="CM1268" s="9"/>
      <c r="CN1268" s="9"/>
      <c r="CO1268" s="9"/>
      <c r="CP1268" s="9"/>
    </row>
    <row r="1269" spans="1:94" ht="15.75" x14ac:dyDescent="0.25">
      <c r="A1269" s="126" t="s">
        <v>3800</v>
      </c>
      <c r="B1269" s="9" t="s">
        <v>3801</v>
      </c>
      <c r="C1269" s="9"/>
      <c r="D1269" s="9"/>
      <c r="E1269" s="9"/>
      <c r="F1269" s="9"/>
      <c r="G1269" s="9"/>
      <c r="H1269" s="9"/>
      <c r="I1269" s="9"/>
      <c r="J1269" s="9"/>
      <c r="K1269" s="9"/>
      <c r="L1269" s="9"/>
      <c r="M1269" s="9"/>
      <c r="N1269" s="9"/>
      <c r="O1269" s="9"/>
      <c r="P1269" s="9"/>
      <c r="Q1269" s="9"/>
      <c r="R1269" s="9"/>
      <c r="S1269" s="9"/>
      <c r="T1269" s="9"/>
      <c r="U1269" s="9"/>
      <c r="V1269" s="9"/>
      <c r="W1269" s="9"/>
      <c r="X1269" s="9"/>
      <c r="Y1269" s="9"/>
      <c r="Z1269" s="9"/>
      <c r="AA1269" s="9"/>
      <c r="AB1269" s="9"/>
      <c r="AC1269" s="9"/>
      <c r="AD1269" s="9"/>
      <c r="AE1269" s="9"/>
      <c r="AF1269" s="9"/>
      <c r="AG1269" s="9"/>
      <c r="AH1269" s="9"/>
      <c r="AI1269" s="9"/>
      <c r="AJ1269" s="9"/>
      <c r="AK1269" s="9"/>
      <c r="AL1269" s="9"/>
      <c r="AM1269" s="69"/>
      <c r="AN1269" s="9"/>
      <c r="AO1269" s="69" t="s">
        <v>2150</v>
      </c>
      <c r="AP1269" s="210"/>
      <c r="AQ1269" s="211"/>
      <c r="AR1269" s="211"/>
      <c r="AS1269" s="211"/>
      <c r="AT1269" s="211"/>
      <c r="AU1269" s="211"/>
      <c r="AV1269" s="211"/>
      <c r="AW1269" s="9"/>
      <c r="AX1269" s="9"/>
      <c r="AY1269" s="9"/>
      <c r="AZ1269" s="9"/>
      <c r="BA1269" s="120"/>
      <c r="BB1269" s="69"/>
      <c r="BC1269" s="9"/>
      <c r="BD1269" s="9"/>
      <c r="BE1269" s="9"/>
      <c r="BF1269" s="9"/>
      <c r="BG1269" s="9"/>
      <c r="BH1269" s="9"/>
      <c r="BI1269" s="9"/>
      <c r="BJ1269" s="9"/>
      <c r="BK1269" s="9"/>
      <c r="BL1269" s="9"/>
      <c r="BM1269" s="9"/>
      <c r="BN1269" s="9"/>
      <c r="BO1269" s="9"/>
      <c r="BP1269" s="9"/>
      <c r="BQ1269" s="9"/>
      <c r="BR1269" s="9"/>
      <c r="BS1269" s="9"/>
      <c r="BT1269" s="9"/>
      <c r="BU1269" s="9"/>
      <c r="BV1269" s="9"/>
      <c r="BW1269" s="9"/>
      <c r="BX1269" s="9"/>
      <c r="BY1269" s="9"/>
      <c r="BZ1269" s="9"/>
      <c r="CA1269" s="9"/>
      <c r="CB1269" s="9"/>
      <c r="CC1269" s="9"/>
      <c r="CD1269" s="9"/>
      <c r="CE1269" s="9"/>
      <c r="CF1269" s="9"/>
      <c r="CG1269" s="9"/>
      <c r="CH1269" s="9"/>
      <c r="CI1269" s="9"/>
      <c r="CJ1269" s="9"/>
      <c r="CK1269" s="9"/>
      <c r="CL1269" s="9"/>
      <c r="CM1269" s="9"/>
      <c r="CN1269" s="9"/>
      <c r="CO1269" s="9"/>
      <c r="CP1269" s="9"/>
    </row>
    <row r="1270" spans="1:94" x14ac:dyDescent="0.25">
      <c r="A1270" s="62" t="s">
        <v>3802</v>
      </c>
      <c r="B1270" s="131" t="s">
        <v>3803</v>
      </c>
      <c r="C1270" s="215"/>
      <c r="D1270" s="215"/>
      <c r="E1270" s="215"/>
      <c r="F1270" s="215"/>
      <c r="G1270" s="215"/>
      <c r="H1270" s="218"/>
      <c r="I1270" s="62"/>
      <c r="J1270" s="62"/>
      <c r="K1270" s="62"/>
      <c r="L1270" s="62"/>
      <c r="M1270" s="62"/>
      <c r="N1270" s="62"/>
      <c r="O1270" s="62"/>
      <c r="P1270" s="62"/>
      <c r="Q1270" s="62"/>
      <c r="R1270" s="62"/>
      <c r="S1270" s="62"/>
      <c r="T1270" s="62"/>
      <c r="U1270" s="62"/>
      <c r="V1270" s="62"/>
      <c r="W1270" s="62"/>
      <c r="X1270" s="62"/>
      <c r="Y1270" s="62"/>
      <c r="Z1270" s="62"/>
      <c r="AA1270" s="62"/>
      <c r="AB1270" s="62"/>
      <c r="AC1270" s="62"/>
      <c r="AD1270" s="62"/>
      <c r="AE1270" s="62"/>
      <c r="AF1270" s="62"/>
      <c r="AG1270" s="62"/>
      <c r="AH1270" s="62"/>
      <c r="AI1270" s="62"/>
      <c r="AJ1270" s="62"/>
      <c r="AK1270" s="62"/>
      <c r="AL1270" s="62"/>
      <c r="AM1270" s="61"/>
      <c r="AN1270" s="62"/>
      <c r="AO1270" s="61" t="s">
        <v>1112</v>
      </c>
      <c r="AP1270" s="212"/>
      <c r="AQ1270" s="213"/>
      <c r="AR1270" s="213"/>
      <c r="AS1270" s="213"/>
      <c r="AT1270" s="213"/>
      <c r="AU1270" s="213"/>
      <c r="AV1270" s="213"/>
      <c r="AW1270" s="62"/>
      <c r="AX1270" s="62"/>
      <c r="AY1270" s="62"/>
      <c r="AZ1270" s="62"/>
      <c r="BA1270" s="141"/>
      <c r="BB1270" s="61"/>
      <c r="BC1270" s="165"/>
      <c r="BD1270" s="166"/>
      <c r="BE1270" s="167"/>
      <c r="BF1270" s="168"/>
      <c r="BG1270" s="167"/>
      <c r="BH1270" s="168"/>
      <c r="BI1270" s="214"/>
      <c r="BJ1270" s="168"/>
      <c r="BK1270" s="134"/>
      <c r="BL1270" s="168"/>
      <c r="BM1270" s="167"/>
      <c r="BN1270" s="168"/>
      <c r="BO1270" s="62"/>
      <c r="BP1270" s="168"/>
      <c r="BQ1270" s="168"/>
      <c r="BR1270" s="168"/>
      <c r="BS1270" s="135"/>
      <c r="BT1270" s="168"/>
      <c r="BU1270" s="167"/>
      <c r="BV1270" s="168"/>
      <c r="BW1270" s="167"/>
      <c r="BX1270" s="168"/>
      <c r="BY1270" s="167"/>
      <c r="BZ1270" s="168"/>
      <c r="CA1270" s="167"/>
      <c r="CB1270" s="168"/>
      <c r="CC1270" s="62"/>
      <c r="CD1270" s="168"/>
      <c r="CE1270" s="165"/>
      <c r="CF1270" s="62"/>
      <c r="CG1270" s="9"/>
      <c r="CH1270" s="9"/>
      <c r="CI1270" s="9"/>
      <c r="CJ1270" s="9"/>
      <c r="CK1270" s="9"/>
      <c r="CL1270" s="9"/>
      <c r="CM1270" s="9"/>
      <c r="CN1270" s="9"/>
      <c r="CO1270" s="9"/>
      <c r="CP1270" s="9"/>
    </row>
    <row r="1271" spans="1:94" x14ac:dyDescent="0.25">
      <c r="A1271" s="62" t="s">
        <v>3804</v>
      </c>
      <c r="B1271" s="131" t="s">
        <v>3805</v>
      </c>
      <c r="C1271" s="215"/>
      <c r="D1271" s="215"/>
      <c r="E1271" s="215"/>
      <c r="F1271" s="215"/>
      <c r="G1271" s="215"/>
      <c r="H1271" s="218"/>
      <c r="I1271" s="62"/>
      <c r="J1271" s="62"/>
      <c r="K1271" s="62"/>
      <c r="L1271" s="62"/>
      <c r="M1271" s="62"/>
      <c r="N1271" s="62"/>
      <c r="O1271" s="62"/>
      <c r="P1271" s="62"/>
      <c r="Q1271" s="62"/>
      <c r="R1271" s="62"/>
      <c r="S1271" s="62"/>
      <c r="T1271" s="62"/>
      <c r="U1271" s="62"/>
      <c r="V1271" s="62"/>
      <c r="W1271" s="62"/>
      <c r="X1271" s="62"/>
      <c r="Y1271" s="62"/>
      <c r="Z1271" s="62"/>
      <c r="AA1271" s="62"/>
      <c r="AB1271" s="62"/>
      <c r="AC1271" s="62"/>
      <c r="AD1271" s="62"/>
      <c r="AE1271" s="62"/>
      <c r="AF1271" s="62"/>
      <c r="AG1271" s="62"/>
      <c r="AH1271" s="62"/>
      <c r="AI1271" s="62"/>
      <c r="AJ1271" s="62"/>
      <c r="AK1271" s="62"/>
      <c r="AL1271" s="62"/>
      <c r="AM1271" s="61"/>
      <c r="AN1271" s="62"/>
      <c r="AO1271" s="61" t="s">
        <v>1112</v>
      </c>
      <c r="AP1271" s="212"/>
      <c r="AQ1271" s="213"/>
      <c r="AR1271" s="213"/>
      <c r="AS1271" s="213"/>
      <c r="AT1271" s="213"/>
      <c r="AU1271" s="213"/>
      <c r="AV1271" s="213"/>
      <c r="AW1271" s="62"/>
      <c r="AX1271" s="62"/>
      <c r="AY1271" s="62"/>
      <c r="AZ1271" s="62"/>
      <c r="BA1271" s="141"/>
      <c r="BB1271" s="61"/>
      <c r="BC1271" s="165"/>
      <c r="BD1271" s="166"/>
      <c r="BE1271" s="167"/>
      <c r="BF1271" s="168"/>
      <c r="BG1271" s="167"/>
      <c r="BH1271" s="168"/>
      <c r="BI1271" s="214"/>
      <c r="BJ1271" s="168"/>
      <c r="BK1271" s="134"/>
      <c r="BL1271" s="168"/>
      <c r="BM1271" s="167"/>
      <c r="BN1271" s="168"/>
      <c r="BO1271" s="62"/>
      <c r="BP1271" s="168"/>
      <c r="BQ1271" s="168"/>
      <c r="BR1271" s="168"/>
      <c r="BS1271" s="135"/>
      <c r="BT1271" s="168"/>
      <c r="BU1271" s="167"/>
      <c r="BV1271" s="168"/>
      <c r="BW1271" s="167"/>
      <c r="BX1271" s="168"/>
      <c r="BY1271" s="167"/>
      <c r="BZ1271" s="168"/>
      <c r="CA1271" s="167"/>
      <c r="CB1271" s="168"/>
      <c r="CC1271" s="62"/>
      <c r="CD1271" s="168"/>
      <c r="CE1271" s="165"/>
      <c r="CF1271" s="62"/>
      <c r="CG1271" s="9"/>
      <c r="CH1271" s="9"/>
      <c r="CI1271" s="9"/>
      <c r="CJ1271" s="9"/>
      <c r="CK1271" s="9"/>
      <c r="CL1271" s="9"/>
      <c r="CM1271" s="9"/>
      <c r="CN1271" s="9"/>
      <c r="CO1271" s="9"/>
      <c r="CP1271" s="9"/>
    </row>
    <row r="1272" spans="1:94" x14ac:dyDescent="0.25">
      <c r="A1272" s="62" t="s">
        <v>3806</v>
      </c>
      <c r="B1272" s="131" t="s">
        <v>3807</v>
      </c>
      <c r="C1272" s="215"/>
      <c r="D1272" s="215"/>
      <c r="E1272" s="215"/>
      <c r="F1272" s="215"/>
      <c r="G1272" s="215"/>
      <c r="H1272" s="218"/>
      <c r="I1272" s="62"/>
      <c r="J1272" s="62"/>
      <c r="K1272" s="62"/>
      <c r="L1272" s="62"/>
      <c r="M1272" s="62"/>
      <c r="N1272" s="62"/>
      <c r="O1272" s="62"/>
      <c r="P1272" s="62"/>
      <c r="Q1272" s="62"/>
      <c r="R1272" s="62"/>
      <c r="S1272" s="62"/>
      <c r="T1272" s="62"/>
      <c r="U1272" s="62"/>
      <c r="V1272" s="62"/>
      <c r="W1272" s="62"/>
      <c r="X1272" s="62"/>
      <c r="Y1272" s="62"/>
      <c r="Z1272" s="62"/>
      <c r="AA1272" s="62"/>
      <c r="AB1272" s="62"/>
      <c r="AC1272" s="62"/>
      <c r="AD1272" s="62"/>
      <c r="AE1272" s="62"/>
      <c r="AF1272" s="62"/>
      <c r="AG1272" s="62"/>
      <c r="AH1272" s="62"/>
      <c r="AI1272" s="62"/>
      <c r="AJ1272" s="62"/>
      <c r="AK1272" s="62"/>
      <c r="AL1272" s="62"/>
      <c r="AM1272" s="61"/>
      <c r="AN1272" s="62"/>
      <c r="AO1272" s="61" t="s">
        <v>1112</v>
      </c>
      <c r="AP1272" s="212"/>
      <c r="AQ1272" s="213"/>
      <c r="AR1272" s="213"/>
      <c r="AS1272" s="213"/>
      <c r="AT1272" s="213"/>
      <c r="AU1272" s="213"/>
      <c r="AV1272" s="213"/>
      <c r="AW1272" s="62"/>
      <c r="AX1272" s="62"/>
      <c r="AY1272" s="62"/>
      <c r="AZ1272" s="62"/>
      <c r="BA1272" s="141"/>
      <c r="BB1272" s="61"/>
      <c r="BC1272" s="165"/>
      <c r="BD1272" s="166"/>
      <c r="BE1272" s="167"/>
      <c r="BF1272" s="168"/>
      <c r="BG1272" s="167"/>
      <c r="BH1272" s="168"/>
      <c r="BI1272" s="214"/>
      <c r="BJ1272" s="168"/>
      <c r="BK1272" s="134"/>
      <c r="BL1272" s="168"/>
      <c r="BM1272" s="167"/>
      <c r="BN1272" s="168"/>
      <c r="BO1272" s="62"/>
      <c r="BP1272" s="168"/>
      <c r="BQ1272" s="168"/>
      <c r="BR1272" s="168"/>
      <c r="BS1272" s="135"/>
      <c r="BT1272" s="168"/>
      <c r="BU1272" s="167"/>
      <c r="BV1272" s="168"/>
      <c r="BW1272" s="167"/>
      <c r="BX1272" s="168"/>
      <c r="BY1272" s="167"/>
      <c r="BZ1272" s="168"/>
      <c r="CA1272" s="167"/>
      <c r="CB1272" s="168"/>
      <c r="CC1272" s="62"/>
      <c r="CD1272" s="168"/>
      <c r="CE1272" s="165"/>
      <c r="CF1272" s="62"/>
      <c r="CG1272" s="9"/>
      <c r="CH1272" s="9"/>
      <c r="CI1272" s="9"/>
      <c r="CJ1272" s="9"/>
      <c r="CK1272" s="9"/>
      <c r="CL1272" s="9"/>
      <c r="CM1272" s="9"/>
      <c r="CN1272" s="9"/>
      <c r="CO1272" s="9"/>
      <c r="CP1272" s="9"/>
    </row>
    <row r="1273" spans="1:94" x14ac:dyDescent="0.25">
      <c r="A1273" s="62" t="s">
        <v>3808</v>
      </c>
      <c r="B1273" s="131" t="s">
        <v>3809</v>
      </c>
      <c r="C1273" s="215"/>
      <c r="D1273" s="215"/>
      <c r="E1273" s="215"/>
      <c r="F1273" s="215"/>
      <c r="G1273" s="215"/>
      <c r="H1273" s="218"/>
      <c r="I1273" s="62"/>
      <c r="J1273" s="62"/>
      <c r="K1273" s="62"/>
      <c r="L1273" s="62"/>
      <c r="M1273" s="62"/>
      <c r="N1273" s="62"/>
      <c r="O1273" s="62"/>
      <c r="P1273" s="62"/>
      <c r="Q1273" s="62"/>
      <c r="R1273" s="62"/>
      <c r="S1273" s="62"/>
      <c r="T1273" s="62"/>
      <c r="U1273" s="62"/>
      <c r="V1273" s="62"/>
      <c r="W1273" s="62"/>
      <c r="X1273" s="62"/>
      <c r="Y1273" s="62"/>
      <c r="Z1273" s="62"/>
      <c r="AA1273" s="62"/>
      <c r="AB1273" s="62"/>
      <c r="AC1273" s="62"/>
      <c r="AD1273" s="62"/>
      <c r="AE1273" s="62"/>
      <c r="AF1273" s="62"/>
      <c r="AG1273" s="62"/>
      <c r="AH1273" s="62"/>
      <c r="AI1273" s="62"/>
      <c r="AJ1273" s="62"/>
      <c r="AK1273" s="62"/>
      <c r="AL1273" s="62"/>
      <c r="AM1273" s="61"/>
      <c r="AN1273" s="62"/>
      <c r="AO1273" s="61" t="s">
        <v>1112</v>
      </c>
      <c r="AP1273" s="212"/>
      <c r="AQ1273" s="213"/>
      <c r="AR1273" s="213"/>
      <c r="AS1273" s="213"/>
      <c r="AT1273" s="213"/>
      <c r="AU1273" s="213"/>
      <c r="AV1273" s="213"/>
      <c r="AW1273" s="62"/>
      <c r="AX1273" s="62"/>
      <c r="AY1273" s="62"/>
      <c r="AZ1273" s="62"/>
      <c r="BA1273" s="141"/>
      <c r="BB1273" s="61"/>
      <c r="BC1273" s="165"/>
      <c r="BD1273" s="166"/>
      <c r="BE1273" s="167"/>
      <c r="BF1273" s="168"/>
      <c r="BG1273" s="167"/>
      <c r="BH1273" s="168"/>
      <c r="BI1273" s="214"/>
      <c r="BJ1273" s="168"/>
      <c r="BK1273" s="134"/>
      <c r="BL1273" s="168"/>
      <c r="BM1273" s="167"/>
      <c r="BN1273" s="168"/>
      <c r="BO1273" s="62"/>
      <c r="BP1273" s="168"/>
      <c r="BQ1273" s="168"/>
      <c r="BR1273" s="168"/>
      <c r="BS1273" s="135"/>
      <c r="BT1273" s="168"/>
      <c r="BU1273" s="167"/>
      <c r="BV1273" s="168"/>
      <c r="BW1273" s="167"/>
      <c r="BX1273" s="168"/>
      <c r="BY1273" s="167"/>
      <c r="BZ1273" s="168"/>
      <c r="CA1273" s="167"/>
      <c r="CB1273" s="168"/>
      <c r="CC1273" s="62"/>
      <c r="CD1273" s="168"/>
      <c r="CE1273" s="165"/>
      <c r="CF1273" s="62"/>
      <c r="CG1273" s="9"/>
      <c r="CH1273" s="9"/>
      <c r="CI1273" s="9"/>
      <c r="CJ1273" s="9"/>
      <c r="CK1273" s="9"/>
      <c r="CL1273" s="9"/>
      <c r="CM1273" s="9"/>
      <c r="CN1273" s="9"/>
      <c r="CO1273" s="9"/>
      <c r="CP1273" s="9"/>
    </row>
    <row r="1274" spans="1:94" ht="30" x14ac:dyDescent="0.25">
      <c r="A1274" s="226" t="s">
        <v>3810</v>
      </c>
      <c r="B1274" s="226" t="s">
        <v>3811</v>
      </c>
      <c r="C1274" s="9"/>
      <c r="D1274" s="9"/>
      <c r="E1274" s="9"/>
      <c r="F1274" s="9"/>
      <c r="G1274" s="9"/>
      <c r="H1274" s="9"/>
      <c r="I1274" s="9"/>
      <c r="J1274" s="9"/>
      <c r="K1274" s="9"/>
      <c r="L1274" s="9"/>
      <c r="M1274" s="9"/>
      <c r="N1274" s="9"/>
      <c r="O1274" s="9"/>
      <c r="P1274" s="9"/>
      <c r="Q1274" s="9"/>
      <c r="R1274" s="9"/>
      <c r="S1274" s="9"/>
      <c r="T1274" s="9"/>
      <c r="U1274" s="9"/>
      <c r="V1274" s="9"/>
      <c r="W1274" s="9"/>
      <c r="X1274" s="9"/>
      <c r="Y1274" s="9"/>
      <c r="Z1274" s="9"/>
      <c r="AA1274" s="9"/>
      <c r="AB1274" s="9"/>
      <c r="AC1274" s="9"/>
      <c r="AD1274" s="9"/>
      <c r="AE1274" s="9"/>
      <c r="AF1274" s="9"/>
      <c r="AG1274" s="9"/>
      <c r="AH1274" s="9"/>
      <c r="AI1274" s="9"/>
      <c r="AJ1274" s="9"/>
      <c r="AK1274" s="9"/>
      <c r="AL1274" s="9"/>
      <c r="AM1274" s="69"/>
      <c r="AN1274" s="9"/>
      <c r="AO1274" s="61" t="s">
        <v>1112</v>
      </c>
      <c r="AP1274" s="212"/>
      <c r="AQ1274" s="213"/>
      <c r="AR1274" s="213"/>
      <c r="AS1274" s="213"/>
      <c r="AT1274" s="213"/>
      <c r="AU1274" s="213"/>
      <c r="AV1274" s="213"/>
      <c r="AW1274" s="62"/>
      <c r="AX1274" s="62"/>
      <c r="AY1274" s="62"/>
      <c r="AZ1274" s="62"/>
      <c r="BA1274" s="141"/>
      <c r="BB1274" s="61"/>
      <c r="BC1274" s="165"/>
      <c r="BD1274" s="166"/>
      <c r="BE1274" s="167"/>
      <c r="BF1274" s="168"/>
      <c r="BG1274" s="167"/>
      <c r="BH1274" s="168"/>
      <c r="BI1274" s="214"/>
      <c r="BJ1274" s="168"/>
      <c r="BK1274" s="134"/>
      <c r="BL1274" s="168"/>
      <c r="BM1274" s="167"/>
      <c r="BN1274" s="168"/>
      <c r="BO1274" s="62"/>
      <c r="BP1274" s="168"/>
      <c r="BQ1274" s="168"/>
      <c r="BR1274" s="168"/>
      <c r="BS1274" s="135"/>
      <c r="BT1274" s="168"/>
      <c r="BU1274" s="167"/>
      <c r="BV1274" s="168"/>
      <c r="BW1274" s="167"/>
      <c r="BX1274" s="168"/>
      <c r="BY1274" s="167"/>
      <c r="BZ1274" s="168"/>
      <c r="CA1274" s="167"/>
      <c r="CB1274" s="168"/>
      <c r="CC1274" s="62"/>
      <c r="CD1274" s="168"/>
      <c r="CE1274" s="165"/>
      <c r="CF1274" s="62"/>
      <c r="CG1274" s="9"/>
      <c r="CH1274" s="9"/>
      <c r="CI1274" s="9"/>
      <c r="CJ1274" s="9"/>
      <c r="CK1274" s="9"/>
      <c r="CL1274" s="9"/>
      <c r="CM1274" s="9"/>
      <c r="CN1274" s="9"/>
      <c r="CO1274" s="9"/>
      <c r="CP1274" s="9"/>
    </row>
    <row r="1275" spans="1:94" x14ac:dyDescent="0.25">
      <c r="A1275" s="62" t="s">
        <v>3812</v>
      </c>
      <c r="B1275" s="131" t="s">
        <v>3813</v>
      </c>
      <c r="C1275" s="215"/>
      <c r="D1275" s="215"/>
      <c r="E1275" s="215"/>
      <c r="F1275" s="215"/>
      <c r="G1275" s="215"/>
      <c r="H1275" s="218"/>
      <c r="I1275" s="62"/>
      <c r="J1275" s="62"/>
      <c r="K1275" s="62"/>
      <c r="L1275" s="62"/>
      <c r="M1275" s="62"/>
      <c r="N1275" s="62"/>
      <c r="O1275" s="62"/>
      <c r="P1275" s="62"/>
      <c r="Q1275" s="62"/>
      <c r="R1275" s="62"/>
      <c r="S1275" s="62"/>
      <c r="T1275" s="62"/>
      <c r="U1275" s="62"/>
      <c r="V1275" s="62"/>
      <c r="W1275" s="62"/>
      <c r="X1275" s="62"/>
      <c r="Y1275" s="62"/>
      <c r="Z1275" s="62"/>
      <c r="AA1275" s="62"/>
      <c r="AB1275" s="62"/>
      <c r="AC1275" s="62"/>
      <c r="AD1275" s="62"/>
      <c r="AE1275" s="62"/>
      <c r="AF1275" s="62"/>
      <c r="AG1275" s="62"/>
      <c r="AH1275" s="62"/>
      <c r="AI1275" s="62"/>
      <c r="AJ1275" s="62"/>
      <c r="AK1275" s="62"/>
      <c r="AL1275" s="62"/>
      <c r="AM1275" s="61"/>
      <c r="AN1275" s="62"/>
      <c r="AO1275" s="61" t="s">
        <v>1112</v>
      </c>
      <c r="AP1275" s="212"/>
      <c r="AQ1275" s="213"/>
      <c r="AR1275" s="213"/>
      <c r="AS1275" s="213"/>
      <c r="AT1275" s="213"/>
      <c r="AU1275" s="213"/>
      <c r="AV1275" s="213"/>
      <c r="AW1275" s="62"/>
      <c r="AX1275" s="62"/>
      <c r="AY1275" s="62"/>
      <c r="AZ1275" s="62"/>
      <c r="BA1275" s="141"/>
      <c r="BB1275" s="61"/>
      <c r="BC1275" s="165"/>
      <c r="BD1275" s="166"/>
      <c r="BE1275" s="167"/>
      <c r="BF1275" s="168"/>
      <c r="BG1275" s="167"/>
      <c r="BH1275" s="168"/>
      <c r="BI1275" s="214"/>
      <c r="BJ1275" s="168"/>
      <c r="BK1275" s="134"/>
      <c r="BL1275" s="168"/>
      <c r="BM1275" s="167"/>
      <c r="BN1275" s="168"/>
      <c r="BO1275" s="62"/>
      <c r="BP1275" s="168"/>
      <c r="BQ1275" s="168"/>
      <c r="BR1275" s="168"/>
      <c r="BS1275" s="135"/>
      <c r="BT1275" s="168"/>
      <c r="BU1275" s="167"/>
      <c r="BV1275" s="168"/>
      <c r="BW1275" s="167"/>
      <c r="BX1275" s="168"/>
      <c r="BY1275" s="167"/>
      <c r="BZ1275" s="168"/>
      <c r="CA1275" s="167"/>
      <c r="CB1275" s="168"/>
      <c r="CC1275" s="62"/>
      <c r="CD1275" s="168"/>
      <c r="CE1275" s="165"/>
      <c r="CF1275" s="62"/>
      <c r="CG1275" s="9"/>
      <c r="CH1275" s="9"/>
      <c r="CI1275" s="9"/>
      <c r="CJ1275" s="9"/>
      <c r="CK1275" s="9"/>
      <c r="CL1275" s="9"/>
      <c r="CM1275" s="9"/>
      <c r="CN1275" s="9"/>
      <c r="CO1275" s="9"/>
      <c r="CP1275" s="9"/>
    </row>
    <row r="1276" spans="1:94" x14ac:dyDescent="0.25">
      <c r="A1276" s="62" t="s">
        <v>3814</v>
      </c>
      <c r="B1276" s="131" t="s">
        <v>3815</v>
      </c>
      <c r="C1276" s="215"/>
      <c r="D1276" s="215"/>
      <c r="E1276" s="215"/>
      <c r="F1276" s="215"/>
      <c r="G1276" s="215"/>
      <c r="H1276" s="218"/>
      <c r="I1276" s="62"/>
      <c r="J1276" s="62"/>
      <c r="K1276" s="62"/>
      <c r="L1276" s="62"/>
      <c r="M1276" s="62"/>
      <c r="N1276" s="62"/>
      <c r="O1276" s="62"/>
      <c r="P1276" s="62"/>
      <c r="Q1276" s="62"/>
      <c r="R1276" s="62"/>
      <c r="S1276" s="62"/>
      <c r="T1276" s="62"/>
      <c r="U1276" s="62"/>
      <c r="V1276" s="62"/>
      <c r="W1276" s="62"/>
      <c r="X1276" s="62"/>
      <c r="Y1276" s="62"/>
      <c r="Z1276" s="62"/>
      <c r="AA1276" s="62"/>
      <c r="AB1276" s="62"/>
      <c r="AC1276" s="62"/>
      <c r="AD1276" s="62"/>
      <c r="AE1276" s="62"/>
      <c r="AF1276" s="62"/>
      <c r="AG1276" s="62"/>
      <c r="AH1276" s="62"/>
      <c r="AI1276" s="62"/>
      <c r="AJ1276" s="62"/>
      <c r="AK1276" s="62"/>
      <c r="AL1276" s="62"/>
      <c r="AM1276" s="61"/>
      <c r="AN1276" s="62"/>
      <c r="AO1276" s="61" t="s">
        <v>1112</v>
      </c>
      <c r="AP1276" s="212"/>
      <c r="AQ1276" s="213"/>
      <c r="AR1276" s="213"/>
      <c r="AS1276" s="213"/>
      <c r="AT1276" s="213"/>
      <c r="AU1276" s="213"/>
      <c r="AV1276" s="213"/>
      <c r="AW1276" s="62"/>
      <c r="AX1276" s="62"/>
      <c r="AY1276" s="62"/>
      <c r="AZ1276" s="62"/>
      <c r="BA1276" s="141"/>
      <c r="BB1276" s="61"/>
      <c r="BC1276" s="165"/>
      <c r="BD1276" s="166"/>
      <c r="BE1276" s="167"/>
      <c r="BF1276" s="168"/>
      <c r="BG1276" s="167"/>
      <c r="BH1276" s="168"/>
      <c r="BI1276" s="214"/>
      <c r="BJ1276" s="168"/>
      <c r="BK1276" s="134"/>
      <c r="BL1276" s="168"/>
      <c r="BM1276" s="167"/>
      <c r="BN1276" s="168"/>
      <c r="BO1276" s="62"/>
      <c r="BP1276" s="168"/>
      <c r="BQ1276" s="168"/>
      <c r="BR1276" s="168"/>
      <c r="BS1276" s="135"/>
      <c r="BT1276" s="168"/>
      <c r="BU1276" s="167"/>
      <c r="BV1276" s="168"/>
      <c r="BW1276" s="167"/>
      <c r="BX1276" s="168"/>
      <c r="BY1276" s="167"/>
      <c r="BZ1276" s="168"/>
      <c r="CA1276" s="167"/>
      <c r="CB1276" s="168"/>
      <c r="CC1276" s="62"/>
      <c r="CD1276" s="168"/>
      <c r="CE1276" s="165"/>
      <c r="CF1276" s="62"/>
      <c r="CG1276" s="9"/>
      <c r="CH1276" s="9"/>
      <c r="CI1276" s="9"/>
      <c r="CJ1276" s="9"/>
      <c r="CK1276" s="9"/>
      <c r="CL1276" s="9"/>
      <c r="CM1276" s="9"/>
      <c r="CN1276" s="9"/>
      <c r="CO1276" s="9"/>
      <c r="CP1276" s="9"/>
    </row>
    <row r="1277" spans="1:94" x14ac:dyDescent="0.25">
      <c r="A1277" s="123" t="s">
        <v>3816</v>
      </c>
      <c r="B1277" s="162" t="s">
        <v>3817</v>
      </c>
      <c r="C1277" s="215"/>
      <c r="D1277" s="215"/>
      <c r="E1277" s="215"/>
      <c r="F1277" s="215"/>
      <c r="G1277" s="215"/>
      <c r="H1277" s="218"/>
      <c r="I1277" s="62"/>
      <c r="J1277" s="62"/>
      <c r="K1277" s="62"/>
      <c r="L1277" s="62"/>
      <c r="M1277" s="62"/>
      <c r="N1277" s="62"/>
      <c r="O1277" s="62"/>
      <c r="P1277" s="62"/>
      <c r="Q1277" s="62"/>
      <c r="R1277" s="62"/>
      <c r="S1277" s="62"/>
      <c r="T1277" s="62"/>
      <c r="U1277" s="62"/>
      <c r="V1277" s="62"/>
      <c r="W1277" s="62"/>
      <c r="X1277" s="62"/>
      <c r="Y1277" s="62"/>
      <c r="Z1277" s="62"/>
      <c r="AA1277" s="62"/>
      <c r="AB1277" s="62"/>
      <c r="AC1277" s="62"/>
      <c r="AD1277" s="62"/>
      <c r="AE1277" s="62"/>
      <c r="AF1277" s="62"/>
      <c r="AG1277" s="62"/>
      <c r="AH1277" s="62"/>
      <c r="AI1277" s="62"/>
      <c r="AJ1277" s="62"/>
      <c r="AK1277" s="62"/>
      <c r="AL1277" s="62"/>
      <c r="AM1277" s="61"/>
      <c r="AN1277" s="62"/>
      <c r="AO1277" s="61" t="s">
        <v>1112</v>
      </c>
      <c r="AP1277" s="212"/>
      <c r="AQ1277" s="213"/>
      <c r="AR1277" s="213"/>
      <c r="AS1277" s="213"/>
      <c r="AT1277" s="213"/>
      <c r="AU1277" s="213"/>
      <c r="AV1277" s="213"/>
      <c r="AW1277" s="62"/>
      <c r="AX1277" s="62"/>
      <c r="AY1277" s="62"/>
      <c r="AZ1277" s="62"/>
      <c r="BA1277" s="141"/>
      <c r="BB1277" s="61"/>
      <c r="BC1277" s="165"/>
      <c r="BD1277" s="166"/>
      <c r="BE1277" s="167"/>
      <c r="BF1277" s="168"/>
      <c r="BG1277" s="167"/>
      <c r="BH1277" s="168"/>
      <c r="BI1277" s="214"/>
      <c r="BJ1277" s="168"/>
      <c r="BK1277" s="134"/>
      <c r="BL1277" s="168"/>
      <c r="BM1277" s="167"/>
      <c r="BN1277" s="168"/>
      <c r="BO1277" s="62"/>
      <c r="BP1277" s="168"/>
      <c r="BQ1277" s="168"/>
      <c r="BR1277" s="168"/>
      <c r="BS1277" s="135"/>
      <c r="BT1277" s="168"/>
      <c r="BU1277" s="167"/>
      <c r="BV1277" s="168"/>
      <c r="BW1277" s="167"/>
      <c r="BX1277" s="168"/>
      <c r="BY1277" s="167"/>
      <c r="BZ1277" s="168"/>
      <c r="CA1277" s="167"/>
      <c r="CB1277" s="168"/>
      <c r="CC1277" s="62"/>
      <c r="CD1277" s="168"/>
      <c r="CE1277" s="165"/>
      <c r="CF1277" s="62"/>
      <c r="CG1277" s="9"/>
      <c r="CH1277" s="9"/>
      <c r="CI1277" s="9"/>
      <c r="CJ1277" s="9"/>
      <c r="CK1277" s="9"/>
      <c r="CL1277" s="9"/>
      <c r="CM1277" s="9"/>
      <c r="CN1277" s="9"/>
      <c r="CO1277" s="9"/>
      <c r="CP1277" s="9"/>
    </row>
    <row r="1278" spans="1:94" x14ac:dyDescent="0.25">
      <c r="A1278" s="62" t="s">
        <v>3818</v>
      </c>
      <c r="B1278" s="167" t="s">
        <v>3819</v>
      </c>
      <c r="C1278" s="215"/>
      <c r="D1278" s="215"/>
      <c r="E1278" s="215"/>
      <c r="F1278" s="215"/>
      <c r="G1278" s="215"/>
      <c r="H1278" s="218"/>
      <c r="I1278" s="62"/>
      <c r="J1278" s="62"/>
      <c r="K1278" s="62"/>
      <c r="L1278" s="62"/>
      <c r="M1278" s="62"/>
      <c r="N1278" s="62"/>
      <c r="O1278" s="62"/>
      <c r="P1278" s="62"/>
      <c r="Q1278" s="62"/>
      <c r="R1278" s="62"/>
      <c r="S1278" s="62"/>
      <c r="T1278" s="62"/>
      <c r="U1278" s="62"/>
      <c r="V1278" s="62"/>
      <c r="W1278" s="62"/>
      <c r="X1278" s="62"/>
      <c r="Y1278" s="62"/>
      <c r="Z1278" s="62"/>
      <c r="AA1278" s="62"/>
      <c r="AB1278" s="62"/>
      <c r="AC1278" s="62"/>
      <c r="AD1278" s="62"/>
      <c r="AE1278" s="62"/>
      <c r="AF1278" s="62"/>
      <c r="AG1278" s="62"/>
      <c r="AH1278" s="62"/>
      <c r="AI1278" s="62"/>
      <c r="AJ1278" s="62"/>
      <c r="AK1278" s="62"/>
      <c r="AL1278" s="62"/>
      <c r="AM1278" s="61"/>
      <c r="AN1278" s="62"/>
      <c r="AO1278" s="61" t="s">
        <v>3820</v>
      </c>
      <c r="AP1278" s="212"/>
      <c r="AQ1278" s="213"/>
      <c r="AR1278" s="213"/>
      <c r="AS1278" s="213"/>
      <c r="AT1278" s="213"/>
      <c r="AU1278" s="213"/>
      <c r="AV1278" s="213"/>
      <c r="AW1278" s="62"/>
      <c r="AX1278" s="62"/>
      <c r="AY1278" s="62"/>
      <c r="AZ1278" s="62"/>
      <c r="BA1278" s="141"/>
      <c r="BB1278" s="61"/>
      <c r="BC1278" s="165"/>
      <c r="BD1278" s="166"/>
      <c r="BE1278" s="167"/>
      <c r="BF1278" s="168"/>
      <c r="BG1278" s="167"/>
      <c r="BH1278" s="168"/>
      <c r="BI1278" s="214"/>
      <c r="BJ1278" s="168"/>
      <c r="BK1278" s="134"/>
      <c r="BL1278" s="168"/>
      <c r="BM1278" s="167"/>
      <c r="BN1278" s="168"/>
      <c r="BO1278" s="62"/>
      <c r="BP1278" s="168"/>
      <c r="BQ1278" s="168"/>
      <c r="BR1278" s="168"/>
      <c r="BS1278" s="135"/>
      <c r="BT1278" s="168"/>
      <c r="BU1278" s="167"/>
      <c r="BV1278" s="168"/>
      <c r="BW1278" s="167"/>
      <c r="BX1278" s="168"/>
      <c r="BY1278" s="167"/>
      <c r="BZ1278" s="168"/>
      <c r="CA1278" s="167"/>
      <c r="CB1278" s="168"/>
      <c r="CC1278" s="62"/>
      <c r="CD1278" s="168"/>
      <c r="CE1278" s="165"/>
      <c r="CF1278" s="62"/>
      <c r="CG1278" s="9"/>
      <c r="CH1278" s="9"/>
      <c r="CI1278" s="9"/>
      <c r="CJ1278" s="9"/>
      <c r="CK1278" s="9"/>
      <c r="CL1278" s="9"/>
      <c r="CM1278" s="9"/>
      <c r="CN1278" s="9"/>
      <c r="CO1278" s="9"/>
      <c r="CP1278" s="9"/>
    </row>
    <row r="1279" spans="1:94" ht="270.75" x14ac:dyDescent="0.25">
      <c r="A1279" s="125" t="s">
        <v>3821</v>
      </c>
      <c r="B1279" s="227" t="s">
        <v>3822</v>
      </c>
      <c r="C1279" s="215"/>
      <c r="D1279" s="215"/>
      <c r="E1279" s="215"/>
      <c r="F1279" s="215"/>
      <c r="G1279" s="215"/>
      <c r="H1279" s="218"/>
      <c r="I1279" s="62"/>
      <c r="J1279" s="62"/>
      <c r="K1279" s="62"/>
      <c r="L1279" s="62"/>
      <c r="M1279" s="62"/>
      <c r="N1279" s="62"/>
      <c r="O1279" s="62"/>
      <c r="P1279" s="62"/>
      <c r="Q1279" s="62"/>
      <c r="R1279" s="62"/>
      <c r="S1279" s="62"/>
      <c r="T1279" s="62"/>
      <c r="U1279" s="62"/>
      <c r="V1279" s="62"/>
      <c r="W1279" s="62"/>
      <c r="X1279" s="62"/>
      <c r="Y1279" s="62"/>
      <c r="Z1279" s="62"/>
      <c r="AA1279" s="62"/>
      <c r="AB1279" s="62"/>
      <c r="AC1279" s="62"/>
      <c r="AD1279" s="62"/>
      <c r="AE1279" s="62"/>
      <c r="AF1279" s="62"/>
      <c r="AG1279" s="62"/>
      <c r="AH1279" s="62"/>
      <c r="AI1279" s="62"/>
      <c r="AJ1279" s="62"/>
      <c r="AK1279" s="62"/>
      <c r="AL1279" s="62"/>
      <c r="AM1279" s="61"/>
      <c r="AN1279" s="62"/>
      <c r="AO1279" s="61" t="s">
        <v>1112</v>
      </c>
      <c r="AP1279" s="212"/>
      <c r="AQ1279" s="213"/>
      <c r="AR1279" s="213"/>
      <c r="AS1279" s="213"/>
      <c r="AT1279" s="213"/>
      <c r="AU1279" s="213"/>
      <c r="AV1279" s="213"/>
      <c r="AW1279" s="62"/>
      <c r="AX1279" s="62"/>
      <c r="AY1279" s="62"/>
      <c r="AZ1279" s="62"/>
      <c r="BA1279" s="141"/>
      <c r="BB1279" s="61"/>
      <c r="BC1279" s="165" t="s">
        <v>1615</v>
      </c>
      <c r="BD1279" s="166">
        <v>0.79</v>
      </c>
      <c r="BE1279" s="167" t="s">
        <v>1616</v>
      </c>
      <c r="BF1279" s="168">
        <v>0.2</v>
      </c>
      <c r="BG1279" s="167" t="s">
        <v>1617</v>
      </c>
      <c r="BH1279" s="168">
        <v>0.01</v>
      </c>
      <c r="BI1279" s="214" t="s">
        <v>1618</v>
      </c>
      <c r="BJ1279" s="168">
        <v>0</v>
      </c>
      <c r="BK1279" s="134" t="s">
        <v>1619</v>
      </c>
      <c r="BL1279" s="168">
        <v>1</v>
      </c>
      <c r="BM1279" s="167" t="s">
        <v>2152</v>
      </c>
      <c r="BN1279" s="168"/>
      <c r="BO1279" s="62"/>
      <c r="BP1279" s="168"/>
      <c r="BQ1279" s="168"/>
      <c r="BR1279" s="168"/>
      <c r="BS1279" s="135" t="s">
        <v>1615</v>
      </c>
      <c r="BT1279" s="168">
        <v>0.79</v>
      </c>
      <c r="BU1279" s="167" t="s">
        <v>1616</v>
      </c>
      <c r="BV1279" s="168">
        <v>0.2</v>
      </c>
      <c r="BW1279" s="167" t="s">
        <v>2153</v>
      </c>
      <c r="BX1279" s="168"/>
      <c r="BY1279" s="167" t="s">
        <v>1617</v>
      </c>
      <c r="BZ1279" s="168">
        <v>0.01</v>
      </c>
      <c r="CA1279" s="167" t="s">
        <v>1621</v>
      </c>
      <c r="CB1279" s="168"/>
      <c r="CC1279" s="62"/>
      <c r="CD1279" s="168"/>
      <c r="CE1279" s="165" t="s">
        <v>3823</v>
      </c>
      <c r="CF1279" s="165"/>
      <c r="CG1279" s="204"/>
      <c r="CH1279" s="9"/>
      <c r="CI1279" s="204"/>
      <c r="CJ1279" s="204"/>
      <c r="CK1279" s="204"/>
      <c r="CL1279" s="204"/>
      <c r="CM1279" s="204"/>
      <c r="CN1279" s="204"/>
      <c r="CO1279" s="204"/>
      <c r="CP1279" s="9"/>
    </row>
    <row r="1280" spans="1:94" x14ac:dyDescent="0.25">
      <c r="A1280" s="62" t="s">
        <v>3824</v>
      </c>
      <c r="B1280" s="9" t="s">
        <v>3825</v>
      </c>
      <c r="C1280" s="9"/>
      <c r="D1280" s="9"/>
      <c r="E1280" s="9"/>
      <c r="F1280" s="9"/>
      <c r="G1280" s="9"/>
      <c r="H1280" s="9"/>
      <c r="I1280" s="9"/>
      <c r="J1280" s="9"/>
      <c r="K1280" s="9"/>
      <c r="L1280" s="9"/>
      <c r="M1280" s="9"/>
      <c r="N1280" s="9"/>
      <c r="O1280" s="9"/>
      <c r="P1280" s="9"/>
      <c r="Q1280" s="9"/>
      <c r="R1280" s="9"/>
      <c r="S1280" s="9"/>
      <c r="T1280" s="9"/>
      <c r="U1280" s="9"/>
      <c r="V1280" s="9"/>
      <c r="W1280" s="9"/>
      <c r="X1280" s="9"/>
      <c r="Y1280" s="9"/>
      <c r="Z1280" s="9"/>
      <c r="AA1280" s="9"/>
      <c r="AB1280" s="9"/>
      <c r="AC1280" s="9"/>
      <c r="AD1280" s="9"/>
      <c r="AE1280" s="9"/>
      <c r="AF1280" s="9"/>
      <c r="AG1280" s="9"/>
      <c r="AH1280" s="9"/>
      <c r="AI1280" s="9"/>
      <c r="AJ1280" s="9"/>
      <c r="AK1280" s="9"/>
      <c r="AL1280" s="9"/>
      <c r="AM1280" s="69"/>
      <c r="AN1280" s="9"/>
      <c r="AO1280" s="61" t="s">
        <v>1112</v>
      </c>
      <c r="AP1280" s="210"/>
      <c r="AQ1280" s="211"/>
      <c r="AR1280" s="211"/>
      <c r="AS1280" s="211"/>
      <c r="AT1280" s="211"/>
      <c r="AU1280" s="211"/>
      <c r="AV1280" s="211"/>
      <c r="AW1280" s="9"/>
      <c r="AX1280" s="9"/>
      <c r="AY1280" s="9"/>
      <c r="AZ1280" s="9"/>
      <c r="BA1280" s="120"/>
      <c r="BB1280" s="69"/>
      <c r="BC1280" s="9"/>
      <c r="BD1280" s="9"/>
      <c r="BE1280" s="9"/>
      <c r="BF1280" s="9"/>
      <c r="BG1280" s="9"/>
      <c r="BH1280" s="9"/>
      <c r="BI1280" s="9"/>
      <c r="BJ1280" s="9"/>
      <c r="BK1280" s="9"/>
      <c r="BL1280" s="9"/>
      <c r="BM1280" s="9"/>
      <c r="BN1280" s="9"/>
      <c r="BO1280" s="9"/>
      <c r="BP1280" s="9"/>
      <c r="BQ1280" s="9"/>
      <c r="BR1280" s="9"/>
      <c r="BS1280" s="9"/>
      <c r="BT1280" s="9"/>
      <c r="BU1280" s="9"/>
      <c r="BV1280" s="9"/>
      <c r="BW1280" s="9"/>
      <c r="BX1280" s="9"/>
      <c r="BY1280" s="9"/>
      <c r="BZ1280" s="9"/>
      <c r="CA1280" s="9"/>
      <c r="CB1280" s="9"/>
      <c r="CC1280" s="9"/>
      <c r="CD1280" s="9"/>
      <c r="CE1280" s="9"/>
      <c r="CF1280" s="9"/>
      <c r="CG1280" s="9"/>
      <c r="CH1280" s="9"/>
      <c r="CI1280" s="9"/>
      <c r="CJ1280" s="9"/>
      <c r="CK1280" s="9"/>
      <c r="CL1280" s="9"/>
      <c r="CM1280" s="9"/>
      <c r="CN1280" s="9"/>
      <c r="CO1280" s="9"/>
      <c r="CP1280" s="9"/>
    </row>
    <row r="1281" spans="1:94" x14ac:dyDescent="0.25">
      <c r="A1281" s="62" t="s">
        <v>3826</v>
      </c>
      <c r="B1281" s="9" t="s">
        <v>3827</v>
      </c>
      <c r="C1281" s="9"/>
      <c r="D1281" s="9"/>
      <c r="E1281" s="9"/>
      <c r="F1281" s="9"/>
      <c r="G1281" s="9"/>
      <c r="H1281" s="9"/>
      <c r="I1281" s="9"/>
      <c r="J1281" s="9"/>
      <c r="K1281" s="9"/>
      <c r="L1281" s="9"/>
      <c r="M1281" s="9"/>
      <c r="N1281" s="9"/>
      <c r="O1281" s="9"/>
      <c r="P1281" s="9"/>
      <c r="Q1281" s="9"/>
      <c r="R1281" s="9"/>
      <c r="S1281" s="9"/>
      <c r="T1281" s="9"/>
      <c r="U1281" s="9"/>
      <c r="V1281" s="9"/>
      <c r="W1281" s="9"/>
      <c r="X1281" s="9"/>
      <c r="Y1281" s="9"/>
      <c r="Z1281" s="9"/>
      <c r="AA1281" s="9"/>
      <c r="AB1281" s="9"/>
      <c r="AC1281" s="9"/>
      <c r="AD1281" s="9"/>
      <c r="AE1281" s="9"/>
      <c r="AF1281" s="9"/>
      <c r="AG1281" s="9"/>
      <c r="AH1281" s="9"/>
      <c r="AI1281" s="9"/>
      <c r="AJ1281" s="9"/>
      <c r="AK1281" s="9"/>
      <c r="AL1281" s="9"/>
      <c r="AM1281" s="69"/>
      <c r="AN1281" s="9"/>
      <c r="AO1281" s="61" t="s">
        <v>1112</v>
      </c>
      <c r="AP1281" s="210"/>
      <c r="AQ1281" s="211"/>
      <c r="AR1281" s="211"/>
      <c r="AS1281" s="211"/>
      <c r="AT1281" s="211"/>
      <c r="AU1281" s="211"/>
      <c r="AV1281" s="211"/>
      <c r="AW1281" s="9"/>
      <c r="AX1281" s="9"/>
      <c r="AY1281" s="9"/>
      <c r="AZ1281" s="9"/>
      <c r="BA1281" s="120"/>
      <c r="BB1281" s="69"/>
      <c r="BC1281" s="9"/>
      <c r="BD1281" s="9"/>
      <c r="BE1281" s="9"/>
      <c r="BF1281" s="9"/>
      <c r="BG1281" s="9"/>
      <c r="BH1281" s="9"/>
      <c r="BI1281" s="9"/>
      <c r="BJ1281" s="9"/>
      <c r="BK1281" s="9"/>
      <c r="BL1281" s="9"/>
      <c r="BM1281" s="9"/>
      <c r="BN1281" s="9"/>
      <c r="BO1281" s="9"/>
      <c r="BP1281" s="9"/>
      <c r="BQ1281" s="9"/>
      <c r="BR1281" s="9"/>
      <c r="BS1281" s="9"/>
      <c r="BT1281" s="9"/>
      <c r="BU1281" s="9"/>
      <c r="BV1281" s="9"/>
      <c r="BW1281" s="9"/>
      <c r="BX1281" s="9"/>
      <c r="BY1281" s="9"/>
      <c r="BZ1281" s="9"/>
      <c r="CA1281" s="9"/>
      <c r="CB1281" s="9"/>
      <c r="CC1281" s="9"/>
      <c r="CD1281" s="9"/>
      <c r="CE1281" s="9"/>
      <c r="CF1281" s="9"/>
      <c r="CG1281" s="9"/>
      <c r="CH1281" s="9"/>
      <c r="CI1281" s="9"/>
      <c r="CJ1281" s="9"/>
      <c r="CK1281" s="9"/>
      <c r="CL1281" s="9"/>
      <c r="CM1281" s="9"/>
      <c r="CN1281" s="9"/>
      <c r="CO1281" s="9"/>
      <c r="CP1281" s="9"/>
    </row>
    <row r="1282" spans="1:94" ht="42.75" x14ac:dyDescent="0.25">
      <c r="A1282" s="126" t="s">
        <v>3828</v>
      </c>
      <c r="B1282" s="9" t="s">
        <v>3829</v>
      </c>
      <c r="C1282" s="9"/>
      <c r="D1282" s="9"/>
      <c r="E1282" s="9"/>
      <c r="F1282" s="9"/>
      <c r="G1282" s="9"/>
      <c r="H1282" s="9"/>
      <c r="I1282" s="9"/>
      <c r="J1282" s="9"/>
      <c r="K1282" s="9"/>
      <c r="L1282" s="9"/>
      <c r="M1282" s="9"/>
      <c r="N1282" s="9"/>
      <c r="O1282" s="9"/>
      <c r="P1282" s="9"/>
      <c r="Q1282" s="9"/>
      <c r="R1282" s="9"/>
      <c r="S1282" s="9"/>
      <c r="T1282" s="9"/>
      <c r="U1282" s="9"/>
      <c r="V1282" s="9"/>
      <c r="W1282" s="9"/>
      <c r="X1282" s="9"/>
      <c r="Y1282" s="9"/>
      <c r="Z1282" s="9"/>
      <c r="AA1282" s="9"/>
      <c r="AB1282" s="9"/>
      <c r="AC1282" s="9"/>
      <c r="AD1282" s="9"/>
      <c r="AE1282" s="9"/>
      <c r="AF1282" s="9"/>
      <c r="AG1282" s="9"/>
      <c r="AH1282" s="9"/>
      <c r="AI1282" s="9"/>
      <c r="AJ1282" s="9"/>
      <c r="AK1282" s="9"/>
      <c r="AL1282" s="9"/>
      <c r="AM1282" s="69"/>
      <c r="AN1282" s="9"/>
      <c r="AO1282" s="61" t="s">
        <v>1112</v>
      </c>
      <c r="AP1282" s="212"/>
      <c r="AQ1282" s="213"/>
      <c r="AR1282" s="213"/>
      <c r="AS1282" s="213"/>
      <c r="AT1282" s="213"/>
      <c r="AU1282" s="213"/>
      <c r="AV1282" s="213"/>
      <c r="AW1282" s="62"/>
      <c r="AX1282" s="62"/>
      <c r="AY1282" s="62"/>
      <c r="AZ1282" s="62"/>
      <c r="BA1282" s="141"/>
      <c r="BB1282" s="61"/>
      <c r="BC1282" s="165" t="s">
        <v>1615</v>
      </c>
      <c r="BD1282" s="166">
        <v>0.79</v>
      </c>
      <c r="BE1282" s="167" t="s">
        <v>1616</v>
      </c>
      <c r="BF1282" s="168">
        <v>0.2</v>
      </c>
      <c r="BG1282" s="167" t="s">
        <v>1617</v>
      </c>
      <c r="BH1282" s="168">
        <v>0.01</v>
      </c>
      <c r="BI1282" s="214" t="s">
        <v>1618</v>
      </c>
      <c r="BJ1282" s="168">
        <v>0</v>
      </c>
      <c r="BK1282" s="134" t="s">
        <v>1619</v>
      </c>
      <c r="BL1282" s="168">
        <v>1</v>
      </c>
      <c r="BM1282" s="167" t="s">
        <v>2152</v>
      </c>
      <c r="BN1282" s="168"/>
      <c r="BO1282" s="62"/>
      <c r="BP1282" s="168"/>
      <c r="BQ1282" s="168"/>
      <c r="BR1282" s="168"/>
      <c r="BS1282" s="135" t="s">
        <v>1615</v>
      </c>
      <c r="BT1282" s="168">
        <v>0.79</v>
      </c>
      <c r="BU1282" s="167" t="s">
        <v>1616</v>
      </c>
      <c r="BV1282" s="168">
        <v>0.2</v>
      </c>
      <c r="BW1282" s="167" t="s">
        <v>2153</v>
      </c>
      <c r="BX1282" s="168"/>
      <c r="BY1282" s="167" t="s">
        <v>1617</v>
      </c>
      <c r="BZ1282" s="168">
        <v>0.01</v>
      </c>
      <c r="CA1282" s="167" t="s">
        <v>1621</v>
      </c>
      <c r="CB1282" s="168"/>
      <c r="CC1282" s="62"/>
      <c r="CD1282" s="168"/>
      <c r="CE1282" s="9"/>
      <c r="CF1282" s="9"/>
      <c r="CG1282" s="9"/>
      <c r="CH1282" s="9"/>
      <c r="CI1282" s="9"/>
      <c r="CJ1282" s="9"/>
      <c r="CK1282" s="9"/>
      <c r="CL1282" s="9"/>
      <c r="CM1282" s="9"/>
      <c r="CN1282" s="9"/>
      <c r="CO1282" s="9"/>
      <c r="CP1282" s="9"/>
    </row>
    <row r="1283" spans="1:94" ht="42.75" x14ac:dyDescent="0.25">
      <c r="A1283" s="126" t="s">
        <v>3830</v>
      </c>
      <c r="B1283" s="9" t="s">
        <v>3831</v>
      </c>
      <c r="C1283" s="9"/>
      <c r="D1283" s="9"/>
      <c r="E1283" s="9"/>
      <c r="F1283" s="9"/>
      <c r="G1283" s="9"/>
      <c r="H1283" s="9"/>
      <c r="I1283" s="9"/>
      <c r="J1283" s="9"/>
      <c r="K1283" s="9"/>
      <c r="L1283" s="9"/>
      <c r="M1283" s="9"/>
      <c r="N1283" s="9"/>
      <c r="O1283" s="9"/>
      <c r="P1283" s="9"/>
      <c r="Q1283" s="9"/>
      <c r="R1283" s="9"/>
      <c r="S1283" s="9"/>
      <c r="T1283" s="9"/>
      <c r="U1283" s="9"/>
      <c r="V1283" s="9"/>
      <c r="W1283" s="9"/>
      <c r="X1283" s="9"/>
      <c r="Y1283" s="9"/>
      <c r="Z1283" s="9"/>
      <c r="AA1283" s="9"/>
      <c r="AB1283" s="9"/>
      <c r="AC1283" s="9"/>
      <c r="AD1283" s="9"/>
      <c r="AE1283" s="9"/>
      <c r="AF1283" s="9"/>
      <c r="AG1283" s="9"/>
      <c r="AH1283" s="9"/>
      <c r="AI1283" s="9"/>
      <c r="AJ1283" s="9"/>
      <c r="AK1283" s="9"/>
      <c r="AL1283" s="9"/>
      <c r="AM1283" s="69"/>
      <c r="AN1283" s="9"/>
      <c r="AO1283" s="61" t="s">
        <v>1112</v>
      </c>
      <c r="AP1283" s="212"/>
      <c r="AQ1283" s="213"/>
      <c r="AR1283" s="213"/>
      <c r="AS1283" s="213"/>
      <c r="AT1283" s="213"/>
      <c r="AU1283" s="213"/>
      <c r="AV1283" s="213"/>
      <c r="AW1283" s="62"/>
      <c r="AX1283" s="62"/>
      <c r="AY1283" s="62"/>
      <c r="AZ1283" s="62"/>
      <c r="BA1283" s="141"/>
      <c r="BB1283" s="61"/>
      <c r="BC1283" s="165" t="s">
        <v>1615</v>
      </c>
      <c r="BD1283" s="166">
        <v>0.79</v>
      </c>
      <c r="BE1283" s="167" t="s">
        <v>1616</v>
      </c>
      <c r="BF1283" s="168">
        <v>0.2</v>
      </c>
      <c r="BG1283" s="167" t="s">
        <v>1617</v>
      </c>
      <c r="BH1283" s="168">
        <v>0.01</v>
      </c>
      <c r="BI1283" s="214" t="s">
        <v>1618</v>
      </c>
      <c r="BJ1283" s="168">
        <v>0</v>
      </c>
      <c r="BK1283" s="134" t="s">
        <v>1619</v>
      </c>
      <c r="BL1283" s="168">
        <v>1</v>
      </c>
      <c r="BM1283" s="167" t="s">
        <v>2152</v>
      </c>
      <c r="BN1283" s="168"/>
      <c r="BO1283" s="62"/>
      <c r="BP1283" s="168"/>
      <c r="BQ1283" s="168"/>
      <c r="BR1283" s="168"/>
      <c r="BS1283" s="135" t="s">
        <v>1615</v>
      </c>
      <c r="BT1283" s="168">
        <v>0.79</v>
      </c>
      <c r="BU1283" s="167" t="s">
        <v>1616</v>
      </c>
      <c r="BV1283" s="168">
        <v>0.2</v>
      </c>
      <c r="BW1283" s="167" t="s">
        <v>2153</v>
      </c>
      <c r="BX1283" s="168"/>
      <c r="BY1283" s="167" t="s">
        <v>1617</v>
      </c>
      <c r="BZ1283" s="168">
        <v>0.01</v>
      </c>
      <c r="CA1283" s="167" t="s">
        <v>1621</v>
      </c>
      <c r="CB1283" s="168"/>
      <c r="CC1283" s="62"/>
      <c r="CD1283" s="168"/>
      <c r="CE1283" s="9"/>
      <c r="CF1283" s="9"/>
      <c r="CG1283" s="9"/>
      <c r="CH1283" s="9"/>
      <c r="CI1283" s="9"/>
      <c r="CJ1283" s="9"/>
      <c r="CK1283" s="9"/>
      <c r="CL1283" s="9"/>
      <c r="CM1283" s="9"/>
      <c r="CN1283" s="9"/>
      <c r="CO1283" s="9"/>
      <c r="CP1283" s="9"/>
    </row>
    <row r="1284" spans="1:94" ht="42.75" x14ac:dyDescent="0.25">
      <c r="A1284" s="126" t="s">
        <v>3832</v>
      </c>
      <c r="B1284" s="9" t="s">
        <v>3833</v>
      </c>
      <c r="C1284" s="9"/>
      <c r="D1284" s="9"/>
      <c r="E1284" s="9"/>
      <c r="F1284" s="9"/>
      <c r="G1284" s="9"/>
      <c r="H1284" s="9"/>
      <c r="I1284" s="9"/>
      <c r="J1284" s="9"/>
      <c r="K1284" s="9"/>
      <c r="L1284" s="9"/>
      <c r="M1284" s="9"/>
      <c r="N1284" s="9"/>
      <c r="O1284" s="9"/>
      <c r="P1284" s="9"/>
      <c r="Q1284" s="9"/>
      <c r="R1284" s="9"/>
      <c r="S1284" s="9"/>
      <c r="T1284" s="9"/>
      <c r="U1284" s="9"/>
      <c r="V1284" s="9"/>
      <c r="W1284" s="9"/>
      <c r="X1284" s="9"/>
      <c r="Y1284" s="9"/>
      <c r="Z1284" s="9"/>
      <c r="AA1284" s="9"/>
      <c r="AB1284" s="9"/>
      <c r="AC1284" s="9"/>
      <c r="AD1284" s="9"/>
      <c r="AE1284" s="9"/>
      <c r="AF1284" s="9"/>
      <c r="AG1284" s="9"/>
      <c r="AH1284" s="9"/>
      <c r="AI1284" s="9"/>
      <c r="AJ1284" s="9"/>
      <c r="AK1284" s="9"/>
      <c r="AL1284" s="9"/>
      <c r="AM1284" s="69"/>
      <c r="AN1284" s="9"/>
      <c r="AO1284" s="61" t="s">
        <v>1112</v>
      </c>
      <c r="AP1284" s="212"/>
      <c r="AQ1284" s="213"/>
      <c r="AR1284" s="213"/>
      <c r="AS1284" s="213"/>
      <c r="AT1284" s="213"/>
      <c r="AU1284" s="213"/>
      <c r="AV1284" s="213"/>
      <c r="AW1284" s="62"/>
      <c r="AX1284" s="62"/>
      <c r="AY1284" s="62"/>
      <c r="AZ1284" s="62"/>
      <c r="BA1284" s="141"/>
      <c r="BB1284" s="61"/>
      <c r="BC1284" s="165" t="s">
        <v>1615</v>
      </c>
      <c r="BD1284" s="166">
        <v>0.79</v>
      </c>
      <c r="BE1284" s="167" t="s">
        <v>1616</v>
      </c>
      <c r="BF1284" s="168">
        <v>0.2</v>
      </c>
      <c r="BG1284" s="167" t="s">
        <v>1617</v>
      </c>
      <c r="BH1284" s="168">
        <v>0.01</v>
      </c>
      <c r="BI1284" s="214" t="s">
        <v>1618</v>
      </c>
      <c r="BJ1284" s="168">
        <v>0</v>
      </c>
      <c r="BK1284" s="134" t="s">
        <v>1619</v>
      </c>
      <c r="BL1284" s="168">
        <v>1</v>
      </c>
      <c r="BM1284" s="167" t="s">
        <v>2152</v>
      </c>
      <c r="BN1284" s="168"/>
      <c r="BO1284" s="62"/>
      <c r="BP1284" s="168"/>
      <c r="BQ1284" s="168"/>
      <c r="BR1284" s="168"/>
      <c r="BS1284" s="135" t="s">
        <v>1615</v>
      </c>
      <c r="BT1284" s="168">
        <v>0.79</v>
      </c>
      <c r="BU1284" s="167" t="s">
        <v>1616</v>
      </c>
      <c r="BV1284" s="168">
        <v>0.2</v>
      </c>
      <c r="BW1284" s="167" t="s">
        <v>2153</v>
      </c>
      <c r="BX1284" s="168"/>
      <c r="BY1284" s="167" t="s">
        <v>1617</v>
      </c>
      <c r="BZ1284" s="168">
        <v>0.01</v>
      </c>
      <c r="CA1284" s="167" t="s">
        <v>1621</v>
      </c>
      <c r="CB1284" s="168"/>
      <c r="CC1284" s="62"/>
      <c r="CD1284" s="168"/>
      <c r="CE1284" s="9"/>
      <c r="CF1284" s="9"/>
      <c r="CG1284" s="9"/>
      <c r="CH1284" s="9"/>
      <c r="CI1284" s="9"/>
      <c r="CJ1284" s="9"/>
      <c r="CK1284" s="9"/>
      <c r="CL1284" s="9"/>
      <c r="CM1284" s="9"/>
      <c r="CN1284" s="9"/>
      <c r="CO1284" s="9"/>
      <c r="CP1284" s="9"/>
    </row>
    <row r="1285" spans="1:94" ht="42.75" x14ac:dyDescent="0.25">
      <c r="A1285" s="126" t="s">
        <v>3834</v>
      </c>
      <c r="B1285" s="9" t="s">
        <v>3835</v>
      </c>
      <c r="C1285" s="9"/>
      <c r="D1285" s="9"/>
      <c r="E1285" s="9"/>
      <c r="F1285" s="9"/>
      <c r="G1285" s="9"/>
      <c r="H1285" s="9"/>
      <c r="I1285" s="9"/>
      <c r="J1285" s="9"/>
      <c r="K1285" s="9"/>
      <c r="L1285" s="9"/>
      <c r="M1285" s="9"/>
      <c r="N1285" s="9"/>
      <c r="O1285" s="9"/>
      <c r="P1285" s="9"/>
      <c r="Q1285" s="9"/>
      <c r="R1285" s="9"/>
      <c r="S1285" s="9"/>
      <c r="T1285" s="9"/>
      <c r="U1285" s="9"/>
      <c r="V1285" s="9"/>
      <c r="W1285" s="9"/>
      <c r="X1285" s="9"/>
      <c r="Y1285" s="9"/>
      <c r="Z1285" s="9"/>
      <c r="AA1285" s="9"/>
      <c r="AB1285" s="9"/>
      <c r="AC1285" s="9"/>
      <c r="AD1285" s="9"/>
      <c r="AE1285" s="9"/>
      <c r="AF1285" s="9"/>
      <c r="AG1285" s="9"/>
      <c r="AH1285" s="9"/>
      <c r="AI1285" s="9"/>
      <c r="AJ1285" s="9"/>
      <c r="AK1285" s="9"/>
      <c r="AL1285" s="9"/>
      <c r="AM1285" s="69"/>
      <c r="AN1285" s="9"/>
      <c r="AO1285" s="61" t="s">
        <v>1112</v>
      </c>
      <c r="AP1285" s="210"/>
      <c r="AQ1285" s="211"/>
      <c r="AR1285" s="211"/>
      <c r="AS1285" s="211"/>
      <c r="AT1285" s="211"/>
      <c r="AU1285" s="211"/>
      <c r="AV1285" s="211"/>
      <c r="AW1285" s="9"/>
      <c r="AX1285" s="9"/>
      <c r="AY1285" s="9"/>
      <c r="AZ1285" s="9"/>
      <c r="BA1285" s="120"/>
      <c r="BB1285" s="69"/>
      <c r="BC1285" s="165" t="s">
        <v>1615</v>
      </c>
      <c r="BD1285" s="166">
        <v>0.79</v>
      </c>
      <c r="BE1285" s="167" t="s">
        <v>1616</v>
      </c>
      <c r="BF1285" s="168">
        <v>0.2</v>
      </c>
      <c r="BG1285" s="167" t="s">
        <v>1617</v>
      </c>
      <c r="BH1285" s="168">
        <v>0.01</v>
      </c>
      <c r="BI1285" s="214" t="s">
        <v>1618</v>
      </c>
      <c r="BJ1285" s="168">
        <v>0</v>
      </c>
      <c r="BK1285" s="134" t="s">
        <v>1619</v>
      </c>
      <c r="BL1285" s="168">
        <v>1</v>
      </c>
      <c r="BM1285" s="167" t="s">
        <v>2152</v>
      </c>
      <c r="BN1285" s="168"/>
      <c r="BO1285" s="62"/>
      <c r="BP1285" s="168"/>
      <c r="BQ1285" s="168"/>
      <c r="BR1285" s="168"/>
      <c r="BS1285" s="135" t="s">
        <v>1615</v>
      </c>
      <c r="BT1285" s="168">
        <v>0.79</v>
      </c>
      <c r="BU1285" s="167" t="s">
        <v>1616</v>
      </c>
      <c r="BV1285" s="168">
        <v>0.2</v>
      </c>
      <c r="BW1285" s="167" t="s">
        <v>2153</v>
      </c>
      <c r="BX1285" s="168"/>
      <c r="BY1285" s="167" t="s">
        <v>1617</v>
      </c>
      <c r="BZ1285" s="168">
        <v>0.01</v>
      </c>
      <c r="CA1285" s="167" t="s">
        <v>1621</v>
      </c>
      <c r="CB1285" s="168"/>
      <c r="CC1285" s="62"/>
      <c r="CD1285" s="168"/>
      <c r="CE1285" s="9"/>
      <c r="CF1285" s="9"/>
      <c r="CG1285" s="9"/>
      <c r="CH1285" s="9"/>
      <c r="CI1285" s="9"/>
      <c r="CJ1285" s="9"/>
      <c r="CK1285" s="9"/>
      <c r="CL1285" s="9"/>
      <c r="CM1285" s="9"/>
      <c r="CN1285" s="9"/>
      <c r="CO1285" s="9"/>
      <c r="CP1285" s="9"/>
    </row>
    <row r="1286" spans="1:94" ht="42.75" x14ac:dyDescent="0.25">
      <c r="A1286" s="126" t="s">
        <v>3836</v>
      </c>
      <c r="B1286" s="9" t="s">
        <v>3837</v>
      </c>
      <c r="C1286" s="9"/>
      <c r="D1286" s="9"/>
      <c r="E1286" s="9"/>
      <c r="F1286" s="9"/>
      <c r="G1286" s="9"/>
      <c r="H1286" s="9"/>
      <c r="I1286" s="9"/>
      <c r="J1286" s="9"/>
      <c r="K1286" s="9"/>
      <c r="L1286" s="9"/>
      <c r="M1286" s="9"/>
      <c r="N1286" s="9"/>
      <c r="O1286" s="9"/>
      <c r="P1286" s="9"/>
      <c r="Q1286" s="9"/>
      <c r="R1286" s="9"/>
      <c r="S1286" s="9"/>
      <c r="T1286" s="9"/>
      <c r="U1286" s="9"/>
      <c r="V1286" s="9"/>
      <c r="W1286" s="9"/>
      <c r="X1286" s="9"/>
      <c r="Y1286" s="9"/>
      <c r="Z1286" s="9"/>
      <c r="AA1286" s="9"/>
      <c r="AB1286" s="9"/>
      <c r="AC1286" s="9"/>
      <c r="AD1286" s="9"/>
      <c r="AE1286" s="9"/>
      <c r="AF1286" s="9"/>
      <c r="AG1286" s="9"/>
      <c r="AH1286" s="9"/>
      <c r="AI1286" s="9"/>
      <c r="AJ1286" s="9"/>
      <c r="AK1286" s="9"/>
      <c r="AL1286" s="9"/>
      <c r="AM1286" s="69"/>
      <c r="AN1286" s="9"/>
      <c r="AO1286" s="61" t="s">
        <v>1112</v>
      </c>
      <c r="AP1286" s="210"/>
      <c r="AQ1286" s="211"/>
      <c r="AR1286" s="211"/>
      <c r="AS1286" s="211"/>
      <c r="AT1286" s="211"/>
      <c r="AU1286" s="211"/>
      <c r="AV1286" s="211"/>
      <c r="AW1286" s="9"/>
      <c r="AX1286" s="9"/>
      <c r="AY1286" s="9"/>
      <c r="AZ1286" s="9"/>
      <c r="BA1286" s="120"/>
      <c r="BB1286" s="69"/>
      <c r="BC1286" s="165" t="s">
        <v>1615</v>
      </c>
      <c r="BD1286" s="166">
        <v>0.79</v>
      </c>
      <c r="BE1286" s="167" t="s">
        <v>1616</v>
      </c>
      <c r="BF1286" s="168">
        <v>0.2</v>
      </c>
      <c r="BG1286" s="167" t="s">
        <v>1617</v>
      </c>
      <c r="BH1286" s="168">
        <v>0.01</v>
      </c>
      <c r="BI1286" s="214" t="s">
        <v>1618</v>
      </c>
      <c r="BJ1286" s="168">
        <v>0</v>
      </c>
      <c r="BK1286" s="134" t="s">
        <v>1619</v>
      </c>
      <c r="BL1286" s="168">
        <v>1</v>
      </c>
      <c r="BM1286" s="167" t="s">
        <v>2152</v>
      </c>
      <c r="BN1286" s="168"/>
      <c r="BO1286" s="62"/>
      <c r="BP1286" s="168"/>
      <c r="BQ1286" s="168"/>
      <c r="BR1286" s="168"/>
      <c r="BS1286" s="135" t="s">
        <v>1615</v>
      </c>
      <c r="BT1286" s="168">
        <v>0.79</v>
      </c>
      <c r="BU1286" s="167" t="s">
        <v>1616</v>
      </c>
      <c r="BV1286" s="168">
        <v>0.2</v>
      </c>
      <c r="BW1286" s="167" t="s">
        <v>2153</v>
      </c>
      <c r="BX1286" s="168"/>
      <c r="BY1286" s="167" t="s">
        <v>1617</v>
      </c>
      <c r="BZ1286" s="168">
        <v>0.01</v>
      </c>
      <c r="CA1286" s="167" t="s">
        <v>1621</v>
      </c>
      <c r="CB1286" s="168"/>
      <c r="CC1286" s="62"/>
      <c r="CD1286" s="168"/>
      <c r="CE1286" s="9"/>
      <c r="CF1286" s="9"/>
      <c r="CG1286" s="9"/>
      <c r="CH1286" s="9"/>
      <c r="CI1286" s="9"/>
      <c r="CJ1286" s="9"/>
      <c r="CK1286" s="9"/>
      <c r="CL1286" s="9"/>
      <c r="CM1286" s="9"/>
      <c r="CN1286" s="9"/>
      <c r="CO1286" s="9"/>
      <c r="CP1286" s="9"/>
    </row>
    <row r="1287" spans="1:94" ht="42.75" x14ac:dyDescent="0.25">
      <c r="A1287" s="126" t="s">
        <v>3838</v>
      </c>
      <c r="B1287" s="9" t="s">
        <v>3839</v>
      </c>
      <c r="C1287" s="9"/>
      <c r="D1287" s="9"/>
      <c r="E1287" s="9"/>
      <c r="F1287" s="9"/>
      <c r="G1287" s="9"/>
      <c r="H1287" s="9"/>
      <c r="I1287" s="9"/>
      <c r="J1287" s="9"/>
      <c r="K1287" s="9"/>
      <c r="L1287" s="9"/>
      <c r="M1287" s="9"/>
      <c r="N1287" s="9"/>
      <c r="O1287" s="9"/>
      <c r="P1287" s="9"/>
      <c r="Q1287" s="9"/>
      <c r="R1287" s="9"/>
      <c r="S1287" s="9"/>
      <c r="T1287" s="9"/>
      <c r="U1287" s="9"/>
      <c r="V1287" s="9"/>
      <c r="W1287" s="9"/>
      <c r="X1287" s="9"/>
      <c r="Y1287" s="9"/>
      <c r="Z1287" s="9"/>
      <c r="AA1287" s="9"/>
      <c r="AB1287" s="9"/>
      <c r="AC1287" s="9"/>
      <c r="AD1287" s="9"/>
      <c r="AE1287" s="9"/>
      <c r="AF1287" s="9"/>
      <c r="AG1287" s="9"/>
      <c r="AH1287" s="9"/>
      <c r="AI1287" s="9"/>
      <c r="AJ1287" s="9"/>
      <c r="AK1287" s="9"/>
      <c r="AL1287" s="9"/>
      <c r="AM1287" s="69"/>
      <c r="AN1287" s="9"/>
      <c r="AO1287" s="61" t="s">
        <v>1112</v>
      </c>
      <c r="AP1287" s="210"/>
      <c r="AQ1287" s="211"/>
      <c r="AR1287" s="211"/>
      <c r="AS1287" s="211"/>
      <c r="AT1287" s="211"/>
      <c r="AU1287" s="211"/>
      <c r="AV1287" s="211"/>
      <c r="AW1287" s="9"/>
      <c r="AX1287" s="9"/>
      <c r="AY1287" s="9"/>
      <c r="AZ1287" s="9"/>
      <c r="BA1287" s="120"/>
      <c r="BB1287" s="69"/>
      <c r="BC1287" s="165" t="s">
        <v>1615</v>
      </c>
      <c r="BD1287" s="166">
        <v>0.79</v>
      </c>
      <c r="BE1287" s="167" t="s">
        <v>1616</v>
      </c>
      <c r="BF1287" s="168">
        <v>0.2</v>
      </c>
      <c r="BG1287" s="167" t="s">
        <v>1617</v>
      </c>
      <c r="BH1287" s="168">
        <v>0.01</v>
      </c>
      <c r="BI1287" s="214" t="s">
        <v>1618</v>
      </c>
      <c r="BJ1287" s="168">
        <v>0</v>
      </c>
      <c r="BK1287" s="134" t="s">
        <v>1619</v>
      </c>
      <c r="BL1287" s="168">
        <v>1</v>
      </c>
      <c r="BM1287" s="167" t="s">
        <v>2152</v>
      </c>
      <c r="BN1287" s="168"/>
      <c r="BO1287" s="62"/>
      <c r="BP1287" s="168"/>
      <c r="BQ1287" s="168"/>
      <c r="BR1287" s="168"/>
      <c r="BS1287" s="135" t="s">
        <v>1615</v>
      </c>
      <c r="BT1287" s="168">
        <v>0.79</v>
      </c>
      <c r="BU1287" s="167" t="s">
        <v>1616</v>
      </c>
      <c r="BV1287" s="168">
        <v>0.2</v>
      </c>
      <c r="BW1287" s="167" t="s">
        <v>2153</v>
      </c>
      <c r="BX1287" s="168"/>
      <c r="BY1287" s="167" t="s">
        <v>1617</v>
      </c>
      <c r="BZ1287" s="168">
        <v>0.01</v>
      </c>
      <c r="CA1287" s="167" t="s">
        <v>1621</v>
      </c>
      <c r="CB1287" s="168"/>
      <c r="CC1287" s="62"/>
      <c r="CD1287" s="168"/>
      <c r="CE1287" s="9"/>
      <c r="CF1287" s="9"/>
      <c r="CG1287" s="9"/>
      <c r="CH1287" s="9"/>
      <c r="CI1287" s="9"/>
      <c r="CJ1287" s="9"/>
      <c r="CK1287" s="9"/>
      <c r="CL1287" s="9"/>
      <c r="CM1287" s="9"/>
      <c r="CN1287" s="9"/>
      <c r="CO1287" s="9"/>
      <c r="CP1287" s="9"/>
    </row>
    <row r="1288" spans="1:94" ht="299.25" x14ac:dyDescent="0.25">
      <c r="A1288" s="62" t="s">
        <v>3688</v>
      </c>
      <c r="B1288" s="131" t="s">
        <v>3840</v>
      </c>
      <c r="C1288" s="215"/>
      <c r="D1288" s="215"/>
      <c r="E1288" s="215"/>
      <c r="F1288" s="215"/>
      <c r="G1288" s="215"/>
      <c r="H1288" s="218"/>
      <c r="I1288" s="62"/>
      <c r="J1288" s="62"/>
      <c r="K1288" s="62"/>
      <c r="L1288" s="62"/>
      <c r="M1288" s="62"/>
      <c r="N1288" s="62"/>
      <c r="O1288" s="62"/>
      <c r="P1288" s="62"/>
      <c r="Q1288" s="62"/>
      <c r="R1288" s="62"/>
      <c r="S1288" s="62"/>
      <c r="T1288" s="62"/>
      <c r="U1288" s="62"/>
      <c r="V1288" s="62"/>
      <c r="W1288" s="62"/>
      <c r="X1288" s="62"/>
      <c r="Y1288" s="62"/>
      <c r="Z1288" s="62"/>
      <c r="AA1288" s="62"/>
      <c r="AB1288" s="62"/>
      <c r="AC1288" s="62"/>
      <c r="AD1288" s="62"/>
      <c r="AE1288" s="62"/>
      <c r="AF1288" s="62"/>
      <c r="AG1288" s="62"/>
      <c r="AH1288" s="62"/>
      <c r="AI1288" s="62"/>
      <c r="AJ1288" s="62"/>
      <c r="AK1288" s="62"/>
      <c r="AL1288" s="62"/>
      <c r="AM1288" s="61"/>
      <c r="AN1288" s="62"/>
      <c r="AO1288" s="61" t="s">
        <v>1112</v>
      </c>
      <c r="AP1288" s="212"/>
      <c r="AQ1288" s="213"/>
      <c r="AR1288" s="213"/>
      <c r="AS1288" s="213"/>
      <c r="AT1288" s="213"/>
      <c r="AU1288" s="213"/>
      <c r="AV1288" s="213"/>
      <c r="AW1288" s="62"/>
      <c r="AX1288" s="62"/>
      <c r="AY1288" s="62"/>
      <c r="AZ1288" s="62"/>
      <c r="BA1288" s="141"/>
      <c r="BB1288" s="61"/>
      <c r="BC1288" s="165" t="s">
        <v>1615</v>
      </c>
      <c r="BD1288" s="166">
        <v>0.79</v>
      </c>
      <c r="BE1288" s="167" t="s">
        <v>1616</v>
      </c>
      <c r="BF1288" s="168">
        <v>0.2</v>
      </c>
      <c r="BG1288" s="167" t="s">
        <v>1617</v>
      </c>
      <c r="BH1288" s="168">
        <v>0.01</v>
      </c>
      <c r="BI1288" s="214" t="s">
        <v>1618</v>
      </c>
      <c r="BJ1288" s="168">
        <v>0</v>
      </c>
      <c r="BK1288" s="134" t="s">
        <v>1619</v>
      </c>
      <c r="BL1288" s="168">
        <v>1</v>
      </c>
      <c r="BM1288" s="167" t="s">
        <v>2152</v>
      </c>
      <c r="BN1288" s="168"/>
      <c r="BO1288" s="62"/>
      <c r="BP1288" s="168"/>
      <c r="BQ1288" s="168"/>
      <c r="BR1288" s="168"/>
      <c r="BS1288" s="135" t="s">
        <v>1615</v>
      </c>
      <c r="BT1288" s="168">
        <v>0.79</v>
      </c>
      <c r="BU1288" s="167" t="s">
        <v>1616</v>
      </c>
      <c r="BV1288" s="168">
        <v>0.2</v>
      </c>
      <c r="BW1288" s="167" t="s">
        <v>2153</v>
      </c>
      <c r="BX1288" s="168"/>
      <c r="BY1288" s="167" t="s">
        <v>1617</v>
      </c>
      <c r="BZ1288" s="168">
        <v>0.01</v>
      </c>
      <c r="CA1288" s="167" t="s">
        <v>1621</v>
      </c>
      <c r="CB1288" s="168"/>
      <c r="CC1288" s="62"/>
      <c r="CD1288" s="168"/>
      <c r="CE1288" s="165" t="s">
        <v>3841</v>
      </c>
      <c r="CF1288" s="165"/>
      <c r="CG1288" s="204"/>
      <c r="CH1288" s="9"/>
      <c r="CI1288" s="204"/>
      <c r="CJ1288" s="204"/>
      <c r="CK1288" s="204"/>
      <c r="CL1288" s="204"/>
      <c r="CM1288" s="204"/>
      <c r="CN1288" s="204"/>
      <c r="CO1288" s="204"/>
      <c r="CP1288" s="9"/>
    </row>
    <row r="1289" spans="1:94" x14ac:dyDescent="0.25">
      <c r="A1289" s="62" t="s">
        <v>3842</v>
      </c>
      <c r="B1289" s="131" t="s">
        <v>3843</v>
      </c>
      <c r="C1289" s="215"/>
      <c r="D1289" s="215"/>
      <c r="E1289" s="215"/>
      <c r="F1289" s="215"/>
      <c r="G1289" s="215"/>
      <c r="H1289" s="218"/>
      <c r="I1289" s="62"/>
      <c r="J1289" s="62"/>
      <c r="K1289" s="62"/>
      <c r="L1289" s="62"/>
      <c r="M1289" s="62"/>
      <c r="N1289" s="62"/>
      <c r="O1289" s="62"/>
      <c r="P1289" s="62"/>
      <c r="Q1289" s="62"/>
      <c r="R1289" s="62"/>
      <c r="S1289" s="62"/>
      <c r="T1289" s="62"/>
      <c r="U1289" s="62"/>
      <c r="V1289" s="62"/>
      <c r="W1289" s="62"/>
      <c r="X1289" s="62"/>
      <c r="Y1289" s="62"/>
      <c r="Z1289" s="62"/>
      <c r="AA1289" s="62"/>
      <c r="AB1289" s="62"/>
      <c r="AC1289" s="62"/>
      <c r="AD1289" s="62"/>
      <c r="AE1289" s="62"/>
      <c r="AF1289" s="62"/>
      <c r="AG1289" s="62"/>
      <c r="AH1289" s="62"/>
      <c r="AI1289" s="62"/>
      <c r="AJ1289" s="62"/>
      <c r="AK1289" s="62"/>
      <c r="AL1289" s="62"/>
      <c r="AM1289" s="61"/>
      <c r="AN1289" s="62"/>
      <c r="AO1289" s="61" t="s">
        <v>1112</v>
      </c>
      <c r="AP1289" s="212"/>
      <c r="AQ1289" s="213"/>
      <c r="AR1289" s="213"/>
      <c r="AS1289" s="213"/>
      <c r="AT1289" s="213"/>
      <c r="AU1289" s="213"/>
      <c r="AV1289" s="213"/>
      <c r="AW1289" s="62"/>
      <c r="AX1289" s="62"/>
      <c r="AY1289" s="62"/>
      <c r="AZ1289" s="62"/>
      <c r="BA1289" s="141"/>
      <c r="BB1289" s="61"/>
      <c r="BC1289" s="165"/>
      <c r="BD1289" s="166"/>
      <c r="BE1289" s="167"/>
      <c r="BF1289" s="168"/>
      <c r="BG1289" s="167"/>
      <c r="BH1289" s="168"/>
      <c r="BI1289" s="214"/>
      <c r="BJ1289" s="168"/>
      <c r="BK1289" s="134"/>
      <c r="BL1289" s="168"/>
      <c r="BM1289" s="167"/>
      <c r="BN1289" s="168"/>
      <c r="BO1289" s="62"/>
      <c r="BP1289" s="168"/>
      <c r="BQ1289" s="168"/>
      <c r="BR1289" s="168"/>
      <c r="BS1289" s="135"/>
      <c r="BT1289" s="168"/>
      <c r="BU1289" s="167"/>
      <c r="BV1289" s="168"/>
      <c r="BW1289" s="167"/>
      <c r="BX1289" s="168"/>
      <c r="BY1289" s="167"/>
      <c r="BZ1289" s="168"/>
      <c r="CA1289" s="167"/>
      <c r="CB1289" s="168"/>
      <c r="CC1289" s="62"/>
      <c r="CD1289" s="168"/>
      <c r="CE1289" s="165"/>
      <c r="CF1289" s="165"/>
      <c r="CG1289" s="204"/>
      <c r="CH1289" s="9"/>
      <c r="CI1289" s="204"/>
      <c r="CJ1289" s="204"/>
      <c r="CK1289" s="204"/>
      <c r="CL1289" s="204"/>
      <c r="CM1289" s="204"/>
      <c r="CN1289" s="204"/>
      <c r="CO1289" s="204"/>
      <c r="CP1289" s="9"/>
    </row>
    <row r="1290" spans="1:94" ht="299.25" x14ac:dyDescent="0.25">
      <c r="A1290" s="62" t="s">
        <v>3844</v>
      </c>
      <c r="B1290" s="131" t="s">
        <v>3845</v>
      </c>
      <c r="C1290" s="215"/>
      <c r="D1290" s="215"/>
      <c r="E1290" s="215"/>
      <c r="F1290" s="215"/>
      <c r="G1290" s="215"/>
      <c r="H1290" s="218"/>
      <c r="I1290" s="62"/>
      <c r="J1290" s="62"/>
      <c r="K1290" s="62"/>
      <c r="L1290" s="62"/>
      <c r="M1290" s="62"/>
      <c r="N1290" s="62"/>
      <c r="O1290" s="62"/>
      <c r="P1290" s="62"/>
      <c r="Q1290" s="62"/>
      <c r="R1290" s="62"/>
      <c r="S1290" s="62"/>
      <c r="T1290" s="62"/>
      <c r="U1290" s="62"/>
      <c r="V1290" s="62"/>
      <c r="W1290" s="62"/>
      <c r="X1290" s="62"/>
      <c r="Y1290" s="62"/>
      <c r="Z1290" s="62"/>
      <c r="AA1290" s="62"/>
      <c r="AB1290" s="62"/>
      <c r="AC1290" s="62"/>
      <c r="AD1290" s="62"/>
      <c r="AE1290" s="62"/>
      <c r="AF1290" s="62"/>
      <c r="AG1290" s="62"/>
      <c r="AH1290" s="62"/>
      <c r="AI1290" s="62"/>
      <c r="AJ1290" s="62"/>
      <c r="AK1290" s="62"/>
      <c r="AL1290" s="62"/>
      <c r="AM1290" s="61"/>
      <c r="AN1290" s="62"/>
      <c r="AO1290" s="61" t="s">
        <v>1112</v>
      </c>
      <c r="AP1290" s="212"/>
      <c r="AQ1290" s="213"/>
      <c r="AR1290" s="213"/>
      <c r="AS1290" s="213"/>
      <c r="AT1290" s="213"/>
      <c r="AU1290" s="213"/>
      <c r="AV1290" s="213"/>
      <c r="AW1290" s="62"/>
      <c r="AX1290" s="62"/>
      <c r="AY1290" s="62"/>
      <c r="AZ1290" s="62"/>
      <c r="BA1290" s="141"/>
      <c r="BB1290" s="61"/>
      <c r="BC1290" s="165" t="s">
        <v>1615</v>
      </c>
      <c r="BD1290" s="166">
        <v>0.79</v>
      </c>
      <c r="BE1290" s="167" t="s">
        <v>1616</v>
      </c>
      <c r="BF1290" s="168">
        <v>0.2</v>
      </c>
      <c r="BG1290" s="167" t="s">
        <v>1617</v>
      </c>
      <c r="BH1290" s="168">
        <v>0.01</v>
      </c>
      <c r="BI1290" s="214" t="s">
        <v>1618</v>
      </c>
      <c r="BJ1290" s="168">
        <v>0</v>
      </c>
      <c r="BK1290" s="134" t="s">
        <v>1619</v>
      </c>
      <c r="BL1290" s="168">
        <v>1</v>
      </c>
      <c r="BM1290" s="167" t="s">
        <v>2152</v>
      </c>
      <c r="BN1290" s="168"/>
      <c r="BO1290" s="62"/>
      <c r="BP1290" s="168"/>
      <c r="BQ1290" s="168"/>
      <c r="BR1290" s="168"/>
      <c r="BS1290" s="135" t="s">
        <v>1615</v>
      </c>
      <c r="BT1290" s="168">
        <v>0.79</v>
      </c>
      <c r="BU1290" s="167" t="s">
        <v>1616</v>
      </c>
      <c r="BV1290" s="168">
        <v>0.2</v>
      </c>
      <c r="BW1290" s="167" t="s">
        <v>2153</v>
      </c>
      <c r="BX1290" s="168"/>
      <c r="BY1290" s="167" t="s">
        <v>1617</v>
      </c>
      <c r="BZ1290" s="168">
        <v>0.01</v>
      </c>
      <c r="CA1290" s="167" t="s">
        <v>1621</v>
      </c>
      <c r="CB1290" s="168"/>
      <c r="CC1290" s="62"/>
      <c r="CD1290" s="168"/>
      <c r="CE1290" s="165" t="s">
        <v>3841</v>
      </c>
      <c r="CF1290" s="165"/>
      <c r="CG1290" s="204"/>
      <c r="CH1290" s="9"/>
      <c r="CI1290" s="204"/>
      <c r="CJ1290" s="204"/>
      <c r="CK1290" s="204"/>
      <c r="CL1290" s="204"/>
      <c r="CM1290" s="204"/>
      <c r="CN1290" s="204"/>
      <c r="CO1290" s="204"/>
      <c r="CP1290" s="9"/>
    </row>
    <row r="1291" spans="1:94" ht="15.75" x14ac:dyDescent="0.25">
      <c r="A1291" s="126" t="s">
        <v>3846</v>
      </c>
      <c r="B1291" s="131" t="s">
        <v>3847</v>
      </c>
      <c r="C1291" s="215"/>
      <c r="D1291" s="215"/>
      <c r="E1291" s="215"/>
      <c r="F1291" s="215"/>
      <c r="G1291" s="215"/>
      <c r="H1291" s="218"/>
      <c r="I1291" s="62"/>
      <c r="J1291" s="62"/>
      <c r="K1291" s="62"/>
      <c r="L1291" s="62"/>
      <c r="M1291" s="62"/>
      <c r="N1291" s="62"/>
      <c r="O1291" s="62"/>
      <c r="P1291" s="62"/>
      <c r="Q1291" s="62"/>
      <c r="R1291" s="62"/>
      <c r="S1291" s="62"/>
      <c r="T1291" s="62"/>
      <c r="U1291" s="62"/>
      <c r="V1291" s="62"/>
      <c r="W1291" s="62"/>
      <c r="X1291" s="62"/>
      <c r="Y1291" s="62"/>
      <c r="Z1291" s="62"/>
      <c r="AA1291" s="62"/>
      <c r="AB1291" s="62"/>
      <c r="AC1291" s="62"/>
      <c r="AD1291" s="62"/>
      <c r="AE1291" s="62"/>
      <c r="AF1291" s="62"/>
      <c r="AG1291" s="62"/>
      <c r="AH1291" s="62"/>
      <c r="AI1291" s="62"/>
      <c r="AJ1291" s="62"/>
      <c r="AK1291" s="62"/>
      <c r="AL1291" s="62"/>
      <c r="AM1291" s="61"/>
      <c r="AN1291" s="62"/>
      <c r="AO1291" s="61" t="s">
        <v>1112</v>
      </c>
      <c r="AP1291" s="212"/>
      <c r="AQ1291" s="213"/>
      <c r="AR1291" s="213"/>
      <c r="AS1291" s="213"/>
      <c r="AT1291" s="213"/>
      <c r="AU1291" s="213"/>
      <c r="AV1291" s="213"/>
      <c r="AW1291" s="62"/>
      <c r="AX1291" s="62"/>
      <c r="AY1291" s="62"/>
      <c r="AZ1291" s="62"/>
      <c r="BA1291" s="141"/>
      <c r="BB1291" s="61"/>
      <c r="BC1291" s="165"/>
      <c r="BD1291" s="166"/>
      <c r="BE1291" s="167"/>
      <c r="BF1291" s="168"/>
      <c r="BG1291" s="167"/>
      <c r="BH1291" s="168"/>
      <c r="BI1291" s="214"/>
      <c r="BJ1291" s="168"/>
      <c r="BK1291" s="134"/>
      <c r="BL1291" s="168"/>
      <c r="BM1291" s="167"/>
      <c r="BN1291" s="168"/>
      <c r="BO1291" s="62"/>
      <c r="BP1291" s="168"/>
      <c r="BQ1291" s="168"/>
      <c r="BR1291" s="168"/>
      <c r="BS1291" s="135"/>
      <c r="BT1291" s="168"/>
      <c r="BU1291" s="167"/>
      <c r="BV1291" s="168"/>
      <c r="BW1291" s="167"/>
      <c r="BX1291" s="168"/>
      <c r="BY1291" s="167"/>
      <c r="BZ1291" s="168"/>
      <c r="CA1291" s="167"/>
      <c r="CB1291" s="168"/>
      <c r="CC1291" s="62"/>
      <c r="CD1291" s="168"/>
      <c r="CE1291" s="165"/>
      <c r="CF1291" s="165"/>
      <c r="CG1291" s="204"/>
      <c r="CH1291" s="9"/>
      <c r="CI1291" s="204"/>
      <c r="CJ1291" s="204"/>
      <c r="CK1291" s="204"/>
      <c r="CL1291" s="204"/>
      <c r="CM1291" s="204"/>
      <c r="CN1291" s="204"/>
      <c r="CO1291" s="204"/>
      <c r="CP1291" s="9"/>
    </row>
    <row r="1292" spans="1:94" ht="299.25" x14ac:dyDescent="0.25">
      <c r="A1292" s="62" t="s">
        <v>3848</v>
      </c>
      <c r="B1292" s="131" t="s">
        <v>3849</v>
      </c>
      <c r="C1292" s="215"/>
      <c r="D1292" s="215"/>
      <c r="E1292" s="215"/>
      <c r="F1292" s="215"/>
      <c r="G1292" s="215"/>
      <c r="H1292" s="218"/>
      <c r="I1292" s="62"/>
      <c r="J1292" s="62"/>
      <c r="K1292" s="62"/>
      <c r="L1292" s="62"/>
      <c r="M1292" s="62"/>
      <c r="N1292" s="62"/>
      <c r="O1292" s="62"/>
      <c r="P1292" s="62"/>
      <c r="Q1292" s="62"/>
      <c r="R1292" s="62"/>
      <c r="S1292" s="62"/>
      <c r="T1292" s="62"/>
      <c r="U1292" s="62"/>
      <c r="V1292" s="62"/>
      <c r="W1292" s="62"/>
      <c r="X1292" s="62"/>
      <c r="Y1292" s="62"/>
      <c r="Z1292" s="62"/>
      <c r="AA1292" s="62"/>
      <c r="AB1292" s="62"/>
      <c r="AC1292" s="62"/>
      <c r="AD1292" s="62"/>
      <c r="AE1292" s="62"/>
      <c r="AF1292" s="62"/>
      <c r="AG1292" s="62"/>
      <c r="AH1292" s="62"/>
      <c r="AI1292" s="62"/>
      <c r="AJ1292" s="62"/>
      <c r="AK1292" s="62"/>
      <c r="AL1292" s="62"/>
      <c r="AM1292" s="61"/>
      <c r="AN1292" s="62"/>
      <c r="AO1292" s="61" t="s">
        <v>1112</v>
      </c>
      <c r="AP1292" s="212"/>
      <c r="AQ1292" s="213"/>
      <c r="AR1292" s="213"/>
      <c r="AS1292" s="213"/>
      <c r="AT1292" s="213"/>
      <c r="AU1292" s="213"/>
      <c r="AV1292" s="213"/>
      <c r="AW1292" s="62"/>
      <c r="AX1292" s="62"/>
      <c r="AY1292" s="62"/>
      <c r="AZ1292" s="62"/>
      <c r="BA1292" s="141"/>
      <c r="BB1292" s="61"/>
      <c r="BC1292" s="165" t="s">
        <v>1615</v>
      </c>
      <c r="BD1292" s="166">
        <v>0.79</v>
      </c>
      <c r="BE1292" s="167" t="s">
        <v>1616</v>
      </c>
      <c r="BF1292" s="168">
        <v>0.2</v>
      </c>
      <c r="BG1292" s="167" t="s">
        <v>1617</v>
      </c>
      <c r="BH1292" s="168">
        <v>0.01</v>
      </c>
      <c r="BI1292" s="214" t="s">
        <v>1618</v>
      </c>
      <c r="BJ1292" s="168">
        <v>0</v>
      </c>
      <c r="BK1292" s="134" t="s">
        <v>1619</v>
      </c>
      <c r="BL1292" s="168">
        <v>1</v>
      </c>
      <c r="BM1292" s="167" t="s">
        <v>2152</v>
      </c>
      <c r="BN1292" s="168"/>
      <c r="BO1292" s="62"/>
      <c r="BP1292" s="168"/>
      <c r="BQ1292" s="168"/>
      <c r="BR1292" s="168"/>
      <c r="BS1292" s="135" t="s">
        <v>1615</v>
      </c>
      <c r="BT1292" s="168">
        <v>0.79</v>
      </c>
      <c r="BU1292" s="167" t="s">
        <v>1616</v>
      </c>
      <c r="BV1292" s="168">
        <v>0.2</v>
      </c>
      <c r="BW1292" s="167" t="s">
        <v>2153</v>
      </c>
      <c r="BX1292" s="168"/>
      <c r="BY1292" s="167" t="s">
        <v>1617</v>
      </c>
      <c r="BZ1292" s="168">
        <v>0.01</v>
      </c>
      <c r="CA1292" s="167" t="s">
        <v>1621</v>
      </c>
      <c r="CB1292" s="168"/>
      <c r="CC1292" s="62"/>
      <c r="CD1292" s="168"/>
      <c r="CE1292" s="165" t="s">
        <v>3841</v>
      </c>
      <c r="CF1292" s="165"/>
      <c r="CG1292" s="204"/>
      <c r="CH1292" s="9"/>
      <c r="CI1292" s="204"/>
      <c r="CJ1292" s="204"/>
      <c r="CK1292" s="204"/>
      <c r="CL1292" s="204"/>
      <c r="CM1292" s="204"/>
      <c r="CN1292" s="204"/>
      <c r="CO1292" s="204"/>
      <c r="CP1292" s="9"/>
    </row>
    <row r="1293" spans="1:94" ht="42.75" x14ac:dyDescent="0.25">
      <c r="A1293" s="62" t="s">
        <v>3850</v>
      </c>
      <c r="B1293" s="131" t="s">
        <v>3851</v>
      </c>
      <c r="C1293" s="215"/>
      <c r="D1293" s="215"/>
      <c r="E1293" s="215"/>
      <c r="F1293" s="215"/>
      <c r="G1293" s="215"/>
      <c r="H1293" s="218"/>
      <c r="I1293" s="62"/>
      <c r="J1293" s="62"/>
      <c r="K1293" s="62"/>
      <c r="L1293" s="62"/>
      <c r="M1293" s="62"/>
      <c r="N1293" s="62"/>
      <c r="O1293" s="62"/>
      <c r="P1293" s="62"/>
      <c r="Q1293" s="62"/>
      <c r="R1293" s="62"/>
      <c r="S1293" s="62"/>
      <c r="T1293" s="62"/>
      <c r="U1293" s="62"/>
      <c r="V1293" s="62"/>
      <c r="W1293" s="62"/>
      <c r="X1293" s="62"/>
      <c r="Y1293" s="62"/>
      <c r="Z1293" s="62"/>
      <c r="AA1293" s="62"/>
      <c r="AB1293" s="62"/>
      <c r="AC1293" s="62"/>
      <c r="AD1293" s="62"/>
      <c r="AE1293" s="62"/>
      <c r="AF1293" s="62"/>
      <c r="AG1293" s="62"/>
      <c r="AH1293" s="62"/>
      <c r="AI1293" s="62"/>
      <c r="AJ1293" s="62"/>
      <c r="AK1293" s="62"/>
      <c r="AL1293" s="62"/>
      <c r="AM1293" s="61"/>
      <c r="AN1293" s="62"/>
      <c r="AO1293" s="61" t="s">
        <v>1112</v>
      </c>
      <c r="AP1293" s="212"/>
      <c r="AQ1293" s="213"/>
      <c r="AR1293" s="213"/>
      <c r="AS1293" s="213"/>
      <c r="AT1293" s="213"/>
      <c r="AU1293" s="213"/>
      <c r="AV1293" s="213"/>
      <c r="AW1293" s="62"/>
      <c r="AX1293" s="62"/>
      <c r="AY1293" s="62"/>
      <c r="AZ1293" s="62"/>
      <c r="BA1293" s="141"/>
      <c r="BB1293" s="61"/>
      <c r="BC1293" s="165" t="s">
        <v>1615</v>
      </c>
      <c r="BD1293" s="166">
        <v>0.79</v>
      </c>
      <c r="BE1293" s="167" t="s">
        <v>1616</v>
      </c>
      <c r="BF1293" s="168">
        <v>0.2</v>
      </c>
      <c r="BG1293" s="167" t="s">
        <v>1617</v>
      </c>
      <c r="BH1293" s="168">
        <v>0.01</v>
      </c>
      <c r="BI1293" s="214" t="s">
        <v>1618</v>
      </c>
      <c r="BJ1293" s="168">
        <v>0</v>
      </c>
      <c r="BK1293" s="134" t="s">
        <v>1619</v>
      </c>
      <c r="BL1293" s="168">
        <v>1</v>
      </c>
      <c r="BM1293" s="167" t="s">
        <v>2152</v>
      </c>
      <c r="BN1293" s="168"/>
      <c r="BO1293" s="62"/>
      <c r="BP1293" s="168"/>
      <c r="BQ1293" s="168"/>
      <c r="BR1293" s="168"/>
      <c r="BS1293" s="135" t="s">
        <v>1615</v>
      </c>
      <c r="BT1293" s="168">
        <v>0.79</v>
      </c>
      <c r="BU1293" s="167" t="s">
        <v>1616</v>
      </c>
      <c r="BV1293" s="168">
        <v>0.2</v>
      </c>
      <c r="BW1293" s="167" t="s">
        <v>2153</v>
      </c>
      <c r="BX1293" s="168"/>
      <c r="BY1293" s="167" t="s">
        <v>1617</v>
      </c>
      <c r="BZ1293" s="168">
        <v>0.01</v>
      </c>
      <c r="CA1293" s="167" t="s">
        <v>1621</v>
      </c>
      <c r="CB1293" s="168"/>
      <c r="CC1293" s="62"/>
      <c r="CD1293" s="168"/>
      <c r="CE1293" s="165"/>
      <c r="CF1293" s="165"/>
      <c r="CG1293" s="204"/>
      <c r="CH1293" s="9"/>
      <c r="CI1293" s="204"/>
      <c r="CJ1293" s="204"/>
      <c r="CK1293" s="204"/>
      <c r="CL1293" s="204"/>
      <c r="CM1293" s="204"/>
      <c r="CN1293" s="204"/>
      <c r="CO1293" s="204"/>
      <c r="CP1293" s="9"/>
    </row>
    <row r="1294" spans="1:94" ht="42.75" x14ac:dyDescent="0.25">
      <c r="A1294" s="126" t="s">
        <v>3852</v>
      </c>
      <c r="B1294" s="131" t="s">
        <v>3853</v>
      </c>
      <c r="C1294" s="215"/>
      <c r="D1294" s="215"/>
      <c r="E1294" s="215"/>
      <c r="F1294" s="215"/>
      <c r="G1294" s="215"/>
      <c r="H1294" s="218"/>
      <c r="I1294" s="62"/>
      <c r="J1294" s="62"/>
      <c r="K1294" s="62"/>
      <c r="L1294" s="62"/>
      <c r="M1294" s="62"/>
      <c r="N1294" s="62"/>
      <c r="O1294" s="62"/>
      <c r="P1294" s="62"/>
      <c r="Q1294" s="62"/>
      <c r="R1294" s="62"/>
      <c r="S1294" s="62"/>
      <c r="T1294" s="62"/>
      <c r="U1294" s="62"/>
      <c r="V1294" s="62"/>
      <c r="W1294" s="62"/>
      <c r="X1294" s="62"/>
      <c r="Y1294" s="62"/>
      <c r="Z1294" s="62"/>
      <c r="AA1294" s="62"/>
      <c r="AB1294" s="62"/>
      <c r="AC1294" s="62"/>
      <c r="AD1294" s="62"/>
      <c r="AE1294" s="62"/>
      <c r="AF1294" s="62"/>
      <c r="AG1294" s="62"/>
      <c r="AH1294" s="62"/>
      <c r="AI1294" s="62"/>
      <c r="AJ1294" s="62"/>
      <c r="AK1294" s="62"/>
      <c r="AL1294" s="62"/>
      <c r="AM1294" s="61"/>
      <c r="AN1294" s="62"/>
      <c r="AO1294" s="61" t="s">
        <v>1112</v>
      </c>
      <c r="AP1294" s="212"/>
      <c r="AQ1294" s="213"/>
      <c r="AR1294" s="213"/>
      <c r="AS1294" s="213"/>
      <c r="AT1294" s="213"/>
      <c r="AU1294" s="213"/>
      <c r="AV1294" s="213"/>
      <c r="AW1294" s="62"/>
      <c r="AX1294" s="62"/>
      <c r="AY1294" s="62"/>
      <c r="AZ1294" s="62"/>
      <c r="BA1294" s="141"/>
      <c r="BB1294" s="61"/>
      <c r="BC1294" s="165" t="s">
        <v>1615</v>
      </c>
      <c r="BD1294" s="166">
        <v>0.79</v>
      </c>
      <c r="BE1294" s="167" t="s">
        <v>1616</v>
      </c>
      <c r="BF1294" s="168">
        <v>0.2</v>
      </c>
      <c r="BG1294" s="167" t="s">
        <v>1617</v>
      </c>
      <c r="BH1294" s="168">
        <v>0.01</v>
      </c>
      <c r="BI1294" s="214" t="s">
        <v>1618</v>
      </c>
      <c r="BJ1294" s="168">
        <v>0</v>
      </c>
      <c r="BK1294" s="134" t="s">
        <v>1619</v>
      </c>
      <c r="BL1294" s="168">
        <v>1</v>
      </c>
      <c r="BM1294" s="167" t="s">
        <v>2152</v>
      </c>
      <c r="BN1294" s="168"/>
      <c r="BO1294" s="62"/>
      <c r="BP1294" s="168"/>
      <c r="BQ1294" s="168"/>
      <c r="BR1294" s="168"/>
      <c r="BS1294" s="135" t="s">
        <v>1615</v>
      </c>
      <c r="BT1294" s="168">
        <v>0.79</v>
      </c>
      <c r="BU1294" s="167" t="s">
        <v>1616</v>
      </c>
      <c r="BV1294" s="168">
        <v>0.2</v>
      </c>
      <c r="BW1294" s="167" t="s">
        <v>2153</v>
      </c>
      <c r="BX1294" s="168"/>
      <c r="BY1294" s="167" t="s">
        <v>1617</v>
      </c>
      <c r="BZ1294" s="168">
        <v>0.01</v>
      </c>
      <c r="CA1294" s="167" t="s">
        <v>1621</v>
      </c>
      <c r="CB1294" s="168"/>
      <c r="CC1294" s="62"/>
      <c r="CD1294" s="168"/>
      <c r="CE1294" s="165"/>
      <c r="CF1294" s="165"/>
      <c r="CG1294" s="9"/>
      <c r="CH1294" s="9"/>
      <c r="CI1294" s="9"/>
      <c r="CJ1294" s="9"/>
      <c r="CK1294" s="9"/>
      <c r="CL1294" s="9"/>
      <c r="CM1294" s="9"/>
      <c r="CN1294" s="9"/>
      <c r="CO1294" s="9"/>
      <c r="CP1294" s="9"/>
    </row>
    <row r="1295" spans="1:94" ht="42.75" x14ac:dyDescent="0.25">
      <c r="A1295" s="62" t="s">
        <v>3854</v>
      </c>
      <c r="B1295" s="131" t="s">
        <v>3855</v>
      </c>
      <c r="C1295" s="215"/>
      <c r="D1295" s="215"/>
      <c r="E1295" s="215"/>
      <c r="F1295" s="215"/>
      <c r="G1295" s="215"/>
      <c r="H1295" s="218"/>
      <c r="I1295" s="62"/>
      <c r="J1295" s="62"/>
      <c r="K1295" s="62"/>
      <c r="L1295" s="62"/>
      <c r="M1295" s="62"/>
      <c r="N1295" s="62"/>
      <c r="O1295" s="62"/>
      <c r="P1295" s="62"/>
      <c r="Q1295" s="62"/>
      <c r="R1295" s="62"/>
      <c r="S1295" s="62"/>
      <c r="T1295" s="62"/>
      <c r="U1295" s="62"/>
      <c r="V1295" s="62"/>
      <c r="W1295" s="62"/>
      <c r="X1295" s="62"/>
      <c r="Y1295" s="62"/>
      <c r="Z1295" s="62"/>
      <c r="AA1295" s="62"/>
      <c r="AB1295" s="62"/>
      <c r="AC1295" s="62"/>
      <c r="AD1295" s="62"/>
      <c r="AE1295" s="62"/>
      <c r="AF1295" s="62"/>
      <c r="AG1295" s="62"/>
      <c r="AH1295" s="62"/>
      <c r="AI1295" s="62"/>
      <c r="AJ1295" s="62"/>
      <c r="AK1295" s="62"/>
      <c r="AL1295" s="62"/>
      <c r="AM1295" s="61"/>
      <c r="AN1295" s="62"/>
      <c r="AO1295" s="61" t="s">
        <v>1112</v>
      </c>
      <c r="AP1295" s="212"/>
      <c r="AQ1295" s="213"/>
      <c r="AR1295" s="213"/>
      <c r="AS1295" s="213"/>
      <c r="AT1295" s="213"/>
      <c r="AU1295" s="213"/>
      <c r="AV1295" s="213"/>
      <c r="AW1295" s="62"/>
      <c r="AX1295" s="62"/>
      <c r="AY1295" s="62"/>
      <c r="AZ1295" s="62"/>
      <c r="BA1295" s="141"/>
      <c r="BB1295" s="61"/>
      <c r="BC1295" s="165" t="s">
        <v>1615</v>
      </c>
      <c r="BD1295" s="166">
        <v>0.79</v>
      </c>
      <c r="BE1295" s="167" t="s">
        <v>1616</v>
      </c>
      <c r="BF1295" s="168">
        <v>0.2</v>
      </c>
      <c r="BG1295" s="167" t="s">
        <v>1617</v>
      </c>
      <c r="BH1295" s="168">
        <v>0.01</v>
      </c>
      <c r="BI1295" s="169"/>
      <c r="BJ1295" s="168">
        <v>0</v>
      </c>
      <c r="BK1295" s="134" t="s">
        <v>1619</v>
      </c>
      <c r="BL1295" s="168">
        <v>1</v>
      </c>
      <c r="BM1295" s="167" t="s">
        <v>2152</v>
      </c>
      <c r="BN1295" s="168"/>
      <c r="BO1295" s="62"/>
      <c r="BP1295" s="168"/>
      <c r="BQ1295" s="168"/>
      <c r="BR1295" s="168"/>
      <c r="BS1295" s="135" t="s">
        <v>1615</v>
      </c>
      <c r="BT1295" s="168">
        <v>0.79</v>
      </c>
      <c r="BU1295" s="167" t="s">
        <v>1616</v>
      </c>
      <c r="BV1295" s="168">
        <v>0.2</v>
      </c>
      <c r="BW1295" s="167" t="s">
        <v>2153</v>
      </c>
      <c r="BX1295" s="168"/>
      <c r="BY1295" s="167" t="s">
        <v>1617</v>
      </c>
      <c r="BZ1295" s="168">
        <v>0.01</v>
      </c>
      <c r="CA1295" s="167" t="s">
        <v>1621</v>
      </c>
      <c r="CB1295" s="168"/>
      <c r="CC1295" s="62"/>
      <c r="CD1295" s="168"/>
      <c r="CE1295" s="165"/>
      <c r="CF1295" s="165"/>
      <c r="CG1295" s="217"/>
      <c r="CH1295" s="9"/>
      <c r="CI1295" s="217"/>
      <c r="CJ1295" s="217"/>
      <c r="CK1295" s="217"/>
      <c r="CL1295" s="217"/>
      <c r="CM1295" s="217"/>
      <c r="CN1295" s="217"/>
      <c r="CO1295" s="217"/>
      <c r="CP1295" s="9"/>
    </row>
    <row r="1296" spans="1:94" ht="42.75" x14ac:dyDescent="0.25">
      <c r="A1296" s="126" t="s">
        <v>3856</v>
      </c>
      <c r="B1296" s="9" t="s">
        <v>3857</v>
      </c>
      <c r="C1296" s="9"/>
      <c r="D1296" s="9"/>
      <c r="E1296" s="9"/>
      <c r="F1296" s="9"/>
      <c r="G1296" s="9"/>
      <c r="H1296" s="9"/>
      <c r="I1296" s="9"/>
      <c r="J1296" s="9"/>
      <c r="K1296" s="9"/>
      <c r="L1296" s="9"/>
      <c r="M1296" s="9"/>
      <c r="N1296" s="9"/>
      <c r="O1296" s="9"/>
      <c r="P1296" s="9"/>
      <c r="Q1296" s="9"/>
      <c r="R1296" s="9"/>
      <c r="S1296" s="9"/>
      <c r="T1296" s="9"/>
      <c r="U1296" s="9"/>
      <c r="V1296" s="9"/>
      <c r="W1296" s="9"/>
      <c r="X1296" s="9"/>
      <c r="Y1296" s="9"/>
      <c r="Z1296" s="9"/>
      <c r="AA1296" s="9"/>
      <c r="AB1296" s="9"/>
      <c r="AC1296" s="9"/>
      <c r="AD1296" s="9"/>
      <c r="AE1296" s="9"/>
      <c r="AF1296" s="9"/>
      <c r="AG1296" s="9"/>
      <c r="AH1296" s="9"/>
      <c r="AI1296" s="9"/>
      <c r="AJ1296" s="9"/>
      <c r="AK1296" s="9"/>
      <c r="AL1296" s="9"/>
      <c r="AM1296" s="69"/>
      <c r="AN1296" s="9"/>
      <c r="AO1296" s="61" t="s">
        <v>1112</v>
      </c>
      <c r="AP1296" s="210"/>
      <c r="AQ1296" s="211"/>
      <c r="AR1296" s="211"/>
      <c r="AS1296" s="211"/>
      <c r="AT1296" s="211"/>
      <c r="AU1296" s="211"/>
      <c r="AV1296" s="211"/>
      <c r="AW1296" s="9"/>
      <c r="AX1296" s="9"/>
      <c r="AY1296" s="9"/>
      <c r="AZ1296" s="9"/>
      <c r="BA1296" s="120"/>
      <c r="BB1296" s="69"/>
      <c r="BC1296" s="165" t="s">
        <v>1615</v>
      </c>
      <c r="BD1296" s="166">
        <v>0.79</v>
      </c>
      <c r="BE1296" s="167" t="s">
        <v>1616</v>
      </c>
      <c r="BF1296" s="168">
        <v>0.2</v>
      </c>
      <c r="BG1296" s="167" t="s">
        <v>1617</v>
      </c>
      <c r="BH1296" s="168">
        <v>0.01</v>
      </c>
      <c r="BI1296" s="169"/>
      <c r="BJ1296" s="168">
        <v>0</v>
      </c>
      <c r="BK1296" s="134" t="s">
        <v>1619</v>
      </c>
      <c r="BL1296" s="168">
        <v>1</v>
      </c>
      <c r="BM1296" s="167" t="s">
        <v>2152</v>
      </c>
      <c r="BN1296" s="168"/>
      <c r="BO1296" s="62"/>
      <c r="BP1296" s="168"/>
      <c r="BQ1296" s="168"/>
      <c r="BR1296" s="168"/>
      <c r="BS1296" s="135" t="s">
        <v>1615</v>
      </c>
      <c r="BT1296" s="168">
        <v>0.79</v>
      </c>
      <c r="BU1296" s="167" t="s">
        <v>1616</v>
      </c>
      <c r="BV1296" s="168">
        <v>0.2</v>
      </c>
      <c r="BW1296" s="167" t="s">
        <v>2153</v>
      </c>
      <c r="BX1296" s="168"/>
      <c r="BY1296" s="167" t="s">
        <v>1617</v>
      </c>
      <c r="BZ1296" s="168">
        <v>0.01</v>
      </c>
      <c r="CA1296" s="167" t="s">
        <v>1621</v>
      </c>
      <c r="CB1296" s="168"/>
      <c r="CC1296" s="62"/>
      <c r="CD1296" s="9"/>
      <c r="CE1296" s="9"/>
      <c r="CF1296" s="9"/>
      <c r="CG1296" s="9"/>
      <c r="CH1296" s="9"/>
      <c r="CI1296" s="9"/>
      <c r="CJ1296" s="9"/>
      <c r="CK1296" s="9"/>
      <c r="CL1296" s="9"/>
      <c r="CM1296" s="9"/>
      <c r="CN1296" s="9"/>
      <c r="CO1296" s="9"/>
      <c r="CP1296" s="9"/>
    </row>
    <row r="1297" spans="1:94" ht="42.75" x14ac:dyDescent="0.25">
      <c r="A1297" s="126" t="s">
        <v>3858</v>
      </c>
      <c r="B1297" s="9" t="s">
        <v>3859</v>
      </c>
      <c r="C1297" s="9"/>
      <c r="D1297" s="9"/>
      <c r="E1297" s="9"/>
      <c r="F1297" s="9"/>
      <c r="G1297" s="9"/>
      <c r="H1297" s="9"/>
      <c r="I1297" s="9"/>
      <c r="J1297" s="9"/>
      <c r="K1297" s="9"/>
      <c r="L1297" s="9"/>
      <c r="M1297" s="9"/>
      <c r="N1297" s="9"/>
      <c r="O1297" s="9"/>
      <c r="P1297" s="9"/>
      <c r="Q1297" s="9"/>
      <c r="R1297" s="9"/>
      <c r="S1297" s="9"/>
      <c r="T1297" s="9"/>
      <c r="U1297" s="9"/>
      <c r="V1297" s="9"/>
      <c r="W1297" s="9"/>
      <c r="X1297" s="9"/>
      <c r="Y1297" s="9"/>
      <c r="Z1297" s="9"/>
      <c r="AA1297" s="9"/>
      <c r="AB1297" s="9"/>
      <c r="AC1297" s="9"/>
      <c r="AD1297" s="9"/>
      <c r="AE1297" s="9"/>
      <c r="AF1297" s="9"/>
      <c r="AG1297" s="9"/>
      <c r="AH1297" s="9"/>
      <c r="AI1297" s="9"/>
      <c r="AJ1297" s="9"/>
      <c r="AK1297" s="9"/>
      <c r="AL1297" s="9"/>
      <c r="AM1297" s="69"/>
      <c r="AN1297" s="9"/>
      <c r="AO1297" s="61" t="s">
        <v>1112</v>
      </c>
      <c r="AP1297" s="212"/>
      <c r="AQ1297" s="213"/>
      <c r="AR1297" s="213"/>
      <c r="AS1297" s="213"/>
      <c r="AT1297" s="213"/>
      <c r="AU1297" s="213"/>
      <c r="AV1297" s="213"/>
      <c r="AW1297" s="62"/>
      <c r="AX1297" s="62"/>
      <c r="AY1297" s="62"/>
      <c r="AZ1297" s="62"/>
      <c r="BA1297" s="141"/>
      <c r="BB1297" s="61"/>
      <c r="BC1297" s="165" t="s">
        <v>1615</v>
      </c>
      <c r="BD1297" s="166">
        <v>0.79</v>
      </c>
      <c r="BE1297" s="167" t="s">
        <v>1616</v>
      </c>
      <c r="BF1297" s="168">
        <v>0.2</v>
      </c>
      <c r="BG1297" s="167" t="s">
        <v>1617</v>
      </c>
      <c r="BH1297" s="168">
        <v>0.01</v>
      </c>
      <c r="BI1297" s="169"/>
      <c r="BJ1297" s="168">
        <v>0</v>
      </c>
      <c r="BK1297" s="134" t="s">
        <v>1619</v>
      </c>
      <c r="BL1297" s="168">
        <v>1</v>
      </c>
      <c r="BM1297" s="167" t="s">
        <v>2152</v>
      </c>
      <c r="BN1297" s="168"/>
      <c r="BO1297" s="62"/>
      <c r="BP1297" s="168"/>
      <c r="BQ1297" s="168"/>
      <c r="BR1297" s="168"/>
      <c r="BS1297" s="135" t="s">
        <v>1615</v>
      </c>
      <c r="BT1297" s="168">
        <v>0.79</v>
      </c>
      <c r="BU1297" s="167" t="s">
        <v>1616</v>
      </c>
      <c r="BV1297" s="168">
        <v>0.2</v>
      </c>
      <c r="BW1297" s="167" t="s">
        <v>2153</v>
      </c>
      <c r="BX1297" s="168"/>
      <c r="BY1297" s="167" t="s">
        <v>1617</v>
      </c>
      <c r="BZ1297" s="168">
        <v>0.01</v>
      </c>
      <c r="CA1297" s="167" t="s">
        <v>1621</v>
      </c>
      <c r="CB1297" s="168"/>
      <c r="CC1297" s="62"/>
      <c r="CD1297" s="168"/>
      <c r="CE1297" s="165"/>
      <c r="CF1297" s="9"/>
      <c r="CG1297" s="9"/>
      <c r="CH1297" s="9"/>
      <c r="CI1297" s="9"/>
      <c r="CJ1297" s="9"/>
      <c r="CK1297" s="9"/>
      <c r="CL1297" s="9"/>
      <c r="CM1297" s="9"/>
      <c r="CN1297" s="9"/>
      <c r="CO1297" s="9"/>
      <c r="CP1297" s="9"/>
    </row>
    <row r="1298" spans="1:94" ht="42.75" x14ac:dyDescent="0.25">
      <c r="A1298" s="126" t="s">
        <v>3860</v>
      </c>
      <c r="B1298" s="9" t="s">
        <v>3861</v>
      </c>
      <c r="C1298" s="9"/>
      <c r="D1298" s="9"/>
      <c r="E1298" s="9"/>
      <c r="F1298" s="9"/>
      <c r="G1298" s="9"/>
      <c r="H1298" s="9"/>
      <c r="I1298" s="9"/>
      <c r="J1298" s="9"/>
      <c r="K1298" s="9"/>
      <c r="L1298" s="9"/>
      <c r="M1298" s="9"/>
      <c r="N1298" s="9"/>
      <c r="O1298" s="9"/>
      <c r="P1298" s="9"/>
      <c r="Q1298" s="9"/>
      <c r="R1298" s="9"/>
      <c r="S1298" s="9"/>
      <c r="T1298" s="9"/>
      <c r="U1298" s="9"/>
      <c r="V1298" s="9"/>
      <c r="W1298" s="9"/>
      <c r="X1298" s="9"/>
      <c r="Y1298" s="9"/>
      <c r="Z1298" s="9"/>
      <c r="AA1298" s="9"/>
      <c r="AB1298" s="9"/>
      <c r="AC1298" s="9"/>
      <c r="AD1298" s="9"/>
      <c r="AE1298" s="9"/>
      <c r="AF1298" s="9"/>
      <c r="AG1298" s="9"/>
      <c r="AH1298" s="9"/>
      <c r="AI1298" s="9"/>
      <c r="AJ1298" s="9"/>
      <c r="AK1298" s="9"/>
      <c r="AL1298" s="9"/>
      <c r="AM1298" s="69"/>
      <c r="AN1298" s="9"/>
      <c r="AO1298" s="61" t="s">
        <v>1112</v>
      </c>
      <c r="AP1298" s="210"/>
      <c r="AQ1298" s="211"/>
      <c r="AR1298" s="211"/>
      <c r="AS1298" s="211"/>
      <c r="AT1298" s="211"/>
      <c r="AU1298" s="211"/>
      <c r="AV1298" s="211"/>
      <c r="AW1298" s="9"/>
      <c r="AX1298" s="9"/>
      <c r="AY1298" s="9"/>
      <c r="AZ1298" s="9"/>
      <c r="BA1298" s="120"/>
      <c r="BB1298" s="69"/>
      <c r="BC1298" s="165" t="s">
        <v>1615</v>
      </c>
      <c r="BD1298" s="166">
        <v>0.79</v>
      </c>
      <c r="BE1298" s="167" t="s">
        <v>1616</v>
      </c>
      <c r="BF1298" s="168">
        <v>0.2</v>
      </c>
      <c r="BG1298" s="167" t="s">
        <v>1617</v>
      </c>
      <c r="BH1298" s="168">
        <v>0.01</v>
      </c>
      <c r="BI1298" s="169"/>
      <c r="BJ1298" s="168">
        <v>0</v>
      </c>
      <c r="BK1298" s="134" t="s">
        <v>1619</v>
      </c>
      <c r="BL1298" s="168">
        <v>1</v>
      </c>
      <c r="BM1298" s="167" t="s">
        <v>2152</v>
      </c>
      <c r="BN1298" s="168"/>
      <c r="BO1298" s="62"/>
      <c r="BP1298" s="168"/>
      <c r="BQ1298" s="168"/>
      <c r="BR1298" s="168"/>
      <c r="BS1298" s="135" t="s">
        <v>1615</v>
      </c>
      <c r="BT1298" s="168">
        <v>0.79</v>
      </c>
      <c r="BU1298" s="167" t="s">
        <v>1616</v>
      </c>
      <c r="BV1298" s="168">
        <v>0.2</v>
      </c>
      <c r="BW1298" s="167" t="s">
        <v>2153</v>
      </c>
      <c r="BX1298" s="168"/>
      <c r="BY1298" s="167" t="s">
        <v>1617</v>
      </c>
      <c r="BZ1298" s="168">
        <v>0.01</v>
      </c>
      <c r="CA1298" s="167" t="s">
        <v>1621</v>
      </c>
      <c r="CB1298" s="168"/>
      <c r="CC1298" s="62"/>
      <c r="CD1298" s="168"/>
      <c r="CE1298" s="165"/>
      <c r="CF1298" s="9"/>
      <c r="CG1298" s="9"/>
      <c r="CH1298" s="9"/>
      <c r="CI1298" s="9"/>
      <c r="CJ1298" s="9"/>
      <c r="CK1298" s="9"/>
      <c r="CL1298" s="9"/>
      <c r="CM1298" s="9"/>
      <c r="CN1298" s="9"/>
      <c r="CO1298" s="9"/>
      <c r="CP1298" s="9"/>
    </row>
    <row r="1299" spans="1:94" ht="42.75" x14ac:dyDescent="0.25">
      <c r="A1299" s="9" t="s">
        <v>3862</v>
      </c>
      <c r="B1299" s="9" t="s">
        <v>3863</v>
      </c>
      <c r="C1299" s="9"/>
      <c r="D1299" s="9"/>
      <c r="E1299" s="9"/>
      <c r="F1299" s="9"/>
      <c r="G1299" s="9"/>
      <c r="H1299" s="9"/>
      <c r="I1299" s="9"/>
      <c r="J1299" s="9"/>
      <c r="K1299" s="9"/>
      <c r="L1299" s="9"/>
      <c r="M1299" s="9"/>
      <c r="N1299" s="9"/>
      <c r="O1299" s="9"/>
      <c r="P1299" s="9"/>
      <c r="Q1299" s="9"/>
      <c r="R1299" s="9"/>
      <c r="S1299" s="9"/>
      <c r="T1299" s="9"/>
      <c r="U1299" s="9"/>
      <c r="V1299" s="9"/>
      <c r="W1299" s="9"/>
      <c r="X1299" s="9"/>
      <c r="Y1299" s="9"/>
      <c r="Z1299" s="9"/>
      <c r="AA1299" s="9"/>
      <c r="AB1299" s="9"/>
      <c r="AC1299" s="9"/>
      <c r="AD1299" s="9"/>
      <c r="AE1299" s="9"/>
      <c r="AF1299" s="9"/>
      <c r="AG1299" s="9"/>
      <c r="AH1299" s="9"/>
      <c r="AI1299" s="9"/>
      <c r="AJ1299" s="9"/>
      <c r="AK1299" s="9"/>
      <c r="AL1299" s="9"/>
      <c r="AM1299" s="69"/>
      <c r="AN1299" s="9"/>
      <c r="AO1299" s="61" t="s">
        <v>1112</v>
      </c>
      <c r="AP1299" s="210"/>
      <c r="AQ1299" s="211"/>
      <c r="AR1299" s="211"/>
      <c r="AS1299" s="211"/>
      <c r="AT1299" s="211"/>
      <c r="AU1299" s="211"/>
      <c r="AV1299" s="211"/>
      <c r="AW1299" s="9"/>
      <c r="AX1299" s="9"/>
      <c r="AY1299" s="9"/>
      <c r="AZ1299" s="9"/>
      <c r="BA1299" s="120"/>
      <c r="BB1299" s="69"/>
      <c r="BC1299" s="165" t="s">
        <v>1615</v>
      </c>
      <c r="BD1299" s="166">
        <v>0.79</v>
      </c>
      <c r="BE1299" s="167" t="s">
        <v>1616</v>
      </c>
      <c r="BF1299" s="168">
        <v>0.2</v>
      </c>
      <c r="BG1299" s="167" t="s">
        <v>1617</v>
      </c>
      <c r="BH1299" s="168">
        <v>0.01</v>
      </c>
      <c r="BI1299" s="169"/>
      <c r="BJ1299" s="168">
        <v>0</v>
      </c>
      <c r="BK1299" s="134" t="s">
        <v>1619</v>
      </c>
      <c r="BL1299" s="168">
        <v>1</v>
      </c>
      <c r="BM1299" s="167" t="s">
        <v>2152</v>
      </c>
      <c r="BN1299" s="168"/>
      <c r="BO1299" s="62"/>
      <c r="BP1299" s="168"/>
      <c r="BQ1299" s="168"/>
      <c r="BR1299" s="168"/>
      <c r="BS1299" s="135" t="s">
        <v>1615</v>
      </c>
      <c r="BT1299" s="168">
        <v>0.79</v>
      </c>
      <c r="BU1299" s="167" t="s">
        <v>1616</v>
      </c>
      <c r="BV1299" s="168">
        <v>0.2</v>
      </c>
      <c r="BW1299" s="167" t="s">
        <v>2153</v>
      </c>
      <c r="BX1299" s="168"/>
      <c r="BY1299" s="167" t="s">
        <v>1617</v>
      </c>
      <c r="BZ1299" s="168">
        <v>0.01</v>
      </c>
      <c r="CA1299" s="167" t="s">
        <v>1621</v>
      </c>
      <c r="CB1299" s="168"/>
      <c r="CC1299" s="62"/>
      <c r="CD1299" s="9"/>
      <c r="CE1299" s="9"/>
      <c r="CF1299" s="9"/>
      <c r="CG1299" s="9"/>
      <c r="CH1299" s="9"/>
      <c r="CI1299" s="9"/>
      <c r="CJ1299" s="9"/>
      <c r="CK1299" s="9"/>
      <c r="CL1299" s="9"/>
      <c r="CM1299" s="9"/>
      <c r="CN1299" s="9"/>
      <c r="CO1299" s="9"/>
      <c r="CP1299" s="9"/>
    </row>
    <row r="1300" spans="1:94" ht="42.75" x14ac:dyDescent="0.25">
      <c r="A1300" s="126" t="s">
        <v>3864</v>
      </c>
      <c r="B1300" s="9" t="s">
        <v>3865</v>
      </c>
      <c r="C1300" s="9"/>
      <c r="D1300" s="9"/>
      <c r="E1300" s="9"/>
      <c r="F1300" s="9"/>
      <c r="G1300" s="9"/>
      <c r="H1300" s="9"/>
      <c r="I1300" s="9"/>
      <c r="J1300" s="9"/>
      <c r="K1300" s="9"/>
      <c r="L1300" s="9"/>
      <c r="M1300" s="9"/>
      <c r="N1300" s="9"/>
      <c r="O1300" s="9"/>
      <c r="P1300" s="9"/>
      <c r="Q1300" s="9"/>
      <c r="R1300" s="9"/>
      <c r="S1300" s="9"/>
      <c r="T1300" s="9"/>
      <c r="U1300" s="9"/>
      <c r="V1300" s="9"/>
      <c r="W1300" s="9"/>
      <c r="X1300" s="9"/>
      <c r="Y1300" s="9"/>
      <c r="Z1300" s="9"/>
      <c r="AA1300" s="9"/>
      <c r="AB1300" s="9"/>
      <c r="AC1300" s="9"/>
      <c r="AD1300" s="9"/>
      <c r="AE1300" s="9"/>
      <c r="AF1300" s="9"/>
      <c r="AG1300" s="9"/>
      <c r="AH1300" s="9"/>
      <c r="AI1300" s="9"/>
      <c r="AJ1300" s="9"/>
      <c r="AK1300" s="9"/>
      <c r="AL1300" s="9"/>
      <c r="AM1300" s="69"/>
      <c r="AN1300" s="9"/>
      <c r="AO1300" s="61" t="s">
        <v>1112</v>
      </c>
      <c r="AP1300" s="210"/>
      <c r="AQ1300" s="211"/>
      <c r="AR1300" s="211"/>
      <c r="AS1300" s="211"/>
      <c r="AT1300" s="211"/>
      <c r="AU1300" s="211"/>
      <c r="AV1300" s="211"/>
      <c r="AW1300" s="9"/>
      <c r="AX1300" s="9"/>
      <c r="AY1300" s="9"/>
      <c r="AZ1300" s="9"/>
      <c r="BA1300" s="120"/>
      <c r="BB1300" s="69"/>
      <c r="BC1300" s="165" t="s">
        <v>1615</v>
      </c>
      <c r="BD1300" s="166">
        <v>0.79</v>
      </c>
      <c r="BE1300" s="167" t="s">
        <v>1616</v>
      </c>
      <c r="BF1300" s="168">
        <v>0.2</v>
      </c>
      <c r="BG1300" s="167" t="s">
        <v>1617</v>
      </c>
      <c r="BH1300" s="168">
        <v>0.01</v>
      </c>
      <c r="BI1300" s="169"/>
      <c r="BJ1300" s="168">
        <v>0</v>
      </c>
      <c r="BK1300" s="134" t="s">
        <v>1619</v>
      </c>
      <c r="BL1300" s="168">
        <v>1</v>
      </c>
      <c r="BM1300" s="167" t="s">
        <v>2152</v>
      </c>
      <c r="BN1300" s="168"/>
      <c r="BO1300" s="62"/>
      <c r="BP1300" s="168"/>
      <c r="BQ1300" s="168"/>
      <c r="BR1300" s="168"/>
      <c r="BS1300" s="135" t="s">
        <v>1615</v>
      </c>
      <c r="BT1300" s="168">
        <v>0.79</v>
      </c>
      <c r="BU1300" s="167" t="s">
        <v>1616</v>
      </c>
      <c r="BV1300" s="168">
        <v>0.2</v>
      </c>
      <c r="BW1300" s="167" t="s">
        <v>2153</v>
      </c>
      <c r="BX1300" s="168"/>
      <c r="BY1300" s="167" t="s">
        <v>1617</v>
      </c>
      <c r="BZ1300" s="168">
        <v>0.01</v>
      </c>
      <c r="CA1300" s="167" t="s">
        <v>1621</v>
      </c>
      <c r="CB1300" s="168"/>
      <c r="CC1300" s="62"/>
      <c r="CD1300" s="168"/>
      <c r="CE1300" s="165"/>
      <c r="CF1300" s="9"/>
      <c r="CG1300" s="9"/>
      <c r="CH1300" s="9"/>
      <c r="CI1300" s="9"/>
      <c r="CJ1300" s="9"/>
      <c r="CK1300" s="9"/>
      <c r="CL1300" s="9"/>
      <c r="CM1300" s="9"/>
      <c r="CN1300" s="9"/>
      <c r="CO1300" s="9"/>
      <c r="CP1300" s="9"/>
    </row>
    <row r="1301" spans="1:94" ht="384.75" x14ac:dyDescent="0.25">
      <c r="A1301" s="62" t="s">
        <v>3766</v>
      </c>
      <c r="B1301" s="131" t="s">
        <v>3866</v>
      </c>
      <c r="C1301" s="215"/>
      <c r="D1301" s="215"/>
      <c r="E1301" s="215"/>
      <c r="F1301" s="215"/>
      <c r="G1301" s="215"/>
      <c r="H1301" s="218"/>
      <c r="I1301" s="62"/>
      <c r="J1301" s="62"/>
      <c r="K1301" s="62"/>
      <c r="L1301" s="62"/>
      <c r="M1301" s="62"/>
      <c r="N1301" s="62"/>
      <c r="O1301" s="62"/>
      <c r="P1301" s="62"/>
      <c r="Q1301" s="62"/>
      <c r="R1301" s="62"/>
      <c r="S1301" s="62"/>
      <c r="T1301" s="62"/>
      <c r="U1301" s="62"/>
      <c r="V1301" s="62"/>
      <c r="W1301" s="62"/>
      <c r="X1301" s="62"/>
      <c r="Y1301" s="62"/>
      <c r="Z1301" s="62"/>
      <c r="AA1301" s="62"/>
      <c r="AB1301" s="62"/>
      <c r="AC1301" s="62"/>
      <c r="AD1301" s="62"/>
      <c r="AE1301" s="62"/>
      <c r="AF1301" s="62"/>
      <c r="AG1301" s="62"/>
      <c r="AH1301" s="62"/>
      <c r="AI1301" s="62"/>
      <c r="AJ1301" s="62"/>
      <c r="AK1301" s="62"/>
      <c r="AL1301" s="62"/>
      <c r="AM1301" s="61"/>
      <c r="AN1301" s="62"/>
      <c r="AO1301" s="61" t="s">
        <v>1112</v>
      </c>
      <c r="AP1301" s="212"/>
      <c r="AQ1301" s="213"/>
      <c r="AR1301" s="213"/>
      <c r="AS1301" s="213"/>
      <c r="AT1301" s="213"/>
      <c r="AU1301" s="213"/>
      <c r="AV1301" s="213"/>
      <c r="AW1301" s="62"/>
      <c r="AX1301" s="62"/>
      <c r="AY1301" s="62"/>
      <c r="AZ1301" s="62"/>
      <c r="BA1301" s="141"/>
      <c r="BB1301" s="61"/>
      <c r="BC1301" s="165" t="s">
        <v>1615</v>
      </c>
      <c r="BD1301" s="166">
        <v>0.89</v>
      </c>
      <c r="BE1301" s="167" t="s">
        <v>1616</v>
      </c>
      <c r="BF1301" s="168">
        <v>0.1</v>
      </c>
      <c r="BG1301" s="167" t="s">
        <v>1617</v>
      </c>
      <c r="BH1301" s="168">
        <v>0.01</v>
      </c>
      <c r="BI1301" s="169"/>
      <c r="BJ1301" s="168">
        <v>0</v>
      </c>
      <c r="BK1301" s="134" t="s">
        <v>2151</v>
      </c>
      <c r="BL1301" s="168">
        <v>0.9</v>
      </c>
      <c r="BM1301" s="167" t="s">
        <v>2152</v>
      </c>
      <c r="BN1301" s="168">
        <v>0.1</v>
      </c>
      <c r="BO1301" s="62"/>
      <c r="BP1301" s="168"/>
      <c r="BQ1301" s="168"/>
      <c r="BR1301" s="168"/>
      <c r="BS1301" s="135" t="s">
        <v>1615</v>
      </c>
      <c r="BT1301" s="168">
        <v>0.87</v>
      </c>
      <c r="BU1301" s="167" t="s">
        <v>1616</v>
      </c>
      <c r="BV1301" s="168">
        <v>0.1</v>
      </c>
      <c r="BW1301" s="167" t="s">
        <v>2153</v>
      </c>
      <c r="BX1301" s="168"/>
      <c r="BY1301" s="167" t="s">
        <v>1617</v>
      </c>
      <c r="BZ1301" s="168">
        <v>0.01</v>
      </c>
      <c r="CA1301" s="167" t="s">
        <v>1621</v>
      </c>
      <c r="CB1301" s="168">
        <v>0.02</v>
      </c>
      <c r="CC1301" s="62"/>
      <c r="CD1301" s="168"/>
      <c r="CE1301" s="165" t="s">
        <v>3867</v>
      </c>
      <c r="CF1301" s="165"/>
      <c r="CG1301" s="216"/>
      <c r="CH1301" s="9"/>
      <c r="CI1301" s="216"/>
      <c r="CJ1301" s="216"/>
      <c r="CK1301" s="216"/>
      <c r="CL1301" s="216"/>
      <c r="CM1301" s="216"/>
      <c r="CN1301" s="216"/>
      <c r="CO1301" s="216"/>
      <c r="CP1301" s="9"/>
    </row>
    <row r="1302" spans="1:94" ht="42.75" x14ac:dyDescent="0.25">
      <c r="A1302" s="126" t="s">
        <v>3868</v>
      </c>
      <c r="B1302" s="131" t="s">
        <v>3869</v>
      </c>
      <c r="C1302" s="215"/>
      <c r="D1302" s="215"/>
      <c r="E1302" s="215"/>
      <c r="F1302" s="215"/>
      <c r="G1302" s="215"/>
      <c r="H1302" s="218"/>
      <c r="I1302" s="62"/>
      <c r="J1302" s="62"/>
      <c r="K1302" s="62"/>
      <c r="L1302" s="62"/>
      <c r="M1302" s="62"/>
      <c r="N1302" s="62"/>
      <c r="O1302" s="62"/>
      <c r="P1302" s="62"/>
      <c r="Q1302" s="62"/>
      <c r="R1302" s="62"/>
      <c r="S1302" s="62"/>
      <c r="T1302" s="62"/>
      <c r="U1302" s="62"/>
      <c r="V1302" s="62"/>
      <c r="W1302" s="62"/>
      <c r="X1302" s="62"/>
      <c r="Y1302" s="62"/>
      <c r="Z1302" s="62"/>
      <c r="AA1302" s="62"/>
      <c r="AB1302" s="62"/>
      <c r="AC1302" s="62"/>
      <c r="AD1302" s="62"/>
      <c r="AE1302" s="62"/>
      <c r="AF1302" s="62"/>
      <c r="AG1302" s="62"/>
      <c r="AH1302" s="62"/>
      <c r="AI1302" s="62"/>
      <c r="AJ1302" s="62"/>
      <c r="AK1302" s="62"/>
      <c r="AL1302" s="62"/>
      <c r="AM1302" s="61"/>
      <c r="AN1302" s="62"/>
      <c r="AO1302" s="61" t="s">
        <v>1112</v>
      </c>
      <c r="AP1302" s="212"/>
      <c r="AQ1302" s="213"/>
      <c r="AR1302" s="213"/>
      <c r="AS1302" s="213"/>
      <c r="AT1302" s="213"/>
      <c r="AU1302" s="213"/>
      <c r="AV1302" s="213"/>
      <c r="AW1302" s="62"/>
      <c r="AX1302" s="62"/>
      <c r="AY1302" s="62"/>
      <c r="AZ1302" s="62"/>
      <c r="BA1302" s="141"/>
      <c r="BB1302" s="61"/>
      <c r="BC1302" s="165" t="s">
        <v>1615</v>
      </c>
      <c r="BD1302" s="166">
        <v>0.89</v>
      </c>
      <c r="BE1302" s="167" t="s">
        <v>1616</v>
      </c>
      <c r="BF1302" s="168">
        <v>0.1</v>
      </c>
      <c r="BG1302" s="167" t="s">
        <v>1617</v>
      </c>
      <c r="BH1302" s="168">
        <v>0.01</v>
      </c>
      <c r="BI1302" s="169"/>
      <c r="BJ1302" s="168">
        <v>0</v>
      </c>
      <c r="BK1302" s="134" t="s">
        <v>2151</v>
      </c>
      <c r="BL1302" s="168">
        <v>0.9</v>
      </c>
      <c r="BM1302" s="167" t="s">
        <v>2152</v>
      </c>
      <c r="BN1302" s="168">
        <v>0.1</v>
      </c>
      <c r="BO1302" s="62"/>
      <c r="BP1302" s="168"/>
      <c r="BQ1302" s="168"/>
      <c r="BR1302" s="168"/>
      <c r="BS1302" s="135" t="s">
        <v>1615</v>
      </c>
      <c r="BT1302" s="168">
        <v>0.87</v>
      </c>
      <c r="BU1302" s="167" t="s">
        <v>1616</v>
      </c>
      <c r="BV1302" s="168">
        <v>0.1</v>
      </c>
      <c r="BW1302" s="167" t="s">
        <v>2153</v>
      </c>
      <c r="BX1302" s="168"/>
      <c r="BY1302" s="167" t="s">
        <v>1617</v>
      </c>
      <c r="BZ1302" s="168">
        <v>0.01</v>
      </c>
      <c r="CA1302" s="167" t="s">
        <v>1621</v>
      </c>
      <c r="CB1302" s="168">
        <v>0.02</v>
      </c>
      <c r="CC1302" s="62"/>
      <c r="CD1302" s="168"/>
      <c r="CE1302" s="165"/>
      <c r="CF1302" s="165"/>
      <c r="CG1302" s="204"/>
      <c r="CH1302" s="9"/>
      <c r="CI1302" s="204"/>
      <c r="CJ1302" s="204"/>
      <c r="CK1302" s="204"/>
      <c r="CL1302" s="204"/>
      <c r="CM1302" s="204"/>
      <c r="CN1302" s="204"/>
      <c r="CO1302" s="204"/>
      <c r="CP1302" s="9"/>
    </row>
    <row r="1303" spans="1:94" ht="42.75" x14ac:dyDescent="0.25">
      <c r="A1303" s="126" t="s">
        <v>3870</v>
      </c>
      <c r="B1303" s="131" t="s">
        <v>3737</v>
      </c>
      <c r="C1303" s="215"/>
      <c r="D1303" s="215"/>
      <c r="E1303" s="215"/>
      <c r="F1303" s="215"/>
      <c r="G1303" s="215"/>
      <c r="H1303" s="218"/>
      <c r="I1303" s="62"/>
      <c r="J1303" s="62"/>
      <c r="K1303" s="62"/>
      <c r="L1303" s="62"/>
      <c r="M1303" s="62"/>
      <c r="N1303" s="62"/>
      <c r="O1303" s="62"/>
      <c r="P1303" s="62"/>
      <c r="Q1303" s="62"/>
      <c r="R1303" s="62"/>
      <c r="S1303" s="62"/>
      <c r="T1303" s="62"/>
      <c r="U1303" s="62"/>
      <c r="V1303" s="62"/>
      <c r="W1303" s="62"/>
      <c r="X1303" s="62"/>
      <c r="Y1303" s="62"/>
      <c r="Z1303" s="62"/>
      <c r="AA1303" s="62"/>
      <c r="AB1303" s="62"/>
      <c r="AC1303" s="62"/>
      <c r="AD1303" s="62"/>
      <c r="AE1303" s="62"/>
      <c r="AF1303" s="62"/>
      <c r="AG1303" s="62"/>
      <c r="AH1303" s="62"/>
      <c r="AI1303" s="62"/>
      <c r="AJ1303" s="62"/>
      <c r="AK1303" s="62"/>
      <c r="AL1303" s="62"/>
      <c r="AM1303" s="61"/>
      <c r="AN1303" s="62"/>
      <c r="AO1303" s="61" t="s">
        <v>1112</v>
      </c>
      <c r="AP1303" s="212"/>
      <c r="AQ1303" s="213"/>
      <c r="AR1303" s="213"/>
      <c r="AS1303" s="213"/>
      <c r="AT1303" s="213"/>
      <c r="AU1303" s="213"/>
      <c r="AV1303" s="213"/>
      <c r="AW1303" s="62"/>
      <c r="AX1303" s="62"/>
      <c r="AY1303" s="62"/>
      <c r="AZ1303" s="62"/>
      <c r="BA1303" s="141"/>
      <c r="BB1303" s="61"/>
      <c r="BC1303" s="165" t="s">
        <v>1615</v>
      </c>
      <c r="BD1303" s="166">
        <v>0.79</v>
      </c>
      <c r="BE1303" s="167" t="s">
        <v>1616</v>
      </c>
      <c r="BF1303" s="168">
        <v>0.2</v>
      </c>
      <c r="BG1303" s="167" t="s">
        <v>1617</v>
      </c>
      <c r="BH1303" s="168">
        <v>0.01</v>
      </c>
      <c r="BI1303" s="214" t="s">
        <v>1618</v>
      </c>
      <c r="BJ1303" s="168">
        <v>0</v>
      </c>
      <c r="BK1303" s="134" t="s">
        <v>1619</v>
      </c>
      <c r="BL1303" s="168">
        <v>1</v>
      </c>
      <c r="BM1303" s="167" t="s">
        <v>1618</v>
      </c>
      <c r="BN1303" s="168"/>
      <c r="BO1303" s="62" t="s">
        <v>3616</v>
      </c>
      <c r="BP1303" s="168"/>
      <c r="BQ1303" s="168"/>
      <c r="BR1303" s="168"/>
      <c r="BS1303" s="135" t="s">
        <v>1619</v>
      </c>
      <c r="BT1303" s="168">
        <v>0.79</v>
      </c>
      <c r="BU1303" s="167" t="s">
        <v>1616</v>
      </c>
      <c r="BV1303" s="168">
        <v>0.2</v>
      </c>
      <c r="BW1303" s="167" t="s">
        <v>2153</v>
      </c>
      <c r="BX1303" s="168"/>
      <c r="BY1303" s="167" t="s">
        <v>1617</v>
      </c>
      <c r="BZ1303" s="168">
        <v>0.01</v>
      </c>
      <c r="CA1303" s="167" t="s">
        <v>1621</v>
      </c>
      <c r="CB1303" s="168"/>
      <c r="CC1303" s="62"/>
      <c r="CD1303" s="168"/>
      <c r="CE1303" s="165"/>
      <c r="CF1303" s="165"/>
      <c r="CG1303" s="228"/>
      <c r="CH1303" s="9"/>
      <c r="CI1303" s="228"/>
      <c r="CJ1303" s="228"/>
      <c r="CK1303" s="228"/>
      <c r="CL1303" s="228"/>
      <c r="CM1303" s="228"/>
      <c r="CN1303" s="228"/>
      <c r="CO1303" s="228"/>
      <c r="CP1303" s="105"/>
    </row>
    <row r="1304" spans="1:94" ht="42.75" x14ac:dyDescent="0.25">
      <c r="A1304" s="126" t="s">
        <v>3871</v>
      </c>
      <c r="B1304" s="131" t="s">
        <v>3739</v>
      </c>
      <c r="C1304" s="215"/>
      <c r="D1304" s="215"/>
      <c r="E1304" s="215"/>
      <c r="F1304" s="215"/>
      <c r="G1304" s="215"/>
      <c r="H1304" s="218"/>
      <c r="I1304" s="62"/>
      <c r="J1304" s="62"/>
      <c r="K1304" s="62"/>
      <c r="L1304" s="62"/>
      <c r="M1304" s="62"/>
      <c r="N1304" s="62"/>
      <c r="O1304" s="62"/>
      <c r="P1304" s="62"/>
      <c r="Q1304" s="62"/>
      <c r="R1304" s="62"/>
      <c r="S1304" s="62"/>
      <c r="T1304" s="62"/>
      <c r="U1304" s="62"/>
      <c r="V1304" s="62"/>
      <c r="W1304" s="62"/>
      <c r="X1304" s="62"/>
      <c r="Y1304" s="62"/>
      <c r="Z1304" s="62"/>
      <c r="AA1304" s="62"/>
      <c r="AB1304" s="62"/>
      <c r="AC1304" s="62"/>
      <c r="AD1304" s="62"/>
      <c r="AE1304" s="62"/>
      <c r="AF1304" s="62"/>
      <c r="AG1304" s="62"/>
      <c r="AH1304" s="62"/>
      <c r="AI1304" s="62"/>
      <c r="AJ1304" s="62"/>
      <c r="AK1304" s="62"/>
      <c r="AL1304" s="62"/>
      <c r="AM1304" s="61"/>
      <c r="AN1304" s="62"/>
      <c r="AO1304" s="61" t="s">
        <v>1112</v>
      </c>
      <c r="AP1304" s="212"/>
      <c r="AQ1304" s="213"/>
      <c r="AR1304" s="213"/>
      <c r="AS1304" s="213"/>
      <c r="AT1304" s="213"/>
      <c r="AU1304" s="213"/>
      <c r="AV1304" s="213"/>
      <c r="AW1304" s="62"/>
      <c r="AX1304" s="62"/>
      <c r="AY1304" s="62"/>
      <c r="AZ1304" s="62"/>
      <c r="BA1304" s="141"/>
      <c r="BB1304" s="61"/>
      <c r="BC1304" s="165" t="s">
        <v>1615</v>
      </c>
      <c r="BD1304" s="166">
        <v>0.79</v>
      </c>
      <c r="BE1304" s="167" t="s">
        <v>1616</v>
      </c>
      <c r="BF1304" s="168">
        <v>0.2</v>
      </c>
      <c r="BG1304" s="167" t="s">
        <v>1617</v>
      </c>
      <c r="BH1304" s="168">
        <v>0.01</v>
      </c>
      <c r="BI1304" s="214" t="s">
        <v>1618</v>
      </c>
      <c r="BJ1304" s="168">
        <v>0</v>
      </c>
      <c r="BK1304" s="134" t="s">
        <v>1619</v>
      </c>
      <c r="BL1304" s="168">
        <v>1</v>
      </c>
      <c r="BM1304" s="167" t="s">
        <v>1618</v>
      </c>
      <c r="BN1304" s="168"/>
      <c r="BO1304" s="62" t="s">
        <v>3616</v>
      </c>
      <c r="BP1304" s="168"/>
      <c r="BQ1304" s="168"/>
      <c r="BR1304" s="168"/>
      <c r="BS1304" s="135" t="s">
        <v>1619</v>
      </c>
      <c r="BT1304" s="168">
        <v>0.79</v>
      </c>
      <c r="BU1304" s="167" t="s">
        <v>1616</v>
      </c>
      <c r="BV1304" s="168">
        <v>0.2</v>
      </c>
      <c r="BW1304" s="167" t="s">
        <v>2153</v>
      </c>
      <c r="BX1304" s="168"/>
      <c r="BY1304" s="167" t="s">
        <v>1617</v>
      </c>
      <c r="BZ1304" s="168">
        <v>0.01</v>
      </c>
      <c r="CA1304" s="167" t="s">
        <v>1621</v>
      </c>
      <c r="CB1304" s="168"/>
      <c r="CC1304" s="62"/>
      <c r="CD1304" s="168"/>
      <c r="CE1304" s="165"/>
      <c r="CF1304" s="165"/>
      <c r="CG1304" s="228"/>
      <c r="CH1304" s="9"/>
      <c r="CI1304" s="228"/>
      <c r="CJ1304" s="228"/>
      <c r="CK1304" s="228"/>
      <c r="CL1304" s="228"/>
      <c r="CM1304" s="228"/>
      <c r="CN1304" s="228"/>
      <c r="CO1304" s="228"/>
      <c r="CP1304" s="105"/>
    </row>
    <row r="1305" spans="1:94" ht="42.75" x14ac:dyDescent="0.25">
      <c r="A1305" s="126" t="s">
        <v>3872</v>
      </c>
      <c r="B1305" s="9" t="s">
        <v>3873</v>
      </c>
      <c r="C1305" s="9"/>
      <c r="D1305" s="9"/>
      <c r="E1305" s="9"/>
      <c r="F1305" s="9"/>
      <c r="G1305" s="9"/>
      <c r="H1305" s="9"/>
      <c r="I1305" s="9"/>
      <c r="J1305" s="9"/>
      <c r="K1305" s="9"/>
      <c r="L1305" s="9"/>
      <c r="M1305" s="9"/>
      <c r="N1305" s="9"/>
      <c r="O1305" s="9"/>
      <c r="P1305" s="9"/>
      <c r="Q1305" s="9"/>
      <c r="R1305" s="9"/>
      <c r="S1305" s="9"/>
      <c r="T1305" s="9"/>
      <c r="U1305" s="9"/>
      <c r="V1305" s="9"/>
      <c r="W1305" s="9"/>
      <c r="X1305" s="9"/>
      <c r="Y1305" s="9"/>
      <c r="Z1305" s="9"/>
      <c r="AA1305" s="9"/>
      <c r="AB1305" s="9"/>
      <c r="AC1305" s="9"/>
      <c r="AD1305" s="9"/>
      <c r="AE1305" s="9"/>
      <c r="AF1305" s="9"/>
      <c r="AG1305" s="9"/>
      <c r="AH1305" s="9"/>
      <c r="AI1305" s="9"/>
      <c r="AJ1305" s="9"/>
      <c r="AK1305" s="9"/>
      <c r="AL1305" s="9"/>
      <c r="AM1305" s="69"/>
      <c r="AN1305" s="9"/>
      <c r="AO1305" s="61" t="s">
        <v>1112</v>
      </c>
      <c r="AP1305" s="212"/>
      <c r="AQ1305" s="213"/>
      <c r="AR1305" s="213"/>
      <c r="AS1305" s="213"/>
      <c r="AT1305" s="213"/>
      <c r="AU1305" s="213"/>
      <c r="AV1305" s="213"/>
      <c r="AW1305" s="62"/>
      <c r="AX1305" s="62"/>
      <c r="AY1305" s="62"/>
      <c r="AZ1305" s="62"/>
      <c r="BA1305" s="141"/>
      <c r="BB1305" s="61"/>
      <c r="BC1305" s="165" t="s">
        <v>1615</v>
      </c>
      <c r="BD1305" s="166">
        <v>0.79</v>
      </c>
      <c r="BE1305" s="167" t="s">
        <v>1616</v>
      </c>
      <c r="BF1305" s="168">
        <v>0.2</v>
      </c>
      <c r="BG1305" s="167" t="s">
        <v>1617</v>
      </c>
      <c r="BH1305" s="168">
        <v>0.01</v>
      </c>
      <c r="BI1305" s="214" t="s">
        <v>1618</v>
      </c>
      <c r="BJ1305" s="168">
        <v>0</v>
      </c>
      <c r="BK1305" s="134" t="s">
        <v>1619</v>
      </c>
      <c r="BL1305" s="168">
        <v>1</v>
      </c>
      <c r="BM1305" s="167" t="s">
        <v>1618</v>
      </c>
      <c r="BN1305" s="168"/>
      <c r="BO1305" s="62" t="s">
        <v>3616</v>
      </c>
      <c r="BP1305" s="168"/>
      <c r="BQ1305" s="168"/>
      <c r="BR1305" s="168"/>
      <c r="BS1305" s="135" t="s">
        <v>1619</v>
      </c>
      <c r="BT1305" s="168">
        <v>0.79</v>
      </c>
      <c r="BU1305" s="167" t="s">
        <v>1616</v>
      </c>
      <c r="BV1305" s="168">
        <v>0.2</v>
      </c>
      <c r="BW1305" s="167" t="s">
        <v>2153</v>
      </c>
      <c r="BX1305" s="168"/>
      <c r="BY1305" s="167" t="s">
        <v>1617</v>
      </c>
      <c r="BZ1305" s="168">
        <v>0.01</v>
      </c>
      <c r="CA1305" s="167" t="s">
        <v>1621</v>
      </c>
      <c r="CB1305" s="168"/>
      <c r="CC1305" s="62"/>
      <c r="CD1305" s="168"/>
      <c r="CE1305" s="165"/>
      <c r="CF1305" s="165"/>
      <c r="CG1305" s="9"/>
      <c r="CH1305" s="9"/>
      <c r="CI1305" s="9"/>
      <c r="CJ1305" s="9"/>
      <c r="CK1305" s="9"/>
      <c r="CL1305" s="9"/>
      <c r="CM1305" s="9"/>
      <c r="CN1305" s="9"/>
      <c r="CO1305" s="9"/>
      <c r="CP1305" s="9"/>
    </row>
    <row r="1306" spans="1:94" ht="42.75" x14ac:dyDescent="0.25">
      <c r="A1306" s="126" t="s">
        <v>3874</v>
      </c>
      <c r="B1306" s="131" t="s">
        <v>3875</v>
      </c>
      <c r="C1306" s="215"/>
      <c r="D1306" s="215"/>
      <c r="E1306" s="215"/>
      <c r="F1306" s="215"/>
      <c r="G1306" s="215"/>
      <c r="H1306" s="218"/>
      <c r="I1306" s="62"/>
      <c r="J1306" s="62"/>
      <c r="K1306" s="62"/>
      <c r="L1306" s="62"/>
      <c r="M1306" s="62"/>
      <c r="N1306" s="62"/>
      <c r="O1306" s="62"/>
      <c r="P1306" s="62"/>
      <c r="Q1306" s="62"/>
      <c r="R1306" s="62"/>
      <c r="S1306" s="62"/>
      <c r="T1306" s="62"/>
      <c r="U1306" s="62"/>
      <c r="V1306" s="62"/>
      <c r="W1306" s="62"/>
      <c r="X1306" s="62"/>
      <c r="Y1306" s="62"/>
      <c r="Z1306" s="62"/>
      <c r="AA1306" s="62"/>
      <c r="AB1306" s="62"/>
      <c r="AC1306" s="62"/>
      <c r="AD1306" s="62"/>
      <c r="AE1306" s="62"/>
      <c r="AF1306" s="62"/>
      <c r="AG1306" s="62"/>
      <c r="AH1306" s="62"/>
      <c r="AI1306" s="62"/>
      <c r="AJ1306" s="62"/>
      <c r="AK1306" s="62"/>
      <c r="AL1306" s="62"/>
      <c r="AM1306" s="61"/>
      <c r="AN1306" s="62"/>
      <c r="AO1306" s="61" t="s">
        <v>1112</v>
      </c>
      <c r="AP1306" s="212"/>
      <c r="AQ1306" s="213"/>
      <c r="AR1306" s="213"/>
      <c r="AS1306" s="213"/>
      <c r="AT1306" s="213"/>
      <c r="AU1306" s="213"/>
      <c r="AV1306" s="213"/>
      <c r="AW1306" s="62"/>
      <c r="AX1306" s="62"/>
      <c r="AY1306" s="62"/>
      <c r="AZ1306" s="62"/>
      <c r="BA1306" s="141"/>
      <c r="BB1306" s="61"/>
      <c r="BC1306" s="165" t="s">
        <v>1615</v>
      </c>
      <c r="BD1306" s="166">
        <v>0.79</v>
      </c>
      <c r="BE1306" s="167" t="s">
        <v>1616</v>
      </c>
      <c r="BF1306" s="168">
        <v>0.2</v>
      </c>
      <c r="BG1306" s="167" t="s">
        <v>1617</v>
      </c>
      <c r="BH1306" s="168">
        <v>0.01</v>
      </c>
      <c r="BI1306" s="214" t="s">
        <v>1618</v>
      </c>
      <c r="BJ1306" s="168">
        <v>0</v>
      </c>
      <c r="BK1306" s="134" t="s">
        <v>1619</v>
      </c>
      <c r="BL1306" s="168">
        <v>1</v>
      </c>
      <c r="BM1306" s="167" t="s">
        <v>1618</v>
      </c>
      <c r="BN1306" s="168"/>
      <c r="BO1306" s="62" t="s">
        <v>3616</v>
      </c>
      <c r="BP1306" s="168"/>
      <c r="BQ1306" s="168"/>
      <c r="BR1306" s="168"/>
      <c r="BS1306" s="135" t="s">
        <v>1619</v>
      </c>
      <c r="BT1306" s="168">
        <v>0.79</v>
      </c>
      <c r="BU1306" s="167" t="s">
        <v>1616</v>
      </c>
      <c r="BV1306" s="168">
        <v>0.2</v>
      </c>
      <c r="BW1306" s="167" t="s">
        <v>2153</v>
      </c>
      <c r="BX1306" s="168"/>
      <c r="BY1306" s="167" t="s">
        <v>1617</v>
      </c>
      <c r="BZ1306" s="168">
        <v>0.01</v>
      </c>
      <c r="CA1306" s="167" t="s">
        <v>1621</v>
      </c>
      <c r="CB1306" s="168"/>
      <c r="CC1306" s="62"/>
      <c r="CD1306" s="168"/>
      <c r="CE1306" s="165"/>
      <c r="CF1306" s="229"/>
      <c r="CG1306" s="224"/>
      <c r="CH1306" s="9"/>
      <c r="CI1306" s="224"/>
      <c r="CJ1306" s="224"/>
      <c r="CK1306" s="224"/>
      <c r="CL1306" s="224"/>
      <c r="CM1306" s="224"/>
      <c r="CN1306" s="224"/>
      <c r="CO1306" s="224"/>
      <c r="CP1306" s="105"/>
    </row>
    <row r="1307" spans="1:94" ht="15.75" x14ac:dyDescent="0.25">
      <c r="A1307" s="126" t="s">
        <v>3876</v>
      </c>
      <c r="B1307" s="9" t="s">
        <v>3877</v>
      </c>
      <c r="C1307" s="9"/>
      <c r="D1307" s="9"/>
      <c r="E1307" s="9"/>
      <c r="F1307" s="9"/>
      <c r="G1307" s="9"/>
      <c r="H1307" s="9"/>
      <c r="I1307" s="9"/>
      <c r="J1307" s="9"/>
      <c r="K1307" s="9"/>
      <c r="L1307" s="9"/>
      <c r="M1307" s="9"/>
      <c r="N1307" s="9"/>
      <c r="O1307" s="9"/>
      <c r="P1307" s="9"/>
      <c r="Q1307" s="9"/>
      <c r="R1307" s="9"/>
      <c r="S1307" s="9"/>
      <c r="T1307" s="9"/>
      <c r="U1307" s="9"/>
      <c r="V1307" s="9"/>
      <c r="W1307" s="9"/>
      <c r="X1307" s="9"/>
      <c r="Y1307" s="9"/>
      <c r="Z1307" s="9"/>
      <c r="AA1307" s="9"/>
      <c r="AB1307" s="9"/>
      <c r="AC1307" s="9"/>
      <c r="AD1307" s="9"/>
      <c r="AE1307" s="9"/>
      <c r="AF1307" s="9"/>
      <c r="AG1307" s="9"/>
      <c r="AH1307" s="9"/>
      <c r="AI1307" s="9"/>
      <c r="AJ1307" s="9"/>
      <c r="AK1307" s="9"/>
      <c r="AL1307" s="9"/>
      <c r="AM1307" s="69"/>
      <c r="AN1307" s="9"/>
      <c r="AO1307" s="61" t="s">
        <v>1112</v>
      </c>
      <c r="AP1307" s="210"/>
      <c r="AQ1307" s="211"/>
      <c r="AR1307" s="211"/>
      <c r="AS1307" s="211"/>
      <c r="AT1307" s="211"/>
      <c r="AU1307" s="211"/>
      <c r="AV1307" s="211"/>
      <c r="AW1307" s="9"/>
      <c r="AX1307" s="9"/>
      <c r="AY1307" s="9"/>
      <c r="AZ1307" s="9"/>
      <c r="BA1307" s="120"/>
      <c r="BB1307" s="69"/>
      <c r="BC1307" s="9"/>
      <c r="BD1307" s="9"/>
      <c r="BE1307" s="9"/>
      <c r="BF1307" s="9"/>
      <c r="BG1307" s="9"/>
      <c r="BH1307" s="9"/>
      <c r="BI1307" s="9"/>
      <c r="BJ1307" s="9"/>
      <c r="BK1307" s="9"/>
      <c r="BL1307" s="9"/>
      <c r="BM1307" s="9"/>
      <c r="BN1307" s="9"/>
      <c r="BO1307" s="9"/>
      <c r="BP1307" s="9"/>
      <c r="BQ1307" s="9"/>
      <c r="BR1307" s="9"/>
      <c r="BS1307" s="9"/>
      <c r="BT1307" s="9"/>
      <c r="BU1307" s="9"/>
      <c r="BV1307" s="9"/>
      <c r="BW1307" s="9"/>
      <c r="BX1307" s="9"/>
      <c r="BY1307" s="9"/>
      <c r="BZ1307" s="9"/>
      <c r="CA1307" s="9"/>
      <c r="CB1307" s="9"/>
      <c r="CC1307" s="9"/>
      <c r="CD1307" s="9"/>
      <c r="CE1307" s="9"/>
      <c r="CF1307" s="9"/>
      <c r="CG1307" s="9"/>
      <c r="CH1307" s="9"/>
      <c r="CI1307" s="9"/>
      <c r="CJ1307" s="9"/>
      <c r="CK1307" s="9"/>
      <c r="CL1307" s="9"/>
      <c r="CM1307" s="9"/>
      <c r="CN1307" s="9"/>
      <c r="CO1307" s="9"/>
      <c r="CP1307" s="9"/>
    </row>
    <row r="1308" spans="1:94" ht="15.75" x14ac:dyDescent="0.25">
      <c r="A1308" s="126" t="s">
        <v>3878</v>
      </c>
      <c r="B1308" s="9" t="s">
        <v>3879</v>
      </c>
      <c r="C1308" s="9"/>
      <c r="D1308" s="9"/>
      <c r="E1308" s="9"/>
      <c r="F1308" s="9"/>
      <c r="G1308" s="9"/>
      <c r="H1308" s="9"/>
      <c r="I1308" s="9"/>
      <c r="J1308" s="9"/>
      <c r="K1308" s="9"/>
      <c r="L1308" s="9"/>
      <c r="M1308" s="9"/>
      <c r="N1308" s="9"/>
      <c r="O1308" s="9"/>
      <c r="P1308" s="9"/>
      <c r="Q1308" s="9"/>
      <c r="R1308" s="9"/>
      <c r="S1308" s="9"/>
      <c r="T1308" s="9"/>
      <c r="U1308" s="9"/>
      <c r="V1308" s="9"/>
      <c r="W1308" s="9"/>
      <c r="X1308" s="9"/>
      <c r="Y1308" s="9"/>
      <c r="Z1308" s="9"/>
      <c r="AA1308" s="9"/>
      <c r="AB1308" s="9"/>
      <c r="AC1308" s="9"/>
      <c r="AD1308" s="9"/>
      <c r="AE1308" s="9"/>
      <c r="AF1308" s="9"/>
      <c r="AG1308" s="9"/>
      <c r="AH1308" s="9"/>
      <c r="AI1308" s="9"/>
      <c r="AJ1308" s="9"/>
      <c r="AK1308" s="9"/>
      <c r="AL1308" s="9"/>
      <c r="AM1308" s="69"/>
      <c r="AN1308" s="9"/>
      <c r="AO1308" s="61" t="s">
        <v>1112</v>
      </c>
      <c r="AP1308" s="210"/>
      <c r="AQ1308" s="211"/>
      <c r="AR1308" s="211"/>
      <c r="AS1308" s="211"/>
      <c r="AT1308" s="211"/>
      <c r="AU1308" s="211"/>
      <c r="AV1308" s="211"/>
      <c r="AW1308" s="9"/>
      <c r="AX1308" s="9"/>
      <c r="AY1308" s="9"/>
      <c r="AZ1308" s="9"/>
      <c r="BA1308" s="120"/>
      <c r="BB1308" s="69"/>
      <c r="BC1308" s="9"/>
      <c r="BD1308" s="9"/>
      <c r="BE1308" s="9"/>
      <c r="BF1308" s="9"/>
      <c r="BG1308" s="9"/>
      <c r="BH1308" s="9"/>
      <c r="BI1308" s="9"/>
      <c r="BJ1308" s="9"/>
      <c r="BK1308" s="9"/>
      <c r="BL1308" s="9"/>
      <c r="BM1308" s="9"/>
      <c r="BN1308" s="9"/>
      <c r="BO1308" s="9"/>
      <c r="BP1308" s="9"/>
      <c r="BQ1308" s="9"/>
      <c r="BR1308" s="9"/>
      <c r="BS1308" s="9"/>
      <c r="BT1308" s="9"/>
      <c r="BU1308" s="9"/>
      <c r="BV1308" s="9"/>
      <c r="BW1308" s="9"/>
      <c r="BX1308" s="9"/>
      <c r="BY1308" s="9"/>
      <c r="BZ1308" s="9"/>
      <c r="CA1308" s="9"/>
      <c r="CB1308" s="9"/>
      <c r="CC1308" s="9"/>
      <c r="CD1308" s="9"/>
      <c r="CE1308" s="9"/>
      <c r="CF1308" s="9"/>
      <c r="CG1308" s="9"/>
      <c r="CH1308" s="9"/>
      <c r="CI1308" s="9"/>
      <c r="CJ1308" s="9"/>
      <c r="CK1308" s="9"/>
      <c r="CL1308" s="9"/>
      <c r="CM1308" s="9"/>
      <c r="CN1308" s="9"/>
      <c r="CO1308" s="9"/>
      <c r="CP1308" s="9"/>
    </row>
    <row r="1309" spans="1:94" ht="42.75" x14ac:dyDescent="0.25">
      <c r="A1309" s="126" t="s">
        <v>3880</v>
      </c>
      <c r="B1309" s="9" t="s">
        <v>3881</v>
      </c>
      <c r="C1309" s="9"/>
      <c r="D1309" s="9"/>
      <c r="E1309" s="9"/>
      <c r="F1309" s="9"/>
      <c r="G1309" s="9"/>
      <c r="H1309" s="9"/>
      <c r="I1309" s="9"/>
      <c r="J1309" s="9"/>
      <c r="K1309" s="9"/>
      <c r="L1309" s="9"/>
      <c r="M1309" s="9"/>
      <c r="N1309" s="9"/>
      <c r="O1309" s="9"/>
      <c r="P1309" s="9"/>
      <c r="Q1309" s="9"/>
      <c r="R1309" s="9"/>
      <c r="S1309" s="9"/>
      <c r="T1309" s="9"/>
      <c r="U1309" s="9"/>
      <c r="V1309" s="9"/>
      <c r="W1309" s="9"/>
      <c r="X1309" s="9"/>
      <c r="Y1309" s="9"/>
      <c r="Z1309" s="9"/>
      <c r="AA1309" s="9"/>
      <c r="AB1309" s="9"/>
      <c r="AC1309" s="9"/>
      <c r="AD1309" s="9"/>
      <c r="AE1309" s="9"/>
      <c r="AF1309" s="9"/>
      <c r="AG1309" s="9"/>
      <c r="AH1309" s="9"/>
      <c r="AI1309" s="9"/>
      <c r="AJ1309" s="9"/>
      <c r="AK1309" s="9"/>
      <c r="AL1309" s="9"/>
      <c r="AM1309" s="69"/>
      <c r="AN1309" s="9"/>
      <c r="AO1309" s="61" t="s">
        <v>1112</v>
      </c>
      <c r="AP1309" s="210"/>
      <c r="AQ1309" s="211"/>
      <c r="AR1309" s="211"/>
      <c r="AS1309" s="211"/>
      <c r="AT1309" s="211"/>
      <c r="AU1309" s="211"/>
      <c r="AV1309" s="211"/>
      <c r="AW1309" s="9"/>
      <c r="AX1309" s="9"/>
      <c r="AY1309" s="9"/>
      <c r="AZ1309" s="9"/>
      <c r="BA1309" s="120"/>
      <c r="BB1309" s="69"/>
      <c r="BC1309" s="165" t="s">
        <v>1615</v>
      </c>
      <c r="BD1309" s="166">
        <v>0.79</v>
      </c>
      <c r="BE1309" s="167" t="s">
        <v>1616</v>
      </c>
      <c r="BF1309" s="168">
        <v>0.2</v>
      </c>
      <c r="BG1309" s="167" t="s">
        <v>1617</v>
      </c>
      <c r="BH1309" s="168">
        <v>0.01</v>
      </c>
      <c r="BI1309" s="214" t="s">
        <v>1618</v>
      </c>
      <c r="BJ1309" s="168">
        <v>0</v>
      </c>
      <c r="BK1309" s="134" t="s">
        <v>1619</v>
      </c>
      <c r="BL1309" s="168">
        <v>1</v>
      </c>
      <c r="BM1309" s="167" t="s">
        <v>1618</v>
      </c>
      <c r="BN1309" s="168"/>
      <c r="BO1309" s="62" t="s">
        <v>3616</v>
      </c>
      <c r="BP1309" s="168"/>
      <c r="BQ1309" s="168"/>
      <c r="BR1309" s="168"/>
      <c r="BS1309" s="135" t="s">
        <v>1619</v>
      </c>
      <c r="BT1309" s="168">
        <v>0.79</v>
      </c>
      <c r="BU1309" s="167" t="s">
        <v>1616</v>
      </c>
      <c r="BV1309" s="168">
        <v>0.2</v>
      </c>
      <c r="BW1309" s="167" t="s">
        <v>2153</v>
      </c>
      <c r="BX1309" s="168"/>
      <c r="BY1309" s="167" t="s">
        <v>1617</v>
      </c>
      <c r="BZ1309" s="168">
        <v>0.01</v>
      </c>
      <c r="CA1309" s="167" t="s">
        <v>1621</v>
      </c>
      <c r="CB1309" s="168"/>
      <c r="CC1309" s="62"/>
      <c r="CD1309" s="9"/>
      <c r="CE1309" s="9"/>
      <c r="CF1309" s="9"/>
      <c r="CG1309" s="9"/>
      <c r="CH1309" s="9"/>
      <c r="CI1309" s="9"/>
      <c r="CJ1309" s="9"/>
      <c r="CK1309" s="9"/>
      <c r="CL1309" s="9"/>
      <c r="CM1309" s="9"/>
      <c r="CN1309" s="9"/>
      <c r="CO1309" s="9"/>
      <c r="CP1309" s="9"/>
    </row>
    <row r="1310" spans="1:94" ht="409.5" x14ac:dyDescent="0.25">
      <c r="A1310" s="104" t="s">
        <v>3882</v>
      </c>
      <c r="B1310" s="131" t="s">
        <v>3883</v>
      </c>
      <c r="C1310" s="215"/>
      <c r="D1310" s="215"/>
      <c r="E1310" s="215"/>
      <c r="F1310" s="215"/>
      <c r="G1310" s="215"/>
      <c r="H1310" s="218"/>
      <c r="I1310" s="62"/>
      <c r="J1310" s="62"/>
      <c r="K1310" s="62"/>
      <c r="L1310" s="62"/>
      <c r="M1310" s="62"/>
      <c r="N1310" s="62"/>
      <c r="O1310" s="62"/>
      <c r="P1310" s="62"/>
      <c r="Q1310" s="62"/>
      <c r="R1310" s="62"/>
      <c r="S1310" s="62"/>
      <c r="T1310" s="62"/>
      <c r="U1310" s="62"/>
      <c r="V1310" s="62"/>
      <c r="W1310" s="62"/>
      <c r="X1310" s="62"/>
      <c r="Y1310" s="62"/>
      <c r="Z1310" s="62"/>
      <c r="AA1310" s="62"/>
      <c r="AB1310" s="62"/>
      <c r="AC1310" s="62"/>
      <c r="AD1310" s="62"/>
      <c r="AE1310" s="62"/>
      <c r="AF1310" s="62"/>
      <c r="AG1310" s="62"/>
      <c r="AH1310" s="62"/>
      <c r="AI1310" s="62"/>
      <c r="AJ1310" s="62"/>
      <c r="AK1310" s="62"/>
      <c r="AL1310" s="62"/>
      <c r="AM1310" s="61"/>
      <c r="AN1310" s="62"/>
      <c r="AO1310" s="61" t="s">
        <v>959</v>
      </c>
      <c r="AP1310" s="212"/>
      <c r="AQ1310" s="213"/>
      <c r="AR1310" s="213"/>
      <c r="AS1310" s="213"/>
      <c r="AT1310" s="213"/>
      <c r="AU1310" s="213"/>
      <c r="AV1310" s="213"/>
      <c r="AW1310" s="62"/>
      <c r="AX1310" s="62"/>
      <c r="AY1310" s="62"/>
      <c r="AZ1310" s="62"/>
      <c r="BA1310" s="141"/>
      <c r="BB1310" s="61"/>
      <c r="BC1310" s="165" t="s">
        <v>1615</v>
      </c>
      <c r="BD1310" s="166">
        <f>+(89-9.5)%</f>
        <v>0.79500000000000004</v>
      </c>
      <c r="BE1310" s="167" t="s">
        <v>1616</v>
      </c>
      <c r="BF1310" s="168">
        <f t="shared" ref="BF1310:BF1363" si="47">+(10+10)%</f>
        <v>0.2</v>
      </c>
      <c r="BG1310" s="167" t="s">
        <v>1617</v>
      </c>
      <c r="BH1310" s="168">
        <f>+(1-0.5)%</f>
        <v>5.0000000000000001E-3</v>
      </c>
      <c r="BI1310" s="169"/>
      <c r="BJ1310" s="168">
        <v>0</v>
      </c>
      <c r="BK1310" s="134" t="s">
        <v>2151</v>
      </c>
      <c r="BL1310" s="168">
        <f>+(90-10)%</f>
        <v>0.8</v>
      </c>
      <c r="BM1310" s="167" t="s">
        <v>2152</v>
      </c>
      <c r="BN1310" s="168">
        <f>+(10+10)%</f>
        <v>0.2</v>
      </c>
      <c r="BO1310" s="62"/>
      <c r="BP1310" s="168"/>
      <c r="BQ1310" s="168"/>
      <c r="BR1310" s="168"/>
      <c r="BS1310" s="135" t="s">
        <v>1615</v>
      </c>
      <c r="BT1310" s="176">
        <f>+(87-7.5)%</f>
        <v>0.79500000000000004</v>
      </c>
      <c r="BU1310" s="167" t="s">
        <v>1616</v>
      </c>
      <c r="BV1310" s="168">
        <f>+(10+10)%</f>
        <v>0.2</v>
      </c>
      <c r="BW1310" s="167" t="s">
        <v>2153</v>
      </c>
      <c r="BX1310" s="168"/>
      <c r="BY1310" s="167" t="s">
        <v>1617</v>
      </c>
      <c r="BZ1310" s="176">
        <f>+(1-0.5)%</f>
        <v>5.0000000000000001E-3</v>
      </c>
      <c r="CA1310" s="167" t="s">
        <v>1621</v>
      </c>
      <c r="CB1310" s="168">
        <f>+(2-2)%</f>
        <v>0</v>
      </c>
      <c r="CC1310" s="62"/>
      <c r="CD1310" s="168"/>
      <c r="CE1310" s="165" t="s">
        <v>3884</v>
      </c>
      <c r="CF1310" s="229"/>
      <c r="CG1310" s="204"/>
      <c r="CH1310" s="9"/>
      <c r="CI1310" s="204"/>
      <c r="CJ1310" s="204"/>
      <c r="CK1310" s="204"/>
      <c r="CL1310" s="204"/>
      <c r="CM1310" s="204"/>
      <c r="CN1310" s="204"/>
      <c r="CO1310" s="204"/>
      <c r="CP1310" s="204"/>
    </row>
    <row r="1311" spans="1:94" ht="409.5" x14ac:dyDescent="0.25">
      <c r="A1311" s="104" t="s">
        <v>3885</v>
      </c>
      <c r="B1311" s="131" t="s">
        <v>3886</v>
      </c>
      <c r="C1311" s="215"/>
      <c r="D1311" s="215"/>
      <c r="E1311" s="215"/>
      <c r="F1311" s="215"/>
      <c r="G1311" s="215"/>
      <c r="H1311" s="218"/>
      <c r="I1311" s="62"/>
      <c r="J1311" s="62"/>
      <c r="K1311" s="62"/>
      <c r="L1311" s="62"/>
      <c r="M1311" s="62"/>
      <c r="N1311" s="62"/>
      <c r="O1311" s="62"/>
      <c r="P1311" s="62"/>
      <c r="Q1311" s="62"/>
      <c r="R1311" s="62"/>
      <c r="S1311" s="62"/>
      <c r="T1311" s="62"/>
      <c r="U1311" s="62"/>
      <c r="V1311" s="62"/>
      <c r="W1311" s="62"/>
      <c r="X1311" s="62"/>
      <c r="Y1311" s="62"/>
      <c r="Z1311" s="62"/>
      <c r="AA1311" s="62"/>
      <c r="AB1311" s="62"/>
      <c r="AC1311" s="62"/>
      <c r="AD1311" s="62"/>
      <c r="AE1311" s="62"/>
      <c r="AF1311" s="62"/>
      <c r="AG1311" s="62"/>
      <c r="AH1311" s="62"/>
      <c r="AI1311" s="62"/>
      <c r="AJ1311" s="62"/>
      <c r="AK1311" s="62"/>
      <c r="AL1311" s="62"/>
      <c r="AM1311" s="61"/>
      <c r="AN1311" s="62"/>
      <c r="AO1311" s="61" t="s">
        <v>959</v>
      </c>
      <c r="AP1311" s="212"/>
      <c r="AQ1311" s="213"/>
      <c r="AR1311" s="213"/>
      <c r="AS1311" s="213"/>
      <c r="AT1311" s="213"/>
      <c r="AU1311" s="213"/>
      <c r="AV1311" s="213"/>
      <c r="AW1311" s="62"/>
      <c r="AX1311" s="62"/>
      <c r="AY1311" s="62"/>
      <c r="AZ1311" s="62"/>
      <c r="BA1311" s="141"/>
      <c r="BB1311" s="61"/>
      <c r="BC1311" s="165" t="s">
        <v>1615</v>
      </c>
      <c r="BD1311" s="166">
        <f t="shared" ref="BD1311:BD1335" si="48">+(89-9.5)%</f>
        <v>0.79500000000000004</v>
      </c>
      <c r="BE1311" s="167" t="s">
        <v>1616</v>
      </c>
      <c r="BF1311" s="168">
        <f t="shared" si="47"/>
        <v>0.2</v>
      </c>
      <c r="BG1311" s="167" t="s">
        <v>1617</v>
      </c>
      <c r="BH1311" s="168">
        <f t="shared" ref="BH1311:BH1335" si="49">+(1-0.5)%</f>
        <v>5.0000000000000001E-3</v>
      </c>
      <c r="BI1311" s="169"/>
      <c r="BJ1311" s="168">
        <v>0</v>
      </c>
      <c r="BK1311" s="134" t="s">
        <v>2151</v>
      </c>
      <c r="BL1311" s="168">
        <f t="shared" ref="BL1311:BL1335" si="50">+(90-10)%</f>
        <v>0.8</v>
      </c>
      <c r="BM1311" s="167" t="s">
        <v>2152</v>
      </c>
      <c r="BN1311" s="168">
        <f t="shared" ref="BN1311:BN1335" si="51">+(10+10)%</f>
        <v>0.2</v>
      </c>
      <c r="BO1311" s="62"/>
      <c r="BP1311" s="168"/>
      <c r="BQ1311" s="168"/>
      <c r="BR1311" s="168"/>
      <c r="BS1311" s="135" t="s">
        <v>1615</v>
      </c>
      <c r="BT1311" s="176">
        <f t="shared" ref="BT1311:BT1335" si="52">+(87-7.5)%</f>
        <v>0.79500000000000004</v>
      </c>
      <c r="BU1311" s="167" t="s">
        <v>1616</v>
      </c>
      <c r="BV1311" s="168">
        <f t="shared" ref="BV1311:BV1335" si="53">+(10+10)%</f>
        <v>0.2</v>
      </c>
      <c r="BW1311" s="167" t="s">
        <v>2153</v>
      </c>
      <c r="BX1311" s="168"/>
      <c r="BY1311" s="167" t="s">
        <v>1617</v>
      </c>
      <c r="BZ1311" s="176">
        <f t="shared" ref="BZ1311:BZ1335" si="54">+(1-0.5)%</f>
        <v>5.0000000000000001E-3</v>
      </c>
      <c r="CA1311" s="167" t="s">
        <v>1621</v>
      </c>
      <c r="CB1311" s="168">
        <f t="shared" ref="CB1311:CB1335" si="55">+(2-2)%</f>
        <v>0</v>
      </c>
      <c r="CC1311" s="62"/>
      <c r="CD1311" s="168"/>
      <c r="CE1311" s="165" t="s">
        <v>3884</v>
      </c>
      <c r="CF1311" s="229"/>
      <c r="CG1311" s="204"/>
      <c r="CH1311" s="9"/>
      <c r="CI1311" s="204"/>
      <c r="CJ1311" s="204"/>
      <c r="CK1311" s="204"/>
      <c r="CL1311" s="204"/>
      <c r="CM1311" s="204"/>
      <c r="CN1311" s="204"/>
      <c r="CO1311" s="204"/>
      <c r="CP1311" s="204"/>
    </row>
    <row r="1312" spans="1:94" ht="409.5" x14ac:dyDescent="0.25">
      <c r="A1312" s="104" t="s">
        <v>3887</v>
      </c>
      <c r="B1312" s="131" t="s">
        <v>3888</v>
      </c>
      <c r="C1312" s="215"/>
      <c r="D1312" s="215"/>
      <c r="E1312" s="215"/>
      <c r="F1312" s="215"/>
      <c r="G1312" s="215"/>
      <c r="H1312" s="218"/>
      <c r="I1312" s="62"/>
      <c r="J1312" s="62"/>
      <c r="K1312" s="62"/>
      <c r="L1312" s="62"/>
      <c r="M1312" s="62"/>
      <c r="N1312" s="62"/>
      <c r="O1312" s="62"/>
      <c r="P1312" s="62"/>
      <c r="Q1312" s="62"/>
      <c r="R1312" s="62"/>
      <c r="S1312" s="62"/>
      <c r="T1312" s="62"/>
      <c r="U1312" s="62"/>
      <c r="V1312" s="62"/>
      <c r="W1312" s="62"/>
      <c r="X1312" s="62"/>
      <c r="Y1312" s="62"/>
      <c r="Z1312" s="62"/>
      <c r="AA1312" s="62"/>
      <c r="AB1312" s="62"/>
      <c r="AC1312" s="62"/>
      <c r="AD1312" s="62"/>
      <c r="AE1312" s="62"/>
      <c r="AF1312" s="62"/>
      <c r="AG1312" s="62"/>
      <c r="AH1312" s="62"/>
      <c r="AI1312" s="62"/>
      <c r="AJ1312" s="62"/>
      <c r="AK1312" s="62"/>
      <c r="AL1312" s="62"/>
      <c r="AM1312" s="61"/>
      <c r="AN1312" s="62"/>
      <c r="AO1312" s="61" t="s">
        <v>959</v>
      </c>
      <c r="AP1312" s="212"/>
      <c r="AQ1312" s="213"/>
      <c r="AR1312" s="213"/>
      <c r="AS1312" s="213"/>
      <c r="AT1312" s="213"/>
      <c r="AU1312" s="213"/>
      <c r="AV1312" s="213"/>
      <c r="AW1312" s="62"/>
      <c r="AX1312" s="62"/>
      <c r="AY1312" s="62"/>
      <c r="AZ1312" s="62"/>
      <c r="BA1312" s="141"/>
      <c r="BB1312" s="61"/>
      <c r="BC1312" s="165" t="s">
        <v>1615</v>
      </c>
      <c r="BD1312" s="166">
        <f t="shared" si="48"/>
        <v>0.79500000000000004</v>
      </c>
      <c r="BE1312" s="167" t="s">
        <v>1616</v>
      </c>
      <c r="BF1312" s="168">
        <f t="shared" si="47"/>
        <v>0.2</v>
      </c>
      <c r="BG1312" s="167" t="s">
        <v>1617</v>
      </c>
      <c r="BH1312" s="168">
        <f t="shared" si="49"/>
        <v>5.0000000000000001E-3</v>
      </c>
      <c r="BI1312" s="169"/>
      <c r="BJ1312" s="168">
        <v>0</v>
      </c>
      <c r="BK1312" s="134" t="s">
        <v>2151</v>
      </c>
      <c r="BL1312" s="168">
        <f t="shared" si="50"/>
        <v>0.8</v>
      </c>
      <c r="BM1312" s="167" t="s">
        <v>2152</v>
      </c>
      <c r="BN1312" s="168">
        <f t="shared" si="51"/>
        <v>0.2</v>
      </c>
      <c r="BO1312" s="62"/>
      <c r="BP1312" s="168"/>
      <c r="BQ1312" s="168"/>
      <c r="BR1312" s="168"/>
      <c r="BS1312" s="135" t="s">
        <v>1615</v>
      </c>
      <c r="BT1312" s="176">
        <f t="shared" si="52"/>
        <v>0.79500000000000004</v>
      </c>
      <c r="BU1312" s="167" t="s">
        <v>1616</v>
      </c>
      <c r="BV1312" s="168">
        <f t="shared" si="53"/>
        <v>0.2</v>
      </c>
      <c r="BW1312" s="167" t="s">
        <v>2153</v>
      </c>
      <c r="BX1312" s="168"/>
      <c r="BY1312" s="167" t="s">
        <v>1617</v>
      </c>
      <c r="BZ1312" s="176">
        <f t="shared" si="54"/>
        <v>5.0000000000000001E-3</v>
      </c>
      <c r="CA1312" s="167" t="s">
        <v>1621</v>
      </c>
      <c r="CB1312" s="168">
        <f t="shared" si="55"/>
        <v>0</v>
      </c>
      <c r="CC1312" s="62"/>
      <c r="CD1312" s="168"/>
      <c r="CE1312" s="165" t="s">
        <v>3884</v>
      </c>
      <c r="CF1312" s="229"/>
      <c r="CG1312" s="204"/>
      <c r="CH1312" s="9"/>
      <c r="CI1312" s="204"/>
      <c r="CJ1312" s="204"/>
      <c r="CK1312" s="204"/>
      <c r="CL1312" s="204"/>
      <c r="CM1312" s="204"/>
      <c r="CN1312" s="204"/>
      <c r="CO1312" s="204"/>
      <c r="CP1312" s="204"/>
    </row>
    <row r="1313" spans="1:94" ht="42.75" x14ac:dyDescent="0.25">
      <c r="A1313" s="104" t="s">
        <v>3889</v>
      </c>
      <c r="B1313" s="131" t="s">
        <v>3890</v>
      </c>
      <c r="C1313" s="215"/>
      <c r="D1313" s="215"/>
      <c r="E1313" s="215"/>
      <c r="F1313" s="215"/>
      <c r="G1313" s="215"/>
      <c r="H1313" s="218"/>
      <c r="I1313" s="62"/>
      <c r="J1313" s="62"/>
      <c r="K1313" s="62"/>
      <c r="L1313" s="62"/>
      <c r="M1313" s="62"/>
      <c r="N1313" s="62"/>
      <c r="O1313" s="62"/>
      <c r="P1313" s="62"/>
      <c r="Q1313" s="62"/>
      <c r="R1313" s="62"/>
      <c r="S1313" s="62"/>
      <c r="T1313" s="62"/>
      <c r="U1313" s="62"/>
      <c r="V1313" s="62"/>
      <c r="W1313" s="62"/>
      <c r="X1313" s="62"/>
      <c r="Y1313" s="62"/>
      <c r="Z1313" s="62"/>
      <c r="AA1313" s="62"/>
      <c r="AB1313" s="62"/>
      <c r="AC1313" s="62"/>
      <c r="AD1313" s="62"/>
      <c r="AE1313" s="62"/>
      <c r="AF1313" s="62"/>
      <c r="AG1313" s="62"/>
      <c r="AH1313" s="62"/>
      <c r="AI1313" s="62"/>
      <c r="AJ1313" s="62"/>
      <c r="AK1313" s="62"/>
      <c r="AL1313" s="62"/>
      <c r="AM1313" s="61"/>
      <c r="AN1313" s="62"/>
      <c r="AO1313" s="61" t="s">
        <v>959</v>
      </c>
      <c r="AP1313" s="212"/>
      <c r="AQ1313" s="213"/>
      <c r="AR1313" s="213"/>
      <c r="AS1313" s="213"/>
      <c r="AT1313" s="213"/>
      <c r="AU1313" s="213"/>
      <c r="AV1313" s="213"/>
      <c r="AW1313" s="62"/>
      <c r="AX1313" s="62"/>
      <c r="AY1313" s="62"/>
      <c r="AZ1313" s="62"/>
      <c r="BA1313" s="141"/>
      <c r="BB1313" s="61"/>
      <c r="BC1313" s="165" t="s">
        <v>1615</v>
      </c>
      <c r="BD1313" s="166">
        <f t="shared" si="48"/>
        <v>0.79500000000000004</v>
      </c>
      <c r="BE1313" s="167" t="s">
        <v>1616</v>
      </c>
      <c r="BF1313" s="168">
        <f t="shared" si="47"/>
        <v>0.2</v>
      </c>
      <c r="BG1313" s="167" t="s">
        <v>1617</v>
      </c>
      <c r="BH1313" s="168">
        <f t="shared" si="49"/>
        <v>5.0000000000000001E-3</v>
      </c>
      <c r="BI1313" s="169"/>
      <c r="BJ1313" s="168">
        <v>0</v>
      </c>
      <c r="BK1313" s="134" t="s">
        <v>2151</v>
      </c>
      <c r="BL1313" s="168">
        <f t="shared" si="50"/>
        <v>0.8</v>
      </c>
      <c r="BM1313" s="167" t="s">
        <v>2152</v>
      </c>
      <c r="BN1313" s="168">
        <f t="shared" si="51"/>
        <v>0.2</v>
      </c>
      <c r="BO1313" s="62"/>
      <c r="BP1313" s="168"/>
      <c r="BQ1313" s="168"/>
      <c r="BR1313" s="168"/>
      <c r="BS1313" s="135" t="s">
        <v>1615</v>
      </c>
      <c r="BT1313" s="176">
        <f t="shared" si="52"/>
        <v>0.79500000000000004</v>
      </c>
      <c r="BU1313" s="167" t="s">
        <v>1616</v>
      </c>
      <c r="BV1313" s="168">
        <f t="shared" si="53"/>
        <v>0.2</v>
      </c>
      <c r="BW1313" s="167" t="s">
        <v>2153</v>
      </c>
      <c r="BX1313" s="168"/>
      <c r="BY1313" s="167" t="s">
        <v>1617</v>
      </c>
      <c r="BZ1313" s="176">
        <f t="shared" si="54"/>
        <v>5.0000000000000001E-3</v>
      </c>
      <c r="CA1313" s="167" t="s">
        <v>1621</v>
      </c>
      <c r="CB1313" s="168">
        <f t="shared" si="55"/>
        <v>0</v>
      </c>
      <c r="CC1313" s="62"/>
      <c r="CD1313" s="168"/>
      <c r="CE1313" s="165"/>
      <c r="CF1313" s="229"/>
      <c r="CG1313" s="204"/>
      <c r="CH1313" s="9"/>
      <c r="CI1313" s="204"/>
      <c r="CJ1313" s="204"/>
      <c r="CK1313" s="204"/>
      <c r="CL1313" s="204"/>
      <c r="CM1313" s="204"/>
      <c r="CN1313" s="204"/>
      <c r="CO1313" s="204"/>
      <c r="CP1313" s="204"/>
    </row>
    <row r="1314" spans="1:94" ht="42.75" x14ac:dyDescent="0.25">
      <c r="A1314" s="104" t="s">
        <v>3891</v>
      </c>
      <c r="B1314" s="131" t="s">
        <v>3892</v>
      </c>
      <c r="C1314" s="215"/>
      <c r="D1314" s="215"/>
      <c r="E1314" s="215"/>
      <c r="F1314" s="215"/>
      <c r="G1314" s="215"/>
      <c r="H1314" s="218"/>
      <c r="I1314" s="62"/>
      <c r="J1314" s="62"/>
      <c r="K1314" s="62"/>
      <c r="L1314" s="62"/>
      <c r="M1314" s="62"/>
      <c r="N1314" s="62"/>
      <c r="O1314" s="62"/>
      <c r="P1314" s="62"/>
      <c r="Q1314" s="62"/>
      <c r="R1314" s="62"/>
      <c r="S1314" s="62"/>
      <c r="T1314" s="62"/>
      <c r="U1314" s="62"/>
      <c r="V1314" s="62"/>
      <c r="W1314" s="62"/>
      <c r="X1314" s="62"/>
      <c r="Y1314" s="62"/>
      <c r="Z1314" s="62"/>
      <c r="AA1314" s="62"/>
      <c r="AB1314" s="62"/>
      <c r="AC1314" s="62"/>
      <c r="AD1314" s="62"/>
      <c r="AE1314" s="62"/>
      <c r="AF1314" s="62"/>
      <c r="AG1314" s="62"/>
      <c r="AH1314" s="62"/>
      <c r="AI1314" s="62"/>
      <c r="AJ1314" s="62"/>
      <c r="AK1314" s="62"/>
      <c r="AL1314" s="62"/>
      <c r="AM1314" s="61"/>
      <c r="AN1314" s="62"/>
      <c r="AO1314" s="61" t="s">
        <v>959</v>
      </c>
      <c r="AP1314" s="212"/>
      <c r="AQ1314" s="213"/>
      <c r="AR1314" s="213"/>
      <c r="AS1314" s="213"/>
      <c r="AT1314" s="213"/>
      <c r="AU1314" s="213"/>
      <c r="AV1314" s="213"/>
      <c r="AW1314" s="62"/>
      <c r="AX1314" s="62"/>
      <c r="AY1314" s="62"/>
      <c r="AZ1314" s="62"/>
      <c r="BA1314" s="141"/>
      <c r="BB1314" s="61"/>
      <c r="BC1314" s="165" t="s">
        <v>1615</v>
      </c>
      <c r="BD1314" s="166">
        <f t="shared" si="48"/>
        <v>0.79500000000000004</v>
      </c>
      <c r="BE1314" s="167" t="s">
        <v>1616</v>
      </c>
      <c r="BF1314" s="168">
        <f t="shared" si="47"/>
        <v>0.2</v>
      </c>
      <c r="BG1314" s="167" t="s">
        <v>1617</v>
      </c>
      <c r="BH1314" s="168">
        <f t="shared" si="49"/>
        <v>5.0000000000000001E-3</v>
      </c>
      <c r="BI1314" s="169"/>
      <c r="BJ1314" s="168">
        <v>0</v>
      </c>
      <c r="BK1314" s="134" t="s">
        <v>2151</v>
      </c>
      <c r="BL1314" s="168">
        <f t="shared" si="50"/>
        <v>0.8</v>
      </c>
      <c r="BM1314" s="167" t="s">
        <v>2152</v>
      </c>
      <c r="BN1314" s="168">
        <f t="shared" si="51"/>
        <v>0.2</v>
      </c>
      <c r="BO1314" s="62"/>
      <c r="BP1314" s="168"/>
      <c r="BQ1314" s="168"/>
      <c r="BR1314" s="168"/>
      <c r="BS1314" s="135" t="s">
        <v>1615</v>
      </c>
      <c r="BT1314" s="176">
        <f t="shared" si="52"/>
        <v>0.79500000000000004</v>
      </c>
      <c r="BU1314" s="167" t="s">
        <v>1616</v>
      </c>
      <c r="BV1314" s="168">
        <f t="shared" si="53"/>
        <v>0.2</v>
      </c>
      <c r="BW1314" s="167" t="s">
        <v>2153</v>
      </c>
      <c r="BX1314" s="168"/>
      <c r="BY1314" s="167" t="s">
        <v>1617</v>
      </c>
      <c r="BZ1314" s="176">
        <f t="shared" si="54"/>
        <v>5.0000000000000001E-3</v>
      </c>
      <c r="CA1314" s="167" t="s">
        <v>1621</v>
      </c>
      <c r="CB1314" s="168">
        <f t="shared" si="55"/>
        <v>0</v>
      </c>
      <c r="CC1314" s="62"/>
      <c r="CD1314" s="168"/>
      <c r="CE1314" s="165"/>
      <c r="CF1314" s="229"/>
      <c r="CG1314" s="204"/>
      <c r="CH1314" s="9"/>
      <c r="CI1314" s="204"/>
      <c r="CJ1314" s="204"/>
      <c r="CK1314" s="204"/>
      <c r="CL1314" s="204"/>
      <c r="CM1314" s="204"/>
      <c r="CN1314" s="204"/>
      <c r="CO1314" s="204"/>
      <c r="CP1314" s="204"/>
    </row>
    <row r="1315" spans="1:94" ht="409.5" x14ac:dyDescent="0.25">
      <c r="A1315" s="62" t="s">
        <v>3893</v>
      </c>
      <c r="B1315" s="131" t="s">
        <v>3894</v>
      </c>
      <c r="C1315" s="215"/>
      <c r="D1315" s="215"/>
      <c r="E1315" s="215"/>
      <c r="F1315" s="215"/>
      <c r="G1315" s="215"/>
      <c r="H1315" s="218"/>
      <c r="I1315" s="62"/>
      <c r="J1315" s="62"/>
      <c r="K1315" s="62"/>
      <c r="L1315" s="62"/>
      <c r="M1315" s="62"/>
      <c r="N1315" s="62"/>
      <c r="O1315" s="62"/>
      <c r="P1315" s="62"/>
      <c r="Q1315" s="62"/>
      <c r="R1315" s="62"/>
      <c r="S1315" s="62"/>
      <c r="T1315" s="62"/>
      <c r="U1315" s="62"/>
      <c r="V1315" s="62"/>
      <c r="W1315" s="62"/>
      <c r="X1315" s="62"/>
      <c r="Y1315" s="62"/>
      <c r="Z1315" s="62"/>
      <c r="AA1315" s="62"/>
      <c r="AB1315" s="62"/>
      <c r="AC1315" s="62"/>
      <c r="AD1315" s="62"/>
      <c r="AE1315" s="62"/>
      <c r="AF1315" s="62"/>
      <c r="AG1315" s="62"/>
      <c r="AH1315" s="62"/>
      <c r="AI1315" s="62"/>
      <c r="AJ1315" s="62"/>
      <c r="AK1315" s="62"/>
      <c r="AL1315" s="62"/>
      <c r="AM1315" s="61"/>
      <c r="AN1315" s="62"/>
      <c r="AO1315" s="61" t="s">
        <v>959</v>
      </c>
      <c r="AP1315" s="212"/>
      <c r="AQ1315" s="213"/>
      <c r="AR1315" s="213"/>
      <c r="AS1315" s="213"/>
      <c r="AT1315" s="213"/>
      <c r="AU1315" s="213"/>
      <c r="AV1315" s="213"/>
      <c r="AW1315" s="62"/>
      <c r="AX1315" s="62"/>
      <c r="AY1315" s="62"/>
      <c r="AZ1315" s="62"/>
      <c r="BA1315" s="141"/>
      <c r="BB1315" s="61"/>
      <c r="BC1315" s="165" t="s">
        <v>1615</v>
      </c>
      <c r="BD1315" s="166">
        <f t="shared" si="48"/>
        <v>0.79500000000000004</v>
      </c>
      <c r="BE1315" s="167" t="s">
        <v>1616</v>
      </c>
      <c r="BF1315" s="168">
        <f t="shared" si="47"/>
        <v>0.2</v>
      </c>
      <c r="BG1315" s="167" t="s">
        <v>1617</v>
      </c>
      <c r="BH1315" s="168">
        <f t="shared" si="49"/>
        <v>5.0000000000000001E-3</v>
      </c>
      <c r="BI1315" s="169"/>
      <c r="BJ1315" s="168">
        <v>0</v>
      </c>
      <c r="BK1315" s="134" t="s">
        <v>2151</v>
      </c>
      <c r="BL1315" s="168">
        <f t="shared" si="50"/>
        <v>0.8</v>
      </c>
      <c r="BM1315" s="167" t="s">
        <v>2152</v>
      </c>
      <c r="BN1315" s="168">
        <f t="shared" si="51"/>
        <v>0.2</v>
      </c>
      <c r="BO1315" s="62"/>
      <c r="BP1315" s="168"/>
      <c r="BQ1315" s="168"/>
      <c r="BR1315" s="168"/>
      <c r="BS1315" s="135" t="s">
        <v>1615</v>
      </c>
      <c r="BT1315" s="176">
        <f t="shared" si="52"/>
        <v>0.79500000000000004</v>
      </c>
      <c r="BU1315" s="167" t="s">
        <v>1616</v>
      </c>
      <c r="BV1315" s="168">
        <f t="shared" si="53"/>
        <v>0.2</v>
      </c>
      <c r="BW1315" s="167" t="s">
        <v>2153</v>
      </c>
      <c r="BX1315" s="168"/>
      <c r="BY1315" s="167" t="s">
        <v>1617</v>
      </c>
      <c r="BZ1315" s="176">
        <f t="shared" si="54"/>
        <v>5.0000000000000001E-3</v>
      </c>
      <c r="CA1315" s="167" t="s">
        <v>1621</v>
      </c>
      <c r="CB1315" s="168">
        <f t="shared" si="55"/>
        <v>0</v>
      </c>
      <c r="CC1315" s="62"/>
      <c r="CD1315" s="168"/>
      <c r="CE1315" s="165" t="s">
        <v>3895</v>
      </c>
      <c r="CF1315" s="230"/>
      <c r="CG1315" s="217"/>
      <c r="CH1315" s="9"/>
      <c r="CI1315" s="217"/>
      <c r="CJ1315" s="217"/>
      <c r="CK1315" s="217"/>
      <c r="CL1315" s="217"/>
      <c r="CM1315" s="217"/>
      <c r="CN1315" s="217"/>
      <c r="CO1315" s="217"/>
      <c r="CP1315" s="217"/>
    </row>
    <row r="1316" spans="1:94" ht="327.75" x14ac:dyDescent="0.25">
      <c r="A1316" s="62" t="s">
        <v>3896</v>
      </c>
      <c r="B1316" s="131" t="s">
        <v>3897</v>
      </c>
      <c r="C1316" s="215"/>
      <c r="D1316" s="215"/>
      <c r="E1316" s="215"/>
      <c r="F1316" s="215"/>
      <c r="G1316" s="215"/>
      <c r="H1316" s="218"/>
      <c r="I1316" s="62"/>
      <c r="J1316" s="62"/>
      <c r="K1316" s="62"/>
      <c r="L1316" s="62"/>
      <c r="M1316" s="62"/>
      <c r="N1316" s="62"/>
      <c r="O1316" s="62"/>
      <c r="P1316" s="62"/>
      <c r="Q1316" s="62"/>
      <c r="R1316" s="62"/>
      <c r="S1316" s="62"/>
      <c r="T1316" s="62"/>
      <c r="U1316" s="62"/>
      <c r="V1316" s="62"/>
      <c r="W1316" s="62"/>
      <c r="X1316" s="62"/>
      <c r="Y1316" s="62"/>
      <c r="Z1316" s="62"/>
      <c r="AA1316" s="62"/>
      <c r="AB1316" s="62"/>
      <c r="AC1316" s="62"/>
      <c r="AD1316" s="62"/>
      <c r="AE1316" s="62"/>
      <c r="AF1316" s="62"/>
      <c r="AG1316" s="62"/>
      <c r="AH1316" s="62"/>
      <c r="AI1316" s="62"/>
      <c r="AJ1316" s="62"/>
      <c r="AK1316" s="62"/>
      <c r="AL1316" s="62"/>
      <c r="AM1316" s="61"/>
      <c r="AN1316" s="62"/>
      <c r="AO1316" s="61" t="s">
        <v>959</v>
      </c>
      <c r="AP1316" s="212"/>
      <c r="AQ1316" s="213"/>
      <c r="AR1316" s="213"/>
      <c r="AS1316" s="213"/>
      <c r="AT1316" s="213"/>
      <c r="AU1316" s="213"/>
      <c r="AV1316" s="213"/>
      <c r="AW1316" s="62"/>
      <c r="AX1316" s="62"/>
      <c r="AY1316" s="62"/>
      <c r="AZ1316" s="62"/>
      <c r="BA1316" s="141"/>
      <c r="BB1316" s="61"/>
      <c r="BC1316" s="165" t="s">
        <v>1615</v>
      </c>
      <c r="BD1316" s="166">
        <f t="shared" si="48"/>
        <v>0.79500000000000004</v>
      </c>
      <c r="BE1316" s="167" t="s">
        <v>1616</v>
      </c>
      <c r="BF1316" s="168">
        <f t="shared" si="47"/>
        <v>0.2</v>
      </c>
      <c r="BG1316" s="167" t="s">
        <v>1617</v>
      </c>
      <c r="BH1316" s="168">
        <f t="shared" si="49"/>
        <v>5.0000000000000001E-3</v>
      </c>
      <c r="BI1316" s="169"/>
      <c r="BJ1316" s="168">
        <v>0</v>
      </c>
      <c r="BK1316" s="134" t="s">
        <v>2151</v>
      </c>
      <c r="BL1316" s="168">
        <f t="shared" si="50"/>
        <v>0.8</v>
      </c>
      <c r="BM1316" s="167" t="s">
        <v>2152</v>
      </c>
      <c r="BN1316" s="168">
        <f t="shared" si="51"/>
        <v>0.2</v>
      </c>
      <c r="BO1316" s="62"/>
      <c r="BP1316" s="168"/>
      <c r="BQ1316" s="168"/>
      <c r="BR1316" s="168"/>
      <c r="BS1316" s="135" t="s">
        <v>1615</v>
      </c>
      <c r="BT1316" s="176">
        <f t="shared" si="52"/>
        <v>0.79500000000000004</v>
      </c>
      <c r="BU1316" s="167" t="s">
        <v>1616</v>
      </c>
      <c r="BV1316" s="168">
        <f t="shared" si="53"/>
        <v>0.2</v>
      </c>
      <c r="BW1316" s="167" t="s">
        <v>2153</v>
      </c>
      <c r="BX1316" s="168"/>
      <c r="BY1316" s="167" t="s">
        <v>1617</v>
      </c>
      <c r="BZ1316" s="176">
        <f t="shared" si="54"/>
        <v>5.0000000000000001E-3</v>
      </c>
      <c r="CA1316" s="167" t="s">
        <v>1621</v>
      </c>
      <c r="CB1316" s="168">
        <f t="shared" si="55"/>
        <v>0</v>
      </c>
      <c r="CC1316" s="62"/>
      <c r="CD1316" s="168"/>
      <c r="CE1316" s="165" t="s">
        <v>3898</v>
      </c>
      <c r="CF1316" s="165"/>
      <c r="CG1316" s="204"/>
      <c r="CH1316" s="9"/>
      <c r="CI1316" s="204"/>
      <c r="CJ1316" s="204"/>
      <c r="CK1316" s="204"/>
      <c r="CL1316" s="204"/>
      <c r="CM1316" s="204"/>
      <c r="CN1316" s="204"/>
      <c r="CO1316" s="204"/>
      <c r="CP1316" s="9"/>
    </row>
    <row r="1317" spans="1:94" ht="370.5" x14ac:dyDescent="0.25">
      <c r="A1317" s="62" t="s">
        <v>3899</v>
      </c>
      <c r="B1317" s="131" t="s">
        <v>3900</v>
      </c>
      <c r="C1317" s="215"/>
      <c r="D1317" s="215"/>
      <c r="E1317" s="215"/>
      <c r="F1317" s="215"/>
      <c r="G1317" s="215"/>
      <c r="H1317" s="218"/>
      <c r="I1317" s="62"/>
      <c r="J1317" s="62"/>
      <c r="K1317" s="62"/>
      <c r="L1317" s="62"/>
      <c r="M1317" s="62"/>
      <c r="N1317" s="62"/>
      <c r="O1317" s="62"/>
      <c r="P1317" s="62"/>
      <c r="Q1317" s="62"/>
      <c r="R1317" s="62"/>
      <c r="S1317" s="62"/>
      <c r="T1317" s="62"/>
      <c r="U1317" s="62"/>
      <c r="V1317" s="62"/>
      <c r="W1317" s="62"/>
      <c r="X1317" s="62"/>
      <c r="Y1317" s="62"/>
      <c r="Z1317" s="62"/>
      <c r="AA1317" s="62"/>
      <c r="AB1317" s="62"/>
      <c r="AC1317" s="62"/>
      <c r="AD1317" s="62"/>
      <c r="AE1317" s="62"/>
      <c r="AF1317" s="62"/>
      <c r="AG1317" s="62"/>
      <c r="AH1317" s="62"/>
      <c r="AI1317" s="62"/>
      <c r="AJ1317" s="62"/>
      <c r="AK1317" s="62"/>
      <c r="AL1317" s="62"/>
      <c r="AM1317" s="61"/>
      <c r="AN1317" s="62"/>
      <c r="AO1317" s="61" t="s">
        <v>959</v>
      </c>
      <c r="AP1317" s="212"/>
      <c r="AQ1317" s="213"/>
      <c r="AR1317" s="213"/>
      <c r="AS1317" s="213"/>
      <c r="AT1317" s="213"/>
      <c r="AU1317" s="213"/>
      <c r="AV1317" s="213"/>
      <c r="AW1317" s="62"/>
      <c r="AX1317" s="62"/>
      <c r="AY1317" s="62"/>
      <c r="AZ1317" s="62"/>
      <c r="BA1317" s="141"/>
      <c r="BB1317" s="61"/>
      <c r="BC1317" s="165" t="s">
        <v>1615</v>
      </c>
      <c r="BD1317" s="166">
        <f t="shared" si="48"/>
        <v>0.79500000000000004</v>
      </c>
      <c r="BE1317" s="167" t="s">
        <v>1616</v>
      </c>
      <c r="BF1317" s="168">
        <f t="shared" si="47"/>
        <v>0.2</v>
      </c>
      <c r="BG1317" s="167" t="s">
        <v>1617</v>
      </c>
      <c r="BH1317" s="168">
        <f t="shared" si="49"/>
        <v>5.0000000000000001E-3</v>
      </c>
      <c r="BI1317" s="169"/>
      <c r="BJ1317" s="168">
        <v>0</v>
      </c>
      <c r="BK1317" s="134" t="s">
        <v>2151</v>
      </c>
      <c r="BL1317" s="168">
        <f t="shared" si="50"/>
        <v>0.8</v>
      </c>
      <c r="BM1317" s="167" t="s">
        <v>2152</v>
      </c>
      <c r="BN1317" s="168">
        <f t="shared" si="51"/>
        <v>0.2</v>
      </c>
      <c r="BO1317" s="62"/>
      <c r="BP1317" s="168"/>
      <c r="BQ1317" s="168"/>
      <c r="BR1317" s="168"/>
      <c r="BS1317" s="135" t="s">
        <v>1615</v>
      </c>
      <c r="BT1317" s="176">
        <f t="shared" si="52"/>
        <v>0.79500000000000004</v>
      </c>
      <c r="BU1317" s="167" t="s">
        <v>1616</v>
      </c>
      <c r="BV1317" s="168">
        <f t="shared" si="53"/>
        <v>0.2</v>
      </c>
      <c r="BW1317" s="167" t="s">
        <v>2153</v>
      </c>
      <c r="BX1317" s="168"/>
      <c r="BY1317" s="167" t="s">
        <v>1617</v>
      </c>
      <c r="BZ1317" s="176">
        <f t="shared" si="54"/>
        <v>5.0000000000000001E-3</v>
      </c>
      <c r="CA1317" s="167" t="s">
        <v>1621</v>
      </c>
      <c r="CB1317" s="168">
        <f t="shared" si="55"/>
        <v>0</v>
      </c>
      <c r="CC1317" s="62"/>
      <c r="CD1317" s="168"/>
      <c r="CE1317" s="165" t="s">
        <v>3901</v>
      </c>
      <c r="CF1317" s="165"/>
      <c r="CG1317" s="217"/>
      <c r="CH1317" s="9"/>
      <c r="CI1317" s="217"/>
      <c r="CJ1317" s="217"/>
      <c r="CK1317" s="217"/>
      <c r="CL1317" s="217"/>
      <c r="CM1317" s="217"/>
      <c r="CN1317" s="217"/>
      <c r="CO1317" s="217"/>
      <c r="CP1317" s="9"/>
    </row>
    <row r="1318" spans="1:94" ht="42.75" x14ac:dyDescent="0.25">
      <c r="A1318" s="62" t="s">
        <v>3902</v>
      </c>
      <c r="B1318" s="131" t="s">
        <v>3903</v>
      </c>
      <c r="C1318" s="215"/>
      <c r="D1318" s="215"/>
      <c r="E1318" s="215"/>
      <c r="F1318" s="215"/>
      <c r="G1318" s="215"/>
      <c r="H1318" s="218"/>
      <c r="I1318" s="62"/>
      <c r="J1318" s="62"/>
      <c r="K1318" s="62"/>
      <c r="L1318" s="62"/>
      <c r="M1318" s="62"/>
      <c r="N1318" s="62"/>
      <c r="O1318" s="62"/>
      <c r="P1318" s="62"/>
      <c r="Q1318" s="62"/>
      <c r="R1318" s="62"/>
      <c r="S1318" s="62"/>
      <c r="T1318" s="62"/>
      <c r="U1318" s="62"/>
      <c r="V1318" s="62"/>
      <c r="W1318" s="62"/>
      <c r="X1318" s="62"/>
      <c r="Y1318" s="62"/>
      <c r="Z1318" s="62"/>
      <c r="AA1318" s="62"/>
      <c r="AB1318" s="62"/>
      <c r="AC1318" s="62"/>
      <c r="AD1318" s="62"/>
      <c r="AE1318" s="62"/>
      <c r="AF1318" s="62"/>
      <c r="AG1318" s="62"/>
      <c r="AH1318" s="62"/>
      <c r="AI1318" s="62"/>
      <c r="AJ1318" s="62"/>
      <c r="AK1318" s="62"/>
      <c r="AL1318" s="62"/>
      <c r="AM1318" s="61"/>
      <c r="AN1318" s="62"/>
      <c r="AO1318" s="61" t="s">
        <v>959</v>
      </c>
      <c r="AP1318" s="212"/>
      <c r="AQ1318" s="213"/>
      <c r="AR1318" s="213"/>
      <c r="AS1318" s="213"/>
      <c r="AT1318" s="213"/>
      <c r="AU1318" s="213"/>
      <c r="AV1318" s="213"/>
      <c r="AW1318" s="62"/>
      <c r="AX1318" s="62"/>
      <c r="AY1318" s="62"/>
      <c r="AZ1318" s="62"/>
      <c r="BA1318" s="141"/>
      <c r="BB1318" s="61"/>
      <c r="BC1318" s="165" t="s">
        <v>1615</v>
      </c>
      <c r="BD1318" s="166">
        <f t="shared" si="48"/>
        <v>0.79500000000000004</v>
      </c>
      <c r="BE1318" s="167" t="s">
        <v>1616</v>
      </c>
      <c r="BF1318" s="168">
        <f t="shared" si="47"/>
        <v>0.2</v>
      </c>
      <c r="BG1318" s="167" t="s">
        <v>1617</v>
      </c>
      <c r="BH1318" s="168">
        <f t="shared" si="49"/>
        <v>5.0000000000000001E-3</v>
      </c>
      <c r="BI1318" s="169"/>
      <c r="BJ1318" s="168">
        <v>0</v>
      </c>
      <c r="BK1318" s="134" t="s">
        <v>2151</v>
      </c>
      <c r="BL1318" s="168">
        <f t="shared" si="50"/>
        <v>0.8</v>
      </c>
      <c r="BM1318" s="167" t="s">
        <v>2152</v>
      </c>
      <c r="BN1318" s="168">
        <f t="shared" si="51"/>
        <v>0.2</v>
      </c>
      <c r="BO1318" s="62"/>
      <c r="BP1318" s="168"/>
      <c r="BQ1318" s="168"/>
      <c r="BR1318" s="168"/>
      <c r="BS1318" s="135" t="s">
        <v>1615</v>
      </c>
      <c r="BT1318" s="176">
        <f t="shared" si="52"/>
        <v>0.79500000000000004</v>
      </c>
      <c r="BU1318" s="167" t="s">
        <v>1616</v>
      </c>
      <c r="BV1318" s="168">
        <f t="shared" si="53"/>
        <v>0.2</v>
      </c>
      <c r="BW1318" s="167" t="s">
        <v>2153</v>
      </c>
      <c r="BX1318" s="168"/>
      <c r="BY1318" s="167" t="s">
        <v>1617</v>
      </c>
      <c r="BZ1318" s="176">
        <f t="shared" si="54"/>
        <v>5.0000000000000001E-3</v>
      </c>
      <c r="CA1318" s="167" t="s">
        <v>1621</v>
      </c>
      <c r="CB1318" s="168">
        <f t="shared" si="55"/>
        <v>0</v>
      </c>
      <c r="CC1318" s="62"/>
      <c r="CD1318" s="168"/>
      <c r="CE1318" s="165"/>
      <c r="CF1318" s="165"/>
      <c r="CG1318" s="204"/>
      <c r="CH1318" s="9"/>
      <c r="CI1318" s="204"/>
      <c r="CJ1318" s="204"/>
      <c r="CK1318" s="204"/>
      <c r="CL1318" s="204"/>
      <c r="CM1318" s="204"/>
      <c r="CN1318" s="204"/>
      <c r="CO1318" s="204"/>
      <c r="CP1318" s="9"/>
    </row>
    <row r="1319" spans="1:94" ht="409.5" x14ac:dyDescent="0.25">
      <c r="A1319" s="62" t="s">
        <v>3904</v>
      </c>
      <c r="B1319" s="131" t="s">
        <v>3905</v>
      </c>
      <c r="C1319" s="215"/>
      <c r="D1319" s="215"/>
      <c r="E1319" s="215"/>
      <c r="F1319" s="215"/>
      <c r="G1319" s="215"/>
      <c r="H1319" s="218"/>
      <c r="I1319" s="62"/>
      <c r="J1319" s="62"/>
      <c r="K1319" s="62"/>
      <c r="L1319" s="62"/>
      <c r="M1319" s="62"/>
      <c r="N1319" s="62"/>
      <c r="O1319" s="62"/>
      <c r="P1319" s="62"/>
      <c r="Q1319" s="62"/>
      <c r="R1319" s="62"/>
      <c r="S1319" s="62"/>
      <c r="T1319" s="62"/>
      <c r="U1319" s="62"/>
      <c r="V1319" s="62"/>
      <c r="W1319" s="62"/>
      <c r="X1319" s="62"/>
      <c r="Y1319" s="62"/>
      <c r="Z1319" s="62"/>
      <c r="AA1319" s="62"/>
      <c r="AB1319" s="62"/>
      <c r="AC1319" s="62"/>
      <c r="AD1319" s="62"/>
      <c r="AE1319" s="62"/>
      <c r="AF1319" s="62"/>
      <c r="AG1319" s="62"/>
      <c r="AH1319" s="62"/>
      <c r="AI1319" s="62"/>
      <c r="AJ1319" s="62"/>
      <c r="AK1319" s="62"/>
      <c r="AL1319" s="62"/>
      <c r="AM1319" s="61"/>
      <c r="AN1319" s="62"/>
      <c r="AO1319" s="61" t="s">
        <v>959</v>
      </c>
      <c r="AP1319" s="212"/>
      <c r="AQ1319" s="213"/>
      <c r="AR1319" s="213"/>
      <c r="AS1319" s="213"/>
      <c r="AT1319" s="213"/>
      <c r="AU1319" s="213"/>
      <c r="AV1319" s="213"/>
      <c r="AW1319" s="62"/>
      <c r="AX1319" s="62"/>
      <c r="AY1319" s="62"/>
      <c r="AZ1319" s="62"/>
      <c r="BA1319" s="141"/>
      <c r="BB1319" s="61"/>
      <c r="BC1319" s="165" t="s">
        <v>1615</v>
      </c>
      <c r="BD1319" s="166">
        <f t="shared" si="48"/>
        <v>0.79500000000000004</v>
      </c>
      <c r="BE1319" s="167" t="s">
        <v>1616</v>
      </c>
      <c r="BF1319" s="168">
        <f t="shared" si="47"/>
        <v>0.2</v>
      </c>
      <c r="BG1319" s="167" t="s">
        <v>1617</v>
      </c>
      <c r="BH1319" s="168">
        <f t="shared" si="49"/>
        <v>5.0000000000000001E-3</v>
      </c>
      <c r="BI1319" s="169"/>
      <c r="BJ1319" s="168">
        <v>0</v>
      </c>
      <c r="BK1319" s="134" t="s">
        <v>2151</v>
      </c>
      <c r="BL1319" s="168">
        <f t="shared" si="50"/>
        <v>0.8</v>
      </c>
      <c r="BM1319" s="167" t="s">
        <v>2152</v>
      </c>
      <c r="BN1319" s="168">
        <f t="shared" si="51"/>
        <v>0.2</v>
      </c>
      <c r="BO1319" s="62"/>
      <c r="BP1319" s="168"/>
      <c r="BQ1319" s="168"/>
      <c r="BR1319" s="168"/>
      <c r="BS1319" s="135" t="s">
        <v>1615</v>
      </c>
      <c r="BT1319" s="176">
        <f t="shared" si="52"/>
        <v>0.79500000000000004</v>
      </c>
      <c r="BU1319" s="167" t="s">
        <v>1616</v>
      </c>
      <c r="BV1319" s="168">
        <f t="shared" si="53"/>
        <v>0.2</v>
      </c>
      <c r="BW1319" s="167" t="s">
        <v>2153</v>
      </c>
      <c r="BX1319" s="168"/>
      <c r="BY1319" s="167" t="s">
        <v>1617</v>
      </c>
      <c r="BZ1319" s="176">
        <f t="shared" si="54"/>
        <v>5.0000000000000001E-3</v>
      </c>
      <c r="CA1319" s="167" t="s">
        <v>1621</v>
      </c>
      <c r="CB1319" s="168">
        <f t="shared" si="55"/>
        <v>0</v>
      </c>
      <c r="CC1319" s="62"/>
      <c r="CD1319" s="168"/>
      <c r="CE1319" s="165" t="s">
        <v>3906</v>
      </c>
      <c r="CF1319" s="165"/>
      <c r="CG1319" s="216"/>
      <c r="CH1319" s="9"/>
      <c r="CI1319" s="216"/>
      <c r="CJ1319" s="216"/>
      <c r="CK1319" s="216"/>
      <c r="CL1319" s="216"/>
      <c r="CM1319" s="216"/>
      <c r="CN1319" s="216"/>
      <c r="CO1319" s="216"/>
      <c r="CP1319" s="9"/>
    </row>
    <row r="1320" spans="1:94" ht="399" x14ac:dyDescent="0.25">
      <c r="A1320" s="62" t="s">
        <v>3907</v>
      </c>
      <c r="B1320" s="131" t="s">
        <v>3908</v>
      </c>
      <c r="C1320" s="215"/>
      <c r="D1320" s="215"/>
      <c r="E1320" s="215"/>
      <c r="F1320" s="215"/>
      <c r="G1320" s="215"/>
      <c r="H1320" s="218"/>
      <c r="I1320" s="62"/>
      <c r="J1320" s="62"/>
      <c r="K1320" s="62"/>
      <c r="L1320" s="62"/>
      <c r="M1320" s="62"/>
      <c r="N1320" s="62"/>
      <c r="O1320" s="62"/>
      <c r="P1320" s="62"/>
      <c r="Q1320" s="62"/>
      <c r="R1320" s="62"/>
      <c r="S1320" s="62"/>
      <c r="T1320" s="62"/>
      <c r="U1320" s="62"/>
      <c r="V1320" s="62"/>
      <c r="W1320" s="62"/>
      <c r="X1320" s="62"/>
      <c r="Y1320" s="62"/>
      <c r="Z1320" s="62"/>
      <c r="AA1320" s="62"/>
      <c r="AB1320" s="62"/>
      <c r="AC1320" s="62"/>
      <c r="AD1320" s="62"/>
      <c r="AE1320" s="62"/>
      <c r="AF1320" s="62"/>
      <c r="AG1320" s="62"/>
      <c r="AH1320" s="62"/>
      <c r="AI1320" s="62"/>
      <c r="AJ1320" s="62"/>
      <c r="AK1320" s="62"/>
      <c r="AL1320" s="62"/>
      <c r="AM1320" s="61"/>
      <c r="AN1320" s="62"/>
      <c r="AO1320" s="61" t="s">
        <v>959</v>
      </c>
      <c r="AP1320" s="212"/>
      <c r="AQ1320" s="213"/>
      <c r="AR1320" s="213"/>
      <c r="AS1320" s="213"/>
      <c r="AT1320" s="213"/>
      <c r="AU1320" s="213"/>
      <c r="AV1320" s="213"/>
      <c r="AW1320" s="62"/>
      <c r="AX1320" s="62"/>
      <c r="AY1320" s="62"/>
      <c r="AZ1320" s="62"/>
      <c r="BA1320" s="141"/>
      <c r="BB1320" s="61"/>
      <c r="BC1320" s="165" t="s">
        <v>1615</v>
      </c>
      <c r="BD1320" s="166">
        <f t="shared" si="48"/>
        <v>0.79500000000000004</v>
      </c>
      <c r="BE1320" s="167" t="s">
        <v>1616</v>
      </c>
      <c r="BF1320" s="168">
        <f t="shared" si="47"/>
        <v>0.2</v>
      </c>
      <c r="BG1320" s="167" t="s">
        <v>1617</v>
      </c>
      <c r="BH1320" s="168">
        <f t="shared" si="49"/>
        <v>5.0000000000000001E-3</v>
      </c>
      <c r="BI1320" s="169"/>
      <c r="BJ1320" s="168">
        <v>0</v>
      </c>
      <c r="BK1320" s="134" t="s">
        <v>2151</v>
      </c>
      <c r="BL1320" s="168">
        <f t="shared" si="50"/>
        <v>0.8</v>
      </c>
      <c r="BM1320" s="167" t="s">
        <v>2152</v>
      </c>
      <c r="BN1320" s="168">
        <f t="shared" si="51"/>
        <v>0.2</v>
      </c>
      <c r="BO1320" s="62"/>
      <c r="BP1320" s="168"/>
      <c r="BQ1320" s="168"/>
      <c r="BR1320" s="168"/>
      <c r="BS1320" s="135" t="s">
        <v>1615</v>
      </c>
      <c r="BT1320" s="176">
        <f t="shared" si="52"/>
        <v>0.79500000000000004</v>
      </c>
      <c r="BU1320" s="167" t="s">
        <v>1616</v>
      </c>
      <c r="BV1320" s="168">
        <f t="shared" si="53"/>
        <v>0.2</v>
      </c>
      <c r="BW1320" s="167" t="s">
        <v>2153</v>
      </c>
      <c r="BX1320" s="168"/>
      <c r="BY1320" s="167" t="s">
        <v>1617</v>
      </c>
      <c r="BZ1320" s="176">
        <f t="shared" si="54"/>
        <v>5.0000000000000001E-3</v>
      </c>
      <c r="CA1320" s="167" t="s">
        <v>1621</v>
      </c>
      <c r="CB1320" s="168">
        <f t="shared" si="55"/>
        <v>0</v>
      </c>
      <c r="CC1320" s="62"/>
      <c r="CD1320" s="168"/>
      <c r="CE1320" s="165" t="s">
        <v>3909</v>
      </c>
      <c r="CF1320" s="165"/>
      <c r="CG1320" s="204"/>
      <c r="CH1320" s="9"/>
      <c r="CI1320" s="204"/>
      <c r="CJ1320" s="204"/>
      <c r="CK1320" s="204"/>
      <c r="CL1320" s="204"/>
      <c r="CM1320" s="204"/>
      <c r="CN1320" s="204"/>
      <c r="CO1320" s="204"/>
      <c r="CP1320" s="9"/>
    </row>
    <row r="1321" spans="1:94" ht="42.75" x14ac:dyDescent="0.25">
      <c r="A1321" s="126" t="s">
        <v>3910</v>
      </c>
      <c r="B1321" s="131" t="s">
        <v>3911</v>
      </c>
      <c r="C1321" s="215"/>
      <c r="D1321" s="215"/>
      <c r="E1321" s="215"/>
      <c r="F1321" s="215"/>
      <c r="G1321" s="215"/>
      <c r="H1321" s="218"/>
      <c r="I1321" s="62"/>
      <c r="J1321" s="62"/>
      <c r="K1321" s="62"/>
      <c r="L1321" s="62"/>
      <c r="M1321" s="62"/>
      <c r="N1321" s="62"/>
      <c r="O1321" s="62"/>
      <c r="P1321" s="62"/>
      <c r="Q1321" s="62"/>
      <c r="R1321" s="62"/>
      <c r="S1321" s="62"/>
      <c r="T1321" s="62"/>
      <c r="U1321" s="62"/>
      <c r="V1321" s="62"/>
      <c r="W1321" s="62"/>
      <c r="X1321" s="62"/>
      <c r="Y1321" s="62"/>
      <c r="Z1321" s="62"/>
      <c r="AA1321" s="62"/>
      <c r="AB1321" s="62"/>
      <c r="AC1321" s="62"/>
      <c r="AD1321" s="62"/>
      <c r="AE1321" s="62"/>
      <c r="AF1321" s="62"/>
      <c r="AG1321" s="62"/>
      <c r="AH1321" s="62"/>
      <c r="AI1321" s="62"/>
      <c r="AJ1321" s="62"/>
      <c r="AK1321" s="62"/>
      <c r="AL1321" s="62"/>
      <c r="AM1321" s="61"/>
      <c r="AN1321" s="62"/>
      <c r="AO1321" s="61" t="s">
        <v>959</v>
      </c>
      <c r="AP1321" s="212"/>
      <c r="AQ1321" s="213"/>
      <c r="AR1321" s="213"/>
      <c r="AS1321" s="213"/>
      <c r="AT1321" s="213"/>
      <c r="AU1321" s="213"/>
      <c r="AV1321" s="213"/>
      <c r="AW1321" s="62"/>
      <c r="AX1321" s="62"/>
      <c r="AY1321" s="62"/>
      <c r="AZ1321" s="62"/>
      <c r="BA1321" s="141"/>
      <c r="BB1321" s="61"/>
      <c r="BC1321" s="165" t="s">
        <v>1615</v>
      </c>
      <c r="BD1321" s="166">
        <f t="shared" si="48"/>
        <v>0.79500000000000004</v>
      </c>
      <c r="BE1321" s="167" t="s">
        <v>1616</v>
      </c>
      <c r="BF1321" s="168">
        <f t="shared" si="47"/>
        <v>0.2</v>
      </c>
      <c r="BG1321" s="167" t="s">
        <v>1617</v>
      </c>
      <c r="BH1321" s="168">
        <f t="shared" si="49"/>
        <v>5.0000000000000001E-3</v>
      </c>
      <c r="BI1321" s="169"/>
      <c r="BJ1321" s="168">
        <v>0</v>
      </c>
      <c r="BK1321" s="134" t="s">
        <v>2151</v>
      </c>
      <c r="BL1321" s="168">
        <f t="shared" si="50"/>
        <v>0.8</v>
      </c>
      <c r="BM1321" s="167" t="s">
        <v>2152</v>
      </c>
      <c r="BN1321" s="168">
        <f t="shared" si="51"/>
        <v>0.2</v>
      </c>
      <c r="BO1321" s="62"/>
      <c r="BP1321" s="168"/>
      <c r="BQ1321" s="168"/>
      <c r="BR1321" s="168"/>
      <c r="BS1321" s="135" t="s">
        <v>1615</v>
      </c>
      <c r="BT1321" s="176">
        <f t="shared" si="52"/>
        <v>0.79500000000000004</v>
      </c>
      <c r="BU1321" s="167" t="s">
        <v>1616</v>
      </c>
      <c r="BV1321" s="168">
        <f t="shared" si="53"/>
        <v>0.2</v>
      </c>
      <c r="BW1321" s="167" t="s">
        <v>2153</v>
      </c>
      <c r="BX1321" s="168"/>
      <c r="BY1321" s="167" t="s">
        <v>1617</v>
      </c>
      <c r="BZ1321" s="176">
        <f t="shared" si="54"/>
        <v>5.0000000000000001E-3</v>
      </c>
      <c r="CA1321" s="167" t="s">
        <v>1621</v>
      </c>
      <c r="CB1321" s="168">
        <f t="shared" si="55"/>
        <v>0</v>
      </c>
      <c r="CC1321" s="62"/>
      <c r="CD1321" s="168"/>
      <c r="CE1321" s="165"/>
      <c r="CF1321" s="165"/>
      <c r="CG1321" s="204"/>
      <c r="CH1321" s="9"/>
      <c r="CI1321" s="204"/>
      <c r="CJ1321" s="204"/>
      <c r="CK1321" s="204"/>
      <c r="CL1321" s="204"/>
      <c r="CM1321" s="204"/>
      <c r="CN1321" s="204"/>
      <c r="CO1321" s="204"/>
      <c r="CP1321" s="9"/>
    </row>
    <row r="1322" spans="1:94" ht="409.5" x14ac:dyDescent="0.25">
      <c r="A1322" s="62" t="s">
        <v>3912</v>
      </c>
      <c r="B1322" s="131" t="s">
        <v>3913</v>
      </c>
      <c r="C1322" s="215"/>
      <c r="D1322" s="215"/>
      <c r="E1322" s="215"/>
      <c r="F1322" s="215"/>
      <c r="G1322" s="215"/>
      <c r="H1322" s="218"/>
      <c r="I1322" s="62"/>
      <c r="J1322" s="62"/>
      <c r="K1322" s="62"/>
      <c r="L1322" s="62"/>
      <c r="M1322" s="62"/>
      <c r="N1322" s="62"/>
      <c r="O1322" s="62"/>
      <c r="P1322" s="62"/>
      <c r="Q1322" s="62"/>
      <c r="R1322" s="62"/>
      <c r="S1322" s="62"/>
      <c r="T1322" s="62"/>
      <c r="U1322" s="62"/>
      <c r="V1322" s="62"/>
      <c r="W1322" s="62"/>
      <c r="X1322" s="62"/>
      <c r="Y1322" s="62"/>
      <c r="Z1322" s="62"/>
      <c r="AA1322" s="62"/>
      <c r="AB1322" s="62"/>
      <c r="AC1322" s="62"/>
      <c r="AD1322" s="62"/>
      <c r="AE1322" s="62"/>
      <c r="AF1322" s="62"/>
      <c r="AG1322" s="62"/>
      <c r="AH1322" s="62"/>
      <c r="AI1322" s="62"/>
      <c r="AJ1322" s="62"/>
      <c r="AK1322" s="62"/>
      <c r="AL1322" s="62"/>
      <c r="AM1322" s="61"/>
      <c r="AN1322" s="62"/>
      <c r="AO1322" s="61" t="s">
        <v>959</v>
      </c>
      <c r="AP1322" s="212"/>
      <c r="AQ1322" s="213"/>
      <c r="AR1322" s="213"/>
      <c r="AS1322" s="213"/>
      <c r="AT1322" s="213"/>
      <c r="AU1322" s="213"/>
      <c r="AV1322" s="213"/>
      <c r="AW1322" s="62"/>
      <c r="AX1322" s="62"/>
      <c r="AY1322" s="62"/>
      <c r="AZ1322" s="62"/>
      <c r="BA1322" s="141"/>
      <c r="BB1322" s="61"/>
      <c r="BC1322" s="165" t="s">
        <v>1615</v>
      </c>
      <c r="BD1322" s="166">
        <f t="shared" si="48"/>
        <v>0.79500000000000004</v>
      </c>
      <c r="BE1322" s="167" t="s">
        <v>1616</v>
      </c>
      <c r="BF1322" s="168">
        <f t="shared" si="47"/>
        <v>0.2</v>
      </c>
      <c r="BG1322" s="167" t="s">
        <v>1617</v>
      </c>
      <c r="BH1322" s="168">
        <f t="shared" si="49"/>
        <v>5.0000000000000001E-3</v>
      </c>
      <c r="BI1322" s="169"/>
      <c r="BJ1322" s="168">
        <v>0</v>
      </c>
      <c r="BK1322" s="134" t="s">
        <v>2151</v>
      </c>
      <c r="BL1322" s="168">
        <f t="shared" si="50"/>
        <v>0.8</v>
      </c>
      <c r="BM1322" s="167" t="s">
        <v>2152</v>
      </c>
      <c r="BN1322" s="168">
        <f t="shared" si="51"/>
        <v>0.2</v>
      </c>
      <c r="BO1322" s="62"/>
      <c r="BP1322" s="168"/>
      <c r="BQ1322" s="168"/>
      <c r="BR1322" s="168"/>
      <c r="BS1322" s="135" t="s">
        <v>1615</v>
      </c>
      <c r="BT1322" s="176">
        <f t="shared" si="52"/>
        <v>0.79500000000000004</v>
      </c>
      <c r="BU1322" s="167" t="s">
        <v>1616</v>
      </c>
      <c r="BV1322" s="168">
        <f t="shared" si="53"/>
        <v>0.2</v>
      </c>
      <c r="BW1322" s="167" t="s">
        <v>2153</v>
      </c>
      <c r="BX1322" s="168"/>
      <c r="BY1322" s="167" t="s">
        <v>1617</v>
      </c>
      <c r="BZ1322" s="176">
        <f t="shared" si="54"/>
        <v>5.0000000000000001E-3</v>
      </c>
      <c r="CA1322" s="167" t="s">
        <v>1621</v>
      </c>
      <c r="CB1322" s="168">
        <f t="shared" si="55"/>
        <v>0</v>
      </c>
      <c r="CC1322" s="62"/>
      <c r="CD1322" s="168"/>
      <c r="CE1322" s="165" t="s">
        <v>3914</v>
      </c>
      <c r="CF1322" s="165"/>
      <c r="CG1322" s="204"/>
      <c r="CH1322" s="9"/>
      <c r="CI1322" s="204"/>
      <c r="CJ1322" s="204"/>
      <c r="CK1322" s="204"/>
      <c r="CL1322" s="204"/>
      <c r="CM1322" s="204"/>
      <c r="CN1322" s="204"/>
      <c r="CO1322" s="204"/>
      <c r="CP1322" s="9"/>
    </row>
    <row r="1323" spans="1:94" ht="370.5" x14ac:dyDescent="0.25">
      <c r="A1323" s="62" t="s">
        <v>3882</v>
      </c>
      <c r="B1323" s="131" t="s">
        <v>3883</v>
      </c>
      <c r="C1323" s="215"/>
      <c r="D1323" s="215"/>
      <c r="E1323" s="215"/>
      <c r="F1323" s="215"/>
      <c r="G1323" s="215"/>
      <c r="H1323" s="218"/>
      <c r="I1323" s="62"/>
      <c r="J1323" s="62"/>
      <c r="K1323" s="62"/>
      <c r="L1323" s="62"/>
      <c r="M1323" s="62"/>
      <c r="N1323" s="62"/>
      <c r="O1323" s="62"/>
      <c r="P1323" s="62"/>
      <c r="Q1323" s="62"/>
      <c r="R1323" s="62"/>
      <c r="S1323" s="62"/>
      <c r="T1323" s="62"/>
      <c r="U1323" s="62"/>
      <c r="V1323" s="62"/>
      <c r="W1323" s="62"/>
      <c r="X1323" s="62"/>
      <c r="Y1323" s="62"/>
      <c r="Z1323" s="62"/>
      <c r="AA1323" s="62"/>
      <c r="AB1323" s="62"/>
      <c r="AC1323" s="62"/>
      <c r="AD1323" s="62"/>
      <c r="AE1323" s="62"/>
      <c r="AF1323" s="62"/>
      <c r="AG1323" s="62"/>
      <c r="AH1323" s="62"/>
      <c r="AI1323" s="62"/>
      <c r="AJ1323" s="62"/>
      <c r="AK1323" s="62"/>
      <c r="AL1323" s="62"/>
      <c r="AM1323" s="61"/>
      <c r="AN1323" s="62"/>
      <c r="AO1323" s="61" t="s">
        <v>959</v>
      </c>
      <c r="AP1323" s="212"/>
      <c r="AQ1323" s="213"/>
      <c r="AR1323" s="213"/>
      <c r="AS1323" s="213"/>
      <c r="AT1323" s="213"/>
      <c r="AU1323" s="213"/>
      <c r="AV1323" s="213"/>
      <c r="AW1323" s="62"/>
      <c r="AX1323" s="62"/>
      <c r="AY1323" s="62"/>
      <c r="AZ1323" s="62"/>
      <c r="BA1323" s="141"/>
      <c r="BB1323" s="61"/>
      <c r="BC1323" s="165" t="s">
        <v>1615</v>
      </c>
      <c r="BD1323" s="166">
        <f t="shared" si="48"/>
        <v>0.79500000000000004</v>
      </c>
      <c r="BE1323" s="167" t="s">
        <v>1616</v>
      </c>
      <c r="BF1323" s="168">
        <f t="shared" si="47"/>
        <v>0.2</v>
      </c>
      <c r="BG1323" s="167" t="s">
        <v>1617</v>
      </c>
      <c r="BH1323" s="168">
        <f t="shared" si="49"/>
        <v>5.0000000000000001E-3</v>
      </c>
      <c r="BI1323" s="169"/>
      <c r="BJ1323" s="168">
        <v>0</v>
      </c>
      <c r="BK1323" s="134" t="s">
        <v>2151</v>
      </c>
      <c r="BL1323" s="168">
        <f t="shared" si="50"/>
        <v>0.8</v>
      </c>
      <c r="BM1323" s="167" t="s">
        <v>2152</v>
      </c>
      <c r="BN1323" s="168">
        <f t="shared" si="51"/>
        <v>0.2</v>
      </c>
      <c r="BO1323" s="62"/>
      <c r="BP1323" s="168"/>
      <c r="BQ1323" s="168"/>
      <c r="BR1323" s="168"/>
      <c r="BS1323" s="135" t="s">
        <v>1615</v>
      </c>
      <c r="BT1323" s="176">
        <f t="shared" si="52"/>
        <v>0.79500000000000004</v>
      </c>
      <c r="BU1323" s="167" t="s">
        <v>1616</v>
      </c>
      <c r="BV1323" s="168">
        <f t="shared" si="53"/>
        <v>0.2</v>
      </c>
      <c r="BW1323" s="167" t="s">
        <v>2153</v>
      </c>
      <c r="BX1323" s="168"/>
      <c r="BY1323" s="167" t="s">
        <v>1617</v>
      </c>
      <c r="BZ1323" s="176">
        <f t="shared" si="54"/>
        <v>5.0000000000000001E-3</v>
      </c>
      <c r="CA1323" s="167" t="s">
        <v>1621</v>
      </c>
      <c r="CB1323" s="168">
        <f t="shared" si="55"/>
        <v>0</v>
      </c>
      <c r="CC1323" s="62"/>
      <c r="CD1323" s="168"/>
      <c r="CE1323" s="165" t="s">
        <v>3915</v>
      </c>
      <c r="CF1323" s="165"/>
      <c r="CG1323" s="204"/>
      <c r="CH1323" s="9"/>
      <c r="CI1323" s="204"/>
      <c r="CJ1323" s="204"/>
      <c r="CK1323" s="204"/>
      <c r="CL1323" s="204"/>
      <c r="CM1323" s="204"/>
      <c r="CN1323" s="204"/>
      <c r="CO1323" s="204"/>
      <c r="CP1323" s="9"/>
    </row>
    <row r="1324" spans="1:94" ht="370.5" x14ac:dyDescent="0.25">
      <c r="A1324" s="62" t="s">
        <v>3916</v>
      </c>
      <c r="B1324" s="131" t="s">
        <v>3917</v>
      </c>
      <c r="C1324" s="215"/>
      <c r="D1324" s="215"/>
      <c r="E1324" s="215"/>
      <c r="F1324" s="215"/>
      <c r="G1324" s="215"/>
      <c r="H1324" s="218"/>
      <c r="I1324" s="62"/>
      <c r="J1324" s="62"/>
      <c r="K1324" s="62"/>
      <c r="L1324" s="62"/>
      <c r="M1324" s="62"/>
      <c r="N1324" s="62"/>
      <c r="O1324" s="62"/>
      <c r="P1324" s="62"/>
      <c r="Q1324" s="62"/>
      <c r="R1324" s="62"/>
      <c r="S1324" s="62"/>
      <c r="T1324" s="62"/>
      <c r="U1324" s="62"/>
      <c r="V1324" s="62"/>
      <c r="W1324" s="62"/>
      <c r="X1324" s="62"/>
      <c r="Y1324" s="62"/>
      <c r="Z1324" s="62"/>
      <c r="AA1324" s="62"/>
      <c r="AB1324" s="62"/>
      <c r="AC1324" s="62"/>
      <c r="AD1324" s="62"/>
      <c r="AE1324" s="62"/>
      <c r="AF1324" s="62"/>
      <c r="AG1324" s="62"/>
      <c r="AH1324" s="62"/>
      <c r="AI1324" s="62"/>
      <c r="AJ1324" s="62"/>
      <c r="AK1324" s="62"/>
      <c r="AL1324" s="62"/>
      <c r="AM1324" s="61"/>
      <c r="AN1324" s="62"/>
      <c r="AO1324" s="61" t="s">
        <v>959</v>
      </c>
      <c r="AP1324" s="212"/>
      <c r="AQ1324" s="213"/>
      <c r="AR1324" s="213"/>
      <c r="AS1324" s="213"/>
      <c r="AT1324" s="213"/>
      <c r="AU1324" s="213"/>
      <c r="AV1324" s="213"/>
      <c r="AW1324" s="62"/>
      <c r="AX1324" s="62"/>
      <c r="AY1324" s="62"/>
      <c r="AZ1324" s="62"/>
      <c r="BA1324" s="141"/>
      <c r="BB1324" s="61"/>
      <c r="BC1324" s="165" t="s">
        <v>1615</v>
      </c>
      <c r="BD1324" s="166">
        <f t="shared" si="48"/>
        <v>0.79500000000000004</v>
      </c>
      <c r="BE1324" s="167" t="s">
        <v>1616</v>
      </c>
      <c r="BF1324" s="168">
        <f t="shared" si="47"/>
        <v>0.2</v>
      </c>
      <c r="BG1324" s="167" t="s">
        <v>1617</v>
      </c>
      <c r="BH1324" s="168">
        <f t="shared" si="49"/>
        <v>5.0000000000000001E-3</v>
      </c>
      <c r="BI1324" s="169"/>
      <c r="BJ1324" s="168">
        <v>0</v>
      </c>
      <c r="BK1324" s="134" t="s">
        <v>2151</v>
      </c>
      <c r="BL1324" s="168">
        <f t="shared" si="50"/>
        <v>0.8</v>
      </c>
      <c r="BM1324" s="167" t="s">
        <v>2152</v>
      </c>
      <c r="BN1324" s="168">
        <f t="shared" si="51"/>
        <v>0.2</v>
      </c>
      <c r="BO1324" s="62"/>
      <c r="BP1324" s="168"/>
      <c r="BQ1324" s="168"/>
      <c r="BR1324" s="168"/>
      <c r="BS1324" s="135" t="s">
        <v>1615</v>
      </c>
      <c r="BT1324" s="176">
        <f t="shared" si="52"/>
        <v>0.79500000000000004</v>
      </c>
      <c r="BU1324" s="167" t="s">
        <v>1616</v>
      </c>
      <c r="BV1324" s="168">
        <f t="shared" si="53"/>
        <v>0.2</v>
      </c>
      <c r="BW1324" s="167" t="s">
        <v>2153</v>
      </c>
      <c r="BX1324" s="168"/>
      <c r="BY1324" s="167" t="s">
        <v>1617</v>
      </c>
      <c r="BZ1324" s="176">
        <f t="shared" si="54"/>
        <v>5.0000000000000001E-3</v>
      </c>
      <c r="CA1324" s="167" t="s">
        <v>1621</v>
      </c>
      <c r="CB1324" s="168">
        <f t="shared" si="55"/>
        <v>0</v>
      </c>
      <c r="CC1324" s="62"/>
      <c r="CD1324" s="168"/>
      <c r="CE1324" s="165" t="s">
        <v>3915</v>
      </c>
      <c r="CF1324" s="165"/>
      <c r="CG1324" s="204"/>
      <c r="CH1324" s="9"/>
      <c r="CI1324" s="204"/>
      <c r="CJ1324" s="204"/>
      <c r="CK1324" s="204"/>
      <c r="CL1324" s="204"/>
      <c r="CM1324" s="204"/>
      <c r="CN1324" s="204"/>
      <c r="CO1324" s="204"/>
      <c r="CP1324" s="9"/>
    </row>
    <row r="1325" spans="1:94" ht="409.5" x14ac:dyDescent="0.25">
      <c r="A1325" s="62" t="s">
        <v>3918</v>
      </c>
      <c r="B1325" s="131" t="s">
        <v>3919</v>
      </c>
      <c r="C1325" s="215"/>
      <c r="D1325" s="215"/>
      <c r="E1325" s="215"/>
      <c r="F1325" s="215"/>
      <c r="G1325" s="215"/>
      <c r="H1325" s="218"/>
      <c r="I1325" s="62"/>
      <c r="J1325" s="62"/>
      <c r="K1325" s="62"/>
      <c r="L1325" s="62"/>
      <c r="M1325" s="62"/>
      <c r="N1325" s="62"/>
      <c r="O1325" s="62"/>
      <c r="P1325" s="62"/>
      <c r="Q1325" s="62"/>
      <c r="R1325" s="62"/>
      <c r="S1325" s="62"/>
      <c r="T1325" s="62"/>
      <c r="U1325" s="62"/>
      <c r="V1325" s="62"/>
      <c r="W1325" s="62"/>
      <c r="X1325" s="62"/>
      <c r="Y1325" s="62"/>
      <c r="Z1325" s="62"/>
      <c r="AA1325" s="62"/>
      <c r="AB1325" s="62"/>
      <c r="AC1325" s="62"/>
      <c r="AD1325" s="62"/>
      <c r="AE1325" s="62"/>
      <c r="AF1325" s="62"/>
      <c r="AG1325" s="62"/>
      <c r="AH1325" s="62"/>
      <c r="AI1325" s="62"/>
      <c r="AJ1325" s="62"/>
      <c r="AK1325" s="62"/>
      <c r="AL1325" s="62"/>
      <c r="AM1325" s="61"/>
      <c r="AN1325" s="62"/>
      <c r="AO1325" s="61" t="s">
        <v>959</v>
      </c>
      <c r="AP1325" s="212"/>
      <c r="AQ1325" s="213"/>
      <c r="AR1325" s="213"/>
      <c r="AS1325" s="213"/>
      <c r="AT1325" s="213"/>
      <c r="AU1325" s="213"/>
      <c r="AV1325" s="213"/>
      <c r="AW1325" s="62"/>
      <c r="AX1325" s="62"/>
      <c r="AY1325" s="62"/>
      <c r="AZ1325" s="62"/>
      <c r="BA1325" s="141"/>
      <c r="BB1325" s="61"/>
      <c r="BC1325" s="165" t="s">
        <v>1615</v>
      </c>
      <c r="BD1325" s="166">
        <f t="shared" si="48"/>
        <v>0.79500000000000004</v>
      </c>
      <c r="BE1325" s="167" t="s">
        <v>1616</v>
      </c>
      <c r="BF1325" s="168">
        <f t="shared" si="47"/>
        <v>0.2</v>
      </c>
      <c r="BG1325" s="167" t="s">
        <v>1617</v>
      </c>
      <c r="BH1325" s="168">
        <f t="shared" si="49"/>
        <v>5.0000000000000001E-3</v>
      </c>
      <c r="BI1325" s="169"/>
      <c r="BJ1325" s="168">
        <v>0</v>
      </c>
      <c r="BK1325" s="134" t="s">
        <v>2151</v>
      </c>
      <c r="BL1325" s="168">
        <f t="shared" si="50"/>
        <v>0.8</v>
      </c>
      <c r="BM1325" s="167" t="s">
        <v>2152</v>
      </c>
      <c r="BN1325" s="168">
        <f t="shared" si="51"/>
        <v>0.2</v>
      </c>
      <c r="BO1325" s="62"/>
      <c r="BP1325" s="168"/>
      <c r="BQ1325" s="168"/>
      <c r="BR1325" s="168"/>
      <c r="BS1325" s="135" t="s">
        <v>1615</v>
      </c>
      <c r="BT1325" s="176">
        <f t="shared" si="52"/>
        <v>0.79500000000000004</v>
      </c>
      <c r="BU1325" s="167" t="s">
        <v>1616</v>
      </c>
      <c r="BV1325" s="168">
        <f t="shared" si="53"/>
        <v>0.2</v>
      </c>
      <c r="BW1325" s="167" t="s">
        <v>2153</v>
      </c>
      <c r="BX1325" s="168"/>
      <c r="BY1325" s="167" t="s">
        <v>1617</v>
      </c>
      <c r="BZ1325" s="176">
        <f t="shared" si="54"/>
        <v>5.0000000000000001E-3</v>
      </c>
      <c r="CA1325" s="167" t="s">
        <v>1621</v>
      </c>
      <c r="CB1325" s="168">
        <f t="shared" si="55"/>
        <v>0</v>
      </c>
      <c r="CC1325" s="62"/>
      <c r="CD1325" s="168"/>
      <c r="CE1325" s="165" t="s">
        <v>3920</v>
      </c>
      <c r="CF1325" s="165"/>
      <c r="CG1325" s="204"/>
      <c r="CH1325" s="9"/>
      <c r="CI1325" s="204"/>
      <c r="CJ1325" s="204"/>
      <c r="CK1325" s="204"/>
      <c r="CL1325" s="204"/>
      <c r="CM1325" s="204"/>
      <c r="CN1325" s="204"/>
      <c r="CO1325" s="204"/>
      <c r="CP1325" s="9"/>
    </row>
    <row r="1326" spans="1:94" ht="399" x14ac:dyDescent="0.25">
      <c r="A1326" s="62" t="s">
        <v>3921</v>
      </c>
      <c r="B1326" s="131" t="s">
        <v>3922</v>
      </c>
      <c r="C1326" s="215"/>
      <c r="D1326" s="215"/>
      <c r="E1326" s="215"/>
      <c r="F1326" s="215"/>
      <c r="G1326" s="215"/>
      <c r="H1326" s="218"/>
      <c r="I1326" s="62"/>
      <c r="J1326" s="62"/>
      <c r="K1326" s="62"/>
      <c r="L1326" s="62"/>
      <c r="M1326" s="62"/>
      <c r="N1326" s="62"/>
      <c r="O1326" s="62"/>
      <c r="P1326" s="62"/>
      <c r="Q1326" s="62"/>
      <c r="R1326" s="62"/>
      <c r="S1326" s="62"/>
      <c r="T1326" s="62"/>
      <c r="U1326" s="62"/>
      <c r="V1326" s="62"/>
      <c r="W1326" s="62"/>
      <c r="X1326" s="62"/>
      <c r="Y1326" s="62"/>
      <c r="Z1326" s="62"/>
      <c r="AA1326" s="62"/>
      <c r="AB1326" s="62"/>
      <c r="AC1326" s="62"/>
      <c r="AD1326" s="62"/>
      <c r="AE1326" s="62"/>
      <c r="AF1326" s="62"/>
      <c r="AG1326" s="62"/>
      <c r="AH1326" s="62"/>
      <c r="AI1326" s="62"/>
      <c r="AJ1326" s="62"/>
      <c r="AK1326" s="62"/>
      <c r="AL1326" s="62"/>
      <c r="AM1326" s="61"/>
      <c r="AN1326" s="62"/>
      <c r="AO1326" s="61" t="s">
        <v>959</v>
      </c>
      <c r="AP1326" s="212"/>
      <c r="AQ1326" s="213"/>
      <c r="AR1326" s="213"/>
      <c r="AS1326" s="213"/>
      <c r="AT1326" s="213"/>
      <c r="AU1326" s="213"/>
      <c r="AV1326" s="213"/>
      <c r="AW1326" s="62"/>
      <c r="AX1326" s="62"/>
      <c r="AY1326" s="62"/>
      <c r="AZ1326" s="62"/>
      <c r="BA1326" s="141"/>
      <c r="BB1326" s="61"/>
      <c r="BC1326" s="165" t="s">
        <v>1615</v>
      </c>
      <c r="BD1326" s="166">
        <f t="shared" si="48"/>
        <v>0.79500000000000004</v>
      </c>
      <c r="BE1326" s="167" t="s">
        <v>1616</v>
      </c>
      <c r="BF1326" s="168">
        <f t="shared" si="47"/>
        <v>0.2</v>
      </c>
      <c r="BG1326" s="167" t="s">
        <v>1617</v>
      </c>
      <c r="BH1326" s="168">
        <f t="shared" si="49"/>
        <v>5.0000000000000001E-3</v>
      </c>
      <c r="BI1326" s="169"/>
      <c r="BJ1326" s="168">
        <v>0</v>
      </c>
      <c r="BK1326" s="134" t="s">
        <v>2151</v>
      </c>
      <c r="BL1326" s="168">
        <f t="shared" si="50"/>
        <v>0.8</v>
      </c>
      <c r="BM1326" s="167" t="s">
        <v>2152</v>
      </c>
      <c r="BN1326" s="168">
        <f t="shared" si="51"/>
        <v>0.2</v>
      </c>
      <c r="BO1326" s="62"/>
      <c r="BP1326" s="168"/>
      <c r="BQ1326" s="168"/>
      <c r="BR1326" s="168"/>
      <c r="BS1326" s="135" t="s">
        <v>1615</v>
      </c>
      <c r="BT1326" s="176">
        <f t="shared" si="52"/>
        <v>0.79500000000000004</v>
      </c>
      <c r="BU1326" s="167" t="s">
        <v>1616</v>
      </c>
      <c r="BV1326" s="168">
        <f t="shared" si="53"/>
        <v>0.2</v>
      </c>
      <c r="BW1326" s="167" t="s">
        <v>2153</v>
      </c>
      <c r="BX1326" s="168"/>
      <c r="BY1326" s="167" t="s">
        <v>1617</v>
      </c>
      <c r="BZ1326" s="176">
        <f t="shared" si="54"/>
        <v>5.0000000000000001E-3</v>
      </c>
      <c r="CA1326" s="167" t="s">
        <v>1621</v>
      </c>
      <c r="CB1326" s="168">
        <f t="shared" si="55"/>
        <v>0</v>
      </c>
      <c r="CC1326" s="62"/>
      <c r="CD1326" s="168"/>
      <c r="CE1326" s="165" t="s">
        <v>3923</v>
      </c>
      <c r="CF1326" s="165"/>
      <c r="CG1326" s="204"/>
      <c r="CH1326" s="9"/>
      <c r="CI1326" s="204"/>
      <c r="CJ1326" s="204"/>
      <c r="CK1326" s="204"/>
      <c r="CL1326" s="204"/>
      <c r="CM1326" s="204"/>
      <c r="CN1326" s="204"/>
      <c r="CO1326" s="204"/>
      <c r="CP1326" s="9"/>
    </row>
    <row r="1327" spans="1:94" ht="399" x14ac:dyDescent="0.25">
      <c r="A1327" s="62" t="s">
        <v>3912</v>
      </c>
      <c r="B1327" s="131" t="s">
        <v>3913</v>
      </c>
      <c r="C1327" s="215"/>
      <c r="D1327" s="215"/>
      <c r="E1327" s="215"/>
      <c r="F1327" s="215"/>
      <c r="G1327" s="215"/>
      <c r="H1327" s="218"/>
      <c r="I1327" s="62"/>
      <c r="J1327" s="62"/>
      <c r="K1327" s="62"/>
      <c r="L1327" s="62"/>
      <c r="M1327" s="62"/>
      <c r="N1327" s="62"/>
      <c r="O1327" s="62"/>
      <c r="P1327" s="62"/>
      <c r="Q1327" s="62"/>
      <c r="R1327" s="62"/>
      <c r="S1327" s="62"/>
      <c r="T1327" s="62"/>
      <c r="U1327" s="62"/>
      <c r="V1327" s="62"/>
      <c r="W1327" s="62"/>
      <c r="X1327" s="62"/>
      <c r="Y1327" s="62"/>
      <c r="Z1327" s="62"/>
      <c r="AA1327" s="62"/>
      <c r="AB1327" s="62"/>
      <c r="AC1327" s="62"/>
      <c r="AD1327" s="62"/>
      <c r="AE1327" s="62"/>
      <c r="AF1327" s="62"/>
      <c r="AG1327" s="62"/>
      <c r="AH1327" s="62"/>
      <c r="AI1327" s="62"/>
      <c r="AJ1327" s="62"/>
      <c r="AK1327" s="62"/>
      <c r="AL1327" s="62"/>
      <c r="AM1327" s="61"/>
      <c r="AN1327" s="62"/>
      <c r="AO1327" s="61" t="s">
        <v>959</v>
      </c>
      <c r="AP1327" s="212"/>
      <c r="AQ1327" s="213"/>
      <c r="AR1327" s="213"/>
      <c r="AS1327" s="213"/>
      <c r="AT1327" s="213"/>
      <c r="AU1327" s="213"/>
      <c r="AV1327" s="213"/>
      <c r="AW1327" s="62"/>
      <c r="AX1327" s="62"/>
      <c r="AY1327" s="62"/>
      <c r="AZ1327" s="62"/>
      <c r="BA1327" s="141"/>
      <c r="BB1327" s="61"/>
      <c r="BC1327" s="165" t="s">
        <v>1615</v>
      </c>
      <c r="BD1327" s="166">
        <f t="shared" si="48"/>
        <v>0.79500000000000004</v>
      </c>
      <c r="BE1327" s="167" t="s">
        <v>1616</v>
      </c>
      <c r="BF1327" s="168">
        <f t="shared" si="47"/>
        <v>0.2</v>
      </c>
      <c r="BG1327" s="167" t="s">
        <v>1617</v>
      </c>
      <c r="BH1327" s="168">
        <f t="shared" si="49"/>
        <v>5.0000000000000001E-3</v>
      </c>
      <c r="BI1327" s="169"/>
      <c r="BJ1327" s="168">
        <v>0</v>
      </c>
      <c r="BK1327" s="134" t="s">
        <v>2151</v>
      </c>
      <c r="BL1327" s="168">
        <f t="shared" si="50"/>
        <v>0.8</v>
      </c>
      <c r="BM1327" s="167" t="s">
        <v>2152</v>
      </c>
      <c r="BN1327" s="168">
        <f t="shared" si="51"/>
        <v>0.2</v>
      </c>
      <c r="BO1327" s="62"/>
      <c r="BP1327" s="168"/>
      <c r="BQ1327" s="168"/>
      <c r="BR1327" s="168"/>
      <c r="BS1327" s="135" t="s">
        <v>1615</v>
      </c>
      <c r="BT1327" s="176">
        <f t="shared" si="52"/>
        <v>0.79500000000000004</v>
      </c>
      <c r="BU1327" s="167" t="s">
        <v>1616</v>
      </c>
      <c r="BV1327" s="168">
        <f t="shared" si="53"/>
        <v>0.2</v>
      </c>
      <c r="BW1327" s="167" t="s">
        <v>2153</v>
      </c>
      <c r="BX1327" s="168"/>
      <c r="BY1327" s="167" t="s">
        <v>1617</v>
      </c>
      <c r="BZ1327" s="176">
        <f t="shared" si="54"/>
        <v>5.0000000000000001E-3</v>
      </c>
      <c r="CA1327" s="167" t="s">
        <v>1621</v>
      </c>
      <c r="CB1327" s="168">
        <f t="shared" si="55"/>
        <v>0</v>
      </c>
      <c r="CC1327" s="62"/>
      <c r="CD1327" s="168"/>
      <c r="CE1327" s="165" t="s">
        <v>3924</v>
      </c>
      <c r="CF1327" s="165"/>
      <c r="CG1327" s="204"/>
      <c r="CH1327" s="9"/>
      <c r="CI1327" s="204"/>
      <c r="CJ1327" s="204"/>
      <c r="CK1327" s="204"/>
      <c r="CL1327" s="204"/>
      <c r="CM1327" s="204"/>
      <c r="CN1327" s="204"/>
      <c r="CO1327" s="204"/>
      <c r="CP1327" s="9"/>
    </row>
    <row r="1328" spans="1:94" ht="399" x14ac:dyDescent="0.25">
      <c r="A1328" s="62" t="s">
        <v>3925</v>
      </c>
      <c r="B1328" s="131" t="s">
        <v>3926</v>
      </c>
      <c r="C1328" s="215"/>
      <c r="D1328" s="215"/>
      <c r="E1328" s="215"/>
      <c r="F1328" s="215"/>
      <c r="G1328" s="215"/>
      <c r="H1328" s="218"/>
      <c r="I1328" s="62"/>
      <c r="J1328" s="62"/>
      <c r="K1328" s="62"/>
      <c r="L1328" s="62"/>
      <c r="M1328" s="62"/>
      <c r="N1328" s="62"/>
      <c r="O1328" s="62"/>
      <c r="P1328" s="62"/>
      <c r="Q1328" s="62"/>
      <c r="R1328" s="62"/>
      <c r="S1328" s="62"/>
      <c r="T1328" s="62"/>
      <c r="U1328" s="62"/>
      <c r="V1328" s="62"/>
      <c r="W1328" s="62"/>
      <c r="X1328" s="62"/>
      <c r="Y1328" s="62"/>
      <c r="Z1328" s="62"/>
      <c r="AA1328" s="62"/>
      <c r="AB1328" s="62"/>
      <c r="AC1328" s="62"/>
      <c r="AD1328" s="62"/>
      <c r="AE1328" s="62"/>
      <c r="AF1328" s="62"/>
      <c r="AG1328" s="62"/>
      <c r="AH1328" s="62"/>
      <c r="AI1328" s="62"/>
      <c r="AJ1328" s="62"/>
      <c r="AK1328" s="62"/>
      <c r="AL1328" s="62"/>
      <c r="AM1328" s="61"/>
      <c r="AN1328" s="62"/>
      <c r="AO1328" s="61" t="s">
        <v>959</v>
      </c>
      <c r="AP1328" s="212"/>
      <c r="AQ1328" s="213"/>
      <c r="AR1328" s="213"/>
      <c r="AS1328" s="213"/>
      <c r="AT1328" s="213"/>
      <c r="AU1328" s="213"/>
      <c r="AV1328" s="213"/>
      <c r="AW1328" s="62"/>
      <c r="AX1328" s="62"/>
      <c r="AY1328" s="62"/>
      <c r="AZ1328" s="62"/>
      <c r="BA1328" s="141"/>
      <c r="BB1328" s="61"/>
      <c r="BC1328" s="165" t="s">
        <v>1615</v>
      </c>
      <c r="BD1328" s="166">
        <f t="shared" si="48"/>
        <v>0.79500000000000004</v>
      </c>
      <c r="BE1328" s="167" t="s">
        <v>1616</v>
      </c>
      <c r="BF1328" s="168">
        <f t="shared" si="47"/>
        <v>0.2</v>
      </c>
      <c r="BG1328" s="167" t="s">
        <v>1617</v>
      </c>
      <c r="BH1328" s="168">
        <f t="shared" si="49"/>
        <v>5.0000000000000001E-3</v>
      </c>
      <c r="BI1328" s="169"/>
      <c r="BJ1328" s="168">
        <v>0</v>
      </c>
      <c r="BK1328" s="134" t="s">
        <v>2151</v>
      </c>
      <c r="BL1328" s="168">
        <f t="shared" si="50"/>
        <v>0.8</v>
      </c>
      <c r="BM1328" s="167" t="s">
        <v>2152</v>
      </c>
      <c r="BN1328" s="168">
        <f t="shared" si="51"/>
        <v>0.2</v>
      </c>
      <c r="BO1328" s="62"/>
      <c r="BP1328" s="168"/>
      <c r="BQ1328" s="168"/>
      <c r="BR1328" s="168"/>
      <c r="BS1328" s="135" t="s">
        <v>1615</v>
      </c>
      <c r="BT1328" s="176">
        <f t="shared" si="52"/>
        <v>0.79500000000000004</v>
      </c>
      <c r="BU1328" s="167" t="s">
        <v>1616</v>
      </c>
      <c r="BV1328" s="168">
        <f t="shared" si="53"/>
        <v>0.2</v>
      </c>
      <c r="BW1328" s="167" t="s">
        <v>2153</v>
      </c>
      <c r="BX1328" s="168"/>
      <c r="BY1328" s="167" t="s">
        <v>1617</v>
      </c>
      <c r="BZ1328" s="176">
        <f t="shared" si="54"/>
        <v>5.0000000000000001E-3</v>
      </c>
      <c r="CA1328" s="167" t="s">
        <v>1621</v>
      </c>
      <c r="CB1328" s="168">
        <f t="shared" si="55"/>
        <v>0</v>
      </c>
      <c r="CC1328" s="62"/>
      <c r="CD1328" s="168"/>
      <c r="CE1328" s="165" t="s">
        <v>3927</v>
      </c>
      <c r="CF1328" s="165"/>
      <c r="CG1328" s="204"/>
      <c r="CH1328" s="9"/>
      <c r="CI1328" s="204"/>
      <c r="CJ1328" s="204"/>
      <c r="CK1328" s="204"/>
      <c r="CL1328" s="204"/>
      <c r="CM1328" s="204"/>
      <c r="CN1328" s="204"/>
      <c r="CO1328" s="204"/>
      <c r="CP1328" s="9"/>
    </row>
    <row r="1329" spans="1:94" ht="42.75" x14ac:dyDescent="0.25">
      <c r="A1329" s="62" t="s">
        <v>3928</v>
      </c>
      <c r="B1329" s="131" t="s">
        <v>3929</v>
      </c>
      <c r="C1329" s="215"/>
      <c r="D1329" s="215"/>
      <c r="E1329" s="215"/>
      <c r="F1329" s="215"/>
      <c r="G1329" s="215"/>
      <c r="H1329" s="218"/>
      <c r="I1329" s="62"/>
      <c r="J1329" s="62"/>
      <c r="K1329" s="62"/>
      <c r="L1329" s="62"/>
      <c r="M1329" s="62"/>
      <c r="N1329" s="62"/>
      <c r="O1329" s="62"/>
      <c r="P1329" s="62"/>
      <c r="Q1329" s="62"/>
      <c r="R1329" s="62"/>
      <c r="S1329" s="62"/>
      <c r="T1329" s="62"/>
      <c r="U1329" s="62"/>
      <c r="V1329" s="62"/>
      <c r="W1329" s="62"/>
      <c r="X1329" s="62"/>
      <c r="Y1329" s="62"/>
      <c r="Z1329" s="62"/>
      <c r="AA1329" s="62"/>
      <c r="AB1329" s="62"/>
      <c r="AC1329" s="62"/>
      <c r="AD1329" s="62"/>
      <c r="AE1329" s="62"/>
      <c r="AF1329" s="62"/>
      <c r="AG1329" s="62"/>
      <c r="AH1329" s="62"/>
      <c r="AI1329" s="62"/>
      <c r="AJ1329" s="62"/>
      <c r="AK1329" s="62"/>
      <c r="AL1329" s="62"/>
      <c r="AM1329" s="61"/>
      <c r="AN1329" s="62"/>
      <c r="AO1329" s="61" t="s">
        <v>959</v>
      </c>
      <c r="AP1329" s="212"/>
      <c r="AQ1329" s="213"/>
      <c r="AR1329" s="213"/>
      <c r="AS1329" s="213"/>
      <c r="AT1329" s="213"/>
      <c r="AU1329" s="213"/>
      <c r="AV1329" s="213"/>
      <c r="AW1329" s="62"/>
      <c r="AX1329" s="62"/>
      <c r="AY1329" s="62"/>
      <c r="AZ1329" s="62"/>
      <c r="BA1329" s="141"/>
      <c r="BB1329" s="61"/>
      <c r="BC1329" s="165" t="s">
        <v>1615</v>
      </c>
      <c r="BD1329" s="166">
        <f t="shared" si="48"/>
        <v>0.79500000000000004</v>
      </c>
      <c r="BE1329" s="167" t="s">
        <v>1616</v>
      </c>
      <c r="BF1329" s="168">
        <f t="shared" si="47"/>
        <v>0.2</v>
      </c>
      <c r="BG1329" s="167" t="s">
        <v>1617</v>
      </c>
      <c r="BH1329" s="168">
        <f t="shared" si="49"/>
        <v>5.0000000000000001E-3</v>
      </c>
      <c r="BI1329" s="169"/>
      <c r="BJ1329" s="168">
        <v>0</v>
      </c>
      <c r="BK1329" s="134" t="s">
        <v>2151</v>
      </c>
      <c r="BL1329" s="168">
        <f t="shared" si="50"/>
        <v>0.8</v>
      </c>
      <c r="BM1329" s="167" t="s">
        <v>2152</v>
      </c>
      <c r="BN1329" s="168">
        <f t="shared" si="51"/>
        <v>0.2</v>
      </c>
      <c r="BO1329" s="62"/>
      <c r="BP1329" s="168"/>
      <c r="BQ1329" s="168"/>
      <c r="BR1329" s="168"/>
      <c r="BS1329" s="135" t="s">
        <v>1615</v>
      </c>
      <c r="BT1329" s="176">
        <f t="shared" si="52"/>
        <v>0.79500000000000004</v>
      </c>
      <c r="BU1329" s="167" t="s">
        <v>1616</v>
      </c>
      <c r="BV1329" s="168">
        <f t="shared" si="53"/>
        <v>0.2</v>
      </c>
      <c r="BW1329" s="167" t="s">
        <v>2153</v>
      </c>
      <c r="BX1329" s="168"/>
      <c r="BY1329" s="167" t="s">
        <v>1617</v>
      </c>
      <c r="BZ1329" s="176">
        <f t="shared" si="54"/>
        <v>5.0000000000000001E-3</v>
      </c>
      <c r="CA1329" s="167" t="s">
        <v>1621</v>
      </c>
      <c r="CB1329" s="168">
        <f t="shared" si="55"/>
        <v>0</v>
      </c>
      <c r="CC1329" s="62"/>
      <c r="CD1329" s="168"/>
      <c r="CE1329" s="165"/>
      <c r="CF1329" s="165"/>
      <c r="CG1329" s="204"/>
      <c r="CH1329" s="9"/>
      <c r="CI1329" s="204"/>
      <c r="CJ1329" s="204"/>
      <c r="CK1329" s="204"/>
      <c r="CL1329" s="204"/>
      <c r="CM1329" s="204"/>
      <c r="CN1329" s="204"/>
      <c r="CO1329" s="204"/>
      <c r="CP1329" s="9"/>
    </row>
    <row r="1330" spans="1:94" ht="42.75" x14ac:dyDescent="0.25">
      <c r="A1330" s="62" t="s">
        <v>3930</v>
      </c>
      <c r="B1330" s="131" t="s">
        <v>3931</v>
      </c>
      <c r="C1330" s="215"/>
      <c r="D1330" s="215"/>
      <c r="E1330" s="215"/>
      <c r="F1330" s="215"/>
      <c r="G1330" s="215"/>
      <c r="H1330" s="218"/>
      <c r="I1330" s="62"/>
      <c r="J1330" s="62"/>
      <c r="K1330" s="62"/>
      <c r="L1330" s="62"/>
      <c r="M1330" s="62"/>
      <c r="N1330" s="62"/>
      <c r="O1330" s="62"/>
      <c r="P1330" s="62"/>
      <c r="Q1330" s="62"/>
      <c r="R1330" s="62"/>
      <c r="S1330" s="62"/>
      <c r="T1330" s="62"/>
      <c r="U1330" s="62"/>
      <c r="V1330" s="62"/>
      <c r="W1330" s="62"/>
      <c r="X1330" s="62"/>
      <c r="Y1330" s="62"/>
      <c r="Z1330" s="62"/>
      <c r="AA1330" s="62"/>
      <c r="AB1330" s="62"/>
      <c r="AC1330" s="62"/>
      <c r="AD1330" s="62"/>
      <c r="AE1330" s="62"/>
      <c r="AF1330" s="62"/>
      <c r="AG1330" s="62"/>
      <c r="AH1330" s="62"/>
      <c r="AI1330" s="62"/>
      <c r="AJ1330" s="62"/>
      <c r="AK1330" s="62"/>
      <c r="AL1330" s="62"/>
      <c r="AM1330" s="61"/>
      <c r="AN1330" s="62"/>
      <c r="AO1330" s="61" t="s">
        <v>959</v>
      </c>
      <c r="AP1330" s="212"/>
      <c r="AQ1330" s="213"/>
      <c r="AR1330" s="213"/>
      <c r="AS1330" s="213"/>
      <c r="AT1330" s="213"/>
      <c r="AU1330" s="213"/>
      <c r="AV1330" s="213"/>
      <c r="AW1330" s="62"/>
      <c r="AX1330" s="62"/>
      <c r="AY1330" s="62"/>
      <c r="AZ1330" s="62"/>
      <c r="BA1330" s="141"/>
      <c r="BB1330" s="61"/>
      <c r="BC1330" s="165" t="s">
        <v>1615</v>
      </c>
      <c r="BD1330" s="166">
        <f t="shared" si="48"/>
        <v>0.79500000000000004</v>
      </c>
      <c r="BE1330" s="167" t="s">
        <v>1616</v>
      </c>
      <c r="BF1330" s="168">
        <f t="shared" si="47"/>
        <v>0.2</v>
      </c>
      <c r="BG1330" s="167" t="s">
        <v>1617</v>
      </c>
      <c r="BH1330" s="168">
        <f t="shared" si="49"/>
        <v>5.0000000000000001E-3</v>
      </c>
      <c r="BI1330" s="169"/>
      <c r="BJ1330" s="168">
        <v>0</v>
      </c>
      <c r="BK1330" s="134" t="s">
        <v>2151</v>
      </c>
      <c r="BL1330" s="168">
        <f t="shared" si="50"/>
        <v>0.8</v>
      </c>
      <c r="BM1330" s="167" t="s">
        <v>2152</v>
      </c>
      <c r="BN1330" s="168">
        <f t="shared" si="51"/>
        <v>0.2</v>
      </c>
      <c r="BO1330" s="62"/>
      <c r="BP1330" s="168"/>
      <c r="BQ1330" s="168"/>
      <c r="BR1330" s="168"/>
      <c r="BS1330" s="135" t="s">
        <v>1615</v>
      </c>
      <c r="BT1330" s="176">
        <f t="shared" si="52"/>
        <v>0.79500000000000004</v>
      </c>
      <c r="BU1330" s="167" t="s">
        <v>1616</v>
      </c>
      <c r="BV1330" s="168">
        <f t="shared" si="53"/>
        <v>0.2</v>
      </c>
      <c r="BW1330" s="167" t="s">
        <v>2153</v>
      </c>
      <c r="BX1330" s="168"/>
      <c r="BY1330" s="167" t="s">
        <v>1617</v>
      </c>
      <c r="BZ1330" s="176">
        <f t="shared" si="54"/>
        <v>5.0000000000000001E-3</v>
      </c>
      <c r="CA1330" s="167" t="s">
        <v>1621</v>
      </c>
      <c r="CB1330" s="168">
        <f t="shared" si="55"/>
        <v>0</v>
      </c>
      <c r="CC1330" s="62"/>
      <c r="CD1330" s="168"/>
      <c r="CE1330" s="165"/>
      <c r="CF1330" s="165"/>
      <c r="CG1330" s="204"/>
      <c r="CH1330" s="9"/>
      <c r="CI1330" s="204"/>
      <c r="CJ1330" s="204"/>
      <c r="CK1330" s="204"/>
      <c r="CL1330" s="204"/>
      <c r="CM1330" s="204"/>
      <c r="CN1330" s="204"/>
      <c r="CO1330" s="204"/>
      <c r="CP1330" s="9"/>
    </row>
    <row r="1331" spans="1:94" ht="42.75" x14ac:dyDescent="0.25">
      <c r="A1331" s="62" t="s">
        <v>3932</v>
      </c>
      <c r="B1331" s="131" t="s">
        <v>3933</v>
      </c>
      <c r="C1331" s="215"/>
      <c r="D1331" s="215"/>
      <c r="E1331" s="215"/>
      <c r="F1331" s="215"/>
      <c r="G1331" s="215"/>
      <c r="H1331" s="218"/>
      <c r="I1331" s="62"/>
      <c r="J1331" s="62"/>
      <c r="K1331" s="62"/>
      <c r="L1331" s="62"/>
      <c r="M1331" s="62"/>
      <c r="N1331" s="62"/>
      <c r="O1331" s="62"/>
      <c r="P1331" s="62"/>
      <c r="Q1331" s="62"/>
      <c r="R1331" s="62"/>
      <c r="S1331" s="62"/>
      <c r="T1331" s="62"/>
      <c r="U1331" s="62"/>
      <c r="V1331" s="62"/>
      <c r="W1331" s="62"/>
      <c r="X1331" s="62"/>
      <c r="Y1331" s="62"/>
      <c r="Z1331" s="62"/>
      <c r="AA1331" s="62"/>
      <c r="AB1331" s="62"/>
      <c r="AC1331" s="62"/>
      <c r="AD1331" s="62"/>
      <c r="AE1331" s="62"/>
      <c r="AF1331" s="62"/>
      <c r="AG1331" s="62"/>
      <c r="AH1331" s="62"/>
      <c r="AI1331" s="62"/>
      <c r="AJ1331" s="62"/>
      <c r="AK1331" s="62"/>
      <c r="AL1331" s="62"/>
      <c r="AM1331" s="61"/>
      <c r="AN1331" s="62"/>
      <c r="AO1331" s="61" t="s">
        <v>959</v>
      </c>
      <c r="AP1331" s="212"/>
      <c r="AQ1331" s="213"/>
      <c r="AR1331" s="213"/>
      <c r="AS1331" s="213"/>
      <c r="AT1331" s="213"/>
      <c r="AU1331" s="213"/>
      <c r="AV1331" s="213"/>
      <c r="AW1331" s="62"/>
      <c r="AX1331" s="62"/>
      <c r="AY1331" s="62"/>
      <c r="AZ1331" s="62"/>
      <c r="BA1331" s="141"/>
      <c r="BB1331" s="61"/>
      <c r="BC1331" s="165" t="s">
        <v>1615</v>
      </c>
      <c r="BD1331" s="166">
        <f t="shared" si="48"/>
        <v>0.79500000000000004</v>
      </c>
      <c r="BE1331" s="167" t="s">
        <v>1616</v>
      </c>
      <c r="BF1331" s="168">
        <f t="shared" si="47"/>
        <v>0.2</v>
      </c>
      <c r="BG1331" s="167" t="s">
        <v>1617</v>
      </c>
      <c r="BH1331" s="168">
        <f t="shared" si="49"/>
        <v>5.0000000000000001E-3</v>
      </c>
      <c r="BI1331" s="169"/>
      <c r="BJ1331" s="168">
        <v>0</v>
      </c>
      <c r="BK1331" s="134" t="s">
        <v>2151</v>
      </c>
      <c r="BL1331" s="168">
        <f t="shared" si="50"/>
        <v>0.8</v>
      </c>
      <c r="BM1331" s="167" t="s">
        <v>2152</v>
      </c>
      <c r="BN1331" s="168">
        <f t="shared" si="51"/>
        <v>0.2</v>
      </c>
      <c r="BO1331" s="62"/>
      <c r="BP1331" s="168"/>
      <c r="BQ1331" s="168"/>
      <c r="BR1331" s="168"/>
      <c r="BS1331" s="135" t="s">
        <v>1615</v>
      </c>
      <c r="BT1331" s="176">
        <f t="shared" si="52"/>
        <v>0.79500000000000004</v>
      </c>
      <c r="BU1331" s="167" t="s">
        <v>1616</v>
      </c>
      <c r="BV1331" s="168">
        <f t="shared" si="53"/>
        <v>0.2</v>
      </c>
      <c r="BW1331" s="167" t="s">
        <v>2153</v>
      </c>
      <c r="BX1331" s="168"/>
      <c r="BY1331" s="167" t="s">
        <v>1617</v>
      </c>
      <c r="BZ1331" s="176">
        <f t="shared" si="54"/>
        <v>5.0000000000000001E-3</v>
      </c>
      <c r="CA1331" s="167" t="s">
        <v>1621</v>
      </c>
      <c r="CB1331" s="168">
        <f t="shared" si="55"/>
        <v>0</v>
      </c>
      <c r="CC1331" s="62"/>
      <c r="CD1331" s="168"/>
      <c r="CE1331" s="165"/>
      <c r="CF1331" s="165"/>
      <c r="CG1331" s="204"/>
      <c r="CH1331" s="9"/>
      <c r="CI1331" s="204"/>
      <c r="CJ1331" s="204"/>
      <c r="CK1331" s="204"/>
      <c r="CL1331" s="204"/>
      <c r="CM1331" s="204"/>
      <c r="CN1331" s="204"/>
      <c r="CO1331" s="204"/>
      <c r="CP1331" s="9"/>
    </row>
    <row r="1332" spans="1:94" ht="42.75" x14ac:dyDescent="0.25">
      <c r="A1332" s="62" t="s">
        <v>3934</v>
      </c>
      <c r="B1332" s="131" t="s">
        <v>3935</v>
      </c>
      <c r="C1332" s="215"/>
      <c r="D1332" s="215"/>
      <c r="E1332" s="215"/>
      <c r="F1332" s="215"/>
      <c r="G1332" s="215"/>
      <c r="H1332" s="218"/>
      <c r="I1332" s="62"/>
      <c r="J1332" s="62"/>
      <c r="K1332" s="62"/>
      <c r="L1332" s="62"/>
      <c r="M1332" s="62"/>
      <c r="N1332" s="62"/>
      <c r="O1332" s="62"/>
      <c r="P1332" s="62"/>
      <c r="Q1332" s="62"/>
      <c r="R1332" s="62"/>
      <c r="S1332" s="62"/>
      <c r="T1332" s="62"/>
      <c r="U1332" s="62"/>
      <c r="V1332" s="62"/>
      <c r="W1332" s="62"/>
      <c r="X1332" s="62"/>
      <c r="Y1332" s="62"/>
      <c r="Z1332" s="62"/>
      <c r="AA1332" s="62"/>
      <c r="AB1332" s="62"/>
      <c r="AC1332" s="62"/>
      <c r="AD1332" s="62"/>
      <c r="AE1332" s="62"/>
      <c r="AF1332" s="62"/>
      <c r="AG1332" s="62"/>
      <c r="AH1332" s="62"/>
      <c r="AI1332" s="62"/>
      <c r="AJ1332" s="62"/>
      <c r="AK1332" s="62"/>
      <c r="AL1332" s="62"/>
      <c r="AM1332" s="61"/>
      <c r="AN1332" s="62"/>
      <c r="AO1332" s="61" t="s">
        <v>959</v>
      </c>
      <c r="AP1332" s="212"/>
      <c r="AQ1332" s="213"/>
      <c r="AR1332" s="213"/>
      <c r="AS1332" s="213"/>
      <c r="AT1332" s="213"/>
      <c r="AU1332" s="213"/>
      <c r="AV1332" s="213"/>
      <c r="AW1332" s="62"/>
      <c r="AX1332" s="62"/>
      <c r="AY1332" s="62"/>
      <c r="AZ1332" s="62"/>
      <c r="BA1332" s="141"/>
      <c r="BB1332" s="61"/>
      <c r="BC1332" s="165" t="s">
        <v>1615</v>
      </c>
      <c r="BD1332" s="166">
        <f t="shared" si="48"/>
        <v>0.79500000000000004</v>
      </c>
      <c r="BE1332" s="167" t="s">
        <v>1616</v>
      </c>
      <c r="BF1332" s="168">
        <f t="shared" si="47"/>
        <v>0.2</v>
      </c>
      <c r="BG1332" s="167" t="s">
        <v>1617</v>
      </c>
      <c r="BH1332" s="168">
        <f t="shared" si="49"/>
        <v>5.0000000000000001E-3</v>
      </c>
      <c r="BI1332" s="169"/>
      <c r="BJ1332" s="168">
        <v>0</v>
      </c>
      <c r="BK1332" s="134" t="s">
        <v>2151</v>
      </c>
      <c r="BL1332" s="168">
        <f t="shared" si="50"/>
        <v>0.8</v>
      </c>
      <c r="BM1332" s="167" t="s">
        <v>2152</v>
      </c>
      <c r="BN1332" s="168">
        <f t="shared" si="51"/>
        <v>0.2</v>
      </c>
      <c r="BO1332" s="62"/>
      <c r="BP1332" s="168"/>
      <c r="BQ1332" s="168"/>
      <c r="BR1332" s="168"/>
      <c r="BS1332" s="135" t="s">
        <v>1615</v>
      </c>
      <c r="BT1332" s="176">
        <f t="shared" si="52"/>
        <v>0.79500000000000004</v>
      </c>
      <c r="BU1332" s="167" t="s">
        <v>1616</v>
      </c>
      <c r="BV1332" s="168">
        <f t="shared" si="53"/>
        <v>0.2</v>
      </c>
      <c r="BW1332" s="167" t="s">
        <v>2153</v>
      </c>
      <c r="BX1332" s="168"/>
      <c r="BY1332" s="167" t="s">
        <v>1617</v>
      </c>
      <c r="BZ1332" s="176">
        <f t="shared" si="54"/>
        <v>5.0000000000000001E-3</v>
      </c>
      <c r="CA1332" s="167" t="s">
        <v>1621</v>
      </c>
      <c r="CB1332" s="168">
        <f t="shared" si="55"/>
        <v>0</v>
      </c>
      <c r="CC1332" s="62"/>
      <c r="CD1332" s="168"/>
      <c r="CE1332" s="165"/>
      <c r="CF1332" s="165"/>
      <c r="CG1332" s="204"/>
      <c r="CH1332" s="9"/>
      <c r="CI1332" s="204"/>
      <c r="CJ1332" s="204"/>
      <c r="CK1332" s="204"/>
      <c r="CL1332" s="204"/>
      <c r="CM1332" s="204"/>
      <c r="CN1332" s="204"/>
      <c r="CO1332" s="204"/>
      <c r="CP1332" s="9"/>
    </row>
    <row r="1333" spans="1:94" ht="42.75" x14ac:dyDescent="0.25">
      <c r="A1333" s="62" t="s">
        <v>3936</v>
      </c>
      <c r="B1333" s="131" t="s">
        <v>3937</v>
      </c>
      <c r="C1333" s="215"/>
      <c r="D1333" s="215"/>
      <c r="E1333" s="215"/>
      <c r="F1333" s="215"/>
      <c r="G1333" s="215"/>
      <c r="H1333" s="218"/>
      <c r="I1333" s="62"/>
      <c r="J1333" s="62"/>
      <c r="K1333" s="62"/>
      <c r="L1333" s="62"/>
      <c r="M1333" s="62"/>
      <c r="N1333" s="62"/>
      <c r="O1333" s="62"/>
      <c r="P1333" s="62"/>
      <c r="Q1333" s="62"/>
      <c r="R1333" s="62"/>
      <c r="S1333" s="62"/>
      <c r="T1333" s="62"/>
      <c r="U1333" s="62"/>
      <c r="V1333" s="62"/>
      <c r="W1333" s="62"/>
      <c r="X1333" s="62"/>
      <c r="Y1333" s="62"/>
      <c r="Z1333" s="62"/>
      <c r="AA1333" s="62"/>
      <c r="AB1333" s="62"/>
      <c r="AC1333" s="62"/>
      <c r="AD1333" s="62"/>
      <c r="AE1333" s="62"/>
      <c r="AF1333" s="62"/>
      <c r="AG1333" s="62"/>
      <c r="AH1333" s="62"/>
      <c r="AI1333" s="62"/>
      <c r="AJ1333" s="62"/>
      <c r="AK1333" s="62"/>
      <c r="AL1333" s="62"/>
      <c r="AM1333" s="61"/>
      <c r="AN1333" s="62"/>
      <c r="AO1333" s="61" t="s">
        <v>959</v>
      </c>
      <c r="AP1333" s="212"/>
      <c r="AQ1333" s="213"/>
      <c r="AR1333" s="213"/>
      <c r="AS1333" s="213"/>
      <c r="AT1333" s="213"/>
      <c r="AU1333" s="213"/>
      <c r="AV1333" s="213"/>
      <c r="AW1333" s="62"/>
      <c r="AX1333" s="62"/>
      <c r="AY1333" s="62"/>
      <c r="AZ1333" s="62"/>
      <c r="BA1333" s="141"/>
      <c r="BB1333" s="61"/>
      <c r="BC1333" s="165" t="s">
        <v>1615</v>
      </c>
      <c r="BD1333" s="166">
        <f t="shared" si="48"/>
        <v>0.79500000000000004</v>
      </c>
      <c r="BE1333" s="167" t="s">
        <v>1616</v>
      </c>
      <c r="BF1333" s="168">
        <f t="shared" si="47"/>
        <v>0.2</v>
      </c>
      <c r="BG1333" s="167" t="s">
        <v>1617</v>
      </c>
      <c r="BH1333" s="168">
        <f t="shared" si="49"/>
        <v>5.0000000000000001E-3</v>
      </c>
      <c r="BI1333" s="169"/>
      <c r="BJ1333" s="168">
        <v>0</v>
      </c>
      <c r="BK1333" s="134" t="s">
        <v>2151</v>
      </c>
      <c r="BL1333" s="168">
        <f t="shared" si="50"/>
        <v>0.8</v>
      </c>
      <c r="BM1333" s="167" t="s">
        <v>2152</v>
      </c>
      <c r="BN1333" s="168">
        <f t="shared" si="51"/>
        <v>0.2</v>
      </c>
      <c r="BO1333" s="62"/>
      <c r="BP1333" s="168"/>
      <c r="BQ1333" s="168"/>
      <c r="BR1333" s="168"/>
      <c r="BS1333" s="135" t="s">
        <v>1615</v>
      </c>
      <c r="BT1333" s="176">
        <f t="shared" si="52"/>
        <v>0.79500000000000004</v>
      </c>
      <c r="BU1333" s="167" t="s">
        <v>1616</v>
      </c>
      <c r="BV1333" s="168">
        <f t="shared" si="53"/>
        <v>0.2</v>
      </c>
      <c r="BW1333" s="167" t="s">
        <v>2153</v>
      </c>
      <c r="BX1333" s="168"/>
      <c r="BY1333" s="167" t="s">
        <v>1617</v>
      </c>
      <c r="BZ1333" s="176">
        <f t="shared" si="54"/>
        <v>5.0000000000000001E-3</v>
      </c>
      <c r="CA1333" s="167" t="s">
        <v>1621</v>
      </c>
      <c r="CB1333" s="168">
        <f t="shared" si="55"/>
        <v>0</v>
      </c>
      <c r="CC1333" s="62"/>
      <c r="CD1333" s="168"/>
      <c r="CE1333" s="165"/>
      <c r="CF1333" s="165"/>
      <c r="CG1333" s="204"/>
      <c r="CH1333" s="9"/>
      <c r="CI1333" s="204"/>
      <c r="CJ1333" s="204"/>
      <c r="CK1333" s="204"/>
      <c r="CL1333" s="204"/>
      <c r="CM1333" s="204"/>
      <c r="CN1333" s="204"/>
      <c r="CO1333" s="204"/>
      <c r="CP1333" s="9"/>
    </row>
    <row r="1334" spans="1:94" ht="42.75" x14ac:dyDescent="0.25">
      <c r="A1334" s="62" t="s">
        <v>3938</v>
      </c>
      <c r="B1334" s="131" t="s">
        <v>3939</v>
      </c>
      <c r="C1334" s="215"/>
      <c r="D1334" s="215"/>
      <c r="E1334" s="215"/>
      <c r="F1334" s="215"/>
      <c r="G1334" s="215"/>
      <c r="H1334" s="218"/>
      <c r="I1334" s="62"/>
      <c r="J1334" s="62"/>
      <c r="K1334" s="62"/>
      <c r="L1334" s="62"/>
      <c r="M1334" s="62"/>
      <c r="N1334" s="62"/>
      <c r="O1334" s="62"/>
      <c r="P1334" s="62"/>
      <c r="Q1334" s="62"/>
      <c r="R1334" s="62"/>
      <c r="S1334" s="62"/>
      <c r="T1334" s="62"/>
      <c r="U1334" s="62"/>
      <c r="V1334" s="62"/>
      <c r="W1334" s="62"/>
      <c r="X1334" s="62"/>
      <c r="Y1334" s="62"/>
      <c r="Z1334" s="62"/>
      <c r="AA1334" s="62"/>
      <c r="AB1334" s="62"/>
      <c r="AC1334" s="62"/>
      <c r="AD1334" s="62"/>
      <c r="AE1334" s="62"/>
      <c r="AF1334" s="62"/>
      <c r="AG1334" s="62"/>
      <c r="AH1334" s="62"/>
      <c r="AI1334" s="62"/>
      <c r="AJ1334" s="62"/>
      <c r="AK1334" s="62"/>
      <c r="AL1334" s="62"/>
      <c r="AM1334" s="61"/>
      <c r="AN1334" s="62"/>
      <c r="AO1334" s="61" t="s">
        <v>959</v>
      </c>
      <c r="AP1334" s="212"/>
      <c r="AQ1334" s="213"/>
      <c r="AR1334" s="213"/>
      <c r="AS1334" s="213"/>
      <c r="AT1334" s="213"/>
      <c r="AU1334" s="213"/>
      <c r="AV1334" s="213"/>
      <c r="AW1334" s="62"/>
      <c r="AX1334" s="62"/>
      <c r="AY1334" s="62"/>
      <c r="AZ1334" s="62"/>
      <c r="BA1334" s="141"/>
      <c r="BB1334" s="61"/>
      <c r="BC1334" s="165" t="s">
        <v>1615</v>
      </c>
      <c r="BD1334" s="166">
        <f t="shared" si="48"/>
        <v>0.79500000000000004</v>
      </c>
      <c r="BE1334" s="167" t="s">
        <v>1616</v>
      </c>
      <c r="BF1334" s="168">
        <f t="shared" si="47"/>
        <v>0.2</v>
      </c>
      <c r="BG1334" s="167" t="s">
        <v>1617</v>
      </c>
      <c r="BH1334" s="168">
        <f t="shared" si="49"/>
        <v>5.0000000000000001E-3</v>
      </c>
      <c r="BI1334" s="169"/>
      <c r="BJ1334" s="168">
        <v>0</v>
      </c>
      <c r="BK1334" s="134" t="s">
        <v>2151</v>
      </c>
      <c r="BL1334" s="168">
        <f t="shared" si="50"/>
        <v>0.8</v>
      </c>
      <c r="BM1334" s="167" t="s">
        <v>2152</v>
      </c>
      <c r="BN1334" s="168">
        <f t="shared" si="51"/>
        <v>0.2</v>
      </c>
      <c r="BO1334" s="62"/>
      <c r="BP1334" s="168"/>
      <c r="BQ1334" s="168"/>
      <c r="BR1334" s="168"/>
      <c r="BS1334" s="135" t="s">
        <v>1615</v>
      </c>
      <c r="BT1334" s="176">
        <f t="shared" si="52"/>
        <v>0.79500000000000004</v>
      </c>
      <c r="BU1334" s="167" t="s">
        <v>1616</v>
      </c>
      <c r="BV1334" s="168">
        <f t="shared" si="53"/>
        <v>0.2</v>
      </c>
      <c r="BW1334" s="167" t="s">
        <v>2153</v>
      </c>
      <c r="BX1334" s="168"/>
      <c r="BY1334" s="167" t="s">
        <v>1617</v>
      </c>
      <c r="BZ1334" s="176">
        <f t="shared" si="54"/>
        <v>5.0000000000000001E-3</v>
      </c>
      <c r="CA1334" s="167" t="s">
        <v>1621</v>
      </c>
      <c r="CB1334" s="168">
        <f t="shared" si="55"/>
        <v>0</v>
      </c>
      <c r="CC1334" s="62"/>
      <c r="CD1334" s="168"/>
      <c r="CE1334" s="165"/>
      <c r="CF1334" s="165"/>
      <c r="CG1334" s="204"/>
      <c r="CH1334" s="9"/>
      <c r="CI1334" s="204"/>
      <c r="CJ1334" s="204"/>
      <c r="CK1334" s="204"/>
      <c r="CL1334" s="204"/>
      <c r="CM1334" s="204"/>
      <c r="CN1334" s="204"/>
      <c r="CO1334" s="204"/>
      <c r="CP1334" s="9"/>
    </row>
    <row r="1335" spans="1:94" ht="42.75" x14ac:dyDescent="0.25">
      <c r="A1335" s="62" t="s">
        <v>3940</v>
      </c>
      <c r="B1335" s="131" t="s">
        <v>3941</v>
      </c>
      <c r="C1335" s="215"/>
      <c r="D1335" s="215"/>
      <c r="E1335" s="215"/>
      <c r="F1335" s="215"/>
      <c r="G1335" s="215"/>
      <c r="H1335" s="218"/>
      <c r="I1335" s="62"/>
      <c r="J1335" s="62"/>
      <c r="K1335" s="62"/>
      <c r="L1335" s="62"/>
      <c r="M1335" s="62"/>
      <c r="N1335" s="62"/>
      <c r="O1335" s="62"/>
      <c r="P1335" s="62"/>
      <c r="Q1335" s="62"/>
      <c r="R1335" s="62"/>
      <c r="S1335" s="62"/>
      <c r="T1335" s="62"/>
      <c r="U1335" s="62"/>
      <c r="V1335" s="62"/>
      <c r="W1335" s="62"/>
      <c r="X1335" s="62"/>
      <c r="Y1335" s="62"/>
      <c r="Z1335" s="62"/>
      <c r="AA1335" s="62"/>
      <c r="AB1335" s="62"/>
      <c r="AC1335" s="62"/>
      <c r="AD1335" s="62"/>
      <c r="AE1335" s="62"/>
      <c r="AF1335" s="62"/>
      <c r="AG1335" s="62"/>
      <c r="AH1335" s="62"/>
      <c r="AI1335" s="62"/>
      <c r="AJ1335" s="62"/>
      <c r="AK1335" s="62"/>
      <c r="AL1335" s="62"/>
      <c r="AM1335" s="61"/>
      <c r="AN1335" s="62"/>
      <c r="AO1335" s="61" t="s">
        <v>959</v>
      </c>
      <c r="AP1335" s="212"/>
      <c r="AQ1335" s="213"/>
      <c r="AR1335" s="213"/>
      <c r="AS1335" s="213"/>
      <c r="AT1335" s="213"/>
      <c r="AU1335" s="213"/>
      <c r="AV1335" s="213"/>
      <c r="AW1335" s="62"/>
      <c r="AX1335" s="62"/>
      <c r="AY1335" s="62"/>
      <c r="AZ1335" s="62"/>
      <c r="BA1335" s="141"/>
      <c r="BB1335" s="61"/>
      <c r="BC1335" s="165" t="s">
        <v>1615</v>
      </c>
      <c r="BD1335" s="166">
        <f t="shared" si="48"/>
        <v>0.79500000000000004</v>
      </c>
      <c r="BE1335" s="167" t="s">
        <v>1616</v>
      </c>
      <c r="BF1335" s="168">
        <f t="shared" si="47"/>
        <v>0.2</v>
      </c>
      <c r="BG1335" s="167" t="s">
        <v>1617</v>
      </c>
      <c r="BH1335" s="168">
        <f t="shared" si="49"/>
        <v>5.0000000000000001E-3</v>
      </c>
      <c r="BI1335" s="169"/>
      <c r="BJ1335" s="168">
        <v>0</v>
      </c>
      <c r="BK1335" s="134" t="s">
        <v>2151</v>
      </c>
      <c r="BL1335" s="168">
        <f t="shared" si="50"/>
        <v>0.8</v>
      </c>
      <c r="BM1335" s="167" t="s">
        <v>2152</v>
      </c>
      <c r="BN1335" s="168">
        <f t="shared" si="51"/>
        <v>0.2</v>
      </c>
      <c r="BO1335" s="62"/>
      <c r="BP1335" s="168"/>
      <c r="BQ1335" s="168"/>
      <c r="BR1335" s="168"/>
      <c r="BS1335" s="135" t="s">
        <v>1615</v>
      </c>
      <c r="BT1335" s="176">
        <f t="shared" si="52"/>
        <v>0.79500000000000004</v>
      </c>
      <c r="BU1335" s="167" t="s">
        <v>1616</v>
      </c>
      <c r="BV1335" s="168">
        <f t="shared" si="53"/>
        <v>0.2</v>
      </c>
      <c r="BW1335" s="167" t="s">
        <v>2153</v>
      </c>
      <c r="BX1335" s="168"/>
      <c r="BY1335" s="167" t="s">
        <v>1617</v>
      </c>
      <c r="BZ1335" s="176">
        <f t="shared" si="54"/>
        <v>5.0000000000000001E-3</v>
      </c>
      <c r="CA1335" s="167" t="s">
        <v>1621</v>
      </c>
      <c r="CB1335" s="168">
        <f t="shared" si="55"/>
        <v>0</v>
      </c>
      <c r="CC1335" s="62"/>
      <c r="CD1335" s="168"/>
      <c r="CE1335" s="165"/>
      <c r="CF1335" s="165"/>
      <c r="CG1335" s="204"/>
      <c r="CH1335" s="9"/>
      <c r="CI1335" s="204"/>
      <c r="CJ1335" s="204"/>
      <c r="CK1335" s="204"/>
      <c r="CL1335" s="204"/>
      <c r="CM1335" s="204"/>
      <c r="CN1335" s="204"/>
      <c r="CO1335" s="204"/>
      <c r="CP1335" s="9"/>
    </row>
    <row r="1336" spans="1:94" ht="399" x14ac:dyDescent="0.25">
      <c r="A1336" s="62" t="s">
        <v>3942</v>
      </c>
      <c r="B1336" s="131" t="s">
        <v>3926</v>
      </c>
      <c r="C1336" s="215"/>
      <c r="D1336" s="215"/>
      <c r="E1336" s="215"/>
      <c r="F1336" s="215"/>
      <c r="G1336" s="215"/>
      <c r="H1336" s="218"/>
      <c r="I1336" s="62"/>
      <c r="J1336" s="62"/>
      <c r="K1336" s="62"/>
      <c r="L1336" s="62"/>
      <c r="M1336" s="62"/>
      <c r="N1336" s="62"/>
      <c r="O1336" s="62"/>
      <c r="P1336" s="62"/>
      <c r="Q1336" s="62"/>
      <c r="R1336" s="62"/>
      <c r="S1336" s="62"/>
      <c r="T1336" s="62"/>
      <c r="U1336" s="62"/>
      <c r="V1336" s="62"/>
      <c r="W1336" s="62"/>
      <c r="X1336" s="62"/>
      <c r="Y1336" s="62"/>
      <c r="Z1336" s="62"/>
      <c r="AA1336" s="62"/>
      <c r="AB1336" s="62"/>
      <c r="AC1336" s="62"/>
      <c r="AD1336" s="62"/>
      <c r="AE1336" s="62"/>
      <c r="AF1336" s="62"/>
      <c r="AG1336" s="62"/>
      <c r="AH1336" s="62"/>
      <c r="AI1336" s="62"/>
      <c r="AJ1336" s="62"/>
      <c r="AK1336" s="62"/>
      <c r="AL1336" s="62"/>
      <c r="AM1336" s="61"/>
      <c r="AN1336" s="62"/>
      <c r="AO1336" s="61" t="s">
        <v>3943</v>
      </c>
      <c r="AP1336" s="212"/>
      <c r="AQ1336" s="213"/>
      <c r="AR1336" s="213"/>
      <c r="AS1336" s="213"/>
      <c r="AT1336" s="213"/>
      <c r="AU1336" s="213"/>
      <c r="AV1336" s="213"/>
      <c r="AW1336" s="62"/>
      <c r="AX1336" s="62"/>
      <c r="AY1336" s="62"/>
      <c r="AZ1336" s="62"/>
      <c r="BA1336" s="141"/>
      <c r="BB1336" s="61"/>
      <c r="BC1336" s="165" t="s">
        <v>1615</v>
      </c>
      <c r="BD1336" s="166">
        <v>0.89</v>
      </c>
      <c r="BE1336" s="167" t="s">
        <v>1616</v>
      </c>
      <c r="BF1336" s="168">
        <v>0.1</v>
      </c>
      <c r="BG1336" s="167" t="s">
        <v>1617</v>
      </c>
      <c r="BH1336" s="168">
        <v>0.01</v>
      </c>
      <c r="BI1336" s="169"/>
      <c r="BJ1336" s="168">
        <v>0</v>
      </c>
      <c r="BK1336" s="134" t="s">
        <v>2151</v>
      </c>
      <c r="BL1336" s="168">
        <v>0.9</v>
      </c>
      <c r="BM1336" s="167" t="s">
        <v>2152</v>
      </c>
      <c r="BN1336" s="168">
        <v>0.1</v>
      </c>
      <c r="BO1336" s="62"/>
      <c r="BP1336" s="168"/>
      <c r="BQ1336" s="168"/>
      <c r="BR1336" s="168"/>
      <c r="BS1336" s="135" t="s">
        <v>1615</v>
      </c>
      <c r="BT1336" s="168">
        <v>0.87</v>
      </c>
      <c r="BU1336" s="167" t="s">
        <v>1616</v>
      </c>
      <c r="BV1336" s="168">
        <v>0.1</v>
      </c>
      <c r="BW1336" s="167" t="s">
        <v>2153</v>
      </c>
      <c r="BX1336" s="168"/>
      <c r="BY1336" s="167" t="s">
        <v>1617</v>
      </c>
      <c r="BZ1336" s="168">
        <v>0.01</v>
      </c>
      <c r="CA1336" s="167" t="s">
        <v>1621</v>
      </c>
      <c r="CB1336" s="168">
        <v>0.02</v>
      </c>
      <c r="CC1336" s="62"/>
      <c r="CD1336" s="168"/>
      <c r="CE1336" s="165" t="s">
        <v>3927</v>
      </c>
      <c r="CF1336" s="165"/>
      <c r="CG1336" s="204"/>
      <c r="CH1336" s="9"/>
      <c r="CI1336" s="204"/>
      <c r="CJ1336" s="204"/>
      <c r="CK1336" s="204"/>
      <c r="CL1336" s="204"/>
      <c r="CM1336" s="204"/>
      <c r="CN1336" s="204"/>
      <c r="CO1336" s="204"/>
      <c r="CP1336" s="9"/>
    </row>
    <row r="1337" spans="1:94" ht="399" x14ac:dyDescent="0.25">
      <c r="A1337" s="62" t="s">
        <v>3944</v>
      </c>
      <c r="B1337" s="131" t="s">
        <v>3945</v>
      </c>
      <c r="C1337" s="215"/>
      <c r="D1337" s="215"/>
      <c r="E1337" s="215"/>
      <c r="F1337" s="215"/>
      <c r="G1337" s="215"/>
      <c r="H1337" s="218"/>
      <c r="I1337" s="62"/>
      <c r="J1337" s="62"/>
      <c r="K1337" s="62"/>
      <c r="L1337" s="62"/>
      <c r="M1337" s="62"/>
      <c r="N1337" s="62"/>
      <c r="O1337" s="62"/>
      <c r="P1337" s="62"/>
      <c r="Q1337" s="62"/>
      <c r="R1337" s="62"/>
      <c r="S1337" s="62"/>
      <c r="T1337" s="62"/>
      <c r="U1337" s="62"/>
      <c r="V1337" s="62"/>
      <c r="W1337" s="62"/>
      <c r="X1337" s="62"/>
      <c r="Y1337" s="62"/>
      <c r="Z1337" s="62"/>
      <c r="AA1337" s="62"/>
      <c r="AB1337" s="62"/>
      <c r="AC1337" s="62"/>
      <c r="AD1337" s="62"/>
      <c r="AE1337" s="62"/>
      <c r="AF1337" s="62"/>
      <c r="AG1337" s="62"/>
      <c r="AH1337" s="62"/>
      <c r="AI1337" s="62"/>
      <c r="AJ1337" s="62"/>
      <c r="AK1337" s="62"/>
      <c r="AL1337" s="62"/>
      <c r="AM1337" s="61"/>
      <c r="AN1337" s="62"/>
      <c r="AO1337" s="61" t="s">
        <v>959</v>
      </c>
      <c r="AP1337" s="212"/>
      <c r="AQ1337" s="213"/>
      <c r="AR1337" s="213"/>
      <c r="AS1337" s="213"/>
      <c r="AT1337" s="213"/>
      <c r="AU1337" s="213"/>
      <c r="AV1337" s="213"/>
      <c r="AW1337" s="62"/>
      <c r="AX1337" s="62"/>
      <c r="AY1337" s="62"/>
      <c r="AZ1337" s="62"/>
      <c r="BA1337" s="141"/>
      <c r="BB1337" s="61"/>
      <c r="BC1337" s="165" t="s">
        <v>1615</v>
      </c>
      <c r="BD1337" s="166">
        <f t="shared" ref="BD1337:BD1349" si="56">+(89-9.5)%</f>
        <v>0.79500000000000004</v>
      </c>
      <c r="BE1337" s="167" t="s">
        <v>1616</v>
      </c>
      <c r="BF1337" s="168">
        <f t="shared" si="47"/>
        <v>0.2</v>
      </c>
      <c r="BG1337" s="167" t="s">
        <v>1617</v>
      </c>
      <c r="BH1337" s="168">
        <f t="shared" ref="BH1337:BH1349" si="57">+(1-0.5)%</f>
        <v>5.0000000000000001E-3</v>
      </c>
      <c r="BI1337" s="169"/>
      <c r="BJ1337" s="168">
        <v>0</v>
      </c>
      <c r="BK1337" s="134" t="s">
        <v>2151</v>
      </c>
      <c r="BL1337" s="168">
        <f t="shared" ref="BL1337:BL1349" si="58">+(90-10)%</f>
        <v>0.8</v>
      </c>
      <c r="BM1337" s="167" t="s">
        <v>2152</v>
      </c>
      <c r="BN1337" s="168">
        <f t="shared" ref="BN1337:BN1349" si="59">+(10+10)%</f>
        <v>0.2</v>
      </c>
      <c r="BO1337" s="62"/>
      <c r="BP1337" s="168"/>
      <c r="BQ1337" s="168"/>
      <c r="BR1337" s="168"/>
      <c r="BS1337" s="135" t="s">
        <v>1615</v>
      </c>
      <c r="BT1337" s="176">
        <f t="shared" ref="BT1337:BT1349" si="60">+(87-7.5)%</f>
        <v>0.79500000000000004</v>
      </c>
      <c r="BU1337" s="167" t="s">
        <v>1616</v>
      </c>
      <c r="BV1337" s="168">
        <f t="shared" ref="BV1337:BV1349" si="61">+(10+10)%</f>
        <v>0.2</v>
      </c>
      <c r="BW1337" s="167" t="s">
        <v>2153</v>
      </c>
      <c r="BX1337" s="168"/>
      <c r="BY1337" s="167" t="s">
        <v>1617</v>
      </c>
      <c r="BZ1337" s="176">
        <f t="shared" ref="BZ1337:BZ1349" si="62">+(1-0.5)%</f>
        <v>5.0000000000000001E-3</v>
      </c>
      <c r="CA1337" s="167" t="s">
        <v>1621</v>
      </c>
      <c r="CB1337" s="168">
        <f t="shared" ref="CB1337:CB1349" si="63">+(2-2)%</f>
        <v>0</v>
      </c>
      <c r="CC1337" s="62"/>
      <c r="CD1337" s="168"/>
      <c r="CE1337" s="165" t="s">
        <v>3946</v>
      </c>
      <c r="CF1337" s="165"/>
      <c r="CG1337" s="204"/>
      <c r="CH1337" s="9"/>
      <c r="CI1337" s="204"/>
      <c r="CJ1337" s="204"/>
      <c r="CK1337" s="204"/>
      <c r="CL1337" s="204"/>
      <c r="CM1337" s="204"/>
      <c r="CN1337" s="204"/>
      <c r="CO1337" s="204"/>
      <c r="CP1337" s="9"/>
    </row>
    <row r="1338" spans="1:94" ht="399" x14ac:dyDescent="0.25">
      <c r="A1338" s="62" t="s">
        <v>3947</v>
      </c>
      <c r="B1338" s="131" t="s">
        <v>3948</v>
      </c>
      <c r="C1338" s="215"/>
      <c r="D1338" s="215"/>
      <c r="E1338" s="215"/>
      <c r="F1338" s="215"/>
      <c r="G1338" s="215"/>
      <c r="H1338" s="218"/>
      <c r="I1338" s="62"/>
      <c r="J1338" s="62"/>
      <c r="K1338" s="62"/>
      <c r="L1338" s="62"/>
      <c r="M1338" s="62"/>
      <c r="N1338" s="62"/>
      <c r="O1338" s="62"/>
      <c r="P1338" s="62"/>
      <c r="Q1338" s="62"/>
      <c r="R1338" s="62"/>
      <c r="S1338" s="62"/>
      <c r="T1338" s="62"/>
      <c r="U1338" s="62"/>
      <c r="V1338" s="62"/>
      <c r="W1338" s="62"/>
      <c r="X1338" s="62"/>
      <c r="Y1338" s="62"/>
      <c r="Z1338" s="62"/>
      <c r="AA1338" s="62"/>
      <c r="AB1338" s="62"/>
      <c r="AC1338" s="62"/>
      <c r="AD1338" s="62"/>
      <c r="AE1338" s="62"/>
      <c r="AF1338" s="62"/>
      <c r="AG1338" s="62"/>
      <c r="AH1338" s="62"/>
      <c r="AI1338" s="62"/>
      <c r="AJ1338" s="62"/>
      <c r="AK1338" s="62"/>
      <c r="AL1338" s="62"/>
      <c r="AM1338" s="61"/>
      <c r="AN1338" s="62"/>
      <c r="AO1338" s="61" t="s">
        <v>959</v>
      </c>
      <c r="AP1338" s="212"/>
      <c r="AQ1338" s="213"/>
      <c r="AR1338" s="213"/>
      <c r="AS1338" s="213"/>
      <c r="AT1338" s="213"/>
      <c r="AU1338" s="213"/>
      <c r="AV1338" s="213"/>
      <c r="AW1338" s="62"/>
      <c r="AX1338" s="62"/>
      <c r="AY1338" s="62"/>
      <c r="AZ1338" s="62"/>
      <c r="BA1338" s="141"/>
      <c r="BB1338" s="61"/>
      <c r="BC1338" s="165" t="s">
        <v>1615</v>
      </c>
      <c r="BD1338" s="166">
        <f t="shared" si="56"/>
        <v>0.79500000000000004</v>
      </c>
      <c r="BE1338" s="167" t="s">
        <v>1616</v>
      </c>
      <c r="BF1338" s="168">
        <f t="shared" si="47"/>
        <v>0.2</v>
      </c>
      <c r="BG1338" s="167" t="s">
        <v>1617</v>
      </c>
      <c r="BH1338" s="168">
        <f t="shared" si="57"/>
        <v>5.0000000000000001E-3</v>
      </c>
      <c r="BI1338" s="169"/>
      <c r="BJ1338" s="168">
        <v>0</v>
      </c>
      <c r="BK1338" s="134" t="s">
        <v>2151</v>
      </c>
      <c r="BL1338" s="168">
        <f t="shared" si="58"/>
        <v>0.8</v>
      </c>
      <c r="BM1338" s="167" t="s">
        <v>2152</v>
      </c>
      <c r="BN1338" s="168">
        <f t="shared" si="59"/>
        <v>0.2</v>
      </c>
      <c r="BO1338" s="62"/>
      <c r="BP1338" s="168"/>
      <c r="BQ1338" s="168"/>
      <c r="BR1338" s="168"/>
      <c r="BS1338" s="135" t="s">
        <v>1615</v>
      </c>
      <c r="BT1338" s="176">
        <f t="shared" si="60"/>
        <v>0.79500000000000004</v>
      </c>
      <c r="BU1338" s="167" t="s">
        <v>1616</v>
      </c>
      <c r="BV1338" s="168">
        <f t="shared" si="61"/>
        <v>0.2</v>
      </c>
      <c r="BW1338" s="167" t="s">
        <v>2153</v>
      </c>
      <c r="BX1338" s="168"/>
      <c r="BY1338" s="167" t="s">
        <v>1617</v>
      </c>
      <c r="BZ1338" s="176">
        <f t="shared" si="62"/>
        <v>5.0000000000000001E-3</v>
      </c>
      <c r="CA1338" s="167" t="s">
        <v>1621</v>
      </c>
      <c r="CB1338" s="168">
        <f t="shared" si="63"/>
        <v>0</v>
      </c>
      <c r="CC1338" s="62"/>
      <c r="CD1338" s="168"/>
      <c r="CE1338" s="165" t="s">
        <v>3949</v>
      </c>
      <c r="CF1338" s="165"/>
      <c r="CG1338" s="204"/>
      <c r="CH1338" s="9"/>
      <c r="CI1338" s="204"/>
      <c r="CJ1338" s="204"/>
      <c r="CK1338" s="204"/>
      <c r="CL1338" s="204"/>
      <c r="CM1338" s="204"/>
      <c r="CN1338" s="204"/>
      <c r="CO1338" s="204"/>
      <c r="CP1338" s="9"/>
    </row>
    <row r="1339" spans="1:94" ht="399" x14ac:dyDescent="0.25">
      <c r="A1339" s="62" t="s">
        <v>3950</v>
      </c>
      <c r="B1339" s="131" t="s">
        <v>3951</v>
      </c>
      <c r="C1339" s="215"/>
      <c r="D1339" s="215"/>
      <c r="E1339" s="215"/>
      <c r="F1339" s="215"/>
      <c r="G1339" s="215"/>
      <c r="H1339" s="218"/>
      <c r="I1339" s="62"/>
      <c r="J1339" s="62"/>
      <c r="K1339" s="62"/>
      <c r="L1339" s="62"/>
      <c r="M1339" s="62"/>
      <c r="N1339" s="62"/>
      <c r="O1339" s="62"/>
      <c r="P1339" s="62"/>
      <c r="Q1339" s="62"/>
      <c r="R1339" s="62"/>
      <c r="S1339" s="62"/>
      <c r="T1339" s="62"/>
      <c r="U1339" s="62"/>
      <c r="V1339" s="62"/>
      <c r="W1339" s="62"/>
      <c r="X1339" s="62"/>
      <c r="Y1339" s="62"/>
      <c r="Z1339" s="62"/>
      <c r="AA1339" s="62"/>
      <c r="AB1339" s="62"/>
      <c r="AC1339" s="62"/>
      <c r="AD1339" s="62"/>
      <c r="AE1339" s="62"/>
      <c r="AF1339" s="62"/>
      <c r="AG1339" s="62"/>
      <c r="AH1339" s="62"/>
      <c r="AI1339" s="62"/>
      <c r="AJ1339" s="62"/>
      <c r="AK1339" s="62"/>
      <c r="AL1339" s="62"/>
      <c r="AM1339" s="61"/>
      <c r="AN1339" s="62"/>
      <c r="AO1339" s="61" t="s">
        <v>959</v>
      </c>
      <c r="AP1339" s="212"/>
      <c r="AQ1339" s="213"/>
      <c r="AR1339" s="213"/>
      <c r="AS1339" s="213"/>
      <c r="AT1339" s="213"/>
      <c r="AU1339" s="213"/>
      <c r="AV1339" s="213"/>
      <c r="AW1339" s="62"/>
      <c r="AX1339" s="62"/>
      <c r="AY1339" s="62"/>
      <c r="AZ1339" s="62"/>
      <c r="BA1339" s="141"/>
      <c r="BB1339" s="61"/>
      <c r="BC1339" s="165" t="s">
        <v>1615</v>
      </c>
      <c r="BD1339" s="166">
        <f t="shared" si="56"/>
        <v>0.79500000000000004</v>
      </c>
      <c r="BE1339" s="167" t="s">
        <v>1616</v>
      </c>
      <c r="BF1339" s="168">
        <f t="shared" si="47"/>
        <v>0.2</v>
      </c>
      <c r="BG1339" s="167" t="s">
        <v>1617</v>
      </c>
      <c r="BH1339" s="168">
        <f t="shared" si="57"/>
        <v>5.0000000000000001E-3</v>
      </c>
      <c r="BI1339" s="169"/>
      <c r="BJ1339" s="168">
        <v>0</v>
      </c>
      <c r="BK1339" s="134" t="s">
        <v>2151</v>
      </c>
      <c r="BL1339" s="168">
        <f t="shared" si="58"/>
        <v>0.8</v>
      </c>
      <c r="BM1339" s="167" t="s">
        <v>2152</v>
      </c>
      <c r="BN1339" s="168">
        <f t="shared" si="59"/>
        <v>0.2</v>
      </c>
      <c r="BO1339" s="62"/>
      <c r="BP1339" s="168"/>
      <c r="BQ1339" s="168"/>
      <c r="BR1339" s="168"/>
      <c r="BS1339" s="135" t="s">
        <v>1615</v>
      </c>
      <c r="BT1339" s="176">
        <f t="shared" si="60"/>
        <v>0.79500000000000004</v>
      </c>
      <c r="BU1339" s="167" t="s">
        <v>1616</v>
      </c>
      <c r="BV1339" s="168">
        <f t="shared" si="61"/>
        <v>0.2</v>
      </c>
      <c r="BW1339" s="167" t="s">
        <v>2153</v>
      </c>
      <c r="BX1339" s="168"/>
      <c r="BY1339" s="167" t="s">
        <v>1617</v>
      </c>
      <c r="BZ1339" s="176">
        <f t="shared" si="62"/>
        <v>5.0000000000000001E-3</v>
      </c>
      <c r="CA1339" s="167" t="s">
        <v>1621</v>
      </c>
      <c r="CB1339" s="168">
        <f t="shared" si="63"/>
        <v>0</v>
      </c>
      <c r="CC1339" s="62"/>
      <c r="CD1339" s="168"/>
      <c r="CE1339" s="165" t="s">
        <v>3952</v>
      </c>
      <c r="CF1339" s="165"/>
      <c r="CG1339" s="204"/>
      <c r="CH1339" s="9"/>
      <c r="CI1339" s="204"/>
      <c r="CJ1339" s="204"/>
      <c r="CK1339" s="204"/>
      <c r="CL1339" s="204"/>
      <c r="CM1339" s="204"/>
      <c r="CN1339" s="204"/>
      <c r="CO1339" s="204"/>
      <c r="CP1339" s="9"/>
    </row>
    <row r="1340" spans="1:94" ht="399" x14ac:dyDescent="0.25">
      <c r="A1340" s="62" t="s">
        <v>3953</v>
      </c>
      <c r="B1340" s="131" t="s">
        <v>3954</v>
      </c>
      <c r="C1340" s="215"/>
      <c r="D1340" s="215"/>
      <c r="E1340" s="215"/>
      <c r="F1340" s="215"/>
      <c r="G1340" s="215"/>
      <c r="H1340" s="218"/>
      <c r="I1340" s="62"/>
      <c r="J1340" s="62"/>
      <c r="K1340" s="62"/>
      <c r="L1340" s="62"/>
      <c r="M1340" s="62"/>
      <c r="N1340" s="62"/>
      <c r="O1340" s="62"/>
      <c r="P1340" s="62"/>
      <c r="Q1340" s="62"/>
      <c r="R1340" s="62"/>
      <c r="S1340" s="62"/>
      <c r="T1340" s="62"/>
      <c r="U1340" s="62"/>
      <c r="V1340" s="62"/>
      <c r="W1340" s="62"/>
      <c r="X1340" s="62"/>
      <c r="Y1340" s="62"/>
      <c r="Z1340" s="62"/>
      <c r="AA1340" s="62"/>
      <c r="AB1340" s="62"/>
      <c r="AC1340" s="62"/>
      <c r="AD1340" s="62"/>
      <c r="AE1340" s="62"/>
      <c r="AF1340" s="62"/>
      <c r="AG1340" s="62"/>
      <c r="AH1340" s="62"/>
      <c r="AI1340" s="62"/>
      <c r="AJ1340" s="62"/>
      <c r="AK1340" s="62"/>
      <c r="AL1340" s="62"/>
      <c r="AM1340" s="61"/>
      <c r="AN1340" s="62"/>
      <c r="AO1340" s="61" t="s">
        <v>959</v>
      </c>
      <c r="AP1340" s="212"/>
      <c r="AQ1340" s="213"/>
      <c r="AR1340" s="213"/>
      <c r="AS1340" s="213"/>
      <c r="AT1340" s="213"/>
      <c r="AU1340" s="213"/>
      <c r="AV1340" s="213"/>
      <c r="AW1340" s="62"/>
      <c r="AX1340" s="62"/>
      <c r="AY1340" s="62"/>
      <c r="AZ1340" s="62"/>
      <c r="BA1340" s="141"/>
      <c r="BB1340" s="61"/>
      <c r="BC1340" s="165" t="s">
        <v>1615</v>
      </c>
      <c r="BD1340" s="166">
        <f t="shared" si="56"/>
        <v>0.79500000000000004</v>
      </c>
      <c r="BE1340" s="167" t="s">
        <v>1616</v>
      </c>
      <c r="BF1340" s="168">
        <f t="shared" si="47"/>
        <v>0.2</v>
      </c>
      <c r="BG1340" s="167" t="s">
        <v>1617</v>
      </c>
      <c r="BH1340" s="168">
        <f t="shared" si="57"/>
        <v>5.0000000000000001E-3</v>
      </c>
      <c r="BI1340" s="169"/>
      <c r="BJ1340" s="168">
        <v>0</v>
      </c>
      <c r="BK1340" s="134" t="s">
        <v>2151</v>
      </c>
      <c r="BL1340" s="168">
        <f t="shared" si="58"/>
        <v>0.8</v>
      </c>
      <c r="BM1340" s="167" t="s">
        <v>2152</v>
      </c>
      <c r="BN1340" s="168">
        <f t="shared" si="59"/>
        <v>0.2</v>
      </c>
      <c r="BO1340" s="62"/>
      <c r="BP1340" s="168"/>
      <c r="BQ1340" s="168"/>
      <c r="BR1340" s="168"/>
      <c r="BS1340" s="135" t="s">
        <v>1615</v>
      </c>
      <c r="BT1340" s="176">
        <f t="shared" si="60"/>
        <v>0.79500000000000004</v>
      </c>
      <c r="BU1340" s="167" t="s">
        <v>1616</v>
      </c>
      <c r="BV1340" s="168">
        <f t="shared" si="61"/>
        <v>0.2</v>
      </c>
      <c r="BW1340" s="167" t="s">
        <v>2153</v>
      </c>
      <c r="BX1340" s="168"/>
      <c r="BY1340" s="167" t="s">
        <v>1617</v>
      </c>
      <c r="BZ1340" s="176">
        <f t="shared" si="62"/>
        <v>5.0000000000000001E-3</v>
      </c>
      <c r="CA1340" s="167" t="s">
        <v>1621</v>
      </c>
      <c r="CB1340" s="168">
        <f t="shared" si="63"/>
        <v>0</v>
      </c>
      <c r="CC1340" s="62"/>
      <c r="CD1340" s="168"/>
      <c r="CE1340" s="165" t="s">
        <v>3955</v>
      </c>
      <c r="CF1340" s="165"/>
      <c r="CG1340" s="204"/>
      <c r="CH1340" s="9"/>
      <c r="CI1340" s="204"/>
      <c r="CJ1340" s="204"/>
      <c r="CK1340" s="204"/>
      <c r="CL1340" s="204"/>
      <c r="CM1340" s="204"/>
      <c r="CN1340" s="204"/>
      <c r="CO1340" s="204"/>
      <c r="CP1340" s="9"/>
    </row>
    <row r="1341" spans="1:94" ht="399" x14ac:dyDescent="0.25">
      <c r="A1341" s="62" t="s">
        <v>3956</v>
      </c>
      <c r="B1341" s="131" t="s">
        <v>3957</v>
      </c>
      <c r="C1341" s="215"/>
      <c r="D1341" s="215"/>
      <c r="E1341" s="215"/>
      <c r="F1341" s="215"/>
      <c r="G1341" s="215"/>
      <c r="H1341" s="218"/>
      <c r="I1341" s="62"/>
      <c r="J1341" s="62"/>
      <c r="K1341" s="62"/>
      <c r="L1341" s="62"/>
      <c r="M1341" s="62"/>
      <c r="N1341" s="62"/>
      <c r="O1341" s="62"/>
      <c r="P1341" s="62"/>
      <c r="Q1341" s="62"/>
      <c r="R1341" s="62"/>
      <c r="S1341" s="62"/>
      <c r="T1341" s="62"/>
      <c r="U1341" s="62"/>
      <c r="V1341" s="62"/>
      <c r="W1341" s="62"/>
      <c r="X1341" s="62"/>
      <c r="Y1341" s="62"/>
      <c r="Z1341" s="62"/>
      <c r="AA1341" s="62"/>
      <c r="AB1341" s="62"/>
      <c r="AC1341" s="62"/>
      <c r="AD1341" s="62"/>
      <c r="AE1341" s="62"/>
      <c r="AF1341" s="62"/>
      <c r="AG1341" s="62"/>
      <c r="AH1341" s="62"/>
      <c r="AI1341" s="62"/>
      <c r="AJ1341" s="62"/>
      <c r="AK1341" s="62"/>
      <c r="AL1341" s="62"/>
      <c r="AM1341" s="61"/>
      <c r="AN1341" s="62"/>
      <c r="AO1341" s="61" t="s">
        <v>959</v>
      </c>
      <c r="AP1341" s="212"/>
      <c r="AQ1341" s="213"/>
      <c r="AR1341" s="213"/>
      <c r="AS1341" s="213"/>
      <c r="AT1341" s="213"/>
      <c r="AU1341" s="213"/>
      <c r="AV1341" s="213"/>
      <c r="AW1341" s="62"/>
      <c r="AX1341" s="62"/>
      <c r="AY1341" s="62"/>
      <c r="AZ1341" s="62"/>
      <c r="BA1341" s="141"/>
      <c r="BB1341" s="61"/>
      <c r="BC1341" s="165" t="s">
        <v>1615</v>
      </c>
      <c r="BD1341" s="166">
        <f t="shared" si="56"/>
        <v>0.79500000000000004</v>
      </c>
      <c r="BE1341" s="167" t="s">
        <v>1616</v>
      </c>
      <c r="BF1341" s="168">
        <f t="shared" si="47"/>
        <v>0.2</v>
      </c>
      <c r="BG1341" s="167" t="s">
        <v>1617</v>
      </c>
      <c r="BH1341" s="168">
        <f t="shared" si="57"/>
        <v>5.0000000000000001E-3</v>
      </c>
      <c r="BI1341" s="169"/>
      <c r="BJ1341" s="168">
        <v>0</v>
      </c>
      <c r="BK1341" s="134" t="s">
        <v>2151</v>
      </c>
      <c r="BL1341" s="168">
        <f t="shared" si="58"/>
        <v>0.8</v>
      </c>
      <c r="BM1341" s="167" t="s">
        <v>2152</v>
      </c>
      <c r="BN1341" s="168">
        <f t="shared" si="59"/>
        <v>0.2</v>
      </c>
      <c r="BO1341" s="62"/>
      <c r="BP1341" s="168"/>
      <c r="BQ1341" s="168"/>
      <c r="BR1341" s="168"/>
      <c r="BS1341" s="135" t="s">
        <v>1615</v>
      </c>
      <c r="BT1341" s="176">
        <f t="shared" si="60"/>
        <v>0.79500000000000004</v>
      </c>
      <c r="BU1341" s="167" t="s">
        <v>1616</v>
      </c>
      <c r="BV1341" s="168">
        <f t="shared" si="61"/>
        <v>0.2</v>
      </c>
      <c r="BW1341" s="167" t="s">
        <v>2153</v>
      </c>
      <c r="BX1341" s="168"/>
      <c r="BY1341" s="167" t="s">
        <v>1617</v>
      </c>
      <c r="BZ1341" s="176">
        <f t="shared" si="62"/>
        <v>5.0000000000000001E-3</v>
      </c>
      <c r="CA1341" s="167" t="s">
        <v>1621</v>
      </c>
      <c r="CB1341" s="168">
        <f t="shared" si="63"/>
        <v>0</v>
      </c>
      <c r="CC1341" s="62"/>
      <c r="CD1341" s="168"/>
      <c r="CE1341" s="165" t="s">
        <v>3958</v>
      </c>
      <c r="CF1341" s="165"/>
      <c r="CG1341" s="204"/>
      <c r="CH1341" s="9"/>
      <c r="CI1341" s="204"/>
      <c r="CJ1341" s="204"/>
      <c r="CK1341" s="204"/>
      <c r="CL1341" s="204"/>
      <c r="CM1341" s="204"/>
      <c r="CN1341" s="204"/>
      <c r="CO1341" s="204"/>
      <c r="CP1341" s="9"/>
    </row>
    <row r="1342" spans="1:94" ht="228" x14ac:dyDescent="0.25">
      <c r="A1342" s="104" t="s">
        <v>3959</v>
      </c>
      <c r="B1342" s="219" t="s">
        <v>3960</v>
      </c>
      <c r="C1342" s="220"/>
      <c r="D1342" s="220"/>
      <c r="E1342" s="220"/>
      <c r="F1342" s="220"/>
      <c r="G1342" s="220"/>
      <c r="H1342" s="221"/>
      <c r="I1342" s="104"/>
      <c r="J1342" s="104"/>
      <c r="K1342" s="104"/>
      <c r="L1342" s="104"/>
      <c r="M1342" s="104"/>
      <c r="N1342" s="104"/>
      <c r="O1342" s="104"/>
      <c r="P1342" s="104"/>
      <c r="Q1342" s="104"/>
      <c r="R1342" s="104"/>
      <c r="S1342" s="104"/>
      <c r="T1342" s="104"/>
      <c r="U1342" s="104"/>
      <c r="V1342" s="104"/>
      <c r="W1342" s="104"/>
      <c r="X1342" s="104"/>
      <c r="Y1342" s="104"/>
      <c r="Z1342" s="104"/>
      <c r="AA1342" s="104"/>
      <c r="AB1342" s="104"/>
      <c r="AC1342" s="104"/>
      <c r="AD1342" s="104"/>
      <c r="AE1342" s="104"/>
      <c r="AF1342" s="104"/>
      <c r="AG1342" s="104"/>
      <c r="AH1342" s="104"/>
      <c r="AI1342" s="104"/>
      <c r="AJ1342" s="104"/>
      <c r="AK1342" s="104"/>
      <c r="AL1342" s="104"/>
      <c r="AM1342" s="103"/>
      <c r="AN1342" s="104"/>
      <c r="AO1342" s="103" t="s">
        <v>959</v>
      </c>
      <c r="AP1342" s="222"/>
      <c r="AQ1342" s="104"/>
      <c r="AR1342" s="104"/>
      <c r="AS1342" s="104"/>
      <c r="AT1342" s="104"/>
      <c r="AU1342" s="104"/>
      <c r="AV1342" s="104"/>
      <c r="AW1342" s="104"/>
      <c r="AX1342" s="104"/>
      <c r="AY1342" s="104"/>
      <c r="AZ1342" s="104"/>
      <c r="BA1342" s="182"/>
      <c r="BB1342" s="103"/>
      <c r="BC1342" s="165" t="s">
        <v>1615</v>
      </c>
      <c r="BD1342" s="166">
        <f t="shared" si="56"/>
        <v>0.79500000000000004</v>
      </c>
      <c r="BE1342" s="167" t="s">
        <v>1616</v>
      </c>
      <c r="BF1342" s="168">
        <f t="shared" si="47"/>
        <v>0.2</v>
      </c>
      <c r="BG1342" s="167" t="s">
        <v>1617</v>
      </c>
      <c r="BH1342" s="168">
        <f t="shared" si="57"/>
        <v>5.0000000000000001E-3</v>
      </c>
      <c r="BI1342" s="186"/>
      <c r="BJ1342" s="186">
        <v>0</v>
      </c>
      <c r="BK1342" s="187" t="s">
        <v>3961</v>
      </c>
      <c r="BL1342" s="168">
        <f t="shared" si="58"/>
        <v>0.8</v>
      </c>
      <c r="BM1342" s="185" t="s">
        <v>2152</v>
      </c>
      <c r="BN1342" s="168">
        <f t="shared" si="59"/>
        <v>0.2</v>
      </c>
      <c r="BO1342" s="104"/>
      <c r="BP1342" s="186"/>
      <c r="BQ1342" s="186"/>
      <c r="BR1342" s="186"/>
      <c r="BS1342" s="188" t="s">
        <v>1619</v>
      </c>
      <c r="BT1342" s="176">
        <f t="shared" si="60"/>
        <v>0.79500000000000004</v>
      </c>
      <c r="BU1342" s="185" t="s">
        <v>1616</v>
      </c>
      <c r="BV1342" s="168">
        <f t="shared" si="61"/>
        <v>0.2</v>
      </c>
      <c r="BW1342" s="185" t="s">
        <v>1620</v>
      </c>
      <c r="BX1342" s="168"/>
      <c r="BY1342" s="185" t="s">
        <v>1617</v>
      </c>
      <c r="BZ1342" s="176">
        <f t="shared" si="62"/>
        <v>5.0000000000000001E-3</v>
      </c>
      <c r="CA1342" s="185" t="s">
        <v>1621</v>
      </c>
      <c r="CB1342" s="168">
        <f t="shared" si="63"/>
        <v>0</v>
      </c>
      <c r="CC1342" s="104"/>
      <c r="CD1342" s="186"/>
      <c r="CE1342" s="183" t="s">
        <v>3962</v>
      </c>
      <c r="CF1342" s="183"/>
      <c r="CG1342" s="224"/>
      <c r="CH1342" s="9"/>
      <c r="CI1342" s="224"/>
      <c r="CJ1342" s="224"/>
      <c r="CK1342" s="224"/>
      <c r="CL1342" s="224"/>
      <c r="CM1342" s="224"/>
      <c r="CN1342" s="224"/>
      <c r="CO1342" s="224"/>
      <c r="CP1342" s="105"/>
    </row>
    <row r="1343" spans="1:94" ht="228" x14ac:dyDescent="0.25">
      <c r="A1343" s="104" t="s">
        <v>3963</v>
      </c>
      <c r="B1343" s="219" t="s">
        <v>3964</v>
      </c>
      <c r="C1343" s="220"/>
      <c r="D1343" s="220"/>
      <c r="E1343" s="220"/>
      <c r="F1343" s="220"/>
      <c r="G1343" s="220"/>
      <c r="H1343" s="221"/>
      <c r="I1343" s="104"/>
      <c r="J1343" s="104"/>
      <c r="K1343" s="104"/>
      <c r="L1343" s="104"/>
      <c r="M1343" s="104"/>
      <c r="N1343" s="104"/>
      <c r="O1343" s="104"/>
      <c r="P1343" s="104"/>
      <c r="Q1343" s="104"/>
      <c r="R1343" s="104"/>
      <c r="S1343" s="104"/>
      <c r="T1343" s="104"/>
      <c r="U1343" s="104"/>
      <c r="V1343" s="104"/>
      <c r="W1343" s="104"/>
      <c r="X1343" s="104"/>
      <c r="Y1343" s="104"/>
      <c r="Z1343" s="104"/>
      <c r="AA1343" s="104"/>
      <c r="AB1343" s="104"/>
      <c r="AC1343" s="104"/>
      <c r="AD1343" s="104"/>
      <c r="AE1343" s="104"/>
      <c r="AF1343" s="104"/>
      <c r="AG1343" s="104"/>
      <c r="AH1343" s="104"/>
      <c r="AI1343" s="104"/>
      <c r="AJ1343" s="104"/>
      <c r="AK1343" s="104"/>
      <c r="AL1343" s="104"/>
      <c r="AM1343" s="103"/>
      <c r="AN1343" s="104"/>
      <c r="AO1343" s="103" t="s">
        <v>959</v>
      </c>
      <c r="AP1343" s="222"/>
      <c r="AQ1343" s="104"/>
      <c r="AR1343" s="104"/>
      <c r="AS1343" s="104"/>
      <c r="AT1343" s="104"/>
      <c r="AU1343" s="104"/>
      <c r="AV1343" s="104"/>
      <c r="AW1343" s="104"/>
      <c r="AX1343" s="104"/>
      <c r="AY1343" s="104"/>
      <c r="AZ1343" s="104"/>
      <c r="BA1343" s="182"/>
      <c r="BB1343" s="103"/>
      <c r="BC1343" s="165" t="s">
        <v>1615</v>
      </c>
      <c r="BD1343" s="166">
        <f t="shared" si="56"/>
        <v>0.79500000000000004</v>
      </c>
      <c r="BE1343" s="167" t="s">
        <v>1616</v>
      </c>
      <c r="BF1343" s="168">
        <f t="shared" si="47"/>
        <v>0.2</v>
      </c>
      <c r="BG1343" s="167" t="s">
        <v>1617</v>
      </c>
      <c r="BH1343" s="168">
        <f t="shared" si="57"/>
        <v>5.0000000000000001E-3</v>
      </c>
      <c r="BI1343" s="186"/>
      <c r="BJ1343" s="186">
        <v>0</v>
      </c>
      <c r="BK1343" s="187" t="s">
        <v>3961</v>
      </c>
      <c r="BL1343" s="168">
        <f t="shared" si="58"/>
        <v>0.8</v>
      </c>
      <c r="BM1343" s="185" t="s">
        <v>2152</v>
      </c>
      <c r="BN1343" s="168">
        <f t="shared" si="59"/>
        <v>0.2</v>
      </c>
      <c r="BO1343" s="104"/>
      <c r="BP1343" s="186"/>
      <c r="BQ1343" s="186"/>
      <c r="BR1343" s="186"/>
      <c r="BS1343" s="188" t="s">
        <v>1619</v>
      </c>
      <c r="BT1343" s="176">
        <f t="shared" si="60"/>
        <v>0.79500000000000004</v>
      </c>
      <c r="BU1343" s="185" t="s">
        <v>1616</v>
      </c>
      <c r="BV1343" s="168">
        <f t="shared" si="61"/>
        <v>0.2</v>
      </c>
      <c r="BW1343" s="185" t="s">
        <v>1620</v>
      </c>
      <c r="BX1343" s="168"/>
      <c r="BY1343" s="185" t="s">
        <v>1617</v>
      </c>
      <c r="BZ1343" s="176">
        <f t="shared" si="62"/>
        <v>5.0000000000000001E-3</v>
      </c>
      <c r="CA1343" s="185" t="s">
        <v>1621</v>
      </c>
      <c r="CB1343" s="168">
        <f t="shared" si="63"/>
        <v>0</v>
      </c>
      <c r="CC1343" s="104"/>
      <c r="CD1343" s="186"/>
      <c r="CE1343" s="183" t="s">
        <v>3962</v>
      </c>
      <c r="CF1343" s="183"/>
      <c r="CG1343" s="224"/>
      <c r="CH1343" s="9"/>
      <c r="CI1343" s="224"/>
      <c r="CJ1343" s="224"/>
      <c r="CK1343" s="224"/>
      <c r="CL1343" s="224"/>
      <c r="CM1343" s="224"/>
      <c r="CN1343" s="224"/>
      <c r="CO1343" s="224"/>
      <c r="CP1343" s="105"/>
    </row>
    <row r="1344" spans="1:94" ht="228" x14ac:dyDescent="0.25">
      <c r="A1344" s="104" t="s">
        <v>3965</v>
      </c>
      <c r="B1344" s="219" t="s">
        <v>3966</v>
      </c>
      <c r="C1344" s="220"/>
      <c r="D1344" s="220"/>
      <c r="E1344" s="220"/>
      <c r="F1344" s="220"/>
      <c r="G1344" s="220"/>
      <c r="H1344" s="221"/>
      <c r="I1344" s="104"/>
      <c r="J1344" s="104"/>
      <c r="K1344" s="104"/>
      <c r="L1344" s="104"/>
      <c r="M1344" s="104"/>
      <c r="N1344" s="104"/>
      <c r="O1344" s="104"/>
      <c r="P1344" s="104"/>
      <c r="Q1344" s="104"/>
      <c r="R1344" s="104"/>
      <c r="S1344" s="104"/>
      <c r="T1344" s="104"/>
      <c r="U1344" s="104"/>
      <c r="V1344" s="104"/>
      <c r="W1344" s="104"/>
      <c r="X1344" s="104"/>
      <c r="Y1344" s="104"/>
      <c r="Z1344" s="104"/>
      <c r="AA1344" s="104"/>
      <c r="AB1344" s="104"/>
      <c r="AC1344" s="104"/>
      <c r="AD1344" s="104"/>
      <c r="AE1344" s="104"/>
      <c r="AF1344" s="104"/>
      <c r="AG1344" s="104"/>
      <c r="AH1344" s="104"/>
      <c r="AI1344" s="104"/>
      <c r="AJ1344" s="104"/>
      <c r="AK1344" s="104"/>
      <c r="AL1344" s="104"/>
      <c r="AM1344" s="103"/>
      <c r="AN1344" s="104"/>
      <c r="AO1344" s="103" t="s">
        <v>959</v>
      </c>
      <c r="AP1344" s="222"/>
      <c r="AQ1344" s="104"/>
      <c r="AR1344" s="104"/>
      <c r="AS1344" s="104"/>
      <c r="AT1344" s="104"/>
      <c r="AU1344" s="104"/>
      <c r="AV1344" s="104"/>
      <c r="AW1344" s="104"/>
      <c r="AX1344" s="104"/>
      <c r="AY1344" s="104"/>
      <c r="AZ1344" s="104"/>
      <c r="BA1344" s="182"/>
      <c r="BB1344" s="103"/>
      <c r="BC1344" s="165" t="s">
        <v>1615</v>
      </c>
      <c r="BD1344" s="166">
        <f t="shared" si="56"/>
        <v>0.79500000000000004</v>
      </c>
      <c r="BE1344" s="167" t="s">
        <v>1616</v>
      </c>
      <c r="BF1344" s="168">
        <f t="shared" si="47"/>
        <v>0.2</v>
      </c>
      <c r="BG1344" s="167" t="s">
        <v>1617</v>
      </c>
      <c r="BH1344" s="168">
        <f t="shared" si="57"/>
        <v>5.0000000000000001E-3</v>
      </c>
      <c r="BI1344" s="186"/>
      <c r="BJ1344" s="186">
        <v>0</v>
      </c>
      <c r="BK1344" s="187" t="s">
        <v>3961</v>
      </c>
      <c r="BL1344" s="168">
        <f t="shared" si="58"/>
        <v>0.8</v>
      </c>
      <c r="BM1344" s="185" t="s">
        <v>2152</v>
      </c>
      <c r="BN1344" s="168">
        <f t="shared" si="59"/>
        <v>0.2</v>
      </c>
      <c r="BO1344" s="104"/>
      <c r="BP1344" s="186"/>
      <c r="BQ1344" s="186"/>
      <c r="BR1344" s="186"/>
      <c r="BS1344" s="188" t="s">
        <v>1619</v>
      </c>
      <c r="BT1344" s="176">
        <f t="shared" si="60"/>
        <v>0.79500000000000004</v>
      </c>
      <c r="BU1344" s="185" t="s">
        <v>1616</v>
      </c>
      <c r="BV1344" s="168">
        <f t="shared" si="61"/>
        <v>0.2</v>
      </c>
      <c r="BW1344" s="185" t="s">
        <v>1620</v>
      </c>
      <c r="BX1344" s="186">
        <v>0</v>
      </c>
      <c r="BY1344" s="185" t="s">
        <v>1617</v>
      </c>
      <c r="BZ1344" s="176">
        <f t="shared" si="62"/>
        <v>5.0000000000000001E-3</v>
      </c>
      <c r="CA1344" s="185" t="s">
        <v>1621</v>
      </c>
      <c r="CB1344" s="168">
        <f t="shared" si="63"/>
        <v>0</v>
      </c>
      <c r="CC1344" s="104"/>
      <c r="CD1344" s="186"/>
      <c r="CE1344" s="183" t="s">
        <v>3962</v>
      </c>
      <c r="CF1344" s="183"/>
      <c r="CG1344" s="224"/>
      <c r="CH1344" s="9"/>
      <c r="CI1344" s="224"/>
      <c r="CJ1344" s="224"/>
      <c r="CK1344" s="224"/>
      <c r="CL1344" s="224"/>
      <c r="CM1344" s="224"/>
      <c r="CN1344" s="224"/>
      <c r="CO1344" s="224"/>
      <c r="CP1344" s="105"/>
    </row>
    <row r="1345" spans="1:94" ht="228" x14ac:dyDescent="0.25">
      <c r="A1345" s="104" t="s">
        <v>3967</v>
      </c>
      <c r="B1345" s="219" t="s">
        <v>3968</v>
      </c>
      <c r="C1345" s="220"/>
      <c r="D1345" s="220"/>
      <c r="E1345" s="220"/>
      <c r="F1345" s="220"/>
      <c r="G1345" s="220"/>
      <c r="H1345" s="221"/>
      <c r="I1345" s="104"/>
      <c r="J1345" s="104"/>
      <c r="K1345" s="104"/>
      <c r="L1345" s="104"/>
      <c r="M1345" s="104"/>
      <c r="N1345" s="104"/>
      <c r="O1345" s="104"/>
      <c r="P1345" s="104"/>
      <c r="Q1345" s="104"/>
      <c r="R1345" s="104"/>
      <c r="S1345" s="104"/>
      <c r="T1345" s="104"/>
      <c r="U1345" s="104"/>
      <c r="V1345" s="104"/>
      <c r="W1345" s="104"/>
      <c r="X1345" s="104"/>
      <c r="Y1345" s="104"/>
      <c r="Z1345" s="104"/>
      <c r="AA1345" s="104"/>
      <c r="AB1345" s="104"/>
      <c r="AC1345" s="104"/>
      <c r="AD1345" s="104"/>
      <c r="AE1345" s="104"/>
      <c r="AF1345" s="104"/>
      <c r="AG1345" s="104"/>
      <c r="AH1345" s="104"/>
      <c r="AI1345" s="104"/>
      <c r="AJ1345" s="104"/>
      <c r="AK1345" s="104"/>
      <c r="AL1345" s="104"/>
      <c r="AM1345" s="103"/>
      <c r="AN1345" s="104"/>
      <c r="AO1345" s="103" t="s">
        <v>959</v>
      </c>
      <c r="AP1345" s="222"/>
      <c r="AQ1345" s="104"/>
      <c r="AR1345" s="104"/>
      <c r="AS1345" s="104"/>
      <c r="AT1345" s="104"/>
      <c r="AU1345" s="104"/>
      <c r="AV1345" s="104"/>
      <c r="AW1345" s="104"/>
      <c r="AX1345" s="104"/>
      <c r="AY1345" s="104"/>
      <c r="AZ1345" s="104"/>
      <c r="BA1345" s="182"/>
      <c r="BB1345" s="103"/>
      <c r="BC1345" s="165" t="s">
        <v>1615</v>
      </c>
      <c r="BD1345" s="166">
        <f t="shared" si="56"/>
        <v>0.79500000000000004</v>
      </c>
      <c r="BE1345" s="167" t="s">
        <v>1616</v>
      </c>
      <c r="BF1345" s="168">
        <f t="shared" si="47"/>
        <v>0.2</v>
      </c>
      <c r="BG1345" s="167" t="s">
        <v>1617</v>
      </c>
      <c r="BH1345" s="168">
        <f t="shared" si="57"/>
        <v>5.0000000000000001E-3</v>
      </c>
      <c r="BI1345" s="186"/>
      <c r="BJ1345" s="186">
        <v>0</v>
      </c>
      <c r="BK1345" s="187" t="s">
        <v>3961</v>
      </c>
      <c r="BL1345" s="168">
        <f t="shared" si="58"/>
        <v>0.8</v>
      </c>
      <c r="BM1345" s="185" t="s">
        <v>2152</v>
      </c>
      <c r="BN1345" s="168">
        <f t="shared" si="59"/>
        <v>0.2</v>
      </c>
      <c r="BO1345" s="104"/>
      <c r="BP1345" s="186"/>
      <c r="BQ1345" s="186"/>
      <c r="BR1345" s="186"/>
      <c r="BS1345" s="188" t="s">
        <v>1619</v>
      </c>
      <c r="BT1345" s="176">
        <f t="shared" si="60"/>
        <v>0.79500000000000004</v>
      </c>
      <c r="BU1345" s="185" t="s">
        <v>1616</v>
      </c>
      <c r="BV1345" s="168">
        <f t="shared" si="61"/>
        <v>0.2</v>
      </c>
      <c r="BW1345" s="185" t="s">
        <v>1620</v>
      </c>
      <c r="BX1345" s="186">
        <v>0</v>
      </c>
      <c r="BY1345" s="185" t="s">
        <v>1617</v>
      </c>
      <c r="BZ1345" s="176">
        <f t="shared" si="62"/>
        <v>5.0000000000000001E-3</v>
      </c>
      <c r="CA1345" s="185" t="s">
        <v>1621</v>
      </c>
      <c r="CB1345" s="168">
        <f t="shared" si="63"/>
        <v>0</v>
      </c>
      <c r="CC1345" s="104"/>
      <c r="CD1345" s="186"/>
      <c r="CE1345" s="183" t="s">
        <v>3962</v>
      </c>
      <c r="CF1345" s="183"/>
      <c r="CG1345" s="224"/>
      <c r="CH1345" s="9"/>
      <c r="CI1345" s="224"/>
      <c r="CJ1345" s="224"/>
      <c r="CK1345" s="224"/>
      <c r="CL1345" s="224"/>
      <c r="CM1345" s="224"/>
      <c r="CN1345" s="224"/>
      <c r="CO1345" s="224"/>
      <c r="CP1345" s="105"/>
    </row>
    <row r="1346" spans="1:94" ht="228" x14ac:dyDescent="0.25">
      <c r="A1346" s="104" t="s">
        <v>3969</v>
      </c>
      <c r="B1346" s="219" t="s">
        <v>3970</v>
      </c>
      <c r="C1346" s="220"/>
      <c r="D1346" s="220"/>
      <c r="E1346" s="220"/>
      <c r="F1346" s="220"/>
      <c r="G1346" s="220"/>
      <c r="H1346" s="221"/>
      <c r="I1346" s="104"/>
      <c r="J1346" s="104"/>
      <c r="K1346" s="104"/>
      <c r="L1346" s="104"/>
      <c r="M1346" s="104"/>
      <c r="N1346" s="104"/>
      <c r="O1346" s="104"/>
      <c r="P1346" s="104"/>
      <c r="Q1346" s="104"/>
      <c r="R1346" s="104"/>
      <c r="S1346" s="104"/>
      <c r="T1346" s="104"/>
      <c r="U1346" s="104"/>
      <c r="V1346" s="104"/>
      <c r="W1346" s="104"/>
      <c r="X1346" s="104"/>
      <c r="Y1346" s="104"/>
      <c r="Z1346" s="104"/>
      <c r="AA1346" s="104"/>
      <c r="AB1346" s="104"/>
      <c r="AC1346" s="104"/>
      <c r="AD1346" s="104"/>
      <c r="AE1346" s="104"/>
      <c r="AF1346" s="104"/>
      <c r="AG1346" s="104"/>
      <c r="AH1346" s="104"/>
      <c r="AI1346" s="104"/>
      <c r="AJ1346" s="104"/>
      <c r="AK1346" s="104"/>
      <c r="AL1346" s="104"/>
      <c r="AM1346" s="103"/>
      <c r="AN1346" s="104"/>
      <c r="AO1346" s="103" t="s">
        <v>959</v>
      </c>
      <c r="AP1346" s="222"/>
      <c r="AQ1346" s="104"/>
      <c r="AR1346" s="104"/>
      <c r="AS1346" s="104"/>
      <c r="AT1346" s="104"/>
      <c r="AU1346" s="104"/>
      <c r="AV1346" s="104"/>
      <c r="AW1346" s="104"/>
      <c r="AX1346" s="104"/>
      <c r="AY1346" s="104"/>
      <c r="AZ1346" s="104"/>
      <c r="BA1346" s="182"/>
      <c r="BB1346" s="103"/>
      <c r="BC1346" s="165" t="s">
        <v>1615</v>
      </c>
      <c r="BD1346" s="166">
        <f t="shared" si="56"/>
        <v>0.79500000000000004</v>
      </c>
      <c r="BE1346" s="167" t="s">
        <v>1616</v>
      </c>
      <c r="BF1346" s="168">
        <f t="shared" si="47"/>
        <v>0.2</v>
      </c>
      <c r="BG1346" s="167" t="s">
        <v>1617</v>
      </c>
      <c r="BH1346" s="168">
        <f t="shared" si="57"/>
        <v>5.0000000000000001E-3</v>
      </c>
      <c r="BI1346" s="186"/>
      <c r="BJ1346" s="186">
        <v>0</v>
      </c>
      <c r="BK1346" s="187" t="s">
        <v>3961</v>
      </c>
      <c r="BL1346" s="168">
        <f t="shared" si="58"/>
        <v>0.8</v>
      </c>
      <c r="BM1346" s="185" t="s">
        <v>2152</v>
      </c>
      <c r="BN1346" s="168">
        <f t="shared" si="59"/>
        <v>0.2</v>
      </c>
      <c r="BO1346" s="104"/>
      <c r="BP1346" s="186"/>
      <c r="BQ1346" s="186"/>
      <c r="BR1346" s="186"/>
      <c r="BS1346" s="188" t="s">
        <v>1619</v>
      </c>
      <c r="BT1346" s="176">
        <f t="shared" si="60"/>
        <v>0.79500000000000004</v>
      </c>
      <c r="BU1346" s="185" t="s">
        <v>1616</v>
      </c>
      <c r="BV1346" s="168">
        <f t="shared" si="61"/>
        <v>0.2</v>
      </c>
      <c r="BW1346" s="185" t="s">
        <v>1620</v>
      </c>
      <c r="BX1346" s="186">
        <v>0</v>
      </c>
      <c r="BY1346" s="185" t="s">
        <v>1617</v>
      </c>
      <c r="BZ1346" s="176">
        <f t="shared" si="62"/>
        <v>5.0000000000000001E-3</v>
      </c>
      <c r="CA1346" s="185" t="s">
        <v>1621</v>
      </c>
      <c r="CB1346" s="168">
        <f t="shared" si="63"/>
        <v>0</v>
      </c>
      <c r="CC1346" s="104"/>
      <c r="CD1346" s="186"/>
      <c r="CE1346" s="183" t="s">
        <v>3962</v>
      </c>
      <c r="CF1346" s="183"/>
      <c r="CG1346" s="224"/>
      <c r="CH1346" s="9"/>
      <c r="CI1346" s="224"/>
      <c r="CJ1346" s="224"/>
      <c r="CK1346" s="224"/>
      <c r="CL1346" s="224"/>
      <c r="CM1346" s="224"/>
      <c r="CN1346" s="224"/>
      <c r="CO1346" s="224"/>
      <c r="CP1346" s="105"/>
    </row>
    <row r="1347" spans="1:94" ht="228" x14ac:dyDescent="0.25">
      <c r="A1347" s="104" t="s">
        <v>3885</v>
      </c>
      <c r="B1347" s="219" t="s">
        <v>3971</v>
      </c>
      <c r="C1347" s="220"/>
      <c r="D1347" s="220"/>
      <c r="E1347" s="220"/>
      <c r="F1347" s="220"/>
      <c r="G1347" s="220"/>
      <c r="H1347" s="221"/>
      <c r="I1347" s="104"/>
      <c r="J1347" s="104"/>
      <c r="K1347" s="104"/>
      <c r="L1347" s="104"/>
      <c r="M1347" s="104"/>
      <c r="N1347" s="104"/>
      <c r="O1347" s="104"/>
      <c r="P1347" s="104"/>
      <c r="Q1347" s="104"/>
      <c r="R1347" s="104"/>
      <c r="S1347" s="104"/>
      <c r="T1347" s="104"/>
      <c r="U1347" s="104"/>
      <c r="V1347" s="104"/>
      <c r="W1347" s="104"/>
      <c r="X1347" s="104"/>
      <c r="Y1347" s="104"/>
      <c r="Z1347" s="104"/>
      <c r="AA1347" s="104"/>
      <c r="AB1347" s="104"/>
      <c r="AC1347" s="104"/>
      <c r="AD1347" s="104"/>
      <c r="AE1347" s="104"/>
      <c r="AF1347" s="104"/>
      <c r="AG1347" s="104"/>
      <c r="AH1347" s="104"/>
      <c r="AI1347" s="104"/>
      <c r="AJ1347" s="104"/>
      <c r="AK1347" s="104"/>
      <c r="AL1347" s="104"/>
      <c r="AM1347" s="103"/>
      <c r="AN1347" s="104"/>
      <c r="AO1347" s="103" t="s">
        <v>959</v>
      </c>
      <c r="AP1347" s="222"/>
      <c r="AQ1347" s="104"/>
      <c r="AR1347" s="104"/>
      <c r="AS1347" s="104"/>
      <c r="AT1347" s="104"/>
      <c r="AU1347" s="104"/>
      <c r="AV1347" s="104"/>
      <c r="AW1347" s="104"/>
      <c r="AX1347" s="104"/>
      <c r="AY1347" s="104"/>
      <c r="AZ1347" s="104"/>
      <c r="BA1347" s="182"/>
      <c r="BB1347" s="103"/>
      <c r="BC1347" s="165" t="s">
        <v>1615</v>
      </c>
      <c r="BD1347" s="166">
        <f t="shared" si="56"/>
        <v>0.79500000000000004</v>
      </c>
      <c r="BE1347" s="167" t="s">
        <v>1616</v>
      </c>
      <c r="BF1347" s="168">
        <f t="shared" si="47"/>
        <v>0.2</v>
      </c>
      <c r="BG1347" s="167" t="s">
        <v>1617</v>
      </c>
      <c r="BH1347" s="168">
        <f t="shared" si="57"/>
        <v>5.0000000000000001E-3</v>
      </c>
      <c r="BI1347" s="186"/>
      <c r="BJ1347" s="186">
        <v>0</v>
      </c>
      <c r="BK1347" s="187" t="s">
        <v>3961</v>
      </c>
      <c r="BL1347" s="168">
        <f t="shared" si="58"/>
        <v>0.8</v>
      </c>
      <c r="BM1347" s="185" t="s">
        <v>2152</v>
      </c>
      <c r="BN1347" s="168">
        <f t="shared" si="59"/>
        <v>0.2</v>
      </c>
      <c r="BO1347" s="104"/>
      <c r="BP1347" s="186"/>
      <c r="BQ1347" s="186"/>
      <c r="BR1347" s="186"/>
      <c r="BS1347" s="188" t="s">
        <v>1619</v>
      </c>
      <c r="BT1347" s="176">
        <f t="shared" si="60"/>
        <v>0.79500000000000004</v>
      </c>
      <c r="BU1347" s="185" t="s">
        <v>1616</v>
      </c>
      <c r="BV1347" s="168">
        <f t="shared" si="61"/>
        <v>0.2</v>
      </c>
      <c r="BW1347" s="185" t="s">
        <v>1620</v>
      </c>
      <c r="BX1347" s="186">
        <v>0</v>
      </c>
      <c r="BY1347" s="185" t="s">
        <v>1617</v>
      </c>
      <c r="BZ1347" s="176">
        <f t="shared" si="62"/>
        <v>5.0000000000000001E-3</v>
      </c>
      <c r="CA1347" s="185" t="s">
        <v>1621</v>
      </c>
      <c r="CB1347" s="168">
        <f t="shared" si="63"/>
        <v>0</v>
      </c>
      <c r="CC1347" s="104"/>
      <c r="CD1347" s="186"/>
      <c r="CE1347" s="183" t="s">
        <v>3962</v>
      </c>
      <c r="CF1347" s="183"/>
      <c r="CG1347" s="224"/>
      <c r="CH1347" s="9"/>
      <c r="CI1347" s="224"/>
      <c r="CJ1347" s="224"/>
      <c r="CK1347" s="224"/>
      <c r="CL1347" s="224"/>
      <c r="CM1347" s="224"/>
      <c r="CN1347" s="224"/>
      <c r="CO1347" s="224"/>
      <c r="CP1347" s="105"/>
    </row>
    <row r="1348" spans="1:94" ht="228" x14ac:dyDescent="0.25">
      <c r="A1348" s="104" t="s">
        <v>3972</v>
      </c>
      <c r="B1348" s="219" t="s">
        <v>3973</v>
      </c>
      <c r="C1348" s="220"/>
      <c r="D1348" s="220"/>
      <c r="E1348" s="220"/>
      <c r="F1348" s="220"/>
      <c r="G1348" s="220"/>
      <c r="H1348" s="221"/>
      <c r="I1348" s="104"/>
      <c r="J1348" s="104"/>
      <c r="K1348" s="104"/>
      <c r="L1348" s="104"/>
      <c r="M1348" s="104"/>
      <c r="N1348" s="104"/>
      <c r="O1348" s="104"/>
      <c r="P1348" s="104"/>
      <c r="Q1348" s="104"/>
      <c r="R1348" s="104"/>
      <c r="S1348" s="104"/>
      <c r="T1348" s="104"/>
      <c r="U1348" s="104"/>
      <c r="V1348" s="104"/>
      <c r="W1348" s="104"/>
      <c r="X1348" s="104"/>
      <c r="Y1348" s="104"/>
      <c r="Z1348" s="104"/>
      <c r="AA1348" s="104"/>
      <c r="AB1348" s="104"/>
      <c r="AC1348" s="104"/>
      <c r="AD1348" s="104"/>
      <c r="AE1348" s="104"/>
      <c r="AF1348" s="104"/>
      <c r="AG1348" s="104"/>
      <c r="AH1348" s="104"/>
      <c r="AI1348" s="104"/>
      <c r="AJ1348" s="104"/>
      <c r="AK1348" s="104"/>
      <c r="AL1348" s="104"/>
      <c r="AM1348" s="103"/>
      <c r="AN1348" s="104"/>
      <c r="AO1348" s="103" t="s">
        <v>959</v>
      </c>
      <c r="AP1348" s="222"/>
      <c r="AQ1348" s="104"/>
      <c r="AR1348" s="104"/>
      <c r="AS1348" s="104"/>
      <c r="AT1348" s="104"/>
      <c r="AU1348" s="104"/>
      <c r="AV1348" s="104"/>
      <c r="AW1348" s="104"/>
      <c r="AX1348" s="104"/>
      <c r="AY1348" s="104"/>
      <c r="AZ1348" s="104"/>
      <c r="BA1348" s="182"/>
      <c r="BB1348" s="103"/>
      <c r="BC1348" s="165" t="s">
        <v>1615</v>
      </c>
      <c r="BD1348" s="166">
        <f t="shared" si="56"/>
        <v>0.79500000000000004</v>
      </c>
      <c r="BE1348" s="167" t="s">
        <v>1616</v>
      </c>
      <c r="BF1348" s="168">
        <f t="shared" si="47"/>
        <v>0.2</v>
      </c>
      <c r="BG1348" s="167" t="s">
        <v>1617</v>
      </c>
      <c r="BH1348" s="168">
        <f t="shared" si="57"/>
        <v>5.0000000000000001E-3</v>
      </c>
      <c r="BI1348" s="186"/>
      <c r="BJ1348" s="186">
        <v>0</v>
      </c>
      <c r="BK1348" s="187" t="s">
        <v>3961</v>
      </c>
      <c r="BL1348" s="168">
        <f t="shared" si="58"/>
        <v>0.8</v>
      </c>
      <c r="BM1348" s="185" t="s">
        <v>2152</v>
      </c>
      <c r="BN1348" s="168">
        <f t="shared" si="59"/>
        <v>0.2</v>
      </c>
      <c r="BO1348" s="104"/>
      <c r="BP1348" s="186"/>
      <c r="BQ1348" s="186"/>
      <c r="BR1348" s="186"/>
      <c r="BS1348" s="188" t="s">
        <v>1619</v>
      </c>
      <c r="BT1348" s="176">
        <f t="shared" si="60"/>
        <v>0.79500000000000004</v>
      </c>
      <c r="BU1348" s="185" t="s">
        <v>1616</v>
      </c>
      <c r="BV1348" s="168">
        <f t="shared" si="61"/>
        <v>0.2</v>
      </c>
      <c r="BW1348" s="185" t="s">
        <v>1620</v>
      </c>
      <c r="BX1348" s="186">
        <v>0</v>
      </c>
      <c r="BY1348" s="185" t="s">
        <v>1617</v>
      </c>
      <c r="BZ1348" s="176">
        <f t="shared" si="62"/>
        <v>5.0000000000000001E-3</v>
      </c>
      <c r="CA1348" s="185" t="s">
        <v>1621</v>
      </c>
      <c r="CB1348" s="168">
        <f t="shared" si="63"/>
        <v>0</v>
      </c>
      <c r="CC1348" s="104"/>
      <c r="CD1348" s="186"/>
      <c r="CE1348" s="183" t="s">
        <v>3962</v>
      </c>
      <c r="CF1348" s="183"/>
      <c r="CG1348" s="224"/>
      <c r="CH1348" s="9"/>
      <c r="CI1348" s="224"/>
      <c r="CJ1348" s="224"/>
      <c r="CK1348" s="224"/>
      <c r="CL1348" s="224"/>
      <c r="CM1348" s="224"/>
      <c r="CN1348" s="224"/>
      <c r="CO1348" s="224"/>
      <c r="CP1348" s="105"/>
    </row>
    <row r="1349" spans="1:94" ht="42.75" x14ac:dyDescent="0.25">
      <c r="A1349" s="9" t="s">
        <v>3974</v>
      </c>
      <c r="B1349" s="9" t="s">
        <v>3975</v>
      </c>
      <c r="C1349" s="9"/>
      <c r="D1349" s="9"/>
      <c r="E1349" s="9"/>
      <c r="F1349" s="9"/>
      <c r="G1349" s="9"/>
      <c r="H1349" s="9"/>
      <c r="I1349" s="9"/>
      <c r="J1349" s="9"/>
      <c r="K1349" s="9"/>
      <c r="L1349" s="9"/>
      <c r="M1349" s="9"/>
      <c r="N1349" s="9"/>
      <c r="O1349" s="9"/>
      <c r="P1349" s="9"/>
      <c r="Q1349" s="9"/>
      <c r="R1349" s="9"/>
      <c r="S1349" s="9"/>
      <c r="T1349" s="9"/>
      <c r="U1349" s="9"/>
      <c r="V1349" s="9"/>
      <c r="W1349" s="9"/>
      <c r="X1349" s="9"/>
      <c r="Y1349" s="9"/>
      <c r="Z1349" s="9"/>
      <c r="AA1349" s="9"/>
      <c r="AB1349" s="9"/>
      <c r="AC1349" s="9"/>
      <c r="AD1349" s="9"/>
      <c r="AE1349" s="9"/>
      <c r="AF1349" s="9"/>
      <c r="AG1349" s="9"/>
      <c r="AH1349" s="9"/>
      <c r="AI1349" s="9"/>
      <c r="AJ1349" s="9"/>
      <c r="AK1349" s="9"/>
      <c r="AL1349" s="9"/>
      <c r="AM1349" s="69"/>
      <c r="AN1349" s="9"/>
      <c r="AO1349" s="61" t="s">
        <v>959</v>
      </c>
      <c r="AP1349" s="212"/>
      <c r="AQ1349" s="213"/>
      <c r="AR1349" s="213"/>
      <c r="AS1349" s="213"/>
      <c r="AT1349" s="213"/>
      <c r="AU1349" s="213"/>
      <c r="AV1349" s="213"/>
      <c r="AW1349" s="62"/>
      <c r="AX1349" s="62"/>
      <c r="AY1349" s="62"/>
      <c r="AZ1349" s="62"/>
      <c r="BA1349" s="141"/>
      <c r="BB1349" s="61"/>
      <c r="BC1349" s="165" t="s">
        <v>1615</v>
      </c>
      <c r="BD1349" s="166">
        <f t="shared" si="56"/>
        <v>0.79500000000000004</v>
      </c>
      <c r="BE1349" s="167" t="s">
        <v>1616</v>
      </c>
      <c r="BF1349" s="168">
        <f t="shared" si="47"/>
        <v>0.2</v>
      </c>
      <c r="BG1349" s="167" t="s">
        <v>1617</v>
      </c>
      <c r="BH1349" s="168">
        <f t="shared" si="57"/>
        <v>5.0000000000000001E-3</v>
      </c>
      <c r="BI1349" s="169"/>
      <c r="BJ1349" s="168">
        <v>0</v>
      </c>
      <c r="BK1349" s="134" t="s">
        <v>2151</v>
      </c>
      <c r="BL1349" s="168">
        <f t="shared" si="58"/>
        <v>0.8</v>
      </c>
      <c r="BM1349" s="167" t="s">
        <v>2152</v>
      </c>
      <c r="BN1349" s="168">
        <f t="shared" si="59"/>
        <v>0.2</v>
      </c>
      <c r="BO1349" s="62"/>
      <c r="BP1349" s="168"/>
      <c r="BQ1349" s="168"/>
      <c r="BR1349" s="168"/>
      <c r="BS1349" s="135" t="s">
        <v>1615</v>
      </c>
      <c r="BT1349" s="176">
        <f t="shared" si="60"/>
        <v>0.79500000000000004</v>
      </c>
      <c r="BU1349" s="167" t="s">
        <v>1616</v>
      </c>
      <c r="BV1349" s="168">
        <f t="shared" si="61"/>
        <v>0.2</v>
      </c>
      <c r="BW1349" s="167" t="s">
        <v>2153</v>
      </c>
      <c r="BX1349" s="168"/>
      <c r="BY1349" s="167" t="s">
        <v>1617</v>
      </c>
      <c r="BZ1349" s="176">
        <f t="shared" si="62"/>
        <v>5.0000000000000001E-3</v>
      </c>
      <c r="CA1349" s="167" t="s">
        <v>1621</v>
      </c>
      <c r="CB1349" s="168">
        <f t="shared" si="63"/>
        <v>0</v>
      </c>
      <c r="CC1349" s="62"/>
      <c r="CD1349" s="168"/>
      <c r="CE1349" s="9"/>
      <c r="CF1349" s="9"/>
      <c r="CG1349" s="9"/>
      <c r="CH1349" s="9"/>
      <c r="CI1349" s="9"/>
      <c r="CJ1349" s="9"/>
      <c r="CK1349" s="9"/>
      <c r="CL1349" s="9"/>
      <c r="CM1349" s="9"/>
      <c r="CN1349" s="9"/>
      <c r="CO1349" s="9"/>
      <c r="CP1349" s="9"/>
    </row>
    <row r="1350" spans="1:94" ht="42.75" x14ac:dyDescent="0.25">
      <c r="A1350" s="104" t="s">
        <v>3976</v>
      </c>
      <c r="B1350" s="219" t="s">
        <v>3977</v>
      </c>
      <c r="C1350" s="220"/>
      <c r="D1350" s="220"/>
      <c r="E1350" s="220"/>
      <c r="F1350" s="220"/>
      <c r="G1350" s="220"/>
      <c r="H1350" s="221"/>
      <c r="I1350" s="104"/>
      <c r="J1350" s="104"/>
      <c r="K1350" s="104"/>
      <c r="L1350" s="104"/>
      <c r="M1350" s="104"/>
      <c r="N1350" s="104"/>
      <c r="O1350" s="104"/>
      <c r="P1350" s="104"/>
      <c r="Q1350" s="104"/>
      <c r="R1350" s="104"/>
      <c r="S1350" s="104"/>
      <c r="T1350" s="104"/>
      <c r="U1350" s="104"/>
      <c r="V1350" s="104"/>
      <c r="W1350" s="104"/>
      <c r="X1350" s="104"/>
      <c r="Y1350" s="104"/>
      <c r="Z1350" s="104"/>
      <c r="AA1350" s="104"/>
      <c r="AB1350" s="104"/>
      <c r="AC1350" s="104"/>
      <c r="AD1350" s="104"/>
      <c r="AE1350" s="104"/>
      <c r="AF1350" s="104"/>
      <c r="AG1350" s="104"/>
      <c r="AH1350" s="104"/>
      <c r="AI1350" s="104"/>
      <c r="AJ1350" s="104"/>
      <c r="AK1350" s="104"/>
      <c r="AL1350" s="104"/>
      <c r="AM1350" s="103"/>
      <c r="AN1350" s="104"/>
      <c r="AO1350" s="103"/>
      <c r="AP1350" s="222"/>
      <c r="AQ1350" s="104"/>
      <c r="AR1350" s="104"/>
      <c r="AS1350" s="104"/>
      <c r="AT1350" s="104"/>
      <c r="AU1350" s="104"/>
      <c r="AV1350" s="104"/>
      <c r="AW1350" s="104"/>
      <c r="AX1350" s="104"/>
      <c r="AY1350" s="104"/>
      <c r="AZ1350" s="104"/>
      <c r="BA1350" s="182"/>
      <c r="BB1350" s="103"/>
      <c r="BC1350" s="165" t="s">
        <v>1615</v>
      </c>
      <c r="BD1350" s="166">
        <v>0.89</v>
      </c>
      <c r="BE1350" s="167" t="s">
        <v>1616</v>
      </c>
      <c r="BF1350" s="168">
        <v>0.1</v>
      </c>
      <c r="BG1350" s="167" t="s">
        <v>1617</v>
      </c>
      <c r="BH1350" s="168">
        <v>0.01</v>
      </c>
      <c r="BI1350" s="169"/>
      <c r="BJ1350" s="168">
        <v>0</v>
      </c>
      <c r="BK1350" s="134" t="s">
        <v>2151</v>
      </c>
      <c r="BL1350" s="168">
        <v>0.9</v>
      </c>
      <c r="BM1350" s="167" t="s">
        <v>2152</v>
      </c>
      <c r="BN1350" s="168">
        <v>0.1</v>
      </c>
      <c r="BO1350" s="62"/>
      <c r="BP1350" s="168"/>
      <c r="BQ1350" s="168"/>
      <c r="BR1350" s="168"/>
      <c r="BS1350" s="135" t="s">
        <v>1615</v>
      </c>
      <c r="BT1350" s="168">
        <v>0.87</v>
      </c>
      <c r="BU1350" s="167" t="s">
        <v>1616</v>
      </c>
      <c r="BV1350" s="168">
        <v>0.1</v>
      </c>
      <c r="BW1350" s="167" t="s">
        <v>2153</v>
      </c>
      <c r="BX1350" s="168"/>
      <c r="BY1350" s="167" t="s">
        <v>1617</v>
      </c>
      <c r="BZ1350" s="168">
        <v>0.01</v>
      </c>
      <c r="CA1350" s="167" t="s">
        <v>1621</v>
      </c>
      <c r="CB1350" s="168">
        <v>0.02</v>
      </c>
      <c r="CC1350" s="104"/>
      <c r="CD1350" s="186"/>
      <c r="CE1350" s="183"/>
      <c r="CF1350" s="183"/>
      <c r="CG1350" s="224"/>
      <c r="CH1350" s="9"/>
      <c r="CI1350" s="224"/>
      <c r="CJ1350" s="224"/>
      <c r="CK1350" s="224"/>
      <c r="CL1350" s="224"/>
      <c r="CM1350" s="224"/>
      <c r="CN1350" s="224"/>
      <c r="CO1350" s="224"/>
      <c r="CP1350" s="105"/>
    </row>
    <row r="1351" spans="1:94" ht="356.25" x14ac:dyDescent="0.25">
      <c r="A1351" s="62" t="s">
        <v>3978</v>
      </c>
      <c r="B1351" s="131" t="s">
        <v>3979</v>
      </c>
      <c r="C1351" s="215"/>
      <c r="D1351" s="215"/>
      <c r="E1351" s="215"/>
      <c r="F1351" s="215"/>
      <c r="G1351" s="215"/>
      <c r="H1351" s="218"/>
      <c r="I1351" s="62"/>
      <c r="J1351" s="62"/>
      <c r="K1351" s="62"/>
      <c r="L1351" s="62"/>
      <c r="M1351" s="62"/>
      <c r="N1351" s="62"/>
      <c r="O1351" s="62"/>
      <c r="P1351" s="62"/>
      <c r="Q1351" s="62"/>
      <c r="R1351" s="62"/>
      <c r="S1351" s="62"/>
      <c r="T1351" s="62"/>
      <c r="U1351" s="62"/>
      <c r="V1351" s="62"/>
      <c r="W1351" s="62"/>
      <c r="X1351" s="62"/>
      <c r="Y1351" s="62"/>
      <c r="Z1351" s="62"/>
      <c r="AA1351" s="62"/>
      <c r="AB1351" s="62"/>
      <c r="AC1351" s="62"/>
      <c r="AD1351" s="62"/>
      <c r="AE1351" s="62"/>
      <c r="AF1351" s="62"/>
      <c r="AG1351" s="62"/>
      <c r="AH1351" s="62"/>
      <c r="AI1351" s="62"/>
      <c r="AJ1351" s="62"/>
      <c r="AK1351" s="62"/>
      <c r="AL1351" s="62"/>
      <c r="AM1351" s="61"/>
      <c r="AN1351" s="62"/>
      <c r="AO1351" s="61" t="s">
        <v>959</v>
      </c>
      <c r="AP1351" s="212"/>
      <c r="AQ1351" s="213"/>
      <c r="AR1351" s="213"/>
      <c r="AS1351" s="213"/>
      <c r="AT1351" s="213"/>
      <c r="AU1351" s="213"/>
      <c r="AV1351" s="213"/>
      <c r="AW1351" s="62"/>
      <c r="AX1351" s="62"/>
      <c r="AY1351" s="62"/>
      <c r="AZ1351" s="62"/>
      <c r="BA1351" s="141"/>
      <c r="BB1351" s="61"/>
      <c r="BC1351" s="165" t="s">
        <v>1615</v>
      </c>
      <c r="BD1351" s="166">
        <f t="shared" ref="BD1351:BD1363" si="64">+(89-9.5)%</f>
        <v>0.79500000000000004</v>
      </c>
      <c r="BE1351" s="167" t="s">
        <v>1616</v>
      </c>
      <c r="BF1351" s="168">
        <f t="shared" si="47"/>
        <v>0.2</v>
      </c>
      <c r="BG1351" s="167" t="s">
        <v>1617</v>
      </c>
      <c r="BH1351" s="168">
        <f t="shared" ref="BH1351:BH1363" si="65">+(1-0.5)%</f>
        <v>5.0000000000000001E-3</v>
      </c>
      <c r="BI1351" s="169"/>
      <c r="BJ1351" s="168">
        <v>0</v>
      </c>
      <c r="BK1351" s="134" t="s">
        <v>2151</v>
      </c>
      <c r="BL1351" s="168">
        <f>+(90-10)%</f>
        <v>0.8</v>
      </c>
      <c r="BM1351" s="167" t="s">
        <v>2152</v>
      </c>
      <c r="BN1351" s="168">
        <f>+(10+10)%</f>
        <v>0.2</v>
      </c>
      <c r="BO1351" s="62"/>
      <c r="BP1351" s="168"/>
      <c r="BQ1351" s="168"/>
      <c r="BR1351" s="168"/>
      <c r="BS1351" s="135" t="s">
        <v>1615</v>
      </c>
      <c r="BT1351" s="176">
        <f>+(87-7.5)%</f>
        <v>0.79500000000000004</v>
      </c>
      <c r="BU1351" s="167" t="s">
        <v>1616</v>
      </c>
      <c r="BV1351" s="168">
        <f>+(10+10)%</f>
        <v>0.2</v>
      </c>
      <c r="BW1351" s="167" t="s">
        <v>2153</v>
      </c>
      <c r="BX1351" s="168"/>
      <c r="BY1351" s="167" t="s">
        <v>1617</v>
      </c>
      <c r="BZ1351" s="176">
        <f>+(1-0.5)%</f>
        <v>5.0000000000000001E-3</v>
      </c>
      <c r="CA1351" s="167" t="s">
        <v>1621</v>
      </c>
      <c r="CB1351" s="168">
        <f>+(2-2)%</f>
        <v>0</v>
      </c>
      <c r="CC1351" s="62"/>
      <c r="CD1351" s="168"/>
      <c r="CE1351" s="165" t="s">
        <v>3980</v>
      </c>
      <c r="CF1351" s="165"/>
      <c r="CG1351" s="204"/>
      <c r="CH1351" s="9"/>
      <c r="CI1351" s="204"/>
      <c r="CJ1351" s="204"/>
      <c r="CK1351" s="204"/>
      <c r="CL1351" s="204"/>
      <c r="CM1351" s="204"/>
      <c r="CN1351" s="204"/>
      <c r="CO1351" s="204"/>
      <c r="CP1351" s="9"/>
    </row>
    <row r="1352" spans="1:94" ht="42.75" x14ac:dyDescent="0.25">
      <c r="A1352" s="62" t="s">
        <v>3981</v>
      </c>
      <c r="B1352" s="131" t="s">
        <v>3982</v>
      </c>
      <c r="C1352" s="215"/>
      <c r="D1352" s="215"/>
      <c r="E1352" s="215"/>
      <c r="F1352" s="215"/>
      <c r="G1352" s="215"/>
      <c r="H1352" s="218"/>
      <c r="I1352" s="62"/>
      <c r="J1352" s="62"/>
      <c r="K1352" s="62"/>
      <c r="L1352" s="62"/>
      <c r="M1352" s="62"/>
      <c r="N1352" s="62"/>
      <c r="O1352" s="62"/>
      <c r="P1352" s="62"/>
      <c r="Q1352" s="62"/>
      <c r="R1352" s="62"/>
      <c r="S1352" s="62"/>
      <c r="T1352" s="62"/>
      <c r="U1352" s="62"/>
      <c r="V1352" s="62"/>
      <c r="W1352" s="62"/>
      <c r="X1352" s="62"/>
      <c r="Y1352" s="62"/>
      <c r="Z1352" s="62"/>
      <c r="AA1352" s="62"/>
      <c r="AB1352" s="62"/>
      <c r="AC1352" s="62"/>
      <c r="AD1352" s="62"/>
      <c r="AE1352" s="62"/>
      <c r="AF1352" s="62"/>
      <c r="AG1352" s="62"/>
      <c r="AH1352" s="62"/>
      <c r="AI1352" s="62"/>
      <c r="AJ1352" s="62"/>
      <c r="AK1352" s="62"/>
      <c r="AL1352" s="62"/>
      <c r="AM1352" s="61"/>
      <c r="AN1352" s="62"/>
      <c r="AO1352" s="61" t="s">
        <v>959</v>
      </c>
      <c r="AP1352" s="212"/>
      <c r="AQ1352" s="213"/>
      <c r="AR1352" s="213"/>
      <c r="AS1352" s="213"/>
      <c r="AT1352" s="213"/>
      <c r="AU1352" s="213"/>
      <c r="AV1352" s="213"/>
      <c r="AW1352" s="62"/>
      <c r="AX1352" s="62"/>
      <c r="AY1352" s="62"/>
      <c r="AZ1352" s="62"/>
      <c r="BA1352" s="141"/>
      <c r="BB1352" s="61"/>
      <c r="BC1352" s="165" t="s">
        <v>1615</v>
      </c>
      <c r="BD1352" s="166">
        <f t="shared" si="64"/>
        <v>0.79500000000000004</v>
      </c>
      <c r="BE1352" s="167" t="s">
        <v>1616</v>
      </c>
      <c r="BF1352" s="168">
        <f t="shared" si="47"/>
        <v>0.2</v>
      </c>
      <c r="BG1352" s="167" t="s">
        <v>1617</v>
      </c>
      <c r="BH1352" s="168">
        <f t="shared" si="65"/>
        <v>5.0000000000000001E-3</v>
      </c>
      <c r="BI1352" s="169"/>
      <c r="BJ1352" s="168">
        <v>0</v>
      </c>
      <c r="BK1352" s="134" t="s">
        <v>2151</v>
      </c>
      <c r="BL1352" s="168">
        <f>+(90-10)%</f>
        <v>0.8</v>
      </c>
      <c r="BM1352" s="167" t="s">
        <v>2152</v>
      </c>
      <c r="BN1352" s="168">
        <f>+(10+10)%</f>
        <v>0.2</v>
      </c>
      <c r="BO1352" s="62"/>
      <c r="BP1352" s="168"/>
      <c r="BQ1352" s="168"/>
      <c r="BR1352" s="168"/>
      <c r="BS1352" s="135" t="s">
        <v>1615</v>
      </c>
      <c r="BT1352" s="176">
        <f>+(87-7.5)%</f>
        <v>0.79500000000000004</v>
      </c>
      <c r="BU1352" s="167" t="s">
        <v>1616</v>
      </c>
      <c r="BV1352" s="168">
        <f>+(10+10)%</f>
        <v>0.2</v>
      </c>
      <c r="BW1352" s="167" t="s">
        <v>2153</v>
      </c>
      <c r="BX1352" s="168"/>
      <c r="BY1352" s="167" t="s">
        <v>1617</v>
      </c>
      <c r="BZ1352" s="176">
        <f>+(1-0.5)%</f>
        <v>5.0000000000000001E-3</v>
      </c>
      <c r="CA1352" s="167" t="s">
        <v>1621</v>
      </c>
      <c r="CB1352" s="168">
        <f>+(2-2)%</f>
        <v>0</v>
      </c>
      <c r="CC1352" s="62"/>
      <c r="CD1352" s="168"/>
      <c r="CE1352" s="165"/>
      <c r="CF1352" s="165"/>
      <c r="CG1352" s="204"/>
      <c r="CH1352" s="9"/>
      <c r="CI1352" s="204"/>
      <c r="CJ1352" s="204"/>
      <c r="CK1352" s="204"/>
      <c r="CL1352" s="204"/>
      <c r="CM1352" s="204"/>
      <c r="CN1352" s="204"/>
      <c r="CO1352" s="204"/>
      <c r="CP1352" s="9"/>
    </row>
    <row r="1353" spans="1:94" ht="42.75" x14ac:dyDescent="0.25">
      <c r="A1353" s="62" t="s">
        <v>3983</v>
      </c>
      <c r="B1353" s="131" t="s">
        <v>3984</v>
      </c>
      <c r="C1353" s="215"/>
      <c r="D1353" s="215"/>
      <c r="E1353" s="215"/>
      <c r="F1353" s="215"/>
      <c r="G1353" s="215"/>
      <c r="H1353" s="218"/>
      <c r="I1353" s="62"/>
      <c r="J1353" s="62"/>
      <c r="K1353" s="62"/>
      <c r="L1353" s="62"/>
      <c r="M1353" s="62"/>
      <c r="N1353" s="62"/>
      <c r="O1353" s="62"/>
      <c r="P1353" s="62"/>
      <c r="Q1353" s="62"/>
      <c r="R1353" s="62"/>
      <c r="S1353" s="62"/>
      <c r="T1353" s="62"/>
      <c r="U1353" s="62"/>
      <c r="V1353" s="62"/>
      <c r="W1353" s="62"/>
      <c r="X1353" s="62"/>
      <c r="Y1353" s="62"/>
      <c r="Z1353" s="62"/>
      <c r="AA1353" s="62"/>
      <c r="AB1353" s="62"/>
      <c r="AC1353" s="62"/>
      <c r="AD1353" s="62"/>
      <c r="AE1353" s="62"/>
      <c r="AF1353" s="62"/>
      <c r="AG1353" s="62"/>
      <c r="AH1353" s="62"/>
      <c r="AI1353" s="62"/>
      <c r="AJ1353" s="62"/>
      <c r="AK1353" s="62"/>
      <c r="AL1353" s="62"/>
      <c r="AM1353" s="61"/>
      <c r="AN1353" s="62"/>
      <c r="AO1353" s="61" t="s">
        <v>959</v>
      </c>
      <c r="AP1353" s="212"/>
      <c r="AQ1353" s="213"/>
      <c r="AR1353" s="213"/>
      <c r="AS1353" s="213"/>
      <c r="AT1353" s="213"/>
      <c r="AU1353" s="213"/>
      <c r="AV1353" s="213"/>
      <c r="AW1353" s="62"/>
      <c r="AX1353" s="62"/>
      <c r="AY1353" s="62"/>
      <c r="AZ1353" s="62"/>
      <c r="BA1353" s="141"/>
      <c r="BB1353" s="61"/>
      <c r="BC1353" s="165" t="s">
        <v>1615</v>
      </c>
      <c r="BD1353" s="166">
        <f t="shared" si="64"/>
        <v>0.79500000000000004</v>
      </c>
      <c r="BE1353" s="167" t="s">
        <v>1616</v>
      </c>
      <c r="BF1353" s="168">
        <f t="shared" si="47"/>
        <v>0.2</v>
      </c>
      <c r="BG1353" s="167" t="s">
        <v>1617</v>
      </c>
      <c r="BH1353" s="168">
        <f t="shared" si="65"/>
        <v>5.0000000000000001E-3</v>
      </c>
      <c r="BI1353" s="169"/>
      <c r="BJ1353" s="168">
        <v>0</v>
      </c>
      <c r="BK1353" s="134" t="s">
        <v>2151</v>
      </c>
      <c r="BL1353" s="168">
        <f>+(90-10)%</f>
        <v>0.8</v>
      </c>
      <c r="BM1353" s="167" t="s">
        <v>2152</v>
      </c>
      <c r="BN1353" s="168">
        <f>+(10+10)%</f>
        <v>0.2</v>
      </c>
      <c r="BO1353" s="62"/>
      <c r="BP1353" s="168"/>
      <c r="BQ1353" s="168"/>
      <c r="BR1353" s="168"/>
      <c r="BS1353" s="135" t="s">
        <v>1615</v>
      </c>
      <c r="BT1353" s="176">
        <f>+(87-7.5)%</f>
        <v>0.79500000000000004</v>
      </c>
      <c r="BU1353" s="167" t="s">
        <v>1616</v>
      </c>
      <c r="BV1353" s="168">
        <f>+(10+10)%</f>
        <v>0.2</v>
      </c>
      <c r="BW1353" s="167" t="s">
        <v>2153</v>
      </c>
      <c r="BX1353" s="168"/>
      <c r="BY1353" s="167" t="s">
        <v>1617</v>
      </c>
      <c r="BZ1353" s="176">
        <f>+(1-0.5)%</f>
        <v>5.0000000000000001E-3</v>
      </c>
      <c r="CA1353" s="167" t="s">
        <v>1621</v>
      </c>
      <c r="CB1353" s="168">
        <f>+(2-2)%</f>
        <v>0</v>
      </c>
      <c r="CC1353" s="62"/>
      <c r="CD1353" s="168"/>
      <c r="CE1353" s="165"/>
      <c r="CF1353" s="165"/>
      <c r="CG1353" s="204"/>
      <c r="CH1353" s="9"/>
      <c r="CI1353" s="204"/>
      <c r="CJ1353" s="204"/>
      <c r="CK1353" s="204"/>
      <c r="CL1353" s="204"/>
      <c r="CM1353" s="204"/>
      <c r="CN1353" s="204"/>
      <c r="CO1353" s="204"/>
      <c r="CP1353" s="9"/>
    </row>
    <row r="1354" spans="1:94" ht="356.25" x14ac:dyDescent="0.25">
      <c r="A1354" s="62" t="s">
        <v>3985</v>
      </c>
      <c r="B1354" s="131" t="s">
        <v>3986</v>
      </c>
      <c r="C1354" s="215"/>
      <c r="D1354" s="215"/>
      <c r="E1354" s="215"/>
      <c r="F1354" s="215"/>
      <c r="G1354" s="215"/>
      <c r="H1354" s="218"/>
      <c r="I1354" s="62"/>
      <c r="J1354" s="62"/>
      <c r="K1354" s="62"/>
      <c r="L1354" s="62"/>
      <c r="M1354" s="62"/>
      <c r="N1354" s="62"/>
      <c r="O1354" s="62"/>
      <c r="P1354" s="62"/>
      <c r="Q1354" s="62"/>
      <c r="R1354" s="62"/>
      <c r="S1354" s="62"/>
      <c r="T1354" s="62"/>
      <c r="U1354" s="62"/>
      <c r="V1354" s="62"/>
      <c r="W1354" s="62"/>
      <c r="X1354" s="62"/>
      <c r="Y1354" s="62"/>
      <c r="Z1354" s="62"/>
      <c r="AA1354" s="62"/>
      <c r="AB1354" s="62"/>
      <c r="AC1354" s="62"/>
      <c r="AD1354" s="62"/>
      <c r="AE1354" s="62"/>
      <c r="AF1354" s="62"/>
      <c r="AG1354" s="62"/>
      <c r="AH1354" s="62"/>
      <c r="AI1354" s="62"/>
      <c r="AJ1354" s="62"/>
      <c r="AK1354" s="62"/>
      <c r="AL1354" s="62"/>
      <c r="AM1354" s="61"/>
      <c r="AN1354" s="62"/>
      <c r="AO1354" s="61" t="s">
        <v>959</v>
      </c>
      <c r="AP1354" s="212"/>
      <c r="AQ1354" s="213"/>
      <c r="AR1354" s="213"/>
      <c r="AS1354" s="213"/>
      <c r="AT1354" s="213"/>
      <c r="AU1354" s="213"/>
      <c r="AV1354" s="213"/>
      <c r="AW1354" s="62"/>
      <c r="AX1354" s="62"/>
      <c r="AY1354" s="62"/>
      <c r="AZ1354" s="62"/>
      <c r="BA1354" s="141"/>
      <c r="BB1354" s="61"/>
      <c r="BC1354" s="165" t="s">
        <v>1615</v>
      </c>
      <c r="BD1354" s="166">
        <f t="shared" si="64"/>
        <v>0.79500000000000004</v>
      </c>
      <c r="BE1354" s="167" t="s">
        <v>1616</v>
      </c>
      <c r="BF1354" s="168">
        <f t="shared" si="47"/>
        <v>0.2</v>
      </c>
      <c r="BG1354" s="167" t="s">
        <v>1617</v>
      </c>
      <c r="BH1354" s="168">
        <f t="shared" si="65"/>
        <v>5.0000000000000001E-3</v>
      </c>
      <c r="BI1354" s="169"/>
      <c r="BJ1354" s="168">
        <v>0</v>
      </c>
      <c r="BK1354" s="134" t="s">
        <v>2151</v>
      </c>
      <c r="BL1354" s="168">
        <f t="shared" ref="BL1354:BL1363" si="66">+(90-10)%</f>
        <v>0.8</v>
      </c>
      <c r="BM1354" s="167" t="s">
        <v>2152</v>
      </c>
      <c r="BN1354" s="168">
        <f t="shared" ref="BN1354:BN1363" si="67">+(10+10)%</f>
        <v>0.2</v>
      </c>
      <c r="BO1354" s="62"/>
      <c r="BP1354" s="168"/>
      <c r="BQ1354" s="168"/>
      <c r="BR1354" s="168"/>
      <c r="BS1354" s="135" t="s">
        <v>1615</v>
      </c>
      <c r="BT1354" s="176">
        <f t="shared" ref="BT1354:BT1363" si="68">+(87-7.5)%</f>
        <v>0.79500000000000004</v>
      </c>
      <c r="BU1354" s="167" t="s">
        <v>1616</v>
      </c>
      <c r="BV1354" s="168">
        <f t="shared" ref="BV1354:BV1363" si="69">+(10+10)%</f>
        <v>0.2</v>
      </c>
      <c r="BW1354" s="167" t="s">
        <v>2153</v>
      </c>
      <c r="BX1354" s="168"/>
      <c r="BY1354" s="167" t="s">
        <v>1617</v>
      </c>
      <c r="BZ1354" s="176">
        <f t="shared" ref="BZ1354:BZ1363" si="70">+(1-0.5)%</f>
        <v>5.0000000000000001E-3</v>
      </c>
      <c r="CA1354" s="167" t="s">
        <v>1621</v>
      </c>
      <c r="CB1354" s="168">
        <f t="shared" ref="CB1354:CB1363" si="71">+(2-2)%</f>
        <v>0</v>
      </c>
      <c r="CC1354" s="62"/>
      <c r="CD1354" s="168"/>
      <c r="CE1354" s="165" t="s">
        <v>3980</v>
      </c>
      <c r="CF1354" s="165"/>
      <c r="CG1354" s="204"/>
      <c r="CH1354" s="9"/>
      <c r="CI1354" s="204"/>
      <c r="CJ1354" s="204"/>
      <c r="CK1354" s="204"/>
      <c r="CL1354" s="204"/>
      <c r="CM1354" s="204"/>
      <c r="CN1354" s="204"/>
      <c r="CO1354" s="204"/>
      <c r="CP1354" s="9"/>
    </row>
    <row r="1355" spans="1:94" ht="356.25" x14ac:dyDescent="0.25">
      <c r="A1355" s="62" t="s">
        <v>3987</v>
      </c>
      <c r="B1355" s="131" t="s">
        <v>3988</v>
      </c>
      <c r="C1355" s="215"/>
      <c r="D1355" s="215"/>
      <c r="E1355" s="215"/>
      <c r="F1355" s="215"/>
      <c r="G1355" s="215"/>
      <c r="H1355" s="218"/>
      <c r="I1355" s="62"/>
      <c r="J1355" s="62"/>
      <c r="K1355" s="62"/>
      <c r="L1355" s="62"/>
      <c r="M1355" s="62"/>
      <c r="N1355" s="62"/>
      <c r="O1355" s="62"/>
      <c r="P1355" s="62"/>
      <c r="Q1355" s="62"/>
      <c r="R1355" s="62"/>
      <c r="S1355" s="62"/>
      <c r="T1355" s="62"/>
      <c r="U1355" s="62"/>
      <c r="V1355" s="62"/>
      <c r="W1355" s="62"/>
      <c r="X1355" s="62"/>
      <c r="Y1355" s="62"/>
      <c r="Z1355" s="62"/>
      <c r="AA1355" s="62"/>
      <c r="AB1355" s="62"/>
      <c r="AC1355" s="62"/>
      <c r="AD1355" s="62"/>
      <c r="AE1355" s="62"/>
      <c r="AF1355" s="62"/>
      <c r="AG1355" s="62"/>
      <c r="AH1355" s="62"/>
      <c r="AI1355" s="62"/>
      <c r="AJ1355" s="62"/>
      <c r="AK1355" s="62"/>
      <c r="AL1355" s="62"/>
      <c r="AM1355" s="61"/>
      <c r="AN1355" s="62"/>
      <c r="AO1355" s="61" t="s">
        <v>959</v>
      </c>
      <c r="AP1355" s="212"/>
      <c r="AQ1355" s="213"/>
      <c r="AR1355" s="213"/>
      <c r="AS1355" s="213"/>
      <c r="AT1355" s="213"/>
      <c r="AU1355" s="213"/>
      <c r="AV1355" s="213"/>
      <c r="AW1355" s="62"/>
      <c r="AX1355" s="62"/>
      <c r="AY1355" s="62"/>
      <c r="AZ1355" s="62"/>
      <c r="BA1355" s="141"/>
      <c r="BB1355" s="61"/>
      <c r="BC1355" s="165" t="s">
        <v>1615</v>
      </c>
      <c r="BD1355" s="166">
        <f t="shared" si="64"/>
        <v>0.79500000000000004</v>
      </c>
      <c r="BE1355" s="167" t="s">
        <v>1616</v>
      </c>
      <c r="BF1355" s="168">
        <f t="shared" si="47"/>
        <v>0.2</v>
      </c>
      <c r="BG1355" s="167" t="s">
        <v>1617</v>
      </c>
      <c r="BH1355" s="168">
        <f t="shared" si="65"/>
        <v>5.0000000000000001E-3</v>
      </c>
      <c r="BI1355" s="169"/>
      <c r="BJ1355" s="168">
        <v>0</v>
      </c>
      <c r="BK1355" s="134" t="s">
        <v>2151</v>
      </c>
      <c r="BL1355" s="168">
        <f t="shared" si="66"/>
        <v>0.8</v>
      </c>
      <c r="BM1355" s="167" t="s">
        <v>2152</v>
      </c>
      <c r="BN1355" s="168">
        <f t="shared" si="67"/>
        <v>0.2</v>
      </c>
      <c r="BO1355" s="62"/>
      <c r="BP1355" s="168"/>
      <c r="BQ1355" s="168"/>
      <c r="BR1355" s="168"/>
      <c r="BS1355" s="135" t="s">
        <v>1615</v>
      </c>
      <c r="BT1355" s="176">
        <f t="shared" si="68"/>
        <v>0.79500000000000004</v>
      </c>
      <c r="BU1355" s="167" t="s">
        <v>1616</v>
      </c>
      <c r="BV1355" s="168">
        <f t="shared" si="69"/>
        <v>0.2</v>
      </c>
      <c r="BW1355" s="167" t="s">
        <v>2153</v>
      </c>
      <c r="BX1355" s="168"/>
      <c r="BY1355" s="167" t="s">
        <v>1617</v>
      </c>
      <c r="BZ1355" s="176">
        <f t="shared" si="70"/>
        <v>5.0000000000000001E-3</v>
      </c>
      <c r="CA1355" s="167" t="s">
        <v>1621</v>
      </c>
      <c r="CB1355" s="168">
        <f t="shared" si="71"/>
        <v>0</v>
      </c>
      <c r="CC1355" s="62"/>
      <c r="CD1355" s="168"/>
      <c r="CE1355" s="165" t="s">
        <v>3980</v>
      </c>
      <c r="CF1355" s="165"/>
      <c r="CG1355" s="204"/>
      <c r="CH1355" s="9"/>
      <c r="CI1355" s="204"/>
      <c r="CJ1355" s="204"/>
      <c r="CK1355" s="204"/>
      <c r="CL1355" s="204"/>
      <c r="CM1355" s="204"/>
      <c r="CN1355" s="204"/>
      <c r="CO1355" s="204"/>
      <c r="CP1355" s="9"/>
    </row>
    <row r="1356" spans="1:94" ht="356.25" x14ac:dyDescent="0.25">
      <c r="A1356" s="62" t="s">
        <v>3989</v>
      </c>
      <c r="B1356" s="131" t="s">
        <v>3990</v>
      </c>
      <c r="C1356" s="215"/>
      <c r="D1356" s="215"/>
      <c r="E1356" s="215"/>
      <c r="F1356" s="215"/>
      <c r="G1356" s="215"/>
      <c r="H1356" s="218"/>
      <c r="I1356" s="62"/>
      <c r="J1356" s="62"/>
      <c r="K1356" s="62"/>
      <c r="L1356" s="62"/>
      <c r="M1356" s="62"/>
      <c r="N1356" s="62"/>
      <c r="O1356" s="62"/>
      <c r="P1356" s="62"/>
      <c r="Q1356" s="62"/>
      <c r="R1356" s="62"/>
      <c r="S1356" s="62"/>
      <c r="T1356" s="62"/>
      <c r="U1356" s="62"/>
      <c r="V1356" s="62"/>
      <c r="W1356" s="62"/>
      <c r="X1356" s="62"/>
      <c r="Y1356" s="62"/>
      <c r="Z1356" s="62"/>
      <c r="AA1356" s="62"/>
      <c r="AB1356" s="62"/>
      <c r="AC1356" s="62"/>
      <c r="AD1356" s="62"/>
      <c r="AE1356" s="62"/>
      <c r="AF1356" s="62"/>
      <c r="AG1356" s="62"/>
      <c r="AH1356" s="62"/>
      <c r="AI1356" s="62"/>
      <c r="AJ1356" s="62"/>
      <c r="AK1356" s="62"/>
      <c r="AL1356" s="62"/>
      <c r="AM1356" s="61"/>
      <c r="AN1356" s="62"/>
      <c r="AO1356" s="61" t="s">
        <v>959</v>
      </c>
      <c r="AP1356" s="212"/>
      <c r="AQ1356" s="213"/>
      <c r="AR1356" s="213"/>
      <c r="AS1356" s="213"/>
      <c r="AT1356" s="213"/>
      <c r="AU1356" s="213"/>
      <c r="AV1356" s="213"/>
      <c r="AW1356" s="62"/>
      <c r="AX1356" s="62"/>
      <c r="AY1356" s="62"/>
      <c r="AZ1356" s="62"/>
      <c r="BA1356" s="141"/>
      <c r="BB1356" s="61"/>
      <c r="BC1356" s="165" t="s">
        <v>1615</v>
      </c>
      <c r="BD1356" s="166">
        <f t="shared" si="64"/>
        <v>0.79500000000000004</v>
      </c>
      <c r="BE1356" s="167" t="s">
        <v>1616</v>
      </c>
      <c r="BF1356" s="168">
        <f t="shared" si="47"/>
        <v>0.2</v>
      </c>
      <c r="BG1356" s="167" t="s">
        <v>1617</v>
      </c>
      <c r="BH1356" s="168">
        <f t="shared" si="65"/>
        <v>5.0000000000000001E-3</v>
      </c>
      <c r="BI1356" s="169"/>
      <c r="BJ1356" s="168">
        <v>0</v>
      </c>
      <c r="BK1356" s="134" t="s">
        <v>2151</v>
      </c>
      <c r="BL1356" s="168">
        <f t="shared" si="66"/>
        <v>0.8</v>
      </c>
      <c r="BM1356" s="167" t="s">
        <v>2152</v>
      </c>
      <c r="BN1356" s="168">
        <f t="shared" si="67"/>
        <v>0.2</v>
      </c>
      <c r="BO1356" s="62"/>
      <c r="BP1356" s="168"/>
      <c r="BQ1356" s="168"/>
      <c r="BR1356" s="168"/>
      <c r="BS1356" s="135" t="s">
        <v>1615</v>
      </c>
      <c r="BT1356" s="176">
        <f t="shared" si="68"/>
        <v>0.79500000000000004</v>
      </c>
      <c r="BU1356" s="167" t="s">
        <v>1616</v>
      </c>
      <c r="BV1356" s="168">
        <f t="shared" si="69"/>
        <v>0.2</v>
      </c>
      <c r="BW1356" s="167" t="s">
        <v>2153</v>
      </c>
      <c r="BX1356" s="168"/>
      <c r="BY1356" s="167" t="s">
        <v>1617</v>
      </c>
      <c r="BZ1356" s="176">
        <f t="shared" si="70"/>
        <v>5.0000000000000001E-3</v>
      </c>
      <c r="CA1356" s="167" t="s">
        <v>1621</v>
      </c>
      <c r="CB1356" s="168">
        <f t="shared" si="71"/>
        <v>0</v>
      </c>
      <c r="CC1356" s="62"/>
      <c r="CD1356" s="168"/>
      <c r="CE1356" s="165" t="s">
        <v>3991</v>
      </c>
      <c r="CF1356" s="165"/>
      <c r="CG1356" s="204"/>
      <c r="CH1356" s="9"/>
      <c r="CI1356" s="204"/>
      <c r="CJ1356" s="204"/>
      <c r="CK1356" s="204"/>
      <c r="CL1356" s="204"/>
      <c r="CM1356" s="204"/>
      <c r="CN1356" s="204"/>
      <c r="CO1356" s="204"/>
      <c r="CP1356" s="9"/>
    </row>
    <row r="1357" spans="1:94" ht="356.25" x14ac:dyDescent="0.25">
      <c r="A1357" s="62" t="s">
        <v>3992</v>
      </c>
      <c r="B1357" s="131" t="s">
        <v>3993</v>
      </c>
      <c r="C1357" s="215"/>
      <c r="D1357" s="215"/>
      <c r="E1357" s="215"/>
      <c r="F1357" s="215"/>
      <c r="G1357" s="215"/>
      <c r="H1357" s="218"/>
      <c r="I1357" s="62"/>
      <c r="J1357" s="62"/>
      <c r="K1357" s="62"/>
      <c r="L1357" s="62"/>
      <c r="M1357" s="62"/>
      <c r="N1357" s="62"/>
      <c r="O1357" s="62"/>
      <c r="P1357" s="62"/>
      <c r="Q1357" s="62"/>
      <c r="R1357" s="62"/>
      <c r="S1357" s="62"/>
      <c r="T1357" s="62"/>
      <c r="U1357" s="62"/>
      <c r="V1357" s="62"/>
      <c r="W1357" s="62"/>
      <c r="X1357" s="62"/>
      <c r="Y1357" s="62"/>
      <c r="Z1357" s="62"/>
      <c r="AA1357" s="62"/>
      <c r="AB1357" s="62"/>
      <c r="AC1357" s="62"/>
      <c r="AD1357" s="62"/>
      <c r="AE1357" s="62"/>
      <c r="AF1357" s="62"/>
      <c r="AG1357" s="62"/>
      <c r="AH1357" s="62"/>
      <c r="AI1357" s="62"/>
      <c r="AJ1357" s="62"/>
      <c r="AK1357" s="62"/>
      <c r="AL1357" s="62"/>
      <c r="AM1357" s="61"/>
      <c r="AN1357" s="62"/>
      <c r="AO1357" s="61" t="s">
        <v>959</v>
      </c>
      <c r="AP1357" s="212"/>
      <c r="AQ1357" s="213"/>
      <c r="AR1357" s="213"/>
      <c r="AS1357" s="213"/>
      <c r="AT1357" s="213"/>
      <c r="AU1357" s="213"/>
      <c r="AV1357" s="213"/>
      <c r="AW1357" s="62"/>
      <c r="AX1357" s="62"/>
      <c r="AY1357" s="62"/>
      <c r="AZ1357" s="62"/>
      <c r="BA1357" s="141"/>
      <c r="BB1357" s="61"/>
      <c r="BC1357" s="165" t="s">
        <v>1615</v>
      </c>
      <c r="BD1357" s="166">
        <f t="shared" si="64"/>
        <v>0.79500000000000004</v>
      </c>
      <c r="BE1357" s="167" t="s">
        <v>1616</v>
      </c>
      <c r="BF1357" s="168">
        <f t="shared" si="47"/>
        <v>0.2</v>
      </c>
      <c r="BG1357" s="167" t="s">
        <v>1617</v>
      </c>
      <c r="BH1357" s="168">
        <f t="shared" si="65"/>
        <v>5.0000000000000001E-3</v>
      </c>
      <c r="BI1357" s="169"/>
      <c r="BJ1357" s="168">
        <v>0</v>
      </c>
      <c r="BK1357" s="134" t="s">
        <v>2151</v>
      </c>
      <c r="BL1357" s="168">
        <f t="shared" si="66"/>
        <v>0.8</v>
      </c>
      <c r="BM1357" s="167" t="s">
        <v>2152</v>
      </c>
      <c r="BN1357" s="168">
        <f t="shared" si="67"/>
        <v>0.2</v>
      </c>
      <c r="BO1357" s="62"/>
      <c r="BP1357" s="168"/>
      <c r="BQ1357" s="168"/>
      <c r="BR1357" s="168"/>
      <c r="BS1357" s="135" t="s">
        <v>1615</v>
      </c>
      <c r="BT1357" s="176">
        <f t="shared" si="68"/>
        <v>0.79500000000000004</v>
      </c>
      <c r="BU1357" s="167" t="s">
        <v>1616</v>
      </c>
      <c r="BV1357" s="168">
        <f t="shared" si="69"/>
        <v>0.2</v>
      </c>
      <c r="BW1357" s="167" t="s">
        <v>2153</v>
      </c>
      <c r="BX1357" s="168"/>
      <c r="BY1357" s="167" t="s">
        <v>1617</v>
      </c>
      <c r="BZ1357" s="176">
        <f t="shared" si="70"/>
        <v>5.0000000000000001E-3</v>
      </c>
      <c r="CA1357" s="167" t="s">
        <v>1621</v>
      </c>
      <c r="CB1357" s="168">
        <f t="shared" si="71"/>
        <v>0</v>
      </c>
      <c r="CC1357" s="62"/>
      <c r="CD1357" s="168"/>
      <c r="CE1357" s="165" t="s">
        <v>3991</v>
      </c>
      <c r="CF1357" s="165"/>
      <c r="CG1357" s="204"/>
      <c r="CH1357" s="9"/>
      <c r="CI1357" s="204"/>
      <c r="CJ1357" s="204"/>
      <c r="CK1357" s="204"/>
      <c r="CL1357" s="204"/>
      <c r="CM1357" s="204"/>
      <c r="CN1357" s="204"/>
      <c r="CO1357" s="204"/>
      <c r="CP1357" s="9"/>
    </row>
    <row r="1358" spans="1:94" ht="356.25" x14ac:dyDescent="0.25">
      <c r="A1358" s="62" t="s">
        <v>3994</v>
      </c>
      <c r="B1358" s="131" t="s">
        <v>3995</v>
      </c>
      <c r="C1358" s="215"/>
      <c r="D1358" s="215"/>
      <c r="E1358" s="215"/>
      <c r="F1358" s="215"/>
      <c r="G1358" s="215"/>
      <c r="H1358" s="218"/>
      <c r="I1358" s="62"/>
      <c r="J1358" s="62"/>
      <c r="K1358" s="62"/>
      <c r="L1358" s="62"/>
      <c r="M1358" s="62"/>
      <c r="N1358" s="62"/>
      <c r="O1358" s="62"/>
      <c r="P1358" s="62"/>
      <c r="Q1358" s="62"/>
      <c r="R1358" s="62"/>
      <c r="S1358" s="62"/>
      <c r="T1358" s="62"/>
      <c r="U1358" s="62"/>
      <c r="V1358" s="62"/>
      <c r="W1358" s="62"/>
      <c r="X1358" s="62"/>
      <c r="Y1358" s="62"/>
      <c r="Z1358" s="62"/>
      <c r="AA1358" s="62"/>
      <c r="AB1358" s="62"/>
      <c r="AC1358" s="62"/>
      <c r="AD1358" s="62"/>
      <c r="AE1358" s="62"/>
      <c r="AF1358" s="62"/>
      <c r="AG1358" s="62"/>
      <c r="AH1358" s="62"/>
      <c r="AI1358" s="62"/>
      <c r="AJ1358" s="62"/>
      <c r="AK1358" s="62"/>
      <c r="AL1358" s="62"/>
      <c r="AM1358" s="61"/>
      <c r="AN1358" s="62"/>
      <c r="AO1358" s="61" t="s">
        <v>959</v>
      </c>
      <c r="AP1358" s="212"/>
      <c r="AQ1358" s="213"/>
      <c r="AR1358" s="213"/>
      <c r="AS1358" s="213"/>
      <c r="AT1358" s="213"/>
      <c r="AU1358" s="213"/>
      <c r="AV1358" s="213"/>
      <c r="AW1358" s="62"/>
      <c r="AX1358" s="62"/>
      <c r="AY1358" s="62"/>
      <c r="AZ1358" s="62"/>
      <c r="BA1358" s="141"/>
      <c r="BB1358" s="61"/>
      <c r="BC1358" s="165" t="s">
        <v>1615</v>
      </c>
      <c r="BD1358" s="166">
        <f t="shared" si="64"/>
        <v>0.79500000000000004</v>
      </c>
      <c r="BE1358" s="167" t="s">
        <v>1616</v>
      </c>
      <c r="BF1358" s="168">
        <f t="shared" si="47"/>
        <v>0.2</v>
      </c>
      <c r="BG1358" s="167" t="s">
        <v>1617</v>
      </c>
      <c r="BH1358" s="168">
        <f t="shared" si="65"/>
        <v>5.0000000000000001E-3</v>
      </c>
      <c r="BI1358" s="169"/>
      <c r="BJ1358" s="168">
        <v>0</v>
      </c>
      <c r="BK1358" s="134" t="s">
        <v>2151</v>
      </c>
      <c r="BL1358" s="168">
        <f t="shared" si="66"/>
        <v>0.8</v>
      </c>
      <c r="BM1358" s="167" t="s">
        <v>2152</v>
      </c>
      <c r="BN1358" s="168">
        <f t="shared" si="67"/>
        <v>0.2</v>
      </c>
      <c r="BO1358" s="62"/>
      <c r="BP1358" s="168"/>
      <c r="BQ1358" s="168"/>
      <c r="BR1358" s="168"/>
      <c r="BS1358" s="135" t="s">
        <v>1615</v>
      </c>
      <c r="BT1358" s="176">
        <f t="shared" si="68"/>
        <v>0.79500000000000004</v>
      </c>
      <c r="BU1358" s="167" t="s">
        <v>1616</v>
      </c>
      <c r="BV1358" s="168">
        <f t="shared" si="69"/>
        <v>0.2</v>
      </c>
      <c r="BW1358" s="167" t="s">
        <v>2153</v>
      </c>
      <c r="BX1358" s="168"/>
      <c r="BY1358" s="167" t="s">
        <v>1617</v>
      </c>
      <c r="BZ1358" s="176">
        <f t="shared" si="70"/>
        <v>5.0000000000000001E-3</v>
      </c>
      <c r="CA1358" s="167" t="s">
        <v>1621</v>
      </c>
      <c r="CB1358" s="168">
        <f t="shared" si="71"/>
        <v>0</v>
      </c>
      <c r="CC1358" s="62"/>
      <c r="CD1358" s="168"/>
      <c r="CE1358" s="165" t="s">
        <v>3980</v>
      </c>
      <c r="CF1358" s="165"/>
      <c r="CG1358" s="204"/>
      <c r="CH1358" s="9"/>
      <c r="CI1358" s="204"/>
      <c r="CJ1358" s="204"/>
      <c r="CK1358" s="204"/>
      <c r="CL1358" s="204"/>
      <c r="CM1358" s="204"/>
      <c r="CN1358" s="204"/>
      <c r="CO1358" s="204"/>
      <c r="CP1358" s="9"/>
    </row>
    <row r="1359" spans="1:94" ht="42.75" x14ac:dyDescent="0.25">
      <c r="A1359" s="126" t="s">
        <v>3996</v>
      </c>
      <c r="B1359" s="131" t="s">
        <v>3997</v>
      </c>
      <c r="C1359" s="215"/>
      <c r="D1359" s="215"/>
      <c r="E1359" s="215"/>
      <c r="F1359" s="215"/>
      <c r="G1359" s="215"/>
      <c r="H1359" s="218"/>
      <c r="I1359" s="62"/>
      <c r="J1359" s="62"/>
      <c r="K1359" s="62"/>
      <c r="L1359" s="62"/>
      <c r="M1359" s="62"/>
      <c r="N1359" s="62"/>
      <c r="O1359" s="62"/>
      <c r="P1359" s="62"/>
      <c r="Q1359" s="62"/>
      <c r="R1359" s="62"/>
      <c r="S1359" s="62"/>
      <c r="T1359" s="62"/>
      <c r="U1359" s="62"/>
      <c r="V1359" s="62"/>
      <c r="W1359" s="62"/>
      <c r="X1359" s="62"/>
      <c r="Y1359" s="62"/>
      <c r="Z1359" s="62"/>
      <c r="AA1359" s="62"/>
      <c r="AB1359" s="62"/>
      <c r="AC1359" s="62"/>
      <c r="AD1359" s="62"/>
      <c r="AE1359" s="62"/>
      <c r="AF1359" s="62"/>
      <c r="AG1359" s="62"/>
      <c r="AH1359" s="62"/>
      <c r="AI1359" s="62"/>
      <c r="AJ1359" s="62"/>
      <c r="AK1359" s="62"/>
      <c r="AL1359" s="62"/>
      <c r="AM1359" s="61"/>
      <c r="AN1359" s="62"/>
      <c r="AO1359" s="61" t="s">
        <v>959</v>
      </c>
      <c r="AP1359" s="212"/>
      <c r="AQ1359" s="213"/>
      <c r="AR1359" s="213"/>
      <c r="AS1359" s="213"/>
      <c r="AT1359" s="213"/>
      <c r="AU1359" s="213"/>
      <c r="AV1359" s="213"/>
      <c r="AW1359" s="62"/>
      <c r="AX1359" s="62"/>
      <c r="AY1359" s="62"/>
      <c r="AZ1359" s="62"/>
      <c r="BA1359" s="141"/>
      <c r="BB1359" s="61"/>
      <c r="BC1359" s="165" t="s">
        <v>1615</v>
      </c>
      <c r="BD1359" s="166">
        <f t="shared" si="64"/>
        <v>0.79500000000000004</v>
      </c>
      <c r="BE1359" s="167" t="s">
        <v>1616</v>
      </c>
      <c r="BF1359" s="168">
        <f t="shared" si="47"/>
        <v>0.2</v>
      </c>
      <c r="BG1359" s="167" t="s">
        <v>1617</v>
      </c>
      <c r="BH1359" s="168">
        <f t="shared" si="65"/>
        <v>5.0000000000000001E-3</v>
      </c>
      <c r="BI1359" s="169"/>
      <c r="BJ1359" s="168">
        <v>0</v>
      </c>
      <c r="BK1359" s="134" t="s">
        <v>2151</v>
      </c>
      <c r="BL1359" s="168">
        <f t="shared" si="66"/>
        <v>0.8</v>
      </c>
      <c r="BM1359" s="167" t="s">
        <v>2152</v>
      </c>
      <c r="BN1359" s="168">
        <f t="shared" si="67"/>
        <v>0.2</v>
      </c>
      <c r="BO1359" s="62"/>
      <c r="BP1359" s="168"/>
      <c r="BQ1359" s="168"/>
      <c r="BR1359" s="168"/>
      <c r="BS1359" s="135" t="s">
        <v>1615</v>
      </c>
      <c r="BT1359" s="176">
        <f t="shared" si="68"/>
        <v>0.79500000000000004</v>
      </c>
      <c r="BU1359" s="167" t="s">
        <v>1616</v>
      </c>
      <c r="BV1359" s="168">
        <f t="shared" si="69"/>
        <v>0.2</v>
      </c>
      <c r="BW1359" s="167" t="s">
        <v>2153</v>
      </c>
      <c r="BX1359" s="168"/>
      <c r="BY1359" s="167" t="s">
        <v>1617</v>
      </c>
      <c r="BZ1359" s="176">
        <f t="shared" si="70"/>
        <v>5.0000000000000001E-3</v>
      </c>
      <c r="CA1359" s="167" t="s">
        <v>1621</v>
      </c>
      <c r="CB1359" s="168">
        <f t="shared" si="71"/>
        <v>0</v>
      </c>
      <c r="CC1359" s="62"/>
      <c r="CD1359" s="168"/>
      <c r="CE1359" s="165"/>
      <c r="CF1359" s="165"/>
      <c r="CG1359" s="204"/>
      <c r="CH1359" s="9"/>
      <c r="CI1359" s="204"/>
      <c r="CJ1359" s="204"/>
      <c r="CK1359" s="204"/>
      <c r="CL1359" s="204"/>
      <c r="CM1359" s="204"/>
      <c r="CN1359" s="204"/>
      <c r="CO1359" s="204"/>
      <c r="CP1359" s="9"/>
    </row>
    <row r="1360" spans="1:94" ht="42.75" x14ac:dyDescent="0.25">
      <c r="A1360" s="62" t="s">
        <v>3998</v>
      </c>
      <c r="B1360" s="131" t="s">
        <v>3999</v>
      </c>
      <c r="C1360" s="215"/>
      <c r="D1360" s="215"/>
      <c r="E1360" s="215"/>
      <c r="F1360" s="215"/>
      <c r="G1360" s="215"/>
      <c r="H1360" s="218"/>
      <c r="I1360" s="62"/>
      <c r="J1360" s="62"/>
      <c r="K1360" s="62"/>
      <c r="L1360" s="62"/>
      <c r="M1360" s="62"/>
      <c r="N1360" s="62"/>
      <c r="O1360" s="62"/>
      <c r="P1360" s="62"/>
      <c r="Q1360" s="62"/>
      <c r="R1360" s="62"/>
      <c r="S1360" s="62"/>
      <c r="T1360" s="62"/>
      <c r="U1360" s="62"/>
      <c r="V1360" s="62"/>
      <c r="W1360" s="62"/>
      <c r="X1360" s="62"/>
      <c r="Y1360" s="62"/>
      <c r="Z1360" s="62"/>
      <c r="AA1360" s="62"/>
      <c r="AB1360" s="62"/>
      <c r="AC1360" s="62"/>
      <c r="AD1360" s="62"/>
      <c r="AE1360" s="62"/>
      <c r="AF1360" s="62"/>
      <c r="AG1360" s="62"/>
      <c r="AH1360" s="62"/>
      <c r="AI1360" s="62"/>
      <c r="AJ1360" s="62"/>
      <c r="AK1360" s="62"/>
      <c r="AL1360" s="62"/>
      <c r="AM1360" s="61"/>
      <c r="AN1360" s="62"/>
      <c r="AO1360" s="61" t="s">
        <v>959</v>
      </c>
      <c r="AP1360" s="212"/>
      <c r="AQ1360" s="213"/>
      <c r="AR1360" s="213"/>
      <c r="AS1360" s="213"/>
      <c r="AT1360" s="213"/>
      <c r="AU1360" s="213"/>
      <c r="AV1360" s="213"/>
      <c r="AW1360" s="62"/>
      <c r="AX1360" s="62"/>
      <c r="AY1360" s="62"/>
      <c r="AZ1360" s="62"/>
      <c r="BA1360" s="141"/>
      <c r="BB1360" s="61"/>
      <c r="BC1360" s="165" t="s">
        <v>1615</v>
      </c>
      <c r="BD1360" s="166">
        <f t="shared" si="64"/>
        <v>0.79500000000000004</v>
      </c>
      <c r="BE1360" s="167" t="s">
        <v>1616</v>
      </c>
      <c r="BF1360" s="168">
        <f t="shared" si="47"/>
        <v>0.2</v>
      </c>
      <c r="BG1360" s="167" t="s">
        <v>1617</v>
      </c>
      <c r="BH1360" s="168">
        <f t="shared" si="65"/>
        <v>5.0000000000000001E-3</v>
      </c>
      <c r="BI1360" s="169"/>
      <c r="BJ1360" s="168">
        <v>0</v>
      </c>
      <c r="BK1360" s="134" t="s">
        <v>2151</v>
      </c>
      <c r="BL1360" s="168">
        <f t="shared" si="66"/>
        <v>0.8</v>
      </c>
      <c r="BM1360" s="167" t="s">
        <v>2152</v>
      </c>
      <c r="BN1360" s="168">
        <f t="shared" si="67"/>
        <v>0.2</v>
      </c>
      <c r="BO1360" s="62"/>
      <c r="BP1360" s="168"/>
      <c r="BQ1360" s="168"/>
      <c r="BR1360" s="168"/>
      <c r="BS1360" s="135" t="s">
        <v>1615</v>
      </c>
      <c r="BT1360" s="176">
        <f t="shared" si="68"/>
        <v>0.79500000000000004</v>
      </c>
      <c r="BU1360" s="167" t="s">
        <v>1616</v>
      </c>
      <c r="BV1360" s="168">
        <f t="shared" si="69"/>
        <v>0.2</v>
      </c>
      <c r="BW1360" s="167" t="s">
        <v>2153</v>
      </c>
      <c r="BX1360" s="168"/>
      <c r="BY1360" s="167" t="s">
        <v>1617</v>
      </c>
      <c r="BZ1360" s="176">
        <f t="shared" si="70"/>
        <v>5.0000000000000001E-3</v>
      </c>
      <c r="CA1360" s="167" t="s">
        <v>1621</v>
      </c>
      <c r="CB1360" s="168">
        <f t="shared" si="71"/>
        <v>0</v>
      </c>
      <c r="CC1360" s="62"/>
      <c r="CD1360" s="168"/>
      <c r="CE1360" s="165"/>
      <c r="CF1360" s="165"/>
      <c r="CG1360" s="204"/>
      <c r="CH1360" s="9"/>
      <c r="CI1360" s="204"/>
      <c r="CJ1360" s="204"/>
      <c r="CK1360" s="204"/>
      <c r="CL1360" s="204"/>
      <c r="CM1360" s="204"/>
      <c r="CN1360" s="204"/>
      <c r="CO1360" s="204"/>
      <c r="CP1360" s="9"/>
    </row>
    <row r="1361" spans="1:94" ht="313.5" x14ac:dyDescent="0.25">
      <c r="A1361" s="62" t="s">
        <v>4000</v>
      </c>
      <c r="B1361" s="131" t="s">
        <v>4001</v>
      </c>
      <c r="C1361" s="215"/>
      <c r="D1361" s="215"/>
      <c r="E1361" s="215"/>
      <c r="F1361" s="215"/>
      <c r="G1361" s="215"/>
      <c r="H1361" s="218"/>
      <c r="I1361" s="62"/>
      <c r="J1361" s="62"/>
      <c r="K1361" s="62"/>
      <c r="L1361" s="62"/>
      <c r="M1361" s="62"/>
      <c r="N1361" s="62"/>
      <c r="O1361" s="62"/>
      <c r="P1361" s="62"/>
      <c r="Q1361" s="62"/>
      <c r="R1361" s="62"/>
      <c r="S1361" s="62"/>
      <c r="T1361" s="62"/>
      <c r="U1361" s="62"/>
      <c r="V1361" s="62"/>
      <c r="W1361" s="62"/>
      <c r="X1361" s="62"/>
      <c r="Y1361" s="62"/>
      <c r="Z1361" s="62"/>
      <c r="AA1361" s="62"/>
      <c r="AB1361" s="62"/>
      <c r="AC1361" s="62"/>
      <c r="AD1361" s="62"/>
      <c r="AE1361" s="62"/>
      <c r="AF1361" s="62"/>
      <c r="AG1361" s="62"/>
      <c r="AH1361" s="62"/>
      <c r="AI1361" s="62"/>
      <c r="AJ1361" s="62"/>
      <c r="AK1361" s="62"/>
      <c r="AL1361" s="62"/>
      <c r="AM1361" s="61"/>
      <c r="AN1361" s="62"/>
      <c r="AO1361" s="61" t="s">
        <v>959</v>
      </c>
      <c r="AP1361" s="212"/>
      <c r="AQ1361" s="213"/>
      <c r="AR1361" s="213"/>
      <c r="AS1361" s="213"/>
      <c r="AT1361" s="213"/>
      <c r="AU1361" s="213"/>
      <c r="AV1361" s="213"/>
      <c r="AW1361" s="62"/>
      <c r="AX1361" s="62"/>
      <c r="AY1361" s="62"/>
      <c r="AZ1361" s="62"/>
      <c r="BA1361" s="141"/>
      <c r="BB1361" s="61"/>
      <c r="BC1361" s="165" t="s">
        <v>1615</v>
      </c>
      <c r="BD1361" s="166">
        <f t="shared" si="64"/>
        <v>0.79500000000000004</v>
      </c>
      <c r="BE1361" s="167" t="s">
        <v>1616</v>
      </c>
      <c r="BF1361" s="168">
        <f t="shared" si="47"/>
        <v>0.2</v>
      </c>
      <c r="BG1361" s="167" t="s">
        <v>1617</v>
      </c>
      <c r="BH1361" s="168">
        <f t="shared" si="65"/>
        <v>5.0000000000000001E-3</v>
      </c>
      <c r="BI1361" s="169"/>
      <c r="BJ1361" s="168">
        <v>0</v>
      </c>
      <c r="BK1361" s="134" t="s">
        <v>2151</v>
      </c>
      <c r="BL1361" s="168">
        <f t="shared" si="66"/>
        <v>0.8</v>
      </c>
      <c r="BM1361" s="167" t="s">
        <v>2152</v>
      </c>
      <c r="BN1361" s="168">
        <f t="shared" si="67"/>
        <v>0.2</v>
      </c>
      <c r="BO1361" s="62"/>
      <c r="BP1361" s="168"/>
      <c r="BQ1361" s="168"/>
      <c r="BR1361" s="168"/>
      <c r="BS1361" s="135" t="s">
        <v>1615</v>
      </c>
      <c r="BT1361" s="176">
        <f t="shared" si="68"/>
        <v>0.79500000000000004</v>
      </c>
      <c r="BU1361" s="167" t="s">
        <v>1616</v>
      </c>
      <c r="BV1361" s="168">
        <f t="shared" si="69"/>
        <v>0.2</v>
      </c>
      <c r="BW1361" s="167" t="s">
        <v>2153</v>
      </c>
      <c r="BX1361" s="168"/>
      <c r="BY1361" s="167" t="s">
        <v>1617</v>
      </c>
      <c r="BZ1361" s="176">
        <f t="shared" si="70"/>
        <v>5.0000000000000001E-3</v>
      </c>
      <c r="CA1361" s="167" t="s">
        <v>1621</v>
      </c>
      <c r="CB1361" s="168">
        <f t="shared" si="71"/>
        <v>0</v>
      </c>
      <c r="CC1361" s="62"/>
      <c r="CD1361" s="168"/>
      <c r="CE1361" s="165" t="s">
        <v>4002</v>
      </c>
      <c r="CF1361" s="183"/>
      <c r="CG1361" s="228"/>
      <c r="CH1361" s="9"/>
      <c r="CI1361" s="228"/>
      <c r="CJ1361" s="228"/>
      <c r="CK1361" s="228"/>
      <c r="CL1361" s="228"/>
      <c r="CM1361" s="228"/>
      <c r="CN1361" s="228"/>
      <c r="CO1361" s="228"/>
      <c r="CP1361" s="105"/>
    </row>
    <row r="1362" spans="1:94" ht="313.5" x14ac:dyDescent="0.25">
      <c r="A1362" s="62" t="s">
        <v>4003</v>
      </c>
      <c r="B1362" s="131" t="s">
        <v>4004</v>
      </c>
      <c r="C1362" s="215"/>
      <c r="D1362" s="215"/>
      <c r="E1362" s="215"/>
      <c r="F1362" s="215"/>
      <c r="G1362" s="215"/>
      <c r="H1362" s="218"/>
      <c r="I1362" s="62"/>
      <c r="J1362" s="62"/>
      <c r="K1362" s="62"/>
      <c r="L1362" s="62"/>
      <c r="M1362" s="62"/>
      <c r="N1362" s="62"/>
      <c r="O1362" s="62"/>
      <c r="P1362" s="62"/>
      <c r="Q1362" s="62"/>
      <c r="R1362" s="62"/>
      <c r="S1362" s="62"/>
      <c r="T1362" s="62"/>
      <c r="U1362" s="62"/>
      <c r="V1362" s="62"/>
      <c r="W1362" s="62"/>
      <c r="X1362" s="62"/>
      <c r="Y1362" s="62"/>
      <c r="Z1362" s="62"/>
      <c r="AA1362" s="62"/>
      <c r="AB1362" s="62"/>
      <c r="AC1362" s="62"/>
      <c r="AD1362" s="62"/>
      <c r="AE1362" s="62"/>
      <c r="AF1362" s="62"/>
      <c r="AG1362" s="62"/>
      <c r="AH1362" s="62"/>
      <c r="AI1362" s="62"/>
      <c r="AJ1362" s="62"/>
      <c r="AK1362" s="62"/>
      <c r="AL1362" s="62"/>
      <c r="AM1362" s="61"/>
      <c r="AN1362" s="62"/>
      <c r="AO1362" s="61" t="s">
        <v>959</v>
      </c>
      <c r="AP1362" s="212"/>
      <c r="AQ1362" s="213"/>
      <c r="AR1362" s="213"/>
      <c r="AS1362" s="213"/>
      <c r="AT1362" s="213"/>
      <c r="AU1362" s="213"/>
      <c r="AV1362" s="213"/>
      <c r="AW1362" s="62"/>
      <c r="AX1362" s="62"/>
      <c r="AY1362" s="62"/>
      <c r="AZ1362" s="62"/>
      <c r="BA1362" s="141"/>
      <c r="BB1362" s="61"/>
      <c r="BC1362" s="165" t="s">
        <v>1615</v>
      </c>
      <c r="BD1362" s="166">
        <f t="shared" si="64"/>
        <v>0.79500000000000004</v>
      </c>
      <c r="BE1362" s="167" t="s">
        <v>1616</v>
      </c>
      <c r="BF1362" s="168">
        <f t="shared" si="47"/>
        <v>0.2</v>
      </c>
      <c r="BG1362" s="167" t="s">
        <v>1617</v>
      </c>
      <c r="BH1362" s="168">
        <f t="shared" si="65"/>
        <v>5.0000000000000001E-3</v>
      </c>
      <c r="BI1362" s="169"/>
      <c r="BJ1362" s="168">
        <v>0</v>
      </c>
      <c r="BK1362" s="134" t="s">
        <v>2151</v>
      </c>
      <c r="BL1362" s="168">
        <f t="shared" si="66"/>
        <v>0.8</v>
      </c>
      <c r="BM1362" s="167" t="s">
        <v>2152</v>
      </c>
      <c r="BN1362" s="168">
        <f t="shared" si="67"/>
        <v>0.2</v>
      </c>
      <c r="BO1362" s="62"/>
      <c r="BP1362" s="168"/>
      <c r="BQ1362" s="168"/>
      <c r="BR1362" s="168"/>
      <c r="BS1362" s="135" t="s">
        <v>1615</v>
      </c>
      <c r="BT1362" s="176">
        <f t="shared" si="68"/>
        <v>0.79500000000000004</v>
      </c>
      <c r="BU1362" s="167" t="s">
        <v>1616</v>
      </c>
      <c r="BV1362" s="168">
        <f t="shared" si="69"/>
        <v>0.2</v>
      </c>
      <c r="BW1362" s="167" t="s">
        <v>2153</v>
      </c>
      <c r="BX1362" s="168"/>
      <c r="BY1362" s="167" t="s">
        <v>1617</v>
      </c>
      <c r="BZ1362" s="176">
        <f t="shared" si="70"/>
        <v>5.0000000000000001E-3</v>
      </c>
      <c r="CA1362" s="167" t="s">
        <v>1621</v>
      </c>
      <c r="CB1362" s="168">
        <f t="shared" si="71"/>
        <v>0</v>
      </c>
      <c r="CC1362" s="62"/>
      <c r="CD1362" s="168"/>
      <c r="CE1362" s="165" t="s">
        <v>4005</v>
      </c>
      <c r="CF1362" s="183"/>
      <c r="CG1362" s="228"/>
      <c r="CH1362" s="9"/>
      <c r="CI1362" s="228"/>
      <c r="CJ1362" s="228"/>
      <c r="CK1362" s="228"/>
      <c r="CL1362" s="228"/>
      <c r="CM1362" s="228"/>
      <c r="CN1362" s="228"/>
      <c r="CO1362" s="228"/>
      <c r="CP1362" s="105"/>
    </row>
    <row r="1363" spans="1:94" ht="42.75" x14ac:dyDescent="0.25">
      <c r="A1363" s="126" t="s">
        <v>4006</v>
      </c>
      <c r="B1363" s="9" t="s">
        <v>4007</v>
      </c>
      <c r="C1363" s="9"/>
      <c r="D1363" s="9"/>
      <c r="E1363" s="9"/>
      <c r="F1363" s="9"/>
      <c r="G1363" s="9"/>
      <c r="H1363" s="9"/>
      <c r="I1363" s="9"/>
      <c r="J1363" s="9"/>
      <c r="K1363" s="9"/>
      <c r="L1363" s="9"/>
      <c r="M1363" s="9"/>
      <c r="N1363" s="9"/>
      <c r="O1363" s="9"/>
      <c r="P1363" s="9"/>
      <c r="Q1363" s="9"/>
      <c r="R1363" s="9"/>
      <c r="S1363" s="9"/>
      <c r="T1363" s="9"/>
      <c r="U1363" s="9"/>
      <c r="V1363" s="9"/>
      <c r="W1363" s="9"/>
      <c r="X1363" s="9"/>
      <c r="Y1363" s="9"/>
      <c r="Z1363" s="9"/>
      <c r="AA1363" s="9"/>
      <c r="AB1363" s="9"/>
      <c r="AC1363" s="9"/>
      <c r="AD1363" s="9"/>
      <c r="AE1363" s="9"/>
      <c r="AF1363" s="9"/>
      <c r="AG1363" s="9"/>
      <c r="AH1363" s="9"/>
      <c r="AI1363" s="9"/>
      <c r="AJ1363" s="9"/>
      <c r="AK1363" s="9"/>
      <c r="AL1363" s="9"/>
      <c r="AM1363" s="69"/>
      <c r="AN1363" s="9"/>
      <c r="AO1363" s="69" t="s">
        <v>959</v>
      </c>
      <c r="AP1363" s="210"/>
      <c r="AQ1363" s="211"/>
      <c r="AR1363" s="211"/>
      <c r="AS1363" s="211"/>
      <c r="AT1363" s="211"/>
      <c r="AU1363" s="211"/>
      <c r="AV1363" s="211"/>
      <c r="AW1363" s="9"/>
      <c r="AX1363" s="9"/>
      <c r="AY1363" s="9"/>
      <c r="AZ1363" s="9"/>
      <c r="BA1363" s="120"/>
      <c r="BB1363" s="69"/>
      <c r="BC1363" s="165" t="s">
        <v>1615</v>
      </c>
      <c r="BD1363" s="166">
        <f t="shared" si="64"/>
        <v>0.79500000000000004</v>
      </c>
      <c r="BE1363" s="167" t="s">
        <v>1616</v>
      </c>
      <c r="BF1363" s="168">
        <f t="shared" si="47"/>
        <v>0.2</v>
      </c>
      <c r="BG1363" s="167" t="s">
        <v>1617</v>
      </c>
      <c r="BH1363" s="168">
        <f t="shared" si="65"/>
        <v>5.0000000000000001E-3</v>
      </c>
      <c r="BI1363" s="169"/>
      <c r="BJ1363" s="168">
        <v>0</v>
      </c>
      <c r="BK1363" s="134" t="s">
        <v>2151</v>
      </c>
      <c r="BL1363" s="168">
        <f t="shared" si="66"/>
        <v>0.8</v>
      </c>
      <c r="BM1363" s="167" t="s">
        <v>2152</v>
      </c>
      <c r="BN1363" s="168">
        <f t="shared" si="67"/>
        <v>0.2</v>
      </c>
      <c r="BO1363" s="62"/>
      <c r="BP1363" s="168"/>
      <c r="BQ1363" s="168"/>
      <c r="BR1363" s="168"/>
      <c r="BS1363" s="135" t="s">
        <v>1615</v>
      </c>
      <c r="BT1363" s="176">
        <f t="shared" si="68"/>
        <v>0.79500000000000004</v>
      </c>
      <c r="BU1363" s="167" t="s">
        <v>1616</v>
      </c>
      <c r="BV1363" s="168">
        <f t="shared" si="69"/>
        <v>0.2</v>
      </c>
      <c r="BW1363" s="167" t="s">
        <v>2153</v>
      </c>
      <c r="BX1363" s="168"/>
      <c r="BY1363" s="167" t="s">
        <v>1617</v>
      </c>
      <c r="BZ1363" s="176">
        <f t="shared" si="70"/>
        <v>5.0000000000000001E-3</v>
      </c>
      <c r="CA1363" s="167" t="s">
        <v>1621</v>
      </c>
      <c r="CB1363" s="168">
        <f t="shared" si="71"/>
        <v>0</v>
      </c>
      <c r="CC1363" s="62"/>
      <c r="CD1363" s="9"/>
      <c r="CE1363" s="9"/>
      <c r="CF1363" s="9"/>
      <c r="CG1363" s="9"/>
      <c r="CH1363" s="9"/>
      <c r="CI1363" s="9"/>
      <c r="CJ1363" s="9"/>
      <c r="CK1363" s="9"/>
      <c r="CL1363" s="9"/>
      <c r="CM1363" s="9"/>
      <c r="CN1363" s="9"/>
      <c r="CO1363" s="9"/>
      <c r="CP1363" s="9"/>
    </row>
    <row r="1364" spans="1:94" ht="356.25" x14ac:dyDescent="0.25">
      <c r="A1364" s="104" t="s">
        <v>4008</v>
      </c>
      <c r="B1364" s="219" t="s">
        <v>4009</v>
      </c>
      <c r="C1364" s="220"/>
      <c r="D1364" s="220"/>
      <c r="E1364" s="220"/>
      <c r="F1364" s="220"/>
      <c r="G1364" s="220"/>
      <c r="H1364" s="221"/>
      <c r="I1364" s="104"/>
      <c r="J1364" s="104"/>
      <c r="K1364" s="104"/>
      <c r="L1364" s="104"/>
      <c r="M1364" s="104"/>
      <c r="N1364" s="104"/>
      <c r="O1364" s="104"/>
      <c r="P1364" s="104"/>
      <c r="Q1364" s="104"/>
      <c r="R1364" s="104"/>
      <c r="S1364" s="104"/>
      <c r="T1364" s="104"/>
      <c r="U1364" s="104"/>
      <c r="V1364" s="104"/>
      <c r="W1364" s="104"/>
      <c r="X1364" s="104"/>
      <c r="Y1364" s="104"/>
      <c r="Z1364" s="104"/>
      <c r="AA1364" s="104"/>
      <c r="AB1364" s="104"/>
      <c r="AC1364" s="104"/>
      <c r="AD1364" s="104"/>
      <c r="AE1364" s="104"/>
      <c r="AF1364" s="104"/>
      <c r="AG1364" s="104"/>
      <c r="AH1364" s="104"/>
      <c r="AI1364" s="104"/>
      <c r="AJ1364" s="104"/>
      <c r="AK1364" s="104"/>
      <c r="AL1364" s="104"/>
      <c r="AM1364" s="103"/>
      <c r="AN1364" s="104"/>
      <c r="AO1364" s="103" t="s">
        <v>4010</v>
      </c>
      <c r="AP1364" s="222"/>
      <c r="AQ1364" s="104"/>
      <c r="AR1364" s="104"/>
      <c r="AS1364" s="104"/>
      <c r="AT1364" s="104"/>
      <c r="AU1364" s="104"/>
      <c r="AV1364" s="104"/>
      <c r="AW1364" s="104"/>
      <c r="AX1364" s="104"/>
      <c r="AY1364" s="104"/>
      <c r="AZ1364" s="104"/>
      <c r="BA1364" s="182"/>
      <c r="BB1364" s="103"/>
      <c r="BC1364" s="183" t="s">
        <v>1615</v>
      </c>
      <c r="BD1364" s="184">
        <v>0.89</v>
      </c>
      <c r="BE1364" s="185" t="s">
        <v>1616</v>
      </c>
      <c r="BF1364" s="186">
        <v>0.1</v>
      </c>
      <c r="BG1364" s="185" t="s">
        <v>1617</v>
      </c>
      <c r="BH1364" s="186">
        <v>0.01</v>
      </c>
      <c r="BI1364" s="186"/>
      <c r="BJ1364" s="186">
        <v>0</v>
      </c>
      <c r="BK1364" s="187" t="s">
        <v>2151</v>
      </c>
      <c r="BL1364" s="186">
        <v>0.9</v>
      </c>
      <c r="BM1364" s="185" t="s">
        <v>2152</v>
      </c>
      <c r="BN1364" s="186">
        <v>0.1</v>
      </c>
      <c r="BO1364" s="104"/>
      <c r="BP1364" s="186"/>
      <c r="BQ1364" s="186"/>
      <c r="BR1364" s="186"/>
      <c r="BS1364" s="188" t="s">
        <v>1615</v>
      </c>
      <c r="BT1364" s="186">
        <v>0.87</v>
      </c>
      <c r="BU1364" s="185" t="s">
        <v>1616</v>
      </c>
      <c r="BV1364" s="186">
        <v>0.1</v>
      </c>
      <c r="BW1364" s="185" t="s">
        <v>2153</v>
      </c>
      <c r="BX1364" s="186"/>
      <c r="BY1364" s="185" t="s">
        <v>1617</v>
      </c>
      <c r="BZ1364" s="186">
        <v>0.01</v>
      </c>
      <c r="CA1364" s="185" t="s">
        <v>1621</v>
      </c>
      <c r="CB1364" s="186">
        <v>0.02</v>
      </c>
      <c r="CC1364" s="104"/>
      <c r="CD1364" s="186"/>
      <c r="CE1364" s="183" t="s">
        <v>3980</v>
      </c>
      <c r="CF1364" s="183"/>
      <c r="CG1364" s="224"/>
      <c r="CH1364" s="9"/>
      <c r="CI1364" s="224"/>
      <c r="CJ1364" s="224"/>
      <c r="CK1364" s="224"/>
      <c r="CL1364" s="224"/>
      <c r="CM1364" s="224"/>
      <c r="CN1364" s="224"/>
      <c r="CO1364" s="224"/>
      <c r="CP1364" s="105"/>
    </row>
    <row r="1365" spans="1:94" ht="42.75" x14ac:dyDescent="0.25">
      <c r="A1365" s="104" t="s">
        <v>4011</v>
      </c>
      <c r="B1365" s="219" t="s">
        <v>4012</v>
      </c>
      <c r="C1365" s="220"/>
      <c r="D1365" s="220"/>
      <c r="E1365" s="220"/>
      <c r="F1365" s="220"/>
      <c r="G1365" s="220"/>
      <c r="H1365" s="221"/>
      <c r="I1365" s="104"/>
      <c r="J1365" s="104"/>
      <c r="K1365" s="104"/>
      <c r="L1365" s="104"/>
      <c r="M1365" s="104"/>
      <c r="N1365" s="104"/>
      <c r="O1365" s="104"/>
      <c r="P1365" s="104"/>
      <c r="Q1365" s="104"/>
      <c r="R1365" s="104"/>
      <c r="S1365" s="104"/>
      <c r="T1365" s="104"/>
      <c r="U1365" s="104"/>
      <c r="V1365" s="104"/>
      <c r="W1365" s="104"/>
      <c r="X1365" s="104"/>
      <c r="Y1365" s="104"/>
      <c r="Z1365" s="104"/>
      <c r="AA1365" s="104"/>
      <c r="AB1365" s="104"/>
      <c r="AC1365" s="104"/>
      <c r="AD1365" s="104"/>
      <c r="AE1365" s="104"/>
      <c r="AF1365" s="104"/>
      <c r="AG1365" s="104"/>
      <c r="AH1365" s="104"/>
      <c r="AI1365" s="104"/>
      <c r="AJ1365" s="104"/>
      <c r="AK1365" s="104"/>
      <c r="AL1365" s="104"/>
      <c r="AM1365" s="103"/>
      <c r="AN1365" s="104"/>
      <c r="AO1365" s="103"/>
      <c r="AP1365" s="222"/>
      <c r="AQ1365" s="104"/>
      <c r="AR1365" s="104"/>
      <c r="AS1365" s="104"/>
      <c r="AT1365" s="104"/>
      <c r="AU1365" s="104"/>
      <c r="AV1365" s="104"/>
      <c r="AW1365" s="104"/>
      <c r="AX1365" s="104"/>
      <c r="AY1365" s="104"/>
      <c r="AZ1365" s="104"/>
      <c r="BA1365" s="182"/>
      <c r="BB1365" s="103"/>
      <c r="BC1365" s="183" t="s">
        <v>1615</v>
      </c>
      <c r="BD1365" s="184">
        <v>0.89</v>
      </c>
      <c r="BE1365" s="185" t="s">
        <v>1616</v>
      </c>
      <c r="BF1365" s="186">
        <v>0.1</v>
      </c>
      <c r="BG1365" s="185" t="s">
        <v>1617</v>
      </c>
      <c r="BH1365" s="186">
        <v>0.01</v>
      </c>
      <c r="BI1365" s="186"/>
      <c r="BJ1365" s="186">
        <v>0</v>
      </c>
      <c r="BK1365" s="187" t="s">
        <v>2151</v>
      </c>
      <c r="BL1365" s="186">
        <v>0.9</v>
      </c>
      <c r="BM1365" s="185" t="s">
        <v>2152</v>
      </c>
      <c r="BN1365" s="186">
        <v>0.1</v>
      </c>
      <c r="BO1365" s="104"/>
      <c r="BP1365" s="186"/>
      <c r="BQ1365" s="186"/>
      <c r="BR1365" s="186"/>
      <c r="BS1365" s="188" t="s">
        <v>1615</v>
      </c>
      <c r="BT1365" s="186">
        <v>0.87</v>
      </c>
      <c r="BU1365" s="185" t="s">
        <v>1616</v>
      </c>
      <c r="BV1365" s="186">
        <v>0.1</v>
      </c>
      <c r="BW1365" s="185" t="s">
        <v>2153</v>
      </c>
      <c r="BX1365" s="186"/>
      <c r="BY1365" s="185" t="s">
        <v>1617</v>
      </c>
      <c r="BZ1365" s="186">
        <v>0.01</v>
      </c>
      <c r="CA1365" s="185" t="s">
        <v>1621</v>
      </c>
      <c r="CB1365" s="186">
        <v>0.02</v>
      </c>
      <c r="CC1365" s="104"/>
      <c r="CD1365" s="186"/>
      <c r="CE1365" s="183"/>
      <c r="CF1365" s="183"/>
      <c r="CG1365" s="224"/>
      <c r="CH1365" s="9"/>
      <c r="CI1365" s="224"/>
      <c r="CJ1365" s="224"/>
      <c r="CK1365" s="224"/>
      <c r="CL1365" s="224"/>
      <c r="CM1365" s="224"/>
      <c r="CN1365" s="224"/>
      <c r="CO1365" s="224"/>
      <c r="CP1365" s="105"/>
    </row>
    <row r="1366" spans="1:94" ht="42.75" x14ac:dyDescent="0.25">
      <c r="A1366" s="62" t="s">
        <v>4013</v>
      </c>
      <c r="B1366" s="131" t="s">
        <v>4014</v>
      </c>
      <c r="C1366" s="215"/>
      <c r="D1366" s="215"/>
      <c r="E1366" s="215"/>
      <c r="F1366" s="215"/>
      <c r="G1366" s="215"/>
      <c r="H1366" s="218"/>
      <c r="I1366" s="62"/>
      <c r="J1366" s="62"/>
      <c r="K1366" s="62"/>
      <c r="L1366" s="62"/>
      <c r="M1366" s="62"/>
      <c r="N1366" s="62"/>
      <c r="O1366" s="62"/>
      <c r="P1366" s="62"/>
      <c r="Q1366" s="62"/>
      <c r="R1366" s="62"/>
      <c r="S1366" s="62"/>
      <c r="T1366" s="62"/>
      <c r="U1366" s="62"/>
      <c r="V1366" s="62"/>
      <c r="W1366" s="62"/>
      <c r="X1366" s="62"/>
      <c r="Y1366" s="62"/>
      <c r="Z1366" s="62"/>
      <c r="AA1366" s="62"/>
      <c r="AB1366" s="62"/>
      <c r="AC1366" s="62"/>
      <c r="AD1366" s="62"/>
      <c r="AE1366" s="62"/>
      <c r="AF1366" s="62"/>
      <c r="AG1366" s="62"/>
      <c r="AH1366" s="62"/>
      <c r="AI1366" s="62"/>
      <c r="AJ1366" s="62"/>
      <c r="AK1366" s="62"/>
      <c r="AL1366" s="62"/>
      <c r="AM1366" s="61"/>
      <c r="AN1366" s="62"/>
      <c r="AO1366" s="61" t="s">
        <v>4015</v>
      </c>
      <c r="AP1366" s="212"/>
      <c r="AQ1366" s="213"/>
      <c r="AR1366" s="213"/>
      <c r="AS1366" s="213"/>
      <c r="AT1366" s="213"/>
      <c r="AU1366" s="213"/>
      <c r="AV1366" s="213"/>
      <c r="AW1366" s="62"/>
      <c r="AX1366" s="62"/>
      <c r="AY1366" s="62"/>
      <c r="AZ1366" s="62"/>
      <c r="BA1366" s="141"/>
      <c r="BB1366" s="61"/>
      <c r="BC1366" s="165" t="s">
        <v>1615</v>
      </c>
      <c r="BD1366" s="166">
        <v>0.79</v>
      </c>
      <c r="BE1366" s="167" t="s">
        <v>1616</v>
      </c>
      <c r="BF1366" s="168">
        <v>0.2</v>
      </c>
      <c r="BG1366" s="167" t="s">
        <v>1617</v>
      </c>
      <c r="BH1366" s="168">
        <v>0.01</v>
      </c>
      <c r="BI1366" s="169"/>
      <c r="BJ1366" s="168">
        <v>0</v>
      </c>
      <c r="BK1366" s="134" t="s">
        <v>3961</v>
      </c>
      <c r="BL1366" s="168">
        <v>1</v>
      </c>
      <c r="BM1366" s="167" t="s">
        <v>2152</v>
      </c>
      <c r="BN1366" s="168"/>
      <c r="BO1366" s="62"/>
      <c r="BP1366" s="168"/>
      <c r="BQ1366" s="168"/>
      <c r="BR1366" s="168"/>
      <c r="BS1366" s="135" t="s">
        <v>1619</v>
      </c>
      <c r="BT1366" s="168">
        <v>0.39</v>
      </c>
      <c r="BU1366" s="167" t="s">
        <v>1616</v>
      </c>
      <c r="BV1366" s="168">
        <v>0.2</v>
      </c>
      <c r="BW1366" s="167" t="s">
        <v>1620</v>
      </c>
      <c r="BX1366" s="168">
        <v>0.4</v>
      </c>
      <c r="BY1366" s="167" t="s">
        <v>1617</v>
      </c>
      <c r="BZ1366" s="168">
        <v>0.01</v>
      </c>
      <c r="CA1366" s="167" t="s">
        <v>1621</v>
      </c>
      <c r="CB1366" s="168"/>
      <c r="CC1366" s="62"/>
      <c r="CD1366" s="168"/>
      <c r="CE1366" s="165"/>
      <c r="CF1366" s="165"/>
      <c r="CG1366" s="217"/>
      <c r="CH1366" s="9"/>
      <c r="CI1366" s="217"/>
      <c r="CJ1366" s="217"/>
      <c r="CK1366" s="217"/>
      <c r="CL1366" s="217"/>
      <c r="CM1366" s="217"/>
      <c r="CN1366" s="217"/>
      <c r="CO1366" s="217"/>
      <c r="CP1366" s="9"/>
    </row>
    <row r="1367" spans="1:94" ht="42.75" x14ac:dyDescent="0.25">
      <c r="A1367" s="62" t="s">
        <v>4016</v>
      </c>
      <c r="B1367" s="131" t="s">
        <v>4017</v>
      </c>
      <c r="C1367" s="215"/>
      <c r="D1367" s="215"/>
      <c r="E1367" s="215"/>
      <c r="F1367" s="215"/>
      <c r="G1367" s="215"/>
      <c r="H1367" s="218"/>
      <c r="I1367" s="62"/>
      <c r="J1367" s="62"/>
      <c r="K1367" s="62"/>
      <c r="L1367" s="62"/>
      <c r="M1367" s="62"/>
      <c r="N1367" s="62"/>
      <c r="O1367" s="62"/>
      <c r="P1367" s="62"/>
      <c r="Q1367" s="62"/>
      <c r="R1367" s="62"/>
      <c r="S1367" s="62"/>
      <c r="T1367" s="62"/>
      <c r="U1367" s="62"/>
      <c r="V1367" s="62"/>
      <c r="W1367" s="62"/>
      <c r="X1367" s="62"/>
      <c r="Y1367" s="62"/>
      <c r="Z1367" s="62"/>
      <c r="AA1367" s="62"/>
      <c r="AB1367" s="62"/>
      <c r="AC1367" s="62"/>
      <c r="AD1367" s="62"/>
      <c r="AE1367" s="62"/>
      <c r="AF1367" s="62"/>
      <c r="AG1367" s="62"/>
      <c r="AH1367" s="62"/>
      <c r="AI1367" s="62"/>
      <c r="AJ1367" s="62"/>
      <c r="AK1367" s="62"/>
      <c r="AL1367" s="62"/>
      <c r="AM1367" s="61"/>
      <c r="AN1367" s="62"/>
      <c r="AO1367" s="61" t="s">
        <v>4015</v>
      </c>
      <c r="AP1367" s="212"/>
      <c r="AQ1367" s="213"/>
      <c r="AR1367" s="213"/>
      <c r="AS1367" s="213"/>
      <c r="AT1367" s="213"/>
      <c r="AU1367" s="213"/>
      <c r="AV1367" s="213"/>
      <c r="AW1367" s="62"/>
      <c r="AX1367" s="62"/>
      <c r="AY1367" s="62"/>
      <c r="AZ1367" s="62"/>
      <c r="BA1367" s="141"/>
      <c r="BB1367" s="61"/>
      <c r="BC1367" s="165" t="s">
        <v>1615</v>
      </c>
      <c r="BD1367" s="166">
        <v>0.79</v>
      </c>
      <c r="BE1367" s="167" t="s">
        <v>1616</v>
      </c>
      <c r="BF1367" s="168">
        <v>0.2</v>
      </c>
      <c r="BG1367" s="167" t="s">
        <v>1617</v>
      </c>
      <c r="BH1367" s="168">
        <v>0.01</v>
      </c>
      <c r="BI1367" s="169"/>
      <c r="BJ1367" s="168">
        <v>0</v>
      </c>
      <c r="BK1367" s="134" t="s">
        <v>3961</v>
      </c>
      <c r="BL1367" s="168">
        <v>1</v>
      </c>
      <c r="BM1367" s="167" t="s">
        <v>2152</v>
      </c>
      <c r="BN1367" s="168"/>
      <c r="BO1367" s="62"/>
      <c r="BP1367" s="168"/>
      <c r="BQ1367" s="168"/>
      <c r="BR1367" s="168"/>
      <c r="BS1367" s="135" t="s">
        <v>1619</v>
      </c>
      <c r="BT1367" s="168">
        <v>0.39</v>
      </c>
      <c r="BU1367" s="167" t="s">
        <v>1616</v>
      </c>
      <c r="BV1367" s="168">
        <v>0.2</v>
      </c>
      <c r="BW1367" s="167" t="s">
        <v>1620</v>
      </c>
      <c r="BX1367" s="168">
        <v>0.4</v>
      </c>
      <c r="BY1367" s="167" t="s">
        <v>1617</v>
      </c>
      <c r="BZ1367" s="168">
        <v>0.01</v>
      </c>
      <c r="CA1367" s="167" t="s">
        <v>1621</v>
      </c>
      <c r="CB1367" s="168"/>
      <c r="CC1367" s="62"/>
      <c r="CD1367" s="168"/>
      <c r="CE1367" s="62"/>
      <c r="CF1367" s="62"/>
      <c r="CG1367" s="9"/>
      <c r="CH1367" s="9"/>
      <c r="CI1367" s="9"/>
      <c r="CJ1367" s="9"/>
      <c r="CK1367" s="9"/>
      <c r="CL1367" s="9"/>
      <c r="CM1367" s="9"/>
      <c r="CN1367" s="9"/>
      <c r="CO1367" s="9"/>
      <c r="CP1367" s="9"/>
    </row>
    <row r="1368" spans="1:94" ht="171" x14ac:dyDescent="0.25">
      <c r="A1368" s="62" t="s">
        <v>4018</v>
      </c>
      <c r="B1368" s="131" t="s">
        <v>4019</v>
      </c>
      <c r="C1368" s="215"/>
      <c r="D1368" s="215"/>
      <c r="E1368" s="215"/>
      <c r="F1368" s="215"/>
      <c r="G1368" s="215"/>
      <c r="H1368" s="218"/>
      <c r="I1368" s="62"/>
      <c r="J1368" s="62"/>
      <c r="K1368" s="62"/>
      <c r="L1368" s="62"/>
      <c r="M1368" s="62"/>
      <c r="N1368" s="62"/>
      <c r="O1368" s="62"/>
      <c r="P1368" s="62"/>
      <c r="Q1368" s="62"/>
      <c r="R1368" s="62"/>
      <c r="S1368" s="62"/>
      <c r="T1368" s="62"/>
      <c r="U1368" s="62"/>
      <c r="V1368" s="62"/>
      <c r="W1368" s="62"/>
      <c r="X1368" s="62"/>
      <c r="Y1368" s="62"/>
      <c r="Z1368" s="62"/>
      <c r="AA1368" s="62"/>
      <c r="AB1368" s="62"/>
      <c r="AC1368" s="62"/>
      <c r="AD1368" s="62"/>
      <c r="AE1368" s="62"/>
      <c r="AF1368" s="62"/>
      <c r="AG1368" s="62"/>
      <c r="AH1368" s="62"/>
      <c r="AI1368" s="62"/>
      <c r="AJ1368" s="62"/>
      <c r="AK1368" s="62"/>
      <c r="AL1368" s="62"/>
      <c r="AM1368" s="61"/>
      <c r="AN1368" s="62"/>
      <c r="AO1368" s="61" t="s">
        <v>4015</v>
      </c>
      <c r="AP1368" s="212"/>
      <c r="AQ1368" s="213"/>
      <c r="AR1368" s="213"/>
      <c r="AS1368" s="213"/>
      <c r="AT1368" s="213"/>
      <c r="AU1368" s="213"/>
      <c r="AV1368" s="213"/>
      <c r="AW1368" s="62"/>
      <c r="AX1368" s="62"/>
      <c r="AY1368" s="62"/>
      <c r="AZ1368" s="62"/>
      <c r="BA1368" s="141"/>
      <c r="BB1368" s="61"/>
      <c r="BC1368" s="165" t="s">
        <v>1615</v>
      </c>
      <c r="BD1368" s="231">
        <v>0.79</v>
      </c>
      <c r="BE1368" s="167" t="s">
        <v>1616</v>
      </c>
      <c r="BF1368" s="168">
        <v>0.2</v>
      </c>
      <c r="BG1368" s="167" t="s">
        <v>1617</v>
      </c>
      <c r="BH1368" s="168">
        <v>0.01</v>
      </c>
      <c r="BI1368" s="169"/>
      <c r="BJ1368" s="168"/>
      <c r="BK1368" s="134" t="s">
        <v>3961</v>
      </c>
      <c r="BL1368" s="168">
        <v>1</v>
      </c>
      <c r="BM1368" s="167" t="s">
        <v>2152</v>
      </c>
      <c r="BN1368" s="168"/>
      <c r="BO1368" s="62"/>
      <c r="BP1368" s="168"/>
      <c r="BQ1368" s="168"/>
      <c r="BR1368" s="168"/>
      <c r="BS1368" s="135" t="s">
        <v>1619</v>
      </c>
      <c r="BT1368" s="168">
        <v>0.39</v>
      </c>
      <c r="BU1368" s="167" t="s">
        <v>1616</v>
      </c>
      <c r="BV1368" s="168">
        <v>0.2</v>
      </c>
      <c r="BW1368" s="167" t="s">
        <v>1620</v>
      </c>
      <c r="BX1368" s="168">
        <v>0.4</v>
      </c>
      <c r="BY1368" s="167" t="s">
        <v>1617</v>
      </c>
      <c r="BZ1368" s="168">
        <v>0.01</v>
      </c>
      <c r="CA1368" s="167" t="s">
        <v>1621</v>
      </c>
      <c r="CB1368" s="168"/>
      <c r="CC1368" s="62"/>
      <c r="CD1368" s="168"/>
      <c r="CE1368" s="165" t="s">
        <v>4020</v>
      </c>
      <c r="CF1368" s="165"/>
      <c r="CG1368" s="204"/>
      <c r="CH1368" s="9"/>
      <c r="CI1368" s="204"/>
      <c r="CJ1368" s="204"/>
      <c r="CK1368" s="204"/>
      <c r="CL1368" s="204"/>
      <c r="CM1368" s="204"/>
      <c r="CN1368" s="204"/>
      <c r="CO1368" s="204"/>
      <c r="CP1368" s="9"/>
    </row>
    <row r="1369" spans="1:94" ht="42.75" x14ac:dyDescent="0.25">
      <c r="A1369" s="62" t="s">
        <v>4021</v>
      </c>
      <c r="B1369" s="131" t="s">
        <v>4022</v>
      </c>
      <c r="C1369" s="215"/>
      <c r="D1369" s="215"/>
      <c r="E1369" s="215"/>
      <c r="F1369" s="215"/>
      <c r="G1369" s="215"/>
      <c r="H1369" s="218"/>
      <c r="I1369" s="62"/>
      <c r="J1369" s="62"/>
      <c r="K1369" s="62"/>
      <c r="L1369" s="62"/>
      <c r="M1369" s="62"/>
      <c r="N1369" s="62"/>
      <c r="O1369" s="62"/>
      <c r="P1369" s="62"/>
      <c r="Q1369" s="62"/>
      <c r="R1369" s="62"/>
      <c r="S1369" s="62"/>
      <c r="T1369" s="62"/>
      <c r="U1369" s="62"/>
      <c r="V1369" s="62"/>
      <c r="W1369" s="62"/>
      <c r="X1369" s="62"/>
      <c r="Y1369" s="62"/>
      <c r="Z1369" s="62"/>
      <c r="AA1369" s="62"/>
      <c r="AB1369" s="62"/>
      <c r="AC1369" s="62"/>
      <c r="AD1369" s="62"/>
      <c r="AE1369" s="62"/>
      <c r="AF1369" s="62"/>
      <c r="AG1369" s="62"/>
      <c r="AH1369" s="62"/>
      <c r="AI1369" s="62"/>
      <c r="AJ1369" s="62"/>
      <c r="AK1369" s="62"/>
      <c r="AL1369" s="62"/>
      <c r="AM1369" s="61"/>
      <c r="AN1369" s="62"/>
      <c r="AO1369" s="61" t="s">
        <v>4015</v>
      </c>
      <c r="AP1369" s="212"/>
      <c r="AQ1369" s="213"/>
      <c r="AR1369" s="213"/>
      <c r="AS1369" s="213"/>
      <c r="AT1369" s="213"/>
      <c r="AU1369" s="213"/>
      <c r="AV1369" s="213"/>
      <c r="AW1369" s="62"/>
      <c r="AX1369" s="62"/>
      <c r="AY1369" s="62"/>
      <c r="AZ1369" s="62"/>
      <c r="BA1369" s="141"/>
      <c r="BB1369" s="61"/>
      <c r="BC1369" s="165" t="s">
        <v>1615</v>
      </c>
      <c r="BD1369" s="231">
        <v>0.79</v>
      </c>
      <c r="BE1369" s="167" t="s">
        <v>1616</v>
      </c>
      <c r="BF1369" s="168">
        <v>0.2</v>
      </c>
      <c r="BG1369" s="167" t="s">
        <v>1617</v>
      </c>
      <c r="BH1369" s="168">
        <v>0.01</v>
      </c>
      <c r="BI1369" s="169"/>
      <c r="BJ1369" s="168"/>
      <c r="BK1369" s="134" t="s">
        <v>3961</v>
      </c>
      <c r="BL1369" s="168">
        <v>1</v>
      </c>
      <c r="BM1369" s="167" t="s">
        <v>2152</v>
      </c>
      <c r="BN1369" s="168"/>
      <c r="BO1369" s="62"/>
      <c r="BP1369" s="168"/>
      <c r="BQ1369" s="168"/>
      <c r="BR1369" s="168"/>
      <c r="BS1369" s="135" t="s">
        <v>1619</v>
      </c>
      <c r="BT1369" s="168">
        <v>0.39</v>
      </c>
      <c r="BU1369" s="167" t="s">
        <v>1616</v>
      </c>
      <c r="BV1369" s="168">
        <v>0.2</v>
      </c>
      <c r="BW1369" s="167" t="s">
        <v>1620</v>
      </c>
      <c r="BX1369" s="168">
        <v>0.4</v>
      </c>
      <c r="BY1369" s="167" t="s">
        <v>1617</v>
      </c>
      <c r="BZ1369" s="168">
        <v>0.01</v>
      </c>
      <c r="CA1369" s="167" t="s">
        <v>1621</v>
      </c>
      <c r="CB1369" s="168"/>
      <c r="CC1369" s="62"/>
      <c r="CD1369" s="168"/>
      <c r="CE1369" s="165"/>
      <c r="CF1369" s="165"/>
      <c r="CG1369" s="217"/>
      <c r="CH1369" s="9"/>
      <c r="CI1369" s="217"/>
      <c r="CJ1369" s="217"/>
      <c r="CK1369" s="217"/>
      <c r="CL1369" s="217"/>
      <c r="CM1369" s="217"/>
      <c r="CN1369" s="217"/>
      <c r="CO1369" s="217"/>
      <c r="CP1369" s="9"/>
    </row>
    <row r="1370" spans="1:94" ht="409.5" x14ac:dyDescent="0.25">
      <c r="A1370" s="62" t="s">
        <v>4023</v>
      </c>
      <c r="B1370" s="131" t="s">
        <v>4024</v>
      </c>
      <c r="C1370" s="215"/>
      <c r="D1370" s="215"/>
      <c r="E1370" s="215"/>
      <c r="F1370" s="215"/>
      <c r="G1370" s="215"/>
      <c r="H1370" s="218"/>
      <c r="I1370" s="62"/>
      <c r="J1370" s="62"/>
      <c r="K1370" s="62"/>
      <c r="L1370" s="62"/>
      <c r="M1370" s="62"/>
      <c r="N1370" s="62"/>
      <c r="O1370" s="62"/>
      <c r="P1370" s="62"/>
      <c r="Q1370" s="62"/>
      <c r="R1370" s="62"/>
      <c r="S1370" s="62"/>
      <c r="T1370" s="62"/>
      <c r="U1370" s="62"/>
      <c r="V1370" s="62"/>
      <c r="W1370" s="62"/>
      <c r="X1370" s="62"/>
      <c r="Y1370" s="62"/>
      <c r="Z1370" s="62"/>
      <c r="AA1370" s="62"/>
      <c r="AB1370" s="62"/>
      <c r="AC1370" s="62"/>
      <c r="AD1370" s="62"/>
      <c r="AE1370" s="62"/>
      <c r="AF1370" s="62"/>
      <c r="AG1370" s="62"/>
      <c r="AH1370" s="62"/>
      <c r="AI1370" s="62"/>
      <c r="AJ1370" s="62"/>
      <c r="AK1370" s="62"/>
      <c r="AL1370" s="62"/>
      <c r="AM1370" s="61"/>
      <c r="AN1370" s="62"/>
      <c r="AO1370" s="61" t="s">
        <v>4015</v>
      </c>
      <c r="AP1370" s="212"/>
      <c r="AQ1370" s="213"/>
      <c r="AR1370" s="213"/>
      <c r="AS1370" s="213"/>
      <c r="AT1370" s="213"/>
      <c r="AU1370" s="213"/>
      <c r="AV1370" s="213"/>
      <c r="AW1370" s="62"/>
      <c r="AX1370" s="62"/>
      <c r="AY1370" s="62"/>
      <c r="AZ1370" s="62"/>
      <c r="BA1370" s="141"/>
      <c r="BB1370" s="61"/>
      <c r="BC1370" s="165" t="s">
        <v>1615</v>
      </c>
      <c r="BD1370" s="231">
        <v>0.89</v>
      </c>
      <c r="BE1370" s="167" t="s">
        <v>1616</v>
      </c>
      <c r="BF1370" s="168">
        <v>0.1</v>
      </c>
      <c r="BG1370" s="167" t="s">
        <v>1617</v>
      </c>
      <c r="BH1370" s="168">
        <v>0.01</v>
      </c>
      <c r="BI1370" s="169"/>
      <c r="BJ1370" s="168"/>
      <c r="BK1370" s="134" t="s">
        <v>2151</v>
      </c>
      <c r="BL1370" s="168">
        <v>0.9</v>
      </c>
      <c r="BM1370" s="167" t="s">
        <v>2152</v>
      </c>
      <c r="BN1370" s="168">
        <v>0.1</v>
      </c>
      <c r="BO1370" s="62"/>
      <c r="BP1370" s="168"/>
      <c r="BQ1370" s="168"/>
      <c r="BR1370" s="168"/>
      <c r="BS1370" s="135" t="s">
        <v>1615</v>
      </c>
      <c r="BT1370" s="168">
        <v>0.87</v>
      </c>
      <c r="BU1370" s="167" t="s">
        <v>1616</v>
      </c>
      <c r="BV1370" s="168">
        <v>0.1</v>
      </c>
      <c r="BW1370" s="167" t="s">
        <v>1620</v>
      </c>
      <c r="BX1370" s="168"/>
      <c r="BY1370" s="167" t="s">
        <v>1617</v>
      </c>
      <c r="BZ1370" s="168">
        <v>0.01</v>
      </c>
      <c r="CA1370" s="167" t="s">
        <v>1621</v>
      </c>
      <c r="CB1370" s="168">
        <v>0.02</v>
      </c>
      <c r="CC1370" s="62"/>
      <c r="CD1370" s="168"/>
      <c r="CE1370" s="165" t="s">
        <v>4025</v>
      </c>
      <c r="CF1370" s="165"/>
      <c r="CG1370" s="216"/>
      <c r="CH1370" s="9"/>
      <c r="CI1370" s="216"/>
      <c r="CJ1370" s="216"/>
      <c r="CK1370" s="216"/>
      <c r="CL1370" s="216"/>
      <c r="CM1370" s="216"/>
      <c r="CN1370" s="216"/>
      <c r="CO1370" s="216"/>
      <c r="CP1370" s="9"/>
    </row>
    <row r="1371" spans="1:94" ht="42.75" x14ac:dyDescent="0.25">
      <c r="A1371" s="62" t="s">
        <v>4026</v>
      </c>
      <c r="B1371" s="131" t="s">
        <v>4027</v>
      </c>
      <c r="C1371" s="215"/>
      <c r="D1371" s="215"/>
      <c r="E1371" s="215"/>
      <c r="F1371" s="215"/>
      <c r="G1371" s="215"/>
      <c r="H1371" s="218"/>
      <c r="I1371" s="62"/>
      <c r="J1371" s="62"/>
      <c r="K1371" s="62"/>
      <c r="L1371" s="62"/>
      <c r="M1371" s="62"/>
      <c r="N1371" s="62"/>
      <c r="O1371" s="62"/>
      <c r="P1371" s="62"/>
      <c r="Q1371" s="62"/>
      <c r="R1371" s="62"/>
      <c r="S1371" s="62"/>
      <c r="T1371" s="62"/>
      <c r="U1371" s="62"/>
      <c r="V1371" s="62"/>
      <c r="W1371" s="62"/>
      <c r="X1371" s="62"/>
      <c r="Y1371" s="62"/>
      <c r="Z1371" s="62"/>
      <c r="AA1371" s="62"/>
      <c r="AB1371" s="62"/>
      <c r="AC1371" s="62"/>
      <c r="AD1371" s="62"/>
      <c r="AE1371" s="62"/>
      <c r="AF1371" s="62"/>
      <c r="AG1371" s="62"/>
      <c r="AH1371" s="62"/>
      <c r="AI1371" s="62"/>
      <c r="AJ1371" s="62"/>
      <c r="AK1371" s="62"/>
      <c r="AL1371" s="62"/>
      <c r="AM1371" s="61"/>
      <c r="AN1371" s="62"/>
      <c r="AO1371" s="61" t="s">
        <v>4015</v>
      </c>
      <c r="AP1371" s="212"/>
      <c r="AQ1371" s="213"/>
      <c r="AR1371" s="213"/>
      <c r="AS1371" s="213"/>
      <c r="AT1371" s="213"/>
      <c r="AU1371" s="213"/>
      <c r="AV1371" s="213"/>
      <c r="AW1371" s="62"/>
      <c r="AX1371" s="62"/>
      <c r="AY1371" s="62"/>
      <c r="AZ1371" s="62"/>
      <c r="BA1371" s="141"/>
      <c r="BB1371" s="61"/>
      <c r="BC1371" s="165" t="s">
        <v>1615</v>
      </c>
      <c r="BD1371" s="231"/>
      <c r="BE1371" s="167" t="s">
        <v>1616</v>
      </c>
      <c r="BF1371" s="168"/>
      <c r="BG1371" s="167" t="s">
        <v>1617</v>
      </c>
      <c r="BH1371" s="168"/>
      <c r="BI1371" s="169"/>
      <c r="BJ1371" s="168"/>
      <c r="BK1371" s="134" t="s">
        <v>3961</v>
      </c>
      <c r="BL1371" s="168"/>
      <c r="BM1371" s="167" t="s">
        <v>2152</v>
      </c>
      <c r="BN1371" s="168"/>
      <c r="BO1371" s="62"/>
      <c r="BP1371" s="168"/>
      <c r="BQ1371" s="168"/>
      <c r="BR1371" s="168"/>
      <c r="BS1371" s="135" t="s">
        <v>1619</v>
      </c>
      <c r="BT1371" s="168"/>
      <c r="BU1371" s="167" t="s">
        <v>1616</v>
      </c>
      <c r="BV1371" s="168"/>
      <c r="BW1371" s="167" t="s">
        <v>1620</v>
      </c>
      <c r="BX1371" s="168"/>
      <c r="BY1371" s="167" t="s">
        <v>1617</v>
      </c>
      <c r="BZ1371" s="168"/>
      <c r="CA1371" s="167" t="s">
        <v>1621</v>
      </c>
      <c r="CB1371" s="168"/>
      <c r="CC1371" s="62"/>
      <c r="CD1371" s="168"/>
      <c r="CE1371" s="165"/>
      <c r="CF1371" s="165"/>
      <c r="CG1371" s="217"/>
      <c r="CH1371" s="9"/>
      <c r="CI1371" s="217"/>
      <c r="CJ1371" s="217"/>
      <c r="CK1371" s="217"/>
      <c r="CL1371" s="217"/>
      <c r="CM1371" s="217"/>
      <c r="CN1371" s="217"/>
      <c r="CO1371" s="217"/>
      <c r="CP1371" s="9"/>
    </row>
    <row r="1372" spans="1:94" ht="42.75" x14ac:dyDescent="0.25">
      <c r="A1372" s="62" t="s">
        <v>4028</v>
      </c>
      <c r="B1372" s="131" t="s">
        <v>4029</v>
      </c>
      <c r="C1372" s="215"/>
      <c r="D1372" s="215"/>
      <c r="E1372" s="215"/>
      <c r="F1372" s="215"/>
      <c r="G1372" s="215"/>
      <c r="H1372" s="218"/>
      <c r="I1372" s="62"/>
      <c r="J1372" s="62"/>
      <c r="K1372" s="62"/>
      <c r="L1372" s="62"/>
      <c r="M1372" s="62"/>
      <c r="N1372" s="62"/>
      <c r="O1372" s="62"/>
      <c r="P1372" s="62"/>
      <c r="Q1372" s="62"/>
      <c r="R1372" s="62"/>
      <c r="S1372" s="62"/>
      <c r="T1372" s="62"/>
      <c r="U1372" s="62"/>
      <c r="V1372" s="62"/>
      <c r="W1372" s="62"/>
      <c r="X1372" s="62"/>
      <c r="Y1372" s="62"/>
      <c r="Z1372" s="62"/>
      <c r="AA1372" s="62"/>
      <c r="AB1372" s="62"/>
      <c r="AC1372" s="62"/>
      <c r="AD1372" s="62"/>
      <c r="AE1372" s="62"/>
      <c r="AF1372" s="62"/>
      <c r="AG1372" s="62"/>
      <c r="AH1372" s="62"/>
      <c r="AI1372" s="62"/>
      <c r="AJ1372" s="62"/>
      <c r="AK1372" s="62"/>
      <c r="AL1372" s="62"/>
      <c r="AM1372" s="61"/>
      <c r="AN1372" s="62"/>
      <c r="AO1372" s="61"/>
      <c r="AP1372" s="212"/>
      <c r="AQ1372" s="213"/>
      <c r="AR1372" s="213"/>
      <c r="AS1372" s="213"/>
      <c r="AT1372" s="213"/>
      <c r="AU1372" s="213"/>
      <c r="AV1372" s="213"/>
      <c r="AW1372" s="62"/>
      <c r="AX1372" s="62"/>
      <c r="AY1372" s="62"/>
      <c r="AZ1372" s="62"/>
      <c r="BA1372" s="141"/>
      <c r="BB1372" s="61"/>
      <c r="BC1372" s="165" t="s">
        <v>1615</v>
      </c>
      <c r="BD1372" s="231">
        <v>0.89</v>
      </c>
      <c r="BE1372" s="167" t="s">
        <v>1616</v>
      </c>
      <c r="BF1372" s="168">
        <v>0.1</v>
      </c>
      <c r="BG1372" s="167" t="s">
        <v>1617</v>
      </c>
      <c r="BH1372" s="168">
        <v>0.01</v>
      </c>
      <c r="BI1372" s="169"/>
      <c r="BJ1372" s="168"/>
      <c r="BK1372" s="134" t="s">
        <v>2151</v>
      </c>
      <c r="BL1372" s="168">
        <v>0.9</v>
      </c>
      <c r="BM1372" s="167" t="s">
        <v>2152</v>
      </c>
      <c r="BN1372" s="168">
        <v>0.1</v>
      </c>
      <c r="BO1372" s="62"/>
      <c r="BP1372" s="168"/>
      <c r="BQ1372" s="168"/>
      <c r="BR1372" s="168"/>
      <c r="BS1372" s="135" t="s">
        <v>1619</v>
      </c>
      <c r="BT1372" s="168">
        <v>0.87</v>
      </c>
      <c r="BU1372" s="167" t="s">
        <v>1616</v>
      </c>
      <c r="BV1372" s="168">
        <v>0.1</v>
      </c>
      <c r="BW1372" s="167" t="s">
        <v>1620</v>
      </c>
      <c r="BX1372" s="168"/>
      <c r="BY1372" s="167" t="s">
        <v>1617</v>
      </c>
      <c r="BZ1372" s="168">
        <v>0.01</v>
      </c>
      <c r="CA1372" s="167" t="s">
        <v>1621</v>
      </c>
      <c r="CB1372" s="168">
        <v>0.02</v>
      </c>
      <c r="CC1372" s="62"/>
      <c r="CD1372" s="168"/>
      <c r="CE1372" s="165"/>
      <c r="CF1372" s="165"/>
      <c r="CG1372" s="217"/>
      <c r="CH1372" s="9"/>
      <c r="CI1372" s="217"/>
      <c r="CJ1372" s="217"/>
      <c r="CK1372" s="217"/>
      <c r="CL1372" s="217"/>
      <c r="CM1372" s="217"/>
      <c r="CN1372" s="217"/>
      <c r="CO1372" s="217"/>
      <c r="CP1372" s="9"/>
    </row>
    <row r="1373" spans="1:94" ht="42.75" x14ac:dyDescent="0.25">
      <c r="A1373" s="62" t="s">
        <v>4030</v>
      </c>
      <c r="B1373" s="131" t="s">
        <v>4031</v>
      </c>
      <c r="C1373" s="215"/>
      <c r="D1373" s="215"/>
      <c r="E1373" s="215"/>
      <c r="F1373" s="215"/>
      <c r="G1373" s="215"/>
      <c r="H1373" s="218"/>
      <c r="I1373" s="62"/>
      <c r="J1373" s="62"/>
      <c r="K1373" s="62"/>
      <c r="L1373" s="62"/>
      <c r="M1373" s="62"/>
      <c r="N1373" s="62"/>
      <c r="O1373" s="62"/>
      <c r="P1373" s="62"/>
      <c r="Q1373" s="62"/>
      <c r="R1373" s="62"/>
      <c r="S1373" s="62"/>
      <c r="T1373" s="62"/>
      <c r="U1373" s="62"/>
      <c r="V1373" s="62"/>
      <c r="W1373" s="62"/>
      <c r="X1373" s="62"/>
      <c r="Y1373" s="62"/>
      <c r="Z1373" s="62"/>
      <c r="AA1373" s="62"/>
      <c r="AB1373" s="62"/>
      <c r="AC1373" s="62"/>
      <c r="AD1373" s="62"/>
      <c r="AE1373" s="62"/>
      <c r="AF1373" s="62"/>
      <c r="AG1373" s="62"/>
      <c r="AH1373" s="62"/>
      <c r="AI1373" s="62"/>
      <c r="AJ1373" s="62"/>
      <c r="AK1373" s="62"/>
      <c r="AL1373" s="62"/>
      <c r="AM1373" s="61"/>
      <c r="AN1373" s="62"/>
      <c r="AO1373" s="61" t="s">
        <v>4032</v>
      </c>
      <c r="AP1373" s="212"/>
      <c r="AQ1373" s="213"/>
      <c r="AR1373" s="213"/>
      <c r="AS1373" s="213"/>
      <c r="AT1373" s="213"/>
      <c r="AU1373" s="213"/>
      <c r="AV1373" s="213"/>
      <c r="AW1373" s="62"/>
      <c r="AX1373" s="62"/>
      <c r="AY1373" s="62"/>
      <c r="AZ1373" s="62"/>
      <c r="BA1373" s="141"/>
      <c r="BB1373" s="61"/>
      <c r="BC1373" s="165" t="s">
        <v>1615</v>
      </c>
      <c r="BD1373" s="231">
        <v>0.79</v>
      </c>
      <c r="BE1373" s="167" t="s">
        <v>1616</v>
      </c>
      <c r="BF1373" s="168">
        <v>0.2</v>
      </c>
      <c r="BG1373" s="167" t="s">
        <v>1617</v>
      </c>
      <c r="BH1373" s="168">
        <v>0.01</v>
      </c>
      <c r="BI1373" s="169"/>
      <c r="BJ1373" s="168"/>
      <c r="BK1373" s="134" t="s">
        <v>3961</v>
      </c>
      <c r="BL1373" s="168">
        <v>1</v>
      </c>
      <c r="BM1373" s="167"/>
      <c r="BN1373" s="168"/>
      <c r="BO1373" s="62"/>
      <c r="BP1373" s="168"/>
      <c r="BQ1373" s="168"/>
      <c r="BR1373" s="168"/>
      <c r="BS1373" s="135" t="s">
        <v>1619</v>
      </c>
      <c r="BT1373" s="168">
        <v>0.79</v>
      </c>
      <c r="BU1373" s="167" t="s">
        <v>1616</v>
      </c>
      <c r="BV1373" s="168">
        <v>0.2</v>
      </c>
      <c r="BW1373" s="167"/>
      <c r="BX1373" s="168"/>
      <c r="BY1373" s="167" t="s">
        <v>1617</v>
      </c>
      <c r="BZ1373" s="168">
        <v>0.01</v>
      </c>
      <c r="CA1373" s="167"/>
      <c r="CB1373" s="168"/>
      <c r="CC1373" s="62"/>
      <c r="CD1373" s="168"/>
      <c r="CE1373" s="165"/>
      <c r="CF1373" s="165"/>
      <c r="CG1373" s="217"/>
      <c r="CH1373" s="9"/>
      <c r="CI1373" s="217"/>
      <c r="CJ1373" s="217"/>
      <c r="CK1373" s="217"/>
      <c r="CL1373" s="217"/>
      <c r="CM1373" s="217"/>
      <c r="CN1373" s="217"/>
      <c r="CO1373" s="217"/>
      <c r="CP1373" s="9"/>
    </row>
    <row r="1374" spans="1:94" ht="42.75" x14ac:dyDescent="0.25">
      <c r="A1374" s="62" t="s">
        <v>4033</v>
      </c>
      <c r="B1374" s="131" t="s">
        <v>4034</v>
      </c>
      <c r="C1374" s="215"/>
      <c r="D1374" s="215"/>
      <c r="E1374" s="215"/>
      <c r="F1374" s="215"/>
      <c r="G1374" s="215"/>
      <c r="H1374" s="218"/>
      <c r="I1374" s="62"/>
      <c r="J1374" s="62"/>
      <c r="K1374" s="62"/>
      <c r="L1374" s="62"/>
      <c r="M1374" s="62"/>
      <c r="N1374" s="62"/>
      <c r="O1374" s="62"/>
      <c r="P1374" s="62"/>
      <c r="Q1374" s="62"/>
      <c r="R1374" s="62"/>
      <c r="S1374" s="62"/>
      <c r="T1374" s="62"/>
      <c r="U1374" s="62"/>
      <c r="V1374" s="62"/>
      <c r="W1374" s="62"/>
      <c r="X1374" s="62"/>
      <c r="Y1374" s="62"/>
      <c r="Z1374" s="62"/>
      <c r="AA1374" s="62"/>
      <c r="AB1374" s="62"/>
      <c r="AC1374" s="62"/>
      <c r="AD1374" s="62"/>
      <c r="AE1374" s="62"/>
      <c r="AF1374" s="62"/>
      <c r="AG1374" s="62"/>
      <c r="AH1374" s="62"/>
      <c r="AI1374" s="62"/>
      <c r="AJ1374" s="62"/>
      <c r="AK1374" s="62"/>
      <c r="AL1374" s="62"/>
      <c r="AM1374" s="61"/>
      <c r="AN1374" s="62"/>
      <c r="AO1374" s="61" t="s">
        <v>4032</v>
      </c>
      <c r="AP1374" s="212"/>
      <c r="AQ1374" s="213"/>
      <c r="AR1374" s="213"/>
      <c r="AS1374" s="213"/>
      <c r="AT1374" s="213"/>
      <c r="AU1374" s="213"/>
      <c r="AV1374" s="213"/>
      <c r="AW1374" s="62"/>
      <c r="AX1374" s="62"/>
      <c r="AY1374" s="62"/>
      <c r="AZ1374" s="62"/>
      <c r="BA1374" s="141"/>
      <c r="BB1374" s="61"/>
      <c r="BC1374" s="165" t="s">
        <v>1615</v>
      </c>
      <c r="BD1374" s="231">
        <v>0.79</v>
      </c>
      <c r="BE1374" s="167" t="s">
        <v>1616</v>
      </c>
      <c r="BF1374" s="168">
        <v>0.2</v>
      </c>
      <c r="BG1374" s="167" t="s">
        <v>1617</v>
      </c>
      <c r="BH1374" s="168">
        <v>0.01</v>
      </c>
      <c r="BI1374" s="169"/>
      <c r="BJ1374" s="168"/>
      <c r="BK1374" s="134" t="s">
        <v>3961</v>
      </c>
      <c r="BL1374" s="168">
        <v>1</v>
      </c>
      <c r="BM1374" s="167"/>
      <c r="BN1374" s="168"/>
      <c r="BO1374" s="62"/>
      <c r="BP1374" s="168"/>
      <c r="BQ1374" s="168"/>
      <c r="BR1374" s="168"/>
      <c r="BS1374" s="135" t="s">
        <v>1619</v>
      </c>
      <c r="BT1374" s="168">
        <v>0.79</v>
      </c>
      <c r="BU1374" s="167" t="s">
        <v>1616</v>
      </c>
      <c r="BV1374" s="168">
        <v>0.2</v>
      </c>
      <c r="BW1374" s="167"/>
      <c r="BX1374" s="168"/>
      <c r="BY1374" s="167" t="s">
        <v>1617</v>
      </c>
      <c r="BZ1374" s="168">
        <v>0.01</v>
      </c>
      <c r="CA1374" s="167"/>
      <c r="CB1374" s="168"/>
      <c r="CC1374" s="62"/>
      <c r="CD1374" s="168"/>
      <c r="CE1374" s="165"/>
      <c r="CF1374" s="165"/>
      <c r="CG1374" s="217"/>
      <c r="CH1374" s="9"/>
      <c r="CI1374" s="217"/>
      <c r="CJ1374" s="217"/>
      <c r="CK1374" s="217"/>
      <c r="CL1374" s="217"/>
      <c r="CM1374" s="217"/>
      <c r="CN1374" s="217"/>
      <c r="CO1374" s="217"/>
      <c r="CP1374" s="9"/>
    </row>
    <row r="1375" spans="1:94" ht="42.75" x14ac:dyDescent="0.25">
      <c r="A1375" s="62" t="s">
        <v>4035</v>
      </c>
      <c r="B1375" s="131" t="s">
        <v>4036</v>
      </c>
      <c r="C1375" s="215"/>
      <c r="D1375" s="215"/>
      <c r="E1375" s="215"/>
      <c r="F1375" s="215"/>
      <c r="G1375" s="215"/>
      <c r="H1375" s="218"/>
      <c r="I1375" s="62"/>
      <c r="J1375" s="62"/>
      <c r="K1375" s="62"/>
      <c r="L1375" s="62"/>
      <c r="M1375" s="62"/>
      <c r="N1375" s="62"/>
      <c r="O1375" s="62"/>
      <c r="P1375" s="62"/>
      <c r="Q1375" s="62"/>
      <c r="R1375" s="62"/>
      <c r="S1375" s="62"/>
      <c r="T1375" s="62"/>
      <c r="U1375" s="62"/>
      <c r="V1375" s="62"/>
      <c r="W1375" s="62"/>
      <c r="X1375" s="62"/>
      <c r="Y1375" s="62"/>
      <c r="Z1375" s="62"/>
      <c r="AA1375" s="62"/>
      <c r="AB1375" s="62"/>
      <c r="AC1375" s="62"/>
      <c r="AD1375" s="62"/>
      <c r="AE1375" s="62"/>
      <c r="AF1375" s="62"/>
      <c r="AG1375" s="62"/>
      <c r="AH1375" s="62"/>
      <c r="AI1375" s="62"/>
      <c r="AJ1375" s="62"/>
      <c r="AK1375" s="62"/>
      <c r="AL1375" s="62"/>
      <c r="AM1375" s="61"/>
      <c r="AN1375" s="62"/>
      <c r="AO1375" s="61" t="s">
        <v>527</v>
      </c>
      <c r="AP1375" s="212"/>
      <c r="AQ1375" s="213"/>
      <c r="AR1375" s="213"/>
      <c r="AS1375" s="213"/>
      <c r="AT1375" s="213"/>
      <c r="AU1375" s="213"/>
      <c r="AV1375" s="213"/>
      <c r="AW1375" s="62"/>
      <c r="AX1375" s="62"/>
      <c r="AY1375" s="62"/>
      <c r="AZ1375" s="62"/>
      <c r="BA1375" s="141"/>
      <c r="BB1375" s="61"/>
      <c r="BC1375" s="165" t="s">
        <v>1615</v>
      </c>
      <c r="BD1375" s="231">
        <v>0.79</v>
      </c>
      <c r="BE1375" s="167" t="s">
        <v>1616</v>
      </c>
      <c r="BF1375" s="168">
        <v>0.2</v>
      </c>
      <c r="BG1375" s="167" t="s">
        <v>1617</v>
      </c>
      <c r="BH1375" s="168">
        <v>0.01</v>
      </c>
      <c r="BI1375" s="169"/>
      <c r="BJ1375" s="168"/>
      <c r="BK1375" s="134" t="s">
        <v>3961</v>
      </c>
      <c r="BL1375" s="168">
        <v>1</v>
      </c>
      <c r="BM1375" s="167"/>
      <c r="BN1375" s="168"/>
      <c r="BO1375" s="62"/>
      <c r="BP1375" s="168"/>
      <c r="BQ1375" s="168"/>
      <c r="BR1375" s="168"/>
      <c r="BS1375" s="135" t="s">
        <v>1619</v>
      </c>
      <c r="BT1375" s="168">
        <v>0.79</v>
      </c>
      <c r="BU1375" s="167" t="s">
        <v>1616</v>
      </c>
      <c r="BV1375" s="168">
        <v>0.2</v>
      </c>
      <c r="BW1375" s="167"/>
      <c r="BX1375" s="168"/>
      <c r="BY1375" s="167" t="s">
        <v>1617</v>
      </c>
      <c r="BZ1375" s="168">
        <v>0.01</v>
      </c>
      <c r="CA1375" s="167"/>
      <c r="CB1375" s="168"/>
      <c r="CC1375" s="62"/>
      <c r="CD1375" s="168"/>
      <c r="CE1375" s="165"/>
      <c r="CF1375" s="165"/>
      <c r="CG1375" s="217"/>
      <c r="CH1375" s="9"/>
      <c r="CI1375" s="217"/>
      <c r="CJ1375" s="217"/>
      <c r="CK1375" s="217"/>
      <c r="CL1375" s="217"/>
      <c r="CM1375" s="217"/>
      <c r="CN1375" s="217"/>
      <c r="CO1375" s="217"/>
      <c r="CP1375" s="9"/>
    </row>
    <row r="1376" spans="1:94" ht="42.75" x14ac:dyDescent="0.25">
      <c r="A1376" s="232" t="s">
        <v>4037</v>
      </c>
      <c r="B1376" s="233" t="s">
        <v>4038</v>
      </c>
      <c r="C1376" s="234"/>
      <c r="D1376" s="234"/>
      <c r="E1376" s="234"/>
      <c r="F1376" s="234"/>
      <c r="G1376" s="234"/>
      <c r="H1376" s="235"/>
      <c r="I1376" s="232"/>
      <c r="J1376" s="232"/>
      <c r="K1376" s="232"/>
      <c r="L1376" s="232"/>
      <c r="M1376" s="232"/>
      <c r="N1376" s="232"/>
      <c r="O1376" s="232"/>
      <c r="P1376" s="232"/>
      <c r="Q1376" s="232"/>
      <c r="R1376" s="232"/>
      <c r="S1376" s="232"/>
      <c r="T1376" s="232"/>
      <c r="U1376" s="232"/>
      <c r="V1376" s="232"/>
      <c r="W1376" s="232"/>
      <c r="X1376" s="232"/>
      <c r="Y1376" s="232"/>
      <c r="Z1376" s="232"/>
      <c r="AA1376" s="232"/>
      <c r="AB1376" s="232"/>
      <c r="AC1376" s="232"/>
      <c r="AD1376" s="232"/>
      <c r="AE1376" s="232"/>
      <c r="AF1376" s="232"/>
      <c r="AG1376" s="232"/>
      <c r="AH1376" s="232"/>
      <c r="AI1376" s="232"/>
      <c r="AJ1376" s="232"/>
      <c r="AK1376" s="232"/>
      <c r="AL1376" s="232"/>
      <c r="AM1376" s="236"/>
      <c r="AN1376" s="232"/>
      <c r="AO1376" s="236" t="s">
        <v>4032</v>
      </c>
      <c r="AP1376" s="237"/>
      <c r="AQ1376" s="232"/>
      <c r="AR1376" s="232"/>
      <c r="AS1376" s="232"/>
      <c r="AT1376" s="232"/>
      <c r="AU1376" s="232"/>
      <c r="AV1376" s="232"/>
      <c r="AW1376" s="232"/>
      <c r="AX1376" s="232"/>
      <c r="AY1376" s="232"/>
      <c r="AZ1376" s="232"/>
      <c r="BA1376" s="238"/>
      <c r="BB1376" s="236"/>
      <c r="BC1376" s="165" t="s">
        <v>1615</v>
      </c>
      <c r="BD1376" s="231">
        <v>0.79</v>
      </c>
      <c r="BE1376" s="167" t="s">
        <v>1616</v>
      </c>
      <c r="BF1376" s="168">
        <v>0.2</v>
      </c>
      <c r="BG1376" s="167" t="s">
        <v>1617</v>
      </c>
      <c r="BH1376" s="168">
        <v>0.01</v>
      </c>
      <c r="BI1376" s="169"/>
      <c r="BJ1376" s="168"/>
      <c r="BK1376" s="134" t="s">
        <v>3961</v>
      </c>
      <c r="BL1376" s="168">
        <v>1</v>
      </c>
      <c r="BM1376" s="167"/>
      <c r="BN1376" s="168"/>
      <c r="BO1376" s="62"/>
      <c r="BP1376" s="168"/>
      <c r="BQ1376" s="168"/>
      <c r="BR1376" s="168"/>
      <c r="BS1376" s="135" t="s">
        <v>1619</v>
      </c>
      <c r="BT1376" s="168">
        <v>0.79</v>
      </c>
      <c r="BU1376" s="167" t="s">
        <v>1616</v>
      </c>
      <c r="BV1376" s="168">
        <v>0.2</v>
      </c>
      <c r="BW1376" s="167"/>
      <c r="BX1376" s="168"/>
      <c r="BY1376" s="167" t="s">
        <v>1617</v>
      </c>
      <c r="BZ1376" s="168">
        <v>0.01</v>
      </c>
      <c r="CA1376" s="167"/>
      <c r="CB1376" s="168"/>
      <c r="CC1376" s="62"/>
      <c r="CD1376" s="168"/>
      <c r="CE1376" s="165"/>
      <c r="CF1376" s="165"/>
      <c r="CG1376" s="239"/>
      <c r="CH1376" s="9"/>
      <c r="CI1376" s="239"/>
      <c r="CJ1376" s="239"/>
      <c r="CK1376" s="239"/>
      <c r="CL1376" s="239"/>
      <c r="CM1376" s="239"/>
      <c r="CN1376" s="239"/>
      <c r="CO1376" s="239"/>
      <c r="CP1376" s="240"/>
    </row>
    <row r="1377" spans="1:94" x14ac:dyDescent="0.25">
      <c r="A1377" s="104" t="s">
        <v>4039</v>
      </c>
      <c r="B1377" s="219" t="s">
        <v>4040</v>
      </c>
      <c r="C1377" s="220"/>
      <c r="D1377" s="220"/>
      <c r="E1377" s="220"/>
      <c r="F1377" s="220"/>
      <c r="G1377" s="220"/>
      <c r="H1377" s="221"/>
      <c r="I1377" s="104"/>
      <c r="J1377" s="104"/>
      <c r="K1377" s="104"/>
      <c r="L1377" s="104"/>
      <c r="M1377" s="104"/>
      <c r="N1377" s="104"/>
      <c r="O1377" s="104"/>
      <c r="P1377" s="104"/>
      <c r="Q1377" s="104"/>
      <c r="R1377" s="104"/>
      <c r="S1377" s="104"/>
      <c r="T1377" s="104"/>
      <c r="U1377" s="104"/>
      <c r="V1377" s="104"/>
      <c r="W1377" s="104"/>
      <c r="X1377" s="104"/>
      <c r="Y1377" s="104"/>
      <c r="Z1377" s="104"/>
      <c r="AA1377" s="104"/>
      <c r="AB1377" s="104"/>
      <c r="AC1377" s="104"/>
      <c r="AD1377" s="104"/>
      <c r="AE1377" s="104"/>
      <c r="AF1377" s="104"/>
      <c r="AG1377" s="104"/>
      <c r="AH1377" s="104"/>
      <c r="AI1377" s="104"/>
      <c r="AJ1377" s="104"/>
      <c r="AK1377" s="104"/>
      <c r="AL1377" s="104"/>
      <c r="AM1377" s="103"/>
      <c r="AN1377" s="104"/>
      <c r="AO1377" s="103" t="s">
        <v>4041</v>
      </c>
      <c r="AP1377" s="222"/>
      <c r="AQ1377" s="104"/>
      <c r="AR1377" s="104"/>
      <c r="AS1377" s="104"/>
      <c r="AT1377" s="104"/>
      <c r="AU1377" s="104"/>
      <c r="AV1377" s="104"/>
      <c r="AW1377" s="104"/>
      <c r="AX1377" s="104"/>
      <c r="AY1377" s="104"/>
      <c r="AZ1377" s="104"/>
      <c r="BA1377" s="182"/>
      <c r="BB1377" s="103"/>
      <c r="BC1377" s="183"/>
      <c r="BD1377" s="241"/>
      <c r="BE1377" s="185"/>
      <c r="BF1377" s="186"/>
      <c r="BG1377" s="185"/>
      <c r="BH1377" s="186"/>
      <c r="BI1377" s="186"/>
      <c r="BJ1377" s="186"/>
      <c r="BK1377" s="187" t="s">
        <v>3961</v>
      </c>
      <c r="BL1377" s="186">
        <v>0.39</v>
      </c>
      <c r="BM1377" s="185" t="s">
        <v>2152</v>
      </c>
      <c r="BN1377" s="186">
        <v>0.4</v>
      </c>
      <c r="BO1377" s="104"/>
      <c r="BP1377" s="186"/>
      <c r="BQ1377" s="186"/>
      <c r="BR1377" s="186"/>
      <c r="BS1377" s="188"/>
      <c r="BT1377" s="186"/>
      <c r="BU1377" s="185"/>
      <c r="BV1377" s="186"/>
      <c r="BW1377" s="185"/>
      <c r="BX1377" s="186"/>
      <c r="BY1377" s="185"/>
      <c r="BZ1377" s="186"/>
      <c r="CA1377" s="185"/>
      <c r="CB1377" s="186"/>
      <c r="CC1377" s="104"/>
      <c r="CD1377" s="186"/>
      <c r="CE1377" s="183"/>
      <c r="CF1377" s="183"/>
      <c r="CG1377" s="228"/>
      <c r="CH1377" s="9"/>
      <c r="CI1377" s="228"/>
      <c r="CJ1377" s="228"/>
      <c r="CK1377" s="228"/>
      <c r="CL1377" s="228"/>
      <c r="CM1377" s="228"/>
      <c r="CN1377" s="228"/>
      <c r="CO1377" s="228"/>
      <c r="CP1377" s="105"/>
    </row>
    <row r="1378" spans="1:94" ht="45" x14ac:dyDescent="0.25">
      <c r="A1378" s="104" t="s">
        <v>4042</v>
      </c>
      <c r="B1378" s="219" t="s">
        <v>4043</v>
      </c>
      <c r="C1378" s="220"/>
      <c r="D1378" s="220"/>
      <c r="E1378" s="220"/>
      <c r="F1378" s="220"/>
      <c r="G1378" s="220"/>
      <c r="H1378" s="221"/>
      <c r="I1378" s="104"/>
      <c r="J1378" s="104"/>
      <c r="K1378" s="104"/>
      <c r="L1378" s="104"/>
      <c r="M1378" s="104"/>
      <c r="N1378" s="104"/>
      <c r="O1378" s="104"/>
      <c r="P1378" s="104"/>
      <c r="Q1378" s="104"/>
      <c r="R1378" s="104"/>
      <c r="S1378" s="104"/>
      <c r="T1378" s="104"/>
      <c r="U1378" s="104"/>
      <c r="V1378" s="104"/>
      <c r="W1378" s="104"/>
      <c r="X1378" s="104"/>
      <c r="Y1378" s="104"/>
      <c r="Z1378" s="104"/>
      <c r="AA1378" s="104"/>
      <c r="AB1378" s="104"/>
      <c r="AC1378" s="104"/>
      <c r="AD1378" s="104"/>
      <c r="AE1378" s="104"/>
      <c r="AF1378" s="104"/>
      <c r="AG1378" s="104"/>
      <c r="AH1378" s="104"/>
      <c r="AI1378" s="104"/>
      <c r="AJ1378" s="104"/>
      <c r="AK1378" s="104"/>
      <c r="AL1378" s="104"/>
      <c r="AM1378" s="103"/>
      <c r="AN1378" s="104"/>
      <c r="AO1378" s="103" t="s">
        <v>4044</v>
      </c>
      <c r="AP1378" s="222"/>
      <c r="AQ1378" s="104"/>
      <c r="AR1378" s="104"/>
      <c r="AS1378" s="104"/>
      <c r="AT1378" s="104"/>
      <c r="AU1378" s="104"/>
      <c r="AV1378" s="104"/>
      <c r="AW1378" s="104"/>
      <c r="AX1378" s="104"/>
      <c r="AY1378" s="104"/>
      <c r="AZ1378" s="104"/>
      <c r="BA1378" s="182"/>
      <c r="BB1378" s="103"/>
      <c r="BC1378" s="183" t="s">
        <v>1615</v>
      </c>
      <c r="BD1378" s="166">
        <v>0.89</v>
      </c>
      <c r="BE1378" s="185" t="s">
        <v>1616</v>
      </c>
      <c r="BF1378" s="168">
        <v>0.1</v>
      </c>
      <c r="BG1378" s="185" t="s">
        <v>1617</v>
      </c>
      <c r="BH1378" s="186">
        <v>0.01</v>
      </c>
      <c r="BI1378" s="186"/>
      <c r="BJ1378" s="186">
        <v>0</v>
      </c>
      <c r="BK1378" s="187" t="s">
        <v>3961</v>
      </c>
      <c r="BL1378" s="168">
        <v>0.9</v>
      </c>
      <c r="BM1378" s="185" t="s">
        <v>2152</v>
      </c>
      <c r="BN1378" s="168">
        <v>0.1</v>
      </c>
      <c r="BO1378" s="104"/>
      <c r="BP1378" s="186"/>
      <c r="BQ1378" s="186"/>
      <c r="BR1378" s="186"/>
      <c r="BS1378" s="188" t="s">
        <v>1619</v>
      </c>
      <c r="BT1378" s="168">
        <v>0.87</v>
      </c>
      <c r="BU1378" s="185" t="s">
        <v>1616</v>
      </c>
      <c r="BV1378" s="168">
        <v>0.1</v>
      </c>
      <c r="BW1378" s="185" t="s">
        <v>1620</v>
      </c>
      <c r="BX1378" s="168"/>
      <c r="BY1378" s="185" t="s">
        <v>1617</v>
      </c>
      <c r="BZ1378" s="186">
        <v>0.01</v>
      </c>
      <c r="CA1378" s="185" t="s">
        <v>1621</v>
      </c>
      <c r="CB1378" s="168">
        <v>0.02</v>
      </c>
      <c r="CC1378" s="104"/>
      <c r="CD1378" s="186"/>
      <c r="CE1378" s="183"/>
      <c r="CF1378" s="183"/>
      <c r="CG1378" s="228"/>
      <c r="CH1378" s="9"/>
      <c r="CI1378" s="228"/>
      <c r="CJ1378" s="228"/>
      <c r="CK1378" s="228"/>
      <c r="CL1378" s="228"/>
      <c r="CM1378" s="228"/>
      <c r="CN1378" s="228"/>
      <c r="CO1378" s="228"/>
      <c r="CP1378" s="105"/>
    </row>
    <row r="1379" spans="1:94" ht="45" x14ac:dyDescent="0.25">
      <c r="A1379" s="104" t="s">
        <v>4045</v>
      </c>
      <c r="B1379" s="219" t="s">
        <v>4046</v>
      </c>
      <c r="C1379" s="220"/>
      <c r="D1379" s="220"/>
      <c r="E1379" s="220"/>
      <c r="F1379" s="220"/>
      <c r="G1379" s="220"/>
      <c r="H1379" s="221"/>
      <c r="I1379" s="104"/>
      <c r="J1379" s="104"/>
      <c r="K1379" s="104"/>
      <c r="L1379" s="104"/>
      <c r="M1379" s="104"/>
      <c r="N1379" s="104"/>
      <c r="O1379" s="104"/>
      <c r="P1379" s="104"/>
      <c r="Q1379" s="104"/>
      <c r="R1379" s="104"/>
      <c r="S1379" s="104"/>
      <c r="T1379" s="104"/>
      <c r="U1379" s="104"/>
      <c r="V1379" s="104"/>
      <c r="W1379" s="104"/>
      <c r="X1379" s="104"/>
      <c r="Y1379" s="104"/>
      <c r="Z1379" s="104"/>
      <c r="AA1379" s="104"/>
      <c r="AB1379" s="104"/>
      <c r="AC1379" s="104"/>
      <c r="AD1379" s="104"/>
      <c r="AE1379" s="104"/>
      <c r="AF1379" s="104"/>
      <c r="AG1379" s="104"/>
      <c r="AH1379" s="104"/>
      <c r="AI1379" s="104"/>
      <c r="AJ1379" s="104"/>
      <c r="AK1379" s="104"/>
      <c r="AL1379" s="104"/>
      <c r="AM1379" s="103"/>
      <c r="AN1379" s="104"/>
      <c r="AO1379" s="103" t="s">
        <v>4044</v>
      </c>
      <c r="AP1379" s="222"/>
      <c r="AQ1379" s="104"/>
      <c r="AR1379" s="104"/>
      <c r="AS1379" s="104"/>
      <c r="AT1379" s="104"/>
      <c r="AU1379" s="104"/>
      <c r="AV1379" s="104"/>
      <c r="AW1379" s="104"/>
      <c r="AX1379" s="104"/>
      <c r="AY1379" s="104"/>
      <c r="AZ1379" s="104"/>
      <c r="BA1379" s="182"/>
      <c r="BB1379" s="103"/>
      <c r="BC1379" s="183" t="s">
        <v>1615</v>
      </c>
      <c r="BD1379" s="166">
        <v>0.89</v>
      </c>
      <c r="BE1379" s="185" t="s">
        <v>1616</v>
      </c>
      <c r="BF1379" s="168">
        <v>0.1</v>
      </c>
      <c r="BG1379" s="185" t="s">
        <v>1617</v>
      </c>
      <c r="BH1379" s="186">
        <v>0.01</v>
      </c>
      <c r="BI1379" s="186"/>
      <c r="BJ1379" s="186">
        <v>0</v>
      </c>
      <c r="BK1379" s="187" t="s">
        <v>3961</v>
      </c>
      <c r="BL1379" s="168">
        <v>0.9</v>
      </c>
      <c r="BM1379" s="185" t="s">
        <v>2152</v>
      </c>
      <c r="BN1379" s="168">
        <v>0.1</v>
      </c>
      <c r="BO1379" s="104"/>
      <c r="BP1379" s="186"/>
      <c r="BQ1379" s="186"/>
      <c r="BR1379" s="186"/>
      <c r="BS1379" s="188" t="s">
        <v>1619</v>
      </c>
      <c r="BT1379" s="168">
        <v>0.87</v>
      </c>
      <c r="BU1379" s="185" t="s">
        <v>1616</v>
      </c>
      <c r="BV1379" s="168">
        <v>0.1</v>
      </c>
      <c r="BW1379" s="185" t="s">
        <v>1620</v>
      </c>
      <c r="BX1379" s="168"/>
      <c r="BY1379" s="185" t="s">
        <v>1617</v>
      </c>
      <c r="BZ1379" s="186">
        <v>0.01</v>
      </c>
      <c r="CA1379" s="185" t="s">
        <v>1621</v>
      </c>
      <c r="CB1379" s="168">
        <v>0.02</v>
      </c>
      <c r="CC1379" s="104"/>
      <c r="CD1379" s="186"/>
      <c r="CE1379" s="183"/>
      <c r="CF1379" s="183"/>
      <c r="CG1379" s="228"/>
      <c r="CH1379" s="9"/>
      <c r="CI1379" s="228"/>
      <c r="CJ1379" s="228"/>
      <c r="CK1379" s="228"/>
      <c r="CL1379" s="228"/>
      <c r="CM1379" s="228"/>
      <c r="CN1379" s="228"/>
      <c r="CO1379" s="228"/>
      <c r="CP1379" s="105"/>
    </row>
    <row r="1380" spans="1:94" ht="356.25" x14ac:dyDescent="0.25">
      <c r="A1380" s="62" t="s">
        <v>4047</v>
      </c>
      <c r="B1380" s="131" t="s">
        <v>4048</v>
      </c>
      <c r="C1380" s="215"/>
      <c r="D1380" s="215"/>
      <c r="E1380" s="215"/>
      <c r="F1380" s="215"/>
      <c r="G1380" s="215"/>
      <c r="H1380" s="218"/>
      <c r="I1380" s="62"/>
      <c r="J1380" s="62"/>
      <c r="K1380" s="62"/>
      <c r="L1380" s="62"/>
      <c r="M1380" s="62"/>
      <c r="N1380" s="62"/>
      <c r="O1380" s="62"/>
      <c r="P1380" s="62"/>
      <c r="Q1380" s="62"/>
      <c r="R1380" s="62"/>
      <c r="S1380" s="62"/>
      <c r="T1380" s="62"/>
      <c r="U1380" s="62"/>
      <c r="V1380" s="62"/>
      <c r="W1380" s="62"/>
      <c r="X1380" s="62"/>
      <c r="Y1380" s="62"/>
      <c r="Z1380" s="62"/>
      <c r="AA1380" s="62"/>
      <c r="AB1380" s="62"/>
      <c r="AC1380" s="62"/>
      <c r="AD1380" s="62"/>
      <c r="AE1380" s="62"/>
      <c r="AF1380" s="62"/>
      <c r="AG1380" s="62"/>
      <c r="AH1380" s="62"/>
      <c r="AI1380" s="62"/>
      <c r="AJ1380" s="62"/>
      <c r="AK1380" s="62"/>
      <c r="AL1380" s="62"/>
      <c r="AM1380" s="61"/>
      <c r="AN1380" s="62"/>
      <c r="AO1380" s="61" t="s">
        <v>4049</v>
      </c>
      <c r="AP1380" s="212"/>
      <c r="AQ1380" s="213"/>
      <c r="AR1380" s="213"/>
      <c r="AS1380" s="213"/>
      <c r="AT1380" s="213"/>
      <c r="AU1380" s="213"/>
      <c r="AV1380" s="213"/>
      <c r="AW1380" s="62"/>
      <c r="AX1380" s="62"/>
      <c r="AY1380" s="62"/>
      <c r="AZ1380" s="62"/>
      <c r="BA1380" s="141"/>
      <c r="BB1380" s="61"/>
      <c r="BC1380" s="165" t="s">
        <v>1615</v>
      </c>
      <c r="BD1380" s="166">
        <f t="shared" ref="BD1380:BD1401" si="72">+(89-9.5)%</f>
        <v>0.79500000000000004</v>
      </c>
      <c r="BE1380" s="167" t="s">
        <v>1616</v>
      </c>
      <c r="BF1380" s="168">
        <f t="shared" ref="BF1380:BF1401" si="73">+(10+10)%</f>
        <v>0.2</v>
      </c>
      <c r="BG1380" s="167" t="s">
        <v>1617</v>
      </c>
      <c r="BH1380" s="168">
        <f t="shared" ref="BH1380:BH1401" si="74">+(1-0.5)%</f>
        <v>5.0000000000000001E-3</v>
      </c>
      <c r="BI1380" s="169"/>
      <c r="BJ1380" s="168">
        <v>0</v>
      </c>
      <c r="BK1380" s="134" t="s">
        <v>2151</v>
      </c>
      <c r="BL1380" s="168">
        <f>+(90-10)%</f>
        <v>0.8</v>
      </c>
      <c r="BM1380" s="167" t="s">
        <v>2152</v>
      </c>
      <c r="BN1380" s="168">
        <f>+(10+10)%</f>
        <v>0.2</v>
      </c>
      <c r="BO1380" s="62"/>
      <c r="BP1380" s="168"/>
      <c r="BQ1380" s="168"/>
      <c r="BR1380" s="168"/>
      <c r="BS1380" s="135" t="s">
        <v>1615</v>
      </c>
      <c r="BT1380" s="176">
        <v>0.77500000000000002</v>
      </c>
      <c r="BU1380" s="167" t="s">
        <v>1616</v>
      </c>
      <c r="BV1380" s="168">
        <f>+(10+10)%</f>
        <v>0.2</v>
      </c>
      <c r="BW1380" s="167" t="s">
        <v>2153</v>
      </c>
      <c r="BX1380" s="168"/>
      <c r="BY1380" s="167" t="s">
        <v>1617</v>
      </c>
      <c r="BZ1380" s="176">
        <f>+(1-0.5)%</f>
        <v>5.0000000000000001E-3</v>
      </c>
      <c r="CA1380" s="167" t="s">
        <v>1621</v>
      </c>
      <c r="CB1380" s="168">
        <f>+(2-2)%</f>
        <v>0</v>
      </c>
      <c r="CC1380" s="62"/>
      <c r="CD1380" s="168"/>
      <c r="CE1380" s="165" t="s">
        <v>4050</v>
      </c>
      <c r="CF1380" s="242"/>
      <c r="CG1380" s="243"/>
      <c r="CH1380" s="9"/>
      <c r="CI1380" s="243"/>
      <c r="CJ1380" s="243"/>
      <c r="CK1380" s="243"/>
      <c r="CL1380" s="243"/>
      <c r="CM1380" s="243"/>
      <c r="CN1380" s="243"/>
      <c r="CO1380" s="243"/>
      <c r="CP1380" s="9"/>
    </row>
    <row r="1381" spans="1:94" ht="356.25" x14ac:dyDescent="0.25">
      <c r="A1381" s="62" t="s">
        <v>4051</v>
      </c>
      <c r="B1381" s="131" t="s">
        <v>4052</v>
      </c>
      <c r="C1381" s="215"/>
      <c r="D1381" s="215"/>
      <c r="E1381" s="215"/>
      <c r="F1381" s="215"/>
      <c r="G1381" s="215"/>
      <c r="H1381" s="218"/>
      <c r="I1381" s="62"/>
      <c r="J1381" s="62"/>
      <c r="K1381" s="62"/>
      <c r="L1381" s="62"/>
      <c r="M1381" s="62"/>
      <c r="N1381" s="62"/>
      <c r="O1381" s="62"/>
      <c r="P1381" s="62"/>
      <c r="Q1381" s="62"/>
      <c r="R1381" s="62"/>
      <c r="S1381" s="62"/>
      <c r="T1381" s="62"/>
      <c r="U1381" s="62"/>
      <c r="V1381" s="62"/>
      <c r="W1381" s="62"/>
      <c r="X1381" s="62"/>
      <c r="Y1381" s="62"/>
      <c r="Z1381" s="62"/>
      <c r="AA1381" s="62"/>
      <c r="AB1381" s="62"/>
      <c r="AC1381" s="62"/>
      <c r="AD1381" s="62"/>
      <c r="AE1381" s="62"/>
      <c r="AF1381" s="62"/>
      <c r="AG1381" s="62"/>
      <c r="AH1381" s="62"/>
      <c r="AI1381" s="62"/>
      <c r="AJ1381" s="62"/>
      <c r="AK1381" s="62"/>
      <c r="AL1381" s="62"/>
      <c r="AM1381" s="61"/>
      <c r="AN1381" s="62"/>
      <c r="AO1381" s="61" t="s">
        <v>4049</v>
      </c>
      <c r="AP1381" s="212"/>
      <c r="AQ1381" s="213"/>
      <c r="AR1381" s="213"/>
      <c r="AS1381" s="213"/>
      <c r="AT1381" s="213"/>
      <c r="AU1381" s="213"/>
      <c r="AV1381" s="213"/>
      <c r="AW1381" s="62"/>
      <c r="AX1381" s="62"/>
      <c r="AY1381" s="62"/>
      <c r="AZ1381" s="62"/>
      <c r="BA1381" s="141"/>
      <c r="BB1381" s="61"/>
      <c r="BC1381" s="165" t="s">
        <v>1615</v>
      </c>
      <c r="BD1381" s="166">
        <f t="shared" si="72"/>
        <v>0.79500000000000004</v>
      </c>
      <c r="BE1381" s="167" t="s">
        <v>1616</v>
      </c>
      <c r="BF1381" s="168">
        <f t="shared" si="73"/>
        <v>0.2</v>
      </c>
      <c r="BG1381" s="167" t="s">
        <v>1617</v>
      </c>
      <c r="BH1381" s="168">
        <f t="shared" si="74"/>
        <v>5.0000000000000001E-3</v>
      </c>
      <c r="BI1381" s="169"/>
      <c r="BJ1381" s="168">
        <v>0</v>
      </c>
      <c r="BK1381" s="134" t="s">
        <v>2151</v>
      </c>
      <c r="BL1381" s="168">
        <f t="shared" ref="BL1381:BL1401" si="75">+(90-10)%</f>
        <v>0.8</v>
      </c>
      <c r="BM1381" s="167" t="s">
        <v>2152</v>
      </c>
      <c r="BN1381" s="168">
        <f t="shared" ref="BN1381:BN1401" si="76">+(10+10)%</f>
        <v>0.2</v>
      </c>
      <c r="BO1381" s="62"/>
      <c r="BP1381" s="168"/>
      <c r="BQ1381" s="168"/>
      <c r="BR1381" s="168"/>
      <c r="BS1381" s="135" t="s">
        <v>1615</v>
      </c>
      <c r="BT1381" s="176">
        <v>0.77500000000000002</v>
      </c>
      <c r="BU1381" s="167" t="s">
        <v>1616</v>
      </c>
      <c r="BV1381" s="168">
        <f t="shared" ref="BV1381:BV1401" si="77">+(10+10)%</f>
        <v>0.2</v>
      </c>
      <c r="BW1381" s="167" t="s">
        <v>2153</v>
      </c>
      <c r="BX1381" s="168"/>
      <c r="BY1381" s="167" t="s">
        <v>1617</v>
      </c>
      <c r="BZ1381" s="176">
        <f t="shared" ref="BZ1381:BZ1401" si="78">+(1-0.5)%</f>
        <v>5.0000000000000001E-3</v>
      </c>
      <c r="CA1381" s="167" t="s">
        <v>1621</v>
      </c>
      <c r="CB1381" s="168">
        <f t="shared" ref="CB1381:CB1389" si="79">+(2-2)%</f>
        <v>0</v>
      </c>
      <c r="CC1381" s="62"/>
      <c r="CD1381" s="168"/>
      <c r="CE1381" s="165" t="s">
        <v>4053</v>
      </c>
      <c r="CF1381" s="242"/>
      <c r="CG1381" s="243"/>
      <c r="CH1381" s="9"/>
      <c r="CI1381" s="243"/>
      <c r="CJ1381" s="243"/>
      <c r="CK1381" s="243"/>
      <c r="CL1381" s="243"/>
      <c r="CM1381" s="243"/>
      <c r="CN1381" s="243"/>
      <c r="CO1381" s="243"/>
      <c r="CP1381" s="9"/>
    </row>
    <row r="1382" spans="1:94" ht="356.25" x14ac:dyDescent="0.25">
      <c r="A1382" s="62" t="s">
        <v>4054</v>
      </c>
      <c r="B1382" s="131" t="s">
        <v>4055</v>
      </c>
      <c r="C1382" s="215"/>
      <c r="D1382" s="215"/>
      <c r="E1382" s="215"/>
      <c r="F1382" s="215"/>
      <c r="G1382" s="215"/>
      <c r="H1382" s="218"/>
      <c r="I1382" s="62"/>
      <c r="J1382" s="62"/>
      <c r="K1382" s="62"/>
      <c r="L1382" s="62"/>
      <c r="M1382" s="62"/>
      <c r="N1382" s="62"/>
      <c r="O1382" s="62"/>
      <c r="P1382" s="62"/>
      <c r="Q1382" s="62"/>
      <c r="R1382" s="62"/>
      <c r="S1382" s="62"/>
      <c r="T1382" s="62"/>
      <c r="U1382" s="62"/>
      <c r="V1382" s="62"/>
      <c r="W1382" s="62"/>
      <c r="X1382" s="62"/>
      <c r="Y1382" s="62"/>
      <c r="Z1382" s="62"/>
      <c r="AA1382" s="62"/>
      <c r="AB1382" s="62"/>
      <c r="AC1382" s="62"/>
      <c r="AD1382" s="62"/>
      <c r="AE1382" s="62"/>
      <c r="AF1382" s="62"/>
      <c r="AG1382" s="62"/>
      <c r="AH1382" s="62"/>
      <c r="AI1382" s="62"/>
      <c r="AJ1382" s="62"/>
      <c r="AK1382" s="62"/>
      <c r="AL1382" s="62"/>
      <c r="AM1382" s="61"/>
      <c r="AN1382" s="62"/>
      <c r="AO1382" s="61" t="s">
        <v>4049</v>
      </c>
      <c r="AP1382" s="212"/>
      <c r="AQ1382" s="213"/>
      <c r="AR1382" s="213"/>
      <c r="AS1382" s="213"/>
      <c r="AT1382" s="213"/>
      <c r="AU1382" s="213"/>
      <c r="AV1382" s="213"/>
      <c r="AW1382" s="62"/>
      <c r="AX1382" s="62"/>
      <c r="AY1382" s="62"/>
      <c r="AZ1382" s="62"/>
      <c r="BA1382" s="141"/>
      <c r="BB1382" s="61"/>
      <c r="BC1382" s="165" t="s">
        <v>1615</v>
      </c>
      <c r="BD1382" s="166">
        <f t="shared" si="72"/>
        <v>0.79500000000000004</v>
      </c>
      <c r="BE1382" s="167" t="s">
        <v>1616</v>
      </c>
      <c r="BF1382" s="168">
        <f t="shared" si="73"/>
        <v>0.2</v>
      </c>
      <c r="BG1382" s="167" t="s">
        <v>1617</v>
      </c>
      <c r="BH1382" s="168">
        <f t="shared" si="74"/>
        <v>5.0000000000000001E-3</v>
      </c>
      <c r="BI1382" s="169"/>
      <c r="BJ1382" s="168">
        <v>0</v>
      </c>
      <c r="BK1382" s="134" t="s">
        <v>2151</v>
      </c>
      <c r="BL1382" s="168">
        <f t="shared" si="75"/>
        <v>0.8</v>
      </c>
      <c r="BM1382" s="167" t="s">
        <v>2152</v>
      </c>
      <c r="BN1382" s="168">
        <f t="shared" si="76"/>
        <v>0.2</v>
      </c>
      <c r="BO1382" s="62"/>
      <c r="BP1382" s="168"/>
      <c r="BQ1382" s="168"/>
      <c r="BR1382" s="168"/>
      <c r="BS1382" s="135" t="s">
        <v>1615</v>
      </c>
      <c r="BT1382" s="176">
        <v>0.77500000000000002</v>
      </c>
      <c r="BU1382" s="167" t="s">
        <v>1616</v>
      </c>
      <c r="BV1382" s="168">
        <f t="shared" si="77"/>
        <v>0.2</v>
      </c>
      <c r="BW1382" s="167" t="s">
        <v>2153</v>
      </c>
      <c r="BX1382" s="168"/>
      <c r="BY1382" s="167" t="s">
        <v>1617</v>
      </c>
      <c r="BZ1382" s="176">
        <f t="shared" si="78"/>
        <v>5.0000000000000001E-3</v>
      </c>
      <c r="CA1382" s="167" t="s">
        <v>1621</v>
      </c>
      <c r="CB1382" s="168">
        <f t="shared" si="79"/>
        <v>0</v>
      </c>
      <c r="CC1382" s="62"/>
      <c r="CD1382" s="168"/>
      <c r="CE1382" s="165" t="s">
        <v>4056</v>
      </c>
      <c r="CF1382" s="242"/>
      <c r="CG1382" s="243"/>
      <c r="CH1382" s="9"/>
      <c r="CI1382" s="243"/>
      <c r="CJ1382" s="243"/>
      <c r="CK1382" s="243"/>
      <c r="CL1382" s="243"/>
      <c r="CM1382" s="243"/>
      <c r="CN1382" s="243"/>
      <c r="CO1382" s="243"/>
      <c r="CP1382" s="9"/>
    </row>
    <row r="1383" spans="1:94" ht="356.25" x14ac:dyDescent="0.25">
      <c r="A1383" s="62" t="s">
        <v>4057</v>
      </c>
      <c r="B1383" s="131" t="s">
        <v>4058</v>
      </c>
      <c r="C1383" s="215"/>
      <c r="D1383" s="215"/>
      <c r="E1383" s="215"/>
      <c r="F1383" s="215"/>
      <c r="G1383" s="215"/>
      <c r="H1383" s="218"/>
      <c r="I1383" s="62"/>
      <c r="J1383" s="62"/>
      <c r="K1383" s="62"/>
      <c r="L1383" s="62"/>
      <c r="M1383" s="62"/>
      <c r="N1383" s="62"/>
      <c r="O1383" s="62"/>
      <c r="P1383" s="62"/>
      <c r="Q1383" s="62"/>
      <c r="R1383" s="62"/>
      <c r="S1383" s="62"/>
      <c r="T1383" s="62"/>
      <c r="U1383" s="62"/>
      <c r="V1383" s="62"/>
      <c r="W1383" s="62"/>
      <c r="X1383" s="62"/>
      <c r="Y1383" s="62"/>
      <c r="Z1383" s="62"/>
      <c r="AA1383" s="62"/>
      <c r="AB1383" s="62"/>
      <c r="AC1383" s="62"/>
      <c r="AD1383" s="62"/>
      <c r="AE1383" s="62"/>
      <c r="AF1383" s="62"/>
      <c r="AG1383" s="62"/>
      <c r="AH1383" s="62"/>
      <c r="AI1383" s="62"/>
      <c r="AJ1383" s="62"/>
      <c r="AK1383" s="62"/>
      <c r="AL1383" s="62"/>
      <c r="AM1383" s="61"/>
      <c r="AN1383" s="62"/>
      <c r="AO1383" s="61" t="s">
        <v>4049</v>
      </c>
      <c r="AP1383" s="212"/>
      <c r="AQ1383" s="213"/>
      <c r="AR1383" s="213"/>
      <c r="AS1383" s="213"/>
      <c r="AT1383" s="213"/>
      <c r="AU1383" s="213"/>
      <c r="AV1383" s="213"/>
      <c r="AW1383" s="62"/>
      <c r="AX1383" s="62"/>
      <c r="AY1383" s="62"/>
      <c r="AZ1383" s="62"/>
      <c r="BA1383" s="141"/>
      <c r="BB1383" s="61"/>
      <c r="BC1383" s="165" t="s">
        <v>1615</v>
      </c>
      <c r="BD1383" s="166">
        <f t="shared" si="72"/>
        <v>0.79500000000000004</v>
      </c>
      <c r="BE1383" s="167" t="s">
        <v>1616</v>
      </c>
      <c r="BF1383" s="168">
        <f t="shared" si="73"/>
        <v>0.2</v>
      </c>
      <c r="BG1383" s="167" t="s">
        <v>1617</v>
      </c>
      <c r="BH1383" s="168">
        <f t="shared" si="74"/>
        <v>5.0000000000000001E-3</v>
      </c>
      <c r="BI1383" s="169"/>
      <c r="BJ1383" s="168">
        <v>0</v>
      </c>
      <c r="BK1383" s="134" t="s">
        <v>2151</v>
      </c>
      <c r="BL1383" s="168">
        <f t="shared" si="75"/>
        <v>0.8</v>
      </c>
      <c r="BM1383" s="167" t="s">
        <v>2152</v>
      </c>
      <c r="BN1383" s="168">
        <f t="shared" si="76"/>
        <v>0.2</v>
      </c>
      <c r="BO1383" s="62"/>
      <c r="BP1383" s="168"/>
      <c r="BQ1383" s="168"/>
      <c r="BR1383" s="168"/>
      <c r="BS1383" s="135" t="s">
        <v>1615</v>
      </c>
      <c r="BT1383" s="176">
        <v>0.77500000000000002</v>
      </c>
      <c r="BU1383" s="167" t="s">
        <v>1616</v>
      </c>
      <c r="BV1383" s="168">
        <f t="shared" si="77"/>
        <v>0.2</v>
      </c>
      <c r="BW1383" s="167" t="s">
        <v>2153</v>
      </c>
      <c r="BX1383" s="168"/>
      <c r="BY1383" s="167" t="s">
        <v>1617</v>
      </c>
      <c r="BZ1383" s="176">
        <f t="shared" si="78"/>
        <v>5.0000000000000001E-3</v>
      </c>
      <c r="CA1383" s="167" t="s">
        <v>1621</v>
      </c>
      <c r="CB1383" s="168">
        <f t="shared" si="79"/>
        <v>0</v>
      </c>
      <c r="CC1383" s="62"/>
      <c r="CD1383" s="168"/>
      <c r="CE1383" s="165" t="s">
        <v>4059</v>
      </c>
      <c r="CF1383" s="242"/>
      <c r="CG1383" s="243"/>
      <c r="CH1383" s="9"/>
      <c r="CI1383" s="243"/>
      <c r="CJ1383" s="243"/>
      <c r="CK1383" s="243"/>
      <c r="CL1383" s="243"/>
      <c r="CM1383" s="243"/>
      <c r="CN1383" s="243"/>
      <c r="CO1383" s="243"/>
      <c r="CP1383" s="9"/>
    </row>
    <row r="1384" spans="1:94" ht="356.25" x14ac:dyDescent="0.25">
      <c r="A1384" s="62" t="s">
        <v>4060</v>
      </c>
      <c r="B1384" s="131" t="s">
        <v>4061</v>
      </c>
      <c r="C1384" s="215"/>
      <c r="D1384" s="215"/>
      <c r="E1384" s="215"/>
      <c r="F1384" s="215"/>
      <c r="G1384" s="215"/>
      <c r="H1384" s="218"/>
      <c r="I1384" s="62"/>
      <c r="J1384" s="62"/>
      <c r="K1384" s="62"/>
      <c r="L1384" s="62"/>
      <c r="M1384" s="62"/>
      <c r="N1384" s="62"/>
      <c r="O1384" s="62"/>
      <c r="P1384" s="62"/>
      <c r="Q1384" s="62"/>
      <c r="R1384" s="62"/>
      <c r="S1384" s="62"/>
      <c r="T1384" s="62"/>
      <c r="U1384" s="62"/>
      <c r="V1384" s="62"/>
      <c r="W1384" s="62"/>
      <c r="X1384" s="62"/>
      <c r="Y1384" s="62"/>
      <c r="Z1384" s="62"/>
      <c r="AA1384" s="62"/>
      <c r="AB1384" s="62"/>
      <c r="AC1384" s="62"/>
      <c r="AD1384" s="62"/>
      <c r="AE1384" s="62"/>
      <c r="AF1384" s="62"/>
      <c r="AG1384" s="62"/>
      <c r="AH1384" s="62"/>
      <c r="AI1384" s="62"/>
      <c r="AJ1384" s="62"/>
      <c r="AK1384" s="62"/>
      <c r="AL1384" s="62"/>
      <c r="AM1384" s="61"/>
      <c r="AN1384" s="62"/>
      <c r="AO1384" s="61" t="s">
        <v>4049</v>
      </c>
      <c r="AP1384" s="212"/>
      <c r="AQ1384" s="213"/>
      <c r="AR1384" s="213"/>
      <c r="AS1384" s="213"/>
      <c r="AT1384" s="213"/>
      <c r="AU1384" s="213"/>
      <c r="AV1384" s="213"/>
      <c r="AW1384" s="62"/>
      <c r="AX1384" s="62"/>
      <c r="AY1384" s="62"/>
      <c r="AZ1384" s="62"/>
      <c r="BA1384" s="141"/>
      <c r="BB1384" s="61"/>
      <c r="BC1384" s="165" t="s">
        <v>1615</v>
      </c>
      <c r="BD1384" s="166">
        <f t="shared" si="72"/>
        <v>0.79500000000000004</v>
      </c>
      <c r="BE1384" s="167" t="s">
        <v>1616</v>
      </c>
      <c r="BF1384" s="168">
        <f t="shared" si="73"/>
        <v>0.2</v>
      </c>
      <c r="BG1384" s="167" t="s">
        <v>1617</v>
      </c>
      <c r="BH1384" s="168">
        <f t="shared" si="74"/>
        <v>5.0000000000000001E-3</v>
      </c>
      <c r="BI1384" s="169"/>
      <c r="BJ1384" s="168">
        <v>0</v>
      </c>
      <c r="BK1384" s="134" t="s">
        <v>2151</v>
      </c>
      <c r="BL1384" s="168">
        <f t="shared" si="75"/>
        <v>0.8</v>
      </c>
      <c r="BM1384" s="167" t="s">
        <v>2152</v>
      </c>
      <c r="BN1384" s="168">
        <f t="shared" si="76"/>
        <v>0.2</v>
      </c>
      <c r="BO1384" s="62"/>
      <c r="BP1384" s="168"/>
      <c r="BQ1384" s="168"/>
      <c r="BR1384" s="168"/>
      <c r="BS1384" s="135" t="s">
        <v>1615</v>
      </c>
      <c r="BT1384" s="176">
        <v>0.77500000000000002</v>
      </c>
      <c r="BU1384" s="167" t="s">
        <v>1616</v>
      </c>
      <c r="BV1384" s="168">
        <f t="shared" si="77"/>
        <v>0.2</v>
      </c>
      <c r="BW1384" s="167" t="s">
        <v>2153</v>
      </c>
      <c r="BX1384" s="168"/>
      <c r="BY1384" s="167" t="s">
        <v>1617</v>
      </c>
      <c r="BZ1384" s="176">
        <f t="shared" si="78"/>
        <v>5.0000000000000001E-3</v>
      </c>
      <c r="CA1384" s="167" t="s">
        <v>1621</v>
      </c>
      <c r="CB1384" s="168">
        <f t="shared" si="79"/>
        <v>0</v>
      </c>
      <c r="CC1384" s="62"/>
      <c r="CD1384" s="168"/>
      <c r="CE1384" s="165" t="s">
        <v>4062</v>
      </c>
      <c r="CF1384" s="242"/>
      <c r="CG1384" s="243"/>
      <c r="CH1384" s="9"/>
      <c r="CI1384" s="243"/>
      <c r="CJ1384" s="243"/>
      <c r="CK1384" s="243"/>
      <c r="CL1384" s="243"/>
      <c r="CM1384" s="243"/>
      <c r="CN1384" s="243"/>
      <c r="CO1384" s="243"/>
      <c r="CP1384" s="9"/>
    </row>
    <row r="1385" spans="1:94" ht="356.25" x14ac:dyDescent="0.25">
      <c r="A1385" s="62" t="s">
        <v>4063</v>
      </c>
      <c r="B1385" s="131" t="s">
        <v>4064</v>
      </c>
      <c r="C1385" s="215"/>
      <c r="D1385" s="215"/>
      <c r="E1385" s="215"/>
      <c r="F1385" s="215"/>
      <c r="G1385" s="215"/>
      <c r="H1385" s="218"/>
      <c r="I1385" s="62"/>
      <c r="J1385" s="62"/>
      <c r="K1385" s="62"/>
      <c r="L1385" s="62"/>
      <c r="M1385" s="62"/>
      <c r="N1385" s="62"/>
      <c r="O1385" s="62"/>
      <c r="P1385" s="62"/>
      <c r="Q1385" s="62"/>
      <c r="R1385" s="62"/>
      <c r="S1385" s="62"/>
      <c r="T1385" s="62"/>
      <c r="U1385" s="62"/>
      <c r="V1385" s="62"/>
      <c r="W1385" s="62"/>
      <c r="X1385" s="62"/>
      <c r="Y1385" s="62"/>
      <c r="Z1385" s="62"/>
      <c r="AA1385" s="62"/>
      <c r="AB1385" s="62"/>
      <c r="AC1385" s="62"/>
      <c r="AD1385" s="62"/>
      <c r="AE1385" s="62"/>
      <c r="AF1385" s="62"/>
      <c r="AG1385" s="62"/>
      <c r="AH1385" s="62"/>
      <c r="AI1385" s="62"/>
      <c r="AJ1385" s="62"/>
      <c r="AK1385" s="62"/>
      <c r="AL1385" s="62"/>
      <c r="AM1385" s="61"/>
      <c r="AN1385" s="62"/>
      <c r="AO1385" s="61" t="s">
        <v>4049</v>
      </c>
      <c r="AP1385" s="212"/>
      <c r="AQ1385" s="213"/>
      <c r="AR1385" s="213"/>
      <c r="AS1385" s="213"/>
      <c r="AT1385" s="213"/>
      <c r="AU1385" s="213"/>
      <c r="AV1385" s="213"/>
      <c r="AW1385" s="62"/>
      <c r="AX1385" s="62"/>
      <c r="AY1385" s="62"/>
      <c r="AZ1385" s="62"/>
      <c r="BA1385" s="141"/>
      <c r="BB1385" s="61"/>
      <c r="BC1385" s="165" t="s">
        <v>1615</v>
      </c>
      <c r="BD1385" s="166">
        <f t="shared" si="72"/>
        <v>0.79500000000000004</v>
      </c>
      <c r="BE1385" s="167" t="s">
        <v>1616</v>
      </c>
      <c r="BF1385" s="168">
        <f t="shared" si="73"/>
        <v>0.2</v>
      </c>
      <c r="BG1385" s="167" t="s">
        <v>1617</v>
      </c>
      <c r="BH1385" s="168">
        <f t="shared" si="74"/>
        <v>5.0000000000000001E-3</v>
      </c>
      <c r="BI1385" s="169"/>
      <c r="BJ1385" s="168">
        <v>0</v>
      </c>
      <c r="BK1385" s="134" t="s">
        <v>2151</v>
      </c>
      <c r="BL1385" s="168">
        <f t="shared" si="75"/>
        <v>0.8</v>
      </c>
      <c r="BM1385" s="167" t="s">
        <v>2152</v>
      </c>
      <c r="BN1385" s="168">
        <f t="shared" si="76"/>
        <v>0.2</v>
      </c>
      <c r="BO1385" s="62"/>
      <c r="BP1385" s="168"/>
      <c r="BQ1385" s="168"/>
      <c r="BR1385" s="168"/>
      <c r="BS1385" s="135" t="s">
        <v>1615</v>
      </c>
      <c r="BT1385" s="176">
        <v>0.77500000000000002</v>
      </c>
      <c r="BU1385" s="167" t="s">
        <v>1616</v>
      </c>
      <c r="BV1385" s="168">
        <f t="shared" si="77"/>
        <v>0.2</v>
      </c>
      <c r="BW1385" s="167" t="s">
        <v>2153</v>
      </c>
      <c r="BX1385" s="168"/>
      <c r="BY1385" s="167" t="s">
        <v>1617</v>
      </c>
      <c r="BZ1385" s="176">
        <f t="shared" si="78"/>
        <v>5.0000000000000001E-3</v>
      </c>
      <c r="CA1385" s="167" t="s">
        <v>1621</v>
      </c>
      <c r="CB1385" s="168">
        <f t="shared" si="79"/>
        <v>0</v>
      </c>
      <c r="CC1385" s="62"/>
      <c r="CD1385" s="168"/>
      <c r="CE1385" s="165" t="s">
        <v>4065</v>
      </c>
      <c r="CF1385" s="242"/>
      <c r="CG1385" s="243"/>
      <c r="CH1385" s="9"/>
      <c r="CI1385" s="243"/>
      <c r="CJ1385" s="243"/>
      <c r="CK1385" s="243"/>
      <c r="CL1385" s="243"/>
      <c r="CM1385" s="243"/>
      <c r="CN1385" s="243"/>
      <c r="CO1385" s="243"/>
      <c r="CP1385" s="9"/>
    </row>
    <row r="1386" spans="1:94" ht="42.75" x14ac:dyDescent="0.25">
      <c r="A1386" s="62" t="s">
        <v>4066</v>
      </c>
      <c r="B1386" s="131" t="s">
        <v>4067</v>
      </c>
      <c r="C1386" s="215"/>
      <c r="D1386" s="215"/>
      <c r="E1386" s="215"/>
      <c r="F1386" s="215"/>
      <c r="G1386" s="215"/>
      <c r="H1386" s="218"/>
      <c r="I1386" s="62"/>
      <c r="J1386" s="62"/>
      <c r="K1386" s="62"/>
      <c r="L1386" s="62"/>
      <c r="M1386" s="62"/>
      <c r="N1386" s="62"/>
      <c r="O1386" s="62"/>
      <c r="P1386" s="62"/>
      <c r="Q1386" s="62"/>
      <c r="R1386" s="62"/>
      <c r="S1386" s="62"/>
      <c r="T1386" s="62"/>
      <c r="U1386" s="62"/>
      <c r="V1386" s="62"/>
      <c r="W1386" s="62"/>
      <c r="X1386" s="62"/>
      <c r="Y1386" s="62"/>
      <c r="Z1386" s="62"/>
      <c r="AA1386" s="62"/>
      <c r="AB1386" s="62"/>
      <c r="AC1386" s="62"/>
      <c r="AD1386" s="62"/>
      <c r="AE1386" s="62"/>
      <c r="AF1386" s="62"/>
      <c r="AG1386" s="62"/>
      <c r="AH1386" s="62"/>
      <c r="AI1386" s="62"/>
      <c r="AJ1386" s="62"/>
      <c r="AK1386" s="62"/>
      <c r="AL1386" s="62"/>
      <c r="AM1386" s="61"/>
      <c r="AN1386" s="62"/>
      <c r="AO1386" s="61" t="s">
        <v>4049</v>
      </c>
      <c r="AP1386" s="212"/>
      <c r="AQ1386" s="213"/>
      <c r="AR1386" s="213"/>
      <c r="AS1386" s="213"/>
      <c r="AT1386" s="213"/>
      <c r="AU1386" s="213"/>
      <c r="AV1386" s="213"/>
      <c r="AW1386" s="62"/>
      <c r="AX1386" s="62"/>
      <c r="AY1386" s="62"/>
      <c r="AZ1386" s="62"/>
      <c r="BA1386" s="141"/>
      <c r="BB1386" s="61"/>
      <c r="BC1386" s="165" t="s">
        <v>1615</v>
      </c>
      <c r="BD1386" s="166">
        <f t="shared" si="72"/>
        <v>0.79500000000000004</v>
      </c>
      <c r="BE1386" s="167" t="s">
        <v>1616</v>
      </c>
      <c r="BF1386" s="168">
        <f t="shared" si="73"/>
        <v>0.2</v>
      </c>
      <c r="BG1386" s="167" t="s">
        <v>1617</v>
      </c>
      <c r="BH1386" s="168">
        <f t="shared" si="74"/>
        <v>5.0000000000000001E-3</v>
      </c>
      <c r="BI1386" s="169"/>
      <c r="BJ1386" s="168">
        <v>0</v>
      </c>
      <c r="BK1386" s="134" t="s">
        <v>2151</v>
      </c>
      <c r="BL1386" s="168">
        <f t="shared" si="75"/>
        <v>0.8</v>
      </c>
      <c r="BM1386" s="167" t="s">
        <v>2152</v>
      </c>
      <c r="BN1386" s="168">
        <f t="shared" si="76"/>
        <v>0.2</v>
      </c>
      <c r="BO1386" s="62"/>
      <c r="BP1386" s="168"/>
      <c r="BQ1386" s="168"/>
      <c r="BR1386" s="168"/>
      <c r="BS1386" s="135" t="s">
        <v>1615</v>
      </c>
      <c r="BT1386" s="176">
        <v>0.77500000000000002</v>
      </c>
      <c r="BU1386" s="167" t="s">
        <v>1616</v>
      </c>
      <c r="BV1386" s="168">
        <f t="shared" si="77"/>
        <v>0.2</v>
      </c>
      <c r="BW1386" s="167" t="s">
        <v>2153</v>
      </c>
      <c r="BX1386" s="168"/>
      <c r="BY1386" s="167" t="s">
        <v>1617</v>
      </c>
      <c r="BZ1386" s="176">
        <f t="shared" si="78"/>
        <v>5.0000000000000001E-3</v>
      </c>
      <c r="CA1386" s="167" t="s">
        <v>1621</v>
      </c>
      <c r="CB1386" s="168">
        <f t="shared" si="79"/>
        <v>0</v>
      </c>
      <c r="CC1386" s="62"/>
      <c r="CD1386" s="168"/>
      <c r="CE1386" s="165"/>
      <c r="CF1386" s="242"/>
      <c r="CG1386" s="243"/>
      <c r="CH1386" s="9"/>
      <c r="CI1386" s="243"/>
      <c r="CJ1386" s="243"/>
      <c r="CK1386" s="243"/>
      <c r="CL1386" s="243"/>
      <c r="CM1386" s="243"/>
      <c r="CN1386" s="243"/>
      <c r="CO1386" s="243"/>
      <c r="CP1386" s="9"/>
    </row>
    <row r="1387" spans="1:94" ht="42.75" x14ac:dyDescent="0.25">
      <c r="A1387" s="62" t="s">
        <v>4068</v>
      </c>
      <c r="B1387" s="131" t="s">
        <v>4069</v>
      </c>
      <c r="C1387" s="215"/>
      <c r="D1387" s="215"/>
      <c r="E1387" s="215"/>
      <c r="F1387" s="215"/>
      <c r="G1387" s="215"/>
      <c r="H1387" s="218"/>
      <c r="I1387" s="62"/>
      <c r="J1387" s="62"/>
      <c r="K1387" s="62"/>
      <c r="L1387" s="62"/>
      <c r="M1387" s="62"/>
      <c r="N1387" s="62"/>
      <c r="O1387" s="62"/>
      <c r="P1387" s="62"/>
      <c r="Q1387" s="62"/>
      <c r="R1387" s="62"/>
      <c r="S1387" s="62"/>
      <c r="T1387" s="62"/>
      <c r="U1387" s="62"/>
      <c r="V1387" s="62"/>
      <c r="W1387" s="62"/>
      <c r="X1387" s="62"/>
      <c r="Y1387" s="62"/>
      <c r="Z1387" s="62"/>
      <c r="AA1387" s="62"/>
      <c r="AB1387" s="62"/>
      <c r="AC1387" s="62"/>
      <c r="AD1387" s="62"/>
      <c r="AE1387" s="62"/>
      <c r="AF1387" s="62"/>
      <c r="AG1387" s="62"/>
      <c r="AH1387" s="62"/>
      <c r="AI1387" s="62"/>
      <c r="AJ1387" s="62"/>
      <c r="AK1387" s="62"/>
      <c r="AL1387" s="62"/>
      <c r="AM1387" s="61"/>
      <c r="AN1387" s="62"/>
      <c r="AO1387" s="61" t="s">
        <v>4049</v>
      </c>
      <c r="AP1387" s="212"/>
      <c r="AQ1387" s="213"/>
      <c r="AR1387" s="213"/>
      <c r="AS1387" s="213"/>
      <c r="AT1387" s="213"/>
      <c r="AU1387" s="213"/>
      <c r="AV1387" s="213"/>
      <c r="AW1387" s="62"/>
      <c r="AX1387" s="62"/>
      <c r="AY1387" s="62"/>
      <c r="AZ1387" s="62"/>
      <c r="BA1387" s="141"/>
      <c r="BB1387" s="61"/>
      <c r="BC1387" s="165" t="s">
        <v>1615</v>
      </c>
      <c r="BD1387" s="166">
        <f t="shared" si="72"/>
        <v>0.79500000000000004</v>
      </c>
      <c r="BE1387" s="167" t="s">
        <v>1616</v>
      </c>
      <c r="BF1387" s="168">
        <f t="shared" si="73"/>
        <v>0.2</v>
      </c>
      <c r="BG1387" s="167" t="s">
        <v>1617</v>
      </c>
      <c r="BH1387" s="168">
        <f t="shared" si="74"/>
        <v>5.0000000000000001E-3</v>
      </c>
      <c r="BI1387" s="169"/>
      <c r="BJ1387" s="168">
        <v>0</v>
      </c>
      <c r="BK1387" s="134" t="s">
        <v>2151</v>
      </c>
      <c r="BL1387" s="168">
        <f t="shared" si="75"/>
        <v>0.8</v>
      </c>
      <c r="BM1387" s="167" t="s">
        <v>2152</v>
      </c>
      <c r="BN1387" s="168">
        <f t="shared" si="76"/>
        <v>0.2</v>
      </c>
      <c r="BO1387" s="62"/>
      <c r="BP1387" s="168"/>
      <c r="BQ1387" s="168"/>
      <c r="BR1387" s="168"/>
      <c r="BS1387" s="135" t="s">
        <v>1615</v>
      </c>
      <c r="BT1387" s="176">
        <v>0.77500000000000002</v>
      </c>
      <c r="BU1387" s="167" t="s">
        <v>1616</v>
      </c>
      <c r="BV1387" s="168">
        <f t="shared" si="77"/>
        <v>0.2</v>
      </c>
      <c r="BW1387" s="167" t="s">
        <v>2153</v>
      </c>
      <c r="BX1387" s="168"/>
      <c r="BY1387" s="167" t="s">
        <v>1617</v>
      </c>
      <c r="BZ1387" s="176">
        <f t="shared" si="78"/>
        <v>5.0000000000000001E-3</v>
      </c>
      <c r="CA1387" s="167" t="s">
        <v>1621</v>
      </c>
      <c r="CB1387" s="168">
        <f t="shared" si="79"/>
        <v>0</v>
      </c>
      <c r="CC1387" s="62"/>
      <c r="CD1387" s="168"/>
      <c r="CE1387" s="165"/>
      <c r="CF1387" s="242"/>
      <c r="CG1387" s="243"/>
      <c r="CH1387" s="9"/>
      <c r="CI1387" s="243"/>
      <c r="CJ1387" s="243"/>
      <c r="CK1387" s="243"/>
      <c r="CL1387" s="243"/>
      <c r="CM1387" s="243"/>
      <c r="CN1387" s="243"/>
      <c r="CO1387" s="243"/>
      <c r="CP1387" s="9"/>
    </row>
    <row r="1388" spans="1:94" ht="42.75" x14ac:dyDescent="0.25">
      <c r="A1388" s="62" t="s">
        <v>4070</v>
      </c>
      <c r="B1388" s="131" t="s">
        <v>4071</v>
      </c>
      <c r="C1388" s="215"/>
      <c r="D1388" s="215"/>
      <c r="E1388" s="215"/>
      <c r="F1388" s="215"/>
      <c r="G1388" s="215"/>
      <c r="H1388" s="218"/>
      <c r="I1388" s="62"/>
      <c r="J1388" s="62"/>
      <c r="K1388" s="62"/>
      <c r="L1388" s="62"/>
      <c r="M1388" s="62"/>
      <c r="N1388" s="62"/>
      <c r="O1388" s="62"/>
      <c r="P1388" s="62"/>
      <c r="Q1388" s="62"/>
      <c r="R1388" s="62"/>
      <c r="S1388" s="62"/>
      <c r="T1388" s="62"/>
      <c r="U1388" s="62"/>
      <c r="V1388" s="62"/>
      <c r="W1388" s="62"/>
      <c r="X1388" s="62"/>
      <c r="Y1388" s="62"/>
      <c r="Z1388" s="62"/>
      <c r="AA1388" s="62"/>
      <c r="AB1388" s="62"/>
      <c r="AC1388" s="62"/>
      <c r="AD1388" s="62"/>
      <c r="AE1388" s="62"/>
      <c r="AF1388" s="62"/>
      <c r="AG1388" s="62"/>
      <c r="AH1388" s="62"/>
      <c r="AI1388" s="62"/>
      <c r="AJ1388" s="62"/>
      <c r="AK1388" s="62"/>
      <c r="AL1388" s="62"/>
      <c r="AM1388" s="61"/>
      <c r="AN1388" s="62"/>
      <c r="AO1388" s="61" t="s">
        <v>4049</v>
      </c>
      <c r="AP1388" s="212"/>
      <c r="AQ1388" s="213"/>
      <c r="AR1388" s="213"/>
      <c r="AS1388" s="213"/>
      <c r="AT1388" s="213"/>
      <c r="AU1388" s="213"/>
      <c r="AV1388" s="213"/>
      <c r="AW1388" s="62"/>
      <c r="AX1388" s="62"/>
      <c r="AY1388" s="62"/>
      <c r="AZ1388" s="62"/>
      <c r="BA1388" s="141"/>
      <c r="BB1388" s="61"/>
      <c r="BC1388" s="165" t="s">
        <v>1615</v>
      </c>
      <c r="BD1388" s="166">
        <f t="shared" si="72"/>
        <v>0.79500000000000004</v>
      </c>
      <c r="BE1388" s="167" t="s">
        <v>1616</v>
      </c>
      <c r="BF1388" s="168">
        <f t="shared" si="73"/>
        <v>0.2</v>
      </c>
      <c r="BG1388" s="167" t="s">
        <v>1617</v>
      </c>
      <c r="BH1388" s="168">
        <f t="shared" si="74"/>
        <v>5.0000000000000001E-3</v>
      </c>
      <c r="BI1388" s="169"/>
      <c r="BJ1388" s="168">
        <v>0</v>
      </c>
      <c r="BK1388" s="134" t="s">
        <v>2151</v>
      </c>
      <c r="BL1388" s="168">
        <f t="shared" si="75"/>
        <v>0.8</v>
      </c>
      <c r="BM1388" s="167" t="s">
        <v>2152</v>
      </c>
      <c r="BN1388" s="168">
        <f t="shared" si="76"/>
        <v>0.2</v>
      </c>
      <c r="BO1388" s="62"/>
      <c r="BP1388" s="168"/>
      <c r="BQ1388" s="168"/>
      <c r="BR1388" s="168"/>
      <c r="BS1388" s="135" t="s">
        <v>1615</v>
      </c>
      <c r="BT1388" s="176">
        <v>0.77500000000000002</v>
      </c>
      <c r="BU1388" s="167" t="s">
        <v>1616</v>
      </c>
      <c r="BV1388" s="168">
        <f t="shared" si="77"/>
        <v>0.2</v>
      </c>
      <c r="BW1388" s="167" t="s">
        <v>2153</v>
      </c>
      <c r="BX1388" s="168"/>
      <c r="BY1388" s="167" t="s">
        <v>1617</v>
      </c>
      <c r="BZ1388" s="176">
        <f t="shared" si="78"/>
        <v>5.0000000000000001E-3</v>
      </c>
      <c r="CA1388" s="167" t="s">
        <v>1621</v>
      </c>
      <c r="CB1388" s="168">
        <f t="shared" si="79"/>
        <v>0</v>
      </c>
      <c r="CC1388" s="62"/>
      <c r="CD1388" s="168"/>
      <c r="CE1388" s="165"/>
      <c r="CF1388" s="242"/>
      <c r="CG1388" s="243"/>
      <c r="CH1388" s="9"/>
      <c r="CI1388" s="243"/>
      <c r="CJ1388" s="243"/>
      <c r="CK1388" s="243"/>
      <c r="CL1388" s="243"/>
      <c r="CM1388" s="243"/>
      <c r="CN1388" s="243"/>
      <c r="CO1388" s="243"/>
      <c r="CP1388" s="9"/>
    </row>
    <row r="1389" spans="1:94" ht="42.75" x14ac:dyDescent="0.25">
      <c r="A1389" s="62" t="s">
        <v>4072</v>
      </c>
      <c r="B1389" s="131" t="s">
        <v>4073</v>
      </c>
      <c r="C1389" s="215"/>
      <c r="D1389" s="215"/>
      <c r="E1389" s="215"/>
      <c r="F1389" s="215"/>
      <c r="G1389" s="215"/>
      <c r="H1389" s="218"/>
      <c r="I1389" s="62"/>
      <c r="J1389" s="62"/>
      <c r="K1389" s="62"/>
      <c r="L1389" s="62"/>
      <c r="M1389" s="62"/>
      <c r="N1389" s="62"/>
      <c r="O1389" s="62"/>
      <c r="P1389" s="62"/>
      <c r="Q1389" s="62"/>
      <c r="R1389" s="62"/>
      <c r="S1389" s="62"/>
      <c r="T1389" s="62"/>
      <c r="U1389" s="62"/>
      <c r="V1389" s="62"/>
      <c r="W1389" s="62"/>
      <c r="X1389" s="62"/>
      <c r="Y1389" s="62"/>
      <c r="Z1389" s="62"/>
      <c r="AA1389" s="62"/>
      <c r="AB1389" s="62"/>
      <c r="AC1389" s="62"/>
      <c r="AD1389" s="62"/>
      <c r="AE1389" s="62"/>
      <c r="AF1389" s="62"/>
      <c r="AG1389" s="62"/>
      <c r="AH1389" s="62"/>
      <c r="AI1389" s="62"/>
      <c r="AJ1389" s="62"/>
      <c r="AK1389" s="62"/>
      <c r="AL1389" s="62"/>
      <c r="AM1389" s="61"/>
      <c r="AN1389" s="62"/>
      <c r="AO1389" s="61" t="s">
        <v>4049</v>
      </c>
      <c r="AP1389" s="212"/>
      <c r="AQ1389" s="213"/>
      <c r="AR1389" s="213"/>
      <c r="AS1389" s="213"/>
      <c r="AT1389" s="213"/>
      <c r="AU1389" s="213"/>
      <c r="AV1389" s="213"/>
      <c r="AW1389" s="62"/>
      <c r="AX1389" s="62"/>
      <c r="AY1389" s="62"/>
      <c r="AZ1389" s="62"/>
      <c r="BA1389" s="141"/>
      <c r="BB1389" s="61"/>
      <c r="BC1389" s="165" t="s">
        <v>1615</v>
      </c>
      <c r="BD1389" s="166">
        <f t="shared" si="72"/>
        <v>0.79500000000000004</v>
      </c>
      <c r="BE1389" s="167" t="s">
        <v>1616</v>
      </c>
      <c r="BF1389" s="168">
        <f t="shared" si="73"/>
        <v>0.2</v>
      </c>
      <c r="BG1389" s="167" t="s">
        <v>1617</v>
      </c>
      <c r="BH1389" s="168">
        <f t="shared" si="74"/>
        <v>5.0000000000000001E-3</v>
      </c>
      <c r="BI1389" s="169"/>
      <c r="BJ1389" s="168">
        <v>0</v>
      </c>
      <c r="BK1389" s="134" t="s">
        <v>2151</v>
      </c>
      <c r="BL1389" s="168">
        <f t="shared" si="75"/>
        <v>0.8</v>
      </c>
      <c r="BM1389" s="167" t="s">
        <v>2152</v>
      </c>
      <c r="BN1389" s="168">
        <f t="shared" si="76"/>
        <v>0.2</v>
      </c>
      <c r="BO1389" s="62"/>
      <c r="BP1389" s="168"/>
      <c r="BQ1389" s="168"/>
      <c r="BR1389" s="168"/>
      <c r="BS1389" s="135" t="s">
        <v>1615</v>
      </c>
      <c r="BT1389" s="176">
        <v>0.77500000000000002</v>
      </c>
      <c r="BU1389" s="167" t="s">
        <v>1616</v>
      </c>
      <c r="BV1389" s="168">
        <f t="shared" si="77"/>
        <v>0.2</v>
      </c>
      <c r="BW1389" s="167" t="s">
        <v>2153</v>
      </c>
      <c r="BX1389" s="168"/>
      <c r="BY1389" s="167" t="s">
        <v>1617</v>
      </c>
      <c r="BZ1389" s="176">
        <f t="shared" si="78"/>
        <v>5.0000000000000001E-3</v>
      </c>
      <c r="CA1389" s="167" t="s">
        <v>1621</v>
      </c>
      <c r="CB1389" s="168">
        <f t="shared" si="79"/>
        <v>0</v>
      </c>
      <c r="CC1389" s="62"/>
      <c r="CD1389" s="168"/>
      <c r="CE1389" s="165"/>
      <c r="CF1389" s="242"/>
      <c r="CG1389" s="243"/>
      <c r="CH1389" s="9"/>
      <c r="CI1389" s="243"/>
      <c r="CJ1389" s="243"/>
      <c r="CK1389" s="243"/>
      <c r="CL1389" s="243"/>
      <c r="CM1389" s="243"/>
      <c r="CN1389" s="243"/>
      <c r="CO1389" s="243"/>
      <c r="CP1389" s="9"/>
    </row>
    <row r="1390" spans="1:94" ht="42.75" x14ac:dyDescent="0.25">
      <c r="A1390" s="62" t="s">
        <v>4074</v>
      </c>
      <c r="B1390" s="131" t="s">
        <v>4075</v>
      </c>
      <c r="C1390" s="215"/>
      <c r="D1390" s="215"/>
      <c r="E1390" s="215"/>
      <c r="F1390" s="215"/>
      <c r="G1390" s="215"/>
      <c r="H1390" s="218"/>
      <c r="I1390" s="62"/>
      <c r="J1390" s="62"/>
      <c r="K1390" s="62"/>
      <c r="L1390" s="62"/>
      <c r="M1390" s="62"/>
      <c r="N1390" s="62"/>
      <c r="O1390" s="62"/>
      <c r="P1390" s="62"/>
      <c r="Q1390" s="62"/>
      <c r="R1390" s="62"/>
      <c r="S1390" s="62"/>
      <c r="T1390" s="62"/>
      <c r="U1390" s="62"/>
      <c r="V1390" s="62"/>
      <c r="W1390" s="62"/>
      <c r="X1390" s="62"/>
      <c r="Y1390" s="62"/>
      <c r="Z1390" s="62"/>
      <c r="AA1390" s="62"/>
      <c r="AB1390" s="62"/>
      <c r="AC1390" s="62"/>
      <c r="AD1390" s="62"/>
      <c r="AE1390" s="62"/>
      <c r="AF1390" s="62"/>
      <c r="AG1390" s="62"/>
      <c r="AH1390" s="62"/>
      <c r="AI1390" s="62"/>
      <c r="AJ1390" s="62"/>
      <c r="AK1390" s="62"/>
      <c r="AL1390" s="62"/>
      <c r="AM1390" s="61"/>
      <c r="AN1390" s="62"/>
      <c r="AO1390" s="61" t="s">
        <v>4049</v>
      </c>
      <c r="AP1390" s="212"/>
      <c r="AQ1390" s="213"/>
      <c r="AR1390" s="213"/>
      <c r="AS1390" s="213"/>
      <c r="AT1390" s="213"/>
      <c r="AU1390" s="213"/>
      <c r="AV1390" s="213"/>
      <c r="AW1390" s="62"/>
      <c r="AX1390" s="62"/>
      <c r="AY1390" s="62"/>
      <c r="AZ1390" s="62"/>
      <c r="BA1390" s="141"/>
      <c r="BB1390" s="61"/>
      <c r="BC1390" s="165" t="s">
        <v>1615</v>
      </c>
      <c r="BD1390" s="166">
        <f t="shared" si="72"/>
        <v>0.79500000000000004</v>
      </c>
      <c r="BE1390" s="167" t="s">
        <v>1616</v>
      </c>
      <c r="BF1390" s="168">
        <f t="shared" si="73"/>
        <v>0.2</v>
      </c>
      <c r="BG1390" s="167" t="s">
        <v>1617</v>
      </c>
      <c r="BH1390" s="168">
        <f t="shared" si="74"/>
        <v>5.0000000000000001E-3</v>
      </c>
      <c r="BI1390" s="169"/>
      <c r="BJ1390" s="168">
        <v>0</v>
      </c>
      <c r="BK1390" s="134" t="s">
        <v>2151</v>
      </c>
      <c r="BL1390" s="168">
        <f t="shared" si="75"/>
        <v>0.8</v>
      </c>
      <c r="BM1390" s="167" t="s">
        <v>2152</v>
      </c>
      <c r="BN1390" s="168">
        <f t="shared" si="76"/>
        <v>0.2</v>
      </c>
      <c r="BO1390" s="62"/>
      <c r="BP1390" s="168"/>
      <c r="BQ1390" s="168"/>
      <c r="BR1390" s="168"/>
      <c r="BS1390" s="135" t="s">
        <v>1615</v>
      </c>
      <c r="BT1390" s="176">
        <v>0.77500000000000002</v>
      </c>
      <c r="BU1390" s="167" t="s">
        <v>1616</v>
      </c>
      <c r="BV1390" s="168">
        <f t="shared" si="77"/>
        <v>0.2</v>
      </c>
      <c r="BW1390" s="167" t="s">
        <v>2153</v>
      </c>
      <c r="BX1390" s="168"/>
      <c r="BY1390" s="167" t="s">
        <v>1617</v>
      </c>
      <c r="BZ1390" s="176">
        <f t="shared" si="78"/>
        <v>5.0000000000000001E-3</v>
      </c>
      <c r="CA1390" s="167" t="s">
        <v>1621</v>
      </c>
      <c r="CB1390" s="168">
        <v>0.02</v>
      </c>
      <c r="CC1390" s="62"/>
      <c r="CD1390" s="168"/>
      <c r="CE1390" s="165"/>
      <c r="CF1390" s="242"/>
      <c r="CG1390" s="243"/>
      <c r="CH1390" s="9"/>
      <c r="CI1390" s="243"/>
      <c r="CJ1390" s="243"/>
      <c r="CK1390" s="243"/>
      <c r="CL1390" s="243"/>
      <c r="CM1390" s="243"/>
      <c r="CN1390" s="243"/>
      <c r="CO1390" s="243"/>
      <c r="CP1390" s="9"/>
    </row>
    <row r="1391" spans="1:94" ht="42.75" x14ac:dyDescent="0.25">
      <c r="A1391" s="126" t="s">
        <v>4076</v>
      </c>
      <c r="B1391" s="9" t="s">
        <v>4077</v>
      </c>
      <c r="C1391" s="9"/>
      <c r="D1391" s="9"/>
      <c r="E1391" s="9"/>
      <c r="F1391" s="9"/>
      <c r="G1391" s="9"/>
      <c r="H1391" s="9"/>
      <c r="I1391" s="9"/>
      <c r="J1391" s="9"/>
      <c r="K1391" s="9"/>
      <c r="L1391" s="9"/>
      <c r="M1391" s="9"/>
      <c r="N1391" s="9"/>
      <c r="O1391" s="9"/>
      <c r="P1391" s="9"/>
      <c r="Q1391" s="9"/>
      <c r="R1391" s="9"/>
      <c r="S1391" s="9"/>
      <c r="T1391" s="9"/>
      <c r="U1391" s="9"/>
      <c r="V1391" s="9"/>
      <c r="W1391" s="9"/>
      <c r="X1391" s="9"/>
      <c r="Y1391" s="9"/>
      <c r="Z1391" s="9"/>
      <c r="AA1391" s="9"/>
      <c r="AB1391" s="9"/>
      <c r="AC1391" s="9"/>
      <c r="AD1391" s="9"/>
      <c r="AE1391" s="9"/>
      <c r="AF1391" s="9"/>
      <c r="AG1391" s="9"/>
      <c r="AH1391" s="9"/>
      <c r="AI1391" s="9"/>
      <c r="AJ1391" s="9"/>
      <c r="AK1391" s="9"/>
      <c r="AL1391" s="9"/>
      <c r="AM1391" s="69"/>
      <c r="AN1391" s="9"/>
      <c r="AO1391" s="61" t="s">
        <v>4049</v>
      </c>
      <c r="AP1391" s="210"/>
      <c r="AQ1391" s="211"/>
      <c r="AR1391" s="211"/>
      <c r="AS1391" s="211"/>
      <c r="AT1391" s="211"/>
      <c r="AU1391" s="211"/>
      <c r="AV1391" s="211"/>
      <c r="AW1391" s="9"/>
      <c r="AX1391" s="9"/>
      <c r="AY1391" s="9"/>
      <c r="AZ1391" s="9"/>
      <c r="BA1391" s="120"/>
      <c r="BB1391" s="69"/>
      <c r="BC1391" s="165" t="s">
        <v>1615</v>
      </c>
      <c r="BD1391" s="166">
        <f t="shared" si="72"/>
        <v>0.79500000000000004</v>
      </c>
      <c r="BE1391" s="167" t="s">
        <v>1616</v>
      </c>
      <c r="BF1391" s="168">
        <f t="shared" si="73"/>
        <v>0.2</v>
      </c>
      <c r="BG1391" s="167" t="s">
        <v>1617</v>
      </c>
      <c r="BH1391" s="168">
        <f t="shared" si="74"/>
        <v>5.0000000000000001E-3</v>
      </c>
      <c r="BI1391" s="169"/>
      <c r="BJ1391" s="168">
        <v>0</v>
      </c>
      <c r="BK1391" s="134" t="s">
        <v>2151</v>
      </c>
      <c r="BL1391" s="168">
        <f t="shared" si="75"/>
        <v>0.8</v>
      </c>
      <c r="BM1391" s="167" t="s">
        <v>2152</v>
      </c>
      <c r="BN1391" s="168">
        <f t="shared" si="76"/>
        <v>0.2</v>
      </c>
      <c r="BO1391" s="62"/>
      <c r="BP1391" s="168"/>
      <c r="BQ1391" s="168"/>
      <c r="BR1391" s="168"/>
      <c r="BS1391" s="135" t="s">
        <v>1615</v>
      </c>
      <c r="BT1391" s="176">
        <v>0.77500000000000002</v>
      </c>
      <c r="BU1391" s="167" t="s">
        <v>1616</v>
      </c>
      <c r="BV1391" s="168">
        <f t="shared" si="77"/>
        <v>0.2</v>
      </c>
      <c r="BW1391" s="167" t="s">
        <v>2153</v>
      </c>
      <c r="BX1391" s="168"/>
      <c r="BY1391" s="167" t="s">
        <v>1617</v>
      </c>
      <c r="BZ1391" s="176">
        <f t="shared" si="78"/>
        <v>5.0000000000000001E-3</v>
      </c>
      <c r="CA1391" s="167" t="s">
        <v>1621</v>
      </c>
      <c r="CB1391" s="168">
        <v>0.02</v>
      </c>
      <c r="CC1391" s="62"/>
      <c r="CD1391" s="9"/>
      <c r="CE1391" s="9"/>
      <c r="CF1391" s="9"/>
      <c r="CG1391" s="9"/>
      <c r="CH1391" s="9"/>
      <c r="CI1391" s="9"/>
      <c r="CJ1391" s="9"/>
      <c r="CK1391" s="9"/>
      <c r="CL1391" s="9"/>
      <c r="CM1391" s="9"/>
      <c r="CN1391" s="9"/>
      <c r="CO1391" s="9"/>
      <c r="CP1391" s="9"/>
    </row>
    <row r="1392" spans="1:94" ht="42.75" x14ac:dyDescent="0.25">
      <c r="A1392" s="9" t="s">
        <v>4078</v>
      </c>
      <c r="B1392" s="9" t="s">
        <v>4079</v>
      </c>
      <c r="C1392" s="9"/>
      <c r="D1392" s="9"/>
      <c r="E1392" s="9"/>
      <c r="F1392" s="9"/>
      <c r="G1392" s="9"/>
      <c r="H1392" s="9"/>
      <c r="I1392" s="9"/>
      <c r="J1392" s="9"/>
      <c r="K1392" s="9"/>
      <c r="L1392" s="9"/>
      <c r="M1392" s="9"/>
      <c r="N1392" s="9"/>
      <c r="O1392" s="9"/>
      <c r="P1392" s="9"/>
      <c r="Q1392" s="9"/>
      <c r="R1392" s="9"/>
      <c r="S1392" s="9"/>
      <c r="T1392" s="9"/>
      <c r="U1392" s="9"/>
      <c r="V1392" s="9"/>
      <c r="W1392" s="9"/>
      <c r="X1392" s="9"/>
      <c r="Y1392" s="9"/>
      <c r="Z1392" s="9"/>
      <c r="AA1392" s="9"/>
      <c r="AB1392" s="9"/>
      <c r="AC1392" s="9"/>
      <c r="AD1392" s="9"/>
      <c r="AE1392" s="9"/>
      <c r="AF1392" s="9"/>
      <c r="AG1392" s="9"/>
      <c r="AH1392" s="9"/>
      <c r="AI1392" s="9"/>
      <c r="AJ1392" s="9"/>
      <c r="AK1392" s="9"/>
      <c r="AL1392" s="9"/>
      <c r="AM1392" s="69"/>
      <c r="AN1392" s="9"/>
      <c r="AO1392" s="69" t="s">
        <v>2150</v>
      </c>
      <c r="AP1392" s="210"/>
      <c r="AQ1392" s="211"/>
      <c r="AR1392" s="211"/>
      <c r="AS1392" s="211"/>
      <c r="AT1392" s="211"/>
      <c r="AU1392" s="211"/>
      <c r="AV1392" s="211"/>
      <c r="AW1392" s="9"/>
      <c r="AX1392" s="9"/>
      <c r="AY1392" s="9"/>
      <c r="AZ1392" s="9"/>
      <c r="BA1392" s="120"/>
      <c r="BB1392" s="69"/>
      <c r="BC1392" s="165" t="s">
        <v>1615</v>
      </c>
      <c r="BD1392" s="166">
        <f t="shared" si="72"/>
        <v>0.79500000000000004</v>
      </c>
      <c r="BE1392" s="167" t="s">
        <v>1616</v>
      </c>
      <c r="BF1392" s="168">
        <f t="shared" si="73"/>
        <v>0.2</v>
      </c>
      <c r="BG1392" s="167" t="s">
        <v>1617</v>
      </c>
      <c r="BH1392" s="168">
        <f t="shared" si="74"/>
        <v>5.0000000000000001E-3</v>
      </c>
      <c r="BI1392" s="169"/>
      <c r="BJ1392" s="168">
        <v>0</v>
      </c>
      <c r="BK1392" s="134" t="s">
        <v>2151</v>
      </c>
      <c r="BL1392" s="168">
        <f t="shared" si="75"/>
        <v>0.8</v>
      </c>
      <c r="BM1392" s="167" t="s">
        <v>2152</v>
      </c>
      <c r="BN1392" s="168">
        <f t="shared" si="76"/>
        <v>0.2</v>
      </c>
      <c r="BO1392" s="62"/>
      <c r="BP1392" s="168"/>
      <c r="BQ1392" s="168"/>
      <c r="BR1392" s="168"/>
      <c r="BS1392" s="135" t="s">
        <v>1615</v>
      </c>
      <c r="BT1392" s="176">
        <v>0.77500000000000002</v>
      </c>
      <c r="BU1392" s="167" t="s">
        <v>1616</v>
      </c>
      <c r="BV1392" s="168">
        <f t="shared" si="77"/>
        <v>0.2</v>
      </c>
      <c r="BW1392" s="167" t="s">
        <v>2153</v>
      </c>
      <c r="BX1392" s="168"/>
      <c r="BY1392" s="167" t="s">
        <v>1617</v>
      </c>
      <c r="BZ1392" s="176">
        <f t="shared" si="78"/>
        <v>5.0000000000000001E-3</v>
      </c>
      <c r="CA1392" s="167" t="s">
        <v>1621</v>
      </c>
      <c r="CB1392" s="168">
        <v>0.02</v>
      </c>
      <c r="CC1392" s="9"/>
      <c r="CD1392" s="9"/>
      <c r="CE1392" s="9"/>
      <c r="CF1392" s="9"/>
      <c r="CG1392" s="9"/>
      <c r="CH1392" s="9"/>
      <c r="CI1392" s="9"/>
      <c r="CJ1392" s="9"/>
      <c r="CK1392" s="9"/>
      <c r="CL1392" s="9"/>
      <c r="CM1392" s="9"/>
      <c r="CN1392" s="9"/>
      <c r="CO1392" s="9"/>
      <c r="CP1392" s="9"/>
    </row>
    <row r="1393" spans="1:94" ht="42.75" x14ac:dyDescent="0.25">
      <c r="A1393" s="126" t="s">
        <v>4080</v>
      </c>
      <c r="B1393" s="9" t="s">
        <v>4081</v>
      </c>
      <c r="C1393" s="9"/>
      <c r="D1393" s="9"/>
      <c r="E1393" s="9"/>
      <c r="F1393" s="9"/>
      <c r="G1393" s="9"/>
      <c r="H1393" s="9"/>
      <c r="I1393" s="9"/>
      <c r="J1393" s="9"/>
      <c r="K1393" s="9"/>
      <c r="L1393" s="9"/>
      <c r="M1393" s="9"/>
      <c r="N1393" s="9"/>
      <c r="O1393" s="9"/>
      <c r="P1393" s="9"/>
      <c r="Q1393" s="9"/>
      <c r="R1393" s="9"/>
      <c r="S1393" s="9"/>
      <c r="T1393" s="9"/>
      <c r="U1393" s="9"/>
      <c r="V1393" s="9"/>
      <c r="W1393" s="9"/>
      <c r="X1393" s="9"/>
      <c r="Y1393" s="9"/>
      <c r="Z1393" s="9"/>
      <c r="AA1393" s="9"/>
      <c r="AB1393" s="9"/>
      <c r="AC1393" s="9"/>
      <c r="AD1393" s="9"/>
      <c r="AE1393" s="9"/>
      <c r="AF1393" s="9"/>
      <c r="AG1393" s="9"/>
      <c r="AH1393" s="9"/>
      <c r="AI1393" s="9"/>
      <c r="AJ1393" s="9"/>
      <c r="AK1393" s="9"/>
      <c r="AL1393" s="9"/>
      <c r="AM1393" s="69"/>
      <c r="AN1393" s="9"/>
      <c r="AO1393" s="61" t="s">
        <v>4049</v>
      </c>
      <c r="AP1393" s="210"/>
      <c r="AQ1393" s="211"/>
      <c r="AR1393" s="211"/>
      <c r="AS1393" s="211"/>
      <c r="AT1393" s="211"/>
      <c r="AU1393" s="211"/>
      <c r="AV1393" s="211"/>
      <c r="AW1393" s="9"/>
      <c r="AX1393" s="9"/>
      <c r="AY1393" s="9"/>
      <c r="AZ1393" s="9"/>
      <c r="BA1393" s="120"/>
      <c r="BB1393" s="69"/>
      <c r="BC1393" s="165" t="s">
        <v>1615</v>
      </c>
      <c r="BD1393" s="166">
        <f t="shared" si="72"/>
        <v>0.79500000000000004</v>
      </c>
      <c r="BE1393" s="167" t="s">
        <v>1616</v>
      </c>
      <c r="BF1393" s="168">
        <f t="shared" si="73"/>
        <v>0.2</v>
      </c>
      <c r="BG1393" s="167" t="s">
        <v>1617</v>
      </c>
      <c r="BH1393" s="168">
        <f t="shared" si="74"/>
        <v>5.0000000000000001E-3</v>
      </c>
      <c r="BI1393" s="169"/>
      <c r="BJ1393" s="168">
        <v>0</v>
      </c>
      <c r="BK1393" s="134" t="s">
        <v>2151</v>
      </c>
      <c r="BL1393" s="168">
        <f t="shared" si="75"/>
        <v>0.8</v>
      </c>
      <c r="BM1393" s="167" t="s">
        <v>2152</v>
      </c>
      <c r="BN1393" s="168">
        <f t="shared" si="76"/>
        <v>0.2</v>
      </c>
      <c r="BO1393" s="62"/>
      <c r="BP1393" s="168"/>
      <c r="BQ1393" s="168"/>
      <c r="BR1393" s="168"/>
      <c r="BS1393" s="135" t="s">
        <v>1615</v>
      </c>
      <c r="BT1393" s="176">
        <v>0.77500000000000002</v>
      </c>
      <c r="BU1393" s="167" t="s">
        <v>1616</v>
      </c>
      <c r="BV1393" s="168">
        <f t="shared" si="77"/>
        <v>0.2</v>
      </c>
      <c r="BW1393" s="167" t="s">
        <v>2153</v>
      </c>
      <c r="BX1393" s="168"/>
      <c r="BY1393" s="167" t="s">
        <v>1617</v>
      </c>
      <c r="BZ1393" s="176">
        <f t="shared" si="78"/>
        <v>5.0000000000000001E-3</v>
      </c>
      <c r="CA1393" s="167" t="s">
        <v>1621</v>
      </c>
      <c r="CB1393" s="168">
        <v>0.02</v>
      </c>
      <c r="CC1393" s="62"/>
      <c r="CD1393" s="168"/>
      <c r="CE1393" s="9"/>
      <c r="CF1393" s="9"/>
      <c r="CG1393" s="9"/>
      <c r="CH1393" s="9"/>
      <c r="CI1393" s="9"/>
      <c r="CJ1393" s="9"/>
      <c r="CK1393" s="9"/>
      <c r="CL1393" s="9"/>
      <c r="CM1393" s="9"/>
      <c r="CN1393" s="9"/>
      <c r="CO1393" s="9"/>
      <c r="CP1393" s="9"/>
    </row>
    <row r="1394" spans="1:94" ht="42.75" x14ac:dyDescent="0.25">
      <c r="A1394" s="126" t="s">
        <v>4082</v>
      </c>
      <c r="B1394" s="9" t="s">
        <v>4083</v>
      </c>
      <c r="C1394" s="9"/>
      <c r="D1394" s="9"/>
      <c r="E1394" s="9"/>
      <c r="F1394" s="9"/>
      <c r="G1394" s="9"/>
      <c r="H1394" s="9"/>
      <c r="I1394" s="9"/>
      <c r="J1394" s="9"/>
      <c r="K1394" s="9"/>
      <c r="L1394" s="9"/>
      <c r="M1394" s="9"/>
      <c r="N1394" s="9"/>
      <c r="O1394" s="9"/>
      <c r="P1394" s="9"/>
      <c r="Q1394" s="9"/>
      <c r="R1394" s="9"/>
      <c r="S1394" s="9"/>
      <c r="T1394" s="9"/>
      <c r="U1394" s="9"/>
      <c r="V1394" s="9"/>
      <c r="W1394" s="9"/>
      <c r="X1394" s="9"/>
      <c r="Y1394" s="9"/>
      <c r="Z1394" s="9"/>
      <c r="AA1394" s="9"/>
      <c r="AB1394" s="9"/>
      <c r="AC1394" s="9"/>
      <c r="AD1394" s="9"/>
      <c r="AE1394" s="9"/>
      <c r="AF1394" s="9"/>
      <c r="AG1394" s="9"/>
      <c r="AH1394" s="9"/>
      <c r="AI1394" s="9"/>
      <c r="AJ1394" s="9"/>
      <c r="AK1394" s="9"/>
      <c r="AL1394" s="9"/>
      <c r="AM1394" s="69"/>
      <c r="AN1394" s="9"/>
      <c r="AO1394" s="61" t="s">
        <v>4049</v>
      </c>
      <c r="AP1394" s="210"/>
      <c r="AQ1394" s="211"/>
      <c r="AR1394" s="211"/>
      <c r="AS1394" s="211"/>
      <c r="AT1394" s="211"/>
      <c r="AU1394" s="211"/>
      <c r="AV1394" s="211"/>
      <c r="AW1394" s="9"/>
      <c r="AX1394" s="9"/>
      <c r="AY1394" s="9"/>
      <c r="AZ1394" s="9"/>
      <c r="BA1394" s="120"/>
      <c r="BB1394" s="69"/>
      <c r="BC1394" s="165" t="s">
        <v>1615</v>
      </c>
      <c r="BD1394" s="166">
        <f t="shared" si="72"/>
        <v>0.79500000000000004</v>
      </c>
      <c r="BE1394" s="167" t="s">
        <v>1616</v>
      </c>
      <c r="BF1394" s="168">
        <f t="shared" si="73"/>
        <v>0.2</v>
      </c>
      <c r="BG1394" s="167" t="s">
        <v>1617</v>
      </c>
      <c r="BH1394" s="168">
        <f t="shared" si="74"/>
        <v>5.0000000000000001E-3</v>
      </c>
      <c r="BI1394" s="169"/>
      <c r="BJ1394" s="168">
        <v>0</v>
      </c>
      <c r="BK1394" s="134" t="s">
        <v>2151</v>
      </c>
      <c r="BL1394" s="168">
        <f t="shared" si="75"/>
        <v>0.8</v>
      </c>
      <c r="BM1394" s="167" t="s">
        <v>2152</v>
      </c>
      <c r="BN1394" s="168">
        <f t="shared" si="76"/>
        <v>0.2</v>
      </c>
      <c r="BO1394" s="62"/>
      <c r="BP1394" s="168"/>
      <c r="BQ1394" s="168"/>
      <c r="BR1394" s="168"/>
      <c r="BS1394" s="135" t="s">
        <v>1615</v>
      </c>
      <c r="BT1394" s="176">
        <v>0.77500000000000002</v>
      </c>
      <c r="BU1394" s="167" t="s">
        <v>1616</v>
      </c>
      <c r="BV1394" s="168">
        <f t="shared" si="77"/>
        <v>0.2</v>
      </c>
      <c r="BW1394" s="167" t="s">
        <v>2153</v>
      </c>
      <c r="BX1394" s="168"/>
      <c r="BY1394" s="167" t="s">
        <v>1617</v>
      </c>
      <c r="BZ1394" s="176">
        <f t="shared" si="78"/>
        <v>5.0000000000000001E-3</v>
      </c>
      <c r="CA1394" s="167" t="s">
        <v>1621</v>
      </c>
      <c r="CB1394" s="168">
        <v>0.02</v>
      </c>
      <c r="CC1394" s="62"/>
      <c r="CD1394" s="168"/>
      <c r="CE1394" s="9"/>
      <c r="CF1394" s="9"/>
      <c r="CG1394" s="9"/>
      <c r="CH1394" s="9"/>
      <c r="CI1394" s="9"/>
      <c r="CJ1394" s="9"/>
      <c r="CK1394" s="9"/>
      <c r="CL1394" s="9"/>
      <c r="CM1394" s="9"/>
      <c r="CN1394" s="9"/>
      <c r="CO1394" s="9"/>
      <c r="CP1394" s="9"/>
    </row>
    <row r="1395" spans="1:94" ht="42.75" x14ac:dyDescent="0.25">
      <c r="A1395" s="126" t="s">
        <v>4084</v>
      </c>
      <c r="B1395" s="9" t="s">
        <v>4085</v>
      </c>
      <c r="C1395" s="9"/>
      <c r="D1395" s="9"/>
      <c r="E1395" s="9"/>
      <c r="F1395" s="9"/>
      <c r="G1395" s="9"/>
      <c r="H1395" s="9"/>
      <c r="I1395" s="9"/>
      <c r="J1395" s="9"/>
      <c r="K1395" s="9"/>
      <c r="L1395" s="9"/>
      <c r="M1395" s="9"/>
      <c r="N1395" s="9"/>
      <c r="O1395" s="9"/>
      <c r="P1395" s="9"/>
      <c r="Q1395" s="9"/>
      <c r="R1395" s="9"/>
      <c r="S1395" s="9"/>
      <c r="T1395" s="9"/>
      <c r="U1395" s="9"/>
      <c r="V1395" s="9"/>
      <c r="W1395" s="9"/>
      <c r="X1395" s="9"/>
      <c r="Y1395" s="9"/>
      <c r="Z1395" s="9"/>
      <c r="AA1395" s="9"/>
      <c r="AB1395" s="9"/>
      <c r="AC1395" s="9"/>
      <c r="AD1395" s="9"/>
      <c r="AE1395" s="9"/>
      <c r="AF1395" s="9"/>
      <c r="AG1395" s="9"/>
      <c r="AH1395" s="9"/>
      <c r="AI1395" s="9"/>
      <c r="AJ1395" s="9"/>
      <c r="AK1395" s="9"/>
      <c r="AL1395" s="9"/>
      <c r="AM1395" s="69"/>
      <c r="AN1395" s="9"/>
      <c r="AO1395" s="61" t="s">
        <v>4049</v>
      </c>
      <c r="AP1395" s="210"/>
      <c r="AQ1395" s="211"/>
      <c r="AR1395" s="211"/>
      <c r="AS1395" s="211"/>
      <c r="AT1395" s="211"/>
      <c r="AU1395" s="211"/>
      <c r="AV1395" s="211"/>
      <c r="AW1395" s="9"/>
      <c r="AX1395" s="9"/>
      <c r="AY1395" s="9"/>
      <c r="AZ1395" s="9"/>
      <c r="BA1395" s="120"/>
      <c r="BB1395" s="69"/>
      <c r="BC1395" s="165" t="s">
        <v>1615</v>
      </c>
      <c r="BD1395" s="166">
        <f t="shared" si="72"/>
        <v>0.79500000000000004</v>
      </c>
      <c r="BE1395" s="167" t="s">
        <v>1616</v>
      </c>
      <c r="BF1395" s="168">
        <f t="shared" si="73"/>
        <v>0.2</v>
      </c>
      <c r="BG1395" s="167" t="s">
        <v>1617</v>
      </c>
      <c r="BH1395" s="168">
        <f t="shared" si="74"/>
        <v>5.0000000000000001E-3</v>
      </c>
      <c r="BI1395" s="169"/>
      <c r="BJ1395" s="168">
        <v>0</v>
      </c>
      <c r="BK1395" s="134" t="s">
        <v>2151</v>
      </c>
      <c r="BL1395" s="168">
        <f t="shared" si="75"/>
        <v>0.8</v>
      </c>
      <c r="BM1395" s="167" t="s">
        <v>2152</v>
      </c>
      <c r="BN1395" s="168">
        <f t="shared" si="76"/>
        <v>0.2</v>
      </c>
      <c r="BO1395" s="62"/>
      <c r="BP1395" s="168"/>
      <c r="BQ1395" s="168"/>
      <c r="BR1395" s="168"/>
      <c r="BS1395" s="135" t="s">
        <v>1615</v>
      </c>
      <c r="BT1395" s="176">
        <v>0.77500000000000002</v>
      </c>
      <c r="BU1395" s="167" t="s">
        <v>1616</v>
      </c>
      <c r="BV1395" s="168">
        <f t="shared" si="77"/>
        <v>0.2</v>
      </c>
      <c r="BW1395" s="167" t="s">
        <v>2153</v>
      </c>
      <c r="BX1395" s="168"/>
      <c r="BY1395" s="167" t="s">
        <v>1617</v>
      </c>
      <c r="BZ1395" s="176">
        <f t="shared" si="78"/>
        <v>5.0000000000000001E-3</v>
      </c>
      <c r="CA1395" s="167" t="s">
        <v>1621</v>
      </c>
      <c r="CB1395" s="168">
        <v>0.02</v>
      </c>
      <c r="CC1395" s="62"/>
      <c r="CD1395" s="168"/>
      <c r="CE1395" s="9"/>
      <c r="CF1395" s="9"/>
      <c r="CG1395" s="9"/>
      <c r="CH1395" s="9"/>
      <c r="CI1395" s="9"/>
      <c r="CJ1395" s="9"/>
      <c r="CK1395" s="9"/>
      <c r="CL1395" s="9"/>
      <c r="CM1395" s="9"/>
      <c r="CN1395" s="9"/>
      <c r="CO1395" s="9"/>
      <c r="CP1395" s="9"/>
    </row>
    <row r="1396" spans="1:94" ht="42.75" x14ac:dyDescent="0.25">
      <c r="A1396" s="126" t="s">
        <v>4086</v>
      </c>
      <c r="B1396" s="9" t="s">
        <v>4087</v>
      </c>
      <c r="C1396" s="9"/>
      <c r="D1396" s="9"/>
      <c r="E1396" s="9"/>
      <c r="F1396" s="9"/>
      <c r="G1396" s="9"/>
      <c r="H1396" s="9"/>
      <c r="I1396" s="9"/>
      <c r="J1396" s="9"/>
      <c r="K1396" s="9"/>
      <c r="L1396" s="9"/>
      <c r="M1396" s="9"/>
      <c r="N1396" s="9"/>
      <c r="O1396" s="9"/>
      <c r="P1396" s="9"/>
      <c r="Q1396" s="9"/>
      <c r="R1396" s="9"/>
      <c r="S1396" s="9"/>
      <c r="T1396" s="9"/>
      <c r="U1396" s="9"/>
      <c r="V1396" s="9"/>
      <c r="W1396" s="9"/>
      <c r="X1396" s="9"/>
      <c r="Y1396" s="9"/>
      <c r="Z1396" s="9"/>
      <c r="AA1396" s="9"/>
      <c r="AB1396" s="9"/>
      <c r="AC1396" s="9"/>
      <c r="AD1396" s="9"/>
      <c r="AE1396" s="9"/>
      <c r="AF1396" s="9"/>
      <c r="AG1396" s="9"/>
      <c r="AH1396" s="9"/>
      <c r="AI1396" s="9"/>
      <c r="AJ1396" s="9"/>
      <c r="AK1396" s="9"/>
      <c r="AL1396" s="9"/>
      <c r="AM1396" s="69"/>
      <c r="AN1396" s="9"/>
      <c r="AO1396" s="61" t="s">
        <v>4049</v>
      </c>
      <c r="AP1396" s="210"/>
      <c r="AQ1396" s="211"/>
      <c r="AR1396" s="211"/>
      <c r="AS1396" s="211"/>
      <c r="AT1396" s="211"/>
      <c r="AU1396" s="211"/>
      <c r="AV1396" s="211"/>
      <c r="AW1396" s="9"/>
      <c r="AX1396" s="9"/>
      <c r="AY1396" s="9"/>
      <c r="AZ1396" s="9"/>
      <c r="BA1396" s="120"/>
      <c r="BB1396" s="69"/>
      <c r="BC1396" s="165" t="s">
        <v>1615</v>
      </c>
      <c r="BD1396" s="166">
        <f t="shared" si="72"/>
        <v>0.79500000000000004</v>
      </c>
      <c r="BE1396" s="167" t="s">
        <v>1616</v>
      </c>
      <c r="BF1396" s="168">
        <f t="shared" si="73"/>
        <v>0.2</v>
      </c>
      <c r="BG1396" s="167" t="s">
        <v>1617</v>
      </c>
      <c r="BH1396" s="168">
        <f t="shared" si="74"/>
        <v>5.0000000000000001E-3</v>
      </c>
      <c r="BI1396" s="169"/>
      <c r="BJ1396" s="168">
        <v>0</v>
      </c>
      <c r="BK1396" s="134" t="s">
        <v>2151</v>
      </c>
      <c r="BL1396" s="168">
        <f t="shared" si="75"/>
        <v>0.8</v>
      </c>
      <c r="BM1396" s="167" t="s">
        <v>2152</v>
      </c>
      <c r="BN1396" s="168">
        <f t="shared" si="76"/>
        <v>0.2</v>
      </c>
      <c r="BO1396" s="62"/>
      <c r="BP1396" s="168"/>
      <c r="BQ1396" s="168"/>
      <c r="BR1396" s="168"/>
      <c r="BS1396" s="135" t="s">
        <v>1615</v>
      </c>
      <c r="BT1396" s="176">
        <v>0.77500000000000002</v>
      </c>
      <c r="BU1396" s="167" t="s">
        <v>1616</v>
      </c>
      <c r="BV1396" s="168">
        <f t="shared" si="77"/>
        <v>0.2</v>
      </c>
      <c r="BW1396" s="167" t="s">
        <v>2153</v>
      </c>
      <c r="BX1396" s="168"/>
      <c r="BY1396" s="167" t="s">
        <v>1617</v>
      </c>
      <c r="BZ1396" s="176">
        <f t="shared" si="78"/>
        <v>5.0000000000000001E-3</v>
      </c>
      <c r="CA1396" s="167" t="s">
        <v>1621</v>
      </c>
      <c r="CB1396" s="168">
        <v>0.02</v>
      </c>
      <c r="CC1396" s="62"/>
      <c r="CD1396" s="168"/>
      <c r="CE1396" s="9"/>
      <c r="CF1396" s="9"/>
      <c r="CG1396" s="9"/>
      <c r="CH1396" s="9"/>
      <c r="CI1396" s="9"/>
      <c r="CJ1396" s="9"/>
      <c r="CK1396" s="9"/>
      <c r="CL1396" s="9"/>
      <c r="CM1396" s="9"/>
      <c r="CN1396" s="9"/>
      <c r="CO1396" s="9"/>
      <c r="CP1396" s="9"/>
    </row>
    <row r="1397" spans="1:94" ht="42.75" x14ac:dyDescent="0.25">
      <c r="A1397" s="126" t="s">
        <v>4088</v>
      </c>
      <c r="B1397" s="9" t="s">
        <v>4089</v>
      </c>
      <c r="C1397" s="9"/>
      <c r="D1397" s="9"/>
      <c r="E1397" s="9"/>
      <c r="F1397" s="9"/>
      <c r="G1397" s="9"/>
      <c r="H1397" s="9"/>
      <c r="I1397" s="9"/>
      <c r="J1397" s="9"/>
      <c r="K1397" s="9"/>
      <c r="L1397" s="9"/>
      <c r="M1397" s="9"/>
      <c r="N1397" s="9"/>
      <c r="O1397" s="9"/>
      <c r="P1397" s="9"/>
      <c r="Q1397" s="9"/>
      <c r="R1397" s="9"/>
      <c r="S1397" s="9"/>
      <c r="T1397" s="9"/>
      <c r="U1397" s="9"/>
      <c r="V1397" s="9"/>
      <c r="W1397" s="9"/>
      <c r="X1397" s="9"/>
      <c r="Y1397" s="9"/>
      <c r="Z1397" s="9"/>
      <c r="AA1397" s="9"/>
      <c r="AB1397" s="9"/>
      <c r="AC1397" s="9"/>
      <c r="AD1397" s="9"/>
      <c r="AE1397" s="9"/>
      <c r="AF1397" s="9"/>
      <c r="AG1397" s="9"/>
      <c r="AH1397" s="9"/>
      <c r="AI1397" s="9"/>
      <c r="AJ1397" s="9"/>
      <c r="AK1397" s="9"/>
      <c r="AL1397" s="9"/>
      <c r="AM1397" s="69"/>
      <c r="AN1397" s="9"/>
      <c r="AO1397" s="61" t="s">
        <v>4049</v>
      </c>
      <c r="AP1397" s="210"/>
      <c r="AQ1397" s="211"/>
      <c r="AR1397" s="211"/>
      <c r="AS1397" s="211"/>
      <c r="AT1397" s="211"/>
      <c r="AU1397" s="211"/>
      <c r="AV1397" s="211"/>
      <c r="AW1397" s="9"/>
      <c r="AX1397" s="9"/>
      <c r="AY1397" s="9"/>
      <c r="AZ1397" s="9"/>
      <c r="BA1397" s="120"/>
      <c r="BB1397" s="69"/>
      <c r="BC1397" s="165" t="s">
        <v>1615</v>
      </c>
      <c r="BD1397" s="166">
        <f t="shared" si="72"/>
        <v>0.79500000000000004</v>
      </c>
      <c r="BE1397" s="167" t="s">
        <v>1616</v>
      </c>
      <c r="BF1397" s="168">
        <f t="shared" si="73"/>
        <v>0.2</v>
      </c>
      <c r="BG1397" s="167" t="s">
        <v>1617</v>
      </c>
      <c r="BH1397" s="168">
        <f t="shared" si="74"/>
        <v>5.0000000000000001E-3</v>
      </c>
      <c r="BI1397" s="169"/>
      <c r="BJ1397" s="168">
        <v>0</v>
      </c>
      <c r="BK1397" s="134" t="s">
        <v>2151</v>
      </c>
      <c r="BL1397" s="168">
        <f t="shared" si="75"/>
        <v>0.8</v>
      </c>
      <c r="BM1397" s="167" t="s">
        <v>2152</v>
      </c>
      <c r="BN1397" s="168">
        <f t="shared" si="76"/>
        <v>0.2</v>
      </c>
      <c r="BO1397" s="62"/>
      <c r="BP1397" s="168"/>
      <c r="BQ1397" s="168"/>
      <c r="BR1397" s="168"/>
      <c r="BS1397" s="135" t="s">
        <v>1615</v>
      </c>
      <c r="BT1397" s="176">
        <v>0.77500000000000002</v>
      </c>
      <c r="BU1397" s="167" t="s">
        <v>1616</v>
      </c>
      <c r="BV1397" s="168">
        <f t="shared" si="77"/>
        <v>0.2</v>
      </c>
      <c r="BW1397" s="167" t="s">
        <v>2153</v>
      </c>
      <c r="BX1397" s="168"/>
      <c r="BY1397" s="167" t="s">
        <v>1617</v>
      </c>
      <c r="BZ1397" s="176">
        <f t="shared" si="78"/>
        <v>5.0000000000000001E-3</v>
      </c>
      <c r="CA1397" s="167" t="s">
        <v>1621</v>
      </c>
      <c r="CB1397" s="168">
        <v>0.02</v>
      </c>
      <c r="CC1397" s="62"/>
      <c r="CD1397" s="168"/>
      <c r="CE1397" s="9"/>
      <c r="CF1397" s="9"/>
      <c r="CG1397" s="9"/>
      <c r="CH1397" s="9"/>
      <c r="CI1397" s="9"/>
      <c r="CJ1397" s="9"/>
      <c r="CK1397" s="9"/>
      <c r="CL1397" s="9"/>
      <c r="CM1397" s="9"/>
      <c r="CN1397" s="9"/>
      <c r="CO1397" s="9"/>
      <c r="CP1397" s="9"/>
    </row>
    <row r="1398" spans="1:94" ht="42.75" x14ac:dyDescent="0.25">
      <c r="A1398" s="126" t="s">
        <v>4090</v>
      </c>
      <c r="B1398" s="9" t="s">
        <v>4091</v>
      </c>
      <c r="C1398" s="9"/>
      <c r="D1398" s="9"/>
      <c r="E1398" s="9"/>
      <c r="F1398" s="9"/>
      <c r="G1398" s="9"/>
      <c r="H1398" s="9"/>
      <c r="I1398" s="9"/>
      <c r="J1398" s="9"/>
      <c r="K1398" s="9"/>
      <c r="L1398" s="9"/>
      <c r="M1398" s="9"/>
      <c r="N1398" s="9"/>
      <c r="O1398" s="9"/>
      <c r="P1398" s="9"/>
      <c r="Q1398" s="9"/>
      <c r="R1398" s="9"/>
      <c r="S1398" s="9"/>
      <c r="T1398" s="9"/>
      <c r="U1398" s="9"/>
      <c r="V1398" s="9"/>
      <c r="W1398" s="9"/>
      <c r="X1398" s="9"/>
      <c r="Y1398" s="9"/>
      <c r="Z1398" s="9"/>
      <c r="AA1398" s="9"/>
      <c r="AB1398" s="9"/>
      <c r="AC1398" s="9"/>
      <c r="AD1398" s="9"/>
      <c r="AE1398" s="9"/>
      <c r="AF1398" s="9"/>
      <c r="AG1398" s="9"/>
      <c r="AH1398" s="9"/>
      <c r="AI1398" s="9"/>
      <c r="AJ1398" s="9"/>
      <c r="AK1398" s="9"/>
      <c r="AL1398" s="9"/>
      <c r="AM1398" s="69"/>
      <c r="AN1398" s="9"/>
      <c r="AO1398" s="61" t="s">
        <v>4049</v>
      </c>
      <c r="AP1398" s="210"/>
      <c r="AQ1398" s="211"/>
      <c r="AR1398" s="211"/>
      <c r="AS1398" s="211"/>
      <c r="AT1398" s="211"/>
      <c r="AU1398" s="211"/>
      <c r="AV1398" s="211"/>
      <c r="AW1398" s="9"/>
      <c r="AX1398" s="9"/>
      <c r="AY1398" s="9"/>
      <c r="AZ1398" s="9"/>
      <c r="BA1398" s="120"/>
      <c r="BB1398" s="69"/>
      <c r="BC1398" s="165" t="s">
        <v>1615</v>
      </c>
      <c r="BD1398" s="166">
        <v>0.79500000000000004</v>
      </c>
      <c r="BE1398" s="167" t="s">
        <v>1616</v>
      </c>
      <c r="BF1398" s="168">
        <v>0.2</v>
      </c>
      <c r="BG1398" s="167" t="s">
        <v>1617</v>
      </c>
      <c r="BH1398" s="168">
        <v>5.0000000000000001E-3</v>
      </c>
      <c r="BI1398" s="169"/>
      <c r="BJ1398" s="168">
        <v>0</v>
      </c>
      <c r="BK1398" s="134" t="s">
        <v>2151</v>
      </c>
      <c r="BL1398" s="168">
        <v>0.8</v>
      </c>
      <c r="BM1398" s="167" t="s">
        <v>2152</v>
      </c>
      <c r="BN1398" s="168">
        <v>0.2</v>
      </c>
      <c r="BO1398" s="62"/>
      <c r="BP1398" s="168"/>
      <c r="BQ1398" s="168"/>
      <c r="BR1398" s="168"/>
      <c r="BS1398" s="135" t="s">
        <v>1615</v>
      </c>
      <c r="BT1398" s="176">
        <v>0.77500000000000002</v>
      </c>
      <c r="BU1398" s="167" t="s">
        <v>1616</v>
      </c>
      <c r="BV1398" s="168">
        <v>0.2</v>
      </c>
      <c r="BW1398" s="167" t="s">
        <v>2153</v>
      </c>
      <c r="BX1398" s="168"/>
      <c r="BY1398" s="167" t="s">
        <v>1617</v>
      </c>
      <c r="BZ1398" s="176">
        <v>5.0000000000000001E-3</v>
      </c>
      <c r="CA1398" s="167" t="s">
        <v>1621</v>
      </c>
      <c r="CB1398" s="168">
        <v>0.02</v>
      </c>
      <c r="CC1398" s="62"/>
      <c r="CD1398" s="168"/>
      <c r="CE1398" s="9"/>
      <c r="CF1398" s="9"/>
      <c r="CG1398" s="9"/>
      <c r="CH1398" s="9"/>
      <c r="CI1398" s="9"/>
      <c r="CJ1398" s="9"/>
      <c r="CK1398" s="9"/>
      <c r="CL1398" s="9"/>
      <c r="CM1398" s="9"/>
      <c r="CN1398" s="9"/>
      <c r="CO1398" s="9"/>
      <c r="CP1398" s="9"/>
    </row>
    <row r="1399" spans="1:94" ht="42.75" x14ac:dyDescent="0.25">
      <c r="A1399" s="126" t="s">
        <v>4092</v>
      </c>
      <c r="B1399" s="9" t="s">
        <v>4093</v>
      </c>
      <c r="C1399" s="9"/>
      <c r="D1399" s="9"/>
      <c r="E1399" s="9"/>
      <c r="F1399" s="9"/>
      <c r="G1399" s="9"/>
      <c r="H1399" s="9"/>
      <c r="I1399" s="9"/>
      <c r="J1399" s="9"/>
      <c r="K1399" s="9"/>
      <c r="L1399" s="9"/>
      <c r="M1399" s="9"/>
      <c r="N1399" s="9"/>
      <c r="O1399" s="9"/>
      <c r="P1399" s="9"/>
      <c r="Q1399" s="9"/>
      <c r="R1399" s="9"/>
      <c r="S1399" s="9"/>
      <c r="T1399" s="9"/>
      <c r="U1399" s="9"/>
      <c r="V1399" s="9"/>
      <c r="W1399" s="9"/>
      <c r="X1399" s="9"/>
      <c r="Y1399" s="9"/>
      <c r="Z1399" s="9"/>
      <c r="AA1399" s="9"/>
      <c r="AB1399" s="9"/>
      <c r="AC1399" s="9"/>
      <c r="AD1399" s="9"/>
      <c r="AE1399" s="9"/>
      <c r="AF1399" s="9"/>
      <c r="AG1399" s="9"/>
      <c r="AH1399" s="9"/>
      <c r="AI1399" s="9"/>
      <c r="AJ1399" s="9"/>
      <c r="AK1399" s="9"/>
      <c r="AL1399" s="9"/>
      <c r="AM1399" s="69"/>
      <c r="AN1399" s="9"/>
      <c r="AO1399" s="61"/>
      <c r="AP1399" s="210"/>
      <c r="AQ1399" s="211"/>
      <c r="AR1399" s="211"/>
      <c r="AS1399" s="211"/>
      <c r="AT1399" s="211"/>
      <c r="AU1399" s="211"/>
      <c r="AV1399" s="211"/>
      <c r="AW1399" s="9"/>
      <c r="AX1399" s="9"/>
      <c r="AY1399" s="9"/>
      <c r="AZ1399" s="9"/>
      <c r="BA1399" s="120"/>
      <c r="BB1399" s="69"/>
      <c r="BC1399" s="165" t="s">
        <v>1615</v>
      </c>
      <c r="BD1399" s="166">
        <v>0.79500000000000004</v>
      </c>
      <c r="BE1399" s="167" t="s">
        <v>1616</v>
      </c>
      <c r="BF1399" s="168">
        <v>0.2</v>
      </c>
      <c r="BG1399" s="167" t="s">
        <v>1617</v>
      </c>
      <c r="BH1399" s="168">
        <v>5.0000000000000001E-3</v>
      </c>
      <c r="BI1399" s="169"/>
      <c r="BJ1399" s="168">
        <v>0</v>
      </c>
      <c r="BK1399" s="134" t="s">
        <v>2151</v>
      </c>
      <c r="BL1399" s="168">
        <v>0.8</v>
      </c>
      <c r="BM1399" s="167" t="s">
        <v>2152</v>
      </c>
      <c r="BN1399" s="168">
        <v>0.2</v>
      </c>
      <c r="BO1399" s="62"/>
      <c r="BP1399" s="168"/>
      <c r="BQ1399" s="168"/>
      <c r="BR1399" s="168"/>
      <c r="BS1399" s="135" t="s">
        <v>1615</v>
      </c>
      <c r="BT1399" s="176">
        <v>0.77500000000000002</v>
      </c>
      <c r="BU1399" s="167" t="s">
        <v>1616</v>
      </c>
      <c r="BV1399" s="168">
        <v>0.2</v>
      </c>
      <c r="BW1399" s="167" t="s">
        <v>2153</v>
      </c>
      <c r="BX1399" s="168"/>
      <c r="BY1399" s="167" t="s">
        <v>1617</v>
      </c>
      <c r="BZ1399" s="176">
        <v>5.0000000000000001E-3</v>
      </c>
      <c r="CA1399" s="167" t="s">
        <v>1621</v>
      </c>
      <c r="CB1399" s="168">
        <v>0.02</v>
      </c>
      <c r="CC1399" s="62"/>
      <c r="CD1399" s="168"/>
      <c r="CE1399" s="9"/>
      <c r="CF1399" s="9"/>
      <c r="CG1399" s="9"/>
      <c r="CH1399" s="9"/>
      <c r="CI1399" s="9"/>
      <c r="CJ1399" s="9"/>
      <c r="CK1399" s="9"/>
      <c r="CL1399" s="9"/>
      <c r="CM1399" s="9"/>
      <c r="CN1399" s="9"/>
      <c r="CO1399" s="9"/>
      <c r="CP1399" s="9"/>
    </row>
    <row r="1400" spans="1:94" ht="42.75" x14ac:dyDescent="0.25">
      <c r="A1400" s="62" t="s">
        <v>4094</v>
      </c>
      <c r="B1400" s="244" t="s">
        <v>4095</v>
      </c>
      <c r="C1400" s="9"/>
      <c r="D1400" s="9"/>
      <c r="E1400" s="9"/>
      <c r="F1400" s="9"/>
      <c r="G1400" s="9"/>
      <c r="H1400" s="9"/>
      <c r="I1400" s="9"/>
      <c r="J1400" s="9"/>
      <c r="K1400" s="9"/>
      <c r="L1400" s="9"/>
      <c r="M1400" s="9"/>
      <c r="N1400" s="9"/>
      <c r="O1400" s="9"/>
      <c r="P1400" s="9"/>
      <c r="Q1400" s="9"/>
      <c r="R1400" s="9"/>
      <c r="S1400" s="9"/>
      <c r="T1400" s="9"/>
      <c r="U1400" s="9"/>
      <c r="V1400" s="9"/>
      <c r="W1400" s="9"/>
      <c r="X1400" s="9"/>
      <c r="Y1400" s="9"/>
      <c r="Z1400" s="9"/>
      <c r="AA1400" s="9"/>
      <c r="AB1400" s="9"/>
      <c r="AC1400" s="9"/>
      <c r="AD1400" s="9"/>
      <c r="AE1400" s="9"/>
      <c r="AF1400" s="9"/>
      <c r="AG1400" s="9"/>
      <c r="AH1400" s="9"/>
      <c r="AI1400" s="9"/>
      <c r="AJ1400" s="9"/>
      <c r="AK1400" s="9"/>
      <c r="AL1400" s="9"/>
      <c r="AM1400" s="69"/>
      <c r="AN1400" s="9"/>
      <c r="AO1400" s="61" t="s">
        <v>4049</v>
      </c>
      <c r="AP1400" s="212"/>
      <c r="AQ1400" s="213"/>
      <c r="AR1400" s="213"/>
      <c r="AS1400" s="213"/>
      <c r="AT1400" s="213"/>
      <c r="AU1400" s="213"/>
      <c r="AV1400" s="213"/>
      <c r="AW1400" s="62"/>
      <c r="AX1400" s="62"/>
      <c r="AY1400" s="62"/>
      <c r="AZ1400" s="62"/>
      <c r="BA1400" s="141"/>
      <c r="BB1400" s="61"/>
      <c r="BC1400" s="165" t="s">
        <v>1615</v>
      </c>
      <c r="BD1400" s="166">
        <f t="shared" si="72"/>
        <v>0.79500000000000004</v>
      </c>
      <c r="BE1400" s="167" t="s">
        <v>1616</v>
      </c>
      <c r="BF1400" s="168">
        <f t="shared" si="73"/>
        <v>0.2</v>
      </c>
      <c r="BG1400" s="167" t="s">
        <v>1617</v>
      </c>
      <c r="BH1400" s="168">
        <f t="shared" si="74"/>
        <v>5.0000000000000001E-3</v>
      </c>
      <c r="BI1400" s="169"/>
      <c r="BJ1400" s="168">
        <v>0</v>
      </c>
      <c r="BK1400" s="134" t="s">
        <v>2151</v>
      </c>
      <c r="BL1400" s="168">
        <f t="shared" si="75"/>
        <v>0.8</v>
      </c>
      <c r="BM1400" s="167" t="s">
        <v>2152</v>
      </c>
      <c r="BN1400" s="168">
        <f t="shared" si="76"/>
        <v>0.2</v>
      </c>
      <c r="BO1400" s="62"/>
      <c r="BP1400" s="168"/>
      <c r="BQ1400" s="168"/>
      <c r="BR1400" s="168"/>
      <c r="BS1400" s="135" t="s">
        <v>1615</v>
      </c>
      <c r="BT1400" s="176">
        <v>0.77500000000000002</v>
      </c>
      <c r="BU1400" s="167" t="s">
        <v>1616</v>
      </c>
      <c r="BV1400" s="168">
        <f t="shared" si="77"/>
        <v>0.2</v>
      </c>
      <c r="BW1400" s="167" t="s">
        <v>2153</v>
      </c>
      <c r="BX1400" s="168"/>
      <c r="BY1400" s="167" t="s">
        <v>1617</v>
      </c>
      <c r="BZ1400" s="176">
        <f t="shared" si="78"/>
        <v>5.0000000000000001E-3</v>
      </c>
      <c r="CA1400" s="167" t="s">
        <v>1621</v>
      </c>
      <c r="CB1400" s="168">
        <v>0.02</v>
      </c>
      <c r="CC1400" s="62"/>
      <c r="CD1400" s="168"/>
      <c r="CE1400" s="165"/>
      <c r="CF1400" s="9"/>
      <c r="CG1400" s="9"/>
      <c r="CH1400" s="9"/>
      <c r="CI1400" s="9"/>
      <c r="CJ1400" s="9"/>
      <c r="CK1400" s="9"/>
      <c r="CL1400" s="9"/>
      <c r="CM1400" s="9"/>
      <c r="CN1400" s="9"/>
      <c r="CO1400" s="9"/>
      <c r="CP1400" s="9"/>
    </row>
    <row r="1401" spans="1:94" ht="42.75" x14ac:dyDescent="0.25">
      <c r="A1401" s="126" t="s">
        <v>4096</v>
      </c>
      <c r="B1401" s="9" t="s">
        <v>4097</v>
      </c>
      <c r="C1401" s="9"/>
      <c r="D1401" s="9"/>
      <c r="E1401" s="9"/>
      <c r="F1401" s="9"/>
      <c r="G1401" s="9"/>
      <c r="H1401" s="9"/>
      <c r="I1401" s="9"/>
      <c r="J1401" s="9"/>
      <c r="K1401" s="9"/>
      <c r="L1401" s="9"/>
      <c r="M1401" s="9"/>
      <c r="N1401" s="9"/>
      <c r="O1401" s="9"/>
      <c r="P1401" s="9"/>
      <c r="Q1401" s="9"/>
      <c r="R1401" s="9"/>
      <c r="S1401" s="9"/>
      <c r="T1401" s="9"/>
      <c r="U1401" s="9"/>
      <c r="V1401" s="9"/>
      <c r="W1401" s="9"/>
      <c r="X1401" s="9"/>
      <c r="Y1401" s="9"/>
      <c r="Z1401" s="9"/>
      <c r="AA1401" s="9"/>
      <c r="AB1401" s="9"/>
      <c r="AC1401" s="9"/>
      <c r="AD1401" s="9"/>
      <c r="AE1401" s="9"/>
      <c r="AF1401" s="9"/>
      <c r="AG1401" s="9"/>
      <c r="AH1401" s="9"/>
      <c r="AI1401" s="9"/>
      <c r="AJ1401" s="9"/>
      <c r="AK1401" s="9"/>
      <c r="AL1401" s="9"/>
      <c r="AM1401" s="69"/>
      <c r="AN1401" s="9"/>
      <c r="AO1401" s="61" t="s">
        <v>4049</v>
      </c>
      <c r="AP1401" s="212"/>
      <c r="AQ1401" s="213"/>
      <c r="AR1401" s="213"/>
      <c r="AS1401" s="213"/>
      <c r="AT1401" s="213"/>
      <c r="AU1401" s="213"/>
      <c r="AV1401" s="213"/>
      <c r="AW1401" s="62"/>
      <c r="AX1401" s="62"/>
      <c r="AY1401" s="62"/>
      <c r="AZ1401" s="62"/>
      <c r="BA1401" s="141"/>
      <c r="BB1401" s="61"/>
      <c r="BC1401" s="165" t="s">
        <v>1615</v>
      </c>
      <c r="BD1401" s="166">
        <f t="shared" si="72"/>
        <v>0.79500000000000004</v>
      </c>
      <c r="BE1401" s="167" t="s">
        <v>1616</v>
      </c>
      <c r="BF1401" s="168">
        <f t="shared" si="73"/>
        <v>0.2</v>
      </c>
      <c r="BG1401" s="167" t="s">
        <v>1617</v>
      </c>
      <c r="BH1401" s="168">
        <f t="shared" si="74"/>
        <v>5.0000000000000001E-3</v>
      </c>
      <c r="BI1401" s="169"/>
      <c r="BJ1401" s="168">
        <v>0</v>
      </c>
      <c r="BK1401" s="134" t="s">
        <v>2151</v>
      </c>
      <c r="BL1401" s="168">
        <f t="shared" si="75"/>
        <v>0.8</v>
      </c>
      <c r="BM1401" s="167" t="s">
        <v>2152</v>
      </c>
      <c r="BN1401" s="168">
        <f t="shared" si="76"/>
        <v>0.2</v>
      </c>
      <c r="BO1401" s="62"/>
      <c r="BP1401" s="168"/>
      <c r="BQ1401" s="168"/>
      <c r="BR1401" s="168"/>
      <c r="BS1401" s="135" t="s">
        <v>1615</v>
      </c>
      <c r="BT1401" s="176">
        <v>0.77500000000000002</v>
      </c>
      <c r="BU1401" s="167" t="s">
        <v>1616</v>
      </c>
      <c r="BV1401" s="168">
        <f t="shared" si="77"/>
        <v>0.2</v>
      </c>
      <c r="BW1401" s="167" t="s">
        <v>2153</v>
      </c>
      <c r="BX1401" s="168"/>
      <c r="BY1401" s="167" t="s">
        <v>1617</v>
      </c>
      <c r="BZ1401" s="176">
        <f t="shared" si="78"/>
        <v>5.0000000000000001E-3</v>
      </c>
      <c r="CA1401" s="167" t="s">
        <v>1621</v>
      </c>
      <c r="CB1401" s="168">
        <v>0.02</v>
      </c>
      <c r="CC1401" s="62"/>
      <c r="CD1401" s="168"/>
      <c r="CE1401" s="165"/>
      <c r="CF1401" s="9"/>
      <c r="CG1401" s="9"/>
      <c r="CH1401" s="9"/>
      <c r="CI1401" s="9"/>
      <c r="CJ1401" s="9"/>
      <c r="CK1401" s="9"/>
      <c r="CL1401" s="9"/>
      <c r="CM1401" s="9"/>
      <c r="CN1401" s="9"/>
      <c r="CO1401" s="9"/>
      <c r="CP1401" s="9"/>
    </row>
    <row r="1402" spans="1:94" ht="42.75" x14ac:dyDescent="0.25">
      <c r="A1402" s="126" t="s">
        <v>4098</v>
      </c>
      <c r="B1402" s="131" t="s">
        <v>4099</v>
      </c>
      <c r="C1402" s="220"/>
      <c r="D1402" s="220"/>
      <c r="E1402" s="220"/>
      <c r="F1402" s="220"/>
      <c r="G1402" s="220"/>
      <c r="H1402" s="221"/>
      <c r="I1402" s="104"/>
      <c r="J1402" s="104"/>
      <c r="K1402" s="104"/>
      <c r="L1402" s="104"/>
      <c r="M1402" s="104"/>
      <c r="N1402" s="104"/>
      <c r="O1402" s="104"/>
      <c r="P1402" s="104"/>
      <c r="Q1402" s="104"/>
      <c r="R1402" s="104"/>
      <c r="S1402" s="104"/>
      <c r="T1402" s="104"/>
      <c r="U1402" s="104"/>
      <c r="V1402" s="104"/>
      <c r="W1402" s="104"/>
      <c r="X1402" s="104"/>
      <c r="Y1402" s="104"/>
      <c r="Z1402" s="104"/>
      <c r="AA1402" s="104"/>
      <c r="AB1402" s="104"/>
      <c r="AC1402" s="104"/>
      <c r="AD1402" s="104"/>
      <c r="AE1402" s="104"/>
      <c r="AF1402" s="104"/>
      <c r="AG1402" s="104"/>
      <c r="AH1402" s="104"/>
      <c r="AI1402" s="104"/>
      <c r="AJ1402" s="104"/>
      <c r="AK1402" s="104"/>
      <c r="AL1402" s="104"/>
      <c r="AM1402" s="103"/>
      <c r="AN1402" s="104"/>
      <c r="AO1402" s="61" t="s">
        <v>1112</v>
      </c>
      <c r="AP1402" s="222"/>
      <c r="AQ1402" s="104"/>
      <c r="AR1402" s="104"/>
      <c r="AS1402" s="104"/>
      <c r="AT1402" s="104"/>
      <c r="AU1402" s="104"/>
      <c r="AV1402" s="104"/>
      <c r="AW1402" s="104"/>
      <c r="AX1402" s="104"/>
      <c r="AY1402" s="104"/>
      <c r="AZ1402" s="104"/>
      <c r="BA1402" s="182"/>
      <c r="BB1402" s="103"/>
      <c r="BC1402" s="165" t="s">
        <v>1615</v>
      </c>
      <c r="BD1402" s="166">
        <v>0.79</v>
      </c>
      <c r="BE1402" s="167" t="s">
        <v>1616</v>
      </c>
      <c r="BF1402" s="168">
        <v>0.2</v>
      </c>
      <c r="BG1402" s="167" t="s">
        <v>1617</v>
      </c>
      <c r="BH1402" s="168">
        <v>0.01</v>
      </c>
      <c r="BI1402" s="214" t="s">
        <v>1618</v>
      </c>
      <c r="BJ1402" s="168">
        <v>0</v>
      </c>
      <c r="BK1402" s="134" t="s">
        <v>1619</v>
      </c>
      <c r="BL1402" s="168">
        <v>1</v>
      </c>
      <c r="BM1402" s="167" t="s">
        <v>2152</v>
      </c>
      <c r="BN1402" s="168"/>
      <c r="BO1402" s="62"/>
      <c r="BP1402" s="168"/>
      <c r="BQ1402" s="168"/>
      <c r="BR1402" s="168"/>
      <c r="BS1402" s="135" t="s">
        <v>1615</v>
      </c>
      <c r="BT1402" s="168">
        <v>0.79</v>
      </c>
      <c r="BU1402" s="167" t="s">
        <v>1616</v>
      </c>
      <c r="BV1402" s="168">
        <v>0.2</v>
      </c>
      <c r="BW1402" s="167" t="s">
        <v>2153</v>
      </c>
      <c r="BX1402" s="168"/>
      <c r="BY1402" s="167" t="s">
        <v>1617</v>
      </c>
      <c r="BZ1402" s="168">
        <v>0.01</v>
      </c>
      <c r="CA1402" s="167" t="s">
        <v>1621</v>
      </c>
      <c r="CB1402" s="168"/>
      <c r="CC1402" s="62"/>
      <c r="CD1402" s="168"/>
      <c r="CE1402" s="183"/>
      <c r="CF1402" s="183"/>
      <c r="CG1402" s="228"/>
      <c r="CH1402" s="9"/>
      <c r="CI1402" s="228"/>
      <c r="CJ1402" s="228"/>
      <c r="CK1402" s="228"/>
      <c r="CL1402" s="228"/>
      <c r="CM1402" s="228"/>
      <c r="CN1402" s="228"/>
      <c r="CO1402" s="228"/>
      <c r="CP1402" s="105"/>
    </row>
    <row r="1403" spans="1:94" ht="42.75" x14ac:dyDescent="0.25">
      <c r="A1403" s="126" t="s">
        <v>4100</v>
      </c>
      <c r="B1403" s="131" t="s">
        <v>4101</v>
      </c>
      <c r="C1403" s="220"/>
      <c r="D1403" s="220"/>
      <c r="E1403" s="220"/>
      <c r="F1403" s="220"/>
      <c r="G1403" s="220"/>
      <c r="H1403" s="221"/>
      <c r="I1403" s="104"/>
      <c r="J1403" s="104"/>
      <c r="K1403" s="104"/>
      <c r="L1403" s="104"/>
      <c r="M1403" s="104"/>
      <c r="N1403" s="104"/>
      <c r="O1403" s="104"/>
      <c r="P1403" s="104"/>
      <c r="Q1403" s="104"/>
      <c r="R1403" s="104"/>
      <c r="S1403" s="104"/>
      <c r="T1403" s="104"/>
      <c r="U1403" s="104"/>
      <c r="V1403" s="104"/>
      <c r="W1403" s="104"/>
      <c r="X1403" s="104"/>
      <c r="Y1403" s="104"/>
      <c r="Z1403" s="104"/>
      <c r="AA1403" s="104"/>
      <c r="AB1403" s="104"/>
      <c r="AC1403" s="104"/>
      <c r="AD1403" s="104"/>
      <c r="AE1403" s="104"/>
      <c r="AF1403" s="104"/>
      <c r="AG1403" s="104"/>
      <c r="AH1403" s="104"/>
      <c r="AI1403" s="104"/>
      <c r="AJ1403" s="104"/>
      <c r="AK1403" s="104"/>
      <c r="AL1403" s="104"/>
      <c r="AM1403" s="103"/>
      <c r="AN1403" s="104"/>
      <c r="AO1403" s="61" t="s">
        <v>1112</v>
      </c>
      <c r="AP1403" s="222"/>
      <c r="AQ1403" s="104"/>
      <c r="AR1403" s="104"/>
      <c r="AS1403" s="104"/>
      <c r="AT1403" s="104"/>
      <c r="AU1403" s="104"/>
      <c r="AV1403" s="104"/>
      <c r="AW1403" s="104"/>
      <c r="AX1403" s="104"/>
      <c r="AY1403" s="104"/>
      <c r="AZ1403" s="104"/>
      <c r="BA1403" s="182"/>
      <c r="BB1403" s="103"/>
      <c r="BC1403" s="165" t="s">
        <v>1615</v>
      </c>
      <c r="BD1403" s="166">
        <v>0.79</v>
      </c>
      <c r="BE1403" s="167" t="s">
        <v>1616</v>
      </c>
      <c r="BF1403" s="168">
        <v>0.2</v>
      </c>
      <c r="BG1403" s="167" t="s">
        <v>1617</v>
      </c>
      <c r="BH1403" s="168">
        <v>0.01</v>
      </c>
      <c r="BI1403" s="214" t="s">
        <v>1618</v>
      </c>
      <c r="BJ1403" s="168">
        <v>0</v>
      </c>
      <c r="BK1403" s="134" t="s">
        <v>1619</v>
      </c>
      <c r="BL1403" s="168">
        <v>1</v>
      </c>
      <c r="BM1403" s="167" t="s">
        <v>2152</v>
      </c>
      <c r="BN1403" s="168"/>
      <c r="BO1403" s="62"/>
      <c r="BP1403" s="168"/>
      <c r="BQ1403" s="168"/>
      <c r="BR1403" s="168"/>
      <c r="BS1403" s="135" t="s">
        <v>1615</v>
      </c>
      <c r="BT1403" s="168">
        <v>0.79</v>
      </c>
      <c r="BU1403" s="167" t="s">
        <v>1616</v>
      </c>
      <c r="BV1403" s="168">
        <v>0.2</v>
      </c>
      <c r="BW1403" s="167" t="s">
        <v>2153</v>
      </c>
      <c r="BX1403" s="168"/>
      <c r="BY1403" s="167" t="s">
        <v>1617</v>
      </c>
      <c r="BZ1403" s="168">
        <v>0.01</v>
      </c>
      <c r="CA1403" s="167" t="s">
        <v>1621</v>
      </c>
      <c r="CB1403" s="168"/>
      <c r="CC1403" s="62"/>
      <c r="CD1403" s="168"/>
      <c r="CE1403" s="183"/>
      <c r="CF1403" s="183"/>
      <c r="CG1403" s="228"/>
      <c r="CH1403" s="9"/>
      <c r="CI1403" s="228"/>
      <c r="CJ1403" s="228"/>
      <c r="CK1403" s="228"/>
      <c r="CL1403" s="228"/>
      <c r="CM1403" s="228"/>
      <c r="CN1403" s="228"/>
      <c r="CO1403" s="228"/>
      <c r="CP1403" s="105"/>
    </row>
    <row r="1404" spans="1:94" ht="42.75" x14ac:dyDescent="0.25">
      <c r="A1404" s="126" t="s">
        <v>4102</v>
      </c>
      <c r="B1404" s="131" t="s">
        <v>4103</v>
      </c>
      <c r="C1404" s="220"/>
      <c r="D1404" s="220"/>
      <c r="E1404" s="220"/>
      <c r="F1404" s="220"/>
      <c r="G1404" s="220"/>
      <c r="H1404" s="221"/>
      <c r="I1404" s="104"/>
      <c r="J1404" s="104"/>
      <c r="K1404" s="104"/>
      <c r="L1404" s="104"/>
      <c r="M1404" s="104"/>
      <c r="N1404" s="104"/>
      <c r="O1404" s="104"/>
      <c r="P1404" s="104"/>
      <c r="Q1404" s="104"/>
      <c r="R1404" s="104"/>
      <c r="S1404" s="104"/>
      <c r="T1404" s="104"/>
      <c r="U1404" s="104"/>
      <c r="V1404" s="104"/>
      <c r="W1404" s="104"/>
      <c r="X1404" s="104"/>
      <c r="Y1404" s="104"/>
      <c r="Z1404" s="104"/>
      <c r="AA1404" s="104"/>
      <c r="AB1404" s="104"/>
      <c r="AC1404" s="104"/>
      <c r="AD1404" s="104"/>
      <c r="AE1404" s="104"/>
      <c r="AF1404" s="104"/>
      <c r="AG1404" s="104"/>
      <c r="AH1404" s="104"/>
      <c r="AI1404" s="104"/>
      <c r="AJ1404" s="104"/>
      <c r="AK1404" s="104"/>
      <c r="AL1404" s="104"/>
      <c r="AM1404" s="103"/>
      <c r="AN1404" s="104"/>
      <c r="AO1404" s="61" t="s">
        <v>1112</v>
      </c>
      <c r="AP1404" s="222"/>
      <c r="AQ1404" s="104"/>
      <c r="AR1404" s="104"/>
      <c r="AS1404" s="104"/>
      <c r="AT1404" s="104"/>
      <c r="AU1404" s="104"/>
      <c r="AV1404" s="104"/>
      <c r="AW1404" s="104"/>
      <c r="AX1404" s="104"/>
      <c r="AY1404" s="104"/>
      <c r="AZ1404" s="104"/>
      <c r="BA1404" s="182"/>
      <c r="BB1404" s="103"/>
      <c r="BC1404" s="165" t="s">
        <v>1615</v>
      </c>
      <c r="BD1404" s="166">
        <v>0.79</v>
      </c>
      <c r="BE1404" s="167" t="s">
        <v>1616</v>
      </c>
      <c r="BF1404" s="168">
        <v>0.2</v>
      </c>
      <c r="BG1404" s="167" t="s">
        <v>1617</v>
      </c>
      <c r="BH1404" s="168">
        <v>0.01</v>
      </c>
      <c r="BI1404" s="214" t="s">
        <v>1618</v>
      </c>
      <c r="BJ1404" s="168">
        <v>0</v>
      </c>
      <c r="BK1404" s="134" t="s">
        <v>1619</v>
      </c>
      <c r="BL1404" s="168">
        <v>1</v>
      </c>
      <c r="BM1404" s="167" t="s">
        <v>2152</v>
      </c>
      <c r="BN1404" s="168"/>
      <c r="BO1404" s="62"/>
      <c r="BP1404" s="168"/>
      <c r="BQ1404" s="168"/>
      <c r="BR1404" s="168"/>
      <c r="BS1404" s="135" t="s">
        <v>1615</v>
      </c>
      <c r="BT1404" s="168">
        <v>0.79</v>
      </c>
      <c r="BU1404" s="167" t="s">
        <v>1616</v>
      </c>
      <c r="BV1404" s="168">
        <v>0.2</v>
      </c>
      <c r="BW1404" s="167" t="s">
        <v>2153</v>
      </c>
      <c r="BX1404" s="168"/>
      <c r="BY1404" s="167" t="s">
        <v>1617</v>
      </c>
      <c r="BZ1404" s="168">
        <v>0.01</v>
      </c>
      <c r="CA1404" s="167" t="s">
        <v>1621</v>
      </c>
      <c r="CB1404" s="168"/>
      <c r="CC1404" s="62"/>
      <c r="CD1404" s="168"/>
      <c r="CE1404" s="183"/>
      <c r="CF1404" s="183"/>
      <c r="CG1404" s="228"/>
      <c r="CH1404" s="9"/>
      <c r="CI1404" s="228"/>
      <c r="CJ1404" s="228"/>
      <c r="CK1404" s="228"/>
      <c r="CL1404" s="228"/>
      <c r="CM1404" s="228"/>
      <c r="CN1404" s="228"/>
      <c r="CO1404" s="228"/>
      <c r="CP1404" s="105"/>
    </row>
    <row r="1405" spans="1:94" ht="42.75" x14ac:dyDescent="0.25">
      <c r="A1405" s="126" t="s">
        <v>4104</v>
      </c>
      <c r="B1405" s="62" t="s">
        <v>4105</v>
      </c>
      <c r="C1405" s="62"/>
      <c r="D1405" s="62"/>
      <c r="E1405" s="62"/>
      <c r="F1405" s="62"/>
      <c r="G1405" s="62"/>
      <c r="H1405" s="62"/>
      <c r="I1405" s="62"/>
      <c r="J1405" s="62"/>
      <c r="K1405" s="62"/>
      <c r="L1405" s="62"/>
      <c r="M1405" s="62"/>
      <c r="N1405" s="62"/>
      <c r="O1405" s="62"/>
      <c r="P1405" s="62"/>
      <c r="Q1405" s="62"/>
      <c r="R1405" s="62"/>
      <c r="S1405" s="62"/>
      <c r="T1405" s="62"/>
      <c r="U1405" s="62"/>
      <c r="V1405" s="62"/>
      <c r="W1405" s="62"/>
      <c r="X1405" s="62"/>
      <c r="Y1405" s="62"/>
      <c r="Z1405" s="62"/>
      <c r="AA1405" s="62"/>
      <c r="AB1405" s="62"/>
      <c r="AC1405" s="62"/>
      <c r="AD1405" s="62"/>
      <c r="AE1405" s="62"/>
      <c r="AF1405" s="62"/>
      <c r="AG1405" s="62"/>
      <c r="AH1405" s="62"/>
      <c r="AI1405" s="62"/>
      <c r="AJ1405" s="62"/>
      <c r="AK1405" s="62"/>
      <c r="AL1405" s="62"/>
      <c r="AM1405" s="61"/>
      <c r="AN1405" s="62"/>
      <c r="AO1405" s="61" t="s">
        <v>1112</v>
      </c>
      <c r="AP1405" s="210"/>
      <c r="AQ1405" s="211"/>
      <c r="AR1405" s="211"/>
      <c r="AS1405" s="211"/>
      <c r="AT1405" s="211"/>
      <c r="AU1405" s="211"/>
      <c r="AV1405" s="211"/>
      <c r="AW1405" s="9"/>
      <c r="AX1405" s="9"/>
      <c r="AY1405" s="9"/>
      <c r="AZ1405" s="9"/>
      <c r="BA1405" s="120"/>
      <c r="BB1405" s="69"/>
      <c r="BC1405" s="165" t="s">
        <v>1615</v>
      </c>
      <c r="BD1405" s="166">
        <v>0.79</v>
      </c>
      <c r="BE1405" s="167" t="s">
        <v>1616</v>
      </c>
      <c r="BF1405" s="168">
        <v>0.2</v>
      </c>
      <c r="BG1405" s="167" t="s">
        <v>1617</v>
      </c>
      <c r="BH1405" s="168">
        <v>0.01</v>
      </c>
      <c r="BI1405" s="214" t="s">
        <v>1618</v>
      </c>
      <c r="BJ1405" s="168">
        <v>0</v>
      </c>
      <c r="BK1405" s="134" t="s">
        <v>1619</v>
      </c>
      <c r="BL1405" s="168">
        <v>1</v>
      </c>
      <c r="BM1405" s="167" t="s">
        <v>2152</v>
      </c>
      <c r="BN1405" s="168"/>
      <c r="BO1405" s="62"/>
      <c r="BP1405" s="168"/>
      <c r="BQ1405" s="168"/>
      <c r="BR1405" s="168"/>
      <c r="BS1405" s="135" t="s">
        <v>1615</v>
      </c>
      <c r="BT1405" s="168">
        <v>0.79</v>
      </c>
      <c r="BU1405" s="167" t="s">
        <v>1616</v>
      </c>
      <c r="BV1405" s="168">
        <v>0.2</v>
      </c>
      <c r="BW1405" s="167" t="s">
        <v>2153</v>
      </c>
      <c r="BX1405" s="168"/>
      <c r="BY1405" s="167" t="s">
        <v>1617</v>
      </c>
      <c r="BZ1405" s="168">
        <v>0.01</v>
      </c>
      <c r="CA1405" s="167" t="s">
        <v>1621</v>
      </c>
      <c r="CB1405" s="168"/>
      <c r="CC1405" s="62"/>
      <c r="CD1405" s="168"/>
      <c r="CE1405" s="183"/>
      <c r="CF1405" s="183"/>
      <c r="CG1405" s="9"/>
      <c r="CH1405" s="9"/>
      <c r="CI1405" s="9"/>
      <c r="CJ1405" s="9"/>
      <c r="CK1405" s="9"/>
      <c r="CL1405" s="9"/>
      <c r="CM1405" s="9"/>
      <c r="CN1405" s="9"/>
      <c r="CO1405" s="9"/>
      <c r="CP1405" s="9"/>
    </row>
    <row r="1406" spans="1:94" ht="42.75" x14ac:dyDescent="0.25">
      <c r="A1406" s="126" t="s">
        <v>4106</v>
      </c>
      <c r="B1406" s="62" t="s">
        <v>4107</v>
      </c>
      <c r="C1406" s="62"/>
      <c r="D1406" s="62"/>
      <c r="E1406" s="62"/>
      <c r="F1406" s="62"/>
      <c r="G1406" s="62"/>
      <c r="H1406" s="62"/>
      <c r="I1406" s="62"/>
      <c r="J1406" s="62"/>
      <c r="K1406" s="62"/>
      <c r="L1406" s="62"/>
      <c r="M1406" s="62"/>
      <c r="N1406" s="62"/>
      <c r="O1406" s="62"/>
      <c r="P1406" s="62"/>
      <c r="Q1406" s="62"/>
      <c r="R1406" s="62"/>
      <c r="S1406" s="62"/>
      <c r="T1406" s="62"/>
      <c r="U1406" s="62"/>
      <c r="V1406" s="62"/>
      <c r="W1406" s="62"/>
      <c r="X1406" s="62"/>
      <c r="Y1406" s="62"/>
      <c r="Z1406" s="62"/>
      <c r="AA1406" s="62"/>
      <c r="AB1406" s="62"/>
      <c r="AC1406" s="62"/>
      <c r="AD1406" s="62"/>
      <c r="AE1406" s="62"/>
      <c r="AF1406" s="62"/>
      <c r="AG1406" s="62"/>
      <c r="AH1406" s="62"/>
      <c r="AI1406" s="62"/>
      <c r="AJ1406" s="62"/>
      <c r="AK1406" s="62"/>
      <c r="AL1406" s="62"/>
      <c r="AM1406" s="61"/>
      <c r="AN1406" s="62"/>
      <c r="AO1406" s="61" t="s">
        <v>1112</v>
      </c>
      <c r="AP1406" s="210"/>
      <c r="AQ1406" s="211"/>
      <c r="AR1406" s="211"/>
      <c r="AS1406" s="211"/>
      <c r="AT1406" s="211"/>
      <c r="AU1406" s="211"/>
      <c r="AV1406" s="211"/>
      <c r="AW1406" s="9"/>
      <c r="AX1406" s="9"/>
      <c r="AY1406" s="9"/>
      <c r="AZ1406" s="9"/>
      <c r="BA1406" s="120"/>
      <c r="BB1406" s="69"/>
      <c r="BC1406" s="165" t="s">
        <v>1615</v>
      </c>
      <c r="BD1406" s="166">
        <v>0.79</v>
      </c>
      <c r="BE1406" s="167" t="s">
        <v>1616</v>
      </c>
      <c r="BF1406" s="168">
        <v>0.2</v>
      </c>
      <c r="BG1406" s="167" t="s">
        <v>1617</v>
      </c>
      <c r="BH1406" s="168">
        <v>0.01</v>
      </c>
      <c r="BI1406" s="214" t="s">
        <v>1618</v>
      </c>
      <c r="BJ1406" s="168">
        <v>0</v>
      </c>
      <c r="BK1406" s="134" t="s">
        <v>1619</v>
      </c>
      <c r="BL1406" s="168">
        <v>1</v>
      </c>
      <c r="BM1406" s="167" t="s">
        <v>2152</v>
      </c>
      <c r="BN1406" s="168"/>
      <c r="BO1406" s="62"/>
      <c r="BP1406" s="168"/>
      <c r="BQ1406" s="168"/>
      <c r="BR1406" s="168"/>
      <c r="BS1406" s="135" t="s">
        <v>1615</v>
      </c>
      <c r="BT1406" s="168">
        <v>0.79</v>
      </c>
      <c r="BU1406" s="167" t="s">
        <v>1616</v>
      </c>
      <c r="BV1406" s="168">
        <v>0.2</v>
      </c>
      <c r="BW1406" s="167" t="s">
        <v>2153</v>
      </c>
      <c r="BX1406" s="168"/>
      <c r="BY1406" s="167" t="s">
        <v>1617</v>
      </c>
      <c r="BZ1406" s="168">
        <v>0.01</v>
      </c>
      <c r="CA1406" s="167" t="s">
        <v>1621</v>
      </c>
      <c r="CB1406" s="168"/>
      <c r="CC1406" s="62"/>
      <c r="CD1406" s="168"/>
      <c r="CE1406" s="183"/>
      <c r="CF1406" s="183"/>
      <c r="CG1406" s="9"/>
      <c r="CH1406" s="9"/>
      <c r="CI1406" s="9"/>
      <c r="CJ1406" s="9"/>
      <c r="CK1406" s="9"/>
      <c r="CL1406" s="9"/>
      <c r="CM1406" s="9"/>
      <c r="CN1406" s="9"/>
      <c r="CO1406" s="9"/>
      <c r="CP1406" s="9"/>
    </row>
    <row r="1407" spans="1:94" ht="15.75" x14ac:dyDescent="0.25">
      <c r="A1407" s="126" t="s">
        <v>4108</v>
      </c>
      <c r="B1407" s="185" t="s">
        <v>4109</v>
      </c>
      <c r="C1407" s="185"/>
      <c r="D1407" s="185"/>
      <c r="E1407" s="185"/>
      <c r="F1407" s="185"/>
      <c r="G1407" s="185"/>
      <c r="H1407" s="185"/>
      <c r="I1407" s="104"/>
      <c r="J1407" s="104"/>
      <c r="K1407" s="104"/>
      <c r="L1407" s="104"/>
      <c r="M1407" s="104"/>
      <c r="N1407" s="104"/>
      <c r="O1407" s="104"/>
      <c r="P1407" s="104"/>
      <c r="Q1407" s="104"/>
      <c r="R1407" s="104"/>
      <c r="S1407" s="104"/>
      <c r="T1407" s="104"/>
      <c r="U1407" s="104"/>
      <c r="V1407" s="104"/>
      <c r="W1407" s="104"/>
      <c r="X1407" s="104"/>
      <c r="Y1407" s="104"/>
      <c r="Z1407" s="104"/>
      <c r="AA1407" s="104"/>
      <c r="AB1407" s="104"/>
      <c r="AC1407" s="104"/>
      <c r="AD1407" s="104"/>
      <c r="AE1407" s="104"/>
      <c r="AF1407" s="104"/>
      <c r="AG1407" s="104"/>
      <c r="AH1407" s="104"/>
      <c r="AI1407" s="104"/>
      <c r="AJ1407" s="104"/>
      <c r="AK1407" s="104"/>
      <c r="AL1407" s="104"/>
      <c r="AM1407" s="103"/>
      <c r="AN1407" s="104"/>
      <c r="AO1407" s="61" t="s">
        <v>4049</v>
      </c>
      <c r="AP1407" s="212"/>
      <c r="AQ1407" s="213"/>
      <c r="AR1407" s="213"/>
      <c r="AS1407" s="213"/>
      <c r="AT1407" s="213"/>
      <c r="AU1407" s="213"/>
      <c r="AV1407" s="213"/>
      <c r="AW1407" s="62"/>
      <c r="AX1407" s="62"/>
      <c r="AY1407" s="62"/>
      <c r="AZ1407" s="62"/>
      <c r="BA1407" s="141"/>
      <c r="BB1407" s="61"/>
      <c r="BC1407" s="165"/>
      <c r="BD1407" s="166"/>
      <c r="BE1407" s="167"/>
      <c r="BF1407" s="168"/>
      <c r="BG1407" s="167"/>
      <c r="BH1407" s="168"/>
      <c r="BI1407" s="169"/>
      <c r="BJ1407" s="168"/>
      <c r="BK1407" s="134"/>
      <c r="BL1407" s="168"/>
      <c r="BM1407" s="167"/>
      <c r="BN1407" s="168"/>
      <c r="BO1407" s="62"/>
      <c r="BP1407" s="168"/>
      <c r="BQ1407" s="168"/>
      <c r="BR1407" s="168"/>
      <c r="BS1407" s="135"/>
      <c r="BT1407" s="168"/>
      <c r="BU1407" s="167"/>
      <c r="BV1407" s="168"/>
      <c r="BW1407" s="167"/>
      <c r="BX1407" s="168"/>
      <c r="BY1407" s="167"/>
      <c r="BZ1407" s="168"/>
      <c r="CA1407" s="167"/>
      <c r="CB1407" s="168"/>
      <c r="CC1407" s="62"/>
      <c r="CD1407" s="168"/>
      <c r="CE1407" s="165"/>
      <c r="CF1407" s="242"/>
      <c r="CG1407" s="228"/>
      <c r="CH1407" s="9"/>
      <c r="CI1407" s="228"/>
      <c r="CJ1407" s="228"/>
      <c r="CK1407" s="228"/>
      <c r="CL1407" s="228"/>
      <c r="CM1407" s="228"/>
      <c r="CN1407" s="228"/>
      <c r="CO1407" s="228"/>
      <c r="CP1407" s="105"/>
    </row>
    <row r="1408" spans="1:94" x14ac:dyDescent="0.25">
      <c r="A1408" s="245" t="s">
        <v>4110</v>
      </c>
      <c r="B1408" s="246" t="s">
        <v>4111</v>
      </c>
      <c r="C1408" s="62"/>
      <c r="D1408" s="62"/>
      <c r="E1408" s="62"/>
      <c r="F1408" s="62"/>
      <c r="G1408" s="62"/>
      <c r="H1408" s="62"/>
      <c r="I1408" s="62"/>
      <c r="J1408" s="62"/>
      <c r="K1408" s="62"/>
      <c r="L1408" s="62"/>
      <c r="M1408" s="62"/>
      <c r="N1408" s="62"/>
      <c r="O1408" s="62"/>
      <c r="P1408" s="62"/>
      <c r="Q1408" s="62"/>
      <c r="R1408" s="62"/>
      <c r="S1408" s="62"/>
      <c r="T1408" s="62"/>
      <c r="U1408" s="62"/>
      <c r="V1408" s="62"/>
      <c r="W1408" s="62"/>
      <c r="X1408" s="62"/>
      <c r="Y1408" s="62"/>
      <c r="Z1408" s="62"/>
      <c r="AA1408" s="62"/>
      <c r="AB1408" s="62"/>
      <c r="AC1408" s="62"/>
      <c r="AD1408" s="62"/>
      <c r="AE1408" s="62"/>
      <c r="AF1408" s="62"/>
      <c r="AG1408" s="62"/>
      <c r="AH1408" s="62"/>
      <c r="AI1408" s="62"/>
      <c r="AJ1408" s="62"/>
      <c r="AK1408" s="62"/>
      <c r="AL1408" s="62"/>
      <c r="AM1408" s="61"/>
      <c r="AN1408" s="62"/>
      <c r="AO1408" s="61" t="s">
        <v>4049</v>
      </c>
      <c r="AP1408" s="210"/>
      <c r="AQ1408" s="211"/>
      <c r="AR1408" s="211"/>
      <c r="AS1408" s="211"/>
      <c r="AT1408" s="211"/>
      <c r="AU1408" s="211"/>
      <c r="AV1408" s="211"/>
      <c r="AW1408" s="9"/>
      <c r="AX1408" s="9"/>
      <c r="AY1408" s="9"/>
      <c r="AZ1408" s="9"/>
      <c r="BA1408" s="120"/>
      <c r="BB1408" s="69"/>
      <c r="BC1408" s="9"/>
      <c r="BD1408" s="9"/>
      <c r="BE1408" s="9"/>
      <c r="BF1408" s="9"/>
      <c r="BG1408" s="9"/>
      <c r="BH1408" s="9"/>
      <c r="BI1408" s="9"/>
      <c r="BJ1408" s="9"/>
      <c r="BK1408" s="9"/>
      <c r="BL1408" s="9"/>
      <c r="BM1408" s="9"/>
      <c r="BN1408" s="9"/>
      <c r="BO1408" s="9"/>
      <c r="BP1408" s="9"/>
      <c r="BQ1408" s="9"/>
      <c r="BR1408" s="9"/>
      <c r="BS1408" s="9"/>
      <c r="BT1408" s="9"/>
      <c r="BU1408" s="9"/>
      <c r="BV1408" s="9"/>
      <c r="BW1408" s="9"/>
      <c r="BX1408" s="9"/>
      <c r="BY1408" s="9"/>
      <c r="BZ1408" s="9"/>
      <c r="CA1408" s="9"/>
      <c r="CB1408" s="9"/>
      <c r="CC1408" s="9"/>
      <c r="CD1408" s="9"/>
      <c r="CE1408" s="9"/>
      <c r="CF1408" s="9"/>
      <c r="CG1408" s="9"/>
      <c r="CH1408" s="9"/>
      <c r="CI1408" s="9"/>
      <c r="CJ1408" s="9"/>
      <c r="CK1408" s="9"/>
      <c r="CL1408" s="9"/>
      <c r="CM1408" s="9"/>
      <c r="CN1408" s="9"/>
      <c r="CO1408" s="9"/>
      <c r="CP1408" s="9"/>
    </row>
    <row r="1409" spans="1:94" ht="42.75" x14ac:dyDescent="0.25">
      <c r="A1409" s="126" t="s">
        <v>4112</v>
      </c>
      <c r="B1409" s="185" t="s">
        <v>3749</v>
      </c>
      <c r="C1409" s="185"/>
      <c r="D1409" s="185"/>
      <c r="E1409" s="185"/>
      <c r="F1409" s="185"/>
      <c r="G1409" s="185"/>
      <c r="H1409" s="185"/>
      <c r="I1409" s="104"/>
      <c r="J1409" s="104"/>
      <c r="K1409" s="104"/>
      <c r="L1409" s="104"/>
      <c r="M1409" s="104"/>
      <c r="N1409" s="104"/>
      <c r="O1409" s="104"/>
      <c r="P1409" s="104"/>
      <c r="Q1409" s="104"/>
      <c r="R1409" s="104"/>
      <c r="S1409" s="104"/>
      <c r="T1409" s="104"/>
      <c r="U1409" s="104"/>
      <c r="V1409" s="104"/>
      <c r="W1409" s="104"/>
      <c r="X1409" s="104"/>
      <c r="Y1409" s="104"/>
      <c r="Z1409" s="104"/>
      <c r="AA1409" s="104"/>
      <c r="AB1409" s="104"/>
      <c r="AC1409" s="104"/>
      <c r="AD1409" s="104"/>
      <c r="AE1409" s="104"/>
      <c r="AF1409" s="104"/>
      <c r="AG1409" s="104"/>
      <c r="AH1409" s="104"/>
      <c r="AI1409" s="104"/>
      <c r="AJ1409" s="104"/>
      <c r="AK1409" s="104"/>
      <c r="AL1409" s="104"/>
      <c r="AM1409" s="103"/>
      <c r="AN1409" s="104"/>
      <c r="AO1409" s="61" t="s">
        <v>4049</v>
      </c>
      <c r="AP1409" s="212"/>
      <c r="AQ1409" s="213"/>
      <c r="AR1409" s="213"/>
      <c r="AS1409" s="213"/>
      <c r="AT1409" s="213"/>
      <c r="AU1409" s="213"/>
      <c r="AV1409" s="213"/>
      <c r="AW1409" s="62"/>
      <c r="AX1409" s="62"/>
      <c r="AY1409" s="62"/>
      <c r="AZ1409" s="62"/>
      <c r="BA1409" s="141"/>
      <c r="BB1409" s="61"/>
      <c r="BC1409" s="165" t="s">
        <v>1615</v>
      </c>
      <c r="BD1409" s="166">
        <f>+(89-9.5)%</f>
        <v>0.79500000000000004</v>
      </c>
      <c r="BE1409" s="167" t="s">
        <v>1616</v>
      </c>
      <c r="BF1409" s="168">
        <f>+(10+10)%</f>
        <v>0.2</v>
      </c>
      <c r="BG1409" s="167" t="s">
        <v>1617</v>
      </c>
      <c r="BH1409" s="168">
        <f>+(1-0.5)%</f>
        <v>5.0000000000000001E-3</v>
      </c>
      <c r="BI1409" s="169"/>
      <c r="BJ1409" s="168">
        <v>0</v>
      </c>
      <c r="BK1409" s="134" t="s">
        <v>2151</v>
      </c>
      <c r="BL1409" s="168">
        <f>+(90-10)%</f>
        <v>0.8</v>
      </c>
      <c r="BM1409" s="167" t="s">
        <v>2152</v>
      </c>
      <c r="BN1409" s="168">
        <f>+(10+10)%</f>
        <v>0.2</v>
      </c>
      <c r="BO1409" s="62"/>
      <c r="BP1409" s="168"/>
      <c r="BQ1409" s="168"/>
      <c r="BR1409" s="168"/>
      <c r="BS1409" s="135" t="s">
        <v>1615</v>
      </c>
      <c r="BT1409" s="176">
        <f>+(87-7.5)%</f>
        <v>0.79500000000000004</v>
      </c>
      <c r="BU1409" s="167" t="s">
        <v>1616</v>
      </c>
      <c r="BV1409" s="168">
        <f>+(10+10)%</f>
        <v>0.2</v>
      </c>
      <c r="BW1409" s="167" t="s">
        <v>2153</v>
      </c>
      <c r="BX1409" s="168"/>
      <c r="BY1409" s="167" t="s">
        <v>1617</v>
      </c>
      <c r="BZ1409" s="176">
        <f>+(1-0.5)%</f>
        <v>5.0000000000000001E-3</v>
      </c>
      <c r="CA1409" s="167" t="s">
        <v>1621</v>
      </c>
      <c r="CB1409" s="168">
        <f>+(2-2)%</f>
        <v>0</v>
      </c>
      <c r="CC1409" s="104"/>
      <c r="CD1409" s="186"/>
      <c r="CE1409" s="183"/>
      <c r="CF1409" s="183"/>
      <c r="CG1409" s="228"/>
      <c r="CH1409" s="9"/>
      <c r="CI1409" s="228"/>
      <c r="CJ1409" s="228"/>
      <c r="CK1409" s="228"/>
      <c r="CL1409" s="228"/>
      <c r="CM1409" s="228"/>
      <c r="CN1409" s="228"/>
      <c r="CO1409" s="228"/>
      <c r="CP1409" s="105"/>
    </row>
    <row r="1410" spans="1:94" ht="42.75" x14ac:dyDescent="0.25">
      <c r="A1410" s="126" t="s">
        <v>4113</v>
      </c>
      <c r="B1410" s="185" t="s">
        <v>4114</v>
      </c>
      <c r="C1410" s="185"/>
      <c r="D1410" s="185"/>
      <c r="E1410" s="185"/>
      <c r="F1410" s="185"/>
      <c r="G1410" s="185"/>
      <c r="H1410" s="185"/>
      <c r="I1410" s="104"/>
      <c r="J1410" s="104"/>
      <c r="K1410" s="104"/>
      <c r="L1410" s="104"/>
      <c r="M1410" s="104"/>
      <c r="N1410" s="104"/>
      <c r="O1410" s="104"/>
      <c r="P1410" s="104"/>
      <c r="Q1410" s="104"/>
      <c r="R1410" s="104"/>
      <c r="S1410" s="104"/>
      <c r="T1410" s="104"/>
      <c r="U1410" s="104"/>
      <c r="V1410" s="104"/>
      <c r="W1410" s="104"/>
      <c r="X1410" s="104"/>
      <c r="Y1410" s="104"/>
      <c r="Z1410" s="104"/>
      <c r="AA1410" s="104"/>
      <c r="AB1410" s="104"/>
      <c r="AC1410" s="104"/>
      <c r="AD1410" s="104"/>
      <c r="AE1410" s="104"/>
      <c r="AF1410" s="104"/>
      <c r="AG1410" s="104"/>
      <c r="AH1410" s="104"/>
      <c r="AI1410" s="104"/>
      <c r="AJ1410" s="104"/>
      <c r="AK1410" s="104"/>
      <c r="AL1410" s="104"/>
      <c r="AM1410" s="103"/>
      <c r="AN1410" s="104"/>
      <c r="AO1410" s="61" t="s">
        <v>4049</v>
      </c>
      <c r="AP1410" s="212"/>
      <c r="AQ1410" s="213"/>
      <c r="AR1410" s="213"/>
      <c r="AS1410" s="213"/>
      <c r="AT1410" s="213"/>
      <c r="AU1410" s="213"/>
      <c r="AV1410" s="213"/>
      <c r="AW1410" s="62"/>
      <c r="AX1410" s="62"/>
      <c r="AY1410" s="62"/>
      <c r="AZ1410" s="62"/>
      <c r="BA1410" s="141"/>
      <c r="BB1410" s="61"/>
      <c r="BC1410" s="165" t="s">
        <v>1615</v>
      </c>
      <c r="BD1410" s="166">
        <f>+(89-9.5)%</f>
        <v>0.79500000000000004</v>
      </c>
      <c r="BE1410" s="167" t="s">
        <v>1616</v>
      </c>
      <c r="BF1410" s="168">
        <f>+(10+10)%</f>
        <v>0.2</v>
      </c>
      <c r="BG1410" s="167" t="s">
        <v>1617</v>
      </c>
      <c r="BH1410" s="168">
        <f>+(1-0.5)%</f>
        <v>5.0000000000000001E-3</v>
      </c>
      <c r="BI1410" s="169"/>
      <c r="BJ1410" s="168">
        <v>0</v>
      </c>
      <c r="BK1410" s="134" t="s">
        <v>2151</v>
      </c>
      <c r="BL1410" s="168">
        <f>+(90-10)%</f>
        <v>0.8</v>
      </c>
      <c r="BM1410" s="167" t="s">
        <v>2152</v>
      </c>
      <c r="BN1410" s="168">
        <f>+(10+10)%</f>
        <v>0.2</v>
      </c>
      <c r="BO1410" s="62"/>
      <c r="BP1410" s="168"/>
      <c r="BQ1410" s="168"/>
      <c r="BR1410" s="168"/>
      <c r="BS1410" s="135" t="s">
        <v>1615</v>
      </c>
      <c r="BT1410" s="176">
        <f>+(87-7.5)%</f>
        <v>0.79500000000000004</v>
      </c>
      <c r="BU1410" s="167" t="s">
        <v>1616</v>
      </c>
      <c r="BV1410" s="168">
        <f>+(10+10)%</f>
        <v>0.2</v>
      </c>
      <c r="BW1410" s="167" t="s">
        <v>2153</v>
      </c>
      <c r="BX1410" s="168"/>
      <c r="BY1410" s="167" t="s">
        <v>1617</v>
      </c>
      <c r="BZ1410" s="176">
        <f>+(1-0.5)%</f>
        <v>5.0000000000000001E-3</v>
      </c>
      <c r="CA1410" s="167" t="s">
        <v>1621</v>
      </c>
      <c r="CB1410" s="168">
        <f>+(2-2)%</f>
        <v>0</v>
      </c>
      <c r="CC1410" s="104"/>
      <c r="CD1410" s="186"/>
      <c r="CE1410" s="183"/>
      <c r="CF1410" s="183"/>
      <c r="CG1410" s="228"/>
      <c r="CH1410" s="9"/>
      <c r="CI1410" s="228"/>
      <c r="CJ1410" s="228"/>
      <c r="CK1410" s="228"/>
      <c r="CL1410" s="228"/>
      <c r="CM1410" s="228"/>
      <c r="CN1410" s="228"/>
      <c r="CO1410" s="228"/>
      <c r="CP1410" s="105"/>
    </row>
    <row r="1411" spans="1:94" ht="42.75" x14ac:dyDescent="0.25">
      <c r="A1411" s="104" t="s">
        <v>4115</v>
      </c>
      <c r="B1411" s="104" t="s">
        <v>4116</v>
      </c>
      <c r="C1411" s="104"/>
      <c r="D1411" s="104"/>
      <c r="E1411" s="104"/>
      <c r="F1411" s="104"/>
      <c r="G1411" s="104"/>
      <c r="H1411" s="104"/>
      <c r="I1411" s="104"/>
      <c r="J1411" s="104"/>
      <c r="K1411" s="104"/>
      <c r="L1411" s="104"/>
      <c r="M1411" s="104"/>
      <c r="N1411" s="104"/>
      <c r="O1411" s="104"/>
      <c r="P1411" s="104"/>
      <c r="Q1411" s="104"/>
      <c r="R1411" s="104"/>
      <c r="S1411" s="104"/>
      <c r="T1411" s="104"/>
      <c r="U1411" s="104"/>
      <c r="V1411" s="104"/>
      <c r="W1411" s="104"/>
      <c r="X1411" s="104"/>
      <c r="Y1411" s="104"/>
      <c r="Z1411" s="104"/>
      <c r="AA1411" s="104"/>
      <c r="AB1411" s="104"/>
      <c r="AC1411" s="104"/>
      <c r="AD1411" s="104"/>
      <c r="AE1411" s="104"/>
      <c r="AF1411" s="104"/>
      <c r="AG1411" s="104"/>
      <c r="AH1411" s="104"/>
      <c r="AI1411" s="104"/>
      <c r="AJ1411" s="104"/>
      <c r="AK1411" s="104"/>
      <c r="AL1411" s="104"/>
      <c r="AM1411" s="103"/>
      <c r="AN1411" s="104"/>
      <c r="AO1411" s="103"/>
      <c r="AP1411" s="222"/>
      <c r="AQ1411" s="104"/>
      <c r="AR1411" s="104"/>
      <c r="AS1411" s="104"/>
      <c r="AT1411" s="104"/>
      <c r="AU1411" s="104"/>
      <c r="AV1411" s="104"/>
      <c r="AW1411" s="104"/>
      <c r="AX1411" s="104"/>
      <c r="AY1411" s="104"/>
      <c r="AZ1411" s="104"/>
      <c r="BA1411" s="182"/>
      <c r="BB1411" s="103"/>
      <c r="BC1411" s="183" t="s">
        <v>1615</v>
      </c>
      <c r="BD1411" s="241">
        <f>+(79)%</f>
        <v>0.79</v>
      </c>
      <c r="BE1411" s="185" t="s">
        <v>1616</v>
      </c>
      <c r="BF1411" s="186">
        <f>20%</f>
        <v>0.2</v>
      </c>
      <c r="BG1411" s="185" t="s">
        <v>1617</v>
      </c>
      <c r="BH1411" s="186">
        <v>0.01</v>
      </c>
      <c r="BI1411" s="186"/>
      <c r="BJ1411" s="186"/>
      <c r="BK1411" s="187" t="s">
        <v>3961</v>
      </c>
      <c r="BL1411" s="186">
        <v>0.99</v>
      </c>
      <c r="BM1411" s="185" t="s">
        <v>2152</v>
      </c>
      <c r="BN1411" s="186">
        <v>0</v>
      </c>
      <c r="BO1411" s="104" t="s">
        <v>1617</v>
      </c>
      <c r="BP1411" s="186">
        <v>0.01</v>
      </c>
      <c r="BQ1411" s="104"/>
      <c r="BR1411" s="186"/>
      <c r="BS1411" s="188" t="s">
        <v>1619</v>
      </c>
      <c r="BT1411" s="186">
        <f>39%</f>
        <v>0.39</v>
      </c>
      <c r="BU1411" s="185" t="s">
        <v>1616</v>
      </c>
      <c r="BV1411" s="186">
        <f>20%</f>
        <v>0.2</v>
      </c>
      <c r="BW1411" s="185" t="s">
        <v>1620</v>
      </c>
      <c r="BX1411" s="186">
        <v>0.4</v>
      </c>
      <c r="BY1411" s="185" t="s">
        <v>1617</v>
      </c>
      <c r="BZ1411" s="186">
        <v>0.01</v>
      </c>
      <c r="CA1411" s="185" t="s">
        <v>1621</v>
      </c>
      <c r="CB1411" s="186"/>
      <c r="CC1411" s="104"/>
      <c r="CD1411" s="186"/>
      <c r="CE1411" s="183"/>
      <c r="CF1411" s="183"/>
      <c r="CG1411" s="228"/>
      <c r="CH1411" s="105"/>
      <c r="CI1411" s="228"/>
      <c r="CJ1411" s="228"/>
      <c r="CK1411" s="228"/>
      <c r="CL1411" s="228"/>
      <c r="CM1411" s="228"/>
      <c r="CN1411" s="228"/>
      <c r="CO1411" s="228"/>
      <c r="CP1411" s="105"/>
    </row>
    <row r="1412" spans="1:94" ht="42.75" x14ac:dyDescent="0.25">
      <c r="A1412" s="104" t="s">
        <v>4117</v>
      </c>
      <c r="B1412" s="104" t="s">
        <v>4118</v>
      </c>
      <c r="C1412" s="104"/>
      <c r="D1412" s="104"/>
      <c r="E1412" s="104"/>
      <c r="F1412" s="104"/>
      <c r="G1412" s="104"/>
      <c r="H1412" s="104"/>
      <c r="I1412" s="104"/>
      <c r="J1412" s="104"/>
      <c r="K1412" s="104"/>
      <c r="L1412" s="104"/>
      <c r="M1412" s="104"/>
      <c r="N1412" s="104"/>
      <c r="O1412" s="104"/>
      <c r="P1412" s="104"/>
      <c r="Q1412" s="104"/>
      <c r="R1412" s="104"/>
      <c r="S1412" s="104"/>
      <c r="T1412" s="104"/>
      <c r="U1412" s="104"/>
      <c r="V1412" s="104"/>
      <c r="W1412" s="104"/>
      <c r="X1412" s="104"/>
      <c r="Y1412" s="104"/>
      <c r="Z1412" s="104"/>
      <c r="AA1412" s="104"/>
      <c r="AB1412" s="104"/>
      <c r="AC1412" s="104"/>
      <c r="AD1412" s="104"/>
      <c r="AE1412" s="104"/>
      <c r="AF1412" s="104"/>
      <c r="AG1412" s="104"/>
      <c r="AH1412" s="104"/>
      <c r="AI1412" s="104"/>
      <c r="AJ1412" s="104"/>
      <c r="AK1412" s="104"/>
      <c r="AL1412" s="104"/>
      <c r="AM1412" s="103"/>
      <c r="AN1412" s="104"/>
      <c r="AO1412" s="103"/>
      <c r="AP1412" s="222"/>
      <c r="AQ1412" s="104"/>
      <c r="AR1412" s="104"/>
      <c r="AS1412" s="104"/>
      <c r="AT1412" s="104"/>
      <c r="AU1412" s="104"/>
      <c r="AV1412" s="104"/>
      <c r="AW1412" s="104"/>
      <c r="AX1412" s="104"/>
      <c r="AY1412" s="104"/>
      <c r="AZ1412" s="104"/>
      <c r="BA1412" s="182"/>
      <c r="BB1412" s="103"/>
      <c r="BC1412" s="183" t="s">
        <v>1615</v>
      </c>
      <c r="BD1412" s="241">
        <f>+(79)%</f>
        <v>0.79</v>
      </c>
      <c r="BE1412" s="185" t="s">
        <v>1616</v>
      </c>
      <c r="BF1412" s="186">
        <f>20%</f>
        <v>0.2</v>
      </c>
      <c r="BG1412" s="185" t="s">
        <v>1617</v>
      </c>
      <c r="BH1412" s="186">
        <v>0.01</v>
      </c>
      <c r="BI1412" s="186"/>
      <c r="BJ1412" s="186"/>
      <c r="BK1412" s="187" t="s">
        <v>3961</v>
      </c>
      <c r="BL1412" s="186">
        <v>0.99</v>
      </c>
      <c r="BM1412" s="185" t="s">
        <v>2152</v>
      </c>
      <c r="BN1412" s="186">
        <v>0</v>
      </c>
      <c r="BO1412" s="104" t="s">
        <v>1617</v>
      </c>
      <c r="BP1412" s="186">
        <v>0.01</v>
      </c>
      <c r="BQ1412" s="104"/>
      <c r="BR1412" s="186"/>
      <c r="BS1412" s="188" t="s">
        <v>1619</v>
      </c>
      <c r="BT1412" s="186">
        <v>0.09</v>
      </c>
      <c r="BU1412" s="185" t="s">
        <v>1616</v>
      </c>
      <c r="BV1412" s="186">
        <f>20%</f>
        <v>0.2</v>
      </c>
      <c r="BW1412" s="185" t="s">
        <v>1620</v>
      </c>
      <c r="BX1412" s="186">
        <f>+(80-10)%</f>
        <v>0.7</v>
      </c>
      <c r="BY1412" s="185" t="s">
        <v>1617</v>
      </c>
      <c r="BZ1412" s="186">
        <v>0.01</v>
      </c>
      <c r="CA1412" s="185" t="s">
        <v>1621</v>
      </c>
      <c r="CB1412" s="186"/>
      <c r="CC1412" s="104"/>
      <c r="CD1412" s="186"/>
      <c r="CE1412" s="104"/>
      <c r="CF1412" s="104"/>
      <c r="CG1412" s="105"/>
      <c r="CH1412" s="105"/>
      <c r="CI1412" s="105"/>
      <c r="CJ1412" s="105"/>
      <c r="CK1412" s="105"/>
      <c r="CL1412" s="105"/>
      <c r="CM1412" s="105"/>
      <c r="CN1412" s="105"/>
      <c r="CO1412" s="105"/>
      <c r="CP1412" s="105"/>
    </row>
    <row r="1413" spans="1:94" ht="42.75" x14ac:dyDescent="0.25">
      <c r="A1413" s="104" t="s">
        <v>4119</v>
      </c>
      <c r="B1413" s="104" t="s">
        <v>4120</v>
      </c>
      <c r="C1413" s="104"/>
      <c r="D1413" s="104"/>
      <c r="E1413" s="104"/>
      <c r="F1413" s="104"/>
      <c r="G1413" s="104"/>
      <c r="H1413" s="104"/>
      <c r="I1413" s="104"/>
      <c r="J1413" s="104"/>
      <c r="K1413" s="104"/>
      <c r="L1413" s="104"/>
      <c r="M1413" s="104"/>
      <c r="N1413" s="104"/>
      <c r="O1413" s="104"/>
      <c r="P1413" s="104"/>
      <c r="Q1413" s="104"/>
      <c r="R1413" s="104"/>
      <c r="S1413" s="104"/>
      <c r="T1413" s="104"/>
      <c r="U1413" s="104"/>
      <c r="V1413" s="104"/>
      <c r="W1413" s="104"/>
      <c r="X1413" s="104"/>
      <c r="Y1413" s="104"/>
      <c r="Z1413" s="104"/>
      <c r="AA1413" s="104"/>
      <c r="AB1413" s="104"/>
      <c r="AC1413" s="104"/>
      <c r="AD1413" s="104"/>
      <c r="AE1413" s="104"/>
      <c r="AF1413" s="104"/>
      <c r="AG1413" s="104"/>
      <c r="AH1413" s="104"/>
      <c r="AI1413" s="104"/>
      <c r="AJ1413" s="104"/>
      <c r="AK1413" s="104"/>
      <c r="AL1413" s="104"/>
      <c r="AM1413" s="103"/>
      <c r="AN1413" s="104"/>
      <c r="AO1413" s="103"/>
      <c r="AP1413" s="222"/>
      <c r="AQ1413" s="104"/>
      <c r="AR1413" s="104"/>
      <c r="AS1413" s="104"/>
      <c r="AT1413" s="104"/>
      <c r="AU1413" s="104"/>
      <c r="AV1413" s="104"/>
      <c r="AW1413" s="104"/>
      <c r="AX1413" s="104"/>
      <c r="AY1413" s="104"/>
      <c r="AZ1413" s="104"/>
      <c r="BA1413" s="182"/>
      <c r="BB1413" s="103"/>
      <c r="BC1413" s="183" t="s">
        <v>1615</v>
      </c>
      <c r="BD1413" s="241">
        <f>+(79)%</f>
        <v>0.79</v>
      </c>
      <c r="BE1413" s="185" t="s">
        <v>1616</v>
      </c>
      <c r="BF1413" s="186">
        <v>0.2</v>
      </c>
      <c r="BG1413" s="185" t="s">
        <v>1617</v>
      </c>
      <c r="BH1413" s="186">
        <v>0.01</v>
      </c>
      <c r="BI1413" s="186"/>
      <c r="BJ1413" s="186"/>
      <c r="BK1413" s="187" t="s">
        <v>3961</v>
      </c>
      <c r="BL1413" s="186">
        <v>0.28999999999999998</v>
      </c>
      <c r="BM1413" s="185" t="s">
        <v>2152</v>
      </c>
      <c r="BN1413" s="186">
        <v>0.2</v>
      </c>
      <c r="BO1413" s="104" t="s">
        <v>4121</v>
      </c>
      <c r="BP1413" s="186">
        <v>0.5</v>
      </c>
      <c r="BQ1413" s="104" t="s">
        <v>1617</v>
      </c>
      <c r="BR1413" s="186">
        <v>0.01</v>
      </c>
      <c r="BS1413" s="188" t="s">
        <v>1619</v>
      </c>
      <c r="BT1413" s="186">
        <v>0.39</v>
      </c>
      <c r="BU1413" s="185" t="s">
        <v>1616</v>
      </c>
      <c r="BV1413" s="186">
        <v>0.2</v>
      </c>
      <c r="BW1413" s="185" t="s">
        <v>1620</v>
      </c>
      <c r="BX1413" s="186">
        <v>0.4</v>
      </c>
      <c r="BY1413" s="185" t="s">
        <v>1617</v>
      </c>
      <c r="BZ1413" s="186">
        <v>0.01</v>
      </c>
      <c r="CA1413" s="185" t="s">
        <v>1621</v>
      </c>
      <c r="CB1413" s="186">
        <v>0</v>
      </c>
      <c r="CC1413" s="104" t="s">
        <v>1622</v>
      </c>
      <c r="CD1413" s="186">
        <v>0</v>
      </c>
      <c r="CE1413" s="104"/>
      <c r="CF1413" s="104"/>
      <c r="CG1413" s="105"/>
      <c r="CH1413" s="105"/>
      <c r="CI1413" s="105"/>
      <c r="CJ1413" s="105"/>
      <c r="CK1413" s="105"/>
      <c r="CL1413" s="105"/>
      <c r="CM1413" s="105"/>
      <c r="CN1413" s="105"/>
      <c r="CO1413" s="105"/>
      <c r="CP1413" s="105"/>
    </row>
    <row r="1414" spans="1:94" ht="42.75" x14ac:dyDescent="0.25">
      <c r="A1414" s="104" t="s">
        <v>4122</v>
      </c>
      <c r="B1414" s="104" t="s">
        <v>4123</v>
      </c>
      <c r="C1414" s="104"/>
      <c r="D1414" s="104"/>
      <c r="E1414" s="104"/>
      <c r="F1414" s="104"/>
      <c r="G1414" s="104"/>
      <c r="H1414" s="104"/>
      <c r="I1414" s="104"/>
      <c r="J1414" s="104"/>
      <c r="K1414" s="104"/>
      <c r="L1414" s="104"/>
      <c r="M1414" s="104"/>
      <c r="N1414" s="104"/>
      <c r="O1414" s="104"/>
      <c r="P1414" s="104"/>
      <c r="Q1414" s="104"/>
      <c r="R1414" s="104"/>
      <c r="S1414" s="104"/>
      <c r="T1414" s="104"/>
      <c r="U1414" s="104"/>
      <c r="V1414" s="104"/>
      <c r="W1414" s="104"/>
      <c r="X1414" s="104"/>
      <c r="Y1414" s="104"/>
      <c r="Z1414" s="104"/>
      <c r="AA1414" s="104"/>
      <c r="AB1414" s="104"/>
      <c r="AC1414" s="104"/>
      <c r="AD1414" s="104"/>
      <c r="AE1414" s="104"/>
      <c r="AF1414" s="104"/>
      <c r="AG1414" s="104"/>
      <c r="AH1414" s="104"/>
      <c r="AI1414" s="104"/>
      <c r="AJ1414" s="104"/>
      <c r="AK1414" s="104"/>
      <c r="AL1414" s="104"/>
      <c r="AM1414" s="103"/>
      <c r="AN1414" s="104"/>
      <c r="AO1414" s="103"/>
      <c r="AP1414" s="222"/>
      <c r="AQ1414" s="104"/>
      <c r="AR1414" s="104"/>
      <c r="AS1414" s="104"/>
      <c r="AT1414" s="104"/>
      <c r="AU1414" s="104"/>
      <c r="AV1414" s="104"/>
      <c r="AW1414" s="104"/>
      <c r="AX1414" s="104"/>
      <c r="AY1414" s="104"/>
      <c r="AZ1414" s="104"/>
      <c r="BA1414" s="182"/>
      <c r="BB1414" s="103"/>
      <c r="BC1414" s="183" t="s">
        <v>1615</v>
      </c>
      <c r="BD1414" s="241">
        <f>+(79)%</f>
        <v>0.79</v>
      </c>
      <c r="BE1414" s="185" t="s">
        <v>1616</v>
      </c>
      <c r="BF1414" s="186">
        <v>0.2</v>
      </c>
      <c r="BG1414" s="185" t="s">
        <v>1617</v>
      </c>
      <c r="BH1414" s="186">
        <v>0.01</v>
      </c>
      <c r="BI1414" s="186"/>
      <c r="BJ1414" s="186"/>
      <c r="BK1414" s="187" t="s">
        <v>3961</v>
      </c>
      <c r="BL1414" s="186">
        <v>0.49</v>
      </c>
      <c r="BM1414" s="185" t="s">
        <v>2152</v>
      </c>
      <c r="BN1414" s="186">
        <v>0.2</v>
      </c>
      <c r="BO1414" s="104" t="s">
        <v>4121</v>
      </c>
      <c r="BP1414" s="186">
        <v>0.3</v>
      </c>
      <c r="BQ1414" s="104" t="s">
        <v>1617</v>
      </c>
      <c r="BR1414" s="186">
        <v>0.01</v>
      </c>
      <c r="BS1414" s="188" t="s">
        <v>1619</v>
      </c>
      <c r="BT1414" s="186">
        <v>0.39</v>
      </c>
      <c r="BU1414" s="185" t="s">
        <v>1616</v>
      </c>
      <c r="BV1414" s="186">
        <v>0.2</v>
      </c>
      <c r="BW1414" s="185" t="s">
        <v>1620</v>
      </c>
      <c r="BX1414" s="186">
        <v>0.4</v>
      </c>
      <c r="BY1414" s="185" t="s">
        <v>1617</v>
      </c>
      <c r="BZ1414" s="186">
        <v>0.01</v>
      </c>
      <c r="CA1414" s="185" t="s">
        <v>1621</v>
      </c>
      <c r="CB1414" s="186">
        <v>0</v>
      </c>
      <c r="CC1414" s="104" t="s">
        <v>1622</v>
      </c>
      <c r="CD1414" s="186">
        <v>0</v>
      </c>
      <c r="CE1414" s="104"/>
      <c r="CF1414" s="104"/>
      <c r="CG1414" s="105"/>
      <c r="CH1414" s="105"/>
      <c r="CI1414" s="105"/>
      <c r="CJ1414" s="105"/>
      <c r="CK1414" s="105"/>
      <c r="CL1414" s="105"/>
      <c r="CM1414" s="105"/>
      <c r="CN1414" s="105"/>
      <c r="CO1414" s="105"/>
      <c r="CP1414" s="105"/>
    </row>
    <row r="1415" spans="1:94" ht="42.75" x14ac:dyDescent="0.25">
      <c r="A1415" s="104" t="s">
        <v>4124</v>
      </c>
      <c r="B1415" s="104" t="s">
        <v>4125</v>
      </c>
      <c r="C1415" s="104"/>
      <c r="D1415" s="104"/>
      <c r="E1415" s="104"/>
      <c r="F1415" s="104"/>
      <c r="G1415" s="104"/>
      <c r="H1415" s="104"/>
      <c r="I1415" s="104"/>
      <c r="J1415" s="104"/>
      <c r="K1415" s="104"/>
      <c r="L1415" s="104"/>
      <c r="M1415" s="104"/>
      <c r="N1415" s="104"/>
      <c r="O1415" s="104"/>
      <c r="P1415" s="104"/>
      <c r="Q1415" s="104"/>
      <c r="R1415" s="104"/>
      <c r="S1415" s="104"/>
      <c r="T1415" s="104"/>
      <c r="U1415" s="104"/>
      <c r="V1415" s="104"/>
      <c r="W1415" s="104"/>
      <c r="X1415" s="104"/>
      <c r="Y1415" s="104"/>
      <c r="Z1415" s="104"/>
      <c r="AA1415" s="104"/>
      <c r="AB1415" s="104"/>
      <c r="AC1415" s="104"/>
      <c r="AD1415" s="104"/>
      <c r="AE1415" s="104"/>
      <c r="AF1415" s="104"/>
      <c r="AG1415" s="104"/>
      <c r="AH1415" s="104"/>
      <c r="AI1415" s="104"/>
      <c r="AJ1415" s="104"/>
      <c r="AK1415" s="104"/>
      <c r="AL1415" s="104"/>
      <c r="AM1415" s="103"/>
      <c r="AN1415" s="104"/>
      <c r="AO1415" s="103"/>
      <c r="AP1415" s="222"/>
      <c r="AQ1415" s="104"/>
      <c r="AR1415" s="104"/>
      <c r="AS1415" s="104"/>
      <c r="AT1415" s="104"/>
      <c r="AU1415" s="104"/>
      <c r="AV1415" s="104"/>
      <c r="AW1415" s="104"/>
      <c r="AX1415" s="104"/>
      <c r="AY1415" s="104"/>
      <c r="AZ1415" s="104"/>
      <c r="BA1415" s="182"/>
      <c r="BB1415" s="103"/>
      <c r="BC1415" s="183" t="s">
        <v>1615</v>
      </c>
      <c r="BD1415" s="184">
        <v>0.79</v>
      </c>
      <c r="BE1415" s="185" t="s">
        <v>1616</v>
      </c>
      <c r="BF1415" s="186">
        <v>0.2</v>
      </c>
      <c r="BG1415" s="185" t="s">
        <v>1617</v>
      </c>
      <c r="BH1415" s="186">
        <v>0.01</v>
      </c>
      <c r="BI1415" s="186"/>
      <c r="BJ1415" s="186"/>
      <c r="BK1415" s="187" t="s">
        <v>1616</v>
      </c>
      <c r="BL1415" s="186">
        <v>0.2</v>
      </c>
      <c r="BM1415" s="185" t="s">
        <v>4126</v>
      </c>
      <c r="BN1415" s="186">
        <v>0.79</v>
      </c>
      <c r="BO1415" s="104" t="s">
        <v>1617</v>
      </c>
      <c r="BP1415" s="186">
        <v>0.01</v>
      </c>
      <c r="BQ1415" s="186"/>
      <c r="BR1415" s="186"/>
      <c r="BS1415" s="188" t="s">
        <v>1619</v>
      </c>
      <c r="BT1415" s="186">
        <v>0</v>
      </c>
      <c r="BU1415" s="185" t="s">
        <v>1616</v>
      </c>
      <c r="BV1415" s="186">
        <v>0.19</v>
      </c>
      <c r="BW1415" s="185" t="s">
        <v>4127</v>
      </c>
      <c r="BX1415" s="186">
        <v>0.8</v>
      </c>
      <c r="BY1415" s="185" t="s">
        <v>1617</v>
      </c>
      <c r="BZ1415" s="186">
        <v>0.01</v>
      </c>
      <c r="CA1415" s="185" t="s">
        <v>1621</v>
      </c>
      <c r="CB1415" s="186">
        <v>0</v>
      </c>
      <c r="CC1415" s="104" t="s">
        <v>1622</v>
      </c>
      <c r="CD1415" s="186">
        <v>0</v>
      </c>
      <c r="CE1415" s="104"/>
      <c r="CF1415" s="104"/>
      <c r="CG1415" s="105"/>
      <c r="CH1415" s="105"/>
      <c r="CI1415" s="105"/>
      <c r="CJ1415" s="105"/>
      <c r="CK1415" s="105"/>
      <c r="CL1415" s="105"/>
      <c r="CM1415" s="105"/>
      <c r="CN1415" s="105"/>
      <c r="CO1415" s="105"/>
      <c r="CP1415" s="105"/>
    </row>
    <row r="1416" spans="1:94" ht="42.75" x14ac:dyDescent="0.25">
      <c r="A1416" s="105" t="s">
        <v>4128</v>
      </c>
      <c r="B1416" s="105" t="s">
        <v>4129</v>
      </c>
      <c r="C1416" s="105"/>
      <c r="D1416" s="105"/>
      <c r="E1416" s="105"/>
      <c r="F1416" s="105"/>
      <c r="G1416" s="105"/>
      <c r="H1416" s="105"/>
      <c r="I1416" s="105"/>
      <c r="J1416" s="105"/>
      <c r="K1416" s="105"/>
      <c r="L1416" s="105"/>
      <c r="M1416" s="105"/>
      <c r="N1416" s="105"/>
      <c r="O1416" s="105"/>
      <c r="P1416" s="105"/>
      <c r="Q1416" s="105"/>
      <c r="R1416" s="105"/>
      <c r="S1416" s="105"/>
      <c r="T1416" s="105"/>
      <c r="U1416" s="105"/>
      <c r="V1416" s="105"/>
      <c r="W1416" s="105"/>
      <c r="X1416" s="105"/>
      <c r="Y1416" s="105"/>
      <c r="Z1416" s="105"/>
      <c r="AA1416" s="105"/>
      <c r="AB1416" s="105"/>
      <c r="AC1416" s="105"/>
      <c r="AD1416" s="105"/>
      <c r="AE1416" s="105"/>
      <c r="AF1416" s="105"/>
      <c r="AG1416" s="105"/>
      <c r="AH1416" s="105"/>
      <c r="AI1416" s="105"/>
      <c r="AJ1416" s="105"/>
      <c r="AK1416" s="105"/>
      <c r="AL1416" s="105"/>
      <c r="AM1416" s="247"/>
      <c r="AN1416" s="105"/>
      <c r="AO1416" s="247"/>
      <c r="AP1416" s="248"/>
      <c r="AQ1416" s="105"/>
      <c r="AR1416" s="105"/>
      <c r="AS1416" s="105"/>
      <c r="AT1416" s="105"/>
      <c r="AU1416" s="105"/>
      <c r="AV1416" s="105"/>
      <c r="AW1416" s="105"/>
      <c r="AX1416" s="105"/>
      <c r="AY1416" s="105"/>
      <c r="AZ1416" s="105"/>
      <c r="BA1416" s="249"/>
      <c r="BB1416" s="247"/>
      <c r="BC1416" s="183" t="s">
        <v>1615</v>
      </c>
      <c r="BD1416" s="241">
        <v>0.79</v>
      </c>
      <c r="BE1416" s="185" t="s">
        <v>1616</v>
      </c>
      <c r="BF1416" s="186">
        <v>0.2</v>
      </c>
      <c r="BG1416" s="185" t="s">
        <v>1617</v>
      </c>
      <c r="BH1416" s="186">
        <v>0.01</v>
      </c>
      <c r="BI1416" s="186"/>
      <c r="BJ1416" s="186"/>
      <c r="BK1416" s="187" t="s">
        <v>3961</v>
      </c>
      <c r="BL1416" s="186">
        <v>0.99</v>
      </c>
      <c r="BM1416" s="185" t="s">
        <v>2152</v>
      </c>
      <c r="BN1416" s="186"/>
      <c r="BO1416" s="104" t="s">
        <v>1617</v>
      </c>
      <c r="BP1416" s="186">
        <v>0.01</v>
      </c>
      <c r="BQ1416" s="186"/>
      <c r="BR1416" s="186"/>
      <c r="BS1416" s="188" t="s">
        <v>1619</v>
      </c>
      <c r="BT1416" s="186">
        <v>0.32</v>
      </c>
      <c r="BU1416" s="185" t="s">
        <v>1616</v>
      </c>
      <c r="BV1416" s="186">
        <f>+(20+10-10)%</f>
        <v>0.2</v>
      </c>
      <c r="BW1416" s="185" t="s">
        <v>1620</v>
      </c>
      <c r="BX1416" s="186">
        <v>0.4</v>
      </c>
      <c r="BY1416" s="185" t="s">
        <v>1617</v>
      </c>
      <c r="BZ1416" s="186">
        <v>0.01</v>
      </c>
      <c r="CA1416" s="185" t="s">
        <v>1621</v>
      </c>
      <c r="CB1416" s="186">
        <v>0.02</v>
      </c>
      <c r="CC1416" s="104" t="s">
        <v>1622</v>
      </c>
      <c r="CD1416" s="186">
        <v>0.05</v>
      </c>
      <c r="CE1416" s="104"/>
      <c r="CF1416" s="104"/>
      <c r="CG1416" s="105"/>
      <c r="CH1416" s="105"/>
      <c r="CI1416" s="105"/>
      <c r="CJ1416" s="105"/>
      <c r="CK1416" s="105"/>
      <c r="CL1416" s="105"/>
      <c r="CM1416" s="105"/>
      <c r="CN1416" s="105"/>
      <c r="CO1416" s="105"/>
      <c r="CP1416" s="105"/>
    </row>
    <row r="1417" spans="1:94" ht="42.75" x14ac:dyDescent="0.25">
      <c r="A1417" s="105" t="s">
        <v>4130</v>
      </c>
      <c r="B1417" s="105" t="s">
        <v>4131</v>
      </c>
      <c r="C1417" s="105"/>
      <c r="D1417" s="105"/>
      <c r="E1417" s="105"/>
      <c r="F1417" s="105"/>
      <c r="G1417" s="105"/>
      <c r="H1417" s="105"/>
      <c r="I1417" s="105"/>
      <c r="J1417" s="105"/>
      <c r="K1417" s="105"/>
      <c r="L1417" s="105"/>
      <c r="M1417" s="105"/>
      <c r="N1417" s="105"/>
      <c r="O1417" s="105"/>
      <c r="P1417" s="105"/>
      <c r="Q1417" s="105"/>
      <c r="R1417" s="105"/>
      <c r="S1417" s="105"/>
      <c r="T1417" s="105"/>
      <c r="U1417" s="105"/>
      <c r="V1417" s="105"/>
      <c r="W1417" s="105"/>
      <c r="X1417" s="105"/>
      <c r="Y1417" s="105"/>
      <c r="Z1417" s="105"/>
      <c r="AA1417" s="105"/>
      <c r="AB1417" s="105"/>
      <c r="AC1417" s="105"/>
      <c r="AD1417" s="105"/>
      <c r="AE1417" s="105"/>
      <c r="AF1417" s="105"/>
      <c r="AG1417" s="105"/>
      <c r="AH1417" s="105"/>
      <c r="AI1417" s="105"/>
      <c r="AJ1417" s="105"/>
      <c r="AK1417" s="105"/>
      <c r="AL1417" s="105"/>
      <c r="AM1417" s="247"/>
      <c r="AN1417" s="105"/>
      <c r="AO1417" s="247"/>
      <c r="AP1417" s="248"/>
      <c r="AQ1417" s="105"/>
      <c r="AR1417" s="105"/>
      <c r="AS1417" s="105"/>
      <c r="AT1417" s="105"/>
      <c r="AU1417" s="105"/>
      <c r="AV1417" s="105"/>
      <c r="AW1417" s="105"/>
      <c r="AX1417" s="105"/>
      <c r="AY1417" s="105"/>
      <c r="AZ1417" s="105"/>
      <c r="BA1417" s="249"/>
      <c r="BB1417" s="247"/>
      <c r="BC1417" s="183" t="s">
        <v>1615</v>
      </c>
      <c r="BD1417" s="241">
        <f>79%</f>
        <v>0.79</v>
      </c>
      <c r="BE1417" s="185" t="s">
        <v>1616</v>
      </c>
      <c r="BF1417" s="186">
        <f>20%</f>
        <v>0.2</v>
      </c>
      <c r="BG1417" s="185" t="s">
        <v>1617</v>
      </c>
      <c r="BH1417" s="186">
        <v>0.01</v>
      </c>
      <c r="BI1417" s="186"/>
      <c r="BJ1417" s="186"/>
      <c r="BK1417" s="187" t="s">
        <v>3961</v>
      </c>
      <c r="BL1417" s="186">
        <v>0.79</v>
      </c>
      <c r="BM1417" s="185" t="s">
        <v>2152</v>
      </c>
      <c r="BN1417" s="186">
        <v>0.2</v>
      </c>
      <c r="BO1417" s="104" t="s">
        <v>1617</v>
      </c>
      <c r="BP1417" s="186">
        <v>0.01</v>
      </c>
      <c r="BQ1417" s="186"/>
      <c r="BR1417" s="186"/>
      <c r="BS1417" s="188" t="s">
        <v>1619</v>
      </c>
      <c r="BT1417" s="186">
        <v>0.79</v>
      </c>
      <c r="BU1417" s="185" t="s">
        <v>1616</v>
      </c>
      <c r="BV1417" s="186">
        <v>0.2</v>
      </c>
      <c r="BW1417" s="185" t="s">
        <v>1620</v>
      </c>
      <c r="BX1417" s="186">
        <f>40%-40%</f>
        <v>0</v>
      </c>
      <c r="BY1417" s="185" t="s">
        <v>1617</v>
      </c>
      <c r="BZ1417" s="186">
        <v>0.01</v>
      </c>
      <c r="CA1417" s="185" t="s">
        <v>1621</v>
      </c>
      <c r="CB1417" s="186"/>
      <c r="CC1417" s="104"/>
      <c r="CD1417" s="186"/>
      <c r="CE1417" s="183"/>
      <c r="CF1417" s="183"/>
      <c r="CG1417" s="105"/>
      <c r="CH1417" s="105"/>
      <c r="CI1417" s="105"/>
      <c r="CJ1417" s="105"/>
      <c r="CK1417" s="105"/>
      <c r="CL1417" s="105"/>
      <c r="CM1417" s="105"/>
      <c r="CN1417" s="105"/>
      <c r="CO1417" s="105"/>
      <c r="CP1417" s="105"/>
    </row>
    <row r="1418" spans="1:94" ht="42.75" x14ac:dyDescent="0.25">
      <c r="A1418" s="250" t="s">
        <v>4132</v>
      </c>
      <c r="B1418" s="250"/>
      <c r="C1418" s="250"/>
      <c r="D1418" s="250"/>
      <c r="E1418" s="250"/>
      <c r="F1418" s="250"/>
      <c r="G1418" s="250"/>
      <c r="H1418" s="250"/>
      <c r="I1418" s="250"/>
      <c r="J1418" s="250"/>
      <c r="K1418" s="250"/>
      <c r="L1418" s="250"/>
      <c r="M1418" s="250"/>
      <c r="N1418" s="250"/>
      <c r="O1418" s="250"/>
      <c r="P1418" s="250"/>
      <c r="Q1418" s="250"/>
      <c r="R1418" s="250"/>
      <c r="S1418" s="250"/>
      <c r="T1418" s="250"/>
      <c r="U1418" s="250"/>
      <c r="V1418" s="250"/>
      <c r="W1418" s="250"/>
      <c r="X1418" s="250"/>
      <c r="Y1418" s="250"/>
      <c r="Z1418" s="250"/>
      <c r="AA1418" s="250"/>
      <c r="AB1418" s="250"/>
      <c r="AC1418" s="250"/>
      <c r="AD1418" s="250"/>
      <c r="AE1418" s="250"/>
      <c r="AF1418" s="250" t="s">
        <v>4133</v>
      </c>
      <c r="AG1418" s="250"/>
      <c r="AH1418" s="250"/>
      <c r="AI1418" s="250"/>
      <c r="AJ1418" s="250"/>
      <c r="AK1418" s="250"/>
      <c r="AL1418" s="250"/>
      <c r="AM1418" s="251"/>
      <c r="AN1418" s="250"/>
      <c r="AO1418" s="251"/>
      <c r="AP1418" s="252"/>
      <c r="AQ1418" s="250"/>
      <c r="AR1418" s="250"/>
      <c r="AS1418" s="250"/>
      <c r="AT1418" s="250"/>
      <c r="AU1418" s="250"/>
      <c r="AV1418" s="250"/>
      <c r="AW1418" s="250"/>
      <c r="AX1418" s="250"/>
      <c r="AY1418" s="250"/>
      <c r="AZ1418" s="250"/>
      <c r="BA1418" s="253"/>
      <c r="BB1418" s="251"/>
      <c r="BC1418" s="254" t="s">
        <v>1615</v>
      </c>
      <c r="BD1418" s="255">
        <v>0.79</v>
      </c>
      <c r="BE1418" s="256" t="s">
        <v>1616</v>
      </c>
      <c r="BF1418" s="257">
        <v>0.2</v>
      </c>
      <c r="BG1418" s="256" t="s">
        <v>1617</v>
      </c>
      <c r="BH1418" s="257">
        <v>0.01</v>
      </c>
      <c r="BI1418" s="257"/>
      <c r="BJ1418" s="257"/>
      <c r="BK1418" s="258" t="s">
        <v>3961</v>
      </c>
      <c r="BL1418" s="257">
        <v>0.5</v>
      </c>
      <c r="BM1418" s="256" t="s">
        <v>2152</v>
      </c>
      <c r="BN1418" s="257">
        <v>0.2</v>
      </c>
      <c r="BO1418" s="259" t="s">
        <v>4134</v>
      </c>
      <c r="BP1418" s="257">
        <v>0.3</v>
      </c>
      <c r="BQ1418" s="257"/>
      <c r="BR1418" s="257"/>
      <c r="BS1418" s="260" t="s">
        <v>1619</v>
      </c>
      <c r="BT1418" s="257">
        <v>0.09</v>
      </c>
      <c r="BU1418" s="256" t="s">
        <v>1616</v>
      </c>
      <c r="BV1418" s="257">
        <v>0.2</v>
      </c>
      <c r="BW1418" s="256" t="s">
        <v>1620</v>
      </c>
      <c r="BX1418" s="257">
        <v>0.7</v>
      </c>
      <c r="BY1418" s="256" t="s">
        <v>1617</v>
      </c>
      <c r="BZ1418" s="257">
        <v>0.01</v>
      </c>
      <c r="CA1418" s="256" t="s">
        <v>1621</v>
      </c>
      <c r="CB1418" s="257"/>
      <c r="CC1418" s="259"/>
      <c r="CD1418" s="257"/>
      <c r="CE1418" s="259"/>
      <c r="CF1418" s="259"/>
      <c r="CG1418" s="250"/>
      <c r="CH1418" s="250"/>
      <c r="CI1418" s="250"/>
      <c r="CJ1418" s="250"/>
      <c r="CK1418" s="250"/>
      <c r="CL1418" s="250"/>
      <c r="CM1418" s="250"/>
      <c r="CN1418" s="250"/>
      <c r="CO1418" s="250"/>
      <c r="CP1418" s="250"/>
    </row>
    <row r="1419" spans="1:94" ht="42.75" x14ac:dyDescent="0.25">
      <c r="A1419" s="250" t="s">
        <v>4135</v>
      </c>
      <c r="B1419" s="250" t="s">
        <v>4136</v>
      </c>
      <c r="C1419" s="250"/>
      <c r="D1419" s="250"/>
      <c r="E1419" s="250"/>
      <c r="F1419" s="250"/>
      <c r="G1419" s="250"/>
      <c r="H1419" s="250"/>
      <c r="I1419" s="250"/>
      <c r="J1419" s="250"/>
      <c r="K1419" s="250"/>
      <c r="L1419" s="250"/>
      <c r="M1419" s="250"/>
      <c r="N1419" s="250"/>
      <c r="O1419" s="250"/>
      <c r="P1419" s="250"/>
      <c r="Q1419" s="250"/>
      <c r="R1419" s="250"/>
      <c r="S1419" s="250"/>
      <c r="T1419" s="250"/>
      <c r="U1419" s="250"/>
      <c r="V1419" s="250"/>
      <c r="W1419" s="250"/>
      <c r="X1419" s="250"/>
      <c r="Y1419" s="250"/>
      <c r="Z1419" s="250"/>
      <c r="AA1419" s="250"/>
      <c r="AB1419" s="250"/>
      <c r="AC1419" s="250"/>
      <c r="AD1419" s="250"/>
      <c r="AE1419" s="250"/>
      <c r="AF1419" s="250"/>
      <c r="AG1419" s="250"/>
      <c r="AH1419" s="250"/>
      <c r="AI1419" s="250"/>
      <c r="AJ1419" s="250"/>
      <c r="AK1419" s="250"/>
      <c r="AL1419" s="250"/>
      <c r="AM1419" s="251"/>
      <c r="AN1419" s="250"/>
      <c r="AO1419" s="251"/>
      <c r="AP1419" s="252"/>
      <c r="AQ1419" s="250"/>
      <c r="AR1419" s="250"/>
      <c r="AS1419" s="250"/>
      <c r="AT1419" s="250"/>
      <c r="AU1419" s="250"/>
      <c r="AV1419" s="250"/>
      <c r="AW1419" s="250"/>
      <c r="AX1419" s="250"/>
      <c r="AY1419" s="250"/>
      <c r="AZ1419" s="250"/>
      <c r="BA1419" s="253"/>
      <c r="BB1419" s="251"/>
      <c r="BC1419" s="254" t="s">
        <v>1615</v>
      </c>
      <c r="BD1419" s="255">
        <v>0.79</v>
      </c>
      <c r="BE1419" s="256" t="s">
        <v>1616</v>
      </c>
      <c r="BF1419" s="257">
        <v>0.2</v>
      </c>
      <c r="BG1419" s="256" t="s">
        <v>1617</v>
      </c>
      <c r="BH1419" s="257">
        <v>0.01</v>
      </c>
      <c r="BI1419" s="257"/>
      <c r="BJ1419" s="257"/>
      <c r="BK1419" s="258" t="s">
        <v>3961</v>
      </c>
      <c r="BL1419" s="257">
        <v>0.5</v>
      </c>
      <c r="BM1419" s="256" t="s">
        <v>2152</v>
      </c>
      <c r="BN1419" s="257">
        <v>0.2</v>
      </c>
      <c r="BO1419" s="259" t="s">
        <v>4134</v>
      </c>
      <c r="BP1419" s="257">
        <v>0.3</v>
      </c>
      <c r="BQ1419" s="257"/>
      <c r="BR1419" s="257"/>
      <c r="BS1419" s="260" t="s">
        <v>1619</v>
      </c>
      <c r="BT1419" s="257">
        <v>7.0000000000000007E-2</v>
      </c>
      <c r="BU1419" s="256" t="s">
        <v>1616</v>
      </c>
      <c r="BV1419" s="257">
        <v>0.2</v>
      </c>
      <c r="BW1419" s="256" t="s">
        <v>1620</v>
      </c>
      <c r="BX1419" s="257">
        <v>0.7</v>
      </c>
      <c r="BY1419" s="256" t="s">
        <v>1617</v>
      </c>
      <c r="BZ1419" s="257">
        <v>0.01</v>
      </c>
      <c r="CA1419" s="256" t="s">
        <v>1621</v>
      </c>
      <c r="CB1419" s="257"/>
      <c r="CC1419" s="255">
        <v>0.02</v>
      </c>
      <c r="CD1419" s="257"/>
      <c r="CE1419" s="259"/>
      <c r="CF1419" s="259"/>
      <c r="CG1419" s="250"/>
      <c r="CH1419" s="250"/>
      <c r="CI1419" s="250"/>
      <c r="CJ1419" s="250"/>
      <c r="CK1419" s="250"/>
      <c r="CL1419" s="250"/>
      <c r="CM1419" s="250"/>
      <c r="CN1419" s="250"/>
      <c r="CO1419" s="250"/>
      <c r="CP1419" s="250"/>
    </row>
    <row r="1420" spans="1:94" x14ac:dyDescent="0.25">
      <c r="A1420" s="104"/>
      <c r="B1420" s="104"/>
      <c r="C1420" s="104"/>
      <c r="D1420" s="104"/>
      <c r="E1420" s="104"/>
      <c r="F1420" s="104"/>
      <c r="G1420" s="104"/>
      <c r="H1420" s="104"/>
      <c r="I1420" s="104"/>
      <c r="J1420" s="104"/>
      <c r="K1420" s="104"/>
      <c r="L1420" s="104"/>
      <c r="M1420" s="104"/>
      <c r="N1420" s="104"/>
      <c r="O1420" s="104"/>
      <c r="P1420" s="104"/>
      <c r="Q1420" s="104"/>
      <c r="R1420" s="104"/>
      <c r="S1420" s="104"/>
      <c r="T1420" s="104"/>
      <c r="U1420" s="104"/>
      <c r="V1420" s="104"/>
      <c r="W1420" s="104"/>
      <c r="X1420" s="104"/>
      <c r="Y1420" s="104"/>
      <c r="Z1420" s="104"/>
      <c r="AA1420" s="104"/>
      <c r="AB1420" s="104"/>
      <c r="AC1420" s="104"/>
      <c r="AD1420" s="104"/>
      <c r="AE1420" s="104"/>
      <c r="AF1420" s="104"/>
      <c r="AG1420" s="104"/>
      <c r="AH1420" s="104"/>
      <c r="AI1420" s="104"/>
      <c r="AJ1420" s="104"/>
      <c r="AK1420" s="104"/>
      <c r="AL1420" s="104"/>
      <c r="AM1420" s="103"/>
      <c r="AN1420" s="104"/>
      <c r="AO1420" s="103"/>
      <c r="AP1420" s="222"/>
      <c r="AQ1420" s="104"/>
      <c r="AR1420" s="104"/>
      <c r="AS1420" s="104"/>
      <c r="AT1420" s="104"/>
      <c r="AU1420" s="104"/>
      <c r="AV1420" s="104"/>
      <c r="AW1420" s="104"/>
      <c r="AX1420" s="104"/>
      <c r="AY1420" s="104"/>
      <c r="AZ1420" s="104"/>
      <c r="BA1420" s="182"/>
      <c r="BB1420" s="103"/>
      <c r="BC1420" s="183"/>
      <c r="BD1420" s="184"/>
      <c r="BE1420" s="185"/>
      <c r="BF1420" s="186"/>
      <c r="BG1420" s="185"/>
      <c r="BH1420" s="186"/>
      <c r="BI1420" s="186"/>
      <c r="BJ1420" s="261"/>
      <c r="BK1420" s="187"/>
      <c r="BL1420" s="186"/>
      <c r="BM1420" s="185"/>
      <c r="BN1420" s="186"/>
      <c r="BO1420" s="104"/>
      <c r="BP1420" s="186"/>
      <c r="BQ1420" s="186"/>
      <c r="BR1420" s="186"/>
      <c r="BS1420" s="188"/>
      <c r="BT1420" s="186"/>
      <c r="BU1420" s="185"/>
      <c r="BV1420" s="186"/>
      <c r="BW1420" s="185"/>
      <c r="BX1420" s="186"/>
      <c r="BY1420" s="185"/>
      <c r="BZ1420" s="186"/>
      <c r="CA1420" s="185"/>
      <c r="CB1420" s="186"/>
      <c r="CC1420" s="104"/>
      <c r="CD1420" s="186"/>
      <c r="CE1420" s="104"/>
      <c r="CF1420" s="104"/>
      <c r="CG1420" s="105"/>
      <c r="CH1420" s="105"/>
      <c r="CI1420" s="105"/>
      <c r="CJ1420" s="105"/>
      <c r="CK1420" s="105"/>
      <c r="CL1420" s="105"/>
      <c r="CM1420" s="105"/>
      <c r="CN1420" s="105"/>
      <c r="CO1420" s="105"/>
      <c r="CP1420" s="105"/>
    </row>
    <row r="1421" spans="1:94" ht="42.75" x14ac:dyDescent="0.25">
      <c r="A1421" s="62" t="s">
        <v>4137</v>
      </c>
      <c r="B1421" s="62" t="s">
        <v>4138</v>
      </c>
      <c r="C1421" s="62"/>
      <c r="D1421" s="62"/>
      <c r="E1421" s="62"/>
      <c r="F1421" s="62"/>
      <c r="G1421" s="62"/>
      <c r="H1421" s="62"/>
      <c r="I1421" s="62"/>
      <c r="J1421" s="62"/>
      <c r="K1421" s="62"/>
      <c r="L1421" s="62"/>
      <c r="M1421" s="62"/>
      <c r="N1421" s="62"/>
      <c r="O1421" s="62"/>
      <c r="P1421" s="62"/>
      <c r="Q1421" s="62"/>
      <c r="R1421" s="62"/>
      <c r="S1421" s="62"/>
      <c r="T1421" s="62"/>
      <c r="U1421" s="62"/>
      <c r="V1421" s="62"/>
      <c r="W1421" s="62"/>
      <c r="X1421" s="62"/>
      <c r="Y1421" s="62"/>
      <c r="Z1421" s="62"/>
      <c r="AA1421" s="62"/>
      <c r="AB1421" s="62"/>
      <c r="AC1421" s="62"/>
      <c r="AD1421" s="62"/>
      <c r="AE1421" s="62"/>
      <c r="AF1421" s="62"/>
      <c r="AG1421" s="62"/>
      <c r="AH1421" s="62"/>
      <c r="AI1421" s="62"/>
      <c r="AJ1421" s="62"/>
      <c r="AK1421" s="62"/>
      <c r="AL1421" s="62"/>
      <c r="AM1421" s="61"/>
      <c r="AN1421" s="62"/>
      <c r="AO1421" s="61"/>
      <c r="AP1421" s="212"/>
      <c r="AQ1421" s="213"/>
      <c r="AR1421" s="213"/>
      <c r="AS1421" s="213"/>
      <c r="AT1421" s="213"/>
      <c r="AU1421" s="213"/>
      <c r="AV1421" s="213"/>
      <c r="AW1421" s="62"/>
      <c r="AX1421" s="62"/>
      <c r="AY1421" s="62"/>
      <c r="AZ1421" s="62"/>
      <c r="BA1421" s="141"/>
      <c r="BB1421" s="61"/>
      <c r="BC1421" s="165" t="s">
        <v>1615</v>
      </c>
      <c r="BD1421" s="166">
        <f>+(79-10)%</f>
        <v>0.69</v>
      </c>
      <c r="BE1421" s="167" t="s">
        <v>1616</v>
      </c>
      <c r="BF1421" s="168">
        <f>+(20+10)%</f>
        <v>0.3</v>
      </c>
      <c r="BG1421" s="167" t="s">
        <v>1617</v>
      </c>
      <c r="BH1421" s="168">
        <v>0.01</v>
      </c>
      <c r="BI1421" s="169"/>
      <c r="BJ1421" s="131"/>
      <c r="BK1421" s="134" t="s">
        <v>3961</v>
      </c>
      <c r="BL1421" s="168">
        <v>1</v>
      </c>
      <c r="BM1421" s="62"/>
      <c r="BN1421" s="168"/>
      <c r="BO1421" s="62"/>
      <c r="BP1421" s="168"/>
      <c r="BQ1421" s="168"/>
      <c r="BR1421" s="168"/>
      <c r="BS1421" s="135" t="s">
        <v>1619</v>
      </c>
      <c r="BT1421" s="168">
        <f>+(79-10)%</f>
        <v>0.69</v>
      </c>
      <c r="BU1421" s="167" t="s">
        <v>1616</v>
      </c>
      <c r="BV1421" s="168">
        <f>+(20+10)%</f>
        <v>0.3</v>
      </c>
      <c r="BW1421" s="167" t="s">
        <v>1620</v>
      </c>
      <c r="BX1421" s="168"/>
      <c r="BY1421" s="167" t="s">
        <v>1617</v>
      </c>
      <c r="BZ1421" s="168">
        <v>0.01</v>
      </c>
      <c r="CA1421" s="167" t="s">
        <v>1621</v>
      </c>
      <c r="CB1421" s="168"/>
      <c r="CC1421" s="62"/>
      <c r="CD1421" s="168"/>
      <c r="CE1421" s="62"/>
      <c r="CF1421" s="62"/>
      <c r="CG1421" s="9"/>
      <c r="CH1421" s="9"/>
      <c r="CI1421" s="9"/>
      <c r="CJ1421" s="9"/>
      <c r="CK1421" s="9"/>
      <c r="CL1421" s="9"/>
      <c r="CM1421" s="9"/>
      <c r="CN1421" s="9"/>
      <c r="CO1421" s="9"/>
      <c r="CP1421" s="9"/>
    </row>
    <row r="1422" spans="1:94" ht="42.75" x14ac:dyDescent="0.25">
      <c r="A1422" s="62" t="s">
        <v>4139</v>
      </c>
      <c r="B1422" s="62"/>
      <c r="C1422" s="62"/>
      <c r="D1422" s="62"/>
      <c r="E1422" s="62"/>
      <c r="F1422" s="62"/>
      <c r="G1422" s="62"/>
      <c r="H1422" s="62"/>
      <c r="I1422" s="62"/>
      <c r="J1422" s="62"/>
      <c r="K1422" s="62"/>
      <c r="L1422" s="62"/>
      <c r="M1422" s="62"/>
      <c r="N1422" s="62"/>
      <c r="O1422" s="62"/>
      <c r="P1422" s="62"/>
      <c r="Q1422" s="62"/>
      <c r="R1422" s="62"/>
      <c r="S1422" s="62"/>
      <c r="T1422" s="62"/>
      <c r="U1422" s="62"/>
      <c r="V1422" s="62"/>
      <c r="W1422" s="62"/>
      <c r="X1422" s="62"/>
      <c r="Y1422" s="62"/>
      <c r="Z1422" s="62"/>
      <c r="AA1422" s="62"/>
      <c r="AB1422" s="62"/>
      <c r="AC1422" s="62"/>
      <c r="AD1422" s="62"/>
      <c r="AE1422" s="62"/>
      <c r="AF1422" s="62"/>
      <c r="AG1422" s="62"/>
      <c r="AH1422" s="62"/>
      <c r="AI1422" s="62"/>
      <c r="AJ1422" s="62"/>
      <c r="AK1422" s="62"/>
      <c r="AL1422" s="62"/>
      <c r="AM1422" s="61"/>
      <c r="AN1422" s="62"/>
      <c r="AO1422" s="61"/>
      <c r="AP1422" s="212"/>
      <c r="AQ1422" s="213"/>
      <c r="AR1422" s="213"/>
      <c r="AS1422" s="213"/>
      <c r="AT1422" s="213"/>
      <c r="AU1422" s="213"/>
      <c r="AV1422" s="213"/>
      <c r="AW1422" s="62"/>
      <c r="AX1422" s="62"/>
      <c r="AY1422" s="62"/>
      <c r="AZ1422" s="62"/>
      <c r="BA1422" s="141"/>
      <c r="BB1422" s="61"/>
      <c r="BC1422" s="165" t="s">
        <v>1615</v>
      </c>
      <c r="BD1422" s="166">
        <f>+(79-10)%</f>
        <v>0.69</v>
      </c>
      <c r="BE1422" s="167" t="s">
        <v>1616</v>
      </c>
      <c r="BF1422" s="168">
        <f>(20+10)%</f>
        <v>0.3</v>
      </c>
      <c r="BG1422" s="167" t="s">
        <v>1617</v>
      </c>
      <c r="BH1422" s="168">
        <v>0.01</v>
      </c>
      <c r="BI1422" s="169"/>
      <c r="BJ1422" s="168"/>
      <c r="BK1422" s="134" t="s">
        <v>3961</v>
      </c>
      <c r="BL1422" s="168">
        <v>0.88</v>
      </c>
      <c r="BM1422" s="62"/>
      <c r="BN1422" s="168"/>
      <c r="BO1422" s="62"/>
      <c r="BP1422" s="168"/>
      <c r="BQ1422" s="168" t="s">
        <v>4140</v>
      </c>
      <c r="BR1422" s="168">
        <v>0.12</v>
      </c>
      <c r="BS1422" s="135" t="s">
        <v>1619</v>
      </c>
      <c r="BT1422" s="168">
        <f>+(39-10)%</f>
        <v>0.28999999999999998</v>
      </c>
      <c r="BU1422" s="167" t="s">
        <v>1616</v>
      </c>
      <c r="BV1422" s="168">
        <f>+(20+10)%</f>
        <v>0.3</v>
      </c>
      <c r="BW1422" s="167" t="s">
        <v>1620</v>
      </c>
      <c r="BX1422" s="168">
        <v>0.4</v>
      </c>
      <c r="BY1422" s="167" t="s">
        <v>1617</v>
      </c>
      <c r="BZ1422" s="168">
        <v>0.01</v>
      </c>
      <c r="CA1422" s="167" t="s">
        <v>1621</v>
      </c>
      <c r="CB1422" s="168"/>
      <c r="CC1422" s="62"/>
      <c r="CD1422" s="168"/>
      <c r="CE1422" s="62"/>
      <c r="CF1422" s="62"/>
      <c r="CG1422" s="9"/>
      <c r="CH1422" s="9"/>
      <c r="CI1422" s="9"/>
      <c r="CJ1422" s="9"/>
      <c r="CK1422" s="9"/>
      <c r="CL1422" s="9"/>
      <c r="CM1422" s="9"/>
      <c r="CN1422" s="9"/>
      <c r="CO1422" s="9"/>
      <c r="CP1422" s="9"/>
    </row>
    <row r="1423" spans="1:94" ht="42.75" x14ac:dyDescent="0.25">
      <c r="A1423" s="62" t="s">
        <v>4141</v>
      </c>
      <c r="B1423" s="62"/>
      <c r="C1423" s="62"/>
      <c r="D1423" s="62"/>
      <c r="E1423" s="62"/>
      <c r="F1423" s="62"/>
      <c r="G1423" s="62"/>
      <c r="H1423" s="62"/>
      <c r="I1423" s="62"/>
      <c r="J1423" s="62"/>
      <c r="K1423" s="62"/>
      <c r="L1423" s="62"/>
      <c r="M1423" s="62"/>
      <c r="N1423" s="62"/>
      <c r="O1423" s="62"/>
      <c r="P1423" s="62"/>
      <c r="Q1423" s="62"/>
      <c r="R1423" s="62"/>
      <c r="S1423" s="62"/>
      <c r="T1423" s="62"/>
      <c r="U1423" s="62"/>
      <c r="V1423" s="62"/>
      <c r="W1423" s="62"/>
      <c r="X1423" s="62"/>
      <c r="Y1423" s="62"/>
      <c r="Z1423" s="62"/>
      <c r="AA1423" s="62"/>
      <c r="AB1423" s="62"/>
      <c r="AC1423" s="62"/>
      <c r="AD1423" s="62"/>
      <c r="AE1423" s="62"/>
      <c r="AF1423" s="62"/>
      <c r="AG1423" s="62"/>
      <c r="AH1423" s="62"/>
      <c r="AI1423" s="62"/>
      <c r="AJ1423" s="62"/>
      <c r="AK1423" s="62"/>
      <c r="AL1423" s="62"/>
      <c r="AM1423" s="61"/>
      <c r="AN1423" s="62"/>
      <c r="AO1423" s="61"/>
      <c r="AP1423" s="212"/>
      <c r="AQ1423" s="213"/>
      <c r="AR1423" s="213"/>
      <c r="AS1423" s="213"/>
      <c r="AT1423" s="213"/>
      <c r="AU1423" s="213"/>
      <c r="AV1423" s="213"/>
      <c r="AW1423" s="62"/>
      <c r="AX1423" s="62"/>
      <c r="AY1423" s="62"/>
      <c r="AZ1423" s="62"/>
      <c r="BA1423" s="141"/>
      <c r="BB1423" s="61"/>
      <c r="BC1423" s="165" t="s">
        <v>1615</v>
      </c>
      <c r="BD1423" s="166">
        <v>0.79</v>
      </c>
      <c r="BE1423" s="167" t="s">
        <v>1616</v>
      </c>
      <c r="BF1423" s="168">
        <v>0.2</v>
      </c>
      <c r="BG1423" s="167" t="s">
        <v>1617</v>
      </c>
      <c r="BH1423" s="168">
        <v>0.01</v>
      </c>
      <c r="BI1423" s="9"/>
      <c r="BJ1423" s="9"/>
      <c r="BK1423" s="134" t="s">
        <v>3961</v>
      </c>
      <c r="BL1423" s="168">
        <v>0.5</v>
      </c>
      <c r="BM1423" s="62"/>
      <c r="BN1423" s="168"/>
      <c r="BO1423" s="62" t="s">
        <v>4121</v>
      </c>
      <c r="BP1423" s="168">
        <v>0.5</v>
      </c>
      <c r="BQ1423" s="9"/>
      <c r="BR1423" s="9"/>
      <c r="BS1423" s="135" t="s">
        <v>1619</v>
      </c>
      <c r="BT1423" s="168">
        <v>0.39</v>
      </c>
      <c r="BU1423" s="167" t="s">
        <v>1616</v>
      </c>
      <c r="BV1423" s="168">
        <v>0.2</v>
      </c>
      <c r="BW1423" s="167" t="s">
        <v>1620</v>
      </c>
      <c r="BX1423" s="168">
        <v>0.4</v>
      </c>
      <c r="BY1423" s="167" t="s">
        <v>1617</v>
      </c>
      <c r="BZ1423" s="168">
        <v>0.01</v>
      </c>
      <c r="CA1423" s="167" t="s">
        <v>1621</v>
      </c>
      <c r="CB1423" s="168"/>
      <c r="CC1423" s="62"/>
      <c r="CD1423" s="168"/>
      <c r="CE1423" s="62"/>
      <c r="CF1423" s="62"/>
      <c r="CG1423" s="9"/>
      <c r="CH1423" s="9"/>
      <c r="CI1423" s="9"/>
      <c r="CJ1423" s="9"/>
      <c r="CK1423" s="9"/>
      <c r="CL1423" s="9"/>
      <c r="CM1423" s="9"/>
      <c r="CN1423" s="9"/>
      <c r="CO1423" s="9"/>
      <c r="CP1423" s="9"/>
    </row>
    <row r="1424" spans="1:94" ht="42.75" x14ac:dyDescent="0.25">
      <c r="A1424" s="9" t="s">
        <v>4142</v>
      </c>
      <c r="B1424" s="9" t="s">
        <v>4143</v>
      </c>
      <c r="C1424" s="9"/>
      <c r="D1424" s="9"/>
      <c r="E1424" s="9"/>
      <c r="F1424" s="9"/>
      <c r="G1424" s="9"/>
      <c r="H1424" s="9"/>
      <c r="I1424" s="9"/>
      <c r="J1424" s="9"/>
      <c r="K1424" s="9"/>
      <c r="L1424" s="9"/>
      <c r="M1424" s="9"/>
      <c r="N1424" s="9"/>
      <c r="O1424" s="9"/>
      <c r="P1424" s="9"/>
      <c r="Q1424" s="9"/>
      <c r="R1424" s="9"/>
      <c r="S1424" s="9"/>
      <c r="T1424" s="9"/>
      <c r="U1424" s="9"/>
      <c r="V1424" s="9"/>
      <c r="W1424" s="9"/>
      <c r="X1424" s="9"/>
      <c r="Y1424" s="9"/>
      <c r="Z1424" s="9"/>
      <c r="AA1424" s="9"/>
      <c r="AB1424" s="9"/>
      <c r="AC1424" s="9"/>
      <c r="AD1424" s="9"/>
      <c r="AE1424" s="9"/>
      <c r="AF1424" s="9"/>
      <c r="AG1424" s="9"/>
      <c r="AH1424" s="9"/>
      <c r="AI1424" s="9"/>
      <c r="AJ1424" s="9"/>
      <c r="AK1424" s="9"/>
      <c r="AL1424" s="9"/>
      <c r="AM1424" s="69"/>
      <c r="AN1424" s="9"/>
      <c r="AO1424" s="69"/>
      <c r="AP1424" s="210"/>
      <c r="AQ1424" s="211"/>
      <c r="AR1424" s="211"/>
      <c r="AS1424" s="211"/>
      <c r="AT1424" s="211"/>
      <c r="AU1424" s="211"/>
      <c r="AV1424" s="211"/>
      <c r="AW1424" s="9"/>
      <c r="AX1424" s="9"/>
      <c r="AY1424" s="9"/>
      <c r="AZ1424" s="9"/>
      <c r="BA1424" s="203"/>
      <c r="BB1424" s="69"/>
      <c r="BC1424" s="165" t="s">
        <v>1615</v>
      </c>
      <c r="BD1424" s="166">
        <f>+(79)%</f>
        <v>0.79</v>
      </c>
      <c r="BE1424" s="167" t="s">
        <v>1616</v>
      </c>
      <c r="BF1424" s="168">
        <f>+(20)%</f>
        <v>0.2</v>
      </c>
      <c r="BG1424" s="167" t="s">
        <v>1617</v>
      </c>
      <c r="BH1424" s="168">
        <v>0.01</v>
      </c>
      <c r="BI1424" s="169"/>
      <c r="BJ1424" s="168"/>
      <c r="BK1424" s="134" t="s">
        <v>3961</v>
      </c>
      <c r="BL1424" s="168">
        <f>+(100-12)%</f>
        <v>0.88</v>
      </c>
      <c r="BM1424" s="167" t="s">
        <v>2152</v>
      </c>
      <c r="BN1424" s="168">
        <v>0</v>
      </c>
      <c r="BO1424" s="62"/>
      <c r="BP1424" s="168"/>
      <c r="BQ1424" s="168" t="s">
        <v>4140</v>
      </c>
      <c r="BR1424" s="168">
        <v>0.12</v>
      </c>
      <c r="BS1424" s="135" t="s">
        <v>1619</v>
      </c>
      <c r="BT1424" s="168">
        <v>0.09</v>
      </c>
      <c r="BU1424" s="167" t="s">
        <v>1616</v>
      </c>
      <c r="BV1424" s="168">
        <f>+(19+10-9)%</f>
        <v>0.2</v>
      </c>
      <c r="BW1424" s="167" t="s">
        <v>1620</v>
      </c>
      <c r="BX1424" s="168">
        <f>+(80-10)%</f>
        <v>0.7</v>
      </c>
      <c r="BY1424" s="167" t="s">
        <v>1617</v>
      </c>
      <c r="BZ1424" s="168">
        <v>0.01</v>
      </c>
      <c r="CA1424" s="167" t="s">
        <v>1621</v>
      </c>
      <c r="CB1424" s="168"/>
      <c r="CC1424" s="62"/>
      <c r="CD1424" s="168"/>
      <c r="CE1424" s="62"/>
      <c r="CF1424" s="62"/>
      <c r="CG1424" s="9"/>
      <c r="CH1424" s="9"/>
      <c r="CI1424" s="9"/>
      <c r="CJ1424" s="9"/>
      <c r="CK1424" s="9"/>
      <c r="CL1424" s="9"/>
      <c r="CM1424" s="9"/>
      <c r="CN1424" s="9"/>
      <c r="CO1424" s="9"/>
      <c r="CP1424" s="9"/>
    </row>
    <row r="1425" spans="1:94" ht="42.75" x14ac:dyDescent="0.25">
      <c r="A1425" s="9" t="s">
        <v>4144</v>
      </c>
      <c r="B1425" s="9" t="s">
        <v>4145</v>
      </c>
      <c r="C1425" s="9"/>
      <c r="D1425" s="9"/>
      <c r="E1425" s="9"/>
      <c r="F1425" s="9"/>
      <c r="G1425" s="9"/>
      <c r="H1425" s="9"/>
      <c r="I1425" s="9"/>
      <c r="J1425" s="9"/>
      <c r="K1425" s="9"/>
      <c r="L1425" s="9"/>
      <c r="M1425" s="9"/>
      <c r="N1425" s="9"/>
      <c r="O1425" s="9"/>
      <c r="P1425" s="9"/>
      <c r="Q1425" s="9"/>
      <c r="R1425" s="9"/>
      <c r="S1425" s="9"/>
      <c r="T1425" s="9"/>
      <c r="U1425" s="9"/>
      <c r="V1425" s="9"/>
      <c r="W1425" s="9"/>
      <c r="X1425" s="9"/>
      <c r="Y1425" s="9"/>
      <c r="Z1425" s="9"/>
      <c r="AA1425" s="9"/>
      <c r="AB1425" s="9"/>
      <c r="AC1425" s="9"/>
      <c r="AD1425" s="9"/>
      <c r="AE1425" s="9"/>
      <c r="AF1425" s="9"/>
      <c r="AG1425" s="9"/>
      <c r="AH1425" s="9"/>
      <c r="AI1425" s="9"/>
      <c r="AJ1425" s="9"/>
      <c r="AK1425" s="9"/>
      <c r="AL1425" s="9"/>
      <c r="AM1425" s="69"/>
      <c r="AN1425" s="9"/>
      <c r="AO1425" s="69"/>
      <c r="AP1425" s="210"/>
      <c r="AQ1425" s="211"/>
      <c r="AR1425" s="211"/>
      <c r="AS1425" s="211"/>
      <c r="AT1425" s="211"/>
      <c r="AU1425" s="211"/>
      <c r="AV1425" s="211"/>
      <c r="AW1425" s="9"/>
      <c r="AX1425" s="9"/>
      <c r="AY1425" s="9"/>
      <c r="AZ1425" s="9"/>
      <c r="BA1425" s="203"/>
      <c r="BB1425" s="69"/>
      <c r="BC1425" s="165" t="s">
        <v>1615</v>
      </c>
      <c r="BD1425" s="166">
        <f>+(79-10)%</f>
        <v>0.69</v>
      </c>
      <c r="BE1425" s="167" t="s">
        <v>1616</v>
      </c>
      <c r="BF1425" s="168">
        <f>+(20+10)%</f>
        <v>0.3</v>
      </c>
      <c r="BG1425" s="167" t="s">
        <v>1617</v>
      </c>
      <c r="BH1425" s="168">
        <v>0.01</v>
      </c>
      <c r="BI1425" s="169"/>
      <c r="BJ1425" s="168"/>
      <c r="BK1425" s="134" t="s">
        <v>3961</v>
      </c>
      <c r="BL1425" s="168">
        <v>0.75</v>
      </c>
      <c r="BM1425" s="167" t="s">
        <v>2152</v>
      </c>
      <c r="BN1425" s="168">
        <v>0.2</v>
      </c>
      <c r="BO1425" s="62" t="s">
        <v>4146</v>
      </c>
      <c r="BP1425" s="168">
        <v>0.05</v>
      </c>
      <c r="BQ1425" s="168"/>
      <c r="BR1425" s="168"/>
      <c r="BS1425" s="135" t="s">
        <v>1619</v>
      </c>
      <c r="BT1425" s="168">
        <v>0</v>
      </c>
      <c r="BU1425" s="167" t="s">
        <v>1616</v>
      </c>
      <c r="BV1425" s="168">
        <v>0</v>
      </c>
      <c r="BW1425" s="167" t="s">
        <v>1620</v>
      </c>
      <c r="BX1425" s="168">
        <f>+(75+5)%</f>
        <v>0.8</v>
      </c>
      <c r="BY1425" s="167" t="s">
        <v>1617</v>
      </c>
      <c r="BZ1425" s="168"/>
      <c r="CA1425" s="167" t="s">
        <v>1621</v>
      </c>
      <c r="CB1425" s="168"/>
      <c r="CC1425" s="62" t="s">
        <v>1622</v>
      </c>
      <c r="CD1425" s="168"/>
      <c r="CE1425" s="262" t="s">
        <v>4147</v>
      </c>
      <c r="CF1425" s="263">
        <f>+(25-5)%</f>
        <v>0.2</v>
      </c>
      <c r="CG1425" s="9"/>
      <c r="CH1425" s="9"/>
      <c r="CI1425" s="9"/>
      <c r="CJ1425" s="9"/>
      <c r="CK1425" s="9"/>
      <c r="CL1425" s="9"/>
      <c r="CM1425" s="9"/>
      <c r="CN1425" s="9"/>
      <c r="CO1425" s="9"/>
      <c r="CP1425" s="9"/>
    </row>
    <row r="1426" spans="1:94" ht="45" x14ac:dyDescent="0.25">
      <c r="A1426" s="126" t="s">
        <v>4148</v>
      </c>
      <c r="B1426" s="126" t="s">
        <v>4149</v>
      </c>
      <c r="C1426" s="9"/>
      <c r="D1426" s="9"/>
      <c r="E1426" s="9"/>
      <c r="F1426" s="9"/>
      <c r="G1426" s="9"/>
      <c r="H1426" s="9"/>
      <c r="I1426" s="9"/>
      <c r="J1426" s="9"/>
      <c r="K1426" s="9"/>
      <c r="L1426" s="9"/>
      <c r="M1426" s="9"/>
      <c r="N1426" s="9"/>
      <c r="O1426" s="9"/>
      <c r="P1426" s="9"/>
      <c r="Q1426" s="9"/>
      <c r="R1426" s="9"/>
      <c r="S1426" s="9"/>
      <c r="T1426" s="9"/>
      <c r="U1426" s="9"/>
      <c r="V1426" s="9"/>
      <c r="W1426" s="9"/>
      <c r="X1426" s="9"/>
      <c r="Y1426" s="9"/>
      <c r="Z1426" s="9"/>
      <c r="AA1426" s="9"/>
      <c r="AB1426" s="9"/>
      <c r="AC1426" s="9"/>
      <c r="AD1426" s="9"/>
      <c r="AE1426" s="9"/>
      <c r="AF1426" s="9"/>
      <c r="AG1426" s="9"/>
      <c r="AH1426" s="9"/>
      <c r="AI1426" s="9"/>
      <c r="AJ1426" s="9"/>
      <c r="AK1426" s="9"/>
      <c r="AL1426" s="9"/>
      <c r="AM1426" s="69"/>
      <c r="AN1426" s="9"/>
      <c r="AO1426" s="69" t="s">
        <v>1843</v>
      </c>
      <c r="AP1426" s="210"/>
      <c r="AQ1426" s="211"/>
      <c r="AR1426" s="211"/>
      <c r="AS1426" s="211"/>
      <c r="AT1426" s="211"/>
      <c r="AU1426" s="211"/>
      <c r="AV1426" s="211"/>
      <c r="AW1426" s="9"/>
      <c r="AX1426" s="9"/>
      <c r="AY1426" s="9"/>
      <c r="AZ1426" s="9"/>
      <c r="BA1426" s="120"/>
      <c r="BB1426" s="69"/>
      <c r="BC1426" s="9"/>
      <c r="BD1426" s="9"/>
      <c r="BE1426" s="9"/>
      <c r="BF1426" s="9"/>
      <c r="BG1426" s="9"/>
      <c r="BH1426" s="9"/>
      <c r="BI1426" s="9"/>
      <c r="BJ1426" s="9"/>
      <c r="BK1426" s="9"/>
      <c r="BL1426" s="9"/>
      <c r="BM1426" s="9"/>
      <c r="BN1426" s="9"/>
      <c r="BO1426" s="9"/>
      <c r="BP1426" s="9"/>
      <c r="BQ1426" s="9"/>
      <c r="BR1426" s="9"/>
      <c r="BS1426" s="9"/>
      <c r="BT1426" s="9"/>
      <c r="BU1426" s="9"/>
      <c r="BV1426" s="9"/>
      <c r="BW1426" s="9"/>
      <c r="BX1426" s="9"/>
      <c r="BY1426" s="9"/>
      <c r="BZ1426" s="9"/>
      <c r="CA1426" s="9"/>
      <c r="CB1426" s="9"/>
      <c r="CC1426" s="9"/>
      <c r="CD1426" s="9"/>
      <c r="CE1426" s="9"/>
      <c r="CF1426" s="9"/>
      <c r="CG1426" s="9"/>
      <c r="CH1426" s="9"/>
      <c r="CI1426" s="9"/>
      <c r="CJ1426" s="9"/>
      <c r="CK1426" s="9"/>
      <c r="CL1426" s="9"/>
      <c r="CM1426" s="9"/>
      <c r="CN1426" s="9"/>
      <c r="CO1426" s="9"/>
      <c r="CP1426" s="9"/>
    </row>
    <row r="1427" spans="1:94" ht="45" x14ac:dyDescent="0.25">
      <c r="A1427" s="9" t="s">
        <v>921</v>
      </c>
      <c r="B1427" s="9" t="s">
        <v>4150</v>
      </c>
      <c r="C1427" s="9"/>
      <c r="D1427" s="9"/>
      <c r="E1427" s="9"/>
      <c r="F1427" s="9"/>
      <c r="G1427" s="9"/>
      <c r="H1427" s="9"/>
      <c r="I1427" s="9"/>
      <c r="J1427" s="9"/>
      <c r="K1427" s="9"/>
      <c r="L1427" s="9"/>
      <c r="M1427" s="9"/>
      <c r="N1427" s="9"/>
      <c r="O1427" s="9"/>
      <c r="P1427" s="9"/>
      <c r="Q1427" s="9"/>
      <c r="R1427" s="9"/>
      <c r="S1427" s="9"/>
      <c r="T1427" s="9"/>
      <c r="U1427" s="9"/>
      <c r="V1427" s="9"/>
      <c r="W1427" s="9"/>
      <c r="X1427" s="9"/>
      <c r="Y1427" s="9"/>
      <c r="Z1427" s="9"/>
      <c r="AA1427" s="9"/>
      <c r="AB1427" s="9"/>
      <c r="AC1427" s="9"/>
      <c r="AD1427" s="9"/>
      <c r="AE1427" s="9"/>
      <c r="AF1427" s="9"/>
      <c r="AG1427" s="9"/>
      <c r="AH1427" s="9"/>
      <c r="AI1427" s="9"/>
      <c r="AJ1427" s="9"/>
      <c r="AK1427" s="9"/>
      <c r="AL1427" s="9"/>
      <c r="AM1427" s="69"/>
      <c r="AN1427" s="9"/>
      <c r="AO1427" s="69" t="s">
        <v>1843</v>
      </c>
      <c r="AP1427" s="210"/>
      <c r="AQ1427" s="211"/>
      <c r="AR1427" s="211"/>
      <c r="AS1427" s="211"/>
      <c r="AT1427" s="211"/>
      <c r="AU1427" s="211"/>
      <c r="AV1427" s="211"/>
      <c r="AW1427" s="9"/>
      <c r="AX1427" s="9"/>
      <c r="AY1427" s="9"/>
      <c r="AZ1427" s="9"/>
      <c r="BA1427" s="120"/>
      <c r="BB1427" s="69"/>
      <c r="BC1427" s="9"/>
      <c r="BD1427" s="9"/>
      <c r="BE1427" s="9"/>
      <c r="BF1427" s="9"/>
      <c r="BG1427" s="9"/>
      <c r="BH1427" s="9"/>
      <c r="BI1427" s="9"/>
      <c r="BJ1427" s="9"/>
      <c r="BK1427" s="9"/>
      <c r="BL1427" s="9"/>
      <c r="BM1427" s="9"/>
      <c r="BN1427" s="9"/>
      <c r="BO1427" s="9"/>
      <c r="BP1427" s="9"/>
      <c r="BQ1427" s="9"/>
      <c r="BR1427" s="9"/>
      <c r="BS1427" s="9"/>
      <c r="BT1427" s="9"/>
      <c r="BU1427" s="9"/>
      <c r="BV1427" s="9"/>
      <c r="BW1427" s="9"/>
      <c r="BX1427" s="9"/>
      <c r="BY1427" s="9"/>
      <c r="BZ1427" s="9"/>
      <c r="CA1427" s="9"/>
      <c r="CB1427" s="9"/>
      <c r="CC1427" s="9"/>
      <c r="CD1427" s="9"/>
      <c r="CE1427" s="9"/>
      <c r="CF1427" s="9"/>
      <c r="CG1427" s="9"/>
      <c r="CH1427" s="9"/>
      <c r="CI1427" s="9"/>
      <c r="CJ1427" s="9"/>
      <c r="CK1427" s="9"/>
      <c r="CL1427" s="9"/>
      <c r="CM1427" s="9"/>
      <c r="CN1427" s="9"/>
      <c r="CO1427" s="9"/>
      <c r="CP1427" s="9"/>
    </row>
    <row r="1428" spans="1:94" ht="30" x14ac:dyDescent="0.25">
      <c r="A1428" s="9" t="s">
        <v>4151</v>
      </c>
      <c r="B1428" s="9" t="s">
        <v>4152</v>
      </c>
      <c r="C1428" s="9"/>
      <c r="D1428" s="9"/>
      <c r="E1428" s="9"/>
      <c r="F1428" s="9"/>
      <c r="G1428" s="9"/>
      <c r="H1428" s="9"/>
      <c r="I1428" s="9"/>
      <c r="J1428" s="9"/>
      <c r="K1428" s="9"/>
      <c r="L1428" s="9"/>
      <c r="M1428" s="9"/>
      <c r="N1428" s="9"/>
      <c r="O1428" s="9"/>
      <c r="P1428" s="9"/>
      <c r="Q1428" s="9"/>
      <c r="R1428" s="9"/>
      <c r="S1428" s="9"/>
      <c r="T1428" s="9"/>
      <c r="U1428" s="9"/>
      <c r="V1428" s="9"/>
      <c r="W1428" s="9"/>
      <c r="X1428" s="9"/>
      <c r="Y1428" s="9"/>
      <c r="Z1428" s="9"/>
      <c r="AA1428" s="9"/>
      <c r="AB1428" s="9"/>
      <c r="AC1428" s="9"/>
      <c r="AD1428" s="9"/>
      <c r="AE1428" s="9"/>
      <c r="AF1428" s="9"/>
      <c r="AG1428" s="9"/>
      <c r="AH1428" s="9"/>
      <c r="AI1428" s="9"/>
      <c r="AJ1428" s="9"/>
      <c r="AK1428" s="9"/>
      <c r="AL1428" s="9"/>
      <c r="AM1428" s="69"/>
      <c r="AN1428" s="9"/>
      <c r="AO1428" s="69" t="s">
        <v>4153</v>
      </c>
      <c r="AP1428" s="210"/>
      <c r="AQ1428" s="211"/>
      <c r="AR1428" s="211"/>
      <c r="AS1428" s="211"/>
      <c r="AT1428" s="211"/>
      <c r="AU1428" s="211"/>
      <c r="AV1428" s="211"/>
      <c r="AW1428" s="9"/>
      <c r="AX1428" s="9"/>
      <c r="AY1428" s="9"/>
      <c r="AZ1428" s="9"/>
      <c r="BA1428" s="120"/>
      <c r="BB1428" s="69"/>
      <c r="BC1428" s="9"/>
      <c r="BD1428" s="9"/>
      <c r="BE1428" s="9"/>
      <c r="BF1428" s="9"/>
      <c r="BG1428" s="9"/>
      <c r="BH1428" s="9"/>
      <c r="BI1428" s="9"/>
      <c r="BJ1428" s="9"/>
      <c r="BK1428" s="9"/>
      <c r="BL1428" s="9"/>
      <c r="BM1428" s="9"/>
      <c r="BN1428" s="9"/>
      <c r="BO1428" s="9"/>
      <c r="BP1428" s="9"/>
      <c r="BQ1428" s="9"/>
      <c r="BR1428" s="9"/>
      <c r="BS1428" s="9"/>
      <c r="BT1428" s="9"/>
      <c r="BU1428" s="9"/>
      <c r="BV1428" s="9"/>
      <c r="BW1428" s="9"/>
      <c r="BX1428" s="9"/>
      <c r="BY1428" s="9"/>
      <c r="BZ1428" s="9"/>
      <c r="CA1428" s="9"/>
      <c r="CB1428" s="9"/>
      <c r="CC1428" s="9"/>
      <c r="CD1428" s="9"/>
      <c r="CE1428" s="9"/>
      <c r="CF1428" s="9"/>
      <c r="CG1428" s="9"/>
      <c r="CH1428" s="9"/>
      <c r="CI1428" s="9"/>
      <c r="CJ1428" s="9"/>
      <c r="CK1428" s="9"/>
      <c r="CL1428" s="9"/>
      <c r="CM1428" s="9"/>
      <c r="CN1428" s="9"/>
      <c r="CO1428" s="9"/>
      <c r="CP1428" s="9"/>
    </row>
    <row r="1429" spans="1:94" ht="30" x14ac:dyDescent="0.25">
      <c r="A1429" s="9" t="s">
        <v>4154</v>
      </c>
      <c r="B1429" s="9" t="s">
        <v>4155</v>
      </c>
      <c r="C1429" s="9"/>
      <c r="D1429" s="9"/>
      <c r="E1429" s="9"/>
      <c r="F1429" s="9"/>
      <c r="G1429" s="9"/>
      <c r="H1429" s="9"/>
      <c r="I1429" s="9"/>
      <c r="J1429" s="9"/>
      <c r="K1429" s="9"/>
      <c r="L1429" s="9"/>
      <c r="M1429" s="9"/>
      <c r="N1429" s="9"/>
      <c r="O1429" s="9"/>
      <c r="P1429" s="9"/>
      <c r="Q1429" s="9"/>
      <c r="R1429" s="9"/>
      <c r="S1429" s="9"/>
      <c r="T1429" s="9"/>
      <c r="U1429" s="9"/>
      <c r="V1429" s="9"/>
      <c r="W1429" s="9"/>
      <c r="X1429" s="9"/>
      <c r="Y1429" s="9"/>
      <c r="Z1429" s="9"/>
      <c r="AA1429" s="9"/>
      <c r="AB1429" s="9"/>
      <c r="AC1429" s="9"/>
      <c r="AD1429" s="9"/>
      <c r="AE1429" s="9"/>
      <c r="AF1429" s="9"/>
      <c r="AG1429" s="9"/>
      <c r="AH1429" s="9"/>
      <c r="AI1429" s="9"/>
      <c r="AJ1429" s="9"/>
      <c r="AK1429" s="9"/>
      <c r="AL1429" s="9"/>
      <c r="AM1429" s="69"/>
      <c r="AN1429" s="9"/>
      <c r="AO1429" s="69" t="s">
        <v>4153</v>
      </c>
      <c r="AP1429" s="210"/>
      <c r="AQ1429" s="211"/>
      <c r="AR1429" s="211"/>
      <c r="AS1429" s="211"/>
      <c r="AT1429" s="211"/>
      <c r="AU1429" s="211"/>
      <c r="AV1429" s="211"/>
      <c r="AW1429" s="9"/>
      <c r="AX1429" s="9"/>
      <c r="AY1429" s="9"/>
      <c r="AZ1429" s="9"/>
      <c r="BA1429" s="120"/>
      <c r="BB1429" s="69"/>
      <c r="BC1429" s="9"/>
      <c r="BD1429" s="9"/>
      <c r="BE1429" s="9"/>
      <c r="BF1429" s="9"/>
      <c r="BG1429" s="9"/>
      <c r="BH1429" s="9"/>
      <c r="BI1429" s="9"/>
      <c r="BJ1429" s="9"/>
      <c r="BK1429" s="9"/>
      <c r="BL1429" s="9"/>
      <c r="BM1429" s="9"/>
      <c r="BN1429" s="9"/>
      <c r="BO1429" s="9"/>
      <c r="BP1429" s="9"/>
      <c r="BQ1429" s="9"/>
      <c r="BR1429" s="9"/>
      <c r="BS1429" s="9"/>
      <c r="BT1429" s="9"/>
      <c r="BU1429" s="9"/>
      <c r="BV1429" s="9"/>
      <c r="BW1429" s="9"/>
      <c r="BX1429" s="9"/>
      <c r="BY1429" s="9"/>
      <c r="BZ1429" s="9"/>
      <c r="CA1429" s="9"/>
      <c r="CB1429" s="9"/>
      <c r="CC1429" s="9"/>
      <c r="CD1429" s="9"/>
      <c r="CE1429" s="9"/>
      <c r="CF1429" s="9"/>
      <c r="CG1429" s="9"/>
      <c r="CH1429" s="9"/>
      <c r="CI1429" s="9"/>
      <c r="CJ1429" s="9"/>
      <c r="CK1429" s="9"/>
      <c r="CL1429" s="9"/>
      <c r="CM1429" s="9"/>
      <c r="CN1429" s="9"/>
      <c r="CO1429" s="9"/>
      <c r="CP1429" s="9"/>
    </row>
    <row r="1430" spans="1:94" ht="30" x14ac:dyDescent="0.25">
      <c r="A1430" s="9" t="s">
        <v>881</v>
      </c>
      <c r="B1430" s="9" t="s">
        <v>4156</v>
      </c>
      <c r="C1430" s="9"/>
      <c r="D1430" s="9"/>
      <c r="E1430" s="9"/>
      <c r="F1430" s="9"/>
      <c r="G1430" s="9"/>
      <c r="H1430" s="9"/>
      <c r="I1430" s="9"/>
      <c r="J1430" s="9"/>
      <c r="K1430" s="9"/>
      <c r="L1430" s="9"/>
      <c r="M1430" s="9"/>
      <c r="N1430" s="9"/>
      <c r="O1430" s="9"/>
      <c r="P1430" s="9"/>
      <c r="Q1430" s="9"/>
      <c r="R1430" s="9"/>
      <c r="S1430" s="9"/>
      <c r="T1430" s="9"/>
      <c r="U1430" s="9"/>
      <c r="V1430" s="9"/>
      <c r="W1430" s="9"/>
      <c r="X1430" s="9"/>
      <c r="Y1430" s="9"/>
      <c r="Z1430" s="9"/>
      <c r="AA1430" s="9"/>
      <c r="AB1430" s="9"/>
      <c r="AC1430" s="9"/>
      <c r="AD1430" s="9"/>
      <c r="AE1430" s="9"/>
      <c r="AF1430" s="9"/>
      <c r="AG1430" s="9"/>
      <c r="AH1430" s="9"/>
      <c r="AI1430" s="9"/>
      <c r="AJ1430" s="9"/>
      <c r="AK1430" s="9"/>
      <c r="AL1430" s="9"/>
      <c r="AM1430" s="69"/>
      <c r="AN1430" s="9"/>
      <c r="AO1430" s="69" t="s">
        <v>4153</v>
      </c>
      <c r="AP1430" s="210"/>
      <c r="AQ1430" s="211"/>
      <c r="AR1430" s="211"/>
      <c r="AS1430" s="211"/>
      <c r="AT1430" s="211"/>
      <c r="AU1430" s="211"/>
      <c r="AV1430" s="211"/>
      <c r="AW1430" s="9"/>
      <c r="AX1430" s="9"/>
      <c r="AY1430" s="9"/>
      <c r="AZ1430" s="9"/>
      <c r="BA1430" s="120"/>
      <c r="BB1430" s="69"/>
      <c r="BC1430" s="9"/>
      <c r="BD1430" s="9"/>
      <c r="BE1430" s="9"/>
      <c r="BF1430" s="9"/>
      <c r="BG1430" s="9"/>
      <c r="BH1430" s="9"/>
      <c r="BI1430" s="9"/>
      <c r="BJ1430" s="9"/>
      <c r="BK1430" s="9"/>
      <c r="BL1430" s="9"/>
      <c r="BM1430" s="9"/>
      <c r="BN1430" s="9"/>
      <c r="BO1430" s="9"/>
      <c r="BP1430" s="9"/>
      <c r="BQ1430" s="9"/>
      <c r="BR1430" s="9"/>
      <c r="BS1430" s="9"/>
      <c r="BT1430" s="9"/>
      <c r="BU1430" s="9"/>
      <c r="BV1430" s="9"/>
      <c r="BW1430" s="9"/>
      <c r="BX1430" s="9"/>
      <c r="BY1430" s="9"/>
      <c r="BZ1430" s="9"/>
      <c r="CA1430" s="9"/>
      <c r="CB1430" s="9"/>
      <c r="CC1430" s="9"/>
      <c r="CD1430" s="9"/>
      <c r="CE1430" s="9"/>
      <c r="CF1430" s="9"/>
      <c r="CG1430" s="9"/>
      <c r="CH1430" s="9"/>
      <c r="CI1430" s="9"/>
      <c r="CJ1430" s="9"/>
      <c r="CK1430" s="9"/>
      <c r="CL1430" s="9"/>
      <c r="CM1430" s="9"/>
      <c r="CN1430" s="9"/>
      <c r="CO1430" s="9"/>
      <c r="CP1430" s="9"/>
    </row>
    <row r="1431" spans="1:94" ht="45" x14ac:dyDescent="0.25">
      <c r="A1431" s="9" t="s">
        <v>4157</v>
      </c>
      <c r="B1431" s="9" t="s">
        <v>4036</v>
      </c>
      <c r="C1431" s="9"/>
      <c r="D1431" s="9"/>
      <c r="E1431" s="9"/>
      <c r="F1431" s="9"/>
      <c r="G1431" s="9"/>
      <c r="H1431" s="9"/>
      <c r="I1431" s="9"/>
      <c r="J1431" s="9"/>
      <c r="K1431" s="9"/>
      <c r="L1431" s="9"/>
      <c r="M1431" s="9"/>
      <c r="N1431" s="9"/>
      <c r="O1431" s="9"/>
      <c r="P1431" s="9"/>
      <c r="Q1431" s="9"/>
      <c r="R1431" s="9"/>
      <c r="S1431" s="9"/>
      <c r="T1431" s="9"/>
      <c r="U1431" s="9"/>
      <c r="V1431" s="9"/>
      <c r="W1431" s="9"/>
      <c r="X1431" s="9"/>
      <c r="Y1431" s="9"/>
      <c r="Z1431" s="9"/>
      <c r="AA1431" s="9"/>
      <c r="AB1431" s="9"/>
      <c r="AC1431" s="9"/>
      <c r="AD1431" s="9"/>
      <c r="AE1431" s="9"/>
      <c r="AF1431" s="9"/>
      <c r="AG1431" s="9"/>
      <c r="AH1431" s="9"/>
      <c r="AI1431" s="9"/>
      <c r="AJ1431" s="9"/>
      <c r="AK1431" s="9"/>
      <c r="AL1431" s="9"/>
      <c r="AM1431" s="69"/>
      <c r="AN1431" s="9"/>
      <c r="AO1431" s="69" t="s">
        <v>1843</v>
      </c>
      <c r="AP1431" s="210"/>
      <c r="AQ1431" s="211"/>
      <c r="AR1431" s="211"/>
      <c r="AS1431" s="211"/>
      <c r="AT1431" s="211"/>
      <c r="AU1431" s="211"/>
      <c r="AV1431" s="211"/>
      <c r="AW1431" s="9"/>
      <c r="AX1431" s="9"/>
      <c r="AY1431" s="9"/>
      <c r="AZ1431" s="9"/>
      <c r="BA1431" s="120"/>
      <c r="BB1431" s="69"/>
      <c r="BC1431" s="9"/>
      <c r="BD1431" s="9"/>
      <c r="BE1431" s="9"/>
      <c r="BF1431" s="9"/>
      <c r="BG1431" s="9"/>
      <c r="BH1431" s="9"/>
      <c r="BI1431" s="9"/>
      <c r="BJ1431" s="9"/>
      <c r="BK1431" s="9"/>
      <c r="BL1431" s="9"/>
      <c r="BM1431" s="9"/>
      <c r="BN1431" s="9"/>
      <c r="BO1431" s="9"/>
      <c r="BP1431" s="9"/>
      <c r="BQ1431" s="9"/>
      <c r="BR1431" s="9"/>
      <c r="BS1431" s="9"/>
      <c r="BT1431" s="9"/>
      <c r="BU1431" s="9"/>
      <c r="BV1431" s="9"/>
      <c r="BW1431" s="9"/>
      <c r="BX1431" s="9"/>
      <c r="BY1431" s="9"/>
      <c r="BZ1431" s="9"/>
      <c r="CA1431" s="9"/>
      <c r="CB1431" s="9"/>
      <c r="CC1431" s="9"/>
      <c r="CD1431" s="9"/>
      <c r="CE1431" s="9"/>
      <c r="CF1431" s="9"/>
      <c r="CG1431" s="9"/>
      <c r="CH1431" s="9"/>
      <c r="CI1431" s="9"/>
      <c r="CJ1431" s="9"/>
      <c r="CK1431" s="9"/>
      <c r="CL1431" s="9"/>
      <c r="CM1431" s="9"/>
      <c r="CN1431" s="9"/>
      <c r="CO1431" s="9"/>
      <c r="CP1431" s="9"/>
    </row>
    <row r="1432" spans="1:94" ht="30" x14ac:dyDescent="0.25">
      <c r="A1432" s="9" t="s">
        <v>1722</v>
      </c>
      <c r="B1432" s="9" t="s">
        <v>4158</v>
      </c>
      <c r="C1432" s="9"/>
      <c r="D1432" s="9"/>
      <c r="E1432" s="9"/>
      <c r="F1432" s="9"/>
      <c r="G1432" s="9"/>
      <c r="H1432" s="9"/>
      <c r="I1432" s="9"/>
      <c r="J1432" s="9"/>
      <c r="K1432" s="9"/>
      <c r="L1432" s="9"/>
      <c r="M1432" s="9"/>
      <c r="N1432" s="9"/>
      <c r="O1432" s="9"/>
      <c r="P1432" s="9"/>
      <c r="Q1432" s="9"/>
      <c r="R1432" s="9"/>
      <c r="S1432" s="9"/>
      <c r="T1432" s="9"/>
      <c r="U1432" s="9"/>
      <c r="V1432" s="9"/>
      <c r="W1432" s="9"/>
      <c r="X1432" s="9"/>
      <c r="Y1432" s="9"/>
      <c r="Z1432" s="9"/>
      <c r="AA1432" s="9"/>
      <c r="AB1432" s="9"/>
      <c r="AC1432" s="9"/>
      <c r="AD1432" s="9"/>
      <c r="AE1432" s="9"/>
      <c r="AF1432" s="9"/>
      <c r="AG1432" s="9"/>
      <c r="AH1432" s="9"/>
      <c r="AI1432" s="9"/>
      <c r="AJ1432" s="9"/>
      <c r="AK1432" s="9"/>
      <c r="AL1432" s="9"/>
      <c r="AM1432" s="69"/>
      <c r="AN1432" s="9"/>
      <c r="AO1432" s="69" t="s">
        <v>4153</v>
      </c>
      <c r="AP1432" s="210"/>
      <c r="AQ1432" s="211"/>
      <c r="AR1432" s="211"/>
      <c r="AS1432" s="211"/>
      <c r="AT1432" s="211"/>
      <c r="AU1432" s="211"/>
      <c r="AV1432" s="211"/>
      <c r="AW1432" s="9"/>
      <c r="AX1432" s="9"/>
      <c r="AY1432" s="9"/>
      <c r="AZ1432" s="9"/>
      <c r="BA1432" s="120"/>
      <c r="BB1432" s="69"/>
      <c r="BC1432" s="9"/>
      <c r="BD1432" s="9"/>
      <c r="BE1432" s="9"/>
      <c r="BF1432" s="9"/>
      <c r="BG1432" s="9"/>
      <c r="BH1432" s="9"/>
      <c r="BI1432" s="9"/>
      <c r="BJ1432" s="9"/>
      <c r="BK1432" s="9"/>
      <c r="BL1432" s="9"/>
      <c r="BM1432" s="9"/>
      <c r="BN1432" s="9"/>
      <c r="BO1432" s="9"/>
      <c r="BP1432" s="9"/>
      <c r="BQ1432" s="9"/>
      <c r="BR1432" s="9"/>
      <c r="BS1432" s="9"/>
      <c r="BT1432" s="9"/>
      <c r="BU1432" s="9"/>
      <c r="BV1432" s="9"/>
      <c r="BW1432" s="9"/>
      <c r="BX1432" s="9"/>
      <c r="BY1432" s="9"/>
      <c r="BZ1432" s="9"/>
      <c r="CA1432" s="9"/>
      <c r="CB1432" s="9"/>
      <c r="CC1432" s="9"/>
      <c r="CD1432" s="9"/>
      <c r="CE1432" s="9"/>
      <c r="CF1432" s="9"/>
      <c r="CG1432" s="9"/>
      <c r="CH1432" s="9"/>
      <c r="CI1432" s="9"/>
      <c r="CJ1432" s="9"/>
      <c r="CK1432" s="9"/>
      <c r="CL1432" s="9"/>
      <c r="CM1432" s="9"/>
      <c r="CN1432" s="9"/>
      <c r="CO1432" s="9"/>
      <c r="CP1432" s="9"/>
    </row>
    <row r="1433" spans="1:94" x14ac:dyDescent="0.25">
      <c r="A1433" s="9" t="s">
        <v>4159</v>
      </c>
      <c r="B1433" s="9" t="s">
        <v>4160</v>
      </c>
      <c r="C1433" s="9"/>
      <c r="D1433" s="9"/>
      <c r="E1433" s="9"/>
      <c r="F1433" s="9"/>
      <c r="G1433" s="9"/>
      <c r="H1433" s="9"/>
      <c r="I1433" s="9"/>
      <c r="J1433" s="9"/>
      <c r="K1433" s="9"/>
      <c r="L1433" s="9"/>
      <c r="M1433" s="9"/>
      <c r="N1433" s="9"/>
      <c r="O1433" s="9"/>
      <c r="P1433" s="9"/>
      <c r="Q1433" s="9"/>
      <c r="R1433" s="9"/>
      <c r="S1433" s="9"/>
      <c r="T1433" s="9"/>
      <c r="U1433" s="9"/>
      <c r="V1433" s="9"/>
      <c r="W1433" s="9"/>
      <c r="X1433" s="9"/>
      <c r="Y1433" s="9"/>
      <c r="Z1433" s="9"/>
      <c r="AA1433" s="9"/>
      <c r="AB1433" s="9"/>
      <c r="AC1433" s="9"/>
      <c r="AD1433" s="9"/>
      <c r="AE1433" s="9"/>
      <c r="AF1433" s="9"/>
      <c r="AG1433" s="9"/>
      <c r="AH1433" s="9"/>
      <c r="AI1433" s="9"/>
      <c r="AJ1433" s="9"/>
      <c r="AK1433" s="9"/>
      <c r="AL1433" s="9"/>
      <c r="AM1433" s="69"/>
      <c r="AN1433" s="9"/>
      <c r="AO1433" s="69" t="s">
        <v>4161</v>
      </c>
      <c r="AP1433" s="210"/>
      <c r="AQ1433" s="211"/>
      <c r="AR1433" s="211"/>
      <c r="AS1433" s="211"/>
      <c r="AT1433" s="211"/>
      <c r="AU1433" s="211"/>
      <c r="AV1433" s="211"/>
      <c r="AW1433" s="9"/>
      <c r="AX1433" s="9"/>
      <c r="AY1433" s="9"/>
      <c r="AZ1433" s="9"/>
      <c r="BA1433" s="120"/>
      <c r="BB1433" s="69"/>
      <c r="BC1433" s="9"/>
      <c r="BD1433" s="9"/>
      <c r="BE1433" s="9"/>
      <c r="BF1433" s="9"/>
      <c r="BG1433" s="9"/>
      <c r="BH1433" s="9"/>
      <c r="BI1433" s="9"/>
      <c r="BJ1433" s="9"/>
      <c r="BK1433" s="9"/>
      <c r="BL1433" s="9"/>
      <c r="BM1433" s="9"/>
      <c r="BN1433" s="9"/>
      <c r="BO1433" s="9"/>
      <c r="BP1433" s="9"/>
      <c r="BQ1433" s="9"/>
      <c r="BR1433" s="9"/>
      <c r="BS1433" s="9"/>
      <c r="BT1433" s="9"/>
      <c r="BU1433" s="9"/>
      <c r="BV1433" s="9"/>
      <c r="BW1433" s="9"/>
      <c r="BX1433" s="9"/>
      <c r="BY1433" s="9"/>
      <c r="BZ1433" s="9"/>
      <c r="CA1433" s="9"/>
      <c r="CB1433" s="9"/>
      <c r="CC1433" s="9"/>
      <c r="CD1433" s="9"/>
      <c r="CE1433" s="9"/>
      <c r="CF1433" s="9"/>
      <c r="CG1433" s="9"/>
      <c r="CH1433" s="9"/>
      <c r="CI1433" s="9"/>
      <c r="CJ1433" s="9"/>
      <c r="CK1433" s="9"/>
      <c r="CL1433" s="9"/>
      <c r="CM1433" s="9"/>
      <c r="CN1433" s="9"/>
      <c r="CO1433" s="9"/>
      <c r="CP1433" s="9"/>
    </row>
    <row r="1434" spans="1:94" x14ac:dyDescent="0.25">
      <c r="A1434" s="9" t="s">
        <v>4162</v>
      </c>
      <c r="B1434" s="9" t="s">
        <v>4163</v>
      </c>
      <c r="C1434" s="9"/>
      <c r="D1434" s="9"/>
      <c r="E1434" s="9"/>
      <c r="F1434" s="9"/>
      <c r="G1434" s="9"/>
      <c r="H1434" s="9"/>
      <c r="I1434" s="9"/>
      <c r="J1434" s="9"/>
      <c r="K1434" s="9"/>
      <c r="L1434" s="9"/>
      <c r="M1434" s="9"/>
      <c r="N1434" s="9"/>
      <c r="O1434" s="9"/>
      <c r="P1434" s="9"/>
      <c r="Q1434" s="9"/>
      <c r="R1434" s="9"/>
      <c r="S1434" s="9"/>
      <c r="T1434" s="9"/>
      <c r="U1434" s="9"/>
      <c r="V1434" s="9"/>
      <c r="W1434" s="9"/>
      <c r="X1434" s="9"/>
      <c r="Y1434" s="9"/>
      <c r="Z1434" s="9"/>
      <c r="AA1434" s="9"/>
      <c r="AB1434" s="9"/>
      <c r="AC1434" s="9"/>
      <c r="AD1434" s="9"/>
      <c r="AE1434" s="9"/>
      <c r="AF1434" s="9"/>
      <c r="AG1434" s="9"/>
      <c r="AH1434" s="9"/>
      <c r="AI1434" s="9"/>
      <c r="AJ1434" s="9"/>
      <c r="AK1434" s="9"/>
      <c r="AL1434" s="9"/>
      <c r="AM1434" s="69"/>
      <c r="AN1434" s="9"/>
      <c r="AO1434" s="69" t="s">
        <v>4161</v>
      </c>
      <c r="AP1434" s="210"/>
      <c r="AQ1434" s="211"/>
      <c r="AR1434" s="211"/>
      <c r="AS1434" s="211"/>
      <c r="AT1434" s="211"/>
      <c r="AU1434" s="211"/>
      <c r="AV1434" s="211"/>
      <c r="AW1434" s="9"/>
      <c r="AX1434" s="9"/>
      <c r="AY1434" s="9"/>
      <c r="AZ1434" s="9"/>
      <c r="BA1434" s="120"/>
      <c r="BB1434" s="69"/>
      <c r="BC1434" s="9"/>
      <c r="BD1434" s="9"/>
      <c r="BE1434" s="9"/>
      <c r="BF1434" s="9"/>
      <c r="BG1434" s="9"/>
      <c r="BH1434" s="9"/>
      <c r="BI1434" s="9"/>
      <c r="BJ1434" s="9"/>
      <c r="BK1434" s="9"/>
      <c r="BL1434" s="9"/>
      <c r="BM1434" s="9"/>
      <c r="BN1434" s="9"/>
      <c r="BO1434" s="9"/>
      <c r="BP1434" s="9"/>
      <c r="BQ1434" s="9"/>
      <c r="BR1434" s="9"/>
      <c r="BS1434" s="9"/>
      <c r="BT1434" s="9"/>
      <c r="BU1434" s="9"/>
      <c r="BV1434" s="9"/>
      <c r="BW1434" s="9"/>
      <c r="BX1434" s="9"/>
      <c r="BY1434" s="9"/>
      <c r="BZ1434" s="9"/>
      <c r="CA1434" s="9"/>
      <c r="CB1434" s="9"/>
      <c r="CC1434" s="9"/>
      <c r="CD1434" s="9"/>
      <c r="CE1434" s="9"/>
      <c r="CF1434" s="9"/>
      <c r="CG1434" s="9"/>
      <c r="CH1434" s="9"/>
      <c r="CI1434" s="9"/>
      <c r="CJ1434" s="9"/>
      <c r="CK1434" s="9"/>
      <c r="CL1434" s="9"/>
      <c r="CM1434" s="9"/>
      <c r="CN1434" s="9"/>
      <c r="CO1434" s="9"/>
      <c r="CP1434" s="9"/>
    </row>
    <row r="1435" spans="1:94" ht="15.75" x14ac:dyDescent="0.25">
      <c r="A1435" s="126" t="s">
        <v>4164</v>
      </c>
      <c r="B1435" s="9" t="s">
        <v>4165</v>
      </c>
      <c r="C1435" s="9"/>
      <c r="D1435" s="9"/>
      <c r="E1435" s="9"/>
      <c r="F1435" s="9"/>
      <c r="G1435" s="9"/>
      <c r="H1435" s="9"/>
      <c r="I1435" s="9"/>
      <c r="J1435" s="9"/>
      <c r="K1435" s="9"/>
      <c r="L1435" s="9"/>
      <c r="M1435" s="9"/>
      <c r="N1435" s="9"/>
      <c r="O1435" s="9"/>
      <c r="P1435" s="9"/>
      <c r="Q1435" s="9"/>
      <c r="R1435" s="9"/>
      <c r="S1435" s="9"/>
      <c r="T1435" s="9"/>
      <c r="U1435" s="9"/>
      <c r="V1435" s="9"/>
      <c r="W1435" s="9"/>
      <c r="X1435" s="9"/>
      <c r="Y1435" s="9"/>
      <c r="Z1435" s="9"/>
      <c r="AA1435" s="9"/>
      <c r="AB1435" s="9"/>
      <c r="AC1435" s="9"/>
      <c r="AD1435" s="9"/>
      <c r="AE1435" s="9"/>
      <c r="AF1435" s="9"/>
      <c r="AG1435" s="9"/>
      <c r="AH1435" s="9"/>
      <c r="AI1435" s="9"/>
      <c r="AJ1435" s="9"/>
      <c r="AK1435" s="9"/>
      <c r="AL1435" s="9"/>
      <c r="AM1435" s="69"/>
      <c r="AN1435" s="9"/>
      <c r="AO1435" s="69" t="s">
        <v>4161</v>
      </c>
      <c r="AP1435" s="210"/>
      <c r="AQ1435" s="211"/>
      <c r="AR1435" s="211"/>
      <c r="AS1435" s="211"/>
      <c r="AT1435" s="211"/>
      <c r="AU1435" s="211"/>
      <c r="AV1435" s="211"/>
      <c r="AW1435" s="9"/>
      <c r="AX1435" s="9"/>
      <c r="AY1435" s="9"/>
      <c r="AZ1435" s="9"/>
      <c r="BA1435" s="120"/>
      <c r="BB1435" s="69"/>
      <c r="BC1435" s="9"/>
      <c r="BD1435" s="9"/>
      <c r="BE1435" s="9"/>
      <c r="BF1435" s="9"/>
      <c r="BG1435" s="9"/>
      <c r="BH1435" s="9"/>
      <c r="BI1435" s="9"/>
      <c r="BJ1435" s="9"/>
      <c r="BK1435" s="9"/>
      <c r="BL1435" s="9"/>
      <c r="BM1435" s="9"/>
      <c r="BN1435" s="9"/>
      <c r="BO1435" s="9"/>
      <c r="BP1435" s="9"/>
      <c r="BQ1435" s="9"/>
      <c r="BR1435" s="9"/>
      <c r="BS1435" s="9"/>
      <c r="BT1435" s="9"/>
      <c r="BU1435" s="9"/>
      <c r="BV1435" s="9"/>
      <c r="BW1435" s="9"/>
      <c r="BX1435" s="9"/>
      <c r="BY1435" s="9"/>
      <c r="BZ1435" s="9"/>
      <c r="CA1435" s="9"/>
      <c r="CB1435" s="9"/>
      <c r="CC1435" s="9"/>
      <c r="CD1435" s="9"/>
      <c r="CE1435" s="9"/>
      <c r="CF1435" s="9"/>
      <c r="CG1435" s="9"/>
      <c r="CH1435" s="9"/>
      <c r="CI1435" s="9"/>
      <c r="CJ1435" s="9"/>
      <c r="CK1435" s="9"/>
      <c r="CL1435" s="9"/>
      <c r="CM1435" s="9"/>
      <c r="CN1435" s="9"/>
      <c r="CO1435" s="9"/>
      <c r="CP1435" s="9"/>
    </row>
    <row r="1436" spans="1:94" ht="15.75" x14ac:dyDescent="0.25">
      <c r="A1436" s="126" t="s">
        <v>4166</v>
      </c>
      <c r="B1436" s="9" t="s">
        <v>4167</v>
      </c>
      <c r="C1436" s="9"/>
      <c r="D1436" s="9"/>
      <c r="E1436" s="9"/>
      <c r="F1436" s="9"/>
      <c r="G1436" s="9"/>
      <c r="H1436" s="9"/>
      <c r="I1436" s="9"/>
      <c r="J1436" s="9"/>
      <c r="K1436" s="9"/>
      <c r="L1436" s="9"/>
      <c r="M1436" s="9"/>
      <c r="N1436" s="9"/>
      <c r="O1436" s="9"/>
      <c r="P1436" s="9"/>
      <c r="Q1436" s="9"/>
      <c r="R1436" s="9"/>
      <c r="S1436" s="9"/>
      <c r="T1436" s="9"/>
      <c r="U1436" s="9"/>
      <c r="V1436" s="9"/>
      <c r="W1436" s="9"/>
      <c r="X1436" s="9"/>
      <c r="Y1436" s="9"/>
      <c r="Z1436" s="9"/>
      <c r="AA1436" s="9"/>
      <c r="AB1436" s="9"/>
      <c r="AC1436" s="9"/>
      <c r="AD1436" s="9"/>
      <c r="AE1436" s="9"/>
      <c r="AF1436" s="9"/>
      <c r="AG1436" s="9"/>
      <c r="AH1436" s="9"/>
      <c r="AI1436" s="9"/>
      <c r="AJ1436" s="9"/>
      <c r="AK1436" s="9"/>
      <c r="AL1436" s="9"/>
      <c r="AM1436" s="69"/>
      <c r="AN1436" s="9"/>
      <c r="AO1436" s="69" t="s">
        <v>4161</v>
      </c>
      <c r="AP1436" s="210"/>
      <c r="AQ1436" s="211"/>
      <c r="AR1436" s="211"/>
      <c r="AS1436" s="211"/>
      <c r="AT1436" s="211"/>
      <c r="AU1436" s="211"/>
      <c r="AV1436" s="211"/>
      <c r="AW1436" s="9"/>
      <c r="AX1436" s="9"/>
      <c r="AY1436" s="9"/>
      <c r="AZ1436" s="9"/>
      <c r="BA1436" s="120"/>
      <c r="BB1436" s="69"/>
      <c r="BC1436" s="9"/>
      <c r="BD1436" s="9"/>
      <c r="BE1436" s="9"/>
      <c r="BF1436" s="9"/>
      <c r="BG1436" s="9"/>
      <c r="BH1436" s="9"/>
      <c r="BI1436" s="9"/>
      <c r="BJ1436" s="9"/>
      <c r="BK1436" s="9"/>
      <c r="BL1436" s="9"/>
      <c r="BM1436" s="9"/>
      <c r="BN1436" s="9"/>
      <c r="BO1436" s="9"/>
      <c r="BP1436" s="9"/>
      <c r="BQ1436" s="9"/>
      <c r="BR1436" s="9"/>
      <c r="BS1436" s="9"/>
      <c r="BT1436" s="9"/>
      <c r="BU1436" s="9"/>
      <c r="BV1436" s="9"/>
      <c r="BW1436" s="9"/>
      <c r="BX1436" s="9"/>
      <c r="BY1436" s="9"/>
      <c r="BZ1436" s="9"/>
      <c r="CA1436" s="9"/>
      <c r="CB1436" s="9"/>
      <c r="CC1436" s="9"/>
      <c r="CD1436" s="9"/>
      <c r="CE1436" s="9"/>
      <c r="CF1436" s="9"/>
      <c r="CG1436" s="9"/>
      <c r="CH1436" s="9"/>
      <c r="CI1436" s="9"/>
      <c r="CJ1436" s="9"/>
      <c r="CK1436" s="9"/>
      <c r="CL1436" s="9"/>
      <c r="CM1436" s="9"/>
      <c r="CN1436" s="9"/>
      <c r="CO1436" s="9"/>
      <c r="CP1436" s="9"/>
    </row>
    <row r="1437" spans="1:94" ht="15.75" x14ac:dyDescent="0.25">
      <c r="A1437" s="126" t="s">
        <v>4168</v>
      </c>
      <c r="B1437" s="9" t="s">
        <v>4169</v>
      </c>
      <c r="C1437" s="9"/>
      <c r="D1437" s="9"/>
      <c r="E1437" s="9"/>
      <c r="F1437" s="9"/>
      <c r="G1437" s="9"/>
      <c r="H1437" s="9"/>
      <c r="I1437" s="9"/>
      <c r="J1437" s="9"/>
      <c r="K1437" s="9"/>
      <c r="L1437" s="9"/>
      <c r="M1437" s="9"/>
      <c r="N1437" s="9"/>
      <c r="O1437" s="9"/>
      <c r="P1437" s="9"/>
      <c r="Q1437" s="9"/>
      <c r="R1437" s="9"/>
      <c r="S1437" s="9"/>
      <c r="T1437" s="9"/>
      <c r="U1437" s="9"/>
      <c r="V1437" s="9"/>
      <c r="W1437" s="9"/>
      <c r="X1437" s="9"/>
      <c r="Y1437" s="9"/>
      <c r="Z1437" s="9"/>
      <c r="AA1437" s="9"/>
      <c r="AB1437" s="9"/>
      <c r="AC1437" s="9"/>
      <c r="AD1437" s="9"/>
      <c r="AE1437" s="9"/>
      <c r="AF1437" s="9"/>
      <c r="AG1437" s="9"/>
      <c r="AH1437" s="9"/>
      <c r="AI1437" s="9"/>
      <c r="AJ1437" s="9"/>
      <c r="AK1437" s="9"/>
      <c r="AL1437" s="9"/>
      <c r="AM1437" s="69"/>
      <c r="AN1437" s="9"/>
      <c r="AO1437" s="69" t="s">
        <v>4161</v>
      </c>
      <c r="AP1437" s="210"/>
      <c r="AQ1437" s="211"/>
      <c r="AR1437" s="211"/>
      <c r="AS1437" s="211"/>
      <c r="AT1437" s="211"/>
      <c r="AU1437" s="211"/>
      <c r="AV1437" s="211"/>
      <c r="AW1437" s="9"/>
      <c r="AX1437" s="9"/>
      <c r="AY1437" s="9"/>
      <c r="AZ1437" s="9"/>
      <c r="BA1437" s="120"/>
      <c r="BB1437" s="69"/>
      <c r="BC1437" s="9"/>
      <c r="BD1437" s="9"/>
      <c r="BE1437" s="9"/>
      <c r="BF1437" s="9"/>
      <c r="BG1437" s="9"/>
      <c r="BH1437" s="9"/>
      <c r="BI1437" s="9"/>
      <c r="BJ1437" s="9"/>
      <c r="BK1437" s="9"/>
      <c r="BL1437" s="9"/>
      <c r="BM1437" s="9"/>
      <c r="BN1437" s="9"/>
      <c r="BO1437" s="9"/>
      <c r="BP1437" s="9"/>
      <c r="BQ1437" s="9"/>
      <c r="BR1437" s="9"/>
      <c r="BS1437" s="9"/>
      <c r="BT1437" s="9"/>
      <c r="BU1437" s="9"/>
      <c r="BV1437" s="9"/>
      <c r="BW1437" s="9"/>
      <c r="BX1437" s="9"/>
      <c r="BY1437" s="9"/>
      <c r="BZ1437" s="9"/>
      <c r="CA1437" s="9"/>
      <c r="CB1437" s="9"/>
      <c r="CC1437" s="9"/>
      <c r="CD1437" s="9"/>
      <c r="CE1437" s="9"/>
      <c r="CF1437" s="9"/>
      <c r="CG1437" s="9"/>
      <c r="CH1437" s="9"/>
      <c r="CI1437" s="9"/>
      <c r="CJ1437" s="9"/>
      <c r="CK1437" s="9"/>
      <c r="CL1437" s="9"/>
      <c r="CM1437" s="9"/>
      <c r="CN1437" s="9"/>
      <c r="CO1437" s="9"/>
      <c r="CP1437" s="9"/>
    </row>
    <row r="1438" spans="1:94" ht="15.75" x14ac:dyDescent="0.25">
      <c r="A1438" s="126" t="s">
        <v>4170</v>
      </c>
      <c r="B1438" s="9" t="s">
        <v>4171</v>
      </c>
      <c r="C1438" s="9"/>
      <c r="D1438" s="9"/>
      <c r="E1438" s="9"/>
      <c r="F1438" s="9"/>
      <c r="G1438" s="9"/>
      <c r="H1438" s="9"/>
      <c r="I1438" s="9"/>
      <c r="J1438" s="9"/>
      <c r="K1438" s="9"/>
      <c r="L1438" s="9"/>
      <c r="M1438" s="9"/>
      <c r="N1438" s="9"/>
      <c r="O1438" s="9"/>
      <c r="P1438" s="9"/>
      <c r="Q1438" s="9"/>
      <c r="R1438" s="9"/>
      <c r="S1438" s="9"/>
      <c r="T1438" s="9"/>
      <c r="U1438" s="9"/>
      <c r="V1438" s="9"/>
      <c r="W1438" s="9"/>
      <c r="X1438" s="9"/>
      <c r="Y1438" s="9"/>
      <c r="Z1438" s="9"/>
      <c r="AA1438" s="9"/>
      <c r="AB1438" s="9"/>
      <c r="AC1438" s="9"/>
      <c r="AD1438" s="9"/>
      <c r="AE1438" s="9"/>
      <c r="AF1438" s="9"/>
      <c r="AG1438" s="9"/>
      <c r="AH1438" s="9"/>
      <c r="AI1438" s="9"/>
      <c r="AJ1438" s="9"/>
      <c r="AK1438" s="9"/>
      <c r="AL1438" s="9"/>
      <c r="AM1438" s="69"/>
      <c r="AN1438" s="9"/>
      <c r="AO1438" s="69" t="s">
        <v>4161</v>
      </c>
      <c r="AP1438" s="210"/>
      <c r="AQ1438" s="211"/>
      <c r="AR1438" s="211"/>
      <c r="AS1438" s="211"/>
      <c r="AT1438" s="211"/>
      <c r="AU1438" s="211"/>
      <c r="AV1438" s="211"/>
      <c r="AW1438" s="9"/>
      <c r="AX1438" s="9"/>
      <c r="AY1438" s="9"/>
      <c r="AZ1438" s="9"/>
      <c r="BA1438" s="120"/>
      <c r="BB1438" s="69"/>
      <c r="BC1438" s="9"/>
      <c r="BD1438" s="9"/>
      <c r="BE1438" s="9"/>
      <c r="BF1438" s="9"/>
      <c r="BG1438" s="9"/>
      <c r="BH1438" s="9"/>
      <c r="BI1438" s="9"/>
      <c r="BJ1438" s="9"/>
      <c r="BK1438" s="9"/>
      <c r="BL1438" s="9"/>
      <c r="BM1438" s="9"/>
      <c r="BN1438" s="9"/>
      <c r="BO1438" s="9"/>
      <c r="BP1438" s="9"/>
      <c r="BQ1438" s="9"/>
      <c r="BR1438" s="9"/>
      <c r="BS1438" s="9"/>
      <c r="BT1438" s="9"/>
      <c r="BU1438" s="9"/>
      <c r="BV1438" s="9"/>
      <c r="BW1438" s="9"/>
      <c r="BX1438" s="9"/>
      <c r="BY1438" s="9"/>
      <c r="BZ1438" s="9"/>
      <c r="CA1438" s="9"/>
      <c r="CB1438" s="9"/>
      <c r="CC1438" s="9"/>
      <c r="CD1438" s="9"/>
      <c r="CE1438" s="9"/>
      <c r="CF1438" s="9"/>
      <c r="CG1438" s="9"/>
      <c r="CH1438" s="9"/>
      <c r="CI1438" s="9"/>
      <c r="CJ1438" s="9"/>
      <c r="CK1438" s="9"/>
      <c r="CL1438" s="9"/>
      <c r="CM1438" s="9"/>
      <c r="CN1438" s="9"/>
      <c r="CO1438" s="9"/>
      <c r="CP1438" s="9"/>
    </row>
    <row r="1439" spans="1:94" ht="15.75" x14ac:dyDescent="0.25">
      <c r="A1439" s="126" t="s">
        <v>4172</v>
      </c>
      <c r="B1439" s="9" t="s">
        <v>4173</v>
      </c>
      <c r="C1439" s="9"/>
      <c r="D1439" s="9"/>
      <c r="E1439" s="9"/>
      <c r="F1439" s="9"/>
      <c r="G1439" s="9"/>
      <c r="H1439" s="9"/>
      <c r="I1439" s="9"/>
      <c r="J1439" s="9"/>
      <c r="K1439" s="9"/>
      <c r="L1439" s="9"/>
      <c r="M1439" s="9"/>
      <c r="N1439" s="9"/>
      <c r="O1439" s="9"/>
      <c r="P1439" s="9"/>
      <c r="Q1439" s="9"/>
      <c r="R1439" s="9"/>
      <c r="S1439" s="9"/>
      <c r="T1439" s="9"/>
      <c r="U1439" s="9"/>
      <c r="V1439" s="9"/>
      <c r="W1439" s="9"/>
      <c r="X1439" s="9"/>
      <c r="Y1439" s="9"/>
      <c r="Z1439" s="9"/>
      <c r="AA1439" s="9"/>
      <c r="AB1439" s="9"/>
      <c r="AC1439" s="9"/>
      <c r="AD1439" s="9"/>
      <c r="AE1439" s="9"/>
      <c r="AF1439" s="9"/>
      <c r="AG1439" s="9"/>
      <c r="AH1439" s="9"/>
      <c r="AI1439" s="9"/>
      <c r="AJ1439" s="9"/>
      <c r="AK1439" s="9"/>
      <c r="AL1439" s="9"/>
      <c r="AM1439" s="69"/>
      <c r="AN1439" s="9"/>
      <c r="AO1439" s="69" t="s">
        <v>4161</v>
      </c>
      <c r="AP1439" s="210"/>
      <c r="AQ1439" s="211"/>
      <c r="AR1439" s="211"/>
      <c r="AS1439" s="211"/>
      <c r="AT1439" s="211"/>
      <c r="AU1439" s="211"/>
      <c r="AV1439" s="211"/>
      <c r="AW1439" s="9"/>
      <c r="AX1439" s="9"/>
      <c r="AY1439" s="9"/>
      <c r="AZ1439" s="9"/>
      <c r="BA1439" s="120"/>
      <c r="BB1439" s="69"/>
      <c r="BC1439" s="9"/>
      <c r="BD1439" s="9"/>
      <c r="BE1439" s="9"/>
      <c r="BF1439" s="9"/>
      <c r="BG1439" s="9"/>
      <c r="BH1439" s="9"/>
      <c r="BI1439" s="9"/>
      <c r="BJ1439" s="9"/>
      <c r="BK1439" s="9"/>
      <c r="BL1439" s="9"/>
      <c r="BM1439" s="9"/>
      <c r="BN1439" s="9"/>
      <c r="BO1439" s="9"/>
      <c r="BP1439" s="9"/>
      <c r="BQ1439" s="9"/>
      <c r="BR1439" s="9"/>
      <c r="BS1439" s="9"/>
      <c r="BT1439" s="9"/>
      <c r="BU1439" s="9"/>
      <c r="BV1439" s="9"/>
      <c r="BW1439" s="9"/>
      <c r="BX1439" s="9"/>
      <c r="BY1439" s="9"/>
      <c r="BZ1439" s="9"/>
      <c r="CA1439" s="9"/>
      <c r="CB1439" s="9"/>
      <c r="CC1439" s="9"/>
      <c r="CD1439" s="9"/>
      <c r="CE1439" s="9"/>
      <c r="CF1439" s="9"/>
      <c r="CG1439" s="9"/>
      <c r="CH1439" s="9"/>
      <c r="CI1439" s="9"/>
      <c r="CJ1439" s="9"/>
      <c r="CK1439" s="9"/>
      <c r="CL1439" s="9"/>
      <c r="CM1439" s="9"/>
      <c r="CN1439" s="9"/>
      <c r="CO1439" s="9"/>
      <c r="CP1439" s="9"/>
    </row>
    <row r="1440" spans="1:94" ht="15.75" x14ac:dyDescent="0.25">
      <c r="A1440" s="126" t="s">
        <v>4174</v>
      </c>
      <c r="B1440" s="9" t="s">
        <v>4175</v>
      </c>
      <c r="C1440" s="9"/>
      <c r="D1440" s="9"/>
      <c r="E1440" s="9"/>
      <c r="F1440" s="9"/>
      <c r="G1440" s="9"/>
      <c r="H1440" s="9"/>
      <c r="I1440" s="9"/>
      <c r="J1440" s="9"/>
      <c r="K1440" s="9"/>
      <c r="L1440" s="9"/>
      <c r="M1440" s="9"/>
      <c r="N1440" s="9"/>
      <c r="O1440" s="9"/>
      <c r="P1440" s="9"/>
      <c r="Q1440" s="9"/>
      <c r="R1440" s="9"/>
      <c r="S1440" s="9"/>
      <c r="T1440" s="9"/>
      <c r="U1440" s="9"/>
      <c r="V1440" s="9"/>
      <c r="W1440" s="9"/>
      <c r="X1440" s="9"/>
      <c r="Y1440" s="9"/>
      <c r="Z1440" s="9"/>
      <c r="AA1440" s="9"/>
      <c r="AB1440" s="9"/>
      <c r="AC1440" s="9"/>
      <c r="AD1440" s="9"/>
      <c r="AE1440" s="9"/>
      <c r="AF1440" s="9"/>
      <c r="AG1440" s="9"/>
      <c r="AH1440" s="9"/>
      <c r="AI1440" s="9"/>
      <c r="AJ1440" s="9"/>
      <c r="AK1440" s="9"/>
      <c r="AL1440" s="9"/>
      <c r="AM1440" s="69"/>
      <c r="AN1440" s="9"/>
      <c r="AO1440" s="69" t="s">
        <v>4161</v>
      </c>
      <c r="AP1440" s="210"/>
      <c r="AQ1440" s="211"/>
      <c r="AR1440" s="211"/>
      <c r="AS1440" s="211"/>
      <c r="AT1440" s="211"/>
      <c r="AU1440" s="211"/>
      <c r="AV1440" s="211"/>
      <c r="AW1440" s="9"/>
      <c r="AX1440" s="9"/>
      <c r="AY1440" s="9"/>
      <c r="AZ1440" s="9"/>
      <c r="BA1440" s="120"/>
      <c r="BB1440" s="69"/>
      <c r="BC1440" s="9"/>
      <c r="BD1440" s="9"/>
      <c r="BE1440" s="9"/>
      <c r="BF1440" s="9"/>
      <c r="BG1440" s="9"/>
      <c r="BH1440" s="9"/>
      <c r="BI1440" s="9"/>
      <c r="BJ1440" s="9"/>
      <c r="BK1440" s="9"/>
      <c r="BL1440" s="9"/>
      <c r="BM1440" s="9"/>
      <c r="BN1440" s="9"/>
      <c r="BO1440" s="9"/>
      <c r="BP1440" s="9"/>
      <c r="BQ1440" s="9"/>
      <c r="BR1440" s="9"/>
      <c r="BS1440" s="9"/>
      <c r="BT1440" s="9"/>
      <c r="BU1440" s="9"/>
      <c r="BV1440" s="9"/>
      <c r="BW1440" s="9"/>
      <c r="BX1440" s="9"/>
      <c r="BY1440" s="9"/>
      <c r="BZ1440" s="9"/>
      <c r="CA1440" s="9"/>
      <c r="CB1440" s="9"/>
      <c r="CC1440" s="9"/>
      <c r="CD1440" s="9"/>
      <c r="CE1440" s="9"/>
      <c r="CF1440" s="9"/>
      <c r="CG1440" s="9"/>
      <c r="CH1440" s="9"/>
      <c r="CI1440" s="9"/>
      <c r="CJ1440" s="9"/>
      <c r="CK1440" s="9"/>
      <c r="CL1440" s="9"/>
      <c r="CM1440" s="9"/>
      <c r="CN1440" s="9"/>
      <c r="CO1440" s="9"/>
      <c r="CP1440" s="9"/>
    </row>
    <row r="1441" spans="1:94" ht="15.75" x14ac:dyDescent="0.25">
      <c r="A1441" s="126" t="s">
        <v>4176</v>
      </c>
      <c r="B1441" s="9" t="s">
        <v>4177</v>
      </c>
      <c r="C1441" s="9"/>
      <c r="D1441" s="9"/>
      <c r="E1441" s="9"/>
      <c r="F1441" s="9"/>
      <c r="G1441" s="9"/>
      <c r="H1441" s="9"/>
      <c r="I1441" s="9"/>
      <c r="J1441" s="9"/>
      <c r="K1441" s="9"/>
      <c r="L1441" s="9"/>
      <c r="M1441" s="9"/>
      <c r="N1441" s="9"/>
      <c r="O1441" s="9"/>
      <c r="P1441" s="9"/>
      <c r="Q1441" s="9"/>
      <c r="R1441" s="9"/>
      <c r="S1441" s="9"/>
      <c r="T1441" s="9"/>
      <c r="U1441" s="9"/>
      <c r="V1441" s="9"/>
      <c r="W1441" s="9"/>
      <c r="X1441" s="9"/>
      <c r="Y1441" s="9"/>
      <c r="Z1441" s="9"/>
      <c r="AA1441" s="9"/>
      <c r="AB1441" s="9"/>
      <c r="AC1441" s="9"/>
      <c r="AD1441" s="9"/>
      <c r="AE1441" s="9"/>
      <c r="AF1441" s="9"/>
      <c r="AG1441" s="9"/>
      <c r="AH1441" s="9"/>
      <c r="AI1441" s="9"/>
      <c r="AJ1441" s="9"/>
      <c r="AK1441" s="9"/>
      <c r="AL1441" s="9"/>
      <c r="AM1441" s="69"/>
      <c r="AN1441" s="9"/>
      <c r="AO1441" s="69" t="s">
        <v>4161</v>
      </c>
      <c r="AP1441" s="210"/>
      <c r="AQ1441" s="211"/>
      <c r="AR1441" s="211"/>
      <c r="AS1441" s="211"/>
      <c r="AT1441" s="211"/>
      <c r="AU1441" s="211"/>
      <c r="AV1441" s="211"/>
      <c r="AW1441" s="9"/>
      <c r="AX1441" s="9"/>
      <c r="AY1441" s="9"/>
      <c r="AZ1441" s="9"/>
      <c r="BA1441" s="120"/>
      <c r="BB1441" s="69"/>
      <c r="BC1441" s="9"/>
      <c r="BD1441" s="9"/>
      <c r="BE1441" s="9"/>
      <c r="BF1441" s="9"/>
      <c r="BG1441" s="9"/>
      <c r="BH1441" s="9"/>
      <c r="BI1441" s="9"/>
      <c r="BJ1441" s="9"/>
      <c r="BK1441" s="9"/>
      <c r="BL1441" s="9"/>
      <c r="BM1441" s="9"/>
      <c r="BN1441" s="9"/>
      <c r="BO1441" s="9"/>
      <c r="BP1441" s="9"/>
      <c r="BQ1441" s="9"/>
      <c r="BR1441" s="9"/>
      <c r="BS1441" s="9"/>
      <c r="BT1441" s="9"/>
      <c r="BU1441" s="9"/>
      <c r="BV1441" s="9"/>
      <c r="BW1441" s="9"/>
      <c r="BX1441" s="9"/>
      <c r="BY1441" s="9"/>
      <c r="BZ1441" s="9"/>
      <c r="CA1441" s="9"/>
      <c r="CB1441" s="9"/>
      <c r="CC1441" s="9"/>
      <c r="CD1441" s="9"/>
      <c r="CE1441" s="9"/>
      <c r="CF1441" s="9"/>
      <c r="CG1441" s="9"/>
      <c r="CH1441" s="9"/>
      <c r="CI1441" s="9"/>
      <c r="CJ1441" s="9"/>
      <c r="CK1441" s="9"/>
      <c r="CL1441" s="9"/>
      <c r="CM1441" s="9"/>
      <c r="CN1441" s="9"/>
      <c r="CO1441" s="9"/>
      <c r="CP1441" s="9"/>
    </row>
    <row r="1442" spans="1:94" x14ac:dyDescent="0.25">
      <c r="A1442" s="9" t="s">
        <v>4178</v>
      </c>
      <c r="B1442" s="9" t="s">
        <v>4179</v>
      </c>
      <c r="C1442" s="9"/>
      <c r="D1442" s="9"/>
      <c r="E1442" s="9"/>
      <c r="F1442" s="9"/>
      <c r="G1442" s="9"/>
      <c r="H1442" s="9"/>
      <c r="I1442" s="9"/>
      <c r="J1442" s="9"/>
      <c r="K1442" s="9"/>
      <c r="L1442" s="9"/>
      <c r="M1442" s="9"/>
      <c r="N1442" s="9"/>
      <c r="O1442" s="9"/>
      <c r="P1442" s="9"/>
      <c r="Q1442" s="9"/>
      <c r="R1442" s="9"/>
      <c r="S1442" s="9"/>
      <c r="T1442" s="9"/>
      <c r="U1442" s="9"/>
      <c r="V1442" s="9"/>
      <c r="W1442" s="9"/>
      <c r="X1442" s="9"/>
      <c r="Y1442" s="9"/>
      <c r="Z1442" s="9"/>
      <c r="AA1442" s="9"/>
      <c r="AB1442" s="9"/>
      <c r="AC1442" s="9"/>
      <c r="AD1442" s="9"/>
      <c r="AE1442" s="9"/>
      <c r="AF1442" s="9"/>
      <c r="AG1442" s="9"/>
      <c r="AH1442" s="9"/>
      <c r="AI1442" s="9"/>
      <c r="AJ1442" s="9"/>
      <c r="AK1442" s="9"/>
      <c r="AL1442" s="9"/>
      <c r="AM1442" s="69"/>
      <c r="AN1442" s="9"/>
      <c r="AO1442" s="69" t="s">
        <v>4161</v>
      </c>
      <c r="AP1442" s="210"/>
      <c r="AQ1442" s="211"/>
      <c r="AR1442" s="211"/>
      <c r="AS1442" s="211"/>
      <c r="AT1442" s="211"/>
      <c r="AU1442" s="211"/>
      <c r="AV1442" s="211"/>
      <c r="AW1442" s="9"/>
      <c r="AX1442" s="9"/>
      <c r="AY1442" s="9"/>
      <c r="AZ1442" s="9"/>
      <c r="BA1442" s="120"/>
      <c r="BB1442" s="69"/>
      <c r="BC1442" s="9"/>
      <c r="BD1442" s="9"/>
      <c r="BE1442" s="9"/>
      <c r="BF1442" s="9"/>
      <c r="BG1442" s="9"/>
      <c r="BH1442" s="9"/>
      <c r="BI1442" s="9"/>
      <c r="BJ1442" s="9"/>
      <c r="BK1442" s="9"/>
      <c r="BL1442" s="9"/>
      <c r="BM1442" s="9"/>
      <c r="BN1442" s="9"/>
      <c r="BO1442" s="9"/>
      <c r="BP1442" s="9"/>
      <c r="BQ1442" s="9"/>
      <c r="BR1442" s="9"/>
      <c r="BS1442" s="9"/>
      <c r="BT1442" s="9"/>
      <c r="BU1442" s="9"/>
      <c r="BV1442" s="9"/>
      <c r="BW1442" s="9"/>
      <c r="BX1442" s="9"/>
      <c r="BY1442" s="9"/>
      <c r="BZ1442" s="9"/>
      <c r="CA1442" s="9"/>
      <c r="CB1442" s="9"/>
      <c r="CC1442" s="9"/>
      <c r="CD1442" s="9"/>
      <c r="CE1442" s="9"/>
      <c r="CF1442" s="9"/>
      <c r="CG1442" s="9"/>
      <c r="CH1442" s="9"/>
      <c r="CI1442" s="9"/>
      <c r="CJ1442" s="9"/>
      <c r="CK1442" s="9"/>
      <c r="CL1442" s="9"/>
      <c r="CM1442" s="9"/>
      <c r="CN1442" s="9"/>
      <c r="CO1442" s="9"/>
      <c r="CP1442" s="9"/>
    </row>
    <row r="1443" spans="1:94" x14ac:dyDescent="0.25">
      <c r="A1443" s="9" t="s">
        <v>4180</v>
      </c>
      <c r="B1443" s="9" t="s">
        <v>4181</v>
      </c>
      <c r="C1443" s="9"/>
      <c r="D1443" s="9"/>
      <c r="E1443" s="9"/>
      <c r="F1443" s="9"/>
      <c r="G1443" s="9"/>
      <c r="H1443" s="9"/>
      <c r="I1443" s="9"/>
      <c r="J1443" s="9"/>
      <c r="K1443" s="9"/>
      <c r="L1443" s="9"/>
      <c r="M1443" s="9"/>
      <c r="N1443" s="9"/>
      <c r="O1443" s="9"/>
      <c r="P1443" s="9"/>
      <c r="Q1443" s="9"/>
      <c r="R1443" s="9"/>
      <c r="S1443" s="9"/>
      <c r="T1443" s="9"/>
      <c r="U1443" s="9"/>
      <c r="V1443" s="9"/>
      <c r="W1443" s="9"/>
      <c r="X1443" s="9"/>
      <c r="Y1443" s="9"/>
      <c r="Z1443" s="9"/>
      <c r="AA1443" s="9"/>
      <c r="AB1443" s="9"/>
      <c r="AC1443" s="9"/>
      <c r="AD1443" s="9"/>
      <c r="AE1443" s="9"/>
      <c r="AF1443" s="9"/>
      <c r="AG1443" s="9"/>
      <c r="AH1443" s="9"/>
      <c r="AI1443" s="9"/>
      <c r="AJ1443" s="9"/>
      <c r="AK1443" s="9"/>
      <c r="AL1443" s="9"/>
      <c r="AM1443" s="69"/>
      <c r="AN1443" s="9"/>
      <c r="AO1443" s="69" t="s">
        <v>4161</v>
      </c>
      <c r="AP1443" s="210"/>
      <c r="AQ1443" s="211"/>
      <c r="AR1443" s="211"/>
      <c r="AS1443" s="211"/>
      <c r="AT1443" s="211"/>
      <c r="AU1443" s="211"/>
      <c r="AV1443" s="211"/>
      <c r="AW1443" s="9"/>
      <c r="AX1443" s="9"/>
      <c r="AY1443" s="9"/>
      <c r="AZ1443" s="9"/>
      <c r="BA1443" s="120"/>
      <c r="BB1443" s="69"/>
      <c r="BC1443" s="9"/>
      <c r="BD1443" s="9"/>
      <c r="BE1443" s="9"/>
      <c r="BF1443" s="9"/>
      <c r="BG1443" s="9"/>
      <c r="BH1443" s="9"/>
      <c r="BI1443" s="9"/>
      <c r="BJ1443" s="9"/>
      <c r="BK1443" s="9"/>
      <c r="BL1443" s="9"/>
      <c r="BM1443" s="9"/>
      <c r="BN1443" s="9"/>
      <c r="BO1443" s="9"/>
      <c r="BP1443" s="9"/>
      <c r="BQ1443" s="9"/>
      <c r="BR1443" s="9"/>
      <c r="BS1443" s="9"/>
      <c r="BT1443" s="9"/>
      <c r="BU1443" s="9"/>
      <c r="BV1443" s="9"/>
      <c r="BW1443" s="9"/>
      <c r="BX1443" s="9"/>
      <c r="BY1443" s="9"/>
      <c r="BZ1443" s="9"/>
      <c r="CA1443" s="9"/>
      <c r="CB1443" s="9"/>
      <c r="CC1443" s="9"/>
      <c r="CD1443" s="9"/>
      <c r="CE1443" s="9"/>
      <c r="CF1443" s="9"/>
      <c r="CG1443" s="9"/>
      <c r="CH1443" s="9"/>
      <c r="CI1443" s="9"/>
      <c r="CJ1443" s="9"/>
      <c r="CK1443" s="9"/>
      <c r="CL1443" s="9"/>
      <c r="CM1443" s="9"/>
      <c r="CN1443" s="9"/>
      <c r="CO1443" s="9"/>
      <c r="CP1443" s="9"/>
    </row>
    <row r="1444" spans="1:94" ht="42.75" x14ac:dyDescent="0.25">
      <c r="A1444" s="9" t="s">
        <v>4182</v>
      </c>
      <c r="B1444" s="9" t="s">
        <v>4183</v>
      </c>
      <c r="C1444" s="9"/>
      <c r="D1444" s="9"/>
      <c r="E1444" s="9"/>
      <c r="F1444" s="9"/>
      <c r="G1444" s="9"/>
      <c r="H1444" s="9"/>
      <c r="I1444" s="9"/>
      <c r="J1444" s="9"/>
      <c r="K1444" s="9"/>
      <c r="L1444" s="9"/>
      <c r="M1444" s="9"/>
      <c r="N1444" s="9"/>
      <c r="O1444" s="9"/>
      <c r="P1444" s="9"/>
      <c r="Q1444" s="9"/>
      <c r="R1444" s="9"/>
      <c r="S1444" s="9"/>
      <c r="T1444" s="9"/>
      <c r="U1444" s="9"/>
      <c r="V1444" s="9"/>
      <c r="W1444" s="9"/>
      <c r="X1444" s="9"/>
      <c r="Y1444" s="9"/>
      <c r="Z1444" s="9"/>
      <c r="AA1444" s="9"/>
      <c r="AB1444" s="9"/>
      <c r="AC1444" s="9"/>
      <c r="AD1444" s="9"/>
      <c r="AE1444" s="9"/>
      <c r="AF1444" s="9"/>
      <c r="AG1444" s="9"/>
      <c r="AH1444" s="9"/>
      <c r="AI1444" s="9"/>
      <c r="AJ1444" s="9"/>
      <c r="AK1444" s="9"/>
      <c r="AL1444" s="9"/>
      <c r="AM1444" s="69"/>
      <c r="AN1444" s="9"/>
      <c r="AO1444" s="69"/>
      <c r="AP1444" s="212"/>
      <c r="AQ1444" s="213"/>
      <c r="AR1444" s="213"/>
      <c r="AS1444" s="213"/>
      <c r="AT1444" s="213"/>
      <c r="AU1444" s="213"/>
      <c r="AV1444" s="213"/>
      <c r="AW1444" s="62"/>
      <c r="AX1444" s="62"/>
      <c r="AY1444" s="62"/>
      <c r="AZ1444" s="62"/>
      <c r="BA1444" s="141"/>
      <c r="BB1444" s="61"/>
      <c r="BC1444" s="165" t="s">
        <v>1615</v>
      </c>
      <c r="BD1444" s="166">
        <v>0.89</v>
      </c>
      <c r="BE1444" s="167" t="s">
        <v>1616</v>
      </c>
      <c r="BF1444" s="168">
        <v>0.1</v>
      </c>
      <c r="BG1444" s="167" t="s">
        <v>1617</v>
      </c>
      <c r="BH1444" s="168">
        <v>0.01</v>
      </c>
      <c r="BI1444" s="169"/>
      <c r="BJ1444" s="168">
        <v>0</v>
      </c>
      <c r="BK1444" s="134" t="s">
        <v>2151</v>
      </c>
      <c r="BL1444" s="168">
        <v>0.9</v>
      </c>
      <c r="BM1444" s="167" t="s">
        <v>2152</v>
      </c>
      <c r="BN1444" s="168">
        <v>0.1</v>
      </c>
      <c r="BO1444" s="62"/>
      <c r="BP1444" s="168"/>
      <c r="BQ1444" s="168"/>
      <c r="BR1444" s="168"/>
      <c r="BS1444" s="135" t="s">
        <v>1615</v>
      </c>
      <c r="BT1444" s="168">
        <v>0.87</v>
      </c>
      <c r="BU1444" s="167" t="s">
        <v>1616</v>
      </c>
      <c r="BV1444" s="168">
        <v>0.1</v>
      </c>
      <c r="BW1444" s="167" t="s">
        <v>2153</v>
      </c>
      <c r="BX1444" s="168"/>
      <c r="BY1444" s="167" t="s">
        <v>1617</v>
      </c>
      <c r="BZ1444" s="168">
        <v>0.01</v>
      </c>
      <c r="CA1444" s="167" t="s">
        <v>1621</v>
      </c>
      <c r="CB1444" s="168">
        <v>0.02</v>
      </c>
      <c r="CC1444" s="62"/>
      <c r="CD1444" s="168"/>
      <c r="CE1444" s="9"/>
      <c r="CF1444" s="9"/>
      <c r="CG1444" s="9"/>
      <c r="CH1444" s="9"/>
      <c r="CI1444" s="9"/>
      <c r="CJ1444" s="9"/>
      <c r="CK1444" s="9"/>
      <c r="CL1444" s="9"/>
      <c r="CM1444" s="9"/>
      <c r="CN1444" s="9"/>
      <c r="CO1444" s="9"/>
      <c r="CP1444" s="9"/>
    </row>
    <row r="1445" spans="1:94" ht="42.75" x14ac:dyDescent="0.25">
      <c r="A1445" s="9" t="s">
        <v>4184</v>
      </c>
      <c r="B1445" s="9" t="s">
        <v>4185</v>
      </c>
      <c r="C1445" s="9"/>
      <c r="D1445" s="9"/>
      <c r="E1445" s="9"/>
      <c r="F1445" s="9"/>
      <c r="G1445" s="9"/>
      <c r="H1445" s="9"/>
      <c r="I1445" s="9"/>
      <c r="J1445" s="9"/>
      <c r="K1445" s="9"/>
      <c r="L1445" s="9"/>
      <c r="M1445" s="9"/>
      <c r="N1445" s="9"/>
      <c r="O1445" s="9"/>
      <c r="P1445" s="9"/>
      <c r="Q1445" s="9"/>
      <c r="R1445" s="9"/>
      <c r="S1445" s="9"/>
      <c r="T1445" s="9"/>
      <c r="U1445" s="9"/>
      <c r="V1445" s="9"/>
      <c r="W1445" s="9"/>
      <c r="X1445" s="9"/>
      <c r="Y1445" s="9"/>
      <c r="Z1445" s="9"/>
      <c r="AA1445" s="9"/>
      <c r="AB1445" s="9"/>
      <c r="AC1445" s="9"/>
      <c r="AD1445" s="9"/>
      <c r="AE1445" s="9"/>
      <c r="AF1445" s="9"/>
      <c r="AG1445" s="9"/>
      <c r="AH1445" s="9"/>
      <c r="AI1445" s="9"/>
      <c r="AJ1445" s="9"/>
      <c r="AK1445" s="9"/>
      <c r="AL1445" s="9"/>
      <c r="AM1445" s="69"/>
      <c r="AN1445" s="9"/>
      <c r="AO1445" s="69"/>
      <c r="AP1445" s="210"/>
      <c r="AQ1445" s="211"/>
      <c r="AR1445" s="211"/>
      <c r="AS1445" s="211"/>
      <c r="AT1445" s="211"/>
      <c r="AU1445" s="211"/>
      <c r="AV1445" s="211"/>
      <c r="AW1445" s="9"/>
      <c r="AX1445" s="9"/>
      <c r="AY1445" s="9"/>
      <c r="AZ1445" s="9"/>
      <c r="BA1445" s="120"/>
      <c r="BB1445" s="69"/>
      <c r="BC1445" s="165" t="s">
        <v>1615</v>
      </c>
      <c r="BD1445" s="231">
        <v>0.89</v>
      </c>
      <c r="BE1445" s="167" t="s">
        <v>1616</v>
      </c>
      <c r="BF1445" s="168">
        <v>0.1</v>
      </c>
      <c r="BG1445" s="167" t="s">
        <v>1617</v>
      </c>
      <c r="BH1445" s="168">
        <v>0.01</v>
      </c>
      <c r="BI1445" s="169"/>
      <c r="BJ1445" s="168"/>
      <c r="BK1445" s="134" t="s">
        <v>2151</v>
      </c>
      <c r="BL1445" s="168">
        <v>0.9</v>
      </c>
      <c r="BM1445" s="167" t="s">
        <v>2152</v>
      </c>
      <c r="BN1445" s="168">
        <v>0.1</v>
      </c>
      <c r="BO1445" s="62"/>
      <c r="BP1445" s="168"/>
      <c r="BQ1445" s="168"/>
      <c r="BR1445" s="168"/>
      <c r="BS1445" s="135" t="s">
        <v>1619</v>
      </c>
      <c r="BT1445" s="168">
        <v>0.87</v>
      </c>
      <c r="BU1445" s="167" t="s">
        <v>1616</v>
      </c>
      <c r="BV1445" s="168">
        <v>0.1</v>
      </c>
      <c r="BW1445" s="167" t="s">
        <v>1620</v>
      </c>
      <c r="BX1445" s="168"/>
      <c r="BY1445" s="167" t="s">
        <v>1617</v>
      </c>
      <c r="BZ1445" s="168">
        <v>0.01</v>
      </c>
      <c r="CA1445" s="167" t="s">
        <v>1621</v>
      </c>
      <c r="CB1445" s="168">
        <v>0.02</v>
      </c>
      <c r="CC1445" s="62"/>
      <c r="CD1445" s="168"/>
      <c r="CE1445" s="9"/>
      <c r="CF1445" s="9"/>
      <c r="CG1445" s="9"/>
      <c r="CH1445" s="9"/>
      <c r="CI1445" s="9"/>
      <c r="CJ1445" s="9"/>
      <c r="CK1445" s="9"/>
      <c r="CL1445" s="9"/>
      <c r="CM1445" s="9"/>
      <c r="CN1445" s="9"/>
      <c r="CO1445" s="9"/>
      <c r="CP1445" s="9"/>
    </row>
    <row r="1446" spans="1:94" x14ac:dyDescent="0.25">
      <c r="A1446" s="62" t="s">
        <v>4186</v>
      </c>
      <c r="B1446" s="62" t="s">
        <v>4187</v>
      </c>
      <c r="C1446" s="9"/>
      <c r="D1446" s="9"/>
      <c r="E1446" s="9"/>
      <c r="F1446" s="9"/>
      <c r="G1446" s="9"/>
      <c r="H1446" s="9"/>
      <c r="I1446" s="9"/>
      <c r="J1446" s="9"/>
      <c r="K1446" s="9"/>
      <c r="L1446" s="9"/>
      <c r="M1446" s="9"/>
      <c r="N1446" s="9"/>
      <c r="O1446" s="9"/>
      <c r="P1446" s="9"/>
      <c r="Q1446" s="9"/>
      <c r="R1446" s="9"/>
      <c r="S1446" s="9"/>
      <c r="T1446" s="9"/>
      <c r="U1446" s="9"/>
      <c r="V1446" s="9"/>
      <c r="W1446" s="9"/>
      <c r="X1446" s="9"/>
      <c r="Y1446" s="9"/>
      <c r="Z1446" s="9"/>
      <c r="AA1446" s="9"/>
      <c r="AB1446" s="9"/>
      <c r="AC1446" s="9"/>
      <c r="AD1446" s="9"/>
      <c r="AE1446" s="9"/>
      <c r="AF1446" s="9"/>
      <c r="AG1446" s="9"/>
      <c r="AH1446" s="9"/>
      <c r="AI1446" s="9"/>
      <c r="AJ1446" s="9"/>
      <c r="AK1446" s="9"/>
      <c r="AL1446" s="9"/>
      <c r="AM1446" s="69"/>
      <c r="AN1446" s="9"/>
      <c r="AO1446" s="69" t="s">
        <v>1977</v>
      </c>
      <c r="AP1446" s="210"/>
      <c r="AQ1446" s="211"/>
      <c r="AR1446" s="211"/>
      <c r="AS1446" s="211"/>
      <c r="AT1446" s="211"/>
      <c r="AU1446" s="211"/>
      <c r="AV1446" s="211"/>
      <c r="AW1446" s="9"/>
      <c r="AX1446" s="9"/>
      <c r="AY1446" s="9"/>
      <c r="AZ1446" s="9"/>
      <c r="BA1446" s="120"/>
      <c r="BB1446" s="69"/>
      <c r="BC1446" s="165"/>
      <c r="BD1446" s="231"/>
      <c r="BE1446" s="167"/>
      <c r="BF1446" s="168"/>
      <c r="BG1446" s="167"/>
      <c r="BH1446" s="168"/>
      <c r="BI1446" s="169"/>
      <c r="BJ1446" s="168"/>
      <c r="BK1446" s="134"/>
      <c r="BL1446" s="168"/>
      <c r="BM1446" s="167"/>
      <c r="BN1446" s="168"/>
      <c r="BO1446" s="62"/>
      <c r="BP1446" s="168"/>
      <c r="BQ1446" s="168"/>
      <c r="BR1446" s="168"/>
      <c r="BS1446" s="135"/>
      <c r="BT1446" s="168"/>
      <c r="BU1446" s="167"/>
      <c r="BV1446" s="168"/>
      <c r="BW1446" s="167"/>
      <c r="BX1446" s="168"/>
      <c r="BY1446" s="167"/>
      <c r="BZ1446" s="168"/>
      <c r="CA1446" s="167"/>
      <c r="CB1446" s="168"/>
      <c r="CC1446" s="62"/>
      <c r="CD1446" s="206"/>
      <c r="CE1446" s="9"/>
      <c r="CF1446" s="9"/>
      <c r="CG1446" s="9"/>
      <c r="CH1446" s="9"/>
      <c r="CI1446" s="9"/>
      <c r="CJ1446" s="9"/>
      <c r="CK1446" s="9"/>
      <c r="CL1446" s="9"/>
      <c r="CM1446" s="9"/>
      <c r="CN1446" s="9"/>
      <c r="CO1446" s="9"/>
      <c r="CP1446" s="9"/>
    </row>
    <row r="1447" spans="1:94" ht="42.75" x14ac:dyDescent="0.25">
      <c r="A1447" s="9" t="s">
        <v>4188</v>
      </c>
      <c r="B1447" s="9" t="s">
        <v>4189</v>
      </c>
      <c r="C1447" s="9"/>
      <c r="D1447" s="9"/>
      <c r="E1447" s="9"/>
      <c r="F1447" s="9"/>
      <c r="G1447" s="9"/>
      <c r="H1447" s="9"/>
      <c r="I1447" s="9"/>
      <c r="J1447" s="9"/>
      <c r="K1447" s="9"/>
      <c r="L1447" s="9"/>
      <c r="M1447" s="9"/>
      <c r="N1447" s="9"/>
      <c r="O1447" s="9"/>
      <c r="P1447" s="9"/>
      <c r="Q1447" s="9"/>
      <c r="R1447" s="9"/>
      <c r="S1447" s="9"/>
      <c r="T1447" s="9"/>
      <c r="U1447" s="9"/>
      <c r="V1447" s="9"/>
      <c r="W1447" s="9"/>
      <c r="X1447" s="9"/>
      <c r="Y1447" s="9"/>
      <c r="Z1447" s="9"/>
      <c r="AA1447" s="9"/>
      <c r="AB1447" s="9"/>
      <c r="AC1447" s="9"/>
      <c r="AD1447" s="9"/>
      <c r="AE1447" s="9"/>
      <c r="AF1447" s="9"/>
      <c r="AG1447" s="9"/>
      <c r="AH1447" s="9"/>
      <c r="AI1447" s="9"/>
      <c r="AJ1447" s="9"/>
      <c r="AK1447" s="9"/>
      <c r="AL1447" s="9"/>
      <c r="AM1447" s="69"/>
      <c r="AN1447" s="9"/>
      <c r="AO1447" s="69"/>
      <c r="AP1447" s="210"/>
      <c r="AQ1447" s="211"/>
      <c r="AR1447" s="211"/>
      <c r="AS1447" s="211"/>
      <c r="AT1447" s="211"/>
      <c r="AU1447" s="211"/>
      <c r="AV1447" s="211"/>
      <c r="AW1447" s="9"/>
      <c r="AX1447" s="9"/>
      <c r="AY1447" s="9"/>
      <c r="AZ1447" s="9"/>
      <c r="BA1447" s="120"/>
      <c r="BB1447" s="69"/>
      <c r="BC1447" s="165" t="s">
        <v>1615</v>
      </c>
      <c r="BD1447" s="231">
        <v>0.89</v>
      </c>
      <c r="BE1447" s="167" t="s">
        <v>1616</v>
      </c>
      <c r="BF1447" s="168">
        <v>0.1</v>
      </c>
      <c r="BG1447" s="167" t="s">
        <v>1617</v>
      </c>
      <c r="BH1447" s="168">
        <v>0.01</v>
      </c>
      <c r="BI1447" s="169"/>
      <c r="BJ1447" s="168"/>
      <c r="BK1447" s="134" t="s">
        <v>2151</v>
      </c>
      <c r="BL1447" s="168">
        <v>0.9</v>
      </c>
      <c r="BM1447" s="167" t="s">
        <v>2152</v>
      </c>
      <c r="BN1447" s="168">
        <v>0.1</v>
      </c>
      <c r="BO1447" s="62"/>
      <c r="BP1447" s="168"/>
      <c r="BQ1447" s="168"/>
      <c r="BR1447" s="168"/>
      <c r="BS1447" s="135" t="s">
        <v>1619</v>
      </c>
      <c r="BT1447" s="168">
        <v>0.87</v>
      </c>
      <c r="BU1447" s="167" t="s">
        <v>1616</v>
      </c>
      <c r="BV1447" s="168">
        <v>0.1</v>
      </c>
      <c r="BW1447" s="167" t="s">
        <v>1620</v>
      </c>
      <c r="BX1447" s="168"/>
      <c r="BY1447" s="167" t="s">
        <v>1617</v>
      </c>
      <c r="BZ1447" s="168">
        <v>0.01</v>
      </c>
      <c r="CA1447" s="167" t="s">
        <v>1621</v>
      </c>
      <c r="CB1447" s="168">
        <v>0.02</v>
      </c>
      <c r="CC1447" s="62"/>
      <c r="CD1447" s="9"/>
      <c r="CE1447" s="9"/>
      <c r="CF1447" s="9"/>
      <c r="CG1447" s="9"/>
      <c r="CH1447" s="9"/>
      <c r="CI1447" s="9"/>
      <c r="CJ1447" s="9"/>
      <c r="CK1447" s="9"/>
      <c r="CL1447" s="9"/>
      <c r="CM1447" s="9"/>
      <c r="CN1447" s="9"/>
      <c r="CO1447" s="9"/>
      <c r="CP1447" s="9"/>
    </row>
    <row r="1448" spans="1:94" ht="42.75" x14ac:dyDescent="0.25">
      <c r="A1448" s="264" t="s">
        <v>4190</v>
      </c>
      <c r="B1448" s="9" t="s">
        <v>4191</v>
      </c>
      <c r="C1448" s="9"/>
      <c r="D1448" s="9"/>
      <c r="E1448" s="9"/>
      <c r="F1448" s="9"/>
      <c r="G1448" s="9"/>
      <c r="H1448" s="9"/>
      <c r="I1448" s="9"/>
      <c r="J1448" s="9"/>
      <c r="K1448" s="9"/>
      <c r="L1448" s="9"/>
      <c r="M1448" s="9"/>
      <c r="N1448" s="9"/>
      <c r="O1448" s="9"/>
      <c r="P1448" s="9"/>
      <c r="Q1448" s="9"/>
      <c r="R1448" s="9"/>
      <c r="S1448" s="9"/>
      <c r="T1448" s="9"/>
      <c r="U1448" s="9"/>
      <c r="V1448" s="9"/>
      <c r="W1448" s="9"/>
      <c r="X1448" s="9"/>
      <c r="Y1448" s="9"/>
      <c r="Z1448" s="9"/>
      <c r="AA1448" s="9"/>
      <c r="AB1448" s="9"/>
      <c r="AC1448" s="9"/>
      <c r="AD1448" s="9"/>
      <c r="AE1448" s="9"/>
      <c r="AF1448" s="9"/>
      <c r="AG1448" s="9"/>
      <c r="AH1448" s="9"/>
      <c r="AI1448" s="9"/>
      <c r="AJ1448" s="9"/>
      <c r="AK1448" s="9"/>
      <c r="AL1448" s="9"/>
      <c r="AM1448" s="69"/>
      <c r="AN1448" s="9"/>
      <c r="AO1448" s="69"/>
      <c r="AP1448" s="210"/>
      <c r="AQ1448" s="211"/>
      <c r="AR1448" s="211"/>
      <c r="AS1448" s="211"/>
      <c r="AT1448" s="211"/>
      <c r="AU1448" s="211"/>
      <c r="AV1448" s="211"/>
      <c r="AW1448" s="9"/>
      <c r="AX1448" s="9"/>
      <c r="AY1448" s="9"/>
      <c r="AZ1448" s="9"/>
      <c r="BA1448" s="120"/>
      <c r="BB1448" s="69"/>
      <c r="BC1448" s="165" t="s">
        <v>1615</v>
      </c>
      <c r="BD1448" s="231">
        <v>0.89</v>
      </c>
      <c r="BE1448" s="167" t="s">
        <v>1616</v>
      </c>
      <c r="BF1448" s="168">
        <v>0.1</v>
      </c>
      <c r="BG1448" s="167" t="s">
        <v>1617</v>
      </c>
      <c r="BH1448" s="168">
        <v>0.01</v>
      </c>
      <c r="BI1448" s="169"/>
      <c r="BJ1448" s="168"/>
      <c r="BK1448" s="134" t="s">
        <v>2151</v>
      </c>
      <c r="BL1448" s="168">
        <v>0.9</v>
      </c>
      <c r="BM1448" s="167" t="s">
        <v>2152</v>
      </c>
      <c r="BN1448" s="168">
        <v>0.1</v>
      </c>
      <c r="BO1448" s="62"/>
      <c r="BP1448" s="168"/>
      <c r="BQ1448" s="168"/>
      <c r="BR1448" s="168"/>
      <c r="BS1448" s="135" t="s">
        <v>1619</v>
      </c>
      <c r="BT1448" s="168">
        <v>0.87</v>
      </c>
      <c r="BU1448" s="167" t="s">
        <v>1616</v>
      </c>
      <c r="BV1448" s="168">
        <v>0.1</v>
      </c>
      <c r="BW1448" s="167" t="s">
        <v>1620</v>
      </c>
      <c r="BX1448" s="168"/>
      <c r="BY1448" s="167" t="s">
        <v>1617</v>
      </c>
      <c r="BZ1448" s="168">
        <v>0.01</v>
      </c>
      <c r="CA1448" s="167" t="s">
        <v>1621</v>
      </c>
      <c r="CB1448" s="168">
        <v>0.02</v>
      </c>
      <c r="CC1448" s="62"/>
      <c r="CD1448" s="9"/>
      <c r="CE1448" s="9"/>
      <c r="CF1448" s="9"/>
      <c r="CG1448" s="9"/>
      <c r="CH1448" s="9"/>
      <c r="CI1448" s="9"/>
      <c r="CJ1448" s="9"/>
      <c r="CK1448" s="9"/>
      <c r="CL1448" s="9"/>
      <c r="CM1448" s="9"/>
      <c r="CN1448" s="9"/>
      <c r="CO1448" s="9"/>
      <c r="CP1448" s="9"/>
    </row>
    <row r="1449" spans="1:94" ht="45" x14ac:dyDescent="0.25">
      <c r="A1449" s="9" t="s">
        <v>4192</v>
      </c>
      <c r="B1449" s="9" t="s">
        <v>4193</v>
      </c>
      <c r="C1449" s="9"/>
      <c r="D1449" s="9"/>
      <c r="E1449" s="9"/>
      <c r="F1449" s="9"/>
      <c r="G1449" s="9"/>
      <c r="H1449" s="9"/>
      <c r="I1449" s="9"/>
      <c r="J1449" s="9"/>
      <c r="K1449" s="9"/>
      <c r="L1449" s="9"/>
      <c r="M1449" s="9"/>
      <c r="N1449" s="9"/>
      <c r="O1449" s="9"/>
      <c r="P1449" s="9"/>
      <c r="Q1449" s="9"/>
      <c r="R1449" s="9"/>
      <c r="S1449" s="9"/>
      <c r="T1449" s="9"/>
      <c r="U1449" s="9"/>
      <c r="V1449" s="9"/>
      <c r="W1449" s="9"/>
      <c r="X1449" s="9"/>
      <c r="Y1449" s="9"/>
      <c r="Z1449" s="9"/>
      <c r="AA1449" s="9"/>
      <c r="AB1449" s="9"/>
      <c r="AC1449" s="9"/>
      <c r="AD1449" s="9"/>
      <c r="AE1449" s="9"/>
      <c r="AF1449" s="9"/>
      <c r="AG1449" s="9"/>
      <c r="AH1449" s="9"/>
      <c r="AI1449" s="9"/>
      <c r="AJ1449" s="9"/>
      <c r="AK1449" s="9"/>
      <c r="AL1449" s="9"/>
      <c r="AM1449" s="69"/>
      <c r="AN1449" s="9"/>
      <c r="AO1449" s="69" t="s">
        <v>4194</v>
      </c>
      <c r="AP1449" s="210"/>
      <c r="AQ1449" s="211"/>
      <c r="AR1449" s="211"/>
      <c r="AS1449" s="211"/>
      <c r="AT1449" s="211"/>
      <c r="AU1449" s="211"/>
      <c r="AV1449" s="211"/>
      <c r="AW1449" s="9"/>
      <c r="AX1449" s="9"/>
      <c r="AY1449" s="9"/>
      <c r="AZ1449" s="9"/>
      <c r="BA1449" s="120"/>
      <c r="BB1449" s="69"/>
      <c r="BC1449" s="9"/>
      <c r="BD1449" s="9"/>
      <c r="BE1449" s="9"/>
      <c r="BF1449" s="9"/>
      <c r="BG1449" s="9"/>
      <c r="BH1449" s="9"/>
      <c r="BI1449" s="9"/>
      <c r="BJ1449" s="9"/>
      <c r="BK1449" s="9"/>
      <c r="BL1449" s="9"/>
      <c r="BM1449" s="9"/>
      <c r="BN1449" s="9"/>
      <c r="BO1449" s="9"/>
      <c r="BP1449" s="9"/>
      <c r="BQ1449" s="9"/>
      <c r="BR1449" s="9"/>
      <c r="BS1449" s="9"/>
      <c r="BT1449" s="9"/>
      <c r="BU1449" s="9"/>
      <c r="BV1449" s="9"/>
      <c r="BW1449" s="9"/>
      <c r="BX1449" s="9"/>
      <c r="BY1449" s="9"/>
      <c r="BZ1449" s="9"/>
      <c r="CA1449" s="9"/>
      <c r="CB1449" s="9"/>
      <c r="CC1449" s="9"/>
      <c r="CD1449" s="9"/>
      <c r="CE1449" s="9"/>
      <c r="CF1449" s="9"/>
      <c r="CG1449" s="9"/>
      <c r="CH1449" s="9"/>
      <c r="CI1449" s="9"/>
      <c r="CJ1449" s="9"/>
      <c r="CK1449" s="9"/>
      <c r="CL1449" s="9"/>
      <c r="CM1449" s="9"/>
      <c r="CN1449" s="9"/>
      <c r="CO1449" s="9"/>
      <c r="CP1449" s="9"/>
    </row>
    <row r="1450" spans="1:94" ht="30" x14ac:dyDescent="0.25">
      <c r="A1450" s="265" t="s">
        <v>4195</v>
      </c>
      <c r="B1450" s="265" t="s">
        <v>4196</v>
      </c>
      <c r="C1450" s="9"/>
      <c r="D1450" s="9"/>
      <c r="E1450" s="9"/>
      <c r="F1450" s="9"/>
      <c r="G1450" s="9"/>
      <c r="H1450" s="9"/>
      <c r="I1450" s="9"/>
      <c r="J1450" s="9"/>
      <c r="K1450" s="9"/>
      <c r="L1450" s="9"/>
      <c r="M1450" s="9"/>
      <c r="N1450" s="9"/>
      <c r="O1450" s="9"/>
      <c r="P1450" s="9"/>
      <c r="Q1450" s="9"/>
      <c r="R1450" s="9"/>
      <c r="S1450" s="9"/>
      <c r="T1450" s="9"/>
      <c r="U1450" s="9"/>
      <c r="V1450" s="9"/>
      <c r="W1450" s="9"/>
      <c r="X1450" s="9"/>
      <c r="Y1450" s="9"/>
      <c r="Z1450" s="9"/>
      <c r="AA1450" s="9"/>
      <c r="AB1450" s="9"/>
      <c r="AC1450" s="9"/>
      <c r="AD1450" s="9"/>
      <c r="AE1450" s="9"/>
      <c r="AF1450" s="9"/>
      <c r="AG1450" s="9"/>
      <c r="AH1450" s="9"/>
      <c r="AI1450" s="9"/>
      <c r="AJ1450" s="9"/>
      <c r="AK1450" s="9"/>
      <c r="AL1450" s="9"/>
      <c r="AM1450" s="69"/>
      <c r="AN1450" s="9"/>
      <c r="AO1450" s="69" t="s">
        <v>4153</v>
      </c>
      <c r="AP1450" s="210"/>
      <c r="AQ1450" s="211"/>
      <c r="AR1450" s="211"/>
      <c r="AS1450" s="211"/>
      <c r="AT1450" s="211"/>
      <c r="AU1450" s="211"/>
      <c r="AV1450" s="211"/>
      <c r="AW1450" s="9"/>
      <c r="AX1450" s="9"/>
      <c r="AY1450" s="9"/>
      <c r="AZ1450" s="9"/>
      <c r="BA1450" s="120"/>
      <c r="BB1450" s="69"/>
      <c r="BC1450" s="9"/>
      <c r="BD1450" s="9"/>
      <c r="BE1450" s="9"/>
      <c r="BF1450" s="9"/>
      <c r="BG1450" s="9"/>
      <c r="BH1450" s="9"/>
      <c r="BI1450" s="9"/>
      <c r="BJ1450" s="9"/>
      <c r="BK1450" s="9"/>
      <c r="BL1450" s="9"/>
      <c r="BM1450" s="9"/>
      <c r="BN1450" s="9"/>
      <c r="BO1450" s="9"/>
      <c r="BP1450" s="9"/>
      <c r="BQ1450" s="9"/>
      <c r="BR1450" s="9"/>
      <c r="BS1450" s="9"/>
      <c r="BT1450" s="9"/>
      <c r="BU1450" s="9"/>
      <c r="BV1450" s="9"/>
      <c r="BW1450" s="9"/>
      <c r="BX1450" s="9"/>
      <c r="BY1450" s="9"/>
      <c r="BZ1450" s="9"/>
      <c r="CA1450" s="9"/>
      <c r="CB1450" s="9"/>
      <c r="CC1450" s="9"/>
      <c r="CD1450" s="9"/>
      <c r="CE1450" s="9"/>
      <c r="CF1450" s="9"/>
      <c r="CG1450" s="9"/>
      <c r="CH1450" s="9"/>
      <c r="CI1450" s="9"/>
      <c r="CJ1450" s="9"/>
      <c r="CK1450" s="9"/>
      <c r="CL1450" s="9"/>
      <c r="CM1450" s="9"/>
      <c r="CN1450" s="9"/>
      <c r="CO1450" s="9"/>
      <c r="CP1450" s="9"/>
    </row>
    <row r="1451" spans="1:94" ht="42.75" x14ac:dyDescent="0.25">
      <c r="A1451" s="126" t="s">
        <v>4197</v>
      </c>
      <c r="B1451" s="9" t="s">
        <v>4198</v>
      </c>
      <c r="C1451" s="9"/>
      <c r="D1451" s="9"/>
      <c r="E1451" s="9"/>
      <c r="F1451" s="9"/>
      <c r="G1451" s="9"/>
      <c r="H1451" s="9"/>
      <c r="I1451" s="9"/>
      <c r="J1451" s="9"/>
      <c r="K1451" s="9"/>
      <c r="L1451" s="9"/>
      <c r="M1451" s="9"/>
      <c r="N1451" s="9"/>
      <c r="O1451" s="9"/>
      <c r="P1451" s="9"/>
      <c r="Q1451" s="9"/>
      <c r="R1451" s="9"/>
      <c r="S1451" s="9"/>
      <c r="T1451" s="9"/>
      <c r="U1451" s="9"/>
      <c r="V1451" s="9"/>
      <c r="W1451" s="9"/>
      <c r="X1451" s="9"/>
      <c r="Y1451" s="9"/>
      <c r="Z1451" s="9"/>
      <c r="AA1451" s="9"/>
      <c r="AB1451" s="9"/>
      <c r="AC1451" s="9"/>
      <c r="AD1451" s="9"/>
      <c r="AE1451" s="9"/>
      <c r="AF1451" s="9"/>
      <c r="AG1451" s="9"/>
      <c r="AH1451" s="9"/>
      <c r="AI1451" s="9"/>
      <c r="AJ1451" s="9"/>
      <c r="AK1451" s="9"/>
      <c r="AL1451" s="9"/>
      <c r="AM1451" s="69"/>
      <c r="AN1451" s="9"/>
      <c r="AO1451" s="61" t="s">
        <v>4049</v>
      </c>
      <c r="AP1451" s="212"/>
      <c r="AQ1451" s="213"/>
      <c r="AR1451" s="213"/>
      <c r="AS1451" s="213"/>
      <c r="AT1451" s="213"/>
      <c r="AU1451" s="213"/>
      <c r="AV1451" s="213"/>
      <c r="AW1451" s="62"/>
      <c r="AX1451" s="62"/>
      <c r="AY1451" s="62"/>
      <c r="AZ1451" s="62"/>
      <c r="BA1451" s="141"/>
      <c r="BB1451" s="61"/>
      <c r="BC1451" s="165" t="s">
        <v>1615</v>
      </c>
      <c r="BD1451" s="166">
        <f>+(89-9.5)%</f>
        <v>0.79500000000000004</v>
      </c>
      <c r="BE1451" s="167" t="s">
        <v>1616</v>
      </c>
      <c r="BF1451" s="168">
        <f>+(10+10)%</f>
        <v>0.2</v>
      </c>
      <c r="BG1451" s="167" t="s">
        <v>1617</v>
      </c>
      <c r="BH1451" s="168">
        <f>+(1-0.5)%</f>
        <v>5.0000000000000001E-3</v>
      </c>
      <c r="BI1451" s="169"/>
      <c r="BJ1451" s="168">
        <v>0</v>
      </c>
      <c r="BK1451" s="134" t="s">
        <v>2151</v>
      </c>
      <c r="BL1451" s="168">
        <f>+(90-10)%</f>
        <v>0.8</v>
      </c>
      <c r="BM1451" s="167" t="s">
        <v>2152</v>
      </c>
      <c r="BN1451" s="168">
        <f>+(10+10)%</f>
        <v>0.2</v>
      </c>
      <c r="BO1451" s="62"/>
      <c r="BP1451" s="168"/>
      <c r="BQ1451" s="168"/>
      <c r="BR1451" s="168"/>
      <c r="BS1451" s="135" t="s">
        <v>1615</v>
      </c>
      <c r="BT1451" s="176">
        <f>+(87-7.5)%</f>
        <v>0.79500000000000004</v>
      </c>
      <c r="BU1451" s="167" t="s">
        <v>1616</v>
      </c>
      <c r="BV1451" s="168">
        <f>+(10+10)%</f>
        <v>0.2</v>
      </c>
      <c r="BW1451" s="167" t="s">
        <v>2153</v>
      </c>
      <c r="BX1451" s="168"/>
      <c r="BY1451" s="167" t="s">
        <v>1617</v>
      </c>
      <c r="BZ1451" s="176">
        <f>+(1-0.5)%</f>
        <v>5.0000000000000001E-3</v>
      </c>
      <c r="CA1451" s="167" t="s">
        <v>1621</v>
      </c>
      <c r="CB1451" s="168">
        <f>+(2-2)%</f>
        <v>0</v>
      </c>
      <c r="CC1451" s="104"/>
      <c r="CD1451" s="186"/>
      <c r="CE1451" s="183"/>
      <c r="CF1451" s="183"/>
      <c r="CG1451" s="9"/>
      <c r="CH1451" s="9"/>
      <c r="CI1451" s="9"/>
      <c r="CJ1451" s="9"/>
      <c r="CK1451" s="9"/>
      <c r="CL1451" s="9"/>
      <c r="CM1451" s="9"/>
      <c r="CN1451" s="9"/>
      <c r="CO1451" s="9"/>
      <c r="CP1451" s="9"/>
    </row>
    <row r="1452" spans="1:94" x14ac:dyDescent="0.25">
      <c r="A1452" s="9" t="s">
        <v>4199</v>
      </c>
      <c r="B1452" s="9" t="s">
        <v>4200</v>
      </c>
      <c r="C1452" s="9"/>
      <c r="D1452" s="9"/>
      <c r="E1452" s="9"/>
      <c r="F1452" s="9"/>
      <c r="G1452" s="9"/>
      <c r="H1452" s="9"/>
      <c r="I1452" s="9"/>
      <c r="J1452" s="9"/>
      <c r="K1452" s="9"/>
      <c r="L1452" s="9"/>
      <c r="M1452" s="9"/>
      <c r="N1452" s="9"/>
      <c r="O1452" s="9"/>
      <c r="P1452" s="9"/>
      <c r="Q1452" s="9"/>
      <c r="R1452" s="9"/>
      <c r="S1452" s="9"/>
      <c r="T1452" s="9"/>
      <c r="U1452" s="9"/>
      <c r="V1452" s="9"/>
      <c r="W1452" s="9"/>
      <c r="X1452" s="9"/>
      <c r="Y1452" s="9"/>
      <c r="Z1452" s="9"/>
      <c r="AA1452" s="9"/>
      <c r="AB1452" s="9"/>
      <c r="AC1452" s="9"/>
      <c r="AD1452" s="9"/>
      <c r="AE1452" s="9"/>
      <c r="AF1452" s="9"/>
      <c r="AG1452" s="9"/>
      <c r="AH1452" s="9"/>
      <c r="AI1452" s="9"/>
      <c r="AJ1452" s="9"/>
      <c r="AK1452" s="9"/>
      <c r="AL1452" s="9"/>
      <c r="AM1452" s="69"/>
      <c r="AN1452" s="9"/>
      <c r="AO1452" s="69" t="s">
        <v>4161</v>
      </c>
      <c r="AP1452" s="210"/>
      <c r="AQ1452" s="211"/>
      <c r="AR1452" s="211"/>
      <c r="AS1452" s="211"/>
      <c r="AT1452" s="211"/>
      <c r="AU1452" s="211"/>
      <c r="AV1452" s="211"/>
      <c r="AW1452" s="9"/>
      <c r="AX1452" s="9"/>
      <c r="AY1452" s="9"/>
      <c r="AZ1452" s="9"/>
      <c r="BA1452" s="120"/>
      <c r="BB1452" s="69"/>
      <c r="BC1452" s="9"/>
      <c r="BD1452" s="9"/>
      <c r="BE1452" s="9"/>
      <c r="BF1452" s="9"/>
      <c r="BG1452" s="9"/>
      <c r="BH1452" s="9"/>
      <c r="BI1452" s="9"/>
      <c r="BJ1452" s="9"/>
      <c r="BK1452" s="9"/>
      <c r="BL1452" s="9"/>
      <c r="BM1452" s="9"/>
      <c r="BN1452" s="9"/>
      <c r="BO1452" s="9"/>
      <c r="BP1452" s="9"/>
      <c r="BQ1452" s="9"/>
      <c r="BR1452" s="9"/>
      <c r="BS1452" s="9"/>
      <c r="BT1452" s="9"/>
      <c r="BU1452" s="9"/>
      <c r="BV1452" s="9"/>
      <c r="BW1452" s="9"/>
      <c r="BX1452" s="9"/>
      <c r="BY1452" s="9"/>
      <c r="BZ1452" s="9"/>
      <c r="CA1452" s="9"/>
      <c r="CB1452" s="9"/>
      <c r="CC1452" s="9"/>
      <c r="CD1452" s="9"/>
      <c r="CE1452" s="9"/>
      <c r="CF1452" s="9"/>
      <c r="CG1452" s="9"/>
      <c r="CH1452" s="9"/>
      <c r="CI1452" s="9"/>
      <c r="CJ1452" s="9"/>
      <c r="CK1452" s="9"/>
      <c r="CL1452" s="9"/>
      <c r="CM1452" s="9"/>
      <c r="CN1452" s="9"/>
      <c r="CO1452" s="9"/>
      <c r="CP1452" s="9"/>
    </row>
    <row r="1453" spans="1:94" x14ac:dyDescent="0.25">
      <c r="A1453" s="9" t="s">
        <v>4201</v>
      </c>
      <c r="B1453" s="9" t="s">
        <v>4202</v>
      </c>
      <c r="C1453" s="9"/>
      <c r="D1453" s="9"/>
      <c r="E1453" s="9"/>
      <c r="F1453" s="9"/>
      <c r="G1453" s="9"/>
      <c r="H1453" s="9"/>
      <c r="I1453" s="9"/>
      <c r="J1453" s="9"/>
      <c r="K1453" s="9"/>
      <c r="L1453" s="9"/>
      <c r="M1453" s="9"/>
      <c r="N1453" s="9"/>
      <c r="O1453" s="9"/>
      <c r="P1453" s="9"/>
      <c r="Q1453" s="9"/>
      <c r="R1453" s="9"/>
      <c r="S1453" s="9"/>
      <c r="T1453" s="9"/>
      <c r="U1453" s="9"/>
      <c r="V1453" s="9"/>
      <c r="W1453" s="9"/>
      <c r="X1453" s="9"/>
      <c r="Y1453" s="9"/>
      <c r="Z1453" s="9"/>
      <c r="AA1453" s="9"/>
      <c r="AB1453" s="9"/>
      <c r="AC1453" s="9"/>
      <c r="AD1453" s="9"/>
      <c r="AE1453" s="9"/>
      <c r="AF1453" s="9"/>
      <c r="AG1453" s="9"/>
      <c r="AH1453" s="9"/>
      <c r="AI1453" s="9"/>
      <c r="AJ1453" s="9"/>
      <c r="AK1453" s="9"/>
      <c r="AL1453" s="9"/>
      <c r="AM1453" s="69"/>
      <c r="AN1453" s="9"/>
      <c r="AO1453" s="69" t="s">
        <v>4161</v>
      </c>
      <c r="AP1453" s="210"/>
      <c r="AQ1453" s="211"/>
      <c r="AR1453" s="211"/>
      <c r="AS1453" s="211"/>
      <c r="AT1453" s="211"/>
      <c r="AU1453" s="211"/>
      <c r="AV1453" s="211"/>
      <c r="AW1453" s="9"/>
      <c r="AX1453" s="9"/>
      <c r="AY1453" s="9"/>
      <c r="AZ1453" s="9"/>
      <c r="BA1453" s="120"/>
      <c r="BB1453" s="69"/>
      <c r="BC1453" s="9"/>
      <c r="BD1453" s="9"/>
      <c r="BE1453" s="9"/>
      <c r="BF1453" s="9"/>
      <c r="BG1453" s="9"/>
      <c r="BH1453" s="9"/>
      <c r="BI1453" s="9"/>
      <c r="BJ1453" s="9"/>
      <c r="BK1453" s="9"/>
      <c r="BL1453" s="9"/>
      <c r="BM1453" s="9"/>
      <c r="BN1453" s="9"/>
      <c r="BO1453" s="9"/>
      <c r="BP1453" s="9"/>
      <c r="BQ1453" s="9"/>
      <c r="BR1453" s="9"/>
      <c r="BS1453" s="9"/>
      <c r="BT1453" s="9"/>
      <c r="BU1453" s="9"/>
      <c r="BV1453" s="9"/>
      <c r="BW1453" s="9"/>
      <c r="BX1453" s="9"/>
      <c r="BY1453" s="9"/>
      <c r="BZ1453" s="9"/>
      <c r="CA1453" s="9"/>
      <c r="CB1453" s="9"/>
      <c r="CC1453" s="9"/>
      <c r="CD1453" s="9"/>
      <c r="CE1453" s="9"/>
      <c r="CF1453" s="9"/>
      <c r="CG1453" s="9"/>
      <c r="CH1453" s="9"/>
      <c r="CI1453" s="9"/>
      <c r="CJ1453" s="9"/>
      <c r="CK1453" s="9"/>
      <c r="CL1453" s="9"/>
      <c r="CM1453" s="9"/>
      <c r="CN1453" s="9"/>
      <c r="CO1453" s="9"/>
      <c r="CP1453" s="9"/>
    </row>
    <row r="1454" spans="1:94" x14ac:dyDescent="0.25">
      <c r="A1454" s="9" t="s">
        <v>4176</v>
      </c>
      <c r="B1454" s="9" t="s">
        <v>4203</v>
      </c>
      <c r="C1454" s="9"/>
      <c r="D1454" s="9"/>
      <c r="E1454" s="9"/>
      <c r="F1454" s="9"/>
      <c r="G1454" s="9"/>
      <c r="H1454" s="9"/>
      <c r="I1454" s="9"/>
      <c r="J1454" s="9"/>
      <c r="K1454" s="9"/>
      <c r="L1454" s="9"/>
      <c r="M1454" s="9"/>
      <c r="N1454" s="9"/>
      <c r="O1454" s="9"/>
      <c r="P1454" s="9"/>
      <c r="Q1454" s="9"/>
      <c r="R1454" s="9"/>
      <c r="S1454" s="9"/>
      <c r="T1454" s="9"/>
      <c r="U1454" s="9"/>
      <c r="V1454" s="9"/>
      <c r="W1454" s="9"/>
      <c r="X1454" s="9"/>
      <c r="Y1454" s="9"/>
      <c r="Z1454" s="9"/>
      <c r="AA1454" s="9"/>
      <c r="AB1454" s="9"/>
      <c r="AC1454" s="9"/>
      <c r="AD1454" s="9"/>
      <c r="AE1454" s="9"/>
      <c r="AF1454" s="9"/>
      <c r="AG1454" s="9"/>
      <c r="AH1454" s="9"/>
      <c r="AI1454" s="9"/>
      <c r="AJ1454" s="9"/>
      <c r="AK1454" s="9"/>
      <c r="AL1454" s="9"/>
      <c r="AM1454" s="69"/>
      <c r="AN1454" s="9"/>
      <c r="AO1454" s="69" t="s">
        <v>4161</v>
      </c>
      <c r="AP1454" s="210"/>
      <c r="AQ1454" s="211"/>
      <c r="AR1454" s="211"/>
      <c r="AS1454" s="211"/>
      <c r="AT1454" s="211"/>
      <c r="AU1454" s="211"/>
      <c r="AV1454" s="211"/>
      <c r="AW1454" s="9"/>
      <c r="AX1454" s="9"/>
      <c r="AY1454" s="9"/>
      <c r="AZ1454" s="9"/>
      <c r="BA1454" s="120"/>
      <c r="BB1454" s="69"/>
      <c r="BC1454" s="9"/>
      <c r="BD1454" s="9"/>
      <c r="BE1454" s="9"/>
      <c r="BF1454" s="9"/>
      <c r="BG1454" s="9"/>
      <c r="BH1454" s="9"/>
      <c r="BI1454" s="9"/>
      <c r="BJ1454" s="9"/>
      <c r="BK1454" s="9"/>
      <c r="BL1454" s="9"/>
      <c r="BM1454" s="9"/>
      <c r="BN1454" s="9"/>
      <c r="BO1454" s="9"/>
      <c r="BP1454" s="9"/>
      <c r="BQ1454" s="9"/>
      <c r="BR1454" s="9"/>
      <c r="BS1454" s="9"/>
      <c r="BT1454" s="9"/>
      <c r="BU1454" s="9"/>
      <c r="BV1454" s="9"/>
      <c r="BW1454" s="9"/>
      <c r="BX1454" s="9"/>
      <c r="BY1454" s="9"/>
      <c r="BZ1454" s="9"/>
      <c r="CA1454" s="9"/>
      <c r="CB1454" s="9"/>
      <c r="CC1454" s="9"/>
      <c r="CD1454" s="9"/>
      <c r="CE1454" s="9"/>
      <c r="CF1454" s="9"/>
      <c r="CG1454" s="9"/>
      <c r="CH1454" s="9"/>
      <c r="CI1454" s="9"/>
      <c r="CJ1454" s="9"/>
      <c r="CK1454" s="9"/>
      <c r="CL1454" s="9"/>
      <c r="CM1454" s="9"/>
      <c r="CN1454" s="9"/>
      <c r="CO1454" s="9"/>
      <c r="CP1454" s="9"/>
    </row>
    <row r="1455" spans="1:94" x14ac:dyDescent="0.25">
      <c r="A1455" s="9" t="s">
        <v>4172</v>
      </c>
      <c r="B1455" s="9" t="s">
        <v>4204</v>
      </c>
      <c r="C1455" s="9"/>
      <c r="D1455" s="9"/>
      <c r="E1455" s="9"/>
      <c r="F1455" s="9"/>
      <c r="G1455" s="9"/>
      <c r="H1455" s="9"/>
      <c r="I1455" s="9"/>
      <c r="J1455" s="9"/>
      <c r="K1455" s="9"/>
      <c r="L1455" s="9"/>
      <c r="M1455" s="9"/>
      <c r="N1455" s="9"/>
      <c r="O1455" s="9"/>
      <c r="P1455" s="9"/>
      <c r="Q1455" s="9"/>
      <c r="R1455" s="9"/>
      <c r="S1455" s="9"/>
      <c r="T1455" s="9"/>
      <c r="U1455" s="9"/>
      <c r="V1455" s="9"/>
      <c r="W1455" s="9"/>
      <c r="X1455" s="9"/>
      <c r="Y1455" s="9"/>
      <c r="Z1455" s="9"/>
      <c r="AA1455" s="9"/>
      <c r="AB1455" s="9"/>
      <c r="AC1455" s="9"/>
      <c r="AD1455" s="9"/>
      <c r="AE1455" s="9"/>
      <c r="AF1455" s="9"/>
      <c r="AG1455" s="9"/>
      <c r="AH1455" s="9"/>
      <c r="AI1455" s="9"/>
      <c r="AJ1455" s="9"/>
      <c r="AK1455" s="9"/>
      <c r="AL1455" s="9"/>
      <c r="AM1455" s="69"/>
      <c r="AN1455" s="9"/>
      <c r="AO1455" s="69" t="s">
        <v>4161</v>
      </c>
      <c r="AP1455" s="210"/>
      <c r="AQ1455" s="211"/>
      <c r="AR1455" s="211"/>
      <c r="AS1455" s="211"/>
      <c r="AT1455" s="211"/>
      <c r="AU1455" s="211"/>
      <c r="AV1455" s="211"/>
      <c r="AW1455" s="9"/>
      <c r="AX1455" s="9"/>
      <c r="AY1455" s="9"/>
      <c r="AZ1455" s="9"/>
      <c r="BA1455" s="120"/>
      <c r="BB1455" s="69"/>
      <c r="BC1455" s="9"/>
      <c r="BD1455" s="9"/>
      <c r="BE1455" s="9"/>
      <c r="BF1455" s="9"/>
      <c r="BG1455" s="9"/>
      <c r="BH1455" s="9"/>
      <c r="BI1455" s="9"/>
      <c r="BJ1455" s="9"/>
      <c r="BK1455" s="9"/>
      <c r="BL1455" s="9"/>
      <c r="BM1455" s="9"/>
      <c r="BN1455" s="9"/>
      <c r="BO1455" s="9"/>
      <c r="BP1455" s="9"/>
      <c r="BQ1455" s="9"/>
      <c r="BR1455" s="9"/>
      <c r="BS1455" s="9"/>
      <c r="BT1455" s="9"/>
      <c r="BU1455" s="9"/>
      <c r="BV1455" s="9"/>
      <c r="BW1455" s="9"/>
      <c r="BX1455" s="9"/>
      <c r="BY1455" s="9"/>
      <c r="BZ1455" s="9"/>
      <c r="CA1455" s="9"/>
      <c r="CB1455" s="9"/>
      <c r="CC1455" s="9"/>
      <c r="CD1455" s="9"/>
      <c r="CE1455" s="9"/>
      <c r="CF1455" s="9"/>
      <c r="CG1455" s="9"/>
      <c r="CH1455" s="9"/>
      <c r="CI1455" s="9"/>
      <c r="CJ1455" s="9"/>
      <c r="CK1455" s="9"/>
      <c r="CL1455" s="9"/>
      <c r="CM1455" s="9"/>
      <c r="CN1455" s="9"/>
      <c r="CO1455" s="9"/>
      <c r="CP1455" s="9"/>
    </row>
    <row r="1456" spans="1:94" ht="15.75" x14ac:dyDescent="0.25">
      <c r="A1456" s="126" t="s">
        <v>4205</v>
      </c>
      <c r="B1456" s="9" t="s">
        <v>4206</v>
      </c>
      <c r="C1456" s="9"/>
      <c r="D1456" s="9"/>
      <c r="E1456" s="9"/>
      <c r="F1456" s="9"/>
      <c r="G1456" s="9"/>
      <c r="H1456" s="9"/>
      <c r="I1456" s="9"/>
      <c r="J1456" s="9"/>
      <c r="K1456" s="9"/>
      <c r="L1456" s="9"/>
      <c r="M1456" s="9"/>
      <c r="N1456" s="9"/>
      <c r="O1456" s="9"/>
      <c r="P1456" s="9"/>
      <c r="Q1456" s="9"/>
      <c r="R1456" s="9"/>
      <c r="S1456" s="9"/>
      <c r="T1456" s="9"/>
      <c r="U1456" s="9"/>
      <c r="V1456" s="9"/>
      <c r="W1456" s="9"/>
      <c r="X1456" s="9"/>
      <c r="Y1456" s="9"/>
      <c r="Z1456" s="9"/>
      <c r="AA1456" s="9"/>
      <c r="AB1456" s="9"/>
      <c r="AC1456" s="9"/>
      <c r="AD1456" s="9"/>
      <c r="AE1456" s="9"/>
      <c r="AF1456" s="9"/>
      <c r="AG1456" s="9"/>
      <c r="AH1456" s="9"/>
      <c r="AI1456" s="9"/>
      <c r="AJ1456" s="9"/>
      <c r="AK1456" s="9"/>
      <c r="AL1456" s="9"/>
      <c r="AM1456" s="69"/>
      <c r="AN1456" s="9"/>
      <c r="AO1456" s="69" t="s">
        <v>4161</v>
      </c>
      <c r="AP1456" s="210"/>
      <c r="AQ1456" s="211"/>
      <c r="AR1456" s="211"/>
      <c r="AS1456" s="211"/>
      <c r="AT1456" s="211"/>
      <c r="AU1456" s="211"/>
      <c r="AV1456" s="211"/>
      <c r="AW1456" s="9"/>
      <c r="AX1456" s="9"/>
      <c r="AY1456" s="9"/>
      <c r="AZ1456" s="9"/>
      <c r="BA1456" s="120"/>
      <c r="BB1456" s="69"/>
      <c r="BC1456" s="9"/>
      <c r="BD1456" s="9"/>
      <c r="BE1456" s="9"/>
      <c r="BF1456" s="9"/>
      <c r="BG1456" s="9"/>
      <c r="BH1456" s="9"/>
      <c r="BI1456" s="9"/>
      <c r="BJ1456" s="9"/>
      <c r="BK1456" s="9"/>
      <c r="BL1456" s="9"/>
      <c r="BM1456" s="9"/>
      <c r="BN1456" s="9"/>
      <c r="BO1456" s="9"/>
      <c r="BP1456" s="9"/>
      <c r="BQ1456" s="9"/>
      <c r="BR1456" s="9"/>
      <c r="BS1456" s="9"/>
      <c r="BT1456" s="9"/>
      <c r="BU1456" s="9"/>
      <c r="BV1456" s="9"/>
      <c r="BW1456" s="9"/>
      <c r="BX1456" s="9"/>
      <c r="BY1456" s="9"/>
      <c r="BZ1456" s="9"/>
      <c r="CA1456" s="9"/>
      <c r="CB1456" s="9"/>
      <c r="CC1456" s="9"/>
      <c r="CD1456" s="9"/>
      <c r="CE1456" s="9"/>
      <c r="CF1456" s="9"/>
      <c r="CG1456" s="9"/>
      <c r="CH1456" s="9"/>
      <c r="CI1456" s="9"/>
      <c r="CJ1456" s="9"/>
      <c r="CK1456" s="9"/>
      <c r="CL1456" s="9"/>
      <c r="CM1456" s="9"/>
      <c r="CN1456" s="9"/>
      <c r="CO1456" s="9"/>
      <c r="CP1456" s="9"/>
    </row>
    <row r="1457" spans="1:94" ht="42.75" x14ac:dyDescent="0.25">
      <c r="A1457" s="126" t="s">
        <v>4207</v>
      </c>
      <c r="B1457" s="9" t="s">
        <v>4208</v>
      </c>
      <c r="C1457" s="9"/>
      <c r="D1457" s="9"/>
      <c r="E1457" s="9"/>
      <c r="F1457" s="9"/>
      <c r="G1457" s="9"/>
      <c r="H1457" s="9"/>
      <c r="I1457" s="9"/>
      <c r="J1457" s="9"/>
      <c r="K1457" s="9"/>
      <c r="L1457" s="9"/>
      <c r="M1457" s="9"/>
      <c r="N1457" s="9"/>
      <c r="O1457" s="9"/>
      <c r="P1457" s="9"/>
      <c r="Q1457" s="9"/>
      <c r="R1457" s="9"/>
      <c r="S1457" s="9"/>
      <c r="T1457" s="9"/>
      <c r="U1457" s="9"/>
      <c r="V1457" s="9"/>
      <c r="W1457" s="9"/>
      <c r="X1457" s="9"/>
      <c r="Y1457" s="9"/>
      <c r="Z1457" s="9"/>
      <c r="AA1457" s="9"/>
      <c r="AB1457" s="9"/>
      <c r="AC1457" s="9"/>
      <c r="AD1457" s="9"/>
      <c r="AE1457" s="9"/>
      <c r="AF1457" s="9"/>
      <c r="AG1457" s="9"/>
      <c r="AH1457" s="9"/>
      <c r="AI1457" s="9"/>
      <c r="AJ1457" s="9"/>
      <c r="AK1457" s="9"/>
      <c r="AL1457" s="9"/>
      <c r="AM1457" s="69"/>
      <c r="AN1457" s="9"/>
      <c r="AO1457" s="61" t="s">
        <v>4049</v>
      </c>
      <c r="AP1457" s="212"/>
      <c r="AQ1457" s="213"/>
      <c r="AR1457" s="213"/>
      <c r="AS1457" s="213"/>
      <c r="AT1457" s="213"/>
      <c r="AU1457" s="213"/>
      <c r="AV1457" s="213"/>
      <c r="AW1457" s="62"/>
      <c r="AX1457" s="62"/>
      <c r="AY1457" s="62"/>
      <c r="AZ1457" s="62"/>
      <c r="BA1457" s="141"/>
      <c r="BB1457" s="61"/>
      <c r="BC1457" s="165" t="s">
        <v>1615</v>
      </c>
      <c r="BD1457" s="166">
        <f>+(89-9.5)%</f>
        <v>0.79500000000000004</v>
      </c>
      <c r="BE1457" s="167" t="s">
        <v>1616</v>
      </c>
      <c r="BF1457" s="168">
        <f>+(10+10)%</f>
        <v>0.2</v>
      </c>
      <c r="BG1457" s="167" t="s">
        <v>1617</v>
      </c>
      <c r="BH1457" s="168">
        <f>+(1-0.5)%</f>
        <v>5.0000000000000001E-3</v>
      </c>
      <c r="BI1457" s="169"/>
      <c r="BJ1457" s="168">
        <v>0</v>
      </c>
      <c r="BK1457" s="134" t="s">
        <v>2151</v>
      </c>
      <c r="BL1457" s="168">
        <f>+(90-10)%</f>
        <v>0.8</v>
      </c>
      <c r="BM1457" s="167" t="s">
        <v>2152</v>
      </c>
      <c r="BN1457" s="168">
        <f>+(10+10)%</f>
        <v>0.2</v>
      </c>
      <c r="BO1457" s="62"/>
      <c r="BP1457" s="168"/>
      <c r="BQ1457" s="168"/>
      <c r="BR1457" s="168"/>
      <c r="BS1457" s="135" t="s">
        <v>1615</v>
      </c>
      <c r="BT1457" s="176">
        <f>+(87-7.5)%</f>
        <v>0.79500000000000004</v>
      </c>
      <c r="BU1457" s="167" t="s">
        <v>1616</v>
      </c>
      <c r="BV1457" s="168">
        <f>+(10+10)%</f>
        <v>0.2</v>
      </c>
      <c r="BW1457" s="167" t="s">
        <v>2153</v>
      </c>
      <c r="BX1457" s="168"/>
      <c r="BY1457" s="167" t="s">
        <v>1617</v>
      </c>
      <c r="BZ1457" s="176">
        <f>+(1-0.5)%</f>
        <v>5.0000000000000001E-3</v>
      </c>
      <c r="CA1457" s="167" t="s">
        <v>1621</v>
      </c>
      <c r="CB1457" s="168">
        <f>+(2-2)%</f>
        <v>0</v>
      </c>
      <c r="CC1457" s="104"/>
      <c r="CD1457" s="186"/>
      <c r="CE1457" s="183"/>
      <c r="CF1457" s="183"/>
      <c r="CG1457" s="9"/>
      <c r="CH1457" s="9"/>
      <c r="CI1457" s="9"/>
      <c r="CJ1457" s="9"/>
      <c r="CK1457" s="9"/>
      <c r="CL1457" s="9"/>
      <c r="CM1457" s="9"/>
      <c r="CN1457" s="9"/>
      <c r="CO1457" s="9"/>
      <c r="CP1457" s="9"/>
    </row>
    <row r="1458" spans="1:94" x14ac:dyDescent="0.25">
      <c r="A1458" s="9" t="s">
        <v>1827</v>
      </c>
      <c r="B1458" s="9" t="s">
        <v>4209</v>
      </c>
      <c r="C1458" s="9"/>
      <c r="D1458" s="9"/>
      <c r="E1458" s="9"/>
      <c r="F1458" s="9"/>
      <c r="G1458" s="9"/>
      <c r="H1458" s="9"/>
      <c r="I1458" s="9"/>
      <c r="J1458" s="9"/>
      <c r="K1458" s="9"/>
      <c r="L1458" s="9"/>
      <c r="M1458" s="9"/>
      <c r="N1458" s="9"/>
      <c r="O1458" s="9"/>
      <c r="P1458" s="9"/>
      <c r="Q1458" s="9"/>
      <c r="R1458" s="9"/>
      <c r="S1458" s="9"/>
      <c r="T1458" s="9"/>
      <c r="U1458" s="9"/>
      <c r="V1458" s="9"/>
      <c r="W1458" s="9"/>
      <c r="X1458" s="9"/>
      <c r="Y1458" s="9"/>
      <c r="Z1458" s="9"/>
      <c r="AA1458" s="9"/>
      <c r="AB1458" s="9"/>
      <c r="AC1458" s="9"/>
      <c r="AD1458" s="9"/>
      <c r="AE1458" s="9"/>
      <c r="AF1458" s="9"/>
      <c r="AG1458" s="9"/>
      <c r="AH1458" s="9"/>
      <c r="AI1458" s="9"/>
      <c r="AJ1458" s="9"/>
      <c r="AK1458" s="9"/>
      <c r="AL1458" s="9"/>
      <c r="AM1458" s="69"/>
      <c r="AN1458" s="9"/>
      <c r="AO1458" s="69" t="s">
        <v>4161</v>
      </c>
      <c r="AP1458" s="210"/>
      <c r="AQ1458" s="211"/>
      <c r="AR1458" s="211"/>
      <c r="AS1458" s="211"/>
      <c r="AT1458" s="211"/>
      <c r="AU1458" s="211"/>
      <c r="AV1458" s="211"/>
      <c r="AW1458" s="9"/>
      <c r="AX1458" s="9"/>
      <c r="AY1458" s="9"/>
      <c r="AZ1458" s="9"/>
      <c r="BA1458" s="120"/>
      <c r="BB1458" s="69"/>
      <c r="BC1458" s="9"/>
      <c r="BD1458" s="9"/>
      <c r="BE1458" s="9"/>
      <c r="BF1458" s="9"/>
      <c r="BG1458" s="9"/>
      <c r="BH1458" s="9"/>
      <c r="BI1458" s="9"/>
      <c r="BJ1458" s="9"/>
      <c r="BK1458" s="9"/>
      <c r="BL1458" s="9"/>
      <c r="BM1458" s="9"/>
      <c r="BN1458" s="9"/>
      <c r="BO1458" s="9"/>
      <c r="BP1458" s="9"/>
      <c r="BQ1458" s="9"/>
      <c r="BR1458" s="9"/>
      <c r="BS1458" s="9"/>
      <c r="BT1458" s="9"/>
      <c r="BU1458" s="9"/>
      <c r="BV1458" s="9"/>
      <c r="BW1458" s="9"/>
      <c r="BX1458" s="9"/>
      <c r="BY1458" s="9"/>
      <c r="BZ1458" s="9"/>
      <c r="CA1458" s="9"/>
      <c r="CB1458" s="9"/>
      <c r="CC1458" s="9"/>
      <c r="CD1458" s="9"/>
      <c r="CE1458" s="9"/>
      <c r="CF1458" s="9"/>
      <c r="CG1458" s="9"/>
      <c r="CH1458" s="9"/>
      <c r="CI1458" s="9"/>
      <c r="CJ1458" s="9"/>
      <c r="CK1458" s="9"/>
      <c r="CL1458" s="9"/>
      <c r="CM1458" s="9"/>
      <c r="CN1458" s="9"/>
      <c r="CO1458" s="9"/>
      <c r="CP1458" s="9"/>
    </row>
    <row r="1459" spans="1:94" x14ac:dyDescent="0.25">
      <c r="A1459" s="9" t="s">
        <v>4210</v>
      </c>
      <c r="B1459" s="9" t="s">
        <v>4211</v>
      </c>
      <c r="C1459" s="9"/>
      <c r="D1459" s="9"/>
      <c r="E1459" s="9"/>
      <c r="F1459" s="9"/>
      <c r="G1459" s="9"/>
      <c r="H1459" s="9"/>
      <c r="I1459" s="9"/>
      <c r="J1459" s="9"/>
      <c r="K1459" s="9"/>
      <c r="L1459" s="9"/>
      <c r="M1459" s="9"/>
      <c r="N1459" s="9"/>
      <c r="O1459" s="9"/>
      <c r="P1459" s="9"/>
      <c r="Q1459" s="9"/>
      <c r="R1459" s="9"/>
      <c r="S1459" s="9"/>
      <c r="T1459" s="9"/>
      <c r="U1459" s="9"/>
      <c r="V1459" s="9"/>
      <c r="W1459" s="9"/>
      <c r="X1459" s="9"/>
      <c r="Y1459" s="9"/>
      <c r="Z1459" s="9"/>
      <c r="AA1459" s="9"/>
      <c r="AB1459" s="9"/>
      <c r="AC1459" s="9"/>
      <c r="AD1459" s="9"/>
      <c r="AE1459" s="9"/>
      <c r="AF1459" s="9"/>
      <c r="AG1459" s="9"/>
      <c r="AH1459" s="9"/>
      <c r="AI1459" s="9"/>
      <c r="AJ1459" s="9"/>
      <c r="AK1459" s="9"/>
      <c r="AL1459" s="9"/>
      <c r="AM1459" s="69"/>
      <c r="AN1459" s="9"/>
      <c r="AO1459" s="69" t="s">
        <v>4161</v>
      </c>
      <c r="AP1459" s="210"/>
      <c r="AQ1459" s="211"/>
      <c r="AR1459" s="211"/>
      <c r="AS1459" s="211"/>
      <c r="AT1459" s="211"/>
      <c r="AU1459" s="211"/>
      <c r="AV1459" s="211"/>
      <c r="AW1459" s="9"/>
      <c r="AX1459" s="9"/>
      <c r="AY1459" s="9"/>
      <c r="AZ1459" s="9"/>
      <c r="BA1459" s="120"/>
      <c r="BB1459" s="69"/>
      <c r="BC1459" s="9"/>
      <c r="BD1459" s="9"/>
      <c r="BE1459" s="9"/>
      <c r="BF1459" s="9"/>
      <c r="BG1459" s="9"/>
      <c r="BH1459" s="9"/>
      <c r="BI1459" s="9"/>
      <c r="BJ1459" s="9"/>
      <c r="BK1459" s="9"/>
      <c r="BL1459" s="9"/>
      <c r="BM1459" s="9"/>
      <c r="BN1459" s="9"/>
      <c r="BO1459" s="9"/>
      <c r="BP1459" s="9"/>
      <c r="BQ1459" s="9"/>
      <c r="BR1459" s="9"/>
      <c r="BS1459" s="9"/>
      <c r="BT1459" s="9"/>
      <c r="BU1459" s="9"/>
      <c r="BV1459" s="9"/>
      <c r="BW1459" s="9"/>
      <c r="BX1459" s="9"/>
      <c r="BY1459" s="9"/>
      <c r="BZ1459" s="9"/>
      <c r="CA1459" s="9"/>
      <c r="CB1459" s="9"/>
      <c r="CC1459" s="9"/>
      <c r="CD1459" s="9"/>
      <c r="CE1459" s="9"/>
      <c r="CF1459" s="9"/>
      <c r="CG1459" s="9"/>
      <c r="CH1459" s="9"/>
      <c r="CI1459" s="9"/>
      <c r="CJ1459" s="9"/>
      <c r="CK1459" s="9"/>
      <c r="CL1459" s="9"/>
      <c r="CM1459" s="9"/>
      <c r="CN1459" s="9"/>
      <c r="CO1459" s="9"/>
      <c r="CP1459" s="9"/>
    </row>
    <row r="1460" spans="1:94" ht="15.75" x14ac:dyDescent="0.25">
      <c r="A1460" s="126" t="s">
        <v>4212</v>
      </c>
      <c r="B1460" s="9" t="s">
        <v>4213</v>
      </c>
      <c r="C1460" s="9"/>
      <c r="D1460" s="9"/>
      <c r="E1460" s="9"/>
      <c r="F1460" s="9"/>
      <c r="G1460" s="9"/>
      <c r="H1460" s="9"/>
      <c r="I1460" s="9"/>
      <c r="J1460" s="9"/>
      <c r="K1460" s="9"/>
      <c r="L1460" s="9"/>
      <c r="M1460" s="9"/>
      <c r="N1460" s="9"/>
      <c r="O1460" s="9"/>
      <c r="P1460" s="9"/>
      <c r="Q1460" s="9"/>
      <c r="R1460" s="9"/>
      <c r="S1460" s="9"/>
      <c r="T1460" s="9"/>
      <c r="U1460" s="9"/>
      <c r="V1460" s="9"/>
      <c r="W1460" s="9"/>
      <c r="X1460" s="9"/>
      <c r="Y1460" s="9"/>
      <c r="Z1460" s="9"/>
      <c r="AA1460" s="9"/>
      <c r="AB1460" s="9"/>
      <c r="AC1460" s="9"/>
      <c r="AD1460" s="9"/>
      <c r="AE1460" s="9"/>
      <c r="AF1460" s="9"/>
      <c r="AG1460" s="9"/>
      <c r="AH1460" s="9"/>
      <c r="AI1460" s="9"/>
      <c r="AJ1460" s="9"/>
      <c r="AK1460" s="9"/>
      <c r="AL1460" s="9"/>
      <c r="AM1460" s="69"/>
      <c r="AN1460" s="9"/>
      <c r="AO1460" s="69" t="s">
        <v>4161</v>
      </c>
      <c r="AP1460" s="210"/>
      <c r="AQ1460" s="211"/>
      <c r="AR1460" s="211"/>
      <c r="AS1460" s="211"/>
      <c r="AT1460" s="211"/>
      <c r="AU1460" s="211"/>
      <c r="AV1460" s="211"/>
      <c r="AW1460" s="9"/>
      <c r="AX1460" s="9"/>
      <c r="AY1460" s="9"/>
      <c r="AZ1460" s="9"/>
      <c r="BA1460" s="120"/>
      <c r="BB1460" s="69"/>
      <c r="BC1460" s="9"/>
      <c r="BD1460" s="9"/>
      <c r="BE1460" s="9"/>
      <c r="BF1460" s="9"/>
      <c r="BG1460" s="9"/>
      <c r="BH1460" s="9"/>
      <c r="BI1460" s="9"/>
      <c r="BJ1460" s="9"/>
      <c r="BK1460" s="9"/>
      <c r="BL1460" s="9"/>
      <c r="BM1460" s="9"/>
      <c r="BN1460" s="9"/>
      <c r="BO1460" s="9"/>
      <c r="BP1460" s="9"/>
      <c r="BQ1460" s="9"/>
      <c r="BR1460" s="9"/>
      <c r="BS1460" s="9"/>
      <c r="BT1460" s="9"/>
      <c r="BU1460" s="9"/>
      <c r="BV1460" s="9"/>
      <c r="BW1460" s="9"/>
      <c r="BX1460" s="9"/>
      <c r="BY1460" s="9"/>
      <c r="BZ1460" s="9"/>
      <c r="CA1460" s="9"/>
      <c r="CB1460" s="9"/>
      <c r="CC1460" s="9"/>
      <c r="CD1460" s="9"/>
      <c r="CE1460" s="9"/>
      <c r="CF1460" s="9"/>
      <c r="CG1460" s="9"/>
      <c r="CH1460" s="9"/>
      <c r="CI1460" s="9"/>
      <c r="CJ1460" s="9"/>
      <c r="CK1460" s="9"/>
      <c r="CL1460" s="9"/>
      <c r="CM1460" s="9"/>
      <c r="CN1460" s="9"/>
      <c r="CO1460" s="9"/>
      <c r="CP1460" s="9"/>
    </row>
    <row r="1461" spans="1:94" ht="15.75" x14ac:dyDescent="0.25">
      <c r="A1461" s="126" t="s">
        <v>4214</v>
      </c>
      <c r="B1461" s="9" t="s">
        <v>4215</v>
      </c>
      <c r="C1461" s="9"/>
      <c r="D1461" s="9"/>
      <c r="E1461" s="9"/>
      <c r="F1461" s="9"/>
      <c r="G1461" s="9"/>
      <c r="H1461" s="9"/>
      <c r="I1461" s="9"/>
      <c r="J1461" s="9"/>
      <c r="K1461" s="9"/>
      <c r="L1461" s="9"/>
      <c r="M1461" s="9"/>
      <c r="N1461" s="9"/>
      <c r="O1461" s="9"/>
      <c r="P1461" s="9"/>
      <c r="Q1461" s="9"/>
      <c r="R1461" s="9"/>
      <c r="S1461" s="9"/>
      <c r="T1461" s="9"/>
      <c r="U1461" s="9"/>
      <c r="V1461" s="9"/>
      <c r="W1461" s="9"/>
      <c r="X1461" s="9"/>
      <c r="Y1461" s="9"/>
      <c r="Z1461" s="9"/>
      <c r="AA1461" s="9"/>
      <c r="AB1461" s="9"/>
      <c r="AC1461" s="9"/>
      <c r="AD1461" s="9"/>
      <c r="AE1461" s="9"/>
      <c r="AF1461" s="9"/>
      <c r="AG1461" s="9"/>
      <c r="AH1461" s="9"/>
      <c r="AI1461" s="9"/>
      <c r="AJ1461" s="9"/>
      <c r="AK1461" s="9"/>
      <c r="AL1461" s="9"/>
      <c r="AM1461" s="69"/>
      <c r="AN1461" s="9"/>
      <c r="AO1461" s="69" t="s">
        <v>4161</v>
      </c>
      <c r="AP1461" s="210"/>
      <c r="AQ1461" s="211"/>
      <c r="AR1461" s="211"/>
      <c r="AS1461" s="211"/>
      <c r="AT1461" s="211"/>
      <c r="AU1461" s="211"/>
      <c r="AV1461" s="211"/>
      <c r="AW1461" s="9"/>
      <c r="AX1461" s="9"/>
      <c r="AY1461" s="9"/>
      <c r="AZ1461" s="9"/>
      <c r="BA1461" s="120"/>
      <c r="BB1461" s="69"/>
      <c r="BC1461" s="9"/>
      <c r="BD1461" s="9"/>
      <c r="BE1461" s="9"/>
      <c r="BF1461" s="9"/>
      <c r="BG1461" s="9"/>
      <c r="BH1461" s="9"/>
      <c r="BI1461" s="9"/>
      <c r="BJ1461" s="9"/>
      <c r="BK1461" s="9"/>
      <c r="BL1461" s="9"/>
      <c r="BM1461" s="9"/>
      <c r="BN1461" s="9"/>
      <c r="BO1461" s="9"/>
      <c r="BP1461" s="9"/>
      <c r="BQ1461" s="9"/>
      <c r="BR1461" s="9"/>
      <c r="BS1461" s="9"/>
      <c r="BT1461" s="9"/>
      <c r="BU1461" s="9"/>
      <c r="BV1461" s="9"/>
      <c r="BW1461" s="9"/>
      <c r="BX1461" s="9"/>
      <c r="BY1461" s="9"/>
      <c r="BZ1461" s="9"/>
      <c r="CA1461" s="9"/>
      <c r="CB1461" s="9"/>
      <c r="CC1461" s="9"/>
      <c r="CD1461" s="9"/>
      <c r="CE1461" s="9"/>
      <c r="CF1461" s="9"/>
      <c r="CG1461" s="9"/>
      <c r="CH1461" s="9"/>
      <c r="CI1461" s="9"/>
      <c r="CJ1461" s="9"/>
      <c r="CK1461" s="9"/>
      <c r="CL1461" s="9"/>
      <c r="CM1461" s="9"/>
      <c r="CN1461" s="9"/>
      <c r="CO1461" s="9"/>
      <c r="CP1461" s="9"/>
    </row>
    <row r="1462" spans="1:94" ht="42.75" x14ac:dyDescent="0.25">
      <c r="A1462" s="126" t="s">
        <v>4216</v>
      </c>
      <c r="B1462" s="9" t="s">
        <v>4217</v>
      </c>
      <c r="C1462" s="9"/>
      <c r="D1462" s="9"/>
      <c r="E1462" s="9"/>
      <c r="F1462" s="9"/>
      <c r="G1462" s="9"/>
      <c r="H1462" s="9"/>
      <c r="I1462" s="9"/>
      <c r="J1462" s="9"/>
      <c r="K1462" s="9"/>
      <c r="L1462" s="9"/>
      <c r="M1462" s="9"/>
      <c r="N1462" s="9"/>
      <c r="O1462" s="9"/>
      <c r="P1462" s="9"/>
      <c r="Q1462" s="9"/>
      <c r="R1462" s="9"/>
      <c r="S1462" s="9"/>
      <c r="T1462" s="9"/>
      <c r="U1462" s="9"/>
      <c r="V1462" s="9"/>
      <c r="W1462" s="9"/>
      <c r="X1462" s="9"/>
      <c r="Y1462" s="9"/>
      <c r="Z1462" s="9"/>
      <c r="AA1462" s="9"/>
      <c r="AB1462" s="9"/>
      <c r="AC1462" s="9"/>
      <c r="AD1462" s="9"/>
      <c r="AE1462" s="9"/>
      <c r="AF1462" s="9"/>
      <c r="AG1462" s="9"/>
      <c r="AH1462" s="9"/>
      <c r="AI1462" s="9"/>
      <c r="AJ1462" s="9"/>
      <c r="AK1462" s="9"/>
      <c r="AL1462" s="9"/>
      <c r="AM1462" s="69"/>
      <c r="AN1462" s="9"/>
      <c r="AO1462" s="61" t="s">
        <v>4049</v>
      </c>
      <c r="AP1462" s="212"/>
      <c r="AQ1462" s="213"/>
      <c r="AR1462" s="213"/>
      <c r="AS1462" s="213"/>
      <c r="AT1462" s="213"/>
      <c r="AU1462" s="213"/>
      <c r="AV1462" s="213"/>
      <c r="AW1462" s="62"/>
      <c r="AX1462" s="62"/>
      <c r="AY1462" s="62"/>
      <c r="AZ1462" s="62"/>
      <c r="BA1462" s="141"/>
      <c r="BB1462" s="61"/>
      <c r="BC1462" s="165" t="s">
        <v>1615</v>
      </c>
      <c r="BD1462" s="166">
        <f t="shared" ref="BD1462:BD1492" si="80">+(89-9.5)%</f>
        <v>0.79500000000000004</v>
      </c>
      <c r="BE1462" s="167" t="s">
        <v>1616</v>
      </c>
      <c r="BF1462" s="168">
        <f t="shared" ref="BF1462:BF1492" si="81">+(10+10)%</f>
        <v>0.2</v>
      </c>
      <c r="BG1462" s="167" t="s">
        <v>1617</v>
      </c>
      <c r="BH1462" s="168">
        <f t="shared" ref="BH1462:BH1492" si="82">+(1-0.5)%</f>
        <v>5.0000000000000001E-3</v>
      </c>
      <c r="BI1462" s="169"/>
      <c r="BJ1462" s="168">
        <v>0</v>
      </c>
      <c r="BK1462" s="134" t="s">
        <v>2151</v>
      </c>
      <c r="BL1462" s="168">
        <f t="shared" ref="BL1462:BL1492" si="83">+(90-10)%</f>
        <v>0.8</v>
      </c>
      <c r="BM1462" s="167" t="s">
        <v>2152</v>
      </c>
      <c r="BN1462" s="168">
        <f t="shared" ref="BN1462:BN1492" si="84">+(10+10)%</f>
        <v>0.2</v>
      </c>
      <c r="BO1462" s="62"/>
      <c r="BP1462" s="168"/>
      <c r="BQ1462" s="168"/>
      <c r="BR1462" s="168"/>
      <c r="BS1462" s="135" t="s">
        <v>1615</v>
      </c>
      <c r="BT1462" s="176">
        <f t="shared" ref="BT1462:BT1492" si="85">+(87-7.5-2)%</f>
        <v>0.77500000000000002</v>
      </c>
      <c r="BU1462" s="167" t="s">
        <v>1616</v>
      </c>
      <c r="BV1462" s="168">
        <f t="shared" ref="BV1462:BV1492" si="86">+(10+10)%</f>
        <v>0.2</v>
      </c>
      <c r="BW1462" s="167" t="s">
        <v>2153</v>
      </c>
      <c r="BX1462" s="168"/>
      <c r="BY1462" s="167" t="s">
        <v>1617</v>
      </c>
      <c r="BZ1462" s="176">
        <f t="shared" ref="BZ1462:BZ1492" si="87">+(1-0.5)%</f>
        <v>5.0000000000000001E-3</v>
      </c>
      <c r="CA1462" s="167" t="s">
        <v>1621</v>
      </c>
      <c r="CB1462" s="168">
        <v>0.02</v>
      </c>
      <c r="CC1462" s="104"/>
      <c r="CD1462" s="186"/>
      <c r="CE1462" s="183"/>
      <c r="CF1462" s="183"/>
      <c r="CG1462" s="9"/>
      <c r="CH1462" s="9"/>
      <c r="CI1462" s="9"/>
      <c r="CJ1462" s="9"/>
      <c r="CK1462" s="9"/>
      <c r="CL1462" s="9"/>
      <c r="CM1462" s="9"/>
      <c r="CN1462" s="9"/>
      <c r="CO1462" s="9"/>
      <c r="CP1462" s="9"/>
    </row>
    <row r="1463" spans="1:94" ht="42.75" x14ac:dyDescent="0.25">
      <c r="A1463" s="126" t="s">
        <v>4218</v>
      </c>
      <c r="B1463" s="9" t="s">
        <v>4219</v>
      </c>
      <c r="C1463" s="9"/>
      <c r="D1463" s="9"/>
      <c r="E1463" s="9"/>
      <c r="F1463" s="9"/>
      <c r="G1463" s="9"/>
      <c r="H1463" s="9"/>
      <c r="I1463" s="9"/>
      <c r="J1463" s="9"/>
      <c r="K1463" s="9"/>
      <c r="L1463" s="9"/>
      <c r="M1463" s="9"/>
      <c r="N1463" s="9"/>
      <c r="O1463" s="9"/>
      <c r="P1463" s="9"/>
      <c r="Q1463" s="9"/>
      <c r="R1463" s="9"/>
      <c r="S1463" s="9"/>
      <c r="T1463" s="9"/>
      <c r="U1463" s="9"/>
      <c r="V1463" s="9"/>
      <c r="W1463" s="9"/>
      <c r="X1463" s="9"/>
      <c r="Y1463" s="9"/>
      <c r="Z1463" s="9"/>
      <c r="AA1463" s="9"/>
      <c r="AB1463" s="9"/>
      <c r="AC1463" s="9"/>
      <c r="AD1463" s="9"/>
      <c r="AE1463" s="9"/>
      <c r="AF1463" s="9"/>
      <c r="AG1463" s="9"/>
      <c r="AH1463" s="9"/>
      <c r="AI1463" s="9"/>
      <c r="AJ1463" s="9"/>
      <c r="AK1463" s="9"/>
      <c r="AL1463" s="9"/>
      <c r="AM1463" s="69"/>
      <c r="AN1463" s="9"/>
      <c r="AO1463" s="61" t="s">
        <v>4049</v>
      </c>
      <c r="AP1463" s="212"/>
      <c r="AQ1463" s="213"/>
      <c r="AR1463" s="213"/>
      <c r="AS1463" s="213"/>
      <c r="AT1463" s="213"/>
      <c r="AU1463" s="213"/>
      <c r="AV1463" s="213"/>
      <c r="AW1463" s="62"/>
      <c r="AX1463" s="62"/>
      <c r="AY1463" s="62"/>
      <c r="AZ1463" s="62"/>
      <c r="BA1463" s="141"/>
      <c r="BB1463" s="61"/>
      <c r="BC1463" s="165" t="s">
        <v>1615</v>
      </c>
      <c r="BD1463" s="166">
        <f t="shared" si="80"/>
        <v>0.79500000000000004</v>
      </c>
      <c r="BE1463" s="167" t="s">
        <v>1616</v>
      </c>
      <c r="BF1463" s="168">
        <f t="shared" si="81"/>
        <v>0.2</v>
      </c>
      <c r="BG1463" s="167" t="s">
        <v>1617</v>
      </c>
      <c r="BH1463" s="168">
        <f t="shared" si="82"/>
        <v>5.0000000000000001E-3</v>
      </c>
      <c r="BI1463" s="169"/>
      <c r="BJ1463" s="168">
        <v>0</v>
      </c>
      <c r="BK1463" s="134" t="s">
        <v>2151</v>
      </c>
      <c r="BL1463" s="168">
        <f t="shared" si="83"/>
        <v>0.8</v>
      </c>
      <c r="BM1463" s="167" t="s">
        <v>2152</v>
      </c>
      <c r="BN1463" s="168">
        <f t="shared" si="84"/>
        <v>0.2</v>
      </c>
      <c r="BO1463" s="62"/>
      <c r="BP1463" s="168"/>
      <c r="BQ1463" s="168"/>
      <c r="BR1463" s="168"/>
      <c r="BS1463" s="135" t="s">
        <v>1615</v>
      </c>
      <c r="BT1463" s="176">
        <f t="shared" si="85"/>
        <v>0.77500000000000002</v>
      </c>
      <c r="BU1463" s="167" t="s">
        <v>1616</v>
      </c>
      <c r="BV1463" s="168">
        <f t="shared" si="86"/>
        <v>0.2</v>
      </c>
      <c r="BW1463" s="167" t="s">
        <v>2153</v>
      </c>
      <c r="BX1463" s="168"/>
      <c r="BY1463" s="167" t="s">
        <v>1617</v>
      </c>
      <c r="BZ1463" s="176">
        <f t="shared" si="87"/>
        <v>5.0000000000000001E-3</v>
      </c>
      <c r="CA1463" s="167" t="s">
        <v>1621</v>
      </c>
      <c r="CB1463" s="168">
        <v>0.02</v>
      </c>
      <c r="CC1463" s="104"/>
      <c r="CD1463" s="186"/>
      <c r="CE1463" s="183"/>
      <c r="CF1463" s="183"/>
      <c r="CG1463" s="9"/>
      <c r="CH1463" s="9"/>
      <c r="CI1463" s="9"/>
      <c r="CJ1463" s="9"/>
      <c r="CK1463" s="9"/>
      <c r="CL1463" s="9"/>
      <c r="CM1463" s="9"/>
      <c r="CN1463" s="9"/>
      <c r="CO1463" s="9"/>
      <c r="CP1463" s="9"/>
    </row>
    <row r="1464" spans="1:94" ht="42.75" x14ac:dyDescent="0.25">
      <c r="A1464" s="126" t="s">
        <v>4220</v>
      </c>
      <c r="B1464" s="9" t="s">
        <v>4221</v>
      </c>
      <c r="C1464" s="9"/>
      <c r="D1464" s="9"/>
      <c r="E1464" s="9"/>
      <c r="F1464" s="9"/>
      <c r="G1464" s="9"/>
      <c r="H1464" s="9"/>
      <c r="I1464" s="9"/>
      <c r="J1464" s="9"/>
      <c r="K1464" s="9"/>
      <c r="L1464" s="9"/>
      <c r="M1464" s="9"/>
      <c r="N1464" s="9"/>
      <c r="O1464" s="9"/>
      <c r="P1464" s="9"/>
      <c r="Q1464" s="9"/>
      <c r="R1464" s="9"/>
      <c r="S1464" s="9"/>
      <c r="T1464" s="9"/>
      <c r="U1464" s="9"/>
      <c r="V1464" s="9"/>
      <c r="W1464" s="9"/>
      <c r="X1464" s="9"/>
      <c r="Y1464" s="9"/>
      <c r="Z1464" s="9"/>
      <c r="AA1464" s="9"/>
      <c r="AB1464" s="9"/>
      <c r="AC1464" s="9"/>
      <c r="AD1464" s="9"/>
      <c r="AE1464" s="9"/>
      <c r="AF1464" s="9"/>
      <c r="AG1464" s="9"/>
      <c r="AH1464" s="9"/>
      <c r="AI1464" s="9"/>
      <c r="AJ1464" s="9"/>
      <c r="AK1464" s="9"/>
      <c r="AL1464" s="9"/>
      <c r="AM1464" s="69"/>
      <c r="AN1464" s="9"/>
      <c r="AO1464" s="61" t="s">
        <v>4049</v>
      </c>
      <c r="AP1464" s="212"/>
      <c r="AQ1464" s="213"/>
      <c r="AR1464" s="213"/>
      <c r="AS1464" s="213"/>
      <c r="AT1464" s="213"/>
      <c r="AU1464" s="213"/>
      <c r="AV1464" s="213"/>
      <c r="AW1464" s="62"/>
      <c r="AX1464" s="62"/>
      <c r="AY1464" s="62"/>
      <c r="AZ1464" s="62"/>
      <c r="BA1464" s="141"/>
      <c r="BB1464" s="61"/>
      <c r="BC1464" s="165" t="s">
        <v>1615</v>
      </c>
      <c r="BD1464" s="166">
        <f t="shared" si="80"/>
        <v>0.79500000000000004</v>
      </c>
      <c r="BE1464" s="167" t="s">
        <v>1616</v>
      </c>
      <c r="BF1464" s="168">
        <f t="shared" si="81"/>
        <v>0.2</v>
      </c>
      <c r="BG1464" s="167" t="s">
        <v>1617</v>
      </c>
      <c r="BH1464" s="168">
        <f t="shared" si="82"/>
        <v>5.0000000000000001E-3</v>
      </c>
      <c r="BI1464" s="169"/>
      <c r="BJ1464" s="168">
        <v>0</v>
      </c>
      <c r="BK1464" s="134" t="s">
        <v>2151</v>
      </c>
      <c r="BL1464" s="168">
        <f>+(90-10+20)%</f>
        <v>1</v>
      </c>
      <c r="BM1464" s="167" t="s">
        <v>2152</v>
      </c>
      <c r="BN1464" s="168">
        <f>+((10+10)-20)%</f>
        <v>0</v>
      </c>
      <c r="BO1464" s="62"/>
      <c r="BP1464" s="168"/>
      <c r="BQ1464" s="168"/>
      <c r="BR1464" s="168"/>
      <c r="BS1464" s="135" t="s">
        <v>1615</v>
      </c>
      <c r="BT1464" s="176">
        <f t="shared" si="85"/>
        <v>0.77500000000000002</v>
      </c>
      <c r="BU1464" s="167" t="s">
        <v>1616</v>
      </c>
      <c r="BV1464" s="168">
        <f t="shared" si="86"/>
        <v>0.2</v>
      </c>
      <c r="BW1464" s="167" t="s">
        <v>2153</v>
      </c>
      <c r="BX1464" s="168"/>
      <c r="BY1464" s="167" t="s">
        <v>1617</v>
      </c>
      <c r="BZ1464" s="176">
        <f t="shared" si="87"/>
        <v>5.0000000000000001E-3</v>
      </c>
      <c r="CA1464" s="167" t="s">
        <v>1621</v>
      </c>
      <c r="CB1464" s="168">
        <v>0.02</v>
      </c>
      <c r="CC1464" s="104"/>
      <c r="CD1464" s="186"/>
      <c r="CE1464" s="183"/>
      <c r="CF1464" s="183"/>
      <c r="CG1464" s="9"/>
      <c r="CH1464" s="9"/>
      <c r="CI1464" s="9"/>
      <c r="CJ1464" s="9"/>
      <c r="CK1464" s="9"/>
      <c r="CL1464" s="9"/>
      <c r="CM1464" s="9"/>
      <c r="CN1464" s="9"/>
      <c r="CO1464" s="9"/>
      <c r="CP1464" s="9"/>
    </row>
    <row r="1465" spans="1:94" ht="42.75" x14ac:dyDescent="0.25">
      <c r="A1465" s="126" t="s">
        <v>4222</v>
      </c>
      <c r="B1465" s="9" t="s">
        <v>4223</v>
      </c>
      <c r="C1465" s="9"/>
      <c r="D1465" s="9"/>
      <c r="E1465" s="9"/>
      <c r="F1465" s="9"/>
      <c r="G1465" s="9"/>
      <c r="H1465" s="9"/>
      <c r="I1465" s="9"/>
      <c r="J1465" s="9"/>
      <c r="K1465" s="9"/>
      <c r="L1465" s="9"/>
      <c r="M1465" s="9"/>
      <c r="N1465" s="9"/>
      <c r="O1465" s="9"/>
      <c r="P1465" s="9"/>
      <c r="Q1465" s="9"/>
      <c r="R1465" s="9"/>
      <c r="S1465" s="9"/>
      <c r="T1465" s="9"/>
      <c r="U1465" s="9"/>
      <c r="V1465" s="9"/>
      <c r="W1465" s="9"/>
      <c r="X1465" s="9"/>
      <c r="Y1465" s="9"/>
      <c r="Z1465" s="9"/>
      <c r="AA1465" s="9"/>
      <c r="AB1465" s="9"/>
      <c r="AC1465" s="9"/>
      <c r="AD1465" s="9"/>
      <c r="AE1465" s="9"/>
      <c r="AF1465" s="9"/>
      <c r="AG1465" s="9"/>
      <c r="AH1465" s="9"/>
      <c r="AI1465" s="9"/>
      <c r="AJ1465" s="9"/>
      <c r="AK1465" s="9"/>
      <c r="AL1465" s="9"/>
      <c r="AM1465" s="69"/>
      <c r="AN1465" s="9"/>
      <c r="AO1465" s="69" t="s">
        <v>2150</v>
      </c>
      <c r="AP1465" s="210"/>
      <c r="AQ1465" s="211"/>
      <c r="AR1465" s="211"/>
      <c r="AS1465" s="211"/>
      <c r="AT1465" s="211"/>
      <c r="AU1465" s="211"/>
      <c r="AV1465" s="211"/>
      <c r="AW1465" s="9"/>
      <c r="AX1465" s="9"/>
      <c r="AY1465" s="9"/>
      <c r="AZ1465" s="9"/>
      <c r="BA1465" s="120"/>
      <c r="BB1465" s="69"/>
      <c r="BC1465" s="165" t="s">
        <v>1615</v>
      </c>
      <c r="BD1465" s="166">
        <f t="shared" si="80"/>
        <v>0.79500000000000004</v>
      </c>
      <c r="BE1465" s="167" t="s">
        <v>1616</v>
      </c>
      <c r="BF1465" s="168">
        <f t="shared" si="81"/>
        <v>0.2</v>
      </c>
      <c r="BG1465" s="167" t="s">
        <v>1617</v>
      </c>
      <c r="BH1465" s="168">
        <f t="shared" si="82"/>
        <v>5.0000000000000001E-3</v>
      </c>
      <c r="BI1465" s="169"/>
      <c r="BJ1465" s="168">
        <v>0</v>
      </c>
      <c r="BK1465" s="134" t="s">
        <v>2151</v>
      </c>
      <c r="BL1465" s="168">
        <f>+(90-10+20)%</f>
        <v>1</v>
      </c>
      <c r="BM1465" s="167" t="s">
        <v>2152</v>
      </c>
      <c r="BN1465" s="168">
        <f>+((10+10)-20)%</f>
        <v>0</v>
      </c>
      <c r="BO1465" s="62"/>
      <c r="BP1465" s="168"/>
      <c r="BQ1465" s="168"/>
      <c r="BR1465" s="168"/>
      <c r="BS1465" s="135" t="s">
        <v>1615</v>
      </c>
      <c r="BT1465" s="176">
        <f t="shared" si="85"/>
        <v>0.77500000000000002</v>
      </c>
      <c r="BU1465" s="167" t="s">
        <v>1616</v>
      </c>
      <c r="BV1465" s="168">
        <f t="shared" si="86"/>
        <v>0.2</v>
      </c>
      <c r="BW1465" s="167" t="s">
        <v>2153</v>
      </c>
      <c r="BX1465" s="168"/>
      <c r="BY1465" s="167" t="s">
        <v>1617</v>
      </c>
      <c r="BZ1465" s="176">
        <f t="shared" si="87"/>
        <v>5.0000000000000001E-3</v>
      </c>
      <c r="CA1465" s="167" t="s">
        <v>1621</v>
      </c>
      <c r="CB1465" s="168">
        <v>0.02</v>
      </c>
      <c r="CC1465" s="9"/>
      <c r="CD1465" s="9"/>
      <c r="CE1465" s="9"/>
      <c r="CF1465" s="9"/>
      <c r="CG1465" s="9"/>
      <c r="CH1465" s="9"/>
      <c r="CI1465" s="9"/>
      <c r="CJ1465" s="9"/>
      <c r="CK1465" s="9"/>
      <c r="CL1465" s="9"/>
      <c r="CM1465" s="9"/>
      <c r="CN1465" s="9"/>
      <c r="CO1465" s="9"/>
      <c r="CP1465" s="9"/>
    </row>
    <row r="1466" spans="1:94" ht="42.75" x14ac:dyDescent="0.25">
      <c r="A1466" s="126" t="s">
        <v>4224</v>
      </c>
      <c r="B1466" s="9" t="s">
        <v>4225</v>
      </c>
      <c r="C1466" s="9"/>
      <c r="D1466" s="9"/>
      <c r="E1466" s="9"/>
      <c r="F1466" s="9"/>
      <c r="G1466" s="9"/>
      <c r="H1466" s="9"/>
      <c r="I1466" s="9"/>
      <c r="J1466" s="9"/>
      <c r="K1466" s="9"/>
      <c r="L1466" s="9"/>
      <c r="M1466" s="9"/>
      <c r="N1466" s="9"/>
      <c r="O1466" s="9"/>
      <c r="P1466" s="9"/>
      <c r="Q1466" s="9"/>
      <c r="R1466" s="9"/>
      <c r="S1466" s="9"/>
      <c r="T1466" s="9"/>
      <c r="U1466" s="9"/>
      <c r="V1466" s="9"/>
      <c r="W1466" s="9"/>
      <c r="X1466" s="9"/>
      <c r="Y1466" s="9"/>
      <c r="Z1466" s="9"/>
      <c r="AA1466" s="9"/>
      <c r="AB1466" s="9"/>
      <c r="AC1466" s="9"/>
      <c r="AD1466" s="9"/>
      <c r="AE1466" s="9"/>
      <c r="AF1466" s="9"/>
      <c r="AG1466" s="9"/>
      <c r="AH1466" s="9"/>
      <c r="AI1466" s="9"/>
      <c r="AJ1466" s="9"/>
      <c r="AK1466" s="9"/>
      <c r="AL1466" s="9"/>
      <c r="AM1466" s="69"/>
      <c r="AN1466" s="9"/>
      <c r="AO1466" s="69" t="s">
        <v>2150</v>
      </c>
      <c r="AP1466" s="210"/>
      <c r="AQ1466" s="211"/>
      <c r="AR1466" s="211"/>
      <c r="AS1466" s="211"/>
      <c r="AT1466" s="211"/>
      <c r="AU1466" s="211"/>
      <c r="AV1466" s="211"/>
      <c r="AW1466" s="9"/>
      <c r="AX1466" s="9"/>
      <c r="AY1466" s="9"/>
      <c r="AZ1466" s="9"/>
      <c r="BA1466" s="120"/>
      <c r="BB1466" s="69"/>
      <c r="BC1466" s="165" t="s">
        <v>1615</v>
      </c>
      <c r="BD1466" s="166">
        <f t="shared" si="80"/>
        <v>0.79500000000000004</v>
      </c>
      <c r="BE1466" s="167" t="s">
        <v>1616</v>
      </c>
      <c r="BF1466" s="168">
        <f t="shared" si="81"/>
        <v>0.2</v>
      </c>
      <c r="BG1466" s="167" t="s">
        <v>1617</v>
      </c>
      <c r="BH1466" s="168">
        <f t="shared" si="82"/>
        <v>5.0000000000000001E-3</v>
      </c>
      <c r="BI1466" s="169"/>
      <c r="BJ1466" s="168">
        <v>0</v>
      </c>
      <c r="BK1466" s="134" t="s">
        <v>2151</v>
      </c>
      <c r="BL1466" s="168">
        <f>+(90-10+20)%</f>
        <v>1</v>
      </c>
      <c r="BM1466" s="167" t="s">
        <v>2152</v>
      </c>
      <c r="BN1466" s="168">
        <f>+((10+10)-20)%</f>
        <v>0</v>
      </c>
      <c r="BO1466" s="62"/>
      <c r="BP1466" s="168"/>
      <c r="BQ1466" s="168"/>
      <c r="BR1466" s="168"/>
      <c r="BS1466" s="135" t="s">
        <v>1615</v>
      </c>
      <c r="BT1466" s="176">
        <f t="shared" si="85"/>
        <v>0.77500000000000002</v>
      </c>
      <c r="BU1466" s="167" t="s">
        <v>1616</v>
      </c>
      <c r="BV1466" s="168">
        <f t="shared" si="86"/>
        <v>0.2</v>
      </c>
      <c r="BW1466" s="167" t="s">
        <v>2153</v>
      </c>
      <c r="BX1466" s="168"/>
      <c r="BY1466" s="167" t="s">
        <v>1617</v>
      </c>
      <c r="BZ1466" s="176">
        <f t="shared" si="87"/>
        <v>5.0000000000000001E-3</v>
      </c>
      <c r="CA1466" s="167" t="s">
        <v>1621</v>
      </c>
      <c r="CB1466" s="168">
        <v>0.02</v>
      </c>
      <c r="CC1466" s="9"/>
      <c r="CD1466" s="9"/>
      <c r="CE1466" s="9"/>
      <c r="CF1466" s="9"/>
      <c r="CG1466" s="9"/>
      <c r="CH1466" s="9"/>
      <c r="CI1466" s="9"/>
      <c r="CJ1466" s="9"/>
      <c r="CK1466" s="9"/>
      <c r="CL1466" s="9"/>
      <c r="CM1466" s="9"/>
      <c r="CN1466" s="9"/>
      <c r="CO1466" s="9"/>
      <c r="CP1466" s="9"/>
    </row>
    <row r="1467" spans="1:94" ht="42.75" x14ac:dyDescent="0.25">
      <c r="A1467" s="126" t="s">
        <v>4226</v>
      </c>
      <c r="B1467" s="9" t="s">
        <v>4227</v>
      </c>
      <c r="C1467" s="9"/>
      <c r="D1467" s="9"/>
      <c r="E1467" s="9"/>
      <c r="F1467" s="9"/>
      <c r="G1467" s="9"/>
      <c r="H1467" s="9"/>
      <c r="I1467" s="9"/>
      <c r="J1467" s="9"/>
      <c r="K1467" s="9"/>
      <c r="L1467" s="9"/>
      <c r="M1467" s="9"/>
      <c r="N1467" s="9"/>
      <c r="O1467" s="9"/>
      <c r="P1467" s="9"/>
      <c r="Q1467" s="9"/>
      <c r="R1467" s="9"/>
      <c r="S1467" s="9"/>
      <c r="T1467" s="9"/>
      <c r="U1467" s="9"/>
      <c r="V1467" s="9"/>
      <c r="W1467" s="9"/>
      <c r="X1467" s="9"/>
      <c r="Y1467" s="9"/>
      <c r="Z1467" s="9"/>
      <c r="AA1467" s="9"/>
      <c r="AB1467" s="9"/>
      <c r="AC1467" s="9"/>
      <c r="AD1467" s="9"/>
      <c r="AE1467" s="9"/>
      <c r="AF1467" s="9"/>
      <c r="AG1467" s="9"/>
      <c r="AH1467" s="9"/>
      <c r="AI1467" s="9"/>
      <c r="AJ1467" s="9"/>
      <c r="AK1467" s="9"/>
      <c r="AL1467" s="9"/>
      <c r="AM1467" s="69"/>
      <c r="AN1467" s="9"/>
      <c r="AO1467" s="69" t="s">
        <v>2150</v>
      </c>
      <c r="AP1467" s="210"/>
      <c r="AQ1467" s="211"/>
      <c r="AR1467" s="211"/>
      <c r="AS1467" s="211"/>
      <c r="AT1467" s="211"/>
      <c r="AU1467" s="211"/>
      <c r="AV1467" s="211"/>
      <c r="AW1467" s="9"/>
      <c r="AX1467" s="9"/>
      <c r="AY1467" s="9"/>
      <c r="AZ1467" s="9"/>
      <c r="BA1467" s="120"/>
      <c r="BB1467" s="69"/>
      <c r="BC1467" s="165" t="s">
        <v>1615</v>
      </c>
      <c r="BD1467" s="166">
        <f t="shared" si="80"/>
        <v>0.79500000000000004</v>
      </c>
      <c r="BE1467" s="167" t="s">
        <v>1616</v>
      </c>
      <c r="BF1467" s="168">
        <f t="shared" si="81"/>
        <v>0.2</v>
      </c>
      <c r="BG1467" s="167" t="s">
        <v>1617</v>
      </c>
      <c r="BH1467" s="168">
        <f t="shared" si="82"/>
        <v>5.0000000000000001E-3</v>
      </c>
      <c r="BI1467" s="169"/>
      <c r="BJ1467" s="168">
        <v>0</v>
      </c>
      <c r="BK1467" s="134" t="s">
        <v>2151</v>
      </c>
      <c r="BL1467" s="168">
        <f>+(90-10+20)%</f>
        <v>1</v>
      </c>
      <c r="BM1467" s="167" t="s">
        <v>2152</v>
      </c>
      <c r="BN1467" s="168">
        <f>+((10+10)-20)%</f>
        <v>0</v>
      </c>
      <c r="BO1467" s="62"/>
      <c r="BP1467" s="168"/>
      <c r="BQ1467" s="168"/>
      <c r="BR1467" s="168"/>
      <c r="BS1467" s="135" t="s">
        <v>1615</v>
      </c>
      <c r="BT1467" s="176">
        <f t="shared" si="85"/>
        <v>0.77500000000000002</v>
      </c>
      <c r="BU1467" s="167" t="s">
        <v>1616</v>
      </c>
      <c r="BV1467" s="168">
        <f t="shared" si="86"/>
        <v>0.2</v>
      </c>
      <c r="BW1467" s="167" t="s">
        <v>2153</v>
      </c>
      <c r="BX1467" s="168"/>
      <c r="BY1467" s="167" t="s">
        <v>1617</v>
      </c>
      <c r="BZ1467" s="176">
        <f t="shared" si="87"/>
        <v>5.0000000000000001E-3</v>
      </c>
      <c r="CA1467" s="167" t="s">
        <v>1621</v>
      </c>
      <c r="CB1467" s="168">
        <v>0.02</v>
      </c>
      <c r="CC1467" s="9"/>
      <c r="CD1467" s="9"/>
      <c r="CE1467" s="9"/>
      <c r="CF1467" s="9"/>
      <c r="CG1467" s="9"/>
      <c r="CH1467" s="9"/>
      <c r="CI1467" s="9"/>
      <c r="CJ1467" s="9"/>
      <c r="CK1467" s="9"/>
      <c r="CL1467" s="9"/>
      <c r="CM1467" s="9"/>
      <c r="CN1467" s="9"/>
      <c r="CO1467" s="9"/>
      <c r="CP1467" s="9"/>
    </row>
    <row r="1468" spans="1:94" ht="42.75" x14ac:dyDescent="0.25">
      <c r="A1468" s="126" t="s">
        <v>4228</v>
      </c>
      <c r="B1468" s="9" t="s">
        <v>4229</v>
      </c>
      <c r="C1468" s="9"/>
      <c r="D1468" s="9"/>
      <c r="E1468" s="9"/>
      <c r="F1468" s="9"/>
      <c r="G1468" s="9"/>
      <c r="H1468" s="9"/>
      <c r="I1468" s="9"/>
      <c r="J1468" s="9"/>
      <c r="K1468" s="9"/>
      <c r="L1468" s="9"/>
      <c r="M1468" s="9"/>
      <c r="N1468" s="9"/>
      <c r="O1468" s="9"/>
      <c r="P1468" s="9"/>
      <c r="Q1468" s="9"/>
      <c r="R1468" s="9"/>
      <c r="S1468" s="9"/>
      <c r="T1468" s="9"/>
      <c r="U1468" s="9"/>
      <c r="V1468" s="9"/>
      <c r="W1468" s="9"/>
      <c r="X1468" s="9"/>
      <c r="Y1468" s="9"/>
      <c r="Z1468" s="9"/>
      <c r="AA1468" s="9"/>
      <c r="AB1468" s="9"/>
      <c r="AC1468" s="9"/>
      <c r="AD1468" s="9"/>
      <c r="AE1468" s="9"/>
      <c r="AF1468" s="9"/>
      <c r="AG1468" s="9"/>
      <c r="AH1468" s="9"/>
      <c r="AI1468" s="9"/>
      <c r="AJ1468" s="9"/>
      <c r="AK1468" s="9"/>
      <c r="AL1468" s="9"/>
      <c r="AM1468" s="69"/>
      <c r="AN1468" s="9"/>
      <c r="AO1468" s="69" t="s">
        <v>2150</v>
      </c>
      <c r="AP1468" s="210"/>
      <c r="AQ1468" s="211"/>
      <c r="AR1468" s="211"/>
      <c r="AS1468" s="211"/>
      <c r="AT1468" s="211"/>
      <c r="AU1468" s="211"/>
      <c r="AV1468" s="211"/>
      <c r="AW1468" s="9"/>
      <c r="AX1468" s="9"/>
      <c r="AY1468" s="9"/>
      <c r="AZ1468" s="9"/>
      <c r="BA1468" s="120"/>
      <c r="BB1468" s="69"/>
      <c r="BC1468" s="165" t="s">
        <v>1615</v>
      </c>
      <c r="BD1468" s="166">
        <f t="shared" si="80"/>
        <v>0.79500000000000004</v>
      </c>
      <c r="BE1468" s="167" t="s">
        <v>1616</v>
      </c>
      <c r="BF1468" s="168">
        <f t="shared" si="81"/>
        <v>0.2</v>
      </c>
      <c r="BG1468" s="167" t="s">
        <v>1617</v>
      </c>
      <c r="BH1468" s="168">
        <f t="shared" si="82"/>
        <v>5.0000000000000001E-3</v>
      </c>
      <c r="BI1468" s="169"/>
      <c r="BJ1468" s="168">
        <v>0</v>
      </c>
      <c r="BK1468" s="134" t="s">
        <v>2151</v>
      </c>
      <c r="BL1468" s="168">
        <f>+(90-10+20)%</f>
        <v>1</v>
      </c>
      <c r="BM1468" s="167" t="s">
        <v>2152</v>
      </c>
      <c r="BN1468" s="168">
        <f>+((10+10)-20)%</f>
        <v>0</v>
      </c>
      <c r="BO1468" s="62"/>
      <c r="BP1468" s="168"/>
      <c r="BQ1468" s="168"/>
      <c r="BR1468" s="168"/>
      <c r="BS1468" s="135" t="s">
        <v>1615</v>
      </c>
      <c r="BT1468" s="176">
        <f t="shared" si="85"/>
        <v>0.77500000000000002</v>
      </c>
      <c r="BU1468" s="167" t="s">
        <v>1616</v>
      </c>
      <c r="BV1468" s="168">
        <f t="shared" si="86"/>
        <v>0.2</v>
      </c>
      <c r="BW1468" s="167" t="s">
        <v>2153</v>
      </c>
      <c r="BX1468" s="168"/>
      <c r="BY1468" s="167" t="s">
        <v>1617</v>
      </c>
      <c r="BZ1468" s="176">
        <f t="shared" si="87"/>
        <v>5.0000000000000001E-3</v>
      </c>
      <c r="CA1468" s="167" t="s">
        <v>1621</v>
      </c>
      <c r="CB1468" s="168">
        <v>0.02</v>
      </c>
      <c r="CC1468" s="9"/>
      <c r="CD1468" s="9"/>
      <c r="CE1468" s="9"/>
      <c r="CF1468" s="9"/>
      <c r="CG1468" s="9"/>
      <c r="CH1468" s="9"/>
      <c r="CI1468" s="9"/>
      <c r="CJ1468" s="9"/>
      <c r="CK1468" s="9"/>
      <c r="CL1468" s="9"/>
      <c r="CM1468" s="9"/>
      <c r="CN1468" s="9"/>
      <c r="CO1468" s="9"/>
      <c r="CP1468" s="9"/>
    </row>
    <row r="1469" spans="1:94" ht="42.75" x14ac:dyDescent="0.25">
      <c r="A1469" s="126" t="s">
        <v>4230</v>
      </c>
      <c r="B1469" s="9" t="s">
        <v>4231</v>
      </c>
      <c r="C1469" s="9"/>
      <c r="D1469" s="9"/>
      <c r="E1469" s="9"/>
      <c r="F1469" s="9"/>
      <c r="G1469" s="9"/>
      <c r="H1469" s="9"/>
      <c r="I1469" s="9"/>
      <c r="J1469" s="9"/>
      <c r="K1469" s="9"/>
      <c r="L1469" s="9"/>
      <c r="M1469" s="9"/>
      <c r="N1469" s="9"/>
      <c r="O1469" s="9"/>
      <c r="P1469" s="9"/>
      <c r="Q1469" s="9"/>
      <c r="R1469" s="9"/>
      <c r="S1469" s="9"/>
      <c r="T1469" s="9"/>
      <c r="U1469" s="9"/>
      <c r="V1469" s="9"/>
      <c r="W1469" s="9"/>
      <c r="X1469" s="9"/>
      <c r="Y1469" s="9"/>
      <c r="Z1469" s="9"/>
      <c r="AA1469" s="9"/>
      <c r="AB1469" s="9"/>
      <c r="AC1469" s="9"/>
      <c r="AD1469" s="9"/>
      <c r="AE1469" s="9"/>
      <c r="AF1469" s="9"/>
      <c r="AG1469" s="9"/>
      <c r="AH1469" s="9"/>
      <c r="AI1469" s="9"/>
      <c r="AJ1469" s="9"/>
      <c r="AK1469" s="9"/>
      <c r="AL1469" s="9"/>
      <c r="AM1469" s="69"/>
      <c r="AN1469" s="9"/>
      <c r="AO1469" s="61" t="s">
        <v>4049</v>
      </c>
      <c r="AP1469" s="212"/>
      <c r="AQ1469" s="213"/>
      <c r="AR1469" s="213"/>
      <c r="AS1469" s="213"/>
      <c r="AT1469" s="213"/>
      <c r="AU1469" s="213"/>
      <c r="AV1469" s="213"/>
      <c r="AW1469" s="62"/>
      <c r="AX1469" s="62"/>
      <c r="AY1469" s="62"/>
      <c r="AZ1469" s="62"/>
      <c r="BA1469" s="141"/>
      <c r="BB1469" s="61"/>
      <c r="BC1469" s="165" t="s">
        <v>1615</v>
      </c>
      <c r="BD1469" s="166">
        <f t="shared" si="80"/>
        <v>0.79500000000000004</v>
      </c>
      <c r="BE1469" s="167" t="s">
        <v>1616</v>
      </c>
      <c r="BF1469" s="168">
        <f t="shared" si="81"/>
        <v>0.2</v>
      </c>
      <c r="BG1469" s="167" t="s">
        <v>1617</v>
      </c>
      <c r="BH1469" s="168">
        <f t="shared" si="82"/>
        <v>5.0000000000000001E-3</v>
      </c>
      <c r="BI1469" s="169"/>
      <c r="BJ1469" s="168">
        <v>0</v>
      </c>
      <c r="BK1469" s="134" t="s">
        <v>2151</v>
      </c>
      <c r="BL1469" s="168">
        <f t="shared" si="83"/>
        <v>0.8</v>
      </c>
      <c r="BM1469" s="167" t="s">
        <v>2152</v>
      </c>
      <c r="BN1469" s="168">
        <f t="shared" si="84"/>
        <v>0.2</v>
      </c>
      <c r="BO1469" s="62"/>
      <c r="BP1469" s="168"/>
      <c r="BQ1469" s="168"/>
      <c r="BR1469" s="168"/>
      <c r="BS1469" s="135" t="s">
        <v>1615</v>
      </c>
      <c r="BT1469" s="176">
        <f t="shared" si="85"/>
        <v>0.77500000000000002</v>
      </c>
      <c r="BU1469" s="167" t="s">
        <v>1616</v>
      </c>
      <c r="BV1469" s="168">
        <f t="shared" si="86"/>
        <v>0.2</v>
      </c>
      <c r="BW1469" s="167" t="s">
        <v>2153</v>
      </c>
      <c r="BX1469" s="168"/>
      <c r="BY1469" s="167" t="s">
        <v>1617</v>
      </c>
      <c r="BZ1469" s="176">
        <f t="shared" si="87"/>
        <v>5.0000000000000001E-3</v>
      </c>
      <c r="CA1469" s="167" t="s">
        <v>1621</v>
      </c>
      <c r="CB1469" s="168">
        <v>0.02</v>
      </c>
      <c r="CC1469" s="104"/>
      <c r="CD1469" s="186"/>
      <c r="CE1469" s="183"/>
      <c r="CF1469" s="183"/>
      <c r="CG1469" s="9"/>
      <c r="CH1469" s="9"/>
      <c r="CI1469" s="9"/>
      <c r="CJ1469" s="9"/>
      <c r="CK1469" s="9"/>
      <c r="CL1469" s="9"/>
      <c r="CM1469" s="9"/>
      <c r="CN1469" s="9"/>
      <c r="CO1469" s="9"/>
      <c r="CP1469" s="9"/>
    </row>
    <row r="1470" spans="1:94" ht="42.75" x14ac:dyDescent="0.25">
      <c r="A1470" s="126" t="s">
        <v>4232</v>
      </c>
      <c r="B1470" s="9" t="s">
        <v>4233</v>
      </c>
      <c r="C1470" s="9"/>
      <c r="D1470" s="9"/>
      <c r="E1470" s="9"/>
      <c r="F1470" s="9"/>
      <c r="G1470" s="9"/>
      <c r="H1470" s="9"/>
      <c r="I1470" s="9"/>
      <c r="J1470" s="9"/>
      <c r="K1470" s="9"/>
      <c r="L1470" s="9"/>
      <c r="M1470" s="9"/>
      <c r="N1470" s="9"/>
      <c r="O1470" s="9"/>
      <c r="P1470" s="9"/>
      <c r="Q1470" s="9"/>
      <c r="R1470" s="9"/>
      <c r="S1470" s="9"/>
      <c r="T1470" s="9"/>
      <c r="U1470" s="9"/>
      <c r="V1470" s="9"/>
      <c r="W1470" s="9"/>
      <c r="X1470" s="9"/>
      <c r="Y1470" s="9"/>
      <c r="Z1470" s="9"/>
      <c r="AA1470" s="9"/>
      <c r="AB1470" s="9"/>
      <c r="AC1470" s="9"/>
      <c r="AD1470" s="9"/>
      <c r="AE1470" s="9"/>
      <c r="AF1470" s="9"/>
      <c r="AG1470" s="9"/>
      <c r="AH1470" s="9"/>
      <c r="AI1470" s="9"/>
      <c r="AJ1470" s="9"/>
      <c r="AK1470" s="9"/>
      <c r="AL1470" s="9"/>
      <c r="AM1470" s="69"/>
      <c r="AN1470" s="9"/>
      <c r="AO1470" s="61" t="s">
        <v>4049</v>
      </c>
      <c r="AP1470" s="212"/>
      <c r="AQ1470" s="213"/>
      <c r="AR1470" s="213"/>
      <c r="AS1470" s="213"/>
      <c r="AT1470" s="213"/>
      <c r="AU1470" s="213"/>
      <c r="AV1470" s="213"/>
      <c r="AW1470" s="62"/>
      <c r="AX1470" s="62"/>
      <c r="AY1470" s="62"/>
      <c r="AZ1470" s="62"/>
      <c r="BA1470" s="141"/>
      <c r="BB1470" s="61"/>
      <c r="BC1470" s="165" t="s">
        <v>1615</v>
      </c>
      <c r="BD1470" s="166">
        <f t="shared" si="80"/>
        <v>0.79500000000000004</v>
      </c>
      <c r="BE1470" s="167" t="s">
        <v>1616</v>
      </c>
      <c r="BF1470" s="168">
        <f t="shared" si="81"/>
        <v>0.2</v>
      </c>
      <c r="BG1470" s="167" t="s">
        <v>1617</v>
      </c>
      <c r="BH1470" s="168">
        <f t="shared" si="82"/>
        <v>5.0000000000000001E-3</v>
      </c>
      <c r="BI1470" s="169"/>
      <c r="BJ1470" s="168">
        <v>0</v>
      </c>
      <c r="BK1470" s="134" t="s">
        <v>2151</v>
      </c>
      <c r="BL1470" s="168">
        <f t="shared" si="83"/>
        <v>0.8</v>
      </c>
      <c r="BM1470" s="167" t="s">
        <v>2152</v>
      </c>
      <c r="BN1470" s="168">
        <f t="shared" si="84"/>
        <v>0.2</v>
      </c>
      <c r="BO1470" s="62"/>
      <c r="BP1470" s="168"/>
      <c r="BQ1470" s="168"/>
      <c r="BR1470" s="168"/>
      <c r="BS1470" s="135" t="s">
        <v>1615</v>
      </c>
      <c r="BT1470" s="176">
        <f t="shared" si="85"/>
        <v>0.77500000000000002</v>
      </c>
      <c r="BU1470" s="167" t="s">
        <v>1616</v>
      </c>
      <c r="BV1470" s="168">
        <f t="shared" si="86"/>
        <v>0.2</v>
      </c>
      <c r="BW1470" s="167" t="s">
        <v>2153</v>
      </c>
      <c r="BX1470" s="168"/>
      <c r="BY1470" s="167" t="s">
        <v>1617</v>
      </c>
      <c r="BZ1470" s="176">
        <f t="shared" si="87"/>
        <v>5.0000000000000001E-3</v>
      </c>
      <c r="CA1470" s="167" t="s">
        <v>1621</v>
      </c>
      <c r="CB1470" s="168">
        <v>0.02</v>
      </c>
      <c r="CC1470" s="104"/>
      <c r="CD1470" s="186"/>
      <c r="CE1470" s="183"/>
      <c r="CF1470" s="183"/>
      <c r="CG1470" s="9"/>
      <c r="CH1470" s="9"/>
      <c r="CI1470" s="9"/>
      <c r="CJ1470" s="9"/>
      <c r="CK1470" s="9"/>
      <c r="CL1470" s="9"/>
      <c r="CM1470" s="9"/>
      <c r="CN1470" s="9"/>
      <c r="CO1470" s="9"/>
      <c r="CP1470" s="9"/>
    </row>
    <row r="1471" spans="1:94" ht="42.75" x14ac:dyDescent="0.25">
      <c r="A1471" s="126" t="s">
        <v>4234</v>
      </c>
      <c r="B1471" s="9" t="s">
        <v>4235</v>
      </c>
      <c r="C1471" s="9"/>
      <c r="D1471" s="9"/>
      <c r="E1471" s="9"/>
      <c r="F1471" s="9"/>
      <c r="G1471" s="9"/>
      <c r="H1471" s="9"/>
      <c r="I1471" s="9"/>
      <c r="J1471" s="9"/>
      <c r="K1471" s="9"/>
      <c r="L1471" s="9"/>
      <c r="M1471" s="9"/>
      <c r="N1471" s="9"/>
      <c r="O1471" s="9"/>
      <c r="P1471" s="9"/>
      <c r="Q1471" s="9"/>
      <c r="R1471" s="9"/>
      <c r="S1471" s="9"/>
      <c r="T1471" s="9"/>
      <c r="U1471" s="9"/>
      <c r="V1471" s="9"/>
      <c r="W1471" s="9"/>
      <c r="X1471" s="9"/>
      <c r="Y1471" s="9"/>
      <c r="Z1471" s="9"/>
      <c r="AA1471" s="9"/>
      <c r="AB1471" s="9"/>
      <c r="AC1471" s="9"/>
      <c r="AD1471" s="9"/>
      <c r="AE1471" s="9"/>
      <c r="AF1471" s="9"/>
      <c r="AG1471" s="9"/>
      <c r="AH1471" s="9"/>
      <c r="AI1471" s="9"/>
      <c r="AJ1471" s="9"/>
      <c r="AK1471" s="9"/>
      <c r="AL1471" s="9"/>
      <c r="AM1471" s="69"/>
      <c r="AN1471" s="9"/>
      <c r="AO1471" s="61" t="s">
        <v>4049</v>
      </c>
      <c r="AP1471" s="212"/>
      <c r="AQ1471" s="213"/>
      <c r="AR1471" s="213"/>
      <c r="AS1471" s="213"/>
      <c r="AT1471" s="213"/>
      <c r="AU1471" s="213"/>
      <c r="AV1471" s="213"/>
      <c r="AW1471" s="62"/>
      <c r="AX1471" s="62"/>
      <c r="AY1471" s="62"/>
      <c r="AZ1471" s="62"/>
      <c r="BA1471" s="141"/>
      <c r="BB1471" s="61"/>
      <c r="BC1471" s="165" t="s">
        <v>1615</v>
      </c>
      <c r="BD1471" s="166">
        <f t="shared" si="80"/>
        <v>0.79500000000000004</v>
      </c>
      <c r="BE1471" s="167" t="s">
        <v>1616</v>
      </c>
      <c r="BF1471" s="168">
        <f t="shared" si="81"/>
        <v>0.2</v>
      </c>
      <c r="BG1471" s="167" t="s">
        <v>1617</v>
      </c>
      <c r="BH1471" s="168">
        <f t="shared" si="82"/>
        <v>5.0000000000000001E-3</v>
      </c>
      <c r="BI1471" s="169"/>
      <c r="BJ1471" s="168">
        <v>0</v>
      </c>
      <c r="BK1471" s="134" t="s">
        <v>2151</v>
      </c>
      <c r="BL1471" s="168">
        <f t="shared" si="83"/>
        <v>0.8</v>
      </c>
      <c r="BM1471" s="167" t="s">
        <v>2152</v>
      </c>
      <c r="BN1471" s="168">
        <f t="shared" si="84"/>
        <v>0.2</v>
      </c>
      <c r="BO1471" s="62"/>
      <c r="BP1471" s="168"/>
      <c r="BQ1471" s="168"/>
      <c r="BR1471" s="168"/>
      <c r="BS1471" s="135" t="s">
        <v>1615</v>
      </c>
      <c r="BT1471" s="176">
        <f t="shared" si="85"/>
        <v>0.77500000000000002</v>
      </c>
      <c r="BU1471" s="167" t="s">
        <v>1616</v>
      </c>
      <c r="BV1471" s="168">
        <f t="shared" si="86"/>
        <v>0.2</v>
      </c>
      <c r="BW1471" s="167" t="s">
        <v>2153</v>
      </c>
      <c r="BX1471" s="168"/>
      <c r="BY1471" s="167" t="s">
        <v>1617</v>
      </c>
      <c r="BZ1471" s="176">
        <f t="shared" si="87"/>
        <v>5.0000000000000001E-3</v>
      </c>
      <c r="CA1471" s="167" t="s">
        <v>1621</v>
      </c>
      <c r="CB1471" s="168">
        <v>0.02</v>
      </c>
      <c r="CC1471" s="104"/>
      <c r="CD1471" s="186"/>
      <c r="CE1471" s="183"/>
      <c r="CF1471" s="183"/>
      <c r="CG1471" s="9"/>
      <c r="CH1471" s="9"/>
      <c r="CI1471" s="9"/>
      <c r="CJ1471" s="9"/>
      <c r="CK1471" s="9"/>
      <c r="CL1471" s="9"/>
      <c r="CM1471" s="9"/>
      <c r="CN1471" s="9"/>
      <c r="CO1471" s="9"/>
      <c r="CP1471" s="9"/>
    </row>
    <row r="1472" spans="1:94" ht="42.75" x14ac:dyDescent="0.25">
      <c r="A1472" s="126" t="s">
        <v>4236</v>
      </c>
      <c r="B1472" s="9" t="s">
        <v>4237</v>
      </c>
      <c r="C1472" s="9"/>
      <c r="D1472" s="9"/>
      <c r="E1472" s="9"/>
      <c r="F1472" s="9"/>
      <c r="G1472" s="9"/>
      <c r="H1472" s="9"/>
      <c r="I1472" s="9"/>
      <c r="J1472" s="9"/>
      <c r="K1472" s="9"/>
      <c r="L1472" s="9"/>
      <c r="M1472" s="9"/>
      <c r="N1472" s="9"/>
      <c r="O1472" s="9"/>
      <c r="P1472" s="9"/>
      <c r="Q1472" s="9"/>
      <c r="R1472" s="9"/>
      <c r="S1472" s="9"/>
      <c r="T1472" s="9"/>
      <c r="U1472" s="9"/>
      <c r="V1472" s="9"/>
      <c r="W1472" s="9"/>
      <c r="X1472" s="9"/>
      <c r="Y1472" s="9"/>
      <c r="Z1472" s="9"/>
      <c r="AA1472" s="9"/>
      <c r="AB1472" s="9"/>
      <c r="AC1472" s="9"/>
      <c r="AD1472" s="9"/>
      <c r="AE1472" s="9"/>
      <c r="AF1472" s="9"/>
      <c r="AG1472" s="9"/>
      <c r="AH1472" s="9"/>
      <c r="AI1472" s="9"/>
      <c r="AJ1472" s="9"/>
      <c r="AK1472" s="9"/>
      <c r="AL1472" s="9"/>
      <c r="AM1472" s="69"/>
      <c r="AN1472" s="9"/>
      <c r="AO1472" s="69" t="s">
        <v>2150</v>
      </c>
      <c r="AP1472" s="210"/>
      <c r="AQ1472" s="211"/>
      <c r="AR1472" s="211"/>
      <c r="AS1472" s="211"/>
      <c r="AT1472" s="211"/>
      <c r="AU1472" s="211"/>
      <c r="AV1472" s="211"/>
      <c r="AW1472" s="9"/>
      <c r="AX1472" s="9"/>
      <c r="AY1472" s="9"/>
      <c r="AZ1472" s="9"/>
      <c r="BA1472" s="120"/>
      <c r="BB1472" s="69"/>
      <c r="BC1472" s="165" t="s">
        <v>1615</v>
      </c>
      <c r="BD1472" s="166">
        <f t="shared" si="80"/>
        <v>0.79500000000000004</v>
      </c>
      <c r="BE1472" s="167" t="s">
        <v>1616</v>
      </c>
      <c r="BF1472" s="168">
        <f t="shared" si="81"/>
        <v>0.2</v>
      </c>
      <c r="BG1472" s="167" t="s">
        <v>1617</v>
      </c>
      <c r="BH1472" s="168">
        <f t="shared" si="82"/>
        <v>5.0000000000000001E-3</v>
      </c>
      <c r="BI1472" s="169"/>
      <c r="BJ1472" s="168">
        <v>0</v>
      </c>
      <c r="BK1472" s="134" t="s">
        <v>2151</v>
      </c>
      <c r="BL1472" s="168">
        <f t="shared" si="83"/>
        <v>0.8</v>
      </c>
      <c r="BM1472" s="167" t="s">
        <v>2152</v>
      </c>
      <c r="BN1472" s="168">
        <f t="shared" si="84"/>
        <v>0.2</v>
      </c>
      <c r="BO1472" s="62"/>
      <c r="BP1472" s="168"/>
      <c r="BQ1472" s="168"/>
      <c r="BR1472" s="168"/>
      <c r="BS1472" s="135" t="s">
        <v>1615</v>
      </c>
      <c r="BT1472" s="176">
        <f t="shared" si="85"/>
        <v>0.77500000000000002</v>
      </c>
      <c r="BU1472" s="167" t="s">
        <v>1616</v>
      </c>
      <c r="BV1472" s="168">
        <f t="shared" si="86"/>
        <v>0.2</v>
      </c>
      <c r="BW1472" s="167" t="s">
        <v>2153</v>
      </c>
      <c r="BX1472" s="168"/>
      <c r="BY1472" s="167" t="s">
        <v>1617</v>
      </c>
      <c r="BZ1472" s="176">
        <f t="shared" si="87"/>
        <v>5.0000000000000001E-3</v>
      </c>
      <c r="CA1472" s="167" t="s">
        <v>1621</v>
      </c>
      <c r="CB1472" s="168">
        <v>0.02</v>
      </c>
      <c r="CC1472" s="104"/>
      <c r="CD1472" s="186"/>
      <c r="CE1472" s="9"/>
      <c r="CF1472" s="9"/>
      <c r="CG1472" s="9"/>
      <c r="CH1472" s="9"/>
      <c r="CI1472" s="9"/>
      <c r="CJ1472" s="9"/>
      <c r="CK1472" s="9"/>
      <c r="CL1472" s="9"/>
      <c r="CM1472" s="9"/>
      <c r="CN1472" s="9"/>
      <c r="CO1472" s="9"/>
      <c r="CP1472" s="9"/>
    </row>
    <row r="1473" spans="1:94" ht="42.75" x14ac:dyDescent="0.25">
      <c r="A1473" s="126" t="s">
        <v>4238</v>
      </c>
      <c r="B1473" s="9" t="s">
        <v>4239</v>
      </c>
      <c r="C1473" s="9"/>
      <c r="D1473" s="9"/>
      <c r="E1473" s="9"/>
      <c r="F1473" s="9"/>
      <c r="G1473" s="9"/>
      <c r="H1473" s="9"/>
      <c r="I1473" s="9"/>
      <c r="J1473" s="9"/>
      <c r="K1473" s="9"/>
      <c r="L1473" s="9"/>
      <c r="M1473" s="9"/>
      <c r="N1473" s="9"/>
      <c r="O1473" s="9"/>
      <c r="P1473" s="9"/>
      <c r="Q1473" s="9"/>
      <c r="R1473" s="9"/>
      <c r="S1473" s="9"/>
      <c r="T1473" s="9"/>
      <c r="U1473" s="9"/>
      <c r="V1473" s="9"/>
      <c r="W1473" s="9"/>
      <c r="X1473" s="9"/>
      <c r="Y1473" s="9"/>
      <c r="Z1473" s="9"/>
      <c r="AA1473" s="9"/>
      <c r="AB1473" s="9"/>
      <c r="AC1473" s="9"/>
      <c r="AD1473" s="9"/>
      <c r="AE1473" s="9"/>
      <c r="AF1473" s="9"/>
      <c r="AG1473" s="9"/>
      <c r="AH1473" s="9"/>
      <c r="AI1473" s="9"/>
      <c r="AJ1473" s="9"/>
      <c r="AK1473" s="9"/>
      <c r="AL1473" s="9"/>
      <c r="AM1473" s="69"/>
      <c r="AN1473" s="9"/>
      <c r="AO1473" s="69" t="s">
        <v>2150</v>
      </c>
      <c r="AP1473" s="210"/>
      <c r="AQ1473" s="211"/>
      <c r="AR1473" s="211"/>
      <c r="AS1473" s="211"/>
      <c r="AT1473" s="211"/>
      <c r="AU1473" s="211"/>
      <c r="AV1473" s="211"/>
      <c r="AW1473" s="9"/>
      <c r="AX1473" s="9"/>
      <c r="AY1473" s="9"/>
      <c r="AZ1473" s="9"/>
      <c r="BA1473" s="120"/>
      <c r="BB1473" s="69"/>
      <c r="BC1473" s="165" t="s">
        <v>1615</v>
      </c>
      <c r="BD1473" s="166">
        <f t="shared" si="80"/>
        <v>0.79500000000000004</v>
      </c>
      <c r="BE1473" s="167" t="s">
        <v>1616</v>
      </c>
      <c r="BF1473" s="168">
        <f t="shared" si="81"/>
        <v>0.2</v>
      </c>
      <c r="BG1473" s="167" t="s">
        <v>1617</v>
      </c>
      <c r="BH1473" s="168">
        <f t="shared" si="82"/>
        <v>5.0000000000000001E-3</v>
      </c>
      <c r="BI1473" s="169"/>
      <c r="BJ1473" s="168">
        <v>0</v>
      </c>
      <c r="BK1473" s="134" t="s">
        <v>2151</v>
      </c>
      <c r="BL1473" s="168">
        <f t="shared" si="83"/>
        <v>0.8</v>
      </c>
      <c r="BM1473" s="167" t="s">
        <v>2152</v>
      </c>
      <c r="BN1473" s="168">
        <f t="shared" si="84"/>
        <v>0.2</v>
      </c>
      <c r="BO1473" s="62"/>
      <c r="BP1473" s="168"/>
      <c r="BQ1473" s="168"/>
      <c r="BR1473" s="168"/>
      <c r="BS1473" s="135" t="s">
        <v>1615</v>
      </c>
      <c r="BT1473" s="176">
        <f t="shared" si="85"/>
        <v>0.77500000000000002</v>
      </c>
      <c r="BU1473" s="167" t="s">
        <v>1616</v>
      </c>
      <c r="BV1473" s="168">
        <f t="shared" si="86"/>
        <v>0.2</v>
      </c>
      <c r="BW1473" s="167" t="s">
        <v>2153</v>
      </c>
      <c r="BX1473" s="168"/>
      <c r="BY1473" s="167" t="s">
        <v>1617</v>
      </c>
      <c r="BZ1473" s="176">
        <f t="shared" si="87"/>
        <v>5.0000000000000001E-3</v>
      </c>
      <c r="CA1473" s="167" t="s">
        <v>1621</v>
      </c>
      <c r="CB1473" s="168">
        <v>0.02</v>
      </c>
      <c r="CC1473" s="104"/>
      <c r="CD1473" s="186"/>
      <c r="CE1473" s="183"/>
      <c r="CF1473" s="183"/>
      <c r="CG1473" s="9"/>
      <c r="CH1473" s="9"/>
      <c r="CI1473" s="9"/>
      <c r="CJ1473" s="9"/>
      <c r="CK1473" s="9"/>
      <c r="CL1473" s="9"/>
      <c r="CM1473" s="9"/>
      <c r="CN1473" s="9"/>
      <c r="CO1473" s="9"/>
      <c r="CP1473" s="9"/>
    </row>
    <row r="1474" spans="1:94" ht="42.75" x14ac:dyDescent="0.25">
      <c r="A1474" s="126" t="s">
        <v>4240</v>
      </c>
      <c r="B1474" s="9" t="s">
        <v>4241</v>
      </c>
      <c r="C1474" s="9"/>
      <c r="D1474" s="9"/>
      <c r="E1474" s="9"/>
      <c r="F1474" s="9"/>
      <c r="G1474" s="9"/>
      <c r="H1474" s="9"/>
      <c r="I1474" s="9"/>
      <c r="J1474" s="9"/>
      <c r="K1474" s="9"/>
      <c r="L1474" s="9"/>
      <c r="M1474" s="9"/>
      <c r="N1474" s="9"/>
      <c r="O1474" s="9"/>
      <c r="P1474" s="9"/>
      <c r="Q1474" s="9"/>
      <c r="R1474" s="9"/>
      <c r="S1474" s="9"/>
      <c r="T1474" s="9"/>
      <c r="U1474" s="9"/>
      <c r="V1474" s="9"/>
      <c r="W1474" s="9"/>
      <c r="X1474" s="9"/>
      <c r="Y1474" s="9"/>
      <c r="Z1474" s="9"/>
      <c r="AA1474" s="9"/>
      <c r="AB1474" s="9"/>
      <c r="AC1474" s="9"/>
      <c r="AD1474" s="9"/>
      <c r="AE1474" s="9"/>
      <c r="AF1474" s="9"/>
      <c r="AG1474" s="9"/>
      <c r="AH1474" s="9"/>
      <c r="AI1474" s="9"/>
      <c r="AJ1474" s="9"/>
      <c r="AK1474" s="9"/>
      <c r="AL1474" s="9"/>
      <c r="AM1474" s="69"/>
      <c r="AN1474" s="9"/>
      <c r="AO1474" s="69" t="s">
        <v>2150</v>
      </c>
      <c r="AP1474" s="210"/>
      <c r="AQ1474" s="211"/>
      <c r="AR1474" s="211"/>
      <c r="AS1474" s="211"/>
      <c r="AT1474" s="211"/>
      <c r="AU1474" s="211"/>
      <c r="AV1474" s="211"/>
      <c r="AW1474" s="9"/>
      <c r="AX1474" s="9"/>
      <c r="AY1474" s="9"/>
      <c r="AZ1474" s="9"/>
      <c r="BA1474" s="120"/>
      <c r="BB1474" s="69"/>
      <c r="BC1474" s="165" t="s">
        <v>1615</v>
      </c>
      <c r="BD1474" s="166">
        <f t="shared" si="80"/>
        <v>0.79500000000000004</v>
      </c>
      <c r="BE1474" s="167" t="s">
        <v>1616</v>
      </c>
      <c r="BF1474" s="168">
        <f t="shared" si="81"/>
        <v>0.2</v>
      </c>
      <c r="BG1474" s="167" t="s">
        <v>1617</v>
      </c>
      <c r="BH1474" s="168">
        <f t="shared" si="82"/>
        <v>5.0000000000000001E-3</v>
      </c>
      <c r="BI1474" s="169"/>
      <c r="BJ1474" s="168">
        <v>0</v>
      </c>
      <c r="BK1474" s="134" t="s">
        <v>2151</v>
      </c>
      <c r="BL1474" s="168">
        <f t="shared" si="83"/>
        <v>0.8</v>
      </c>
      <c r="BM1474" s="167" t="s">
        <v>2152</v>
      </c>
      <c r="BN1474" s="168">
        <f t="shared" si="84"/>
        <v>0.2</v>
      </c>
      <c r="BO1474" s="62"/>
      <c r="BP1474" s="168"/>
      <c r="BQ1474" s="168"/>
      <c r="BR1474" s="168"/>
      <c r="BS1474" s="135" t="s">
        <v>1615</v>
      </c>
      <c r="BT1474" s="176">
        <f t="shared" si="85"/>
        <v>0.77500000000000002</v>
      </c>
      <c r="BU1474" s="167" t="s">
        <v>1616</v>
      </c>
      <c r="BV1474" s="168">
        <f t="shared" si="86"/>
        <v>0.2</v>
      </c>
      <c r="BW1474" s="167" t="s">
        <v>2153</v>
      </c>
      <c r="BX1474" s="168"/>
      <c r="BY1474" s="167" t="s">
        <v>1617</v>
      </c>
      <c r="BZ1474" s="176">
        <f t="shared" si="87"/>
        <v>5.0000000000000001E-3</v>
      </c>
      <c r="CA1474" s="167" t="s">
        <v>1621</v>
      </c>
      <c r="CB1474" s="168">
        <v>0.02</v>
      </c>
      <c r="CC1474" s="104"/>
      <c r="CD1474" s="186"/>
      <c r="CE1474" s="183"/>
      <c r="CF1474" s="183"/>
      <c r="CG1474" s="9"/>
      <c r="CH1474" s="9"/>
      <c r="CI1474" s="9"/>
      <c r="CJ1474" s="9"/>
      <c r="CK1474" s="9"/>
      <c r="CL1474" s="9"/>
      <c r="CM1474" s="9"/>
      <c r="CN1474" s="9"/>
      <c r="CO1474" s="9"/>
      <c r="CP1474" s="9"/>
    </row>
    <row r="1475" spans="1:94" ht="42.75" x14ac:dyDescent="0.25">
      <c r="A1475" s="126" t="s">
        <v>4242</v>
      </c>
      <c r="B1475" s="9" t="s">
        <v>4243</v>
      </c>
      <c r="C1475" s="9"/>
      <c r="D1475" s="9"/>
      <c r="E1475" s="9"/>
      <c r="F1475" s="9"/>
      <c r="G1475" s="9"/>
      <c r="H1475" s="9"/>
      <c r="I1475" s="9"/>
      <c r="J1475" s="9"/>
      <c r="K1475" s="9"/>
      <c r="L1475" s="9"/>
      <c r="M1475" s="9"/>
      <c r="N1475" s="9"/>
      <c r="O1475" s="9"/>
      <c r="P1475" s="9"/>
      <c r="Q1475" s="9"/>
      <c r="R1475" s="9"/>
      <c r="S1475" s="9"/>
      <c r="T1475" s="9"/>
      <c r="U1475" s="9"/>
      <c r="V1475" s="9"/>
      <c r="W1475" s="9"/>
      <c r="X1475" s="9"/>
      <c r="Y1475" s="9"/>
      <c r="Z1475" s="9"/>
      <c r="AA1475" s="9"/>
      <c r="AB1475" s="9"/>
      <c r="AC1475" s="9"/>
      <c r="AD1475" s="9"/>
      <c r="AE1475" s="9"/>
      <c r="AF1475" s="9"/>
      <c r="AG1475" s="9"/>
      <c r="AH1475" s="9"/>
      <c r="AI1475" s="9"/>
      <c r="AJ1475" s="9"/>
      <c r="AK1475" s="9"/>
      <c r="AL1475" s="9"/>
      <c r="AM1475" s="69"/>
      <c r="AN1475" s="9"/>
      <c r="AO1475" s="61" t="s">
        <v>4049</v>
      </c>
      <c r="AP1475" s="210"/>
      <c r="AQ1475" s="211"/>
      <c r="AR1475" s="211"/>
      <c r="AS1475" s="211"/>
      <c r="AT1475" s="211"/>
      <c r="AU1475" s="211"/>
      <c r="AV1475" s="211"/>
      <c r="AW1475" s="9"/>
      <c r="AX1475" s="9"/>
      <c r="AY1475" s="9"/>
      <c r="AZ1475" s="9"/>
      <c r="BA1475" s="120"/>
      <c r="BB1475" s="69"/>
      <c r="BC1475" s="165" t="s">
        <v>1615</v>
      </c>
      <c r="BD1475" s="166">
        <f t="shared" si="80"/>
        <v>0.79500000000000004</v>
      </c>
      <c r="BE1475" s="167" t="s">
        <v>1616</v>
      </c>
      <c r="BF1475" s="168">
        <f t="shared" si="81"/>
        <v>0.2</v>
      </c>
      <c r="BG1475" s="167" t="s">
        <v>1617</v>
      </c>
      <c r="BH1475" s="168">
        <f t="shared" si="82"/>
        <v>5.0000000000000001E-3</v>
      </c>
      <c r="BI1475" s="169"/>
      <c r="BJ1475" s="168">
        <v>0</v>
      </c>
      <c r="BK1475" s="134" t="s">
        <v>2151</v>
      </c>
      <c r="BL1475" s="168">
        <f t="shared" si="83"/>
        <v>0.8</v>
      </c>
      <c r="BM1475" s="167" t="s">
        <v>2152</v>
      </c>
      <c r="BN1475" s="168">
        <f t="shared" si="84"/>
        <v>0.2</v>
      </c>
      <c r="BO1475" s="62"/>
      <c r="BP1475" s="168"/>
      <c r="BQ1475" s="168"/>
      <c r="BR1475" s="168"/>
      <c r="BS1475" s="135" t="s">
        <v>1615</v>
      </c>
      <c r="BT1475" s="176">
        <f t="shared" si="85"/>
        <v>0.77500000000000002</v>
      </c>
      <c r="BU1475" s="167" t="s">
        <v>1616</v>
      </c>
      <c r="BV1475" s="168">
        <f t="shared" si="86"/>
        <v>0.2</v>
      </c>
      <c r="BW1475" s="167" t="s">
        <v>2153</v>
      </c>
      <c r="BX1475" s="168"/>
      <c r="BY1475" s="167" t="s">
        <v>1617</v>
      </c>
      <c r="BZ1475" s="176">
        <f t="shared" si="87"/>
        <v>5.0000000000000001E-3</v>
      </c>
      <c r="CA1475" s="167" t="s">
        <v>1621</v>
      </c>
      <c r="CB1475" s="168">
        <v>0.02</v>
      </c>
      <c r="CC1475" s="104"/>
      <c r="CD1475" s="186"/>
      <c r="CE1475" s="183"/>
      <c r="CF1475" s="183"/>
      <c r="CG1475" s="9"/>
      <c r="CH1475" s="9"/>
      <c r="CI1475" s="9"/>
      <c r="CJ1475" s="9"/>
      <c r="CK1475" s="9"/>
      <c r="CL1475" s="9"/>
      <c r="CM1475" s="9"/>
      <c r="CN1475" s="9"/>
      <c r="CO1475" s="9"/>
      <c r="CP1475" s="9"/>
    </row>
    <row r="1476" spans="1:94" ht="42.75" x14ac:dyDescent="0.25">
      <c r="A1476" s="9" t="s">
        <v>4244</v>
      </c>
      <c r="B1476" s="9" t="s">
        <v>4245</v>
      </c>
      <c r="C1476" s="9"/>
      <c r="D1476" s="9"/>
      <c r="E1476" s="9"/>
      <c r="F1476" s="9"/>
      <c r="G1476" s="9"/>
      <c r="H1476" s="9"/>
      <c r="I1476" s="9"/>
      <c r="J1476" s="9"/>
      <c r="K1476" s="9"/>
      <c r="L1476" s="9"/>
      <c r="M1476" s="9"/>
      <c r="N1476" s="9"/>
      <c r="O1476" s="9"/>
      <c r="P1476" s="9"/>
      <c r="Q1476" s="9"/>
      <c r="R1476" s="9"/>
      <c r="S1476" s="9"/>
      <c r="T1476" s="9"/>
      <c r="U1476" s="9"/>
      <c r="V1476" s="9"/>
      <c r="W1476" s="9"/>
      <c r="X1476" s="9"/>
      <c r="Y1476" s="9"/>
      <c r="Z1476" s="9"/>
      <c r="AA1476" s="9"/>
      <c r="AB1476" s="9"/>
      <c r="AC1476" s="9"/>
      <c r="AD1476" s="9"/>
      <c r="AE1476" s="9"/>
      <c r="AF1476" s="9"/>
      <c r="AG1476" s="9"/>
      <c r="AH1476" s="9"/>
      <c r="AI1476" s="9"/>
      <c r="AJ1476" s="9"/>
      <c r="AK1476" s="9"/>
      <c r="AL1476" s="9"/>
      <c r="AM1476" s="69"/>
      <c r="AN1476" s="9"/>
      <c r="AO1476" s="69" t="s">
        <v>2150</v>
      </c>
      <c r="AP1476" s="210"/>
      <c r="AQ1476" s="211"/>
      <c r="AR1476" s="211"/>
      <c r="AS1476" s="211"/>
      <c r="AT1476" s="211"/>
      <c r="AU1476" s="211"/>
      <c r="AV1476" s="211"/>
      <c r="AW1476" s="9"/>
      <c r="AX1476" s="9"/>
      <c r="AY1476" s="9"/>
      <c r="AZ1476" s="9"/>
      <c r="BA1476" s="120"/>
      <c r="BB1476" s="69"/>
      <c r="BC1476" s="165" t="s">
        <v>1615</v>
      </c>
      <c r="BD1476" s="166">
        <f t="shared" si="80"/>
        <v>0.79500000000000004</v>
      </c>
      <c r="BE1476" s="167" t="s">
        <v>1616</v>
      </c>
      <c r="BF1476" s="168">
        <f t="shared" si="81"/>
        <v>0.2</v>
      </c>
      <c r="BG1476" s="167" t="s">
        <v>1617</v>
      </c>
      <c r="BH1476" s="168">
        <f t="shared" si="82"/>
        <v>5.0000000000000001E-3</v>
      </c>
      <c r="BI1476" s="169"/>
      <c r="BJ1476" s="168">
        <v>0</v>
      </c>
      <c r="BK1476" s="134" t="s">
        <v>2151</v>
      </c>
      <c r="BL1476" s="168">
        <f t="shared" si="83"/>
        <v>0.8</v>
      </c>
      <c r="BM1476" s="167" t="s">
        <v>2152</v>
      </c>
      <c r="BN1476" s="168">
        <f t="shared" si="84"/>
        <v>0.2</v>
      </c>
      <c r="BO1476" s="62"/>
      <c r="BP1476" s="168"/>
      <c r="BQ1476" s="168"/>
      <c r="BR1476" s="168"/>
      <c r="BS1476" s="135" t="s">
        <v>1615</v>
      </c>
      <c r="BT1476" s="176">
        <f t="shared" si="85"/>
        <v>0.77500000000000002</v>
      </c>
      <c r="BU1476" s="167" t="s">
        <v>1616</v>
      </c>
      <c r="BV1476" s="168">
        <f t="shared" si="86"/>
        <v>0.2</v>
      </c>
      <c r="BW1476" s="167" t="s">
        <v>2153</v>
      </c>
      <c r="BX1476" s="168"/>
      <c r="BY1476" s="167" t="s">
        <v>1617</v>
      </c>
      <c r="BZ1476" s="176">
        <f t="shared" si="87"/>
        <v>5.0000000000000001E-3</v>
      </c>
      <c r="CA1476" s="167" t="s">
        <v>1621</v>
      </c>
      <c r="CB1476" s="168">
        <v>0.02</v>
      </c>
      <c r="CC1476" s="104"/>
      <c r="CD1476" s="186"/>
      <c r="CE1476" s="183"/>
      <c r="CF1476" s="183"/>
      <c r="CG1476" s="9"/>
      <c r="CH1476" s="9"/>
      <c r="CI1476" s="9"/>
      <c r="CJ1476" s="9"/>
      <c r="CK1476" s="9"/>
      <c r="CL1476" s="9"/>
      <c r="CM1476" s="9"/>
      <c r="CN1476" s="9"/>
      <c r="CO1476" s="9"/>
      <c r="CP1476" s="9"/>
    </row>
    <row r="1477" spans="1:94" ht="42.75" x14ac:dyDescent="0.25">
      <c r="A1477" s="126" t="s">
        <v>4246</v>
      </c>
      <c r="B1477" s="9" t="s">
        <v>4247</v>
      </c>
      <c r="C1477" s="9"/>
      <c r="D1477" s="9"/>
      <c r="E1477" s="9"/>
      <c r="F1477" s="9"/>
      <c r="G1477" s="9"/>
      <c r="H1477" s="9"/>
      <c r="I1477" s="9"/>
      <c r="J1477" s="9"/>
      <c r="K1477" s="9"/>
      <c r="L1477" s="9"/>
      <c r="M1477" s="9"/>
      <c r="N1477" s="9"/>
      <c r="O1477" s="9"/>
      <c r="P1477" s="9"/>
      <c r="Q1477" s="9"/>
      <c r="R1477" s="9"/>
      <c r="S1477" s="9"/>
      <c r="T1477" s="9"/>
      <c r="U1477" s="9"/>
      <c r="V1477" s="9"/>
      <c r="W1477" s="9"/>
      <c r="X1477" s="9"/>
      <c r="Y1477" s="9"/>
      <c r="Z1477" s="9"/>
      <c r="AA1477" s="9"/>
      <c r="AB1477" s="9"/>
      <c r="AC1477" s="9"/>
      <c r="AD1477" s="9"/>
      <c r="AE1477" s="9"/>
      <c r="AF1477" s="9"/>
      <c r="AG1477" s="9"/>
      <c r="AH1477" s="9"/>
      <c r="AI1477" s="9"/>
      <c r="AJ1477" s="9"/>
      <c r="AK1477" s="9"/>
      <c r="AL1477" s="9"/>
      <c r="AM1477" s="69"/>
      <c r="AN1477" s="9"/>
      <c r="AO1477" s="69" t="s">
        <v>2150</v>
      </c>
      <c r="AP1477" s="210"/>
      <c r="AQ1477" s="211"/>
      <c r="AR1477" s="211"/>
      <c r="AS1477" s="211"/>
      <c r="AT1477" s="211"/>
      <c r="AU1477" s="211"/>
      <c r="AV1477" s="211"/>
      <c r="AW1477" s="9"/>
      <c r="AX1477" s="9"/>
      <c r="AY1477" s="9"/>
      <c r="AZ1477" s="9"/>
      <c r="BA1477" s="120"/>
      <c r="BB1477" s="69"/>
      <c r="BC1477" s="165" t="s">
        <v>1615</v>
      </c>
      <c r="BD1477" s="166">
        <f t="shared" si="80"/>
        <v>0.79500000000000004</v>
      </c>
      <c r="BE1477" s="167" t="s">
        <v>1616</v>
      </c>
      <c r="BF1477" s="168">
        <f t="shared" si="81"/>
        <v>0.2</v>
      </c>
      <c r="BG1477" s="167" t="s">
        <v>1617</v>
      </c>
      <c r="BH1477" s="168">
        <f t="shared" si="82"/>
        <v>5.0000000000000001E-3</v>
      </c>
      <c r="BI1477" s="169"/>
      <c r="BJ1477" s="168">
        <v>0</v>
      </c>
      <c r="BK1477" s="134" t="s">
        <v>2151</v>
      </c>
      <c r="BL1477" s="168">
        <f t="shared" si="83"/>
        <v>0.8</v>
      </c>
      <c r="BM1477" s="167" t="s">
        <v>2152</v>
      </c>
      <c r="BN1477" s="168">
        <f t="shared" si="84"/>
        <v>0.2</v>
      </c>
      <c r="BO1477" s="62"/>
      <c r="BP1477" s="168"/>
      <c r="BQ1477" s="168"/>
      <c r="BR1477" s="168"/>
      <c r="BS1477" s="135" t="s">
        <v>1615</v>
      </c>
      <c r="BT1477" s="176">
        <f t="shared" si="85"/>
        <v>0.77500000000000002</v>
      </c>
      <c r="BU1477" s="167" t="s">
        <v>1616</v>
      </c>
      <c r="BV1477" s="168">
        <f t="shared" si="86"/>
        <v>0.2</v>
      </c>
      <c r="BW1477" s="167" t="s">
        <v>2153</v>
      </c>
      <c r="BX1477" s="168"/>
      <c r="BY1477" s="167" t="s">
        <v>1617</v>
      </c>
      <c r="BZ1477" s="176">
        <f t="shared" si="87"/>
        <v>5.0000000000000001E-3</v>
      </c>
      <c r="CA1477" s="167" t="s">
        <v>1621</v>
      </c>
      <c r="CB1477" s="168">
        <v>0.02</v>
      </c>
      <c r="CC1477" s="104"/>
      <c r="CD1477" s="186"/>
      <c r="CE1477" s="183"/>
      <c r="CF1477" s="183"/>
      <c r="CG1477" s="9"/>
      <c r="CH1477" s="9"/>
      <c r="CI1477" s="9"/>
      <c r="CJ1477" s="9"/>
      <c r="CK1477" s="9"/>
      <c r="CL1477" s="9"/>
      <c r="CM1477" s="9"/>
      <c r="CN1477" s="9"/>
      <c r="CO1477" s="9"/>
      <c r="CP1477" s="9"/>
    </row>
    <row r="1478" spans="1:94" ht="42.75" x14ac:dyDescent="0.25">
      <c r="A1478" s="126" t="s">
        <v>4248</v>
      </c>
      <c r="B1478" s="9" t="s">
        <v>4249</v>
      </c>
      <c r="C1478" s="9"/>
      <c r="D1478" s="9"/>
      <c r="E1478" s="9"/>
      <c r="F1478" s="9"/>
      <c r="G1478" s="9"/>
      <c r="H1478" s="9"/>
      <c r="I1478" s="9"/>
      <c r="J1478" s="9"/>
      <c r="K1478" s="9"/>
      <c r="L1478" s="9"/>
      <c r="M1478" s="9"/>
      <c r="N1478" s="9"/>
      <c r="O1478" s="9"/>
      <c r="P1478" s="9"/>
      <c r="Q1478" s="9"/>
      <c r="R1478" s="9"/>
      <c r="S1478" s="9"/>
      <c r="T1478" s="9"/>
      <c r="U1478" s="9"/>
      <c r="V1478" s="9"/>
      <c r="W1478" s="9"/>
      <c r="X1478" s="9"/>
      <c r="Y1478" s="9"/>
      <c r="Z1478" s="9"/>
      <c r="AA1478" s="9"/>
      <c r="AB1478" s="9"/>
      <c r="AC1478" s="9"/>
      <c r="AD1478" s="9"/>
      <c r="AE1478" s="9"/>
      <c r="AF1478" s="9"/>
      <c r="AG1478" s="9"/>
      <c r="AH1478" s="9"/>
      <c r="AI1478" s="9"/>
      <c r="AJ1478" s="9"/>
      <c r="AK1478" s="9"/>
      <c r="AL1478" s="9"/>
      <c r="AM1478" s="69"/>
      <c r="AN1478" s="9"/>
      <c r="AO1478" s="69" t="s">
        <v>2150</v>
      </c>
      <c r="AP1478" s="210"/>
      <c r="AQ1478" s="211"/>
      <c r="AR1478" s="211"/>
      <c r="AS1478" s="211"/>
      <c r="AT1478" s="211"/>
      <c r="AU1478" s="211"/>
      <c r="AV1478" s="211"/>
      <c r="AW1478" s="9"/>
      <c r="AX1478" s="9"/>
      <c r="AY1478" s="9"/>
      <c r="AZ1478" s="9"/>
      <c r="BA1478" s="120"/>
      <c r="BB1478" s="69"/>
      <c r="BC1478" s="165" t="s">
        <v>1615</v>
      </c>
      <c r="BD1478" s="166">
        <f t="shared" si="80"/>
        <v>0.79500000000000004</v>
      </c>
      <c r="BE1478" s="167" t="s">
        <v>1616</v>
      </c>
      <c r="BF1478" s="168">
        <f t="shared" si="81"/>
        <v>0.2</v>
      </c>
      <c r="BG1478" s="167" t="s">
        <v>1617</v>
      </c>
      <c r="BH1478" s="168">
        <f t="shared" si="82"/>
        <v>5.0000000000000001E-3</v>
      </c>
      <c r="BI1478" s="169"/>
      <c r="BJ1478" s="168">
        <v>0</v>
      </c>
      <c r="BK1478" s="134" t="s">
        <v>2151</v>
      </c>
      <c r="BL1478" s="168">
        <f t="shared" si="83"/>
        <v>0.8</v>
      </c>
      <c r="BM1478" s="167" t="s">
        <v>2152</v>
      </c>
      <c r="BN1478" s="168">
        <f t="shared" si="84"/>
        <v>0.2</v>
      </c>
      <c r="BO1478" s="62"/>
      <c r="BP1478" s="168"/>
      <c r="BQ1478" s="168"/>
      <c r="BR1478" s="168"/>
      <c r="BS1478" s="135" t="s">
        <v>1615</v>
      </c>
      <c r="BT1478" s="176">
        <f t="shared" si="85"/>
        <v>0.77500000000000002</v>
      </c>
      <c r="BU1478" s="167" t="s">
        <v>1616</v>
      </c>
      <c r="BV1478" s="168">
        <f t="shared" si="86"/>
        <v>0.2</v>
      </c>
      <c r="BW1478" s="167" t="s">
        <v>2153</v>
      </c>
      <c r="BX1478" s="168"/>
      <c r="BY1478" s="167" t="s">
        <v>1617</v>
      </c>
      <c r="BZ1478" s="176">
        <f t="shared" si="87"/>
        <v>5.0000000000000001E-3</v>
      </c>
      <c r="CA1478" s="167" t="s">
        <v>1621</v>
      </c>
      <c r="CB1478" s="168">
        <v>0.02</v>
      </c>
      <c r="CC1478" s="104"/>
      <c r="CD1478" s="186"/>
      <c r="CE1478" s="183"/>
      <c r="CF1478" s="183"/>
      <c r="CG1478" s="9"/>
      <c r="CH1478" s="9"/>
      <c r="CI1478" s="9"/>
      <c r="CJ1478" s="9"/>
      <c r="CK1478" s="9"/>
      <c r="CL1478" s="9"/>
      <c r="CM1478" s="9"/>
      <c r="CN1478" s="9"/>
      <c r="CO1478" s="9"/>
      <c r="CP1478" s="9"/>
    </row>
    <row r="1479" spans="1:94" ht="42.75" x14ac:dyDescent="0.25">
      <c r="A1479" s="126" t="s">
        <v>4250</v>
      </c>
      <c r="B1479" s="9" t="s">
        <v>4251</v>
      </c>
      <c r="C1479" s="9"/>
      <c r="D1479" s="9"/>
      <c r="E1479" s="9"/>
      <c r="F1479" s="9"/>
      <c r="G1479" s="9"/>
      <c r="H1479" s="9"/>
      <c r="I1479" s="9"/>
      <c r="J1479" s="9"/>
      <c r="K1479" s="9"/>
      <c r="L1479" s="9"/>
      <c r="M1479" s="9"/>
      <c r="N1479" s="9"/>
      <c r="O1479" s="9"/>
      <c r="P1479" s="9"/>
      <c r="Q1479" s="9"/>
      <c r="R1479" s="9"/>
      <c r="S1479" s="9"/>
      <c r="T1479" s="9"/>
      <c r="U1479" s="9"/>
      <c r="V1479" s="9"/>
      <c r="W1479" s="9"/>
      <c r="X1479" s="9"/>
      <c r="Y1479" s="9"/>
      <c r="Z1479" s="9"/>
      <c r="AA1479" s="9"/>
      <c r="AB1479" s="9"/>
      <c r="AC1479" s="9"/>
      <c r="AD1479" s="9"/>
      <c r="AE1479" s="9"/>
      <c r="AF1479" s="9"/>
      <c r="AG1479" s="9"/>
      <c r="AH1479" s="9"/>
      <c r="AI1479" s="9"/>
      <c r="AJ1479" s="9"/>
      <c r="AK1479" s="9"/>
      <c r="AL1479" s="9"/>
      <c r="AM1479" s="69"/>
      <c r="AN1479" s="9"/>
      <c r="AO1479" s="69" t="s">
        <v>2150</v>
      </c>
      <c r="AP1479" s="210"/>
      <c r="AQ1479" s="211"/>
      <c r="AR1479" s="211"/>
      <c r="AS1479" s="211"/>
      <c r="AT1479" s="211"/>
      <c r="AU1479" s="211"/>
      <c r="AV1479" s="211"/>
      <c r="AW1479" s="9"/>
      <c r="AX1479" s="9"/>
      <c r="AY1479" s="9"/>
      <c r="AZ1479" s="9"/>
      <c r="BA1479" s="120"/>
      <c r="BB1479" s="69"/>
      <c r="BC1479" s="165" t="s">
        <v>1615</v>
      </c>
      <c r="BD1479" s="166">
        <f t="shared" si="80"/>
        <v>0.79500000000000004</v>
      </c>
      <c r="BE1479" s="167" t="s">
        <v>1616</v>
      </c>
      <c r="BF1479" s="168">
        <f t="shared" si="81"/>
        <v>0.2</v>
      </c>
      <c r="BG1479" s="167" t="s">
        <v>1617</v>
      </c>
      <c r="BH1479" s="168">
        <f t="shared" si="82"/>
        <v>5.0000000000000001E-3</v>
      </c>
      <c r="BI1479" s="169"/>
      <c r="BJ1479" s="168">
        <v>0</v>
      </c>
      <c r="BK1479" s="134" t="s">
        <v>2151</v>
      </c>
      <c r="BL1479" s="168">
        <f t="shared" si="83"/>
        <v>0.8</v>
      </c>
      <c r="BM1479" s="167" t="s">
        <v>2152</v>
      </c>
      <c r="BN1479" s="168">
        <f t="shared" si="84"/>
        <v>0.2</v>
      </c>
      <c r="BO1479" s="62"/>
      <c r="BP1479" s="168"/>
      <c r="BQ1479" s="168"/>
      <c r="BR1479" s="168"/>
      <c r="BS1479" s="135" t="s">
        <v>1615</v>
      </c>
      <c r="BT1479" s="176">
        <f t="shared" si="85"/>
        <v>0.77500000000000002</v>
      </c>
      <c r="BU1479" s="167" t="s">
        <v>1616</v>
      </c>
      <c r="BV1479" s="168">
        <f t="shared" si="86"/>
        <v>0.2</v>
      </c>
      <c r="BW1479" s="167" t="s">
        <v>2153</v>
      </c>
      <c r="BX1479" s="168"/>
      <c r="BY1479" s="167" t="s">
        <v>1617</v>
      </c>
      <c r="BZ1479" s="176">
        <f t="shared" si="87"/>
        <v>5.0000000000000001E-3</v>
      </c>
      <c r="CA1479" s="167" t="s">
        <v>1621</v>
      </c>
      <c r="CB1479" s="168">
        <v>0.02</v>
      </c>
      <c r="CC1479" s="9"/>
      <c r="CD1479" s="9"/>
      <c r="CE1479" s="9"/>
      <c r="CF1479" s="9"/>
      <c r="CG1479" s="9"/>
      <c r="CH1479" s="9"/>
      <c r="CI1479" s="9"/>
      <c r="CJ1479" s="9"/>
      <c r="CK1479" s="9"/>
      <c r="CL1479" s="9"/>
      <c r="CM1479" s="9"/>
      <c r="CN1479" s="9"/>
      <c r="CO1479" s="9"/>
      <c r="CP1479" s="9"/>
    </row>
    <row r="1480" spans="1:94" ht="42.75" x14ac:dyDescent="0.25">
      <c r="A1480" s="126" t="s">
        <v>4252</v>
      </c>
      <c r="B1480" s="9" t="s">
        <v>4253</v>
      </c>
      <c r="C1480" s="9"/>
      <c r="D1480" s="9"/>
      <c r="E1480" s="9"/>
      <c r="F1480" s="9"/>
      <c r="G1480" s="9"/>
      <c r="H1480" s="9"/>
      <c r="I1480" s="9"/>
      <c r="J1480" s="9"/>
      <c r="K1480" s="9"/>
      <c r="L1480" s="9"/>
      <c r="M1480" s="9"/>
      <c r="N1480" s="9"/>
      <c r="O1480" s="9"/>
      <c r="P1480" s="9"/>
      <c r="Q1480" s="9"/>
      <c r="R1480" s="9"/>
      <c r="S1480" s="9"/>
      <c r="T1480" s="9"/>
      <c r="U1480" s="9"/>
      <c r="V1480" s="9"/>
      <c r="W1480" s="9"/>
      <c r="X1480" s="9"/>
      <c r="Y1480" s="9"/>
      <c r="Z1480" s="9"/>
      <c r="AA1480" s="9"/>
      <c r="AB1480" s="9"/>
      <c r="AC1480" s="9"/>
      <c r="AD1480" s="9"/>
      <c r="AE1480" s="9"/>
      <c r="AF1480" s="9"/>
      <c r="AG1480" s="9"/>
      <c r="AH1480" s="9"/>
      <c r="AI1480" s="9"/>
      <c r="AJ1480" s="9"/>
      <c r="AK1480" s="9"/>
      <c r="AL1480" s="9"/>
      <c r="AM1480" s="69"/>
      <c r="AN1480" s="9"/>
      <c r="AO1480" s="69" t="s">
        <v>2150</v>
      </c>
      <c r="AP1480" s="210"/>
      <c r="AQ1480" s="211"/>
      <c r="AR1480" s="211"/>
      <c r="AS1480" s="211"/>
      <c r="AT1480" s="211"/>
      <c r="AU1480" s="211"/>
      <c r="AV1480" s="211"/>
      <c r="AW1480" s="9"/>
      <c r="AX1480" s="9"/>
      <c r="AY1480" s="9"/>
      <c r="AZ1480" s="9"/>
      <c r="BA1480" s="120"/>
      <c r="BB1480" s="69"/>
      <c r="BC1480" s="165" t="s">
        <v>1615</v>
      </c>
      <c r="BD1480" s="166">
        <f t="shared" si="80"/>
        <v>0.79500000000000004</v>
      </c>
      <c r="BE1480" s="167" t="s">
        <v>1616</v>
      </c>
      <c r="BF1480" s="168">
        <f t="shared" si="81"/>
        <v>0.2</v>
      </c>
      <c r="BG1480" s="167" t="s">
        <v>1617</v>
      </c>
      <c r="BH1480" s="168">
        <f t="shared" si="82"/>
        <v>5.0000000000000001E-3</v>
      </c>
      <c r="BI1480" s="169"/>
      <c r="BJ1480" s="168">
        <v>0</v>
      </c>
      <c r="BK1480" s="134" t="s">
        <v>2151</v>
      </c>
      <c r="BL1480" s="168">
        <f t="shared" si="83"/>
        <v>0.8</v>
      </c>
      <c r="BM1480" s="167" t="s">
        <v>2152</v>
      </c>
      <c r="BN1480" s="168">
        <f t="shared" si="84"/>
        <v>0.2</v>
      </c>
      <c r="BO1480" s="62"/>
      <c r="BP1480" s="168"/>
      <c r="BQ1480" s="168"/>
      <c r="BR1480" s="168"/>
      <c r="BS1480" s="135" t="s">
        <v>1615</v>
      </c>
      <c r="BT1480" s="176">
        <f t="shared" si="85"/>
        <v>0.77500000000000002</v>
      </c>
      <c r="BU1480" s="167" t="s">
        <v>1616</v>
      </c>
      <c r="BV1480" s="168">
        <f t="shared" si="86"/>
        <v>0.2</v>
      </c>
      <c r="BW1480" s="167" t="s">
        <v>2153</v>
      </c>
      <c r="BX1480" s="168"/>
      <c r="BY1480" s="167" t="s">
        <v>1617</v>
      </c>
      <c r="BZ1480" s="176">
        <f t="shared" si="87"/>
        <v>5.0000000000000001E-3</v>
      </c>
      <c r="CA1480" s="167" t="s">
        <v>1621</v>
      </c>
      <c r="CB1480" s="168">
        <v>0.02</v>
      </c>
      <c r="CC1480" s="9"/>
      <c r="CD1480" s="9"/>
      <c r="CE1480" s="9"/>
      <c r="CF1480" s="9"/>
      <c r="CG1480" s="9"/>
      <c r="CH1480" s="9"/>
      <c r="CI1480" s="9"/>
      <c r="CJ1480" s="9"/>
      <c r="CK1480" s="9"/>
      <c r="CL1480" s="9"/>
      <c r="CM1480" s="9"/>
      <c r="CN1480" s="9"/>
      <c r="CO1480" s="9"/>
      <c r="CP1480" s="9"/>
    </row>
    <row r="1481" spans="1:94" ht="42.75" x14ac:dyDescent="0.25">
      <c r="A1481" s="9" t="s">
        <v>4254</v>
      </c>
      <c r="B1481" s="9" t="s">
        <v>4255</v>
      </c>
      <c r="C1481" s="9"/>
      <c r="D1481" s="9"/>
      <c r="E1481" s="9"/>
      <c r="F1481" s="9"/>
      <c r="G1481" s="9"/>
      <c r="H1481" s="9"/>
      <c r="I1481" s="9"/>
      <c r="J1481" s="9"/>
      <c r="K1481" s="9"/>
      <c r="L1481" s="9"/>
      <c r="M1481" s="9"/>
      <c r="N1481" s="9"/>
      <c r="O1481" s="9"/>
      <c r="P1481" s="9"/>
      <c r="Q1481" s="9"/>
      <c r="R1481" s="9"/>
      <c r="S1481" s="9"/>
      <c r="T1481" s="9"/>
      <c r="U1481" s="9"/>
      <c r="V1481" s="9"/>
      <c r="W1481" s="9"/>
      <c r="X1481" s="9"/>
      <c r="Y1481" s="9"/>
      <c r="Z1481" s="9"/>
      <c r="AA1481" s="9"/>
      <c r="AB1481" s="9"/>
      <c r="AC1481" s="9"/>
      <c r="AD1481" s="9"/>
      <c r="AE1481" s="9"/>
      <c r="AF1481" s="9"/>
      <c r="AG1481" s="9"/>
      <c r="AH1481" s="9"/>
      <c r="AI1481" s="9"/>
      <c r="AJ1481" s="9"/>
      <c r="AK1481" s="9"/>
      <c r="AL1481" s="9"/>
      <c r="AM1481" s="69"/>
      <c r="AN1481" s="9"/>
      <c r="AO1481" s="69" t="s">
        <v>2150</v>
      </c>
      <c r="AP1481" s="210"/>
      <c r="AQ1481" s="211"/>
      <c r="AR1481" s="211"/>
      <c r="AS1481" s="211"/>
      <c r="AT1481" s="211"/>
      <c r="AU1481" s="211"/>
      <c r="AV1481" s="211"/>
      <c r="AW1481" s="9"/>
      <c r="AX1481" s="9"/>
      <c r="AY1481" s="9"/>
      <c r="AZ1481" s="9"/>
      <c r="BA1481" s="120"/>
      <c r="BB1481" s="69"/>
      <c r="BC1481" s="165" t="s">
        <v>1615</v>
      </c>
      <c r="BD1481" s="166">
        <f t="shared" si="80"/>
        <v>0.79500000000000004</v>
      </c>
      <c r="BE1481" s="167" t="s">
        <v>1616</v>
      </c>
      <c r="BF1481" s="168">
        <f t="shared" si="81"/>
        <v>0.2</v>
      </c>
      <c r="BG1481" s="167" t="s">
        <v>1617</v>
      </c>
      <c r="BH1481" s="168">
        <f t="shared" si="82"/>
        <v>5.0000000000000001E-3</v>
      </c>
      <c r="BI1481" s="169"/>
      <c r="BJ1481" s="168">
        <v>0</v>
      </c>
      <c r="BK1481" s="134" t="s">
        <v>2151</v>
      </c>
      <c r="BL1481" s="168">
        <f t="shared" si="83"/>
        <v>0.8</v>
      </c>
      <c r="BM1481" s="167" t="s">
        <v>2152</v>
      </c>
      <c r="BN1481" s="168">
        <f t="shared" si="84"/>
        <v>0.2</v>
      </c>
      <c r="BO1481" s="62"/>
      <c r="BP1481" s="168"/>
      <c r="BQ1481" s="168"/>
      <c r="BR1481" s="168"/>
      <c r="BS1481" s="135" t="s">
        <v>1615</v>
      </c>
      <c r="BT1481" s="176">
        <f t="shared" si="85"/>
        <v>0.77500000000000002</v>
      </c>
      <c r="BU1481" s="167" t="s">
        <v>1616</v>
      </c>
      <c r="BV1481" s="168">
        <f t="shared" si="86"/>
        <v>0.2</v>
      </c>
      <c r="BW1481" s="167" t="s">
        <v>2153</v>
      </c>
      <c r="BX1481" s="168"/>
      <c r="BY1481" s="167" t="s">
        <v>1617</v>
      </c>
      <c r="BZ1481" s="176">
        <f t="shared" si="87"/>
        <v>5.0000000000000001E-3</v>
      </c>
      <c r="CA1481" s="167" t="s">
        <v>1621</v>
      </c>
      <c r="CB1481" s="168">
        <v>0.02</v>
      </c>
      <c r="CC1481" s="104"/>
      <c r="CD1481" s="186"/>
      <c r="CE1481" s="183"/>
      <c r="CF1481" s="183"/>
      <c r="CG1481" s="9"/>
      <c r="CH1481" s="9"/>
      <c r="CI1481" s="9"/>
      <c r="CJ1481" s="9"/>
      <c r="CK1481" s="9"/>
      <c r="CL1481" s="9"/>
      <c r="CM1481" s="9"/>
      <c r="CN1481" s="9"/>
      <c r="CO1481" s="9"/>
      <c r="CP1481" s="9"/>
    </row>
    <row r="1482" spans="1:94" ht="42.75" x14ac:dyDescent="0.25">
      <c r="A1482" s="126" t="s">
        <v>4256</v>
      </c>
      <c r="B1482" s="9" t="s">
        <v>4257</v>
      </c>
      <c r="C1482" s="9"/>
      <c r="D1482" s="9"/>
      <c r="E1482" s="9"/>
      <c r="F1482" s="9"/>
      <c r="G1482" s="9"/>
      <c r="H1482" s="9"/>
      <c r="I1482" s="9"/>
      <c r="J1482" s="9"/>
      <c r="K1482" s="9"/>
      <c r="L1482" s="9"/>
      <c r="M1482" s="9"/>
      <c r="N1482" s="9"/>
      <c r="O1482" s="9"/>
      <c r="P1482" s="9"/>
      <c r="Q1482" s="9"/>
      <c r="R1482" s="9"/>
      <c r="S1482" s="9"/>
      <c r="T1482" s="9"/>
      <c r="U1482" s="9"/>
      <c r="V1482" s="9"/>
      <c r="W1482" s="9"/>
      <c r="X1482" s="9"/>
      <c r="Y1482" s="9"/>
      <c r="Z1482" s="9"/>
      <c r="AA1482" s="9"/>
      <c r="AB1482" s="9"/>
      <c r="AC1482" s="9"/>
      <c r="AD1482" s="9"/>
      <c r="AE1482" s="9"/>
      <c r="AF1482" s="9"/>
      <c r="AG1482" s="9"/>
      <c r="AH1482" s="9"/>
      <c r="AI1482" s="9"/>
      <c r="AJ1482" s="9"/>
      <c r="AK1482" s="9"/>
      <c r="AL1482" s="9"/>
      <c r="AM1482" s="69"/>
      <c r="AN1482" s="9"/>
      <c r="AO1482" s="69" t="s">
        <v>2150</v>
      </c>
      <c r="AP1482" s="210"/>
      <c r="AQ1482" s="211"/>
      <c r="AR1482" s="211"/>
      <c r="AS1482" s="211"/>
      <c r="AT1482" s="211"/>
      <c r="AU1482" s="211"/>
      <c r="AV1482" s="211"/>
      <c r="AW1482" s="9"/>
      <c r="AX1482" s="9"/>
      <c r="AY1482" s="9"/>
      <c r="AZ1482" s="9"/>
      <c r="BA1482" s="120"/>
      <c r="BB1482" s="69"/>
      <c r="BC1482" s="165" t="s">
        <v>1615</v>
      </c>
      <c r="BD1482" s="166">
        <f t="shared" si="80"/>
        <v>0.79500000000000004</v>
      </c>
      <c r="BE1482" s="167" t="s">
        <v>1616</v>
      </c>
      <c r="BF1482" s="168">
        <f t="shared" si="81"/>
        <v>0.2</v>
      </c>
      <c r="BG1482" s="167" t="s">
        <v>1617</v>
      </c>
      <c r="BH1482" s="168">
        <f t="shared" si="82"/>
        <v>5.0000000000000001E-3</v>
      </c>
      <c r="BI1482" s="169"/>
      <c r="BJ1482" s="168">
        <v>0</v>
      </c>
      <c r="BK1482" s="134" t="s">
        <v>2151</v>
      </c>
      <c r="BL1482" s="168">
        <f t="shared" si="83"/>
        <v>0.8</v>
      </c>
      <c r="BM1482" s="167" t="s">
        <v>2152</v>
      </c>
      <c r="BN1482" s="168">
        <f t="shared" si="84"/>
        <v>0.2</v>
      </c>
      <c r="BO1482" s="62"/>
      <c r="BP1482" s="168"/>
      <c r="BQ1482" s="168"/>
      <c r="BR1482" s="168"/>
      <c r="BS1482" s="135" t="s">
        <v>1615</v>
      </c>
      <c r="BT1482" s="176">
        <f t="shared" si="85"/>
        <v>0.77500000000000002</v>
      </c>
      <c r="BU1482" s="167" t="s">
        <v>1616</v>
      </c>
      <c r="BV1482" s="168">
        <f t="shared" si="86"/>
        <v>0.2</v>
      </c>
      <c r="BW1482" s="167" t="s">
        <v>2153</v>
      </c>
      <c r="BX1482" s="168"/>
      <c r="BY1482" s="167" t="s">
        <v>1617</v>
      </c>
      <c r="BZ1482" s="176">
        <f t="shared" si="87"/>
        <v>5.0000000000000001E-3</v>
      </c>
      <c r="CA1482" s="167" t="s">
        <v>1621</v>
      </c>
      <c r="CB1482" s="168">
        <v>0.02</v>
      </c>
      <c r="CC1482" s="104"/>
      <c r="CD1482" s="186"/>
      <c r="CE1482" s="183"/>
      <c r="CF1482" s="183"/>
      <c r="CG1482" s="9"/>
      <c r="CH1482" s="9"/>
      <c r="CI1482" s="9"/>
      <c r="CJ1482" s="9"/>
      <c r="CK1482" s="9"/>
      <c r="CL1482" s="9"/>
      <c r="CM1482" s="9"/>
      <c r="CN1482" s="9"/>
      <c r="CO1482" s="9"/>
      <c r="CP1482" s="9"/>
    </row>
    <row r="1483" spans="1:94" ht="42.75" x14ac:dyDescent="0.25">
      <c r="A1483" s="126" t="s">
        <v>4258</v>
      </c>
      <c r="B1483" s="9" t="s">
        <v>4259</v>
      </c>
      <c r="C1483" s="9"/>
      <c r="D1483" s="9"/>
      <c r="E1483" s="9"/>
      <c r="F1483" s="9"/>
      <c r="G1483" s="9"/>
      <c r="H1483" s="9"/>
      <c r="I1483" s="9"/>
      <c r="J1483" s="9"/>
      <c r="K1483" s="9"/>
      <c r="L1483" s="9"/>
      <c r="M1483" s="9"/>
      <c r="N1483" s="9"/>
      <c r="O1483" s="9"/>
      <c r="P1483" s="9"/>
      <c r="Q1483" s="9"/>
      <c r="R1483" s="9"/>
      <c r="S1483" s="9"/>
      <c r="T1483" s="9"/>
      <c r="U1483" s="9"/>
      <c r="V1483" s="9"/>
      <c r="W1483" s="9"/>
      <c r="X1483" s="9"/>
      <c r="Y1483" s="9"/>
      <c r="Z1483" s="9"/>
      <c r="AA1483" s="9"/>
      <c r="AB1483" s="9"/>
      <c r="AC1483" s="9"/>
      <c r="AD1483" s="9"/>
      <c r="AE1483" s="9"/>
      <c r="AF1483" s="9"/>
      <c r="AG1483" s="9"/>
      <c r="AH1483" s="9"/>
      <c r="AI1483" s="9"/>
      <c r="AJ1483" s="9"/>
      <c r="AK1483" s="9"/>
      <c r="AL1483" s="9"/>
      <c r="AM1483" s="69"/>
      <c r="AN1483" s="9"/>
      <c r="AO1483" s="69" t="s">
        <v>2150</v>
      </c>
      <c r="AP1483" s="210"/>
      <c r="AQ1483" s="211"/>
      <c r="AR1483" s="211"/>
      <c r="AS1483" s="211"/>
      <c r="AT1483" s="211"/>
      <c r="AU1483" s="211"/>
      <c r="AV1483" s="211"/>
      <c r="AW1483" s="9"/>
      <c r="AX1483" s="9"/>
      <c r="AY1483" s="9"/>
      <c r="AZ1483" s="9"/>
      <c r="BA1483" s="120"/>
      <c r="BB1483" s="69"/>
      <c r="BC1483" s="165" t="s">
        <v>1615</v>
      </c>
      <c r="BD1483" s="166">
        <f t="shared" si="80"/>
        <v>0.79500000000000004</v>
      </c>
      <c r="BE1483" s="167" t="s">
        <v>1616</v>
      </c>
      <c r="BF1483" s="168">
        <f t="shared" si="81"/>
        <v>0.2</v>
      </c>
      <c r="BG1483" s="167" t="s">
        <v>1617</v>
      </c>
      <c r="BH1483" s="168">
        <f t="shared" si="82"/>
        <v>5.0000000000000001E-3</v>
      </c>
      <c r="BI1483" s="169"/>
      <c r="BJ1483" s="168">
        <v>0</v>
      </c>
      <c r="BK1483" s="134" t="s">
        <v>2151</v>
      </c>
      <c r="BL1483" s="168">
        <f t="shared" si="83"/>
        <v>0.8</v>
      </c>
      <c r="BM1483" s="167" t="s">
        <v>2152</v>
      </c>
      <c r="BN1483" s="168">
        <f t="shared" si="84"/>
        <v>0.2</v>
      </c>
      <c r="BO1483" s="62"/>
      <c r="BP1483" s="168"/>
      <c r="BQ1483" s="168"/>
      <c r="BR1483" s="168"/>
      <c r="BS1483" s="135" t="s">
        <v>1615</v>
      </c>
      <c r="BT1483" s="176">
        <f t="shared" si="85"/>
        <v>0.77500000000000002</v>
      </c>
      <c r="BU1483" s="167" t="s">
        <v>1616</v>
      </c>
      <c r="BV1483" s="168">
        <f t="shared" si="86"/>
        <v>0.2</v>
      </c>
      <c r="BW1483" s="167" t="s">
        <v>2153</v>
      </c>
      <c r="BX1483" s="168"/>
      <c r="BY1483" s="167" t="s">
        <v>1617</v>
      </c>
      <c r="BZ1483" s="176">
        <f t="shared" si="87"/>
        <v>5.0000000000000001E-3</v>
      </c>
      <c r="CA1483" s="167" t="s">
        <v>1621</v>
      </c>
      <c r="CB1483" s="168">
        <v>0.02</v>
      </c>
      <c r="CC1483" s="104"/>
      <c r="CD1483" s="186"/>
      <c r="CE1483" s="183"/>
      <c r="CF1483" s="183"/>
      <c r="CG1483" s="9"/>
      <c r="CH1483" s="9"/>
      <c r="CI1483" s="9"/>
      <c r="CJ1483" s="9"/>
      <c r="CK1483" s="9"/>
      <c r="CL1483" s="9"/>
      <c r="CM1483" s="9"/>
      <c r="CN1483" s="9"/>
      <c r="CO1483" s="9"/>
      <c r="CP1483" s="9"/>
    </row>
    <row r="1484" spans="1:94" ht="42.75" x14ac:dyDescent="0.25">
      <c r="A1484" s="126" t="s">
        <v>4260</v>
      </c>
      <c r="B1484" s="9" t="s">
        <v>4261</v>
      </c>
      <c r="C1484" s="9"/>
      <c r="D1484" s="9"/>
      <c r="E1484" s="9"/>
      <c r="F1484" s="9"/>
      <c r="G1484" s="9"/>
      <c r="H1484" s="9"/>
      <c r="I1484" s="9"/>
      <c r="J1484" s="9"/>
      <c r="K1484" s="9"/>
      <c r="L1484" s="9"/>
      <c r="M1484" s="9"/>
      <c r="N1484" s="9"/>
      <c r="O1484" s="9"/>
      <c r="P1484" s="9"/>
      <c r="Q1484" s="9"/>
      <c r="R1484" s="9"/>
      <c r="S1484" s="9"/>
      <c r="T1484" s="9"/>
      <c r="U1484" s="9"/>
      <c r="V1484" s="9"/>
      <c r="W1484" s="9"/>
      <c r="X1484" s="9"/>
      <c r="Y1484" s="9"/>
      <c r="Z1484" s="9"/>
      <c r="AA1484" s="9"/>
      <c r="AB1484" s="9"/>
      <c r="AC1484" s="9"/>
      <c r="AD1484" s="9"/>
      <c r="AE1484" s="9"/>
      <c r="AF1484" s="9"/>
      <c r="AG1484" s="9"/>
      <c r="AH1484" s="9"/>
      <c r="AI1484" s="9"/>
      <c r="AJ1484" s="9"/>
      <c r="AK1484" s="9"/>
      <c r="AL1484" s="9"/>
      <c r="AM1484" s="69"/>
      <c r="AN1484" s="9"/>
      <c r="AO1484" s="69" t="s">
        <v>2150</v>
      </c>
      <c r="AP1484" s="210"/>
      <c r="AQ1484" s="211"/>
      <c r="AR1484" s="211"/>
      <c r="AS1484" s="211"/>
      <c r="AT1484" s="211"/>
      <c r="AU1484" s="211"/>
      <c r="AV1484" s="211"/>
      <c r="AW1484" s="9"/>
      <c r="AX1484" s="9"/>
      <c r="AY1484" s="9"/>
      <c r="AZ1484" s="9"/>
      <c r="BA1484" s="120"/>
      <c r="BB1484" s="69"/>
      <c r="BC1484" s="165" t="s">
        <v>1615</v>
      </c>
      <c r="BD1484" s="166">
        <f t="shared" si="80"/>
        <v>0.79500000000000004</v>
      </c>
      <c r="BE1484" s="167" t="s">
        <v>1616</v>
      </c>
      <c r="BF1484" s="168">
        <f t="shared" si="81"/>
        <v>0.2</v>
      </c>
      <c r="BG1484" s="167" t="s">
        <v>1617</v>
      </c>
      <c r="BH1484" s="168">
        <f t="shared" si="82"/>
        <v>5.0000000000000001E-3</v>
      </c>
      <c r="BI1484" s="169"/>
      <c r="BJ1484" s="168">
        <v>0</v>
      </c>
      <c r="BK1484" s="134" t="s">
        <v>2151</v>
      </c>
      <c r="BL1484" s="168">
        <f t="shared" si="83"/>
        <v>0.8</v>
      </c>
      <c r="BM1484" s="167" t="s">
        <v>2152</v>
      </c>
      <c r="BN1484" s="168">
        <f t="shared" si="84"/>
        <v>0.2</v>
      </c>
      <c r="BO1484" s="62"/>
      <c r="BP1484" s="168"/>
      <c r="BQ1484" s="168"/>
      <c r="BR1484" s="168"/>
      <c r="BS1484" s="135" t="s">
        <v>1615</v>
      </c>
      <c r="BT1484" s="176">
        <f t="shared" si="85"/>
        <v>0.77500000000000002</v>
      </c>
      <c r="BU1484" s="167" t="s">
        <v>1616</v>
      </c>
      <c r="BV1484" s="168">
        <f t="shared" si="86"/>
        <v>0.2</v>
      </c>
      <c r="BW1484" s="167" t="s">
        <v>2153</v>
      </c>
      <c r="BX1484" s="168"/>
      <c r="BY1484" s="167" t="s">
        <v>1617</v>
      </c>
      <c r="BZ1484" s="176">
        <f t="shared" si="87"/>
        <v>5.0000000000000001E-3</v>
      </c>
      <c r="CA1484" s="167" t="s">
        <v>1621</v>
      </c>
      <c r="CB1484" s="168">
        <v>0.02</v>
      </c>
      <c r="CC1484" s="104"/>
      <c r="CD1484" s="186"/>
      <c r="CE1484" s="183"/>
      <c r="CF1484" s="183"/>
      <c r="CG1484" s="9"/>
      <c r="CH1484" s="9"/>
      <c r="CI1484" s="9"/>
      <c r="CJ1484" s="9"/>
      <c r="CK1484" s="9"/>
      <c r="CL1484" s="9"/>
      <c r="CM1484" s="9"/>
      <c r="CN1484" s="9"/>
      <c r="CO1484" s="9"/>
      <c r="CP1484" s="9"/>
    </row>
    <row r="1485" spans="1:94" ht="42.75" x14ac:dyDescent="0.25">
      <c r="A1485" s="126" t="s">
        <v>4262</v>
      </c>
      <c r="B1485" s="126" t="s">
        <v>4263</v>
      </c>
      <c r="C1485" s="9"/>
      <c r="D1485" s="9"/>
      <c r="E1485" s="9"/>
      <c r="F1485" s="9"/>
      <c r="G1485" s="9"/>
      <c r="H1485" s="9"/>
      <c r="I1485" s="9"/>
      <c r="J1485" s="9"/>
      <c r="K1485" s="9"/>
      <c r="L1485" s="9"/>
      <c r="M1485" s="9"/>
      <c r="N1485" s="9"/>
      <c r="O1485" s="9"/>
      <c r="P1485" s="9"/>
      <c r="Q1485" s="9"/>
      <c r="R1485" s="9"/>
      <c r="S1485" s="9"/>
      <c r="T1485" s="9"/>
      <c r="U1485" s="9"/>
      <c r="V1485" s="9"/>
      <c r="W1485" s="9"/>
      <c r="X1485" s="9"/>
      <c r="Y1485" s="9"/>
      <c r="Z1485" s="9"/>
      <c r="AA1485" s="9"/>
      <c r="AB1485" s="9"/>
      <c r="AC1485" s="9"/>
      <c r="AD1485" s="9"/>
      <c r="AE1485" s="9"/>
      <c r="AF1485" s="9"/>
      <c r="AG1485" s="9"/>
      <c r="AH1485" s="9"/>
      <c r="AI1485" s="9"/>
      <c r="AJ1485" s="9"/>
      <c r="AK1485" s="9"/>
      <c r="AL1485" s="9"/>
      <c r="AM1485" s="69"/>
      <c r="AN1485" s="9"/>
      <c r="AO1485" s="69" t="s">
        <v>2150</v>
      </c>
      <c r="AP1485" s="210"/>
      <c r="AQ1485" s="211"/>
      <c r="AR1485" s="211"/>
      <c r="AS1485" s="211"/>
      <c r="AT1485" s="211"/>
      <c r="AU1485" s="211"/>
      <c r="AV1485" s="211"/>
      <c r="AW1485" s="9"/>
      <c r="AX1485" s="9"/>
      <c r="AY1485" s="9"/>
      <c r="AZ1485" s="9"/>
      <c r="BA1485" s="120"/>
      <c r="BB1485" s="69"/>
      <c r="BC1485" s="165" t="s">
        <v>1615</v>
      </c>
      <c r="BD1485" s="166">
        <f t="shared" si="80"/>
        <v>0.79500000000000004</v>
      </c>
      <c r="BE1485" s="167" t="s">
        <v>1616</v>
      </c>
      <c r="BF1485" s="168">
        <f t="shared" si="81"/>
        <v>0.2</v>
      </c>
      <c r="BG1485" s="167" t="s">
        <v>1617</v>
      </c>
      <c r="BH1485" s="168">
        <f t="shared" si="82"/>
        <v>5.0000000000000001E-3</v>
      </c>
      <c r="BI1485" s="169"/>
      <c r="BJ1485" s="168">
        <v>0</v>
      </c>
      <c r="BK1485" s="134" t="s">
        <v>2151</v>
      </c>
      <c r="BL1485" s="168">
        <f t="shared" si="83"/>
        <v>0.8</v>
      </c>
      <c r="BM1485" s="167" t="s">
        <v>2152</v>
      </c>
      <c r="BN1485" s="168">
        <f t="shared" si="84"/>
        <v>0.2</v>
      </c>
      <c r="BO1485" s="62"/>
      <c r="BP1485" s="168"/>
      <c r="BQ1485" s="168"/>
      <c r="BR1485" s="168"/>
      <c r="BS1485" s="135" t="s">
        <v>1615</v>
      </c>
      <c r="BT1485" s="176">
        <f t="shared" si="85"/>
        <v>0.77500000000000002</v>
      </c>
      <c r="BU1485" s="167" t="s">
        <v>1616</v>
      </c>
      <c r="BV1485" s="168">
        <f t="shared" si="86"/>
        <v>0.2</v>
      </c>
      <c r="BW1485" s="167" t="s">
        <v>2153</v>
      </c>
      <c r="BX1485" s="168"/>
      <c r="BY1485" s="167" t="s">
        <v>1617</v>
      </c>
      <c r="BZ1485" s="176">
        <f t="shared" si="87"/>
        <v>5.0000000000000001E-3</v>
      </c>
      <c r="CA1485" s="167" t="s">
        <v>1621</v>
      </c>
      <c r="CB1485" s="168">
        <v>0.02</v>
      </c>
      <c r="CC1485" s="104"/>
      <c r="CD1485" s="186"/>
      <c r="CE1485" s="183"/>
      <c r="CF1485" s="183"/>
      <c r="CG1485" s="9"/>
      <c r="CH1485" s="9"/>
      <c r="CI1485" s="9"/>
      <c r="CJ1485" s="9"/>
      <c r="CK1485" s="9"/>
      <c r="CL1485" s="9"/>
      <c r="CM1485" s="9"/>
      <c r="CN1485" s="9"/>
      <c r="CO1485" s="9"/>
      <c r="CP1485" s="9"/>
    </row>
    <row r="1486" spans="1:94" ht="42.75" x14ac:dyDescent="0.25">
      <c r="A1486" s="126" t="s">
        <v>4264</v>
      </c>
      <c r="B1486" s="9" t="s">
        <v>4265</v>
      </c>
      <c r="C1486" s="9"/>
      <c r="D1486" s="9"/>
      <c r="E1486" s="9"/>
      <c r="F1486" s="9"/>
      <c r="G1486" s="9"/>
      <c r="H1486" s="9"/>
      <c r="I1486" s="9"/>
      <c r="J1486" s="9"/>
      <c r="K1486" s="9"/>
      <c r="L1486" s="9"/>
      <c r="M1486" s="9"/>
      <c r="N1486" s="9"/>
      <c r="O1486" s="9"/>
      <c r="P1486" s="9"/>
      <c r="Q1486" s="9"/>
      <c r="R1486" s="9"/>
      <c r="S1486" s="9"/>
      <c r="T1486" s="9"/>
      <c r="U1486" s="9"/>
      <c r="V1486" s="9"/>
      <c r="W1486" s="9"/>
      <c r="X1486" s="9"/>
      <c r="Y1486" s="9"/>
      <c r="Z1486" s="9"/>
      <c r="AA1486" s="9"/>
      <c r="AB1486" s="9"/>
      <c r="AC1486" s="9"/>
      <c r="AD1486" s="9"/>
      <c r="AE1486" s="9"/>
      <c r="AF1486" s="9"/>
      <c r="AG1486" s="9"/>
      <c r="AH1486" s="9"/>
      <c r="AI1486" s="9"/>
      <c r="AJ1486" s="9"/>
      <c r="AK1486" s="9"/>
      <c r="AL1486" s="9"/>
      <c r="AM1486" s="69"/>
      <c r="AN1486" s="9"/>
      <c r="AO1486" s="69" t="s">
        <v>2150</v>
      </c>
      <c r="AP1486" s="210"/>
      <c r="AQ1486" s="211"/>
      <c r="AR1486" s="211"/>
      <c r="AS1486" s="211"/>
      <c r="AT1486" s="211"/>
      <c r="AU1486" s="211"/>
      <c r="AV1486" s="211"/>
      <c r="AW1486" s="9"/>
      <c r="AX1486" s="9"/>
      <c r="AY1486" s="9"/>
      <c r="AZ1486" s="9"/>
      <c r="BA1486" s="120"/>
      <c r="BB1486" s="69"/>
      <c r="BC1486" s="165" t="s">
        <v>1615</v>
      </c>
      <c r="BD1486" s="166">
        <f t="shared" si="80"/>
        <v>0.79500000000000004</v>
      </c>
      <c r="BE1486" s="167" t="s">
        <v>1616</v>
      </c>
      <c r="BF1486" s="168">
        <f t="shared" si="81"/>
        <v>0.2</v>
      </c>
      <c r="BG1486" s="167" t="s">
        <v>1617</v>
      </c>
      <c r="BH1486" s="168">
        <f t="shared" si="82"/>
        <v>5.0000000000000001E-3</v>
      </c>
      <c r="BI1486" s="169"/>
      <c r="BJ1486" s="168">
        <v>0</v>
      </c>
      <c r="BK1486" s="134" t="s">
        <v>2151</v>
      </c>
      <c r="BL1486" s="168">
        <f t="shared" si="83"/>
        <v>0.8</v>
      </c>
      <c r="BM1486" s="167" t="s">
        <v>2152</v>
      </c>
      <c r="BN1486" s="168">
        <f t="shared" si="84"/>
        <v>0.2</v>
      </c>
      <c r="BO1486" s="62"/>
      <c r="BP1486" s="168"/>
      <c r="BQ1486" s="168"/>
      <c r="BR1486" s="168"/>
      <c r="BS1486" s="135" t="s">
        <v>1615</v>
      </c>
      <c r="BT1486" s="176">
        <f t="shared" si="85"/>
        <v>0.77500000000000002</v>
      </c>
      <c r="BU1486" s="167" t="s">
        <v>1616</v>
      </c>
      <c r="BV1486" s="168">
        <f t="shared" si="86"/>
        <v>0.2</v>
      </c>
      <c r="BW1486" s="167" t="s">
        <v>2153</v>
      </c>
      <c r="BX1486" s="168"/>
      <c r="BY1486" s="167" t="s">
        <v>1617</v>
      </c>
      <c r="BZ1486" s="176">
        <f t="shared" si="87"/>
        <v>5.0000000000000001E-3</v>
      </c>
      <c r="CA1486" s="167" t="s">
        <v>1621</v>
      </c>
      <c r="CB1486" s="168">
        <v>0.02</v>
      </c>
      <c r="CC1486" s="104"/>
      <c r="CD1486" s="186"/>
      <c r="CE1486" s="183"/>
      <c r="CF1486" s="183"/>
      <c r="CG1486" s="9"/>
      <c r="CH1486" s="9"/>
      <c r="CI1486" s="9"/>
      <c r="CJ1486" s="9"/>
      <c r="CK1486" s="9"/>
      <c r="CL1486" s="9"/>
      <c r="CM1486" s="9"/>
      <c r="CN1486" s="9"/>
      <c r="CO1486" s="9"/>
      <c r="CP1486" s="9"/>
    </row>
    <row r="1487" spans="1:94" ht="42.75" x14ac:dyDescent="0.25">
      <c r="A1487" s="126" t="s">
        <v>4266</v>
      </c>
      <c r="B1487" s="9" t="s">
        <v>4267</v>
      </c>
      <c r="C1487" s="9"/>
      <c r="D1487" s="9"/>
      <c r="E1487" s="9"/>
      <c r="F1487" s="9"/>
      <c r="G1487" s="9"/>
      <c r="H1487" s="9"/>
      <c r="I1487" s="9"/>
      <c r="J1487" s="9"/>
      <c r="K1487" s="9"/>
      <c r="L1487" s="9"/>
      <c r="M1487" s="9"/>
      <c r="N1487" s="9"/>
      <c r="O1487" s="9"/>
      <c r="P1487" s="9"/>
      <c r="Q1487" s="9"/>
      <c r="R1487" s="9"/>
      <c r="S1487" s="9"/>
      <c r="T1487" s="9"/>
      <c r="U1487" s="9"/>
      <c r="V1487" s="9"/>
      <c r="W1487" s="9"/>
      <c r="X1487" s="9"/>
      <c r="Y1487" s="9"/>
      <c r="Z1487" s="9"/>
      <c r="AA1487" s="9"/>
      <c r="AB1487" s="9"/>
      <c r="AC1487" s="9"/>
      <c r="AD1487" s="9"/>
      <c r="AE1487" s="9"/>
      <c r="AF1487" s="9"/>
      <c r="AG1487" s="9"/>
      <c r="AH1487" s="9"/>
      <c r="AI1487" s="9"/>
      <c r="AJ1487" s="9"/>
      <c r="AK1487" s="9"/>
      <c r="AL1487" s="9"/>
      <c r="AM1487" s="69"/>
      <c r="AN1487" s="9"/>
      <c r="AO1487" s="69" t="s">
        <v>2150</v>
      </c>
      <c r="AP1487" s="210"/>
      <c r="AQ1487" s="211"/>
      <c r="AR1487" s="211"/>
      <c r="AS1487" s="211"/>
      <c r="AT1487" s="211"/>
      <c r="AU1487" s="211"/>
      <c r="AV1487" s="211"/>
      <c r="AW1487" s="9"/>
      <c r="AX1487" s="9"/>
      <c r="AY1487" s="9"/>
      <c r="AZ1487" s="9"/>
      <c r="BA1487" s="120"/>
      <c r="BB1487" s="69"/>
      <c r="BC1487" s="165" t="s">
        <v>1615</v>
      </c>
      <c r="BD1487" s="166">
        <f t="shared" si="80"/>
        <v>0.79500000000000004</v>
      </c>
      <c r="BE1487" s="167" t="s">
        <v>1616</v>
      </c>
      <c r="BF1487" s="168">
        <f t="shared" si="81"/>
        <v>0.2</v>
      </c>
      <c r="BG1487" s="167" t="s">
        <v>1617</v>
      </c>
      <c r="BH1487" s="168">
        <f t="shared" si="82"/>
        <v>5.0000000000000001E-3</v>
      </c>
      <c r="BI1487" s="169"/>
      <c r="BJ1487" s="168">
        <v>0</v>
      </c>
      <c r="BK1487" s="134" t="s">
        <v>2151</v>
      </c>
      <c r="BL1487" s="168">
        <f t="shared" si="83"/>
        <v>0.8</v>
      </c>
      <c r="BM1487" s="167" t="s">
        <v>2152</v>
      </c>
      <c r="BN1487" s="168">
        <f t="shared" si="84"/>
        <v>0.2</v>
      </c>
      <c r="BO1487" s="62"/>
      <c r="BP1487" s="168"/>
      <c r="BQ1487" s="168"/>
      <c r="BR1487" s="168"/>
      <c r="BS1487" s="135" t="s">
        <v>1615</v>
      </c>
      <c r="BT1487" s="176">
        <f t="shared" si="85"/>
        <v>0.77500000000000002</v>
      </c>
      <c r="BU1487" s="167" t="s">
        <v>1616</v>
      </c>
      <c r="BV1487" s="168">
        <f t="shared" si="86"/>
        <v>0.2</v>
      </c>
      <c r="BW1487" s="167" t="s">
        <v>2153</v>
      </c>
      <c r="BX1487" s="168"/>
      <c r="BY1487" s="167" t="s">
        <v>1617</v>
      </c>
      <c r="BZ1487" s="176">
        <f t="shared" si="87"/>
        <v>5.0000000000000001E-3</v>
      </c>
      <c r="CA1487" s="167" t="s">
        <v>1621</v>
      </c>
      <c r="CB1487" s="168">
        <v>0.02</v>
      </c>
      <c r="CC1487" s="104"/>
      <c r="CD1487" s="186"/>
      <c r="CE1487" s="183"/>
      <c r="CF1487" s="183"/>
      <c r="CG1487" s="9"/>
      <c r="CH1487" s="9"/>
      <c r="CI1487" s="9"/>
      <c r="CJ1487" s="9"/>
      <c r="CK1487" s="9"/>
      <c r="CL1487" s="9"/>
      <c r="CM1487" s="9"/>
      <c r="CN1487" s="9"/>
      <c r="CO1487" s="9"/>
      <c r="CP1487" s="9"/>
    </row>
    <row r="1488" spans="1:94" ht="42.75" x14ac:dyDescent="0.25">
      <c r="A1488" s="126" t="s">
        <v>4268</v>
      </c>
      <c r="B1488" s="9" t="s">
        <v>4269</v>
      </c>
      <c r="C1488" s="9"/>
      <c r="D1488" s="9"/>
      <c r="E1488" s="9"/>
      <c r="F1488" s="9"/>
      <c r="G1488" s="9"/>
      <c r="H1488" s="9"/>
      <c r="I1488" s="9"/>
      <c r="J1488" s="9"/>
      <c r="K1488" s="9"/>
      <c r="L1488" s="9"/>
      <c r="M1488" s="9"/>
      <c r="N1488" s="9"/>
      <c r="O1488" s="9"/>
      <c r="P1488" s="9"/>
      <c r="Q1488" s="9"/>
      <c r="R1488" s="9"/>
      <c r="S1488" s="9"/>
      <c r="T1488" s="9"/>
      <c r="U1488" s="9"/>
      <c r="V1488" s="9"/>
      <c r="W1488" s="9"/>
      <c r="X1488" s="9"/>
      <c r="Y1488" s="9"/>
      <c r="Z1488" s="9"/>
      <c r="AA1488" s="9"/>
      <c r="AB1488" s="9"/>
      <c r="AC1488" s="9"/>
      <c r="AD1488" s="9"/>
      <c r="AE1488" s="9"/>
      <c r="AF1488" s="9"/>
      <c r="AG1488" s="9"/>
      <c r="AH1488" s="9"/>
      <c r="AI1488" s="9"/>
      <c r="AJ1488" s="9"/>
      <c r="AK1488" s="9"/>
      <c r="AL1488" s="9"/>
      <c r="AM1488" s="69"/>
      <c r="AN1488" s="9"/>
      <c r="AO1488" s="69" t="s">
        <v>2150</v>
      </c>
      <c r="AP1488" s="210"/>
      <c r="AQ1488" s="211"/>
      <c r="AR1488" s="211"/>
      <c r="AS1488" s="211"/>
      <c r="AT1488" s="211"/>
      <c r="AU1488" s="211"/>
      <c r="AV1488" s="211"/>
      <c r="AW1488" s="9"/>
      <c r="AX1488" s="9"/>
      <c r="AY1488" s="9"/>
      <c r="AZ1488" s="9"/>
      <c r="BA1488" s="120"/>
      <c r="BB1488" s="69"/>
      <c r="BC1488" s="165" t="s">
        <v>1615</v>
      </c>
      <c r="BD1488" s="166">
        <f t="shared" si="80"/>
        <v>0.79500000000000004</v>
      </c>
      <c r="BE1488" s="167" t="s">
        <v>1616</v>
      </c>
      <c r="BF1488" s="168">
        <f t="shared" si="81"/>
        <v>0.2</v>
      </c>
      <c r="BG1488" s="167" t="s">
        <v>1617</v>
      </c>
      <c r="BH1488" s="168">
        <f t="shared" si="82"/>
        <v>5.0000000000000001E-3</v>
      </c>
      <c r="BI1488" s="169"/>
      <c r="BJ1488" s="168">
        <v>0</v>
      </c>
      <c r="BK1488" s="134" t="s">
        <v>2151</v>
      </c>
      <c r="BL1488" s="168">
        <f t="shared" si="83"/>
        <v>0.8</v>
      </c>
      <c r="BM1488" s="167" t="s">
        <v>2152</v>
      </c>
      <c r="BN1488" s="168">
        <f t="shared" si="84"/>
        <v>0.2</v>
      </c>
      <c r="BO1488" s="62"/>
      <c r="BP1488" s="168"/>
      <c r="BQ1488" s="168"/>
      <c r="BR1488" s="168"/>
      <c r="BS1488" s="135" t="s">
        <v>1615</v>
      </c>
      <c r="BT1488" s="176">
        <f t="shared" si="85"/>
        <v>0.77500000000000002</v>
      </c>
      <c r="BU1488" s="167" t="s">
        <v>1616</v>
      </c>
      <c r="BV1488" s="168">
        <f t="shared" si="86"/>
        <v>0.2</v>
      </c>
      <c r="BW1488" s="167" t="s">
        <v>2153</v>
      </c>
      <c r="BX1488" s="168"/>
      <c r="BY1488" s="167" t="s">
        <v>1617</v>
      </c>
      <c r="BZ1488" s="176">
        <f t="shared" si="87"/>
        <v>5.0000000000000001E-3</v>
      </c>
      <c r="CA1488" s="167" t="s">
        <v>1621</v>
      </c>
      <c r="CB1488" s="168">
        <v>0.02</v>
      </c>
      <c r="CC1488" s="104"/>
      <c r="CD1488" s="186"/>
      <c r="CE1488" s="183"/>
      <c r="CF1488" s="183"/>
      <c r="CG1488" s="9"/>
      <c r="CH1488" s="9"/>
      <c r="CI1488" s="9"/>
      <c r="CJ1488" s="9"/>
      <c r="CK1488" s="9"/>
      <c r="CL1488" s="9"/>
      <c r="CM1488" s="9"/>
      <c r="CN1488" s="9"/>
      <c r="CO1488" s="9"/>
      <c r="CP1488" s="9"/>
    </row>
    <row r="1489" spans="1:94" ht="42.75" x14ac:dyDescent="0.25">
      <c r="A1489" s="126" t="s">
        <v>4270</v>
      </c>
      <c r="B1489" s="9" t="s">
        <v>4271</v>
      </c>
      <c r="C1489" s="9"/>
      <c r="D1489" s="9"/>
      <c r="E1489" s="9"/>
      <c r="F1489" s="9"/>
      <c r="G1489" s="9"/>
      <c r="H1489" s="9"/>
      <c r="I1489" s="9"/>
      <c r="J1489" s="9"/>
      <c r="K1489" s="9"/>
      <c r="L1489" s="9"/>
      <c r="M1489" s="9"/>
      <c r="N1489" s="9"/>
      <c r="O1489" s="9"/>
      <c r="P1489" s="9"/>
      <c r="Q1489" s="9"/>
      <c r="R1489" s="9"/>
      <c r="S1489" s="9"/>
      <c r="T1489" s="9"/>
      <c r="U1489" s="9"/>
      <c r="V1489" s="9"/>
      <c r="W1489" s="9"/>
      <c r="X1489" s="9"/>
      <c r="Y1489" s="9"/>
      <c r="Z1489" s="9"/>
      <c r="AA1489" s="9"/>
      <c r="AB1489" s="9"/>
      <c r="AC1489" s="9"/>
      <c r="AD1489" s="9"/>
      <c r="AE1489" s="9"/>
      <c r="AF1489" s="9"/>
      <c r="AG1489" s="9"/>
      <c r="AH1489" s="9"/>
      <c r="AI1489" s="9"/>
      <c r="AJ1489" s="9"/>
      <c r="AK1489" s="9"/>
      <c r="AL1489" s="9"/>
      <c r="AM1489" s="69"/>
      <c r="AN1489" s="9"/>
      <c r="AO1489" s="69" t="s">
        <v>2150</v>
      </c>
      <c r="AP1489" s="210"/>
      <c r="AQ1489" s="211"/>
      <c r="AR1489" s="211"/>
      <c r="AS1489" s="211"/>
      <c r="AT1489" s="211"/>
      <c r="AU1489" s="211"/>
      <c r="AV1489" s="211"/>
      <c r="AW1489" s="9"/>
      <c r="AX1489" s="9"/>
      <c r="AY1489" s="9"/>
      <c r="AZ1489" s="9"/>
      <c r="BA1489" s="120"/>
      <c r="BB1489" s="69"/>
      <c r="BC1489" s="165" t="s">
        <v>1615</v>
      </c>
      <c r="BD1489" s="166">
        <f t="shared" si="80"/>
        <v>0.79500000000000004</v>
      </c>
      <c r="BE1489" s="167" t="s">
        <v>1616</v>
      </c>
      <c r="BF1489" s="168">
        <f t="shared" si="81"/>
        <v>0.2</v>
      </c>
      <c r="BG1489" s="167" t="s">
        <v>1617</v>
      </c>
      <c r="BH1489" s="168">
        <f t="shared" si="82"/>
        <v>5.0000000000000001E-3</v>
      </c>
      <c r="BI1489" s="169"/>
      <c r="BJ1489" s="168">
        <v>0</v>
      </c>
      <c r="BK1489" s="134" t="s">
        <v>2151</v>
      </c>
      <c r="BL1489" s="168">
        <f t="shared" si="83"/>
        <v>0.8</v>
      </c>
      <c r="BM1489" s="167" t="s">
        <v>2152</v>
      </c>
      <c r="BN1489" s="168">
        <f t="shared" si="84"/>
        <v>0.2</v>
      </c>
      <c r="BO1489" s="62"/>
      <c r="BP1489" s="168"/>
      <c r="BQ1489" s="168"/>
      <c r="BR1489" s="168"/>
      <c r="BS1489" s="135" t="s">
        <v>1615</v>
      </c>
      <c r="BT1489" s="176">
        <f t="shared" si="85"/>
        <v>0.77500000000000002</v>
      </c>
      <c r="BU1489" s="167" t="s">
        <v>1616</v>
      </c>
      <c r="BV1489" s="168">
        <f t="shared" si="86"/>
        <v>0.2</v>
      </c>
      <c r="BW1489" s="167" t="s">
        <v>2153</v>
      </c>
      <c r="BX1489" s="168"/>
      <c r="BY1489" s="167" t="s">
        <v>1617</v>
      </c>
      <c r="BZ1489" s="176">
        <f t="shared" si="87"/>
        <v>5.0000000000000001E-3</v>
      </c>
      <c r="CA1489" s="167" t="s">
        <v>1621</v>
      </c>
      <c r="CB1489" s="168">
        <v>0.02</v>
      </c>
      <c r="CC1489" s="104"/>
      <c r="CD1489" s="186"/>
      <c r="CE1489" s="183"/>
      <c r="CF1489" s="183"/>
      <c r="CG1489" s="9"/>
      <c r="CH1489" s="9"/>
      <c r="CI1489" s="9"/>
      <c r="CJ1489" s="9"/>
      <c r="CK1489" s="9"/>
      <c r="CL1489" s="9"/>
      <c r="CM1489" s="9"/>
      <c r="CN1489" s="9"/>
      <c r="CO1489" s="9"/>
      <c r="CP1489" s="9"/>
    </row>
    <row r="1490" spans="1:94" ht="42.75" x14ac:dyDescent="0.25">
      <c r="A1490" s="126" t="s">
        <v>4272</v>
      </c>
      <c r="B1490" s="9" t="s">
        <v>4273</v>
      </c>
      <c r="C1490" s="9"/>
      <c r="D1490" s="9"/>
      <c r="E1490" s="9"/>
      <c r="F1490" s="9"/>
      <c r="G1490" s="9"/>
      <c r="H1490" s="9"/>
      <c r="I1490" s="9"/>
      <c r="J1490" s="9"/>
      <c r="K1490" s="9"/>
      <c r="L1490" s="9"/>
      <c r="M1490" s="9"/>
      <c r="N1490" s="9"/>
      <c r="O1490" s="9"/>
      <c r="P1490" s="9"/>
      <c r="Q1490" s="9"/>
      <c r="R1490" s="9"/>
      <c r="S1490" s="9"/>
      <c r="T1490" s="9"/>
      <c r="U1490" s="9"/>
      <c r="V1490" s="9"/>
      <c r="W1490" s="9"/>
      <c r="X1490" s="9"/>
      <c r="Y1490" s="9"/>
      <c r="Z1490" s="9"/>
      <c r="AA1490" s="9"/>
      <c r="AB1490" s="9"/>
      <c r="AC1490" s="9"/>
      <c r="AD1490" s="9"/>
      <c r="AE1490" s="9"/>
      <c r="AF1490" s="9"/>
      <c r="AG1490" s="9"/>
      <c r="AH1490" s="9"/>
      <c r="AI1490" s="9"/>
      <c r="AJ1490" s="9"/>
      <c r="AK1490" s="9"/>
      <c r="AL1490" s="9"/>
      <c r="AM1490" s="69"/>
      <c r="AN1490" s="9"/>
      <c r="AO1490" s="69" t="s">
        <v>2150</v>
      </c>
      <c r="AP1490" s="210"/>
      <c r="AQ1490" s="211"/>
      <c r="AR1490" s="211"/>
      <c r="AS1490" s="211"/>
      <c r="AT1490" s="211"/>
      <c r="AU1490" s="211"/>
      <c r="AV1490" s="211"/>
      <c r="AW1490" s="9"/>
      <c r="AX1490" s="9"/>
      <c r="AY1490" s="9"/>
      <c r="AZ1490" s="9"/>
      <c r="BA1490" s="120"/>
      <c r="BB1490" s="69"/>
      <c r="BC1490" s="165" t="s">
        <v>1615</v>
      </c>
      <c r="BD1490" s="166">
        <f t="shared" si="80"/>
        <v>0.79500000000000004</v>
      </c>
      <c r="BE1490" s="167" t="s">
        <v>1616</v>
      </c>
      <c r="BF1490" s="168">
        <f t="shared" si="81"/>
        <v>0.2</v>
      </c>
      <c r="BG1490" s="167" t="s">
        <v>1617</v>
      </c>
      <c r="BH1490" s="168">
        <f t="shared" si="82"/>
        <v>5.0000000000000001E-3</v>
      </c>
      <c r="BI1490" s="169"/>
      <c r="BJ1490" s="168">
        <v>0</v>
      </c>
      <c r="BK1490" s="134" t="s">
        <v>2151</v>
      </c>
      <c r="BL1490" s="168">
        <f t="shared" si="83"/>
        <v>0.8</v>
      </c>
      <c r="BM1490" s="167" t="s">
        <v>2152</v>
      </c>
      <c r="BN1490" s="168">
        <f t="shared" si="84"/>
        <v>0.2</v>
      </c>
      <c r="BO1490" s="62"/>
      <c r="BP1490" s="168"/>
      <c r="BQ1490" s="168"/>
      <c r="BR1490" s="168"/>
      <c r="BS1490" s="135" t="s">
        <v>1615</v>
      </c>
      <c r="BT1490" s="176">
        <f t="shared" si="85"/>
        <v>0.77500000000000002</v>
      </c>
      <c r="BU1490" s="167" t="s">
        <v>1616</v>
      </c>
      <c r="BV1490" s="168">
        <f t="shared" si="86"/>
        <v>0.2</v>
      </c>
      <c r="BW1490" s="167" t="s">
        <v>2153</v>
      </c>
      <c r="BX1490" s="168"/>
      <c r="BY1490" s="167" t="s">
        <v>1617</v>
      </c>
      <c r="BZ1490" s="176">
        <f t="shared" si="87"/>
        <v>5.0000000000000001E-3</v>
      </c>
      <c r="CA1490" s="167" t="s">
        <v>1621</v>
      </c>
      <c r="CB1490" s="168">
        <v>0.02</v>
      </c>
      <c r="CC1490" s="9"/>
      <c r="CD1490" s="9"/>
      <c r="CE1490" s="9"/>
      <c r="CF1490" s="9"/>
      <c r="CG1490" s="9"/>
      <c r="CH1490" s="9"/>
      <c r="CI1490" s="9"/>
      <c r="CJ1490" s="9"/>
      <c r="CK1490" s="9"/>
      <c r="CL1490" s="9"/>
      <c r="CM1490" s="9"/>
      <c r="CN1490" s="9"/>
      <c r="CO1490" s="9"/>
      <c r="CP1490" s="9"/>
    </row>
    <row r="1491" spans="1:94" ht="42.75" x14ac:dyDescent="0.25">
      <c r="A1491" s="126" t="s">
        <v>4274</v>
      </c>
      <c r="B1491" s="9" t="s">
        <v>4275</v>
      </c>
      <c r="C1491" s="9"/>
      <c r="D1491" s="9"/>
      <c r="E1491" s="9"/>
      <c r="F1491" s="9"/>
      <c r="G1491" s="9"/>
      <c r="H1491" s="9"/>
      <c r="I1491" s="9"/>
      <c r="J1491" s="9"/>
      <c r="K1491" s="9"/>
      <c r="L1491" s="9"/>
      <c r="M1491" s="9"/>
      <c r="N1491" s="9"/>
      <c r="O1491" s="9"/>
      <c r="P1491" s="9"/>
      <c r="Q1491" s="9"/>
      <c r="R1491" s="9"/>
      <c r="S1491" s="9"/>
      <c r="T1491" s="9"/>
      <c r="U1491" s="9"/>
      <c r="V1491" s="9"/>
      <c r="W1491" s="9"/>
      <c r="X1491" s="9"/>
      <c r="Y1491" s="9"/>
      <c r="Z1491" s="9"/>
      <c r="AA1491" s="9"/>
      <c r="AB1491" s="9"/>
      <c r="AC1491" s="9"/>
      <c r="AD1491" s="9"/>
      <c r="AE1491" s="9"/>
      <c r="AF1491" s="9"/>
      <c r="AG1491" s="9"/>
      <c r="AH1491" s="9"/>
      <c r="AI1491" s="9"/>
      <c r="AJ1491" s="9"/>
      <c r="AK1491" s="9"/>
      <c r="AL1491" s="9"/>
      <c r="AM1491" s="69"/>
      <c r="AN1491" s="9"/>
      <c r="AO1491" s="69" t="s">
        <v>2150</v>
      </c>
      <c r="AP1491" s="210"/>
      <c r="AQ1491" s="211"/>
      <c r="AR1491" s="211"/>
      <c r="AS1491" s="211"/>
      <c r="AT1491" s="211"/>
      <c r="AU1491" s="211"/>
      <c r="AV1491" s="211"/>
      <c r="AW1491" s="9"/>
      <c r="AX1491" s="9"/>
      <c r="AY1491" s="9"/>
      <c r="AZ1491" s="9"/>
      <c r="BA1491" s="120"/>
      <c r="BB1491" s="69"/>
      <c r="BC1491" s="165" t="s">
        <v>1615</v>
      </c>
      <c r="BD1491" s="166">
        <f t="shared" si="80"/>
        <v>0.79500000000000004</v>
      </c>
      <c r="BE1491" s="167" t="s">
        <v>1616</v>
      </c>
      <c r="BF1491" s="168">
        <f t="shared" si="81"/>
        <v>0.2</v>
      </c>
      <c r="BG1491" s="167" t="s">
        <v>1617</v>
      </c>
      <c r="BH1491" s="168">
        <f t="shared" si="82"/>
        <v>5.0000000000000001E-3</v>
      </c>
      <c r="BI1491" s="169"/>
      <c r="BJ1491" s="168">
        <v>0</v>
      </c>
      <c r="BK1491" s="134" t="s">
        <v>2151</v>
      </c>
      <c r="BL1491" s="168">
        <f t="shared" si="83"/>
        <v>0.8</v>
      </c>
      <c r="BM1491" s="167" t="s">
        <v>2152</v>
      </c>
      <c r="BN1491" s="168">
        <f t="shared" si="84"/>
        <v>0.2</v>
      </c>
      <c r="BO1491" s="62"/>
      <c r="BP1491" s="168"/>
      <c r="BQ1491" s="168"/>
      <c r="BR1491" s="168"/>
      <c r="BS1491" s="135" t="s">
        <v>1615</v>
      </c>
      <c r="BT1491" s="176">
        <f t="shared" si="85"/>
        <v>0.77500000000000002</v>
      </c>
      <c r="BU1491" s="167" t="s">
        <v>1616</v>
      </c>
      <c r="BV1491" s="168">
        <f t="shared" si="86"/>
        <v>0.2</v>
      </c>
      <c r="BW1491" s="167" t="s">
        <v>2153</v>
      </c>
      <c r="BX1491" s="168"/>
      <c r="BY1491" s="167" t="s">
        <v>1617</v>
      </c>
      <c r="BZ1491" s="176">
        <f t="shared" si="87"/>
        <v>5.0000000000000001E-3</v>
      </c>
      <c r="CA1491" s="167" t="s">
        <v>1621</v>
      </c>
      <c r="CB1491" s="168">
        <v>0.02</v>
      </c>
      <c r="CC1491" s="9"/>
      <c r="CD1491" s="9"/>
      <c r="CE1491" s="9"/>
      <c r="CF1491" s="9"/>
      <c r="CG1491" s="9"/>
      <c r="CH1491" s="9"/>
      <c r="CI1491" s="9"/>
      <c r="CJ1491" s="9"/>
      <c r="CK1491" s="9"/>
      <c r="CL1491" s="9"/>
      <c r="CM1491" s="9"/>
      <c r="CN1491" s="9"/>
      <c r="CO1491" s="9"/>
      <c r="CP1491" s="9"/>
    </row>
    <row r="1492" spans="1:94" ht="42.75" x14ac:dyDescent="0.25">
      <c r="A1492" s="126" t="s">
        <v>4276</v>
      </c>
      <c r="B1492" s="9" t="s">
        <v>4277</v>
      </c>
      <c r="C1492" s="9"/>
      <c r="D1492" s="9"/>
      <c r="E1492" s="9"/>
      <c r="F1492" s="9"/>
      <c r="G1492" s="9"/>
      <c r="H1492" s="9"/>
      <c r="I1492" s="9"/>
      <c r="J1492" s="9"/>
      <c r="K1492" s="9"/>
      <c r="L1492" s="9"/>
      <c r="M1492" s="9"/>
      <c r="N1492" s="9"/>
      <c r="O1492" s="9"/>
      <c r="P1492" s="9"/>
      <c r="Q1492" s="9"/>
      <c r="R1492" s="9"/>
      <c r="S1492" s="9"/>
      <c r="T1492" s="9"/>
      <c r="U1492" s="9"/>
      <c r="V1492" s="9"/>
      <c r="W1492" s="9"/>
      <c r="X1492" s="9"/>
      <c r="Y1492" s="9"/>
      <c r="Z1492" s="9"/>
      <c r="AA1492" s="9"/>
      <c r="AB1492" s="9"/>
      <c r="AC1492" s="9"/>
      <c r="AD1492" s="9"/>
      <c r="AE1492" s="9"/>
      <c r="AF1492" s="9"/>
      <c r="AG1492" s="9"/>
      <c r="AH1492" s="9"/>
      <c r="AI1492" s="9"/>
      <c r="AJ1492" s="9"/>
      <c r="AK1492" s="9"/>
      <c r="AL1492" s="9"/>
      <c r="AM1492" s="69"/>
      <c r="AN1492" s="9"/>
      <c r="AO1492" s="69" t="s">
        <v>2150</v>
      </c>
      <c r="AP1492" s="210"/>
      <c r="AQ1492" s="211"/>
      <c r="AR1492" s="211"/>
      <c r="AS1492" s="211"/>
      <c r="AT1492" s="211"/>
      <c r="AU1492" s="211"/>
      <c r="AV1492" s="211"/>
      <c r="AW1492" s="9"/>
      <c r="AX1492" s="9"/>
      <c r="AY1492" s="9"/>
      <c r="AZ1492" s="9"/>
      <c r="BA1492" s="120"/>
      <c r="BB1492" s="69"/>
      <c r="BC1492" s="165" t="s">
        <v>1615</v>
      </c>
      <c r="BD1492" s="166">
        <f t="shared" si="80"/>
        <v>0.79500000000000004</v>
      </c>
      <c r="BE1492" s="167" t="s">
        <v>1616</v>
      </c>
      <c r="BF1492" s="168">
        <f t="shared" si="81"/>
        <v>0.2</v>
      </c>
      <c r="BG1492" s="167" t="s">
        <v>1617</v>
      </c>
      <c r="BH1492" s="168">
        <f t="shared" si="82"/>
        <v>5.0000000000000001E-3</v>
      </c>
      <c r="BI1492" s="169"/>
      <c r="BJ1492" s="168">
        <v>0</v>
      </c>
      <c r="BK1492" s="134" t="s">
        <v>2151</v>
      </c>
      <c r="BL1492" s="168">
        <f t="shared" si="83"/>
        <v>0.8</v>
      </c>
      <c r="BM1492" s="167" t="s">
        <v>2152</v>
      </c>
      <c r="BN1492" s="168">
        <f t="shared" si="84"/>
        <v>0.2</v>
      </c>
      <c r="BO1492" s="62"/>
      <c r="BP1492" s="168"/>
      <c r="BQ1492" s="168"/>
      <c r="BR1492" s="168"/>
      <c r="BS1492" s="135" t="s">
        <v>1615</v>
      </c>
      <c r="BT1492" s="176">
        <f t="shared" si="85"/>
        <v>0.77500000000000002</v>
      </c>
      <c r="BU1492" s="167" t="s">
        <v>1616</v>
      </c>
      <c r="BV1492" s="168">
        <f t="shared" si="86"/>
        <v>0.2</v>
      </c>
      <c r="BW1492" s="167" t="s">
        <v>2153</v>
      </c>
      <c r="BX1492" s="168"/>
      <c r="BY1492" s="167" t="s">
        <v>1617</v>
      </c>
      <c r="BZ1492" s="176">
        <f t="shared" si="87"/>
        <v>5.0000000000000001E-3</v>
      </c>
      <c r="CA1492" s="167" t="s">
        <v>1621</v>
      </c>
      <c r="CB1492" s="168">
        <v>0.02</v>
      </c>
      <c r="CC1492" s="9"/>
      <c r="CD1492" s="9"/>
      <c r="CE1492" s="9"/>
      <c r="CF1492" s="9"/>
      <c r="CG1492" s="9"/>
      <c r="CH1492" s="9"/>
      <c r="CI1492" s="9"/>
      <c r="CJ1492" s="9"/>
      <c r="CK1492" s="9"/>
      <c r="CL1492" s="9"/>
      <c r="CM1492" s="9"/>
      <c r="CN1492" s="9"/>
      <c r="CO1492" s="9"/>
      <c r="CP1492" s="9"/>
    </row>
    <row r="1493" spans="1:94" ht="15.75" x14ac:dyDescent="0.25">
      <c r="A1493" s="126" t="s">
        <v>4278</v>
      </c>
      <c r="B1493" s="9" t="s">
        <v>4279</v>
      </c>
      <c r="C1493" s="9"/>
      <c r="D1493" s="9"/>
      <c r="E1493" s="9"/>
      <c r="F1493" s="9"/>
      <c r="G1493" s="9"/>
      <c r="H1493" s="9"/>
      <c r="I1493" s="9"/>
      <c r="J1493" s="9"/>
      <c r="K1493" s="9"/>
      <c r="L1493" s="9"/>
      <c r="M1493" s="9"/>
      <c r="N1493" s="9"/>
      <c r="O1493" s="9"/>
      <c r="P1493" s="9"/>
      <c r="Q1493" s="9"/>
      <c r="R1493" s="9"/>
      <c r="S1493" s="9"/>
      <c r="T1493" s="9"/>
      <c r="U1493" s="9"/>
      <c r="V1493" s="9"/>
      <c r="W1493" s="9"/>
      <c r="X1493" s="9"/>
      <c r="Y1493" s="9"/>
      <c r="Z1493" s="9"/>
      <c r="AA1493" s="9"/>
      <c r="AB1493" s="9"/>
      <c r="AC1493" s="9"/>
      <c r="AD1493" s="9"/>
      <c r="AE1493" s="9"/>
      <c r="AF1493" s="9"/>
      <c r="AG1493" s="9"/>
      <c r="AH1493" s="9"/>
      <c r="AI1493" s="9"/>
      <c r="AJ1493" s="9"/>
      <c r="AK1493" s="9"/>
      <c r="AL1493" s="9"/>
      <c r="AM1493" s="69"/>
      <c r="AN1493" s="9"/>
      <c r="AO1493" s="69" t="s">
        <v>2150</v>
      </c>
      <c r="AP1493" s="210"/>
      <c r="AQ1493" s="211"/>
      <c r="AR1493" s="211"/>
      <c r="AS1493" s="211"/>
      <c r="AT1493" s="211"/>
      <c r="AU1493" s="211"/>
      <c r="AV1493" s="211"/>
      <c r="AW1493" s="9"/>
      <c r="AX1493" s="9"/>
      <c r="AY1493" s="9"/>
      <c r="AZ1493" s="9"/>
      <c r="BA1493" s="120"/>
      <c r="BB1493" s="69"/>
      <c r="BC1493" s="9"/>
      <c r="BD1493" s="9"/>
      <c r="BE1493" s="9"/>
      <c r="BF1493" s="9"/>
      <c r="BG1493" s="9"/>
      <c r="BH1493" s="9"/>
      <c r="BI1493" s="9"/>
      <c r="BJ1493" s="9"/>
      <c r="BK1493" s="9"/>
      <c r="BL1493" s="9"/>
      <c r="BM1493" s="9"/>
      <c r="BN1493" s="9"/>
      <c r="BO1493" s="9"/>
      <c r="BP1493" s="9"/>
      <c r="BQ1493" s="9"/>
      <c r="BR1493" s="9"/>
      <c r="BS1493" s="9"/>
      <c r="BT1493" s="9"/>
      <c r="BU1493" s="9"/>
      <c r="BV1493" s="9"/>
      <c r="BW1493" s="9"/>
      <c r="BX1493" s="9"/>
      <c r="BY1493" s="9"/>
      <c r="BZ1493" s="9"/>
      <c r="CA1493" s="9"/>
      <c r="CB1493" s="9"/>
      <c r="CC1493" s="9"/>
      <c r="CD1493" s="9"/>
      <c r="CE1493" s="9"/>
      <c r="CF1493" s="9"/>
      <c r="CG1493" s="9"/>
      <c r="CH1493" s="9"/>
      <c r="CI1493" s="9"/>
      <c r="CJ1493" s="9"/>
      <c r="CK1493" s="9"/>
      <c r="CL1493" s="9"/>
      <c r="CM1493" s="9"/>
      <c r="CN1493" s="9"/>
      <c r="CO1493" s="9"/>
      <c r="CP1493" s="9"/>
    </row>
    <row r="1494" spans="1:94" ht="15.75" x14ac:dyDescent="0.25">
      <c r="A1494" s="126" t="s">
        <v>4280</v>
      </c>
      <c r="B1494" s="9" t="s">
        <v>4281</v>
      </c>
      <c r="C1494" s="9"/>
      <c r="D1494" s="9"/>
      <c r="E1494" s="9"/>
      <c r="F1494" s="9"/>
      <c r="G1494" s="9"/>
      <c r="H1494" s="9"/>
      <c r="I1494" s="9"/>
      <c r="J1494" s="9"/>
      <c r="K1494" s="9"/>
      <c r="L1494" s="9"/>
      <c r="M1494" s="9"/>
      <c r="N1494" s="9"/>
      <c r="O1494" s="9"/>
      <c r="P1494" s="9"/>
      <c r="Q1494" s="9"/>
      <c r="R1494" s="9"/>
      <c r="S1494" s="9"/>
      <c r="T1494" s="9"/>
      <c r="U1494" s="9"/>
      <c r="V1494" s="9"/>
      <c r="W1494" s="9"/>
      <c r="X1494" s="9"/>
      <c r="Y1494" s="9"/>
      <c r="Z1494" s="9"/>
      <c r="AA1494" s="9"/>
      <c r="AB1494" s="9"/>
      <c r="AC1494" s="9"/>
      <c r="AD1494" s="9"/>
      <c r="AE1494" s="9"/>
      <c r="AF1494" s="9"/>
      <c r="AG1494" s="9"/>
      <c r="AH1494" s="9"/>
      <c r="AI1494" s="9"/>
      <c r="AJ1494" s="9"/>
      <c r="AK1494" s="9"/>
      <c r="AL1494" s="9"/>
      <c r="AM1494" s="69"/>
      <c r="AN1494" s="9"/>
      <c r="AO1494" s="69" t="s">
        <v>2150</v>
      </c>
      <c r="AP1494" s="210"/>
      <c r="AQ1494" s="211"/>
      <c r="AR1494" s="211"/>
      <c r="AS1494" s="211"/>
      <c r="AT1494" s="211"/>
      <c r="AU1494" s="211"/>
      <c r="AV1494" s="211"/>
      <c r="AW1494" s="9"/>
      <c r="AX1494" s="9"/>
      <c r="AY1494" s="9"/>
      <c r="AZ1494" s="9"/>
      <c r="BA1494" s="120"/>
      <c r="BB1494" s="69"/>
      <c r="BC1494" s="9"/>
      <c r="BD1494" s="9"/>
      <c r="BE1494" s="9"/>
      <c r="BF1494" s="9"/>
      <c r="BG1494" s="9"/>
      <c r="BH1494" s="9"/>
      <c r="BI1494" s="9"/>
      <c r="BJ1494" s="9"/>
      <c r="BK1494" s="9"/>
      <c r="BL1494" s="9"/>
      <c r="BM1494" s="9"/>
      <c r="BN1494" s="9"/>
      <c r="BO1494" s="9"/>
      <c r="BP1494" s="9"/>
      <c r="BQ1494" s="9"/>
      <c r="BR1494" s="9"/>
      <c r="BS1494" s="9"/>
      <c r="BT1494" s="9"/>
      <c r="BU1494" s="9"/>
      <c r="BV1494" s="9"/>
      <c r="BW1494" s="9"/>
      <c r="BX1494" s="9"/>
      <c r="BY1494" s="9"/>
      <c r="BZ1494" s="9"/>
      <c r="CA1494" s="9"/>
      <c r="CB1494" s="9"/>
      <c r="CC1494" s="9"/>
      <c r="CD1494" s="9"/>
      <c r="CE1494" s="9"/>
      <c r="CF1494" s="9"/>
      <c r="CG1494" s="9"/>
      <c r="CH1494" s="9"/>
      <c r="CI1494" s="9"/>
      <c r="CJ1494" s="9"/>
      <c r="CK1494" s="9"/>
      <c r="CL1494" s="9"/>
      <c r="CM1494" s="9"/>
      <c r="CN1494" s="9"/>
      <c r="CO1494" s="9"/>
      <c r="CP1494" s="9"/>
    </row>
    <row r="1495" spans="1:94" ht="15.75" x14ac:dyDescent="0.25">
      <c r="A1495" s="126" t="s">
        <v>4282</v>
      </c>
      <c r="B1495" s="9" t="s">
        <v>4283</v>
      </c>
      <c r="C1495" s="9"/>
      <c r="D1495" s="9"/>
      <c r="E1495" s="9"/>
      <c r="F1495" s="9"/>
      <c r="G1495" s="9"/>
      <c r="H1495" s="9"/>
      <c r="I1495" s="9"/>
      <c r="J1495" s="9"/>
      <c r="K1495" s="9"/>
      <c r="L1495" s="9"/>
      <c r="M1495" s="9"/>
      <c r="N1495" s="9"/>
      <c r="O1495" s="9"/>
      <c r="P1495" s="9"/>
      <c r="Q1495" s="9"/>
      <c r="R1495" s="9"/>
      <c r="S1495" s="9"/>
      <c r="T1495" s="9"/>
      <c r="U1495" s="9"/>
      <c r="V1495" s="9"/>
      <c r="W1495" s="9"/>
      <c r="X1495" s="9"/>
      <c r="Y1495" s="9"/>
      <c r="Z1495" s="9"/>
      <c r="AA1495" s="9"/>
      <c r="AB1495" s="9"/>
      <c r="AC1495" s="9"/>
      <c r="AD1495" s="9"/>
      <c r="AE1495" s="9"/>
      <c r="AF1495" s="9"/>
      <c r="AG1495" s="9"/>
      <c r="AH1495" s="9"/>
      <c r="AI1495" s="9"/>
      <c r="AJ1495" s="9"/>
      <c r="AK1495" s="9"/>
      <c r="AL1495" s="9"/>
      <c r="AM1495" s="69"/>
      <c r="AN1495" s="9"/>
      <c r="AO1495" s="69" t="s">
        <v>2150</v>
      </c>
      <c r="AP1495" s="210"/>
      <c r="AQ1495" s="211"/>
      <c r="AR1495" s="211"/>
      <c r="AS1495" s="211"/>
      <c r="AT1495" s="211"/>
      <c r="AU1495" s="211"/>
      <c r="AV1495" s="211"/>
      <c r="AW1495" s="9"/>
      <c r="AX1495" s="9"/>
      <c r="AY1495" s="9"/>
      <c r="AZ1495" s="9"/>
      <c r="BA1495" s="120"/>
      <c r="BB1495" s="69"/>
      <c r="BC1495" s="9"/>
      <c r="BD1495" s="9"/>
      <c r="BE1495" s="9"/>
      <c r="BF1495" s="9"/>
      <c r="BG1495" s="9"/>
      <c r="BH1495" s="9"/>
      <c r="BI1495" s="9"/>
      <c r="BJ1495" s="9"/>
      <c r="BK1495" s="9"/>
      <c r="BL1495" s="9"/>
      <c r="BM1495" s="9"/>
      <c r="BN1495" s="9"/>
      <c r="BO1495" s="9"/>
      <c r="BP1495" s="9"/>
      <c r="BQ1495" s="9"/>
      <c r="BR1495" s="9"/>
      <c r="BS1495" s="9"/>
      <c r="BT1495" s="9"/>
      <c r="BU1495" s="9"/>
      <c r="BV1495" s="9"/>
      <c r="BW1495" s="9"/>
      <c r="BX1495" s="9"/>
      <c r="BY1495" s="9"/>
      <c r="BZ1495" s="9"/>
      <c r="CA1495" s="9"/>
      <c r="CB1495" s="9"/>
      <c r="CC1495" s="9"/>
      <c r="CD1495" s="9"/>
      <c r="CE1495" s="9"/>
      <c r="CF1495" s="9"/>
      <c r="CG1495" s="9"/>
      <c r="CH1495" s="9"/>
      <c r="CI1495" s="9"/>
      <c r="CJ1495" s="9"/>
      <c r="CK1495" s="9"/>
      <c r="CL1495" s="9"/>
      <c r="CM1495" s="9"/>
      <c r="CN1495" s="9"/>
      <c r="CO1495" s="9"/>
      <c r="CP1495" s="9"/>
    </row>
    <row r="1496" spans="1:94" ht="15.75" x14ac:dyDescent="0.25">
      <c r="A1496" s="126" t="s">
        <v>4284</v>
      </c>
      <c r="B1496" s="9" t="s">
        <v>4285</v>
      </c>
      <c r="C1496" s="9"/>
      <c r="D1496" s="9"/>
      <c r="E1496" s="9"/>
      <c r="F1496" s="9"/>
      <c r="G1496" s="9"/>
      <c r="H1496" s="9"/>
      <c r="I1496" s="9"/>
      <c r="J1496" s="9"/>
      <c r="K1496" s="9"/>
      <c r="L1496" s="9"/>
      <c r="M1496" s="9"/>
      <c r="N1496" s="9"/>
      <c r="O1496" s="9"/>
      <c r="P1496" s="9"/>
      <c r="Q1496" s="9"/>
      <c r="R1496" s="9"/>
      <c r="S1496" s="9"/>
      <c r="T1496" s="9"/>
      <c r="U1496" s="9"/>
      <c r="V1496" s="9"/>
      <c r="W1496" s="9"/>
      <c r="X1496" s="9"/>
      <c r="Y1496" s="9"/>
      <c r="Z1496" s="9"/>
      <c r="AA1496" s="9"/>
      <c r="AB1496" s="9"/>
      <c r="AC1496" s="9"/>
      <c r="AD1496" s="9"/>
      <c r="AE1496" s="9"/>
      <c r="AF1496" s="9"/>
      <c r="AG1496" s="9"/>
      <c r="AH1496" s="9"/>
      <c r="AI1496" s="9"/>
      <c r="AJ1496" s="9"/>
      <c r="AK1496" s="9"/>
      <c r="AL1496" s="9"/>
      <c r="AM1496" s="69"/>
      <c r="AN1496" s="9"/>
      <c r="AO1496" s="69" t="s">
        <v>2150</v>
      </c>
      <c r="AP1496" s="210"/>
      <c r="AQ1496" s="211"/>
      <c r="AR1496" s="211"/>
      <c r="AS1496" s="211"/>
      <c r="AT1496" s="211"/>
      <c r="AU1496" s="211"/>
      <c r="AV1496" s="211"/>
      <c r="AW1496" s="9"/>
      <c r="AX1496" s="9"/>
      <c r="AY1496" s="9"/>
      <c r="AZ1496" s="9"/>
      <c r="BA1496" s="120"/>
      <c r="BB1496" s="69"/>
      <c r="BC1496" s="9"/>
      <c r="BD1496" s="9"/>
      <c r="BE1496" s="9"/>
      <c r="BF1496" s="9"/>
      <c r="BG1496" s="9"/>
      <c r="BH1496" s="9"/>
      <c r="BI1496" s="9"/>
      <c r="BJ1496" s="9"/>
      <c r="BK1496" s="9"/>
      <c r="BL1496" s="9"/>
      <c r="BM1496" s="9"/>
      <c r="BN1496" s="9"/>
      <c r="BO1496" s="9"/>
      <c r="BP1496" s="9"/>
      <c r="BQ1496" s="9"/>
      <c r="BR1496" s="9"/>
      <c r="BS1496" s="9"/>
      <c r="BT1496" s="9"/>
      <c r="BU1496" s="9"/>
      <c r="BV1496" s="9"/>
      <c r="BW1496" s="9"/>
      <c r="BX1496" s="9"/>
      <c r="BY1496" s="9"/>
      <c r="BZ1496" s="9"/>
      <c r="CA1496" s="9"/>
      <c r="CB1496" s="9"/>
      <c r="CC1496" s="9"/>
      <c r="CD1496" s="9"/>
      <c r="CE1496" s="9"/>
      <c r="CF1496" s="9"/>
      <c r="CG1496" s="9"/>
      <c r="CH1496" s="9"/>
      <c r="CI1496" s="9"/>
      <c r="CJ1496" s="9"/>
      <c r="CK1496" s="9"/>
      <c r="CL1496" s="9"/>
      <c r="CM1496" s="9"/>
      <c r="CN1496" s="9"/>
      <c r="CO1496" s="9"/>
      <c r="CP1496" s="9"/>
    </row>
    <row r="1497" spans="1:94" ht="15.75" x14ac:dyDescent="0.25">
      <c r="A1497" s="126" t="s">
        <v>4286</v>
      </c>
      <c r="B1497" s="9" t="s">
        <v>4287</v>
      </c>
      <c r="C1497" s="9"/>
      <c r="D1497" s="9"/>
      <c r="E1497" s="9"/>
      <c r="F1497" s="9"/>
      <c r="G1497" s="9"/>
      <c r="H1497" s="9"/>
      <c r="I1497" s="9"/>
      <c r="J1497" s="9"/>
      <c r="K1497" s="9"/>
      <c r="L1497" s="9"/>
      <c r="M1497" s="9"/>
      <c r="N1497" s="9"/>
      <c r="O1497" s="9"/>
      <c r="P1497" s="9"/>
      <c r="Q1497" s="9"/>
      <c r="R1497" s="9"/>
      <c r="S1497" s="9"/>
      <c r="T1497" s="9"/>
      <c r="U1497" s="9"/>
      <c r="V1497" s="9"/>
      <c r="W1497" s="9"/>
      <c r="X1497" s="9"/>
      <c r="Y1497" s="9"/>
      <c r="Z1497" s="9"/>
      <c r="AA1497" s="9"/>
      <c r="AB1497" s="9"/>
      <c r="AC1497" s="9"/>
      <c r="AD1497" s="9"/>
      <c r="AE1497" s="9"/>
      <c r="AF1497" s="9"/>
      <c r="AG1497" s="9"/>
      <c r="AH1497" s="9"/>
      <c r="AI1497" s="9"/>
      <c r="AJ1497" s="9"/>
      <c r="AK1497" s="9"/>
      <c r="AL1497" s="9"/>
      <c r="AM1497" s="69"/>
      <c r="AN1497" s="9"/>
      <c r="AO1497" s="69" t="s">
        <v>4161</v>
      </c>
      <c r="AP1497" s="210"/>
      <c r="AQ1497" s="211"/>
      <c r="AR1497" s="211"/>
      <c r="AS1497" s="211"/>
      <c r="AT1497" s="211"/>
      <c r="AU1497" s="211"/>
      <c r="AV1497" s="211"/>
      <c r="AW1497" s="9"/>
      <c r="AX1497" s="9"/>
      <c r="AY1497" s="9"/>
      <c r="AZ1497" s="9"/>
      <c r="BA1497" s="120"/>
      <c r="BB1497" s="69"/>
      <c r="BC1497" s="9"/>
      <c r="BD1497" s="9"/>
      <c r="BE1497" s="9"/>
      <c r="BF1497" s="9"/>
      <c r="BG1497" s="9"/>
      <c r="BH1497" s="9"/>
      <c r="BI1497" s="9"/>
      <c r="BJ1497" s="9"/>
      <c r="BK1497" s="9"/>
      <c r="BL1497" s="9"/>
      <c r="BM1497" s="9"/>
      <c r="BN1497" s="9"/>
      <c r="BO1497" s="9"/>
      <c r="BP1497" s="9"/>
      <c r="BQ1497" s="9"/>
      <c r="BR1497" s="9"/>
      <c r="BS1497" s="9"/>
      <c r="BT1497" s="9"/>
      <c r="BU1497" s="9"/>
      <c r="BV1497" s="9"/>
      <c r="BW1497" s="9"/>
      <c r="BX1497" s="9"/>
      <c r="BY1497" s="9"/>
      <c r="BZ1497" s="9"/>
      <c r="CA1497" s="9"/>
      <c r="CB1497" s="9"/>
      <c r="CC1497" s="9"/>
      <c r="CD1497" s="9"/>
      <c r="CE1497" s="9"/>
      <c r="CF1497" s="9"/>
      <c r="CG1497" s="9"/>
      <c r="CH1497" s="9"/>
      <c r="CI1497" s="9"/>
      <c r="CJ1497" s="9"/>
      <c r="CK1497" s="9"/>
      <c r="CL1497" s="9"/>
      <c r="CM1497" s="9"/>
      <c r="CN1497" s="9"/>
      <c r="CO1497" s="9"/>
      <c r="CP1497" s="9"/>
    </row>
    <row r="1498" spans="1:94" x14ac:dyDescent="0.25">
      <c r="A1498" s="9" t="s">
        <v>4288</v>
      </c>
      <c r="B1498" s="9" t="s">
        <v>4289</v>
      </c>
      <c r="C1498" s="9"/>
      <c r="D1498" s="9"/>
      <c r="E1498" s="9"/>
      <c r="F1498" s="9"/>
      <c r="G1498" s="9"/>
      <c r="H1498" s="9"/>
      <c r="I1498" s="9"/>
      <c r="J1498" s="9"/>
      <c r="K1498" s="9"/>
      <c r="L1498" s="9"/>
      <c r="M1498" s="9"/>
      <c r="N1498" s="9"/>
      <c r="O1498" s="9"/>
      <c r="P1498" s="9"/>
      <c r="Q1498" s="9"/>
      <c r="R1498" s="9"/>
      <c r="S1498" s="9"/>
      <c r="T1498" s="9"/>
      <c r="U1498" s="9"/>
      <c r="V1498" s="9"/>
      <c r="W1498" s="9"/>
      <c r="X1498" s="9"/>
      <c r="Y1498" s="9"/>
      <c r="Z1498" s="9"/>
      <c r="AA1498" s="9"/>
      <c r="AB1498" s="9"/>
      <c r="AC1498" s="9"/>
      <c r="AD1498" s="9"/>
      <c r="AE1498" s="9"/>
      <c r="AF1498" s="9"/>
      <c r="AG1498" s="9"/>
      <c r="AH1498" s="9"/>
      <c r="AI1498" s="9"/>
      <c r="AJ1498" s="9"/>
      <c r="AK1498" s="9"/>
      <c r="AL1498" s="9"/>
      <c r="AM1498" s="69"/>
      <c r="AN1498" s="9"/>
      <c r="AO1498" s="69" t="s">
        <v>4161</v>
      </c>
      <c r="AP1498" s="210"/>
      <c r="AQ1498" s="211"/>
      <c r="AR1498" s="211"/>
      <c r="AS1498" s="211"/>
      <c r="AT1498" s="211"/>
      <c r="AU1498" s="211"/>
      <c r="AV1498" s="211"/>
      <c r="AW1498" s="9"/>
      <c r="AX1498" s="9"/>
      <c r="AY1498" s="9"/>
      <c r="AZ1498" s="9"/>
      <c r="BA1498" s="120"/>
      <c r="BB1498" s="69"/>
      <c r="BC1498" s="9"/>
      <c r="BD1498" s="9"/>
      <c r="BE1498" s="9"/>
      <c r="BF1498" s="9"/>
      <c r="BG1498" s="9"/>
      <c r="BH1498" s="9"/>
      <c r="BI1498" s="9"/>
      <c r="BJ1498" s="9"/>
      <c r="BK1498" s="9"/>
      <c r="BL1498" s="9"/>
      <c r="BM1498" s="9"/>
      <c r="BN1498" s="9"/>
      <c r="BO1498" s="9"/>
      <c r="BP1498" s="9"/>
      <c r="BQ1498" s="9"/>
      <c r="BR1498" s="9"/>
      <c r="BS1498" s="9"/>
      <c r="BT1498" s="9"/>
      <c r="BU1498" s="9"/>
      <c r="BV1498" s="9"/>
      <c r="BW1498" s="9"/>
      <c r="BX1498" s="9"/>
      <c r="BY1498" s="9"/>
      <c r="BZ1498" s="9"/>
      <c r="CA1498" s="9"/>
      <c r="CB1498" s="9"/>
      <c r="CC1498" s="9"/>
      <c r="CD1498" s="9"/>
      <c r="CE1498" s="9"/>
      <c r="CF1498" s="9"/>
      <c r="CG1498" s="9"/>
      <c r="CH1498" s="9"/>
      <c r="CI1498" s="9"/>
      <c r="CJ1498" s="9"/>
      <c r="CK1498" s="9"/>
      <c r="CL1498" s="9"/>
      <c r="CM1498" s="9"/>
      <c r="CN1498" s="9"/>
      <c r="CO1498" s="9"/>
      <c r="CP1498" s="9"/>
    </row>
    <row r="1499" spans="1:94" ht="15.75" x14ac:dyDescent="0.25">
      <c r="A1499" s="126" t="s">
        <v>4290</v>
      </c>
      <c r="B1499" s="9" t="s">
        <v>4291</v>
      </c>
      <c r="C1499" s="9"/>
      <c r="D1499" s="9"/>
      <c r="E1499" s="9"/>
      <c r="F1499" s="9"/>
      <c r="G1499" s="9"/>
      <c r="H1499" s="9"/>
      <c r="I1499" s="9"/>
      <c r="J1499" s="9"/>
      <c r="K1499" s="9"/>
      <c r="L1499" s="9"/>
      <c r="M1499" s="9"/>
      <c r="N1499" s="9"/>
      <c r="O1499" s="9"/>
      <c r="P1499" s="9"/>
      <c r="Q1499" s="9"/>
      <c r="R1499" s="9"/>
      <c r="S1499" s="9"/>
      <c r="T1499" s="9"/>
      <c r="U1499" s="9"/>
      <c r="V1499" s="9"/>
      <c r="W1499" s="9"/>
      <c r="X1499" s="9"/>
      <c r="Y1499" s="9"/>
      <c r="Z1499" s="9"/>
      <c r="AA1499" s="9"/>
      <c r="AB1499" s="9"/>
      <c r="AC1499" s="9"/>
      <c r="AD1499" s="9"/>
      <c r="AE1499" s="9"/>
      <c r="AF1499" s="9"/>
      <c r="AG1499" s="9"/>
      <c r="AH1499" s="9"/>
      <c r="AI1499" s="9"/>
      <c r="AJ1499" s="9"/>
      <c r="AK1499" s="9"/>
      <c r="AL1499" s="9"/>
      <c r="AM1499" s="69"/>
      <c r="AN1499" s="9"/>
      <c r="AO1499" s="69" t="s">
        <v>4161</v>
      </c>
      <c r="AP1499" s="210"/>
      <c r="AQ1499" s="211"/>
      <c r="AR1499" s="211"/>
      <c r="AS1499" s="211"/>
      <c r="AT1499" s="211"/>
      <c r="AU1499" s="211"/>
      <c r="AV1499" s="211"/>
      <c r="AW1499" s="9"/>
      <c r="AX1499" s="9"/>
      <c r="AY1499" s="9"/>
      <c r="AZ1499" s="9"/>
      <c r="BA1499" s="120"/>
      <c r="BB1499" s="69"/>
      <c r="BC1499" s="9"/>
      <c r="BD1499" s="9"/>
      <c r="BE1499" s="9"/>
      <c r="BF1499" s="9"/>
      <c r="BG1499" s="9"/>
      <c r="BH1499" s="9"/>
      <c r="BI1499" s="9"/>
      <c r="BJ1499" s="9"/>
      <c r="BK1499" s="9"/>
      <c r="BL1499" s="9"/>
      <c r="BM1499" s="9"/>
      <c r="BN1499" s="9"/>
      <c r="BO1499" s="9"/>
      <c r="BP1499" s="9"/>
      <c r="BQ1499" s="9"/>
      <c r="BR1499" s="9"/>
      <c r="BS1499" s="9"/>
      <c r="BT1499" s="9"/>
      <c r="BU1499" s="9"/>
      <c r="BV1499" s="9"/>
      <c r="BW1499" s="9"/>
      <c r="BX1499" s="9"/>
      <c r="BY1499" s="9"/>
      <c r="BZ1499" s="9"/>
      <c r="CA1499" s="9"/>
      <c r="CB1499" s="9"/>
      <c r="CC1499" s="9"/>
      <c r="CD1499" s="9"/>
      <c r="CE1499" s="9"/>
      <c r="CF1499" s="9"/>
      <c r="CG1499" s="9"/>
      <c r="CH1499" s="9"/>
      <c r="CI1499" s="9"/>
      <c r="CJ1499" s="9"/>
      <c r="CK1499" s="9"/>
      <c r="CL1499" s="9"/>
      <c r="CM1499" s="9"/>
      <c r="CN1499" s="9"/>
      <c r="CO1499" s="9"/>
      <c r="CP1499" s="9"/>
    </row>
    <row r="1500" spans="1:94" ht="15.75" x14ac:dyDescent="0.25">
      <c r="A1500" s="126" t="s">
        <v>4292</v>
      </c>
      <c r="B1500" s="9" t="s">
        <v>4293</v>
      </c>
      <c r="C1500" s="9"/>
      <c r="D1500" s="9"/>
      <c r="E1500" s="9"/>
      <c r="F1500" s="9"/>
      <c r="G1500" s="9"/>
      <c r="H1500" s="9"/>
      <c r="I1500" s="9"/>
      <c r="J1500" s="9"/>
      <c r="K1500" s="9"/>
      <c r="L1500" s="9"/>
      <c r="M1500" s="9"/>
      <c r="N1500" s="9"/>
      <c r="O1500" s="9"/>
      <c r="P1500" s="9"/>
      <c r="Q1500" s="9"/>
      <c r="R1500" s="9"/>
      <c r="S1500" s="9"/>
      <c r="T1500" s="9"/>
      <c r="U1500" s="9"/>
      <c r="V1500" s="9"/>
      <c r="W1500" s="9"/>
      <c r="X1500" s="9"/>
      <c r="Y1500" s="9"/>
      <c r="Z1500" s="9"/>
      <c r="AA1500" s="9"/>
      <c r="AB1500" s="9"/>
      <c r="AC1500" s="9"/>
      <c r="AD1500" s="9"/>
      <c r="AE1500" s="9"/>
      <c r="AF1500" s="9"/>
      <c r="AG1500" s="9"/>
      <c r="AH1500" s="9"/>
      <c r="AI1500" s="9"/>
      <c r="AJ1500" s="9"/>
      <c r="AK1500" s="9"/>
      <c r="AL1500" s="9"/>
      <c r="AM1500" s="69"/>
      <c r="AN1500" s="9"/>
      <c r="AO1500" s="69" t="s">
        <v>4161</v>
      </c>
      <c r="AP1500" s="210"/>
      <c r="AQ1500" s="211"/>
      <c r="AR1500" s="211"/>
      <c r="AS1500" s="211"/>
      <c r="AT1500" s="211"/>
      <c r="AU1500" s="211"/>
      <c r="AV1500" s="211"/>
      <c r="AW1500" s="9"/>
      <c r="AX1500" s="9"/>
      <c r="AY1500" s="9"/>
      <c r="AZ1500" s="9"/>
      <c r="BA1500" s="120"/>
      <c r="BB1500" s="69"/>
      <c r="BC1500" s="9"/>
      <c r="BD1500" s="9"/>
      <c r="BE1500" s="9"/>
      <c r="BF1500" s="9"/>
      <c r="BG1500" s="9"/>
      <c r="BH1500" s="9"/>
      <c r="BI1500" s="9"/>
      <c r="BJ1500" s="9"/>
      <c r="BK1500" s="9"/>
      <c r="BL1500" s="9"/>
      <c r="BM1500" s="9"/>
      <c r="BN1500" s="9"/>
      <c r="BO1500" s="9"/>
      <c r="BP1500" s="9"/>
      <c r="BQ1500" s="9"/>
      <c r="BR1500" s="9"/>
      <c r="BS1500" s="9"/>
      <c r="BT1500" s="9"/>
      <c r="BU1500" s="9"/>
      <c r="BV1500" s="9"/>
      <c r="BW1500" s="9"/>
      <c r="BX1500" s="9"/>
      <c r="BY1500" s="9"/>
      <c r="BZ1500" s="9"/>
      <c r="CA1500" s="9"/>
      <c r="CB1500" s="9"/>
      <c r="CC1500" s="9"/>
      <c r="CD1500" s="9"/>
      <c r="CE1500" s="9"/>
      <c r="CF1500" s="9"/>
      <c r="CG1500" s="9"/>
      <c r="CH1500" s="9"/>
      <c r="CI1500" s="9"/>
      <c r="CJ1500" s="9"/>
      <c r="CK1500" s="9"/>
      <c r="CL1500" s="9"/>
      <c r="CM1500" s="9"/>
      <c r="CN1500" s="9"/>
      <c r="CO1500" s="9"/>
      <c r="CP1500" s="9"/>
    </row>
    <row r="1501" spans="1:94" ht="15.75" x14ac:dyDescent="0.25">
      <c r="A1501" s="126" t="s">
        <v>4294</v>
      </c>
      <c r="B1501" s="9" t="s">
        <v>4295</v>
      </c>
      <c r="C1501" s="9"/>
      <c r="D1501" s="9"/>
      <c r="E1501" s="9"/>
      <c r="F1501" s="9"/>
      <c r="G1501" s="9"/>
      <c r="H1501" s="9"/>
      <c r="I1501" s="9"/>
      <c r="J1501" s="9"/>
      <c r="K1501" s="9"/>
      <c r="L1501" s="9"/>
      <c r="M1501" s="9"/>
      <c r="N1501" s="9"/>
      <c r="O1501" s="9"/>
      <c r="P1501" s="9"/>
      <c r="Q1501" s="9"/>
      <c r="R1501" s="9"/>
      <c r="S1501" s="9"/>
      <c r="T1501" s="9"/>
      <c r="U1501" s="9"/>
      <c r="V1501" s="9"/>
      <c r="W1501" s="9"/>
      <c r="X1501" s="9"/>
      <c r="Y1501" s="9"/>
      <c r="Z1501" s="9"/>
      <c r="AA1501" s="9"/>
      <c r="AB1501" s="9"/>
      <c r="AC1501" s="9"/>
      <c r="AD1501" s="9"/>
      <c r="AE1501" s="9"/>
      <c r="AF1501" s="9"/>
      <c r="AG1501" s="9"/>
      <c r="AH1501" s="9"/>
      <c r="AI1501" s="9"/>
      <c r="AJ1501" s="9"/>
      <c r="AK1501" s="9"/>
      <c r="AL1501" s="9"/>
      <c r="AM1501" s="69"/>
      <c r="AN1501" s="9"/>
      <c r="AO1501" s="69" t="s">
        <v>4161</v>
      </c>
      <c r="AP1501" s="210"/>
      <c r="AQ1501" s="211"/>
      <c r="AR1501" s="211"/>
      <c r="AS1501" s="211"/>
      <c r="AT1501" s="211"/>
      <c r="AU1501" s="211"/>
      <c r="AV1501" s="211"/>
      <c r="AW1501" s="9"/>
      <c r="AX1501" s="9"/>
      <c r="AY1501" s="9"/>
      <c r="AZ1501" s="9"/>
      <c r="BA1501" s="120"/>
      <c r="BB1501" s="69"/>
      <c r="BC1501" s="9"/>
      <c r="BD1501" s="9"/>
      <c r="BE1501" s="9"/>
      <c r="BF1501" s="9"/>
      <c r="BG1501" s="9"/>
      <c r="BH1501" s="9"/>
      <c r="BI1501" s="9"/>
      <c r="BJ1501" s="9"/>
      <c r="BK1501" s="9"/>
      <c r="BL1501" s="9"/>
      <c r="BM1501" s="9"/>
      <c r="BN1501" s="9"/>
      <c r="BO1501" s="9"/>
      <c r="BP1501" s="9"/>
      <c r="BQ1501" s="9"/>
      <c r="BR1501" s="9"/>
      <c r="BS1501" s="9"/>
      <c r="BT1501" s="9"/>
      <c r="BU1501" s="9"/>
      <c r="BV1501" s="9"/>
      <c r="BW1501" s="9"/>
      <c r="BX1501" s="9"/>
      <c r="BY1501" s="9"/>
      <c r="BZ1501" s="9"/>
      <c r="CA1501" s="9"/>
      <c r="CB1501" s="9"/>
      <c r="CC1501" s="9"/>
      <c r="CD1501" s="9"/>
      <c r="CE1501" s="9"/>
      <c r="CF1501" s="9"/>
      <c r="CG1501" s="9"/>
      <c r="CH1501" s="9"/>
      <c r="CI1501" s="9"/>
      <c r="CJ1501" s="9"/>
      <c r="CK1501" s="9"/>
      <c r="CL1501" s="9"/>
      <c r="CM1501" s="9"/>
      <c r="CN1501" s="9"/>
      <c r="CO1501" s="9"/>
      <c r="CP1501" s="9"/>
    </row>
    <row r="1502" spans="1:94" ht="15.75" x14ac:dyDescent="0.25">
      <c r="A1502" s="126" t="s">
        <v>4296</v>
      </c>
      <c r="B1502" s="9" t="s">
        <v>4297</v>
      </c>
      <c r="C1502" s="9"/>
      <c r="D1502" s="9"/>
      <c r="E1502" s="9"/>
      <c r="F1502" s="9"/>
      <c r="G1502" s="9"/>
      <c r="H1502" s="9"/>
      <c r="I1502" s="9"/>
      <c r="J1502" s="9"/>
      <c r="K1502" s="9"/>
      <c r="L1502" s="9"/>
      <c r="M1502" s="9"/>
      <c r="N1502" s="9"/>
      <c r="O1502" s="9"/>
      <c r="P1502" s="9"/>
      <c r="Q1502" s="9"/>
      <c r="R1502" s="9"/>
      <c r="S1502" s="9"/>
      <c r="T1502" s="9"/>
      <c r="U1502" s="9"/>
      <c r="V1502" s="9"/>
      <c r="W1502" s="9"/>
      <c r="X1502" s="9"/>
      <c r="Y1502" s="9"/>
      <c r="Z1502" s="9"/>
      <c r="AA1502" s="9"/>
      <c r="AB1502" s="9"/>
      <c r="AC1502" s="9"/>
      <c r="AD1502" s="9"/>
      <c r="AE1502" s="9"/>
      <c r="AF1502" s="9"/>
      <c r="AG1502" s="9"/>
      <c r="AH1502" s="9"/>
      <c r="AI1502" s="9"/>
      <c r="AJ1502" s="9"/>
      <c r="AK1502" s="9"/>
      <c r="AL1502" s="9"/>
      <c r="AM1502" s="69"/>
      <c r="AN1502" s="9"/>
      <c r="AO1502" s="69" t="s">
        <v>4161</v>
      </c>
      <c r="AP1502" s="210"/>
      <c r="AQ1502" s="211"/>
      <c r="AR1502" s="211"/>
      <c r="AS1502" s="211"/>
      <c r="AT1502" s="211"/>
      <c r="AU1502" s="211"/>
      <c r="AV1502" s="211"/>
      <c r="AW1502" s="9"/>
      <c r="AX1502" s="9"/>
      <c r="AY1502" s="9"/>
      <c r="AZ1502" s="9"/>
      <c r="BA1502" s="120"/>
      <c r="BB1502" s="69"/>
      <c r="BC1502" s="9"/>
      <c r="BD1502" s="9"/>
      <c r="BE1502" s="9"/>
      <c r="BF1502" s="9"/>
      <c r="BG1502" s="9"/>
      <c r="BH1502" s="9"/>
      <c r="BI1502" s="9"/>
      <c r="BJ1502" s="9"/>
      <c r="BK1502" s="9"/>
      <c r="BL1502" s="9"/>
      <c r="BM1502" s="9"/>
      <c r="BN1502" s="9"/>
      <c r="BO1502" s="9"/>
      <c r="BP1502" s="9"/>
      <c r="BQ1502" s="9"/>
      <c r="BR1502" s="9"/>
      <c r="BS1502" s="9"/>
      <c r="BT1502" s="9"/>
      <c r="BU1502" s="9"/>
      <c r="BV1502" s="9"/>
      <c r="BW1502" s="9"/>
      <c r="BX1502" s="9"/>
      <c r="BY1502" s="9"/>
      <c r="BZ1502" s="9"/>
      <c r="CA1502" s="9"/>
      <c r="CB1502" s="9"/>
      <c r="CC1502" s="9"/>
      <c r="CD1502" s="9"/>
      <c r="CE1502" s="9"/>
      <c r="CF1502" s="9"/>
      <c r="CG1502" s="9"/>
      <c r="CH1502" s="9"/>
      <c r="CI1502" s="9"/>
      <c r="CJ1502" s="9"/>
      <c r="CK1502" s="9"/>
      <c r="CL1502" s="9"/>
      <c r="CM1502" s="9"/>
      <c r="CN1502" s="9"/>
      <c r="CO1502" s="9"/>
      <c r="CP1502" s="9"/>
    </row>
    <row r="1503" spans="1:94" x14ac:dyDescent="0.25">
      <c r="A1503" s="9" t="s">
        <v>4298</v>
      </c>
      <c r="B1503" s="9" t="s">
        <v>4299</v>
      </c>
      <c r="C1503" s="9"/>
      <c r="D1503" s="9"/>
      <c r="E1503" s="9"/>
      <c r="F1503" s="9"/>
      <c r="G1503" s="9"/>
      <c r="H1503" s="9"/>
      <c r="I1503" s="9"/>
      <c r="J1503" s="9"/>
      <c r="K1503" s="9"/>
      <c r="L1503" s="9"/>
      <c r="M1503" s="9"/>
      <c r="N1503" s="9"/>
      <c r="O1503" s="9"/>
      <c r="P1503" s="9"/>
      <c r="Q1503" s="9"/>
      <c r="R1503" s="9"/>
      <c r="S1503" s="9"/>
      <c r="T1503" s="9"/>
      <c r="U1503" s="9"/>
      <c r="V1503" s="9"/>
      <c r="W1503" s="9"/>
      <c r="X1503" s="9"/>
      <c r="Y1503" s="9"/>
      <c r="Z1503" s="9"/>
      <c r="AA1503" s="9"/>
      <c r="AB1503" s="9"/>
      <c r="AC1503" s="9"/>
      <c r="AD1503" s="9"/>
      <c r="AE1503" s="9"/>
      <c r="AF1503" s="9"/>
      <c r="AG1503" s="9"/>
      <c r="AH1503" s="9"/>
      <c r="AI1503" s="9"/>
      <c r="AJ1503" s="9"/>
      <c r="AK1503" s="9"/>
      <c r="AL1503" s="9"/>
      <c r="AM1503" s="69"/>
      <c r="AN1503" s="9"/>
      <c r="AO1503" s="69"/>
      <c r="AP1503" s="210"/>
      <c r="AQ1503" s="211"/>
      <c r="AR1503" s="211"/>
      <c r="AS1503" s="211"/>
      <c r="AT1503" s="211"/>
      <c r="AU1503" s="211"/>
      <c r="AV1503" s="211"/>
      <c r="AW1503" s="9"/>
      <c r="AX1503" s="9"/>
      <c r="AY1503" s="9"/>
      <c r="AZ1503" s="9"/>
      <c r="BA1503" s="120"/>
      <c r="BB1503" s="69"/>
      <c r="BC1503" s="9"/>
      <c r="BD1503" s="9"/>
      <c r="BE1503" s="9"/>
      <c r="BF1503" s="9"/>
      <c r="BG1503" s="9"/>
      <c r="BH1503" s="9"/>
      <c r="BI1503" s="9"/>
      <c r="BJ1503" s="9"/>
      <c r="BK1503" s="9"/>
      <c r="BL1503" s="9"/>
      <c r="BM1503" s="9"/>
      <c r="BN1503" s="9"/>
      <c r="BO1503" s="9"/>
      <c r="BP1503" s="9"/>
      <c r="BQ1503" s="9"/>
      <c r="BR1503" s="9"/>
      <c r="BS1503" s="9"/>
      <c r="BT1503" s="9"/>
      <c r="BU1503" s="9"/>
      <c r="BV1503" s="9"/>
      <c r="BW1503" s="9"/>
      <c r="BX1503" s="9"/>
      <c r="BY1503" s="9"/>
      <c r="BZ1503" s="9"/>
      <c r="CA1503" s="9"/>
      <c r="CB1503" s="9"/>
      <c r="CC1503" s="9"/>
      <c r="CD1503" s="9"/>
      <c r="CE1503" s="9"/>
      <c r="CF1503" s="9"/>
      <c r="CG1503" s="9"/>
      <c r="CH1503" s="9"/>
      <c r="CI1503" s="9"/>
      <c r="CJ1503" s="9"/>
      <c r="CK1503" s="9"/>
      <c r="CL1503" s="9"/>
      <c r="CM1503" s="9"/>
      <c r="CN1503" s="9"/>
      <c r="CO1503" s="9"/>
      <c r="CP1503" s="9"/>
    </row>
    <row r="1504" spans="1:94" x14ac:dyDescent="0.25">
      <c r="A1504" s="9" t="s">
        <v>4300</v>
      </c>
      <c r="B1504" s="9" t="s">
        <v>4301</v>
      </c>
      <c r="C1504" s="9"/>
      <c r="D1504" s="9"/>
      <c r="E1504" s="9"/>
      <c r="F1504" s="9"/>
      <c r="G1504" s="9"/>
      <c r="H1504" s="9"/>
      <c r="I1504" s="9"/>
      <c r="J1504" s="9"/>
      <c r="K1504" s="9"/>
      <c r="L1504" s="9"/>
      <c r="M1504" s="9"/>
      <c r="N1504" s="9"/>
      <c r="O1504" s="9"/>
      <c r="P1504" s="9"/>
      <c r="Q1504" s="9"/>
      <c r="R1504" s="9"/>
      <c r="S1504" s="9"/>
      <c r="T1504" s="9"/>
      <c r="U1504" s="9"/>
      <c r="V1504" s="9"/>
      <c r="W1504" s="9"/>
      <c r="X1504" s="9"/>
      <c r="Y1504" s="9"/>
      <c r="Z1504" s="9"/>
      <c r="AA1504" s="9"/>
      <c r="AB1504" s="9"/>
      <c r="AC1504" s="9"/>
      <c r="AD1504" s="9"/>
      <c r="AE1504" s="9"/>
      <c r="AF1504" s="9"/>
      <c r="AG1504" s="9"/>
      <c r="AH1504" s="9"/>
      <c r="AI1504" s="9"/>
      <c r="AJ1504" s="9"/>
      <c r="AK1504" s="9"/>
      <c r="AL1504" s="9"/>
      <c r="AM1504" s="69"/>
      <c r="AN1504" s="9"/>
      <c r="AO1504" s="69"/>
      <c r="AP1504" s="210"/>
      <c r="AQ1504" s="211"/>
      <c r="AR1504" s="211"/>
      <c r="AS1504" s="211"/>
      <c r="AT1504" s="211"/>
      <c r="AU1504" s="211"/>
      <c r="AV1504" s="211"/>
      <c r="AW1504" s="9"/>
      <c r="AX1504" s="9"/>
      <c r="AY1504" s="9"/>
      <c r="AZ1504" s="9"/>
      <c r="BA1504" s="120"/>
      <c r="BB1504" s="69"/>
      <c r="BC1504" s="9"/>
      <c r="BD1504" s="9"/>
      <c r="BE1504" s="9"/>
      <c r="BF1504" s="9"/>
      <c r="BG1504" s="9"/>
      <c r="BH1504" s="9"/>
      <c r="BI1504" s="9"/>
      <c r="BJ1504" s="9"/>
      <c r="BK1504" s="9"/>
      <c r="BL1504" s="9"/>
      <c r="BM1504" s="9"/>
      <c r="BN1504" s="9"/>
      <c r="BO1504" s="9"/>
      <c r="BP1504" s="9"/>
      <c r="BQ1504" s="9"/>
      <c r="BR1504" s="9"/>
      <c r="BS1504" s="9"/>
      <c r="BT1504" s="9"/>
      <c r="BU1504" s="9"/>
      <c r="BV1504" s="9"/>
      <c r="BW1504" s="9"/>
      <c r="BX1504" s="9"/>
      <c r="BY1504" s="9"/>
      <c r="BZ1504" s="9"/>
      <c r="CA1504" s="9"/>
      <c r="CB1504" s="9"/>
      <c r="CC1504" s="9"/>
      <c r="CD1504" s="9"/>
      <c r="CE1504" s="9"/>
      <c r="CF1504" s="9"/>
      <c r="CG1504" s="9"/>
      <c r="CH1504" s="9"/>
      <c r="CI1504" s="9"/>
      <c r="CJ1504" s="9"/>
      <c r="CK1504" s="9"/>
      <c r="CL1504" s="9"/>
      <c r="CM1504" s="9"/>
      <c r="CN1504" s="9"/>
      <c r="CO1504" s="9"/>
      <c r="CP1504" s="9"/>
    </row>
    <row r="1505" spans="1:94" x14ac:dyDescent="0.25">
      <c r="A1505" s="9" t="s">
        <v>4302</v>
      </c>
      <c r="B1505" s="9" t="s">
        <v>4303</v>
      </c>
      <c r="C1505" s="9"/>
      <c r="D1505" s="9"/>
      <c r="E1505" s="9"/>
      <c r="F1505" s="9"/>
      <c r="G1505" s="9"/>
      <c r="H1505" s="9"/>
      <c r="I1505" s="9"/>
      <c r="J1505" s="9"/>
      <c r="K1505" s="9"/>
      <c r="L1505" s="9"/>
      <c r="M1505" s="9"/>
      <c r="N1505" s="9"/>
      <c r="O1505" s="9"/>
      <c r="P1505" s="9"/>
      <c r="Q1505" s="9"/>
      <c r="R1505" s="9"/>
      <c r="S1505" s="9"/>
      <c r="T1505" s="9"/>
      <c r="U1505" s="9"/>
      <c r="V1505" s="9"/>
      <c r="W1505" s="9"/>
      <c r="X1505" s="9"/>
      <c r="Y1505" s="9"/>
      <c r="Z1505" s="9"/>
      <c r="AA1505" s="9"/>
      <c r="AB1505" s="9"/>
      <c r="AC1505" s="9"/>
      <c r="AD1505" s="9"/>
      <c r="AE1505" s="9"/>
      <c r="AF1505" s="9"/>
      <c r="AG1505" s="9"/>
      <c r="AH1505" s="9"/>
      <c r="AI1505" s="9"/>
      <c r="AJ1505" s="9"/>
      <c r="AK1505" s="9"/>
      <c r="AL1505" s="9"/>
      <c r="AM1505" s="69"/>
      <c r="AN1505" s="9"/>
      <c r="AO1505" s="69"/>
      <c r="AP1505" s="210"/>
      <c r="AQ1505" s="211"/>
      <c r="AR1505" s="211"/>
      <c r="AS1505" s="211"/>
      <c r="AT1505" s="211"/>
      <c r="AU1505" s="211"/>
      <c r="AV1505" s="211"/>
      <c r="AW1505" s="9"/>
      <c r="AX1505" s="9"/>
      <c r="AY1505" s="9"/>
      <c r="AZ1505" s="9"/>
      <c r="BA1505" s="120"/>
      <c r="BB1505" s="69"/>
      <c r="BC1505" s="9"/>
      <c r="BD1505" s="9"/>
      <c r="BE1505" s="9"/>
      <c r="BF1505" s="9"/>
      <c r="BG1505" s="9"/>
      <c r="BH1505" s="9"/>
      <c r="BI1505" s="9"/>
      <c r="BJ1505" s="9"/>
      <c r="BK1505" s="9"/>
      <c r="BL1505" s="9"/>
      <c r="BM1505" s="9"/>
      <c r="BN1505" s="9"/>
      <c r="BO1505" s="9"/>
      <c r="BP1505" s="9"/>
      <c r="BQ1505" s="9"/>
      <c r="BR1505" s="9"/>
      <c r="BS1505" s="9"/>
      <c r="BT1505" s="9"/>
      <c r="BU1505" s="9"/>
      <c r="BV1505" s="9"/>
      <c r="BW1505" s="9"/>
      <c r="BX1505" s="9"/>
      <c r="BY1505" s="9"/>
      <c r="BZ1505" s="9"/>
      <c r="CA1505" s="9"/>
      <c r="CB1505" s="9"/>
      <c r="CC1505" s="9"/>
      <c r="CD1505" s="9"/>
      <c r="CE1505" s="9"/>
      <c r="CF1505" s="9"/>
      <c r="CG1505" s="9"/>
      <c r="CH1505" s="9"/>
      <c r="CI1505" s="9"/>
      <c r="CJ1505" s="9"/>
      <c r="CK1505" s="9"/>
      <c r="CL1505" s="9"/>
      <c r="CM1505" s="9"/>
      <c r="CN1505" s="9"/>
      <c r="CO1505" s="9"/>
      <c r="CP1505" s="9"/>
    </row>
    <row r="1506" spans="1:94" ht="15.75" x14ac:dyDescent="0.25">
      <c r="A1506" s="126" t="s">
        <v>4304</v>
      </c>
      <c r="B1506" s="9" t="s">
        <v>4305</v>
      </c>
      <c r="C1506" s="9"/>
      <c r="D1506" s="9"/>
      <c r="E1506" s="9"/>
      <c r="F1506" s="9"/>
      <c r="G1506" s="9"/>
      <c r="H1506" s="9"/>
      <c r="I1506" s="9"/>
      <c r="J1506" s="9"/>
      <c r="K1506" s="9"/>
      <c r="L1506" s="9"/>
      <c r="M1506" s="9"/>
      <c r="N1506" s="9"/>
      <c r="O1506" s="9"/>
      <c r="P1506" s="9"/>
      <c r="Q1506" s="9"/>
      <c r="R1506" s="9"/>
      <c r="S1506" s="9"/>
      <c r="T1506" s="9"/>
      <c r="U1506" s="9"/>
      <c r="V1506" s="9"/>
      <c r="W1506" s="9"/>
      <c r="X1506" s="9"/>
      <c r="Y1506" s="9"/>
      <c r="Z1506" s="9"/>
      <c r="AA1506" s="9"/>
      <c r="AB1506" s="9"/>
      <c r="AC1506" s="9"/>
      <c r="AD1506" s="9"/>
      <c r="AE1506" s="9"/>
      <c r="AF1506" s="9"/>
      <c r="AG1506" s="9"/>
      <c r="AH1506" s="9"/>
      <c r="AI1506" s="9"/>
      <c r="AJ1506" s="9"/>
      <c r="AK1506" s="9"/>
      <c r="AL1506" s="9"/>
      <c r="AM1506" s="69"/>
      <c r="AN1506" s="9"/>
      <c r="AO1506" s="61" t="s">
        <v>1112</v>
      </c>
      <c r="AP1506" s="210"/>
      <c r="AQ1506" s="211"/>
      <c r="AR1506" s="211"/>
      <c r="AS1506" s="211"/>
      <c r="AT1506" s="211"/>
      <c r="AU1506" s="211"/>
      <c r="AV1506" s="211"/>
      <c r="AW1506" s="9"/>
      <c r="AX1506" s="9"/>
      <c r="AY1506" s="9"/>
      <c r="AZ1506" s="9"/>
      <c r="BA1506" s="120"/>
      <c r="BB1506" s="69"/>
      <c r="BC1506" s="9"/>
      <c r="BD1506" s="9"/>
      <c r="BE1506" s="9"/>
      <c r="BF1506" s="9"/>
      <c r="BG1506" s="9"/>
      <c r="BH1506" s="9"/>
      <c r="BI1506" s="9"/>
      <c r="BJ1506" s="9"/>
      <c r="BK1506" s="9"/>
      <c r="BL1506" s="9"/>
      <c r="BM1506" s="9"/>
      <c r="BN1506" s="9"/>
      <c r="BO1506" s="9"/>
      <c r="BP1506" s="9"/>
      <c r="BQ1506" s="9"/>
      <c r="BR1506" s="9"/>
      <c r="BS1506" s="9"/>
      <c r="BT1506" s="9"/>
      <c r="BU1506" s="9"/>
      <c r="BV1506" s="9"/>
      <c r="BW1506" s="9"/>
      <c r="BX1506" s="9"/>
      <c r="BY1506" s="9"/>
      <c r="BZ1506" s="9"/>
      <c r="CA1506" s="9"/>
      <c r="CB1506" s="9"/>
      <c r="CC1506" s="9"/>
      <c r="CD1506" s="9"/>
      <c r="CE1506" s="9"/>
      <c r="CF1506" s="9"/>
      <c r="CG1506" s="9"/>
      <c r="CH1506" s="9"/>
      <c r="CI1506" s="9"/>
      <c r="CJ1506" s="9"/>
      <c r="CK1506" s="9"/>
      <c r="CL1506" s="9"/>
      <c r="CM1506" s="9"/>
      <c r="CN1506" s="9"/>
      <c r="CO1506" s="9"/>
      <c r="CP1506" s="9"/>
    </row>
    <row r="1507" spans="1:94" ht="15.75" x14ac:dyDescent="0.25">
      <c r="A1507" s="126" t="s">
        <v>4306</v>
      </c>
      <c r="B1507" s="9" t="s">
        <v>4307</v>
      </c>
      <c r="C1507" s="9"/>
      <c r="D1507" s="9"/>
      <c r="E1507" s="9"/>
      <c r="F1507" s="9"/>
      <c r="G1507" s="9"/>
      <c r="H1507" s="9"/>
      <c r="I1507" s="9"/>
      <c r="J1507" s="9"/>
      <c r="K1507" s="9"/>
      <c r="L1507" s="9"/>
      <c r="M1507" s="9"/>
      <c r="N1507" s="9"/>
      <c r="O1507" s="9"/>
      <c r="P1507" s="9"/>
      <c r="Q1507" s="9"/>
      <c r="R1507" s="9"/>
      <c r="S1507" s="9"/>
      <c r="T1507" s="9"/>
      <c r="U1507" s="9"/>
      <c r="V1507" s="9"/>
      <c r="W1507" s="9"/>
      <c r="X1507" s="9"/>
      <c r="Y1507" s="9"/>
      <c r="Z1507" s="9"/>
      <c r="AA1507" s="9"/>
      <c r="AB1507" s="9"/>
      <c r="AC1507" s="9"/>
      <c r="AD1507" s="9"/>
      <c r="AE1507" s="9"/>
      <c r="AF1507" s="9"/>
      <c r="AG1507" s="9"/>
      <c r="AH1507" s="9"/>
      <c r="AI1507" s="9"/>
      <c r="AJ1507" s="9"/>
      <c r="AK1507" s="9"/>
      <c r="AL1507" s="9"/>
      <c r="AM1507" s="69"/>
      <c r="AN1507" s="9"/>
      <c r="AO1507" s="61" t="s">
        <v>1112</v>
      </c>
      <c r="AP1507" s="210"/>
      <c r="AQ1507" s="211"/>
      <c r="AR1507" s="211"/>
      <c r="AS1507" s="211"/>
      <c r="AT1507" s="211"/>
      <c r="AU1507" s="211"/>
      <c r="AV1507" s="211"/>
      <c r="AW1507" s="9"/>
      <c r="AX1507" s="9"/>
      <c r="AY1507" s="9"/>
      <c r="AZ1507" s="9"/>
      <c r="BA1507" s="120"/>
      <c r="BB1507" s="69"/>
      <c r="BC1507" s="9"/>
      <c r="BD1507" s="9"/>
      <c r="BE1507" s="9"/>
      <c r="BF1507" s="9"/>
      <c r="BG1507" s="9"/>
      <c r="BH1507" s="9"/>
      <c r="BI1507" s="9"/>
      <c r="BJ1507" s="9"/>
      <c r="BK1507" s="9"/>
      <c r="BL1507" s="9"/>
      <c r="BM1507" s="9"/>
      <c r="BN1507" s="9"/>
      <c r="BO1507" s="9"/>
      <c r="BP1507" s="9"/>
      <c r="BQ1507" s="9"/>
      <c r="BR1507" s="9"/>
      <c r="BS1507" s="9"/>
      <c r="BT1507" s="9"/>
      <c r="BU1507" s="9"/>
      <c r="BV1507" s="9"/>
      <c r="BW1507" s="9"/>
      <c r="BX1507" s="9"/>
      <c r="BY1507" s="9"/>
      <c r="BZ1507" s="9"/>
      <c r="CA1507" s="9"/>
      <c r="CB1507" s="9"/>
      <c r="CC1507" s="9"/>
      <c r="CD1507" s="9"/>
      <c r="CE1507" s="9"/>
      <c r="CF1507" s="9"/>
      <c r="CG1507" s="9"/>
      <c r="CH1507" s="9"/>
      <c r="CI1507" s="9"/>
      <c r="CJ1507" s="9"/>
      <c r="CK1507" s="9"/>
      <c r="CL1507" s="9"/>
      <c r="CM1507" s="9"/>
      <c r="CN1507" s="9"/>
      <c r="CO1507" s="9"/>
      <c r="CP1507" s="9"/>
    </row>
    <row r="1508" spans="1:94" ht="15.75" x14ac:dyDescent="0.25">
      <c r="A1508" s="126" t="s">
        <v>4308</v>
      </c>
      <c r="B1508" s="9" t="s">
        <v>4309</v>
      </c>
      <c r="C1508" s="9"/>
      <c r="D1508" s="9"/>
      <c r="E1508" s="9"/>
      <c r="F1508" s="9"/>
      <c r="G1508" s="9"/>
      <c r="H1508" s="9"/>
      <c r="I1508" s="9"/>
      <c r="J1508" s="9"/>
      <c r="K1508" s="9"/>
      <c r="L1508" s="9"/>
      <c r="M1508" s="9"/>
      <c r="N1508" s="9"/>
      <c r="O1508" s="9"/>
      <c r="P1508" s="9"/>
      <c r="Q1508" s="9"/>
      <c r="R1508" s="9"/>
      <c r="S1508" s="9"/>
      <c r="T1508" s="9"/>
      <c r="U1508" s="9"/>
      <c r="V1508" s="9"/>
      <c r="W1508" s="9"/>
      <c r="X1508" s="9"/>
      <c r="Y1508" s="9"/>
      <c r="Z1508" s="9"/>
      <c r="AA1508" s="9"/>
      <c r="AB1508" s="9"/>
      <c r="AC1508" s="9"/>
      <c r="AD1508" s="9"/>
      <c r="AE1508" s="9"/>
      <c r="AF1508" s="9"/>
      <c r="AG1508" s="9"/>
      <c r="AH1508" s="9"/>
      <c r="AI1508" s="9"/>
      <c r="AJ1508" s="9"/>
      <c r="AK1508" s="9"/>
      <c r="AL1508" s="9"/>
      <c r="AM1508" s="69"/>
      <c r="AN1508" s="9"/>
      <c r="AO1508" s="69" t="s">
        <v>4161</v>
      </c>
      <c r="AP1508" s="210"/>
      <c r="AQ1508" s="211"/>
      <c r="AR1508" s="211"/>
      <c r="AS1508" s="211"/>
      <c r="AT1508" s="211"/>
      <c r="AU1508" s="211"/>
      <c r="AV1508" s="211"/>
      <c r="AW1508" s="9"/>
      <c r="AX1508" s="9"/>
      <c r="AY1508" s="9"/>
      <c r="AZ1508" s="9"/>
      <c r="BA1508" s="120"/>
      <c r="BB1508" s="69"/>
      <c r="BC1508" s="9"/>
      <c r="BD1508" s="9"/>
      <c r="BE1508" s="9"/>
      <c r="BF1508" s="9"/>
      <c r="BG1508" s="9"/>
      <c r="BH1508" s="9"/>
      <c r="BI1508" s="9"/>
      <c r="BJ1508" s="9"/>
      <c r="BK1508" s="9"/>
      <c r="BL1508" s="9"/>
      <c r="BM1508" s="9"/>
      <c r="BN1508" s="9"/>
      <c r="BO1508" s="9"/>
      <c r="BP1508" s="9"/>
      <c r="BQ1508" s="9"/>
      <c r="BR1508" s="9"/>
      <c r="BS1508" s="9"/>
      <c r="BT1508" s="9"/>
      <c r="BU1508" s="9"/>
      <c r="BV1508" s="9"/>
      <c r="BW1508" s="9"/>
      <c r="BX1508" s="9"/>
      <c r="BY1508" s="9"/>
      <c r="BZ1508" s="9"/>
      <c r="CA1508" s="9"/>
      <c r="CB1508" s="9"/>
      <c r="CC1508" s="9"/>
      <c r="CD1508" s="9"/>
      <c r="CE1508" s="9"/>
      <c r="CF1508" s="9"/>
      <c r="CG1508" s="9"/>
      <c r="CH1508" s="9"/>
      <c r="CI1508" s="9"/>
      <c r="CJ1508" s="9"/>
      <c r="CK1508" s="9"/>
      <c r="CL1508" s="9"/>
      <c r="CM1508" s="9"/>
      <c r="CN1508" s="9"/>
      <c r="CO1508" s="9"/>
      <c r="CP1508" s="9"/>
    </row>
    <row r="1509" spans="1:94" ht="15.75" x14ac:dyDescent="0.25">
      <c r="A1509" s="126" t="s">
        <v>4310</v>
      </c>
      <c r="B1509" s="9" t="s">
        <v>4311</v>
      </c>
      <c r="C1509" s="9"/>
      <c r="D1509" s="9"/>
      <c r="E1509" s="9"/>
      <c r="F1509" s="9"/>
      <c r="G1509" s="9"/>
      <c r="H1509" s="9"/>
      <c r="I1509" s="9"/>
      <c r="J1509" s="9"/>
      <c r="K1509" s="9"/>
      <c r="L1509" s="9"/>
      <c r="M1509" s="9"/>
      <c r="N1509" s="9"/>
      <c r="O1509" s="9"/>
      <c r="P1509" s="9"/>
      <c r="Q1509" s="9"/>
      <c r="R1509" s="9"/>
      <c r="S1509" s="9"/>
      <c r="T1509" s="9"/>
      <c r="U1509" s="9"/>
      <c r="V1509" s="9"/>
      <c r="W1509" s="9"/>
      <c r="X1509" s="9"/>
      <c r="Y1509" s="9"/>
      <c r="Z1509" s="9"/>
      <c r="AA1509" s="9"/>
      <c r="AB1509" s="9"/>
      <c r="AC1509" s="9"/>
      <c r="AD1509" s="9"/>
      <c r="AE1509" s="9"/>
      <c r="AF1509" s="9"/>
      <c r="AG1509" s="9"/>
      <c r="AH1509" s="9"/>
      <c r="AI1509" s="9"/>
      <c r="AJ1509" s="9"/>
      <c r="AK1509" s="9"/>
      <c r="AL1509" s="9"/>
      <c r="AM1509" s="69"/>
      <c r="AN1509" s="9"/>
      <c r="AO1509" s="69" t="s">
        <v>4161</v>
      </c>
      <c r="AP1509" s="210"/>
      <c r="AQ1509" s="211"/>
      <c r="AR1509" s="211"/>
      <c r="AS1509" s="211"/>
      <c r="AT1509" s="211"/>
      <c r="AU1509" s="211"/>
      <c r="AV1509" s="211"/>
      <c r="AW1509" s="9"/>
      <c r="AX1509" s="9"/>
      <c r="AY1509" s="9"/>
      <c r="AZ1509" s="9"/>
      <c r="BA1509" s="120"/>
      <c r="BB1509" s="69"/>
      <c r="BC1509" s="9"/>
      <c r="BD1509" s="9"/>
      <c r="BE1509" s="9"/>
      <c r="BF1509" s="9"/>
      <c r="BG1509" s="9"/>
      <c r="BH1509" s="9"/>
      <c r="BI1509" s="9"/>
      <c r="BJ1509" s="9"/>
      <c r="BK1509" s="9"/>
      <c r="BL1509" s="9"/>
      <c r="BM1509" s="9"/>
      <c r="BN1509" s="9"/>
      <c r="BO1509" s="9"/>
      <c r="BP1509" s="9"/>
      <c r="BQ1509" s="9"/>
      <c r="BR1509" s="9"/>
      <c r="BS1509" s="9"/>
      <c r="BT1509" s="9"/>
      <c r="BU1509" s="9"/>
      <c r="BV1509" s="9"/>
      <c r="BW1509" s="9"/>
      <c r="BX1509" s="9"/>
      <c r="BY1509" s="9"/>
      <c r="BZ1509" s="9"/>
      <c r="CA1509" s="9"/>
      <c r="CB1509" s="9"/>
      <c r="CC1509" s="9"/>
      <c r="CD1509" s="9"/>
      <c r="CE1509" s="9"/>
      <c r="CF1509" s="9"/>
      <c r="CG1509" s="9"/>
      <c r="CH1509" s="9"/>
      <c r="CI1509" s="9"/>
      <c r="CJ1509" s="9"/>
      <c r="CK1509" s="9"/>
      <c r="CL1509" s="9"/>
      <c r="CM1509" s="9"/>
      <c r="CN1509" s="9"/>
      <c r="CO1509" s="9"/>
      <c r="CP1509" s="9"/>
    </row>
    <row r="1510" spans="1:94" ht="15.75" x14ac:dyDescent="0.25">
      <c r="A1510" s="126" t="s">
        <v>4312</v>
      </c>
      <c r="B1510" s="9" t="s">
        <v>4313</v>
      </c>
      <c r="C1510" s="9"/>
      <c r="D1510" s="9"/>
      <c r="E1510" s="9"/>
      <c r="F1510" s="9"/>
      <c r="G1510" s="9"/>
      <c r="H1510" s="9"/>
      <c r="I1510" s="9"/>
      <c r="J1510" s="9"/>
      <c r="K1510" s="9"/>
      <c r="L1510" s="9"/>
      <c r="M1510" s="9"/>
      <c r="N1510" s="9"/>
      <c r="O1510" s="9"/>
      <c r="P1510" s="9"/>
      <c r="Q1510" s="9"/>
      <c r="R1510" s="9"/>
      <c r="S1510" s="9"/>
      <c r="T1510" s="9"/>
      <c r="U1510" s="9"/>
      <c r="V1510" s="9"/>
      <c r="W1510" s="9"/>
      <c r="X1510" s="9"/>
      <c r="Y1510" s="9"/>
      <c r="Z1510" s="9"/>
      <c r="AA1510" s="9"/>
      <c r="AB1510" s="9"/>
      <c r="AC1510" s="9"/>
      <c r="AD1510" s="9"/>
      <c r="AE1510" s="9"/>
      <c r="AF1510" s="9"/>
      <c r="AG1510" s="9"/>
      <c r="AH1510" s="9"/>
      <c r="AI1510" s="9"/>
      <c r="AJ1510" s="9"/>
      <c r="AK1510" s="9"/>
      <c r="AL1510" s="9"/>
      <c r="AM1510" s="69"/>
      <c r="AN1510" s="9"/>
      <c r="AO1510" s="61" t="s">
        <v>1112</v>
      </c>
      <c r="AP1510" s="210"/>
      <c r="AQ1510" s="211"/>
      <c r="AR1510" s="211"/>
      <c r="AS1510" s="211"/>
      <c r="AT1510" s="211"/>
      <c r="AU1510" s="211"/>
      <c r="AV1510" s="211"/>
      <c r="AW1510" s="9"/>
      <c r="AX1510" s="9"/>
      <c r="AY1510" s="9"/>
      <c r="AZ1510" s="9"/>
      <c r="BA1510" s="120"/>
      <c r="BB1510" s="69"/>
      <c r="BC1510" s="9"/>
      <c r="BD1510" s="9"/>
      <c r="BE1510" s="9"/>
      <c r="BF1510" s="9"/>
      <c r="BG1510" s="9"/>
      <c r="BH1510" s="9"/>
      <c r="BI1510" s="9"/>
      <c r="BJ1510" s="9"/>
      <c r="BK1510" s="9"/>
      <c r="BL1510" s="9"/>
      <c r="BM1510" s="9"/>
      <c r="BN1510" s="9"/>
      <c r="BO1510" s="9"/>
      <c r="BP1510" s="9"/>
      <c r="BQ1510" s="9"/>
      <c r="BR1510" s="9"/>
      <c r="BS1510" s="9"/>
      <c r="BT1510" s="9"/>
      <c r="BU1510" s="9"/>
      <c r="BV1510" s="9"/>
      <c r="BW1510" s="9"/>
      <c r="BX1510" s="9"/>
      <c r="BY1510" s="9"/>
      <c r="BZ1510" s="9"/>
      <c r="CA1510" s="9"/>
      <c r="CB1510" s="9"/>
      <c r="CC1510" s="9"/>
      <c r="CD1510" s="9"/>
      <c r="CE1510" s="9"/>
      <c r="CF1510" s="9"/>
      <c r="CG1510" s="9"/>
      <c r="CH1510" s="9"/>
      <c r="CI1510" s="9"/>
      <c r="CJ1510" s="9"/>
      <c r="CK1510" s="9"/>
      <c r="CL1510" s="9"/>
      <c r="CM1510" s="9"/>
      <c r="CN1510" s="9"/>
      <c r="CO1510" s="9"/>
      <c r="CP1510" s="9"/>
    </row>
    <row r="1511" spans="1:94" ht="15.75" x14ac:dyDescent="0.25">
      <c r="A1511" s="126" t="s">
        <v>4314</v>
      </c>
      <c r="B1511" s="9" t="s">
        <v>4315</v>
      </c>
      <c r="C1511" s="9"/>
      <c r="D1511" s="9"/>
      <c r="E1511" s="9"/>
      <c r="F1511" s="9"/>
      <c r="G1511" s="9"/>
      <c r="H1511" s="9"/>
      <c r="I1511" s="9"/>
      <c r="J1511" s="9"/>
      <c r="K1511" s="9"/>
      <c r="L1511" s="9"/>
      <c r="M1511" s="9"/>
      <c r="N1511" s="9"/>
      <c r="O1511" s="9"/>
      <c r="P1511" s="9"/>
      <c r="Q1511" s="9"/>
      <c r="R1511" s="9"/>
      <c r="S1511" s="9"/>
      <c r="T1511" s="9"/>
      <c r="U1511" s="9"/>
      <c r="V1511" s="9"/>
      <c r="W1511" s="9"/>
      <c r="X1511" s="9"/>
      <c r="Y1511" s="9"/>
      <c r="Z1511" s="9"/>
      <c r="AA1511" s="9"/>
      <c r="AB1511" s="9"/>
      <c r="AC1511" s="9"/>
      <c r="AD1511" s="9"/>
      <c r="AE1511" s="9"/>
      <c r="AF1511" s="9"/>
      <c r="AG1511" s="9"/>
      <c r="AH1511" s="9"/>
      <c r="AI1511" s="9"/>
      <c r="AJ1511" s="9"/>
      <c r="AK1511" s="9"/>
      <c r="AL1511" s="9"/>
      <c r="AM1511" s="69"/>
      <c r="AN1511" s="9"/>
      <c r="AO1511" s="61" t="s">
        <v>1112</v>
      </c>
      <c r="AP1511" s="210"/>
      <c r="AQ1511" s="211"/>
      <c r="AR1511" s="211"/>
      <c r="AS1511" s="211"/>
      <c r="AT1511" s="211"/>
      <c r="AU1511" s="211"/>
      <c r="AV1511" s="211"/>
      <c r="AW1511" s="9"/>
      <c r="AX1511" s="9"/>
      <c r="AY1511" s="9"/>
      <c r="AZ1511" s="9"/>
      <c r="BA1511" s="120"/>
      <c r="BB1511" s="69"/>
      <c r="BC1511" s="9"/>
      <c r="BD1511" s="9"/>
      <c r="BE1511" s="9"/>
      <c r="BF1511" s="9"/>
      <c r="BG1511" s="9"/>
      <c r="BH1511" s="9"/>
      <c r="BI1511" s="9"/>
      <c r="BJ1511" s="9"/>
      <c r="BK1511" s="9"/>
      <c r="BL1511" s="9"/>
      <c r="BM1511" s="9"/>
      <c r="BN1511" s="9"/>
      <c r="BO1511" s="9"/>
      <c r="BP1511" s="9"/>
      <c r="BQ1511" s="9"/>
      <c r="BR1511" s="9"/>
      <c r="BS1511" s="9"/>
      <c r="BT1511" s="9"/>
      <c r="BU1511" s="9"/>
      <c r="BV1511" s="9"/>
      <c r="BW1511" s="9"/>
      <c r="BX1511" s="9"/>
      <c r="BY1511" s="9"/>
      <c r="BZ1511" s="9"/>
      <c r="CA1511" s="9"/>
      <c r="CB1511" s="9"/>
      <c r="CC1511" s="9"/>
      <c r="CD1511" s="9"/>
      <c r="CE1511" s="9"/>
      <c r="CF1511" s="9"/>
      <c r="CG1511" s="9"/>
      <c r="CH1511" s="9"/>
      <c r="CI1511" s="9"/>
      <c r="CJ1511" s="9"/>
      <c r="CK1511" s="9"/>
      <c r="CL1511" s="9"/>
      <c r="CM1511" s="9"/>
      <c r="CN1511" s="9"/>
      <c r="CO1511" s="9"/>
      <c r="CP1511" s="9"/>
    </row>
    <row r="1512" spans="1:94" x14ac:dyDescent="0.25">
      <c r="A1512" s="9" t="s">
        <v>4316</v>
      </c>
      <c r="B1512" s="9" t="s">
        <v>4317</v>
      </c>
      <c r="C1512" s="9"/>
      <c r="D1512" s="9"/>
      <c r="E1512" s="9"/>
      <c r="F1512" s="9"/>
      <c r="G1512" s="9"/>
      <c r="H1512" s="9"/>
      <c r="I1512" s="9"/>
      <c r="J1512" s="9"/>
      <c r="K1512" s="9"/>
      <c r="L1512" s="9"/>
      <c r="M1512" s="9"/>
      <c r="N1512" s="9"/>
      <c r="O1512" s="9"/>
      <c r="P1512" s="9"/>
      <c r="Q1512" s="9"/>
      <c r="R1512" s="9"/>
      <c r="S1512" s="9"/>
      <c r="T1512" s="9"/>
      <c r="U1512" s="9"/>
      <c r="V1512" s="9"/>
      <c r="W1512" s="9"/>
      <c r="X1512" s="9"/>
      <c r="Y1512" s="9"/>
      <c r="Z1512" s="9"/>
      <c r="AA1512" s="9"/>
      <c r="AB1512" s="9"/>
      <c r="AC1512" s="9"/>
      <c r="AD1512" s="9"/>
      <c r="AE1512" s="9"/>
      <c r="AF1512" s="9"/>
      <c r="AG1512" s="9"/>
      <c r="AH1512" s="9"/>
      <c r="AI1512" s="9"/>
      <c r="AJ1512" s="9"/>
      <c r="AK1512" s="9"/>
      <c r="AL1512" s="9"/>
      <c r="AM1512" s="69"/>
      <c r="AN1512" s="9"/>
      <c r="AO1512" s="69" t="s">
        <v>1112</v>
      </c>
      <c r="AP1512" s="210"/>
      <c r="AQ1512" s="211"/>
      <c r="AR1512" s="211"/>
      <c r="AS1512" s="211"/>
      <c r="AT1512" s="211"/>
      <c r="AU1512" s="211"/>
      <c r="AV1512" s="211"/>
      <c r="AW1512" s="9"/>
      <c r="AX1512" s="9"/>
      <c r="AY1512" s="9"/>
      <c r="AZ1512" s="9"/>
      <c r="BA1512" s="120"/>
      <c r="BB1512" s="69"/>
      <c r="BC1512" s="9"/>
      <c r="BD1512" s="9"/>
      <c r="BE1512" s="9"/>
      <c r="BF1512" s="9"/>
      <c r="BG1512" s="9"/>
      <c r="BH1512" s="9"/>
      <c r="BI1512" s="9"/>
      <c r="BJ1512" s="9"/>
      <c r="BK1512" s="9"/>
      <c r="BL1512" s="9"/>
      <c r="BM1512" s="9"/>
      <c r="BN1512" s="9"/>
      <c r="BO1512" s="9"/>
      <c r="BP1512" s="9"/>
      <c r="BQ1512" s="9"/>
      <c r="BR1512" s="9"/>
      <c r="BS1512" s="9"/>
      <c r="BT1512" s="9"/>
      <c r="BU1512" s="9"/>
      <c r="BV1512" s="9"/>
      <c r="BW1512" s="9"/>
      <c r="BX1512" s="9"/>
      <c r="BY1512" s="9"/>
      <c r="BZ1512" s="9"/>
      <c r="CA1512" s="9"/>
      <c r="CB1512" s="9"/>
      <c r="CC1512" s="9"/>
      <c r="CD1512" s="9"/>
      <c r="CE1512" s="9"/>
      <c r="CF1512" s="9"/>
      <c r="CG1512" s="9"/>
      <c r="CH1512" s="9"/>
      <c r="CI1512" s="9"/>
      <c r="CJ1512" s="9"/>
      <c r="CK1512" s="9"/>
      <c r="CL1512" s="9"/>
      <c r="CM1512" s="9"/>
      <c r="CN1512" s="9"/>
      <c r="CO1512" s="9"/>
      <c r="CP1512" s="9"/>
    </row>
    <row r="1513" spans="1:94" x14ac:dyDescent="0.25">
      <c r="A1513" s="9" t="s">
        <v>4318</v>
      </c>
      <c r="B1513" s="9" t="s">
        <v>4319</v>
      </c>
      <c r="C1513" s="9"/>
      <c r="D1513" s="9"/>
      <c r="E1513" s="9"/>
      <c r="F1513" s="9"/>
      <c r="G1513" s="9"/>
      <c r="H1513" s="9"/>
      <c r="I1513" s="9"/>
      <c r="J1513" s="9"/>
      <c r="K1513" s="9"/>
      <c r="L1513" s="9"/>
      <c r="M1513" s="9"/>
      <c r="N1513" s="9"/>
      <c r="O1513" s="9"/>
      <c r="P1513" s="9"/>
      <c r="Q1513" s="9"/>
      <c r="R1513" s="9"/>
      <c r="S1513" s="9"/>
      <c r="T1513" s="9"/>
      <c r="U1513" s="9"/>
      <c r="V1513" s="9"/>
      <c r="W1513" s="9"/>
      <c r="X1513" s="9"/>
      <c r="Y1513" s="9"/>
      <c r="Z1513" s="9"/>
      <c r="AA1513" s="9"/>
      <c r="AB1513" s="9"/>
      <c r="AC1513" s="9"/>
      <c r="AD1513" s="9"/>
      <c r="AE1513" s="9"/>
      <c r="AF1513" s="9"/>
      <c r="AG1513" s="9"/>
      <c r="AH1513" s="9"/>
      <c r="AI1513" s="9"/>
      <c r="AJ1513" s="9"/>
      <c r="AK1513" s="9"/>
      <c r="AL1513" s="9"/>
      <c r="AM1513" s="69"/>
      <c r="AN1513" s="9"/>
      <c r="AO1513" s="61" t="s">
        <v>1112</v>
      </c>
      <c r="AP1513" s="210"/>
      <c r="AQ1513" s="211"/>
      <c r="AR1513" s="211"/>
      <c r="AS1513" s="211"/>
      <c r="AT1513" s="211"/>
      <c r="AU1513" s="211"/>
      <c r="AV1513" s="211"/>
      <c r="AW1513" s="9"/>
      <c r="AX1513" s="9"/>
      <c r="AY1513" s="9"/>
      <c r="AZ1513" s="9"/>
      <c r="BA1513" s="120"/>
      <c r="BB1513" s="69"/>
      <c r="BC1513" s="9"/>
      <c r="BD1513" s="9"/>
      <c r="BE1513" s="9"/>
      <c r="BF1513" s="9"/>
      <c r="BG1513" s="9"/>
      <c r="BH1513" s="9"/>
      <c r="BI1513" s="9"/>
      <c r="BJ1513" s="9"/>
      <c r="BK1513" s="9"/>
      <c r="BL1513" s="9"/>
      <c r="BM1513" s="9"/>
      <c r="BN1513" s="9"/>
      <c r="BO1513" s="9"/>
      <c r="BP1513" s="9"/>
      <c r="BQ1513" s="9"/>
      <c r="BR1513" s="9"/>
      <c r="BS1513" s="9"/>
      <c r="BT1513" s="9"/>
      <c r="BU1513" s="9"/>
      <c r="BV1513" s="9"/>
      <c r="BW1513" s="9"/>
      <c r="BX1513" s="9"/>
      <c r="BY1513" s="9"/>
      <c r="BZ1513" s="9"/>
      <c r="CA1513" s="9"/>
      <c r="CB1513" s="9"/>
      <c r="CC1513" s="9"/>
      <c r="CD1513" s="9"/>
      <c r="CE1513" s="9"/>
      <c r="CF1513" s="9"/>
      <c r="CG1513" s="9"/>
      <c r="CH1513" s="9"/>
      <c r="CI1513" s="9"/>
      <c r="CJ1513" s="9"/>
      <c r="CK1513" s="9"/>
      <c r="CL1513" s="9"/>
      <c r="CM1513" s="9"/>
      <c r="CN1513" s="9"/>
      <c r="CO1513" s="9"/>
      <c r="CP1513" s="9"/>
    </row>
    <row r="1514" spans="1:94" x14ac:dyDescent="0.25">
      <c r="A1514" s="9" t="s">
        <v>4234</v>
      </c>
      <c r="B1514" s="9"/>
      <c r="C1514" s="9"/>
      <c r="D1514" s="9"/>
      <c r="E1514" s="9"/>
      <c r="F1514" s="9"/>
      <c r="G1514" s="9"/>
      <c r="H1514" s="9"/>
      <c r="I1514" s="9"/>
      <c r="J1514" s="9"/>
      <c r="K1514" s="9"/>
      <c r="L1514" s="9"/>
      <c r="M1514" s="9"/>
      <c r="N1514" s="9"/>
      <c r="O1514" s="9"/>
      <c r="P1514" s="9"/>
      <c r="Q1514" s="9"/>
      <c r="R1514" s="9"/>
      <c r="S1514" s="9"/>
      <c r="T1514" s="9"/>
      <c r="U1514" s="9"/>
      <c r="V1514" s="9"/>
      <c r="W1514" s="9"/>
      <c r="X1514" s="9"/>
      <c r="Y1514" s="9"/>
      <c r="Z1514" s="9"/>
      <c r="AA1514" s="9"/>
      <c r="AB1514" s="9"/>
      <c r="AC1514" s="9"/>
      <c r="AD1514" s="9"/>
      <c r="AE1514" s="9"/>
      <c r="AF1514" s="9"/>
      <c r="AG1514" s="9"/>
      <c r="AH1514" s="9"/>
      <c r="AI1514" s="9"/>
      <c r="AJ1514" s="9"/>
      <c r="AK1514" s="9"/>
      <c r="AL1514" s="9"/>
      <c r="AM1514" s="69"/>
      <c r="AN1514" s="9"/>
      <c r="AO1514" s="69"/>
      <c r="AP1514" s="210"/>
      <c r="AQ1514" s="211"/>
      <c r="AR1514" s="211"/>
      <c r="AS1514" s="211"/>
      <c r="AT1514" s="211"/>
      <c r="AU1514" s="211"/>
      <c r="AV1514" s="211"/>
      <c r="AW1514" s="9"/>
      <c r="AX1514" s="9"/>
      <c r="AY1514" s="9"/>
      <c r="AZ1514" s="9"/>
      <c r="BA1514" s="120"/>
      <c r="BB1514" s="69"/>
      <c r="BC1514" s="9"/>
      <c r="BD1514" s="9"/>
      <c r="BE1514" s="9"/>
      <c r="BF1514" s="9"/>
      <c r="BG1514" s="9"/>
      <c r="BH1514" s="9"/>
      <c r="BI1514" s="9"/>
      <c r="BJ1514" s="9"/>
      <c r="BK1514" s="9"/>
      <c r="BL1514" s="9"/>
      <c r="BM1514" s="9"/>
      <c r="BN1514" s="9"/>
      <c r="BO1514" s="9"/>
      <c r="BP1514" s="9"/>
      <c r="BQ1514" s="9"/>
      <c r="BR1514" s="9"/>
      <c r="BS1514" s="9"/>
      <c r="BT1514" s="9"/>
      <c r="BU1514" s="9"/>
      <c r="BV1514" s="9"/>
      <c r="BW1514" s="9"/>
      <c r="BX1514" s="9"/>
      <c r="BY1514" s="9"/>
      <c r="BZ1514" s="9"/>
      <c r="CA1514" s="9"/>
      <c r="CB1514" s="9"/>
      <c r="CC1514" s="9"/>
      <c r="CD1514" s="9"/>
      <c r="CE1514" s="9"/>
      <c r="CF1514" s="9"/>
      <c r="CG1514" s="9"/>
      <c r="CH1514" s="9"/>
      <c r="CI1514" s="9"/>
      <c r="CJ1514" s="9"/>
      <c r="CK1514" s="9"/>
      <c r="CL1514" s="9"/>
      <c r="CM1514" s="9"/>
      <c r="CN1514" s="9"/>
      <c r="CO1514" s="9"/>
      <c r="CP1514" s="9"/>
    </row>
    <row r="1515" spans="1:94" ht="15.75" x14ac:dyDescent="0.25">
      <c r="A1515" s="126" t="s">
        <v>4320</v>
      </c>
      <c r="B1515" s="62" t="s">
        <v>4321</v>
      </c>
      <c r="C1515" s="9"/>
      <c r="D1515" s="9"/>
      <c r="E1515" s="9"/>
      <c r="F1515" s="9"/>
      <c r="G1515" s="9"/>
      <c r="H1515" s="9"/>
      <c r="I1515" s="9"/>
      <c r="J1515" s="9"/>
      <c r="K1515" s="9"/>
      <c r="L1515" s="9"/>
      <c r="M1515" s="9"/>
      <c r="N1515" s="9"/>
      <c r="O1515" s="9"/>
      <c r="P1515" s="9"/>
      <c r="Q1515" s="9"/>
      <c r="R1515" s="9"/>
      <c r="S1515" s="9"/>
      <c r="T1515" s="9"/>
      <c r="U1515" s="9"/>
      <c r="V1515" s="9"/>
      <c r="W1515" s="9"/>
      <c r="X1515" s="9"/>
      <c r="Y1515" s="9"/>
      <c r="Z1515" s="9"/>
      <c r="AA1515" s="9"/>
      <c r="AB1515" s="9"/>
      <c r="AC1515" s="9"/>
      <c r="AD1515" s="9"/>
      <c r="AE1515" s="9"/>
      <c r="AF1515" s="9"/>
      <c r="AG1515" s="9"/>
      <c r="AH1515" s="9"/>
      <c r="AI1515" s="9"/>
      <c r="AJ1515" s="9"/>
      <c r="AK1515" s="9"/>
      <c r="AL1515" s="9"/>
      <c r="AM1515" s="69"/>
      <c r="AN1515" s="9"/>
      <c r="AO1515" s="69" t="s">
        <v>4161</v>
      </c>
      <c r="AP1515" s="210"/>
      <c r="AQ1515" s="211"/>
      <c r="AR1515" s="211"/>
      <c r="AS1515" s="211"/>
      <c r="AT1515" s="211"/>
      <c r="AU1515" s="211"/>
      <c r="AV1515" s="211"/>
      <c r="AW1515" s="9"/>
      <c r="AX1515" s="9"/>
      <c r="AY1515" s="9"/>
      <c r="AZ1515" s="9"/>
      <c r="BA1515" s="120"/>
      <c r="BB1515" s="69"/>
      <c r="BC1515" s="9"/>
      <c r="BD1515" s="9"/>
      <c r="BE1515" s="9"/>
      <c r="BF1515" s="9"/>
      <c r="BG1515" s="9"/>
      <c r="BH1515" s="9"/>
      <c r="BI1515" s="9"/>
      <c r="BJ1515" s="9"/>
      <c r="BK1515" s="9"/>
      <c r="BL1515" s="9"/>
      <c r="BM1515" s="9"/>
      <c r="BN1515" s="9"/>
      <c r="BO1515" s="9"/>
      <c r="BP1515" s="9"/>
      <c r="BQ1515" s="9"/>
      <c r="BR1515" s="9"/>
      <c r="BS1515" s="9"/>
      <c r="BT1515" s="9"/>
      <c r="BU1515" s="9"/>
      <c r="BV1515" s="9"/>
      <c r="BW1515" s="9"/>
      <c r="BX1515" s="9"/>
      <c r="BY1515" s="9"/>
      <c r="BZ1515" s="9"/>
      <c r="CA1515" s="9"/>
      <c r="CB1515" s="9"/>
      <c r="CC1515" s="9"/>
      <c r="CD1515" s="9"/>
      <c r="CE1515" s="9"/>
      <c r="CF1515" s="9"/>
      <c r="CG1515" s="9"/>
      <c r="CH1515" s="9"/>
      <c r="CI1515" s="9"/>
      <c r="CJ1515" s="9"/>
      <c r="CK1515" s="9"/>
      <c r="CL1515" s="9"/>
      <c r="CM1515" s="9"/>
      <c r="CN1515" s="9"/>
      <c r="CO1515" s="9"/>
      <c r="CP1515" s="9"/>
    </row>
    <row r="1516" spans="1:94" x14ac:dyDescent="0.25">
      <c r="A1516" s="266" t="s">
        <v>4322</v>
      </c>
      <c r="B1516" s="266" t="s">
        <v>4323</v>
      </c>
      <c r="C1516" s="9"/>
      <c r="D1516" s="9"/>
      <c r="E1516" s="9"/>
      <c r="F1516" s="9"/>
      <c r="G1516" s="9"/>
      <c r="H1516" s="9"/>
      <c r="I1516" s="9"/>
      <c r="J1516" s="9"/>
      <c r="K1516" s="9"/>
      <c r="L1516" s="9"/>
      <c r="M1516" s="9"/>
      <c r="N1516" s="9"/>
      <c r="O1516" s="9"/>
      <c r="P1516" s="9"/>
      <c r="Q1516" s="9"/>
      <c r="R1516" s="9"/>
      <c r="S1516" s="9"/>
      <c r="T1516" s="9"/>
      <c r="U1516" s="9"/>
      <c r="V1516" s="9"/>
      <c r="W1516" s="9"/>
      <c r="X1516" s="9"/>
      <c r="Y1516" s="9"/>
      <c r="Z1516" s="9"/>
      <c r="AA1516" s="9"/>
      <c r="AB1516" s="9"/>
      <c r="AC1516" s="9"/>
      <c r="AD1516" s="9"/>
      <c r="AE1516" s="9"/>
      <c r="AF1516" s="9"/>
      <c r="AG1516" s="9"/>
      <c r="AH1516" s="9"/>
      <c r="AI1516" s="9"/>
      <c r="AJ1516" s="9"/>
      <c r="AK1516" s="9"/>
      <c r="AL1516" s="9"/>
      <c r="AM1516" s="69"/>
      <c r="AN1516" s="9"/>
      <c r="AO1516" s="69" t="s">
        <v>4161</v>
      </c>
      <c r="AP1516" s="210"/>
      <c r="AQ1516" s="211"/>
      <c r="AR1516" s="211"/>
      <c r="AS1516" s="211"/>
      <c r="AT1516" s="211"/>
      <c r="AU1516" s="211"/>
      <c r="AV1516" s="211"/>
      <c r="AW1516" s="9"/>
      <c r="AX1516" s="9"/>
      <c r="AY1516" s="9"/>
      <c r="AZ1516" s="9"/>
      <c r="BA1516" s="120"/>
      <c r="BB1516" s="69"/>
      <c r="BC1516" s="9"/>
      <c r="BD1516" s="9"/>
      <c r="BE1516" s="9"/>
      <c r="BF1516" s="9"/>
      <c r="BG1516" s="9"/>
      <c r="BH1516" s="9"/>
      <c r="BI1516" s="9"/>
      <c r="BJ1516" s="9"/>
      <c r="BK1516" s="9"/>
      <c r="BL1516" s="9"/>
      <c r="BM1516" s="9"/>
      <c r="BN1516" s="9"/>
      <c r="BO1516" s="9"/>
      <c r="BP1516" s="9"/>
      <c r="BQ1516" s="9"/>
      <c r="BR1516" s="9"/>
      <c r="BS1516" s="9"/>
      <c r="BT1516" s="9"/>
      <c r="BU1516" s="9"/>
      <c r="BV1516" s="9"/>
      <c r="BW1516" s="9"/>
      <c r="BX1516" s="9"/>
      <c r="BY1516" s="9"/>
      <c r="BZ1516" s="9"/>
      <c r="CA1516" s="9"/>
      <c r="CB1516" s="9"/>
      <c r="CC1516" s="9"/>
      <c r="CD1516" s="9"/>
      <c r="CE1516" s="9"/>
      <c r="CF1516" s="9"/>
      <c r="CG1516" s="9"/>
      <c r="CH1516" s="9"/>
      <c r="CI1516" s="9"/>
      <c r="CJ1516" s="9"/>
      <c r="CK1516" s="9"/>
      <c r="CL1516" s="9"/>
      <c r="CM1516" s="9"/>
      <c r="CN1516" s="9"/>
      <c r="CO1516" s="9"/>
      <c r="CP1516" s="9"/>
    </row>
    <row r="1517" spans="1:94" ht="30" x14ac:dyDescent="0.25">
      <c r="A1517" s="226" t="s">
        <v>4324</v>
      </c>
      <c r="B1517" s="226" t="s">
        <v>3815</v>
      </c>
      <c r="C1517" s="9"/>
      <c r="D1517" s="9"/>
      <c r="E1517" s="9"/>
      <c r="F1517" s="9"/>
      <c r="G1517" s="9"/>
      <c r="H1517" s="9"/>
      <c r="I1517" s="9"/>
      <c r="J1517" s="9"/>
      <c r="K1517" s="9"/>
      <c r="L1517" s="9"/>
      <c r="M1517" s="9"/>
      <c r="N1517" s="9"/>
      <c r="O1517" s="9"/>
      <c r="P1517" s="9"/>
      <c r="Q1517" s="9"/>
      <c r="R1517" s="9"/>
      <c r="S1517" s="9"/>
      <c r="T1517" s="9"/>
      <c r="U1517" s="9"/>
      <c r="V1517" s="9"/>
      <c r="W1517" s="9"/>
      <c r="X1517" s="9"/>
      <c r="Y1517" s="9"/>
      <c r="Z1517" s="9"/>
      <c r="AA1517" s="9"/>
      <c r="AB1517" s="9"/>
      <c r="AC1517" s="9"/>
      <c r="AD1517" s="9"/>
      <c r="AE1517" s="9"/>
      <c r="AF1517" s="9"/>
      <c r="AG1517" s="9"/>
      <c r="AH1517" s="9"/>
      <c r="AI1517" s="9"/>
      <c r="AJ1517" s="9"/>
      <c r="AK1517" s="9"/>
      <c r="AL1517" s="9"/>
      <c r="AM1517" s="69"/>
      <c r="AN1517" s="9"/>
      <c r="AO1517" s="69"/>
      <c r="AP1517" s="210"/>
      <c r="AQ1517" s="211"/>
      <c r="AR1517" s="211"/>
      <c r="AS1517" s="211"/>
      <c r="AT1517" s="211"/>
      <c r="AU1517" s="211"/>
      <c r="AV1517" s="211"/>
      <c r="AW1517" s="9"/>
      <c r="AX1517" s="9"/>
      <c r="AY1517" s="9"/>
      <c r="AZ1517" s="9"/>
      <c r="BA1517" s="120"/>
      <c r="BB1517" s="69"/>
      <c r="BC1517" s="9"/>
      <c r="BD1517" s="9"/>
      <c r="BE1517" s="9"/>
      <c r="BF1517" s="9"/>
      <c r="BG1517" s="9"/>
      <c r="BH1517" s="9"/>
      <c r="BI1517" s="9"/>
      <c r="BJ1517" s="9"/>
      <c r="BK1517" s="9"/>
      <c r="BL1517" s="9"/>
      <c r="BM1517" s="9"/>
      <c r="BN1517" s="9"/>
      <c r="BO1517" s="9"/>
      <c r="BP1517" s="9"/>
      <c r="BQ1517" s="9"/>
      <c r="BR1517" s="9"/>
      <c r="BS1517" s="9"/>
      <c r="BT1517" s="9"/>
      <c r="BU1517" s="9"/>
      <c r="BV1517" s="9"/>
      <c r="BW1517" s="9"/>
      <c r="BX1517" s="9"/>
      <c r="BY1517" s="9"/>
      <c r="BZ1517" s="9"/>
      <c r="CA1517" s="9"/>
      <c r="CB1517" s="9"/>
      <c r="CC1517" s="9"/>
      <c r="CD1517" s="9"/>
      <c r="CE1517" s="9"/>
      <c r="CF1517" s="9"/>
      <c r="CG1517" s="9"/>
      <c r="CH1517" s="9"/>
      <c r="CI1517" s="9"/>
      <c r="CJ1517" s="9"/>
      <c r="CK1517" s="9"/>
      <c r="CL1517" s="9"/>
      <c r="CM1517" s="9"/>
      <c r="CN1517" s="9"/>
      <c r="CO1517" s="9"/>
      <c r="CP1517" s="9"/>
    </row>
    <row r="1518" spans="1:94" x14ac:dyDescent="0.25">
      <c r="A1518" s="9" t="s">
        <v>4325</v>
      </c>
      <c r="B1518" s="9" t="s">
        <v>4326</v>
      </c>
      <c r="C1518" s="9"/>
      <c r="D1518" s="9"/>
      <c r="E1518" s="9"/>
      <c r="F1518" s="9"/>
      <c r="G1518" s="9"/>
      <c r="H1518" s="9"/>
      <c r="I1518" s="9"/>
      <c r="J1518" s="9"/>
      <c r="K1518" s="9"/>
      <c r="L1518" s="9"/>
      <c r="M1518" s="9"/>
      <c r="N1518" s="9"/>
      <c r="O1518" s="9"/>
      <c r="P1518" s="9"/>
      <c r="Q1518" s="9"/>
      <c r="R1518" s="9"/>
      <c r="S1518" s="9"/>
      <c r="T1518" s="9"/>
      <c r="U1518" s="9"/>
      <c r="V1518" s="9"/>
      <c r="W1518" s="9"/>
      <c r="X1518" s="9"/>
      <c r="Y1518" s="9"/>
      <c r="Z1518" s="9"/>
      <c r="AA1518" s="9"/>
      <c r="AB1518" s="9"/>
      <c r="AC1518" s="9"/>
      <c r="AD1518" s="9"/>
      <c r="AE1518" s="9"/>
      <c r="AF1518" s="9"/>
      <c r="AG1518" s="9"/>
      <c r="AH1518" s="9"/>
      <c r="AI1518" s="9"/>
      <c r="AJ1518" s="9"/>
      <c r="AK1518" s="9"/>
      <c r="AL1518" s="9"/>
      <c r="AM1518" s="69"/>
      <c r="AN1518" s="9"/>
      <c r="AO1518" s="69" t="s">
        <v>4161</v>
      </c>
      <c r="AP1518" s="210"/>
      <c r="AQ1518" s="211"/>
      <c r="AR1518" s="211"/>
      <c r="AS1518" s="211"/>
      <c r="AT1518" s="211"/>
      <c r="AU1518" s="211"/>
      <c r="AV1518" s="211"/>
      <c r="AW1518" s="9"/>
      <c r="AX1518" s="9"/>
      <c r="AY1518" s="9"/>
      <c r="AZ1518" s="9"/>
      <c r="BA1518" s="120"/>
      <c r="BB1518" s="69"/>
      <c r="BC1518" s="9"/>
      <c r="BD1518" s="9"/>
      <c r="BE1518" s="9"/>
      <c r="BF1518" s="9"/>
      <c r="BG1518" s="9"/>
      <c r="BH1518" s="9"/>
      <c r="BI1518" s="9"/>
      <c r="BJ1518" s="9"/>
      <c r="BK1518" s="9"/>
      <c r="BL1518" s="9"/>
      <c r="BM1518" s="9"/>
      <c r="BN1518" s="9"/>
      <c r="BO1518" s="9"/>
      <c r="BP1518" s="9"/>
      <c r="BQ1518" s="9"/>
      <c r="BR1518" s="9"/>
      <c r="BS1518" s="9"/>
      <c r="BT1518" s="9"/>
      <c r="BU1518" s="9"/>
      <c r="BV1518" s="9"/>
      <c r="BW1518" s="9"/>
      <c r="BX1518" s="9"/>
      <c r="BY1518" s="9"/>
      <c r="BZ1518" s="9"/>
      <c r="CA1518" s="9"/>
      <c r="CB1518" s="9"/>
      <c r="CC1518" s="9"/>
      <c r="CD1518" s="9"/>
      <c r="CE1518" s="9"/>
      <c r="CF1518" s="9"/>
      <c r="CG1518" s="9"/>
      <c r="CH1518" s="9"/>
      <c r="CI1518" s="9"/>
      <c r="CJ1518" s="9"/>
      <c r="CK1518" s="9"/>
      <c r="CL1518" s="9"/>
      <c r="CM1518" s="9"/>
      <c r="CN1518" s="9"/>
      <c r="CO1518" s="9"/>
      <c r="CP1518" s="9"/>
    </row>
    <row r="1519" spans="1:94" x14ac:dyDescent="0.25">
      <c r="A1519" s="9" t="s">
        <v>4327</v>
      </c>
      <c r="B1519" s="9" t="s">
        <v>4328</v>
      </c>
      <c r="C1519" s="9"/>
      <c r="D1519" s="9"/>
      <c r="E1519" s="9"/>
      <c r="F1519" s="9"/>
      <c r="G1519" s="9"/>
      <c r="H1519" s="9"/>
      <c r="I1519" s="9"/>
      <c r="J1519" s="9"/>
      <c r="K1519" s="9"/>
      <c r="L1519" s="9"/>
      <c r="M1519" s="9"/>
      <c r="N1519" s="9"/>
      <c r="O1519" s="9"/>
      <c r="P1519" s="9"/>
      <c r="Q1519" s="9"/>
      <c r="R1519" s="9"/>
      <c r="S1519" s="9"/>
      <c r="T1519" s="9"/>
      <c r="U1519" s="9"/>
      <c r="V1519" s="9"/>
      <c r="W1519" s="9"/>
      <c r="X1519" s="9"/>
      <c r="Y1519" s="9"/>
      <c r="Z1519" s="9"/>
      <c r="AA1519" s="9"/>
      <c r="AB1519" s="9"/>
      <c r="AC1519" s="9"/>
      <c r="AD1519" s="9"/>
      <c r="AE1519" s="9"/>
      <c r="AF1519" s="9"/>
      <c r="AG1519" s="9"/>
      <c r="AH1519" s="9"/>
      <c r="AI1519" s="9"/>
      <c r="AJ1519" s="9"/>
      <c r="AK1519" s="9"/>
      <c r="AL1519" s="9"/>
      <c r="AM1519" s="69"/>
      <c r="AN1519" s="9"/>
      <c r="AO1519" s="69" t="s">
        <v>2150</v>
      </c>
      <c r="AP1519" s="210"/>
      <c r="AQ1519" s="211"/>
      <c r="AR1519" s="211"/>
      <c r="AS1519" s="211"/>
      <c r="AT1519" s="211"/>
      <c r="AU1519" s="211"/>
      <c r="AV1519" s="211"/>
      <c r="AW1519" s="9"/>
      <c r="AX1519" s="9"/>
      <c r="AY1519" s="9"/>
      <c r="AZ1519" s="9"/>
      <c r="BA1519" s="120"/>
      <c r="BB1519" s="69"/>
      <c r="BC1519" s="9"/>
      <c r="BD1519" s="9"/>
      <c r="BE1519" s="9"/>
      <c r="BF1519" s="9"/>
      <c r="BG1519" s="9"/>
      <c r="BH1519" s="9"/>
      <c r="BI1519" s="9"/>
      <c r="BJ1519" s="9"/>
      <c r="BK1519" s="9"/>
      <c r="BL1519" s="9"/>
      <c r="BM1519" s="9"/>
      <c r="BN1519" s="9"/>
      <c r="BO1519" s="9"/>
      <c r="BP1519" s="9"/>
      <c r="BQ1519" s="9"/>
      <c r="BR1519" s="9"/>
      <c r="BS1519" s="9"/>
      <c r="BT1519" s="9"/>
      <c r="BU1519" s="9"/>
      <c r="BV1519" s="9"/>
      <c r="BW1519" s="9"/>
      <c r="BX1519" s="9"/>
      <c r="BY1519" s="9"/>
      <c r="BZ1519" s="9"/>
      <c r="CA1519" s="9"/>
      <c r="CB1519" s="9"/>
      <c r="CC1519" s="9"/>
      <c r="CD1519" s="9"/>
      <c r="CE1519" s="9"/>
      <c r="CF1519" s="9"/>
      <c r="CG1519" s="9"/>
      <c r="CH1519" s="9"/>
      <c r="CI1519" s="9"/>
      <c r="CJ1519" s="9"/>
      <c r="CK1519" s="9"/>
      <c r="CL1519" s="9"/>
      <c r="CM1519" s="9"/>
      <c r="CN1519" s="9"/>
      <c r="CO1519" s="9"/>
      <c r="CP1519" s="9"/>
    </row>
    <row r="1520" spans="1:94" ht="15.75" x14ac:dyDescent="0.25">
      <c r="A1520" s="126" t="s">
        <v>4329</v>
      </c>
      <c r="B1520" s="9" t="s">
        <v>4330</v>
      </c>
      <c r="C1520" s="9"/>
      <c r="D1520" s="9"/>
      <c r="E1520" s="9"/>
      <c r="F1520" s="9"/>
      <c r="G1520" s="9"/>
      <c r="H1520" s="9"/>
      <c r="I1520" s="9"/>
      <c r="J1520" s="9"/>
      <c r="K1520" s="9"/>
      <c r="L1520" s="9"/>
      <c r="M1520" s="9"/>
      <c r="N1520" s="9"/>
      <c r="O1520" s="9"/>
      <c r="P1520" s="9"/>
      <c r="Q1520" s="9"/>
      <c r="R1520" s="9"/>
      <c r="S1520" s="9"/>
      <c r="T1520" s="9"/>
      <c r="U1520" s="9"/>
      <c r="V1520" s="9"/>
      <c r="W1520" s="9"/>
      <c r="X1520" s="9"/>
      <c r="Y1520" s="9"/>
      <c r="Z1520" s="9"/>
      <c r="AA1520" s="9"/>
      <c r="AB1520" s="9"/>
      <c r="AC1520" s="9"/>
      <c r="AD1520" s="9"/>
      <c r="AE1520" s="9"/>
      <c r="AF1520" s="9"/>
      <c r="AG1520" s="9"/>
      <c r="AH1520" s="9"/>
      <c r="AI1520" s="9"/>
      <c r="AJ1520" s="9"/>
      <c r="AK1520" s="9"/>
      <c r="AL1520" s="9"/>
      <c r="AM1520" s="69"/>
      <c r="AN1520" s="9"/>
      <c r="AO1520" s="69" t="s">
        <v>4161</v>
      </c>
      <c r="AP1520" s="210"/>
      <c r="AQ1520" s="211"/>
      <c r="AR1520" s="211"/>
      <c r="AS1520" s="211"/>
      <c r="AT1520" s="211"/>
      <c r="AU1520" s="211"/>
      <c r="AV1520" s="211"/>
      <c r="AW1520" s="9"/>
      <c r="AX1520" s="9"/>
      <c r="AY1520" s="9"/>
      <c r="AZ1520" s="9"/>
      <c r="BA1520" s="120"/>
      <c r="BB1520" s="69"/>
      <c r="BC1520" s="9"/>
      <c r="BD1520" s="9"/>
      <c r="BE1520" s="9"/>
      <c r="BF1520" s="9"/>
      <c r="BG1520" s="9"/>
      <c r="BH1520" s="9"/>
      <c r="BI1520" s="9"/>
      <c r="BJ1520" s="9"/>
      <c r="BK1520" s="9"/>
      <c r="BL1520" s="9"/>
      <c r="BM1520" s="9"/>
      <c r="BN1520" s="9"/>
      <c r="BO1520" s="9"/>
      <c r="BP1520" s="9"/>
      <c r="BQ1520" s="9"/>
      <c r="BR1520" s="9"/>
      <c r="BS1520" s="9"/>
      <c r="BT1520" s="9"/>
      <c r="BU1520" s="9"/>
      <c r="BV1520" s="9"/>
      <c r="BW1520" s="9"/>
      <c r="BX1520" s="9"/>
      <c r="BY1520" s="9"/>
      <c r="BZ1520" s="9"/>
      <c r="CA1520" s="9"/>
      <c r="CB1520" s="9"/>
      <c r="CC1520" s="9"/>
      <c r="CD1520" s="9"/>
      <c r="CE1520" s="9"/>
      <c r="CF1520" s="9"/>
      <c r="CG1520" s="9"/>
      <c r="CH1520" s="9"/>
      <c r="CI1520" s="9"/>
      <c r="CJ1520" s="9"/>
      <c r="CK1520" s="9"/>
      <c r="CL1520" s="9"/>
      <c r="CM1520" s="9"/>
      <c r="CN1520" s="9"/>
      <c r="CO1520" s="9"/>
      <c r="CP1520" s="9"/>
    </row>
    <row r="1521" spans="1:94" x14ac:dyDescent="0.25">
      <c r="A1521" s="9" t="s">
        <v>4331</v>
      </c>
      <c r="B1521" s="9" t="s">
        <v>4332</v>
      </c>
      <c r="C1521" s="9"/>
      <c r="D1521" s="9"/>
      <c r="E1521" s="9"/>
      <c r="F1521" s="9"/>
      <c r="G1521" s="9"/>
      <c r="H1521" s="9"/>
      <c r="I1521" s="9"/>
      <c r="J1521" s="9"/>
      <c r="K1521" s="9"/>
      <c r="L1521" s="9"/>
      <c r="M1521" s="9"/>
      <c r="N1521" s="9"/>
      <c r="O1521" s="9"/>
      <c r="P1521" s="9"/>
      <c r="Q1521" s="9"/>
      <c r="R1521" s="9"/>
      <c r="S1521" s="9"/>
      <c r="T1521" s="9"/>
      <c r="U1521" s="9"/>
      <c r="V1521" s="9"/>
      <c r="W1521" s="9"/>
      <c r="X1521" s="9"/>
      <c r="Y1521" s="9"/>
      <c r="Z1521" s="9"/>
      <c r="AA1521" s="9"/>
      <c r="AB1521" s="9"/>
      <c r="AC1521" s="9"/>
      <c r="AD1521" s="9"/>
      <c r="AE1521" s="9"/>
      <c r="AF1521" s="9"/>
      <c r="AG1521" s="9"/>
      <c r="AH1521" s="9"/>
      <c r="AI1521" s="9"/>
      <c r="AJ1521" s="9"/>
      <c r="AK1521" s="9"/>
      <c r="AL1521" s="9"/>
      <c r="AM1521" s="69"/>
      <c r="AN1521" s="9"/>
      <c r="AO1521" s="69" t="s">
        <v>4161</v>
      </c>
      <c r="AP1521" s="210"/>
      <c r="AQ1521" s="211"/>
      <c r="AR1521" s="211"/>
      <c r="AS1521" s="211"/>
      <c r="AT1521" s="211"/>
      <c r="AU1521" s="211"/>
      <c r="AV1521" s="211"/>
      <c r="AW1521" s="9"/>
      <c r="AX1521" s="9"/>
      <c r="AY1521" s="9"/>
      <c r="AZ1521" s="9"/>
      <c r="BA1521" s="120"/>
      <c r="BB1521" s="69"/>
      <c r="BC1521" s="9"/>
      <c r="BD1521" s="9"/>
      <c r="BE1521" s="9"/>
      <c r="BF1521" s="9"/>
      <c r="BG1521" s="9"/>
      <c r="BH1521" s="9"/>
      <c r="BI1521" s="9"/>
      <c r="BJ1521" s="9"/>
      <c r="BK1521" s="9"/>
      <c r="BL1521" s="9"/>
      <c r="BM1521" s="9"/>
      <c r="BN1521" s="9"/>
      <c r="BO1521" s="9"/>
      <c r="BP1521" s="9"/>
      <c r="BQ1521" s="9"/>
      <c r="BR1521" s="9"/>
      <c r="BS1521" s="9"/>
      <c r="BT1521" s="9"/>
      <c r="BU1521" s="9"/>
      <c r="BV1521" s="9"/>
      <c r="BW1521" s="9"/>
      <c r="BX1521" s="9"/>
      <c r="BY1521" s="9"/>
      <c r="BZ1521" s="9"/>
      <c r="CA1521" s="9"/>
      <c r="CB1521" s="9"/>
      <c r="CC1521" s="9"/>
      <c r="CD1521" s="9"/>
      <c r="CE1521" s="9"/>
      <c r="CF1521" s="9"/>
      <c r="CG1521" s="9"/>
      <c r="CH1521" s="9"/>
      <c r="CI1521" s="9"/>
      <c r="CJ1521" s="9"/>
      <c r="CK1521" s="9"/>
      <c r="CL1521" s="9"/>
      <c r="CM1521" s="9"/>
      <c r="CN1521" s="9"/>
      <c r="CO1521" s="9"/>
      <c r="CP1521" s="9"/>
    </row>
    <row r="1522" spans="1:94" x14ac:dyDescent="0.25">
      <c r="A1522" s="9" t="s">
        <v>4333</v>
      </c>
      <c r="B1522" s="9" t="s">
        <v>4334</v>
      </c>
      <c r="C1522" s="9"/>
      <c r="D1522" s="9"/>
      <c r="E1522" s="9"/>
      <c r="F1522" s="9"/>
      <c r="G1522" s="9"/>
      <c r="H1522" s="9"/>
      <c r="I1522" s="9"/>
      <c r="J1522" s="9"/>
      <c r="K1522" s="9"/>
      <c r="L1522" s="9"/>
      <c r="M1522" s="9"/>
      <c r="N1522" s="9"/>
      <c r="O1522" s="9"/>
      <c r="P1522" s="9"/>
      <c r="Q1522" s="9"/>
      <c r="R1522" s="9"/>
      <c r="S1522" s="9"/>
      <c r="T1522" s="9"/>
      <c r="U1522" s="9"/>
      <c r="V1522" s="9"/>
      <c r="W1522" s="9"/>
      <c r="X1522" s="9"/>
      <c r="Y1522" s="9"/>
      <c r="Z1522" s="9"/>
      <c r="AA1522" s="9"/>
      <c r="AB1522" s="9"/>
      <c r="AC1522" s="9"/>
      <c r="AD1522" s="9"/>
      <c r="AE1522" s="9"/>
      <c r="AF1522" s="9"/>
      <c r="AG1522" s="9"/>
      <c r="AH1522" s="9"/>
      <c r="AI1522" s="9"/>
      <c r="AJ1522" s="9"/>
      <c r="AK1522" s="9"/>
      <c r="AL1522" s="9"/>
      <c r="AM1522" s="69"/>
      <c r="AN1522" s="9"/>
      <c r="AO1522" s="69" t="s">
        <v>4161</v>
      </c>
      <c r="AP1522" s="210"/>
      <c r="AQ1522" s="211"/>
      <c r="AR1522" s="211"/>
      <c r="AS1522" s="211"/>
      <c r="AT1522" s="211"/>
      <c r="AU1522" s="211"/>
      <c r="AV1522" s="211"/>
      <c r="AW1522" s="9"/>
      <c r="AX1522" s="9"/>
      <c r="AY1522" s="9"/>
      <c r="AZ1522" s="9"/>
      <c r="BA1522" s="120"/>
      <c r="BB1522" s="69"/>
      <c r="BC1522" s="9"/>
      <c r="BD1522" s="9"/>
      <c r="BE1522" s="9"/>
      <c r="BF1522" s="9"/>
      <c r="BG1522" s="9"/>
      <c r="BH1522" s="9"/>
      <c r="BI1522" s="9"/>
      <c r="BJ1522" s="9"/>
      <c r="BK1522" s="9"/>
      <c r="BL1522" s="9"/>
      <c r="BM1522" s="9"/>
      <c r="BN1522" s="9"/>
      <c r="BO1522" s="9"/>
      <c r="BP1522" s="9"/>
      <c r="BQ1522" s="9"/>
      <c r="BR1522" s="9"/>
      <c r="BS1522" s="9"/>
      <c r="BT1522" s="9"/>
      <c r="BU1522" s="9"/>
      <c r="BV1522" s="9"/>
      <c r="BW1522" s="9"/>
      <c r="BX1522" s="9"/>
      <c r="BY1522" s="9"/>
      <c r="BZ1522" s="9"/>
      <c r="CA1522" s="9"/>
      <c r="CB1522" s="9"/>
      <c r="CC1522" s="9"/>
      <c r="CD1522" s="9"/>
      <c r="CE1522" s="9"/>
      <c r="CF1522" s="9"/>
      <c r="CG1522" s="9"/>
      <c r="CH1522" s="9"/>
      <c r="CI1522" s="9"/>
      <c r="CJ1522" s="9"/>
      <c r="CK1522" s="9"/>
      <c r="CL1522" s="9"/>
      <c r="CM1522" s="9"/>
      <c r="CN1522" s="9"/>
      <c r="CO1522" s="9"/>
      <c r="CP1522" s="9"/>
    </row>
    <row r="1523" spans="1:94" x14ac:dyDescent="0.25">
      <c r="A1523" s="9" t="s">
        <v>4335</v>
      </c>
      <c r="B1523" s="9" t="s">
        <v>4336</v>
      </c>
      <c r="C1523" s="9"/>
      <c r="D1523" s="9"/>
      <c r="E1523" s="9"/>
      <c r="F1523" s="9"/>
      <c r="G1523" s="9"/>
      <c r="H1523" s="9"/>
      <c r="I1523" s="9"/>
      <c r="J1523" s="9"/>
      <c r="K1523" s="9"/>
      <c r="L1523" s="9"/>
      <c r="M1523" s="9"/>
      <c r="N1523" s="9"/>
      <c r="O1523" s="9"/>
      <c r="P1523" s="9"/>
      <c r="Q1523" s="9"/>
      <c r="R1523" s="9"/>
      <c r="S1523" s="9"/>
      <c r="T1523" s="9"/>
      <c r="U1523" s="9"/>
      <c r="V1523" s="9"/>
      <c r="W1523" s="9"/>
      <c r="X1523" s="9"/>
      <c r="Y1523" s="9"/>
      <c r="Z1523" s="9"/>
      <c r="AA1523" s="9"/>
      <c r="AB1523" s="9"/>
      <c r="AC1523" s="9"/>
      <c r="AD1523" s="9"/>
      <c r="AE1523" s="9"/>
      <c r="AF1523" s="9"/>
      <c r="AG1523" s="9"/>
      <c r="AH1523" s="9"/>
      <c r="AI1523" s="9"/>
      <c r="AJ1523" s="9"/>
      <c r="AK1523" s="9"/>
      <c r="AL1523" s="9"/>
      <c r="AM1523" s="69"/>
      <c r="AN1523" s="9"/>
      <c r="AO1523" s="69" t="s">
        <v>4161</v>
      </c>
      <c r="AP1523" s="210"/>
      <c r="AQ1523" s="211"/>
      <c r="AR1523" s="211"/>
      <c r="AS1523" s="211"/>
      <c r="AT1523" s="211"/>
      <c r="AU1523" s="211"/>
      <c r="AV1523" s="211"/>
      <c r="AW1523" s="9"/>
      <c r="AX1523" s="9"/>
      <c r="AY1523" s="9"/>
      <c r="AZ1523" s="9"/>
      <c r="BA1523" s="120"/>
      <c r="BB1523" s="69"/>
      <c r="BC1523" s="9"/>
      <c r="BD1523" s="9"/>
      <c r="BE1523" s="9"/>
      <c r="BF1523" s="9"/>
      <c r="BG1523" s="9"/>
      <c r="BH1523" s="9"/>
      <c r="BI1523" s="9"/>
      <c r="BJ1523" s="9"/>
      <c r="BK1523" s="9"/>
      <c r="BL1523" s="9"/>
      <c r="BM1523" s="9"/>
      <c r="BN1523" s="9"/>
      <c r="BO1523" s="9"/>
      <c r="BP1523" s="9"/>
      <c r="BQ1523" s="9"/>
      <c r="BR1523" s="9"/>
      <c r="BS1523" s="9"/>
      <c r="BT1523" s="9"/>
      <c r="BU1523" s="9"/>
      <c r="BV1523" s="9"/>
      <c r="BW1523" s="9"/>
      <c r="BX1523" s="9"/>
      <c r="BY1523" s="9"/>
      <c r="BZ1523" s="9"/>
      <c r="CA1523" s="9"/>
      <c r="CB1523" s="9"/>
      <c r="CC1523" s="9"/>
      <c r="CD1523" s="9"/>
      <c r="CE1523" s="9"/>
      <c r="CF1523" s="9"/>
      <c r="CG1523" s="9"/>
      <c r="CH1523" s="9"/>
      <c r="CI1523" s="9"/>
      <c r="CJ1523" s="9"/>
      <c r="CK1523" s="9"/>
      <c r="CL1523" s="9"/>
      <c r="CM1523" s="9"/>
      <c r="CN1523" s="9"/>
      <c r="CO1523" s="9"/>
      <c r="CP1523" s="9"/>
    </row>
    <row r="1524" spans="1:94" x14ac:dyDescent="0.25">
      <c r="A1524" s="9" t="s">
        <v>4337</v>
      </c>
      <c r="B1524" s="9" t="s">
        <v>4338</v>
      </c>
      <c r="C1524" s="9"/>
      <c r="D1524" s="9"/>
      <c r="E1524" s="9"/>
      <c r="F1524" s="9"/>
      <c r="G1524" s="9"/>
      <c r="H1524" s="9"/>
      <c r="I1524" s="9"/>
      <c r="J1524" s="9"/>
      <c r="K1524" s="9"/>
      <c r="L1524" s="9"/>
      <c r="M1524" s="9"/>
      <c r="N1524" s="9"/>
      <c r="O1524" s="9"/>
      <c r="P1524" s="9"/>
      <c r="Q1524" s="9"/>
      <c r="R1524" s="9"/>
      <c r="S1524" s="9"/>
      <c r="T1524" s="9"/>
      <c r="U1524" s="9"/>
      <c r="V1524" s="9"/>
      <c r="W1524" s="9"/>
      <c r="X1524" s="9"/>
      <c r="Y1524" s="9"/>
      <c r="Z1524" s="9"/>
      <c r="AA1524" s="9"/>
      <c r="AB1524" s="9"/>
      <c r="AC1524" s="9"/>
      <c r="AD1524" s="9"/>
      <c r="AE1524" s="9"/>
      <c r="AF1524" s="9"/>
      <c r="AG1524" s="9"/>
      <c r="AH1524" s="9"/>
      <c r="AI1524" s="9"/>
      <c r="AJ1524" s="9"/>
      <c r="AK1524" s="9"/>
      <c r="AL1524" s="9"/>
      <c r="AM1524" s="69"/>
      <c r="AN1524" s="9"/>
      <c r="AO1524" s="69" t="s">
        <v>4161</v>
      </c>
      <c r="AP1524" s="210"/>
      <c r="AQ1524" s="211"/>
      <c r="AR1524" s="211"/>
      <c r="AS1524" s="211"/>
      <c r="AT1524" s="211"/>
      <c r="AU1524" s="211"/>
      <c r="AV1524" s="211"/>
      <c r="AW1524" s="9"/>
      <c r="AX1524" s="9"/>
      <c r="AY1524" s="9"/>
      <c r="AZ1524" s="9"/>
      <c r="BA1524" s="120"/>
      <c r="BB1524" s="69"/>
      <c r="BC1524" s="9"/>
      <c r="BD1524" s="9"/>
      <c r="BE1524" s="9"/>
      <c r="BF1524" s="9"/>
      <c r="BG1524" s="9"/>
      <c r="BH1524" s="9"/>
      <c r="BI1524" s="9"/>
      <c r="BJ1524" s="9"/>
      <c r="BK1524" s="9"/>
      <c r="BL1524" s="9"/>
      <c r="BM1524" s="9"/>
      <c r="BN1524" s="9"/>
      <c r="BO1524" s="9"/>
      <c r="BP1524" s="9"/>
      <c r="BQ1524" s="9"/>
      <c r="BR1524" s="9"/>
      <c r="BS1524" s="9"/>
      <c r="BT1524" s="9"/>
      <c r="BU1524" s="9"/>
      <c r="BV1524" s="9"/>
      <c r="BW1524" s="9"/>
      <c r="BX1524" s="9"/>
      <c r="BY1524" s="9"/>
      <c r="BZ1524" s="9"/>
      <c r="CA1524" s="9"/>
      <c r="CB1524" s="9"/>
      <c r="CC1524" s="9"/>
      <c r="CD1524" s="9"/>
      <c r="CE1524" s="9"/>
      <c r="CF1524" s="9"/>
      <c r="CG1524" s="9"/>
      <c r="CH1524" s="9"/>
      <c r="CI1524" s="9"/>
      <c r="CJ1524" s="9"/>
      <c r="CK1524" s="9"/>
      <c r="CL1524" s="9"/>
      <c r="CM1524" s="9"/>
      <c r="CN1524" s="9"/>
      <c r="CO1524" s="9"/>
      <c r="CP1524" s="9"/>
    </row>
    <row r="1525" spans="1:94" x14ac:dyDescent="0.25">
      <c r="A1525" s="9" t="s">
        <v>4339</v>
      </c>
      <c r="B1525" s="9" t="s">
        <v>4340</v>
      </c>
      <c r="C1525" s="9"/>
      <c r="D1525" s="9"/>
      <c r="E1525" s="9"/>
      <c r="F1525" s="9"/>
      <c r="G1525" s="9"/>
      <c r="H1525" s="9"/>
      <c r="I1525" s="9"/>
      <c r="J1525" s="9"/>
      <c r="K1525" s="9"/>
      <c r="L1525" s="9"/>
      <c r="M1525" s="9"/>
      <c r="N1525" s="9"/>
      <c r="O1525" s="9"/>
      <c r="P1525" s="9"/>
      <c r="Q1525" s="9"/>
      <c r="R1525" s="9"/>
      <c r="S1525" s="9"/>
      <c r="T1525" s="9"/>
      <c r="U1525" s="9"/>
      <c r="V1525" s="9"/>
      <c r="W1525" s="9"/>
      <c r="X1525" s="9"/>
      <c r="Y1525" s="9"/>
      <c r="Z1525" s="9"/>
      <c r="AA1525" s="9"/>
      <c r="AB1525" s="9"/>
      <c r="AC1525" s="9"/>
      <c r="AD1525" s="9"/>
      <c r="AE1525" s="9"/>
      <c r="AF1525" s="9"/>
      <c r="AG1525" s="9"/>
      <c r="AH1525" s="9"/>
      <c r="AI1525" s="9"/>
      <c r="AJ1525" s="9"/>
      <c r="AK1525" s="9"/>
      <c r="AL1525" s="9"/>
      <c r="AM1525" s="69"/>
      <c r="AN1525" s="9"/>
      <c r="AO1525" s="69" t="s">
        <v>4161</v>
      </c>
      <c r="AP1525" s="210"/>
      <c r="AQ1525" s="211"/>
      <c r="AR1525" s="211"/>
      <c r="AS1525" s="211"/>
      <c r="AT1525" s="211"/>
      <c r="AU1525" s="211"/>
      <c r="AV1525" s="211"/>
      <c r="AW1525" s="9"/>
      <c r="AX1525" s="9"/>
      <c r="AY1525" s="9"/>
      <c r="AZ1525" s="9"/>
      <c r="BA1525" s="120"/>
      <c r="BB1525" s="69"/>
      <c r="BC1525" s="9"/>
      <c r="BD1525" s="9"/>
      <c r="BE1525" s="9"/>
      <c r="BF1525" s="9"/>
      <c r="BG1525" s="9"/>
      <c r="BH1525" s="9"/>
      <c r="BI1525" s="9"/>
      <c r="BJ1525" s="9"/>
      <c r="BK1525" s="9"/>
      <c r="BL1525" s="9"/>
      <c r="BM1525" s="9"/>
      <c r="BN1525" s="9"/>
      <c r="BO1525" s="9"/>
      <c r="BP1525" s="9"/>
      <c r="BQ1525" s="9"/>
      <c r="BR1525" s="9"/>
      <c r="BS1525" s="9"/>
      <c r="BT1525" s="9"/>
      <c r="BU1525" s="9"/>
      <c r="BV1525" s="9"/>
      <c r="BW1525" s="9"/>
      <c r="BX1525" s="9"/>
      <c r="BY1525" s="9"/>
      <c r="BZ1525" s="9"/>
      <c r="CA1525" s="9"/>
      <c r="CB1525" s="9"/>
      <c r="CC1525" s="9"/>
      <c r="CD1525" s="9"/>
      <c r="CE1525" s="9"/>
      <c r="CF1525" s="9"/>
      <c r="CG1525" s="9"/>
      <c r="CH1525" s="9"/>
      <c r="CI1525" s="9"/>
      <c r="CJ1525" s="9"/>
      <c r="CK1525" s="9"/>
      <c r="CL1525" s="9"/>
      <c r="CM1525" s="9"/>
      <c r="CN1525" s="9"/>
      <c r="CO1525" s="9"/>
      <c r="CP1525" s="9"/>
    </row>
    <row r="1526" spans="1:94" x14ac:dyDescent="0.25">
      <c r="A1526" s="9" t="s">
        <v>4341</v>
      </c>
      <c r="B1526" s="9" t="s">
        <v>4342</v>
      </c>
      <c r="C1526" s="9"/>
      <c r="D1526" s="9"/>
      <c r="E1526" s="9"/>
      <c r="F1526" s="9"/>
      <c r="G1526" s="9"/>
      <c r="H1526" s="9"/>
      <c r="I1526" s="9"/>
      <c r="J1526" s="9"/>
      <c r="K1526" s="9"/>
      <c r="L1526" s="9"/>
      <c r="M1526" s="9"/>
      <c r="N1526" s="9"/>
      <c r="O1526" s="9"/>
      <c r="P1526" s="9"/>
      <c r="Q1526" s="9"/>
      <c r="R1526" s="9"/>
      <c r="S1526" s="9"/>
      <c r="T1526" s="9"/>
      <c r="U1526" s="9"/>
      <c r="V1526" s="9"/>
      <c r="W1526" s="9"/>
      <c r="X1526" s="9"/>
      <c r="Y1526" s="9"/>
      <c r="Z1526" s="9"/>
      <c r="AA1526" s="9"/>
      <c r="AB1526" s="9"/>
      <c r="AC1526" s="9"/>
      <c r="AD1526" s="9"/>
      <c r="AE1526" s="9"/>
      <c r="AF1526" s="9"/>
      <c r="AG1526" s="9"/>
      <c r="AH1526" s="9"/>
      <c r="AI1526" s="9"/>
      <c r="AJ1526" s="9"/>
      <c r="AK1526" s="9"/>
      <c r="AL1526" s="9"/>
      <c r="AM1526" s="69"/>
      <c r="AN1526" s="9"/>
      <c r="AO1526" s="69" t="s">
        <v>4161</v>
      </c>
      <c r="AP1526" s="210"/>
      <c r="AQ1526" s="211"/>
      <c r="AR1526" s="211"/>
      <c r="AS1526" s="211"/>
      <c r="AT1526" s="211"/>
      <c r="AU1526" s="211"/>
      <c r="AV1526" s="211"/>
      <c r="AW1526" s="9"/>
      <c r="AX1526" s="9"/>
      <c r="AY1526" s="9"/>
      <c r="AZ1526" s="9"/>
      <c r="BA1526" s="120"/>
      <c r="BB1526" s="69"/>
      <c r="BC1526" s="9"/>
      <c r="BD1526" s="9"/>
      <c r="BE1526" s="9"/>
      <c r="BF1526" s="9"/>
      <c r="BG1526" s="9"/>
      <c r="BH1526" s="9"/>
      <c r="BI1526" s="9"/>
      <c r="BJ1526" s="9"/>
      <c r="BK1526" s="9"/>
      <c r="BL1526" s="9"/>
      <c r="BM1526" s="9"/>
      <c r="BN1526" s="9"/>
      <c r="BO1526" s="9"/>
      <c r="BP1526" s="9"/>
      <c r="BQ1526" s="9"/>
      <c r="BR1526" s="9"/>
      <c r="BS1526" s="9"/>
      <c r="BT1526" s="9"/>
      <c r="BU1526" s="9"/>
      <c r="BV1526" s="9"/>
      <c r="BW1526" s="9"/>
      <c r="BX1526" s="9"/>
      <c r="BY1526" s="9"/>
      <c r="BZ1526" s="9"/>
      <c r="CA1526" s="9"/>
      <c r="CB1526" s="9"/>
      <c r="CC1526" s="9"/>
      <c r="CD1526" s="9"/>
      <c r="CE1526" s="9"/>
      <c r="CF1526" s="9"/>
      <c r="CG1526" s="9"/>
      <c r="CH1526" s="9"/>
      <c r="CI1526" s="9"/>
      <c r="CJ1526" s="9"/>
      <c r="CK1526" s="9"/>
      <c r="CL1526" s="9"/>
      <c r="CM1526" s="9"/>
      <c r="CN1526" s="9"/>
      <c r="CO1526" s="9"/>
      <c r="CP1526" s="9"/>
    </row>
    <row r="1527" spans="1:94" x14ac:dyDescent="0.25">
      <c r="A1527" s="9" t="s">
        <v>4343</v>
      </c>
      <c r="B1527" s="9" t="s">
        <v>4344</v>
      </c>
      <c r="C1527" s="9"/>
      <c r="D1527" s="9"/>
      <c r="E1527" s="9"/>
      <c r="F1527" s="9"/>
      <c r="G1527" s="9"/>
      <c r="H1527" s="9"/>
      <c r="I1527" s="9"/>
      <c r="J1527" s="9"/>
      <c r="K1527" s="9"/>
      <c r="L1527" s="9"/>
      <c r="M1527" s="9"/>
      <c r="N1527" s="9"/>
      <c r="O1527" s="9"/>
      <c r="P1527" s="9"/>
      <c r="Q1527" s="9"/>
      <c r="R1527" s="9"/>
      <c r="S1527" s="9"/>
      <c r="T1527" s="9"/>
      <c r="U1527" s="9"/>
      <c r="V1527" s="9"/>
      <c r="W1527" s="9"/>
      <c r="X1527" s="9"/>
      <c r="Y1527" s="9"/>
      <c r="Z1527" s="9"/>
      <c r="AA1527" s="9"/>
      <c r="AB1527" s="9"/>
      <c r="AC1527" s="9"/>
      <c r="AD1527" s="9"/>
      <c r="AE1527" s="9"/>
      <c r="AF1527" s="9"/>
      <c r="AG1527" s="9"/>
      <c r="AH1527" s="9"/>
      <c r="AI1527" s="9"/>
      <c r="AJ1527" s="9"/>
      <c r="AK1527" s="9"/>
      <c r="AL1527" s="9"/>
      <c r="AM1527" s="69"/>
      <c r="AN1527" s="9"/>
      <c r="AO1527" s="69" t="s">
        <v>4161</v>
      </c>
      <c r="AP1527" s="210"/>
      <c r="AQ1527" s="211"/>
      <c r="AR1527" s="211"/>
      <c r="AS1527" s="211"/>
      <c r="AT1527" s="211"/>
      <c r="AU1527" s="211"/>
      <c r="AV1527" s="211"/>
      <c r="AW1527" s="9"/>
      <c r="AX1527" s="9"/>
      <c r="AY1527" s="9"/>
      <c r="AZ1527" s="9"/>
      <c r="BA1527" s="120"/>
      <c r="BB1527" s="69"/>
      <c r="BC1527" s="9"/>
      <c r="BD1527" s="9"/>
      <c r="BE1527" s="9"/>
      <c r="BF1527" s="9"/>
      <c r="BG1527" s="9"/>
      <c r="BH1527" s="9"/>
      <c r="BI1527" s="9"/>
      <c r="BJ1527" s="9"/>
      <c r="BK1527" s="9"/>
      <c r="BL1527" s="9"/>
      <c r="BM1527" s="9"/>
      <c r="BN1527" s="9"/>
      <c r="BO1527" s="9"/>
      <c r="BP1527" s="9"/>
      <c r="BQ1527" s="9"/>
      <c r="BR1527" s="9"/>
      <c r="BS1527" s="9"/>
      <c r="BT1527" s="9"/>
      <c r="BU1527" s="9"/>
      <c r="BV1527" s="9"/>
      <c r="BW1527" s="9"/>
      <c r="BX1527" s="9"/>
      <c r="BY1527" s="9"/>
      <c r="BZ1527" s="9"/>
      <c r="CA1527" s="9"/>
      <c r="CB1527" s="9"/>
      <c r="CC1527" s="9"/>
      <c r="CD1527" s="9"/>
      <c r="CE1527" s="9"/>
      <c r="CF1527" s="9"/>
      <c r="CG1527" s="9"/>
      <c r="CH1527" s="9"/>
      <c r="CI1527" s="9"/>
      <c r="CJ1527" s="9"/>
      <c r="CK1527" s="9"/>
      <c r="CL1527" s="9"/>
      <c r="CM1527" s="9"/>
      <c r="CN1527" s="9"/>
      <c r="CO1527" s="9"/>
      <c r="CP1527" s="9"/>
    </row>
    <row r="1528" spans="1:94" x14ac:dyDescent="0.25">
      <c r="A1528" s="9" t="s">
        <v>4345</v>
      </c>
      <c r="B1528" s="9" t="s">
        <v>4346</v>
      </c>
      <c r="C1528" s="9"/>
      <c r="D1528" s="9"/>
      <c r="E1528" s="9"/>
      <c r="F1528" s="9"/>
      <c r="G1528" s="9"/>
      <c r="H1528" s="9"/>
      <c r="I1528" s="9"/>
      <c r="J1528" s="9"/>
      <c r="K1528" s="9"/>
      <c r="L1528" s="9"/>
      <c r="M1528" s="9"/>
      <c r="N1528" s="9"/>
      <c r="O1528" s="9"/>
      <c r="P1528" s="9"/>
      <c r="Q1528" s="9"/>
      <c r="R1528" s="9"/>
      <c r="S1528" s="9"/>
      <c r="T1528" s="9"/>
      <c r="U1528" s="9"/>
      <c r="V1528" s="9"/>
      <c r="W1528" s="9"/>
      <c r="X1528" s="9"/>
      <c r="Y1528" s="9"/>
      <c r="Z1528" s="9"/>
      <c r="AA1528" s="9"/>
      <c r="AB1528" s="9"/>
      <c r="AC1528" s="9"/>
      <c r="AD1528" s="9"/>
      <c r="AE1528" s="9"/>
      <c r="AF1528" s="9"/>
      <c r="AG1528" s="9"/>
      <c r="AH1528" s="9"/>
      <c r="AI1528" s="9"/>
      <c r="AJ1528" s="9"/>
      <c r="AK1528" s="9"/>
      <c r="AL1528" s="9"/>
      <c r="AM1528" s="69"/>
      <c r="AN1528" s="9"/>
      <c r="AO1528" s="69" t="s">
        <v>4161</v>
      </c>
      <c r="AP1528" s="210"/>
      <c r="AQ1528" s="211"/>
      <c r="AR1528" s="211"/>
      <c r="AS1528" s="211"/>
      <c r="AT1528" s="211"/>
      <c r="AU1528" s="211"/>
      <c r="AV1528" s="211"/>
      <c r="AW1528" s="9"/>
      <c r="AX1528" s="9"/>
      <c r="AY1528" s="9"/>
      <c r="AZ1528" s="9"/>
      <c r="BA1528" s="120"/>
      <c r="BB1528" s="69"/>
      <c r="BC1528" s="9"/>
      <c r="BD1528" s="9"/>
      <c r="BE1528" s="9"/>
      <c r="BF1528" s="9"/>
      <c r="BG1528" s="9"/>
      <c r="BH1528" s="9"/>
      <c r="BI1528" s="9"/>
      <c r="BJ1528" s="9"/>
      <c r="BK1528" s="9"/>
      <c r="BL1528" s="9"/>
      <c r="BM1528" s="9"/>
      <c r="BN1528" s="9"/>
      <c r="BO1528" s="9"/>
      <c r="BP1528" s="9"/>
      <c r="BQ1528" s="9"/>
      <c r="BR1528" s="9"/>
      <c r="BS1528" s="9"/>
      <c r="BT1528" s="9"/>
      <c r="BU1528" s="9"/>
      <c r="BV1528" s="9"/>
      <c r="BW1528" s="9"/>
      <c r="BX1528" s="9"/>
      <c r="BY1528" s="9"/>
      <c r="BZ1528" s="9"/>
      <c r="CA1528" s="9"/>
      <c r="CB1528" s="9"/>
      <c r="CC1528" s="9"/>
      <c r="CD1528" s="9"/>
      <c r="CE1528" s="9"/>
      <c r="CF1528" s="9"/>
      <c r="CG1528" s="9"/>
      <c r="CH1528" s="9"/>
      <c r="CI1528" s="9"/>
      <c r="CJ1528" s="9"/>
      <c r="CK1528" s="9"/>
      <c r="CL1528" s="9"/>
      <c r="CM1528" s="9"/>
      <c r="CN1528" s="9"/>
      <c r="CO1528" s="9"/>
      <c r="CP1528" s="9"/>
    </row>
    <row r="1529" spans="1:94" x14ac:dyDescent="0.25">
      <c r="A1529" s="9" t="s">
        <v>4347</v>
      </c>
      <c r="B1529" s="9" t="s">
        <v>4348</v>
      </c>
      <c r="C1529" s="9"/>
      <c r="D1529" s="9"/>
      <c r="E1529" s="9"/>
      <c r="F1529" s="9"/>
      <c r="G1529" s="9"/>
      <c r="H1529" s="9"/>
      <c r="I1529" s="9"/>
      <c r="J1529" s="9"/>
      <c r="K1529" s="9"/>
      <c r="L1529" s="9"/>
      <c r="M1529" s="9"/>
      <c r="N1529" s="9"/>
      <c r="O1529" s="9"/>
      <c r="P1529" s="9"/>
      <c r="Q1529" s="9"/>
      <c r="R1529" s="9"/>
      <c r="S1529" s="9"/>
      <c r="T1529" s="9"/>
      <c r="U1529" s="9"/>
      <c r="V1529" s="9"/>
      <c r="W1529" s="9"/>
      <c r="X1529" s="9"/>
      <c r="Y1529" s="9"/>
      <c r="Z1529" s="9"/>
      <c r="AA1529" s="9"/>
      <c r="AB1529" s="9"/>
      <c r="AC1529" s="9"/>
      <c r="AD1529" s="9"/>
      <c r="AE1529" s="9"/>
      <c r="AF1529" s="9"/>
      <c r="AG1529" s="9"/>
      <c r="AH1529" s="9"/>
      <c r="AI1529" s="9"/>
      <c r="AJ1529" s="9"/>
      <c r="AK1529" s="9"/>
      <c r="AL1529" s="9"/>
      <c r="AM1529" s="69"/>
      <c r="AN1529" s="9"/>
      <c r="AO1529" s="69" t="s">
        <v>4161</v>
      </c>
      <c r="AP1529" s="210"/>
      <c r="AQ1529" s="211"/>
      <c r="AR1529" s="211"/>
      <c r="AS1529" s="211"/>
      <c r="AT1529" s="211"/>
      <c r="AU1529" s="211"/>
      <c r="AV1529" s="211"/>
      <c r="AW1529" s="9"/>
      <c r="AX1529" s="9"/>
      <c r="AY1529" s="9"/>
      <c r="AZ1529" s="9"/>
      <c r="BA1529" s="120"/>
      <c r="BB1529" s="69"/>
      <c r="BC1529" s="9"/>
      <c r="BD1529" s="9"/>
      <c r="BE1529" s="9"/>
      <c r="BF1529" s="9"/>
      <c r="BG1529" s="9"/>
      <c r="BH1529" s="9"/>
      <c r="BI1529" s="9"/>
      <c r="BJ1529" s="9"/>
      <c r="BK1529" s="9"/>
      <c r="BL1529" s="9"/>
      <c r="BM1529" s="9"/>
      <c r="BN1529" s="9"/>
      <c r="BO1529" s="9"/>
      <c r="BP1529" s="9"/>
      <c r="BQ1529" s="9"/>
      <c r="BR1529" s="9"/>
      <c r="BS1529" s="9"/>
      <c r="BT1529" s="9"/>
      <c r="BU1529" s="9"/>
      <c r="BV1529" s="9"/>
      <c r="BW1529" s="9"/>
      <c r="BX1529" s="9"/>
      <c r="BY1529" s="9"/>
      <c r="BZ1529" s="9"/>
      <c r="CA1529" s="9"/>
      <c r="CB1529" s="9"/>
      <c r="CC1529" s="9"/>
      <c r="CD1529" s="9"/>
      <c r="CE1529" s="9"/>
      <c r="CF1529" s="9"/>
      <c r="CG1529" s="9"/>
      <c r="CH1529" s="9"/>
      <c r="CI1529" s="9"/>
      <c r="CJ1529" s="9"/>
      <c r="CK1529" s="9"/>
      <c r="CL1529" s="9"/>
      <c r="CM1529" s="9"/>
      <c r="CN1529" s="9"/>
      <c r="CO1529" s="9"/>
      <c r="CP1529" s="9"/>
    </row>
    <row r="1530" spans="1:94" ht="15.75" x14ac:dyDescent="0.25">
      <c r="A1530" s="126" t="s">
        <v>4349</v>
      </c>
      <c r="B1530" s="9" t="s">
        <v>4350</v>
      </c>
      <c r="C1530" s="9"/>
      <c r="D1530" s="9"/>
      <c r="E1530" s="9"/>
      <c r="F1530" s="9"/>
      <c r="G1530" s="9"/>
      <c r="H1530" s="9"/>
      <c r="I1530" s="9"/>
      <c r="J1530" s="9"/>
      <c r="K1530" s="9"/>
      <c r="L1530" s="9"/>
      <c r="M1530" s="9"/>
      <c r="N1530" s="9"/>
      <c r="O1530" s="9"/>
      <c r="P1530" s="9"/>
      <c r="Q1530" s="9"/>
      <c r="R1530" s="9"/>
      <c r="S1530" s="9"/>
      <c r="T1530" s="9"/>
      <c r="U1530" s="9"/>
      <c r="V1530" s="9"/>
      <c r="W1530" s="9"/>
      <c r="X1530" s="9"/>
      <c r="Y1530" s="9"/>
      <c r="Z1530" s="9"/>
      <c r="AA1530" s="9"/>
      <c r="AB1530" s="9"/>
      <c r="AC1530" s="9"/>
      <c r="AD1530" s="9"/>
      <c r="AE1530" s="9"/>
      <c r="AF1530" s="9"/>
      <c r="AG1530" s="9"/>
      <c r="AH1530" s="9"/>
      <c r="AI1530" s="9"/>
      <c r="AJ1530" s="9"/>
      <c r="AK1530" s="9"/>
      <c r="AL1530" s="9"/>
      <c r="AM1530" s="69"/>
      <c r="AN1530" s="9"/>
      <c r="AO1530" s="69" t="s">
        <v>4161</v>
      </c>
      <c r="AP1530" s="210"/>
      <c r="AQ1530" s="211"/>
      <c r="AR1530" s="211"/>
      <c r="AS1530" s="211"/>
      <c r="AT1530" s="211"/>
      <c r="AU1530" s="211"/>
      <c r="AV1530" s="211"/>
      <c r="AW1530" s="9"/>
      <c r="AX1530" s="9"/>
      <c r="AY1530" s="9"/>
      <c r="AZ1530" s="9"/>
      <c r="BA1530" s="120"/>
      <c r="BB1530" s="69"/>
      <c r="BC1530" s="9"/>
      <c r="BD1530" s="9"/>
      <c r="BE1530" s="9"/>
      <c r="BF1530" s="9"/>
      <c r="BG1530" s="9"/>
      <c r="BH1530" s="9"/>
      <c r="BI1530" s="9"/>
      <c r="BJ1530" s="9"/>
      <c r="BK1530" s="9"/>
      <c r="BL1530" s="9"/>
      <c r="BM1530" s="9"/>
      <c r="BN1530" s="9"/>
      <c r="BO1530" s="9"/>
      <c r="BP1530" s="9"/>
      <c r="BQ1530" s="9"/>
      <c r="BR1530" s="9"/>
      <c r="BS1530" s="9"/>
      <c r="BT1530" s="9"/>
      <c r="BU1530" s="9"/>
      <c r="BV1530" s="9"/>
      <c r="BW1530" s="9"/>
      <c r="BX1530" s="9"/>
      <c r="BY1530" s="9"/>
      <c r="BZ1530" s="9"/>
      <c r="CA1530" s="9"/>
      <c r="CB1530" s="9"/>
      <c r="CC1530" s="9"/>
      <c r="CD1530" s="9"/>
      <c r="CE1530" s="9"/>
      <c r="CF1530" s="9"/>
      <c r="CG1530" s="9"/>
      <c r="CH1530" s="9"/>
      <c r="CI1530" s="9"/>
      <c r="CJ1530" s="9"/>
      <c r="CK1530" s="9"/>
      <c r="CL1530" s="9"/>
      <c r="CM1530" s="9"/>
      <c r="CN1530" s="9"/>
      <c r="CO1530" s="9"/>
      <c r="CP1530" s="9"/>
    </row>
    <row r="1531" spans="1:94" ht="15.75" x14ac:dyDescent="0.25">
      <c r="A1531" s="126" t="s">
        <v>4351</v>
      </c>
      <c r="B1531" s="9" t="s">
        <v>4352</v>
      </c>
      <c r="C1531" s="9"/>
      <c r="D1531" s="9"/>
      <c r="E1531" s="9"/>
      <c r="F1531" s="9"/>
      <c r="G1531" s="9"/>
      <c r="H1531" s="9"/>
      <c r="I1531" s="9"/>
      <c r="J1531" s="9"/>
      <c r="K1531" s="9"/>
      <c r="L1531" s="9"/>
      <c r="M1531" s="9"/>
      <c r="N1531" s="9"/>
      <c r="O1531" s="9"/>
      <c r="P1531" s="9"/>
      <c r="Q1531" s="9"/>
      <c r="R1531" s="9"/>
      <c r="S1531" s="9"/>
      <c r="T1531" s="9"/>
      <c r="U1531" s="9"/>
      <c r="V1531" s="9"/>
      <c r="W1531" s="9"/>
      <c r="X1531" s="9"/>
      <c r="Y1531" s="9"/>
      <c r="Z1531" s="9"/>
      <c r="AA1531" s="9"/>
      <c r="AB1531" s="9"/>
      <c r="AC1531" s="9"/>
      <c r="AD1531" s="9"/>
      <c r="AE1531" s="9"/>
      <c r="AF1531" s="9"/>
      <c r="AG1531" s="9"/>
      <c r="AH1531" s="9"/>
      <c r="AI1531" s="9"/>
      <c r="AJ1531" s="9"/>
      <c r="AK1531" s="9"/>
      <c r="AL1531" s="9"/>
      <c r="AM1531" s="69"/>
      <c r="AN1531" s="9"/>
      <c r="AO1531" s="69" t="s">
        <v>4161</v>
      </c>
      <c r="AP1531" s="210"/>
      <c r="AQ1531" s="211"/>
      <c r="AR1531" s="211"/>
      <c r="AS1531" s="211"/>
      <c r="AT1531" s="211"/>
      <c r="AU1531" s="211"/>
      <c r="AV1531" s="211"/>
      <c r="AW1531" s="9"/>
      <c r="AX1531" s="9"/>
      <c r="AY1531" s="9"/>
      <c r="AZ1531" s="9"/>
      <c r="BA1531" s="120"/>
      <c r="BB1531" s="69"/>
      <c r="BC1531" s="9"/>
      <c r="BD1531" s="9"/>
      <c r="BE1531" s="9"/>
      <c r="BF1531" s="9"/>
      <c r="BG1531" s="9"/>
      <c r="BH1531" s="9"/>
      <c r="BI1531" s="9"/>
      <c r="BJ1531" s="9"/>
      <c r="BK1531" s="9"/>
      <c r="BL1531" s="9"/>
      <c r="BM1531" s="9"/>
      <c r="BN1531" s="9"/>
      <c r="BO1531" s="9"/>
      <c r="BP1531" s="9"/>
      <c r="BQ1531" s="9"/>
      <c r="BR1531" s="9"/>
      <c r="BS1531" s="9"/>
      <c r="BT1531" s="9"/>
      <c r="BU1531" s="9"/>
      <c r="BV1531" s="9"/>
      <c r="BW1531" s="9"/>
      <c r="BX1531" s="9"/>
      <c r="BY1531" s="9"/>
      <c r="BZ1531" s="9"/>
      <c r="CA1531" s="9"/>
      <c r="CB1531" s="9"/>
      <c r="CC1531" s="9"/>
      <c r="CD1531" s="9"/>
      <c r="CE1531" s="9"/>
      <c r="CF1531" s="9"/>
      <c r="CG1531" s="9"/>
      <c r="CH1531" s="9"/>
      <c r="CI1531" s="9"/>
      <c r="CJ1531" s="9"/>
      <c r="CK1531" s="9"/>
      <c r="CL1531" s="9"/>
      <c r="CM1531" s="9"/>
      <c r="CN1531" s="9"/>
      <c r="CO1531" s="9"/>
      <c r="CP1531" s="9"/>
    </row>
    <row r="1532" spans="1:94" ht="15.75" x14ac:dyDescent="0.25">
      <c r="A1532" s="126" t="s">
        <v>4353</v>
      </c>
      <c r="B1532" s="9" t="s">
        <v>4354</v>
      </c>
      <c r="C1532" s="9"/>
      <c r="D1532" s="9"/>
      <c r="E1532" s="9"/>
      <c r="F1532" s="9"/>
      <c r="G1532" s="9"/>
      <c r="H1532" s="9"/>
      <c r="I1532" s="9"/>
      <c r="J1532" s="9"/>
      <c r="K1532" s="9"/>
      <c r="L1532" s="9"/>
      <c r="M1532" s="9"/>
      <c r="N1532" s="9"/>
      <c r="O1532" s="9"/>
      <c r="P1532" s="9"/>
      <c r="Q1532" s="9"/>
      <c r="R1532" s="9"/>
      <c r="S1532" s="9"/>
      <c r="T1532" s="9"/>
      <c r="U1532" s="9"/>
      <c r="V1532" s="9"/>
      <c r="W1532" s="9"/>
      <c r="X1532" s="9"/>
      <c r="Y1532" s="9"/>
      <c r="Z1532" s="9"/>
      <c r="AA1532" s="9"/>
      <c r="AB1532" s="9"/>
      <c r="AC1532" s="9"/>
      <c r="AD1532" s="9"/>
      <c r="AE1532" s="9"/>
      <c r="AF1532" s="9"/>
      <c r="AG1532" s="9"/>
      <c r="AH1532" s="9"/>
      <c r="AI1532" s="9"/>
      <c r="AJ1532" s="9"/>
      <c r="AK1532" s="9"/>
      <c r="AL1532" s="9"/>
      <c r="AM1532" s="69"/>
      <c r="AN1532" s="9"/>
      <c r="AO1532" s="69" t="s">
        <v>4161</v>
      </c>
      <c r="AP1532" s="210"/>
      <c r="AQ1532" s="211"/>
      <c r="AR1532" s="211"/>
      <c r="AS1532" s="211"/>
      <c r="AT1532" s="211"/>
      <c r="AU1532" s="211"/>
      <c r="AV1532" s="211"/>
      <c r="AW1532" s="9"/>
      <c r="AX1532" s="9"/>
      <c r="AY1532" s="9"/>
      <c r="AZ1532" s="9"/>
      <c r="BA1532" s="120"/>
      <c r="BB1532" s="69"/>
      <c r="BC1532" s="9"/>
      <c r="BD1532" s="9"/>
      <c r="BE1532" s="9"/>
      <c r="BF1532" s="9"/>
      <c r="BG1532" s="9"/>
      <c r="BH1532" s="9"/>
      <c r="BI1532" s="9"/>
      <c r="BJ1532" s="9"/>
      <c r="BK1532" s="9"/>
      <c r="BL1532" s="9"/>
      <c r="BM1532" s="9"/>
      <c r="BN1532" s="9"/>
      <c r="BO1532" s="9"/>
      <c r="BP1532" s="9"/>
      <c r="BQ1532" s="9"/>
      <c r="BR1532" s="9"/>
      <c r="BS1532" s="9"/>
      <c r="BT1532" s="9"/>
      <c r="BU1532" s="9"/>
      <c r="BV1532" s="9"/>
      <c r="BW1532" s="9"/>
      <c r="BX1532" s="9"/>
      <c r="BY1532" s="9"/>
      <c r="BZ1532" s="9"/>
      <c r="CA1532" s="9"/>
      <c r="CB1532" s="9"/>
      <c r="CC1532" s="9"/>
      <c r="CD1532" s="9"/>
      <c r="CE1532" s="9"/>
      <c r="CF1532" s="9"/>
      <c r="CG1532" s="9"/>
      <c r="CH1532" s="9"/>
      <c r="CI1532" s="9"/>
      <c r="CJ1532" s="9"/>
      <c r="CK1532" s="9"/>
      <c r="CL1532" s="9"/>
      <c r="CM1532" s="9"/>
      <c r="CN1532" s="9"/>
      <c r="CO1532" s="9"/>
      <c r="CP1532" s="9"/>
    </row>
    <row r="1533" spans="1:94" ht="15.75" x14ac:dyDescent="0.25">
      <c r="A1533" s="126" t="s">
        <v>4355</v>
      </c>
      <c r="B1533" s="9" t="s">
        <v>4356</v>
      </c>
      <c r="C1533" s="9"/>
      <c r="D1533" s="9"/>
      <c r="E1533" s="9"/>
      <c r="F1533" s="9"/>
      <c r="G1533" s="9"/>
      <c r="H1533" s="9"/>
      <c r="I1533" s="9"/>
      <c r="J1533" s="9"/>
      <c r="K1533" s="9"/>
      <c r="L1533" s="9"/>
      <c r="M1533" s="9"/>
      <c r="N1533" s="9"/>
      <c r="O1533" s="9"/>
      <c r="P1533" s="9"/>
      <c r="Q1533" s="9"/>
      <c r="R1533" s="9"/>
      <c r="S1533" s="9"/>
      <c r="T1533" s="9"/>
      <c r="U1533" s="9"/>
      <c r="V1533" s="9"/>
      <c r="W1533" s="9"/>
      <c r="X1533" s="9"/>
      <c r="Y1533" s="9"/>
      <c r="Z1533" s="9"/>
      <c r="AA1533" s="9"/>
      <c r="AB1533" s="9"/>
      <c r="AC1533" s="9"/>
      <c r="AD1533" s="9"/>
      <c r="AE1533" s="9"/>
      <c r="AF1533" s="9"/>
      <c r="AG1533" s="9"/>
      <c r="AH1533" s="9"/>
      <c r="AI1533" s="9"/>
      <c r="AJ1533" s="9"/>
      <c r="AK1533" s="9"/>
      <c r="AL1533" s="9"/>
      <c r="AM1533" s="69"/>
      <c r="AN1533" s="9"/>
      <c r="AO1533" s="69" t="s">
        <v>4161</v>
      </c>
      <c r="AP1533" s="210"/>
      <c r="AQ1533" s="211"/>
      <c r="AR1533" s="211"/>
      <c r="AS1533" s="211"/>
      <c r="AT1533" s="211"/>
      <c r="AU1533" s="211"/>
      <c r="AV1533" s="211"/>
      <c r="AW1533" s="9"/>
      <c r="AX1533" s="9"/>
      <c r="AY1533" s="9"/>
      <c r="AZ1533" s="9"/>
      <c r="BA1533" s="120"/>
      <c r="BB1533" s="69"/>
      <c r="BC1533" s="9"/>
      <c r="BD1533" s="9"/>
      <c r="BE1533" s="9"/>
      <c r="BF1533" s="9"/>
      <c r="BG1533" s="9"/>
      <c r="BH1533" s="9"/>
      <c r="BI1533" s="9"/>
      <c r="BJ1533" s="9"/>
      <c r="BK1533" s="9"/>
      <c r="BL1533" s="9"/>
      <c r="BM1533" s="9"/>
      <c r="BN1533" s="9"/>
      <c r="BO1533" s="9"/>
      <c r="BP1533" s="9"/>
      <c r="BQ1533" s="9"/>
      <c r="BR1533" s="9"/>
      <c r="BS1533" s="9"/>
      <c r="BT1533" s="9"/>
      <c r="BU1533" s="9"/>
      <c r="BV1533" s="9"/>
      <c r="BW1533" s="9"/>
      <c r="BX1533" s="9"/>
      <c r="BY1533" s="9"/>
      <c r="BZ1533" s="9"/>
      <c r="CA1533" s="9"/>
      <c r="CB1533" s="9"/>
      <c r="CC1533" s="9"/>
      <c r="CD1533" s="9"/>
      <c r="CE1533" s="9"/>
      <c r="CF1533" s="9"/>
      <c r="CG1533" s="9"/>
      <c r="CH1533" s="9"/>
      <c r="CI1533" s="9"/>
      <c r="CJ1533" s="9"/>
      <c r="CK1533" s="9"/>
      <c r="CL1533" s="9"/>
      <c r="CM1533" s="9"/>
      <c r="CN1533" s="9"/>
      <c r="CO1533" s="9"/>
      <c r="CP1533" s="9"/>
    </row>
    <row r="1534" spans="1:94" ht="15.75" x14ac:dyDescent="0.25">
      <c r="A1534" s="126" t="s">
        <v>4357</v>
      </c>
      <c r="B1534" s="9" t="s">
        <v>4358</v>
      </c>
      <c r="C1534" s="9"/>
      <c r="D1534" s="9"/>
      <c r="E1534" s="9"/>
      <c r="F1534" s="9"/>
      <c r="G1534" s="9"/>
      <c r="H1534" s="9"/>
      <c r="I1534" s="9"/>
      <c r="J1534" s="9"/>
      <c r="K1534" s="9"/>
      <c r="L1534" s="9"/>
      <c r="M1534" s="9"/>
      <c r="N1534" s="9"/>
      <c r="O1534" s="9"/>
      <c r="P1534" s="9"/>
      <c r="Q1534" s="9"/>
      <c r="R1534" s="9"/>
      <c r="S1534" s="9"/>
      <c r="T1534" s="9"/>
      <c r="U1534" s="9"/>
      <c r="V1534" s="9"/>
      <c r="W1534" s="9"/>
      <c r="X1534" s="9"/>
      <c r="Y1534" s="9"/>
      <c r="Z1534" s="9"/>
      <c r="AA1534" s="9"/>
      <c r="AB1534" s="9"/>
      <c r="AC1534" s="9"/>
      <c r="AD1534" s="9"/>
      <c r="AE1534" s="9"/>
      <c r="AF1534" s="9"/>
      <c r="AG1534" s="9"/>
      <c r="AH1534" s="9"/>
      <c r="AI1534" s="9"/>
      <c r="AJ1534" s="9"/>
      <c r="AK1534" s="9"/>
      <c r="AL1534" s="9"/>
      <c r="AM1534" s="69"/>
      <c r="AN1534" s="9"/>
      <c r="AO1534" s="69" t="s">
        <v>4161</v>
      </c>
      <c r="AP1534" s="210"/>
      <c r="AQ1534" s="211"/>
      <c r="AR1534" s="211"/>
      <c r="AS1534" s="211"/>
      <c r="AT1534" s="211"/>
      <c r="AU1534" s="211"/>
      <c r="AV1534" s="211"/>
      <c r="AW1534" s="9"/>
      <c r="AX1534" s="9"/>
      <c r="AY1534" s="9"/>
      <c r="AZ1534" s="9"/>
      <c r="BA1534" s="120"/>
      <c r="BB1534" s="69"/>
      <c r="BC1534" s="9"/>
      <c r="BD1534" s="9"/>
      <c r="BE1534" s="9"/>
      <c r="BF1534" s="9"/>
      <c r="BG1534" s="9"/>
      <c r="BH1534" s="9"/>
      <c r="BI1534" s="9"/>
      <c r="BJ1534" s="9"/>
      <c r="BK1534" s="9"/>
      <c r="BL1534" s="9"/>
      <c r="BM1534" s="9"/>
      <c r="BN1534" s="9"/>
      <c r="BO1534" s="9"/>
      <c r="BP1534" s="9"/>
      <c r="BQ1534" s="9"/>
      <c r="BR1534" s="9"/>
      <c r="BS1534" s="9"/>
      <c r="BT1534" s="9"/>
      <c r="BU1534" s="9"/>
      <c r="BV1534" s="9"/>
      <c r="BW1534" s="9"/>
      <c r="BX1534" s="9"/>
      <c r="BY1534" s="9"/>
      <c r="BZ1534" s="9"/>
      <c r="CA1534" s="9"/>
      <c r="CB1534" s="9"/>
      <c r="CC1534" s="9"/>
      <c r="CD1534" s="9"/>
      <c r="CE1534" s="9"/>
      <c r="CF1534" s="9"/>
      <c r="CG1534" s="9"/>
      <c r="CH1534" s="9"/>
      <c r="CI1534" s="9"/>
      <c r="CJ1534" s="9"/>
      <c r="CK1534" s="9"/>
      <c r="CL1534" s="9"/>
      <c r="CM1534" s="9"/>
      <c r="CN1534" s="9"/>
      <c r="CO1534" s="9"/>
      <c r="CP1534" s="9"/>
    </row>
    <row r="1535" spans="1:94" x14ac:dyDescent="0.25">
      <c r="A1535" s="9" t="s">
        <v>4359</v>
      </c>
      <c r="B1535" s="9" t="s">
        <v>4360</v>
      </c>
      <c r="C1535" s="9"/>
      <c r="D1535" s="9"/>
      <c r="E1535" s="9"/>
      <c r="F1535" s="9"/>
      <c r="G1535" s="9"/>
      <c r="H1535" s="9"/>
      <c r="I1535" s="9"/>
      <c r="J1535" s="9"/>
      <c r="K1535" s="9"/>
      <c r="L1535" s="9"/>
      <c r="M1535" s="9"/>
      <c r="N1535" s="9"/>
      <c r="O1535" s="9"/>
      <c r="P1535" s="9"/>
      <c r="Q1535" s="9"/>
      <c r="R1535" s="9"/>
      <c r="S1535" s="9"/>
      <c r="T1535" s="9"/>
      <c r="U1535" s="9"/>
      <c r="V1535" s="9"/>
      <c r="W1535" s="9"/>
      <c r="X1535" s="9"/>
      <c r="Y1535" s="9"/>
      <c r="Z1535" s="9"/>
      <c r="AA1535" s="9"/>
      <c r="AB1535" s="9"/>
      <c r="AC1535" s="9"/>
      <c r="AD1535" s="9"/>
      <c r="AE1535" s="9"/>
      <c r="AF1535" s="9"/>
      <c r="AG1535" s="9"/>
      <c r="AH1535" s="9"/>
      <c r="AI1535" s="9"/>
      <c r="AJ1535" s="9"/>
      <c r="AK1535" s="9"/>
      <c r="AL1535" s="9"/>
      <c r="AM1535" s="69"/>
      <c r="AN1535" s="9"/>
      <c r="AO1535" s="69" t="s">
        <v>4161</v>
      </c>
      <c r="AP1535" s="210"/>
      <c r="AQ1535" s="211"/>
      <c r="AR1535" s="211"/>
      <c r="AS1535" s="211"/>
      <c r="AT1535" s="211"/>
      <c r="AU1535" s="211"/>
      <c r="AV1535" s="211"/>
      <c r="AW1535" s="9"/>
      <c r="AX1535" s="9"/>
      <c r="AY1535" s="9"/>
      <c r="AZ1535" s="9"/>
      <c r="BA1535" s="120"/>
      <c r="BB1535" s="69"/>
      <c r="BC1535" s="9"/>
      <c r="BD1535" s="9"/>
      <c r="BE1535" s="9"/>
      <c r="BF1535" s="9"/>
      <c r="BG1535" s="9"/>
      <c r="BH1535" s="9"/>
      <c r="BI1535" s="9"/>
      <c r="BJ1535" s="9"/>
      <c r="BK1535" s="9"/>
      <c r="BL1535" s="9"/>
      <c r="BM1535" s="9"/>
      <c r="BN1535" s="9"/>
      <c r="BO1535" s="9"/>
      <c r="BP1535" s="9"/>
      <c r="BQ1535" s="9"/>
      <c r="BR1535" s="9"/>
      <c r="BS1535" s="9"/>
      <c r="BT1535" s="9"/>
      <c r="BU1535" s="9"/>
      <c r="BV1535" s="9"/>
      <c r="BW1535" s="9"/>
      <c r="BX1535" s="9"/>
      <c r="BY1535" s="9"/>
      <c r="BZ1535" s="9"/>
      <c r="CA1535" s="9"/>
      <c r="CB1535" s="9"/>
      <c r="CC1535" s="9"/>
      <c r="CD1535" s="9"/>
      <c r="CE1535" s="9"/>
      <c r="CF1535" s="9"/>
      <c r="CG1535" s="9"/>
      <c r="CH1535" s="9"/>
      <c r="CI1535" s="9"/>
      <c r="CJ1535" s="9"/>
      <c r="CK1535" s="9"/>
      <c r="CL1535" s="9"/>
      <c r="CM1535" s="9"/>
      <c r="CN1535" s="9"/>
      <c r="CO1535" s="9"/>
      <c r="CP1535" s="9"/>
    </row>
    <row r="1536" spans="1:94" ht="15.75" x14ac:dyDescent="0.25">
      <c r="A1536" s="126" t="s">
        <v>4361</v>
      </c>
      <c r="B1536" s="9" t="s">
        <v>4362</v>
      </c>
      <c r="C1536" s="9"/>
      <c r="D1536" s="9"/>
      <c r="E1536" s="9"/>
      <c r="F1536" s="9"/>
      <c r="G1536" s="9"/>
      <c r="H1536" s="9"/>
      <c r="I1536" s="9"/>
      <c r="J1536" s="9"/>
      <c r="K1536" s="9"/>
      <c r="L1536" s="9"/>
      <c r="M1536" s="9"/>
      <c r="N1536" s="9"/>
      <c r="O1536" s="9"/>
      <c r="P1536" s="9"/>
      <c r="Q1536" s="9"/>
      <c r="R1536" s="9"/>
      <c r="S1536" s="9"/>
      <c r="T1536" s="9"/>
      <c r="U1536" s="9"/>
      <c r="V1536" s="9"/>
      <c r="W1536" s="9"/>
      <c r="X1536" s="9"/>
      <c r="Y1536" s="9"/>
      <c r="Z1536" s="9"/>
      <c r="AA1536" s="9"/>
      <c r="AB1536" s="9"/>
      <c r="AC1536" s="9"/>
      <c r="AD1536" s="9"/>
      <c r="AE1536" s="9"/>
      <c r="AF1536" s="9"/>
      <c r="AG1536" s="9"/>
      <c r="AH1536" s="9"/>
      <c r="AI1536" s="9"/>
      <c r="AJ1536" s="9"/>
      <c r="AK1536" s="9"/>
      <c r="AL1536" s="9"/>
      <c r="AM1536" s="69"/>
      <c r="AN1536" s="9"/>
      <c r="AO1536" s="69" t="s">
        <v>4161</v>
      </c>
      <c r="AP1536" s="210"/>
      <c r="AQ1536" s="211"/>
      <c r="AR1536" s="211"/>
      <c r="AS1536" s="211"/>
      <c r="AT1536" s="211"/>
      <c r="AU1536" s="211"/>
      <c r="AV1536" s="211"/>
      <c r="AW1536" s="9"/>
      <c r="AX1536" s="9"/>
      <c r="AY1536" s="9"/>
      <c r="AZ1536" s="9"/>
      <c r="BA1536" s="120"/>
      <c r="BB1536" s="69"/>
      <c r="BC1536" s="9"/>
      <c r="BD1536" s="9"/>
      <c r="BE1536" s="9"/>
      <c r="BF1536" s="9"/>
      <c r="BG1536" s="9"/>
      <c r="BH1536" s="9"/>
      <c r="BI1536" s="9"/>
      <c r="BJ1536" s="9"/>
      <c r="BK1536" s="9"/>
      <c r="BL1536" s="9"/>
      <c r="BM1536" s="9"/>
      <c r="BN1536" s="9"/>
      <c r="BO1536" s="9"/>
      <c r="BP1536" s="9"/>
      <c r="BQ1536" s="9"/>
      <c r="BR1536" s="9"/>
      <c r="BS1536" s="9"/>
      <c r="BT1536" s="9"/>
      <c r="BU1536" s="9"/>
      <c r="BV1536" s="9"/>
      <c r="BW1536" s="9"/>
      <c r="BX1536" s="9"/>
      <c r="BY1536" s="9"/>
      <c r="BZ1536" s="9"/>
      <c r="CA1536" s="9"/>
      <c r="CB1536" s="9"/>
      <c r="CC1536" s="9"/>
      <c r="CD1536" s="9"/>
      <c r="CE1536" s="9"/>
      <c r="CF1536" s="9"/>
      <c r="CG1536" s="9"/>
      <c r="CH1536" s="9"/>
      <c r="CI1536" s="9"/>
      <c r="CJ1536" s="9"/>
      <c r="CK1536" s="9"/>
      <c r="CL1536" s="9"/>
      <c r="CM1536" s="9"/>
      <c r="CN1536" s="9"/>
      <c r="CO1536" s="9"/>
      <c r="CP1536" s="9"/>
    </row>
    <row r="1537" spans="1:94" ht="15.75" x14ac:dyDescent="0.25">
      <c r="A1537" s="126" t="s">
        <v>4363</v>
      </c>
      <c r="B1537" s="9" t="s">
        <v>4364</v>
      </c>
      <c r="C1537" s="9"/>
      <c r="D1537" s="9"/>
      <c r="E1537" s="9"/>
      <c r="F1537" s="9"/>
      <c r="G1537" s="9"/>
      <c r="H1537" s="9"/>
      <c r="I1537" s="9"/>
      <c r="J1537" s="9"/>
      <c r="K1537" s="9"/>
      <c r="L1537" s="9"/>
      <c r="M1537" s="9"/>
      <c r="N1537" s="9"/>
      <c r="O1537" s="9"/>
      <c r="P1537" s="9"/>
      <c r="Q1537" s="9"/>
      <c r="R1537" s="9"/>
      <c r="S1537" s="9"/>
      <c r="T1537" s="9"/>
      <c r="U1537" s="9"/>
      <c r="V1537" s="9"/>
      <c r="W1537" s="9"/>
      <c r="X1537" s="9"/>
      <c r="Y1537" s="9"/>
      <c r="Z1537" s="9"/>
      <c r="AA1537" s="9"/>
      <c r="AB1537" s="9"/>
      <c r="AC1537" s="9"/>
      <c r="AD1537" s="9"/>
      <c r="AE1537" s="9"/>
      <c r="AF1537" s="9"/>
      <c r="AG1537" s="9"/>
      <c r="AH1537" s="9"/>
      <c r="AI1537" s="9"/>
      <c r="AJ1537" s="9"/>
      <c r="AK1537" s="9"/>
      <c r="AL1537" s="9"/>
      <c r="AM1537" s="69"/>
      <c r="AN1537" s="9"/>
      <c r="AO1537" s="69" t="s">
        <v>4161</v>
      </c>
      <c r="AP1537" s="210"/>
      <c r="AQ1537" s="211"/>
      <c r="AR1537" s="211"/>
      <c r="AS1537" s="211"/>
      <c r="AT1537" s="211"/>
      <c r="AU1537" s="211"/>
      <c r="AV1537" s="211"/>
      <c r="AW1537" s="9"/>
      <c r="AX1537" s="9"/>
      <c r="AY1537" s="9"/>
      <c r="AZ1537" s="9"/>
      <c r="BA1537" s="120"/>
      <c r="BB1537" s="69"/>
      <c r="BC1537" s="9"/>
      <c r="BD1537" s="9"/>
      <c r="BE1537" s="9"/>
      <c r="BF1537" s="9"/>
      <c r="BG1537" s="9"/>
      <c r="BH1537" s="9"/>
      <c r="BI1537" s="9"/>
      <c r="BJ1537" s="9"/>
      <c r="BK1537" s="9"/>
      <c r="BL1537" s="9"/>
      <c r="BM1537" s="9"/>
      <c r="BN1537" s="9"/>
      <c r="BO1537" s="9"/>
      <c r="BP1537" s="9"/>
      <c r="BQ1537" s="9"/>
      <c r="BR1537" s="9"/>
      <c r="BS1537" s="9"/>
      <c r="BT1537" s="9"/>
      <c r="BU1537" s="9"/>
      <c r="BV1537" s="9"/>
      <c r="BW1537" s="9"/>
      <c r="BX1537" s="9"/>
      <c r="BY1537" s="9"/>
      <c r="BZ1537" s="9"/>
      <c r="CA1537" s="9"/>
      <c r="CB1537" s="9"/>
      <c r="CC1537" s="9"/>
      <c r="CD1537" s="9"/>
      <c r="CE1537" s="9"/>
      <c r="CF1537" s="9"/>
      <c r="CG1537" s="9"/>
      <c r="CH1537" s="9"/>
      <c r="CI1537" s="9"/>
      <c r="CJ1537" s="9"/>
      <c r="CK1537" s="9"/>
      <c r="CL1537" s="9"/>
      <c r="CM1537" s="9"/>
      <c r="CN1537" s="9"/>
      <c r="CO1537" s="9"/>
      <c r="CP1537" s="9"/>
    </row>
    <row r="1538" spans="1:94" x14ac:dyDescent="0.25">
      <c r="A1538" s="9" t="s">
        <v>4365</v>
      </c>
      <c r="B1538" s="9" t="s">
        <v>4366</v>
      </c>
      <c r="C1538" s="9"/>
      <c r="D1538" s="9"/>
      <c r="E1538" s="9"/>
      <c r="F1538" s="9"/>
      <c r="G1538" s="9"/>
      <c r="H1538" s="9"/>
      <c r="I1538" s="9"/>
      <c r="J1538" s="9"/>
      <c r="K1538" s="9"/>
      <c r="L1538" s="9"/>
      <c r="M1538" s="9"/>
      <c r="N1538" s="9"/>
      <c r="O1538" s="9"/>
      <c r="P1538" s="9"/>
      <c r="Q1538" s="9"/>
      <c r="R1538" s="9"/>
      <c r="S1538" s="9"/>
      <c r="T1538" s="9"/>
      <c r="U1538" s="9"/>
      <c r="V1538" s="9"/>
      <c r="W1538" s="9"/>
      <c r="X1538" s="9"/>
      <c r="Y1538" s="9"/>
      <c r="Z1538" s="9"/>
      <c r="AA1538" s="9"/>
      <c r="AB1538" s="9"/>
      <c r="AC1538" s="9"/>
      <c r="AD1538" s="9"/>
      <c r="AE1538" s="9"/>
      <c r="AF1538" s="9"/>
      <c r="AG1538" s="9"/>
      <c r="AH1538" s="9"/>
      <c r="AI1538" s="9"/>
      <c r="AJ1538" s="9"/>
      <c r="AK1538" s="9"/>
      <c r="AL1538" s="9"/>
      <c r="AM1538" s="69"/>
      <c r="AN1538" s="9"/>
      <c r="AO1538" s="69" t="s">
        <v>4161</v>
      </c>
      <c r="AP1538" s="210"/>
      <c r="AQ1538" s="211"/>
      <c r="AR1538" s="211"/>
      <c r="AS1538" s="211"/>
      <c r="AT1538" s="211"/>
      <c r="AU1538" s="211"/>
      <c r="AV1538" s="211"/>
      <c r="AW1538" s="9"/>
      <c r="AX1538" s="9"/>
      <c r="AY1538" s="9"/>
      <c r="AZ1538" s="9"/>
      <c r="BA1538" s="120"/>
      <c r="BB1538" s="69"/>
      <c r="BC1538" s="9"/>
      <c r="BD1538" s="9"/>
      <c r="BE1538" s="9"/>
      <c r="BF1538" s="9"/>
      <c r="BG1538" s="9"/>
      <c r="BH1538" s="9"/>
      <c r="BI1538" s="9"/>
      <c r="BJ1538" s="9"/>
      <c r="BK1538" s="9"/>
      <c r="BL1538" s="9"/>
      <c r="BM1538" s="9"/>
      <c r="BN1538" s="9"/>
      <c r="BO1538" s="9"/>
      <c r="BP1538" s="9"/>
      <c r="BQ1538" s="9"/>
      <c r="BR1538" s="9"/>
      <c r="BS1538" s="9"/>
      <c r="BT1538" s="9"/>
      <c r="BU1538" s="9"/>
      <c r="BV1538" s="9"/>
      <c r="BW1538" s="9"/>
      <c r="BX1538" s="9"/>
      <c r="BY1538" s="9"/>
      <c r="BZ1538" s="9"/>
      <c r="CA1538" s="9"/>
      <c r="CB1538" s="9"/>
      <c r="CC1538" s="9"/>
      <c r="CD1538" s="9"/>
      <c r="CE1538" s="9"/>
      <c r="CF1538" s="9"/>
      <c r="CG1538" s="9"/>
      <c r="CH1538" s="9"/>
      <c r="CI1538" s="9"/>
      <c r="CJ1538" s="9"/>
      <c r="CK1538" s="9"/>
      <c r="CL1538" s="9"/>
      <c r="CM1538" s="9"/>
      <c r="CN1538" s="9"/>
      <c r="CO1538" s="9"/>
      <c r="CP1538" s="9"/>
    </row>
    <row r="1539" spans="1:94" x14ac:dyDescent="0.25">
      <c r="A1539" s="9" t="s">
        <v>4367</v>
      </c>
      <c r="B1539" s="9" t="s">
        <v>4368</v>
      </c>
      <c r="C1539" s="9"/>
      <c r="D1539" s="9"/>
      <c r="E1539" s="9"/>
      <c r="F1539" s="9"/>
      <c r="G1539" s="9"/>
      <c r="H1539" s="9"/>
      <c r="I1539" s="9"/>
      <c r="J1539" s="9"/>
      <c r="K1539" s="9"/>
      <c r="L1539" s="9"/>
      <c r="M1539" s="9"/>
      <c r="N1539" s="9"/>
      <c r="O1539" s="9"/>
      <c r="P1539" s="9"/>
      <c r="Q1539" s="9"/>
      <c r="R1539" s="9"/>
      <c r="S1539" s="9"/>
      <c r="T1539" s="9"/>
      <c r="U1539" s="9"/>
      <c r="V1539" s="9"/>
      <c r="W1539" s="9"/>
      <c r="X1539" s="9"/>
      <c r="Y1539" s="9"/>
      <c r="Z1539" s="9"/>
      <c r="AA1539" s="9"/>
      <c r="AB1539" s="9"/>
      <c r="AC1539" s="9"/>
      <c r="AD1539" s="9"/>
      <c r="AE1539" s="9"/>
      <c r="AF1539" s="9"/>
      <c r="AG1539" s="9"/>
      <c r="AH1539" s="9"/>
      <c r="AI1539" s="9"/>
      <c r="AJ1539" s="9"/>
      <c r="AK1539" s="9"/>
      <c r="AL1539" s="9"/>
      <c r="AM1539" s="69"/>
      <c r="AN1539" s="9"/>
      <c r="AO1539" s="69" t="s">
        <v>4161</v>
      </c>
      <c r="AP1539" s="210"/>
      <c r="AQ1539" s="211"/>
      <c r="AR1539" s="211"/>
      <c r="AS1539" s="211"/>
      <c r="AT1539" s="211"/>
      <c r="AU1539" s="211"/>
      <c r="AV1539" s="211"/>
      <c r="AW1539" s="9"/>
      <c r="AX1539" s="9"/>
      <c r="AY1539" s="9"/>
      <c r="AZ1539" s="9"/>
      <c r="BA1539" s="120"/>
      <c r="BB1539" s="69"/>
      <c r="BC1539" s="9"/>
      <c r="BD1539" s="9"/>
      <c r="BE1539" s="9"/>
      <c r="BF1539" s="9"/>
      <c r="BG1539" s="9"/>
      <c r="BH1539" s="9"/>
      <c r="BI1539" s="9"/>
      <c r="BJ1539" s="9"/>
      <c r="BK1539" s="9"/>
      <c r="BL1539" s="9"/>
      <c r="BM1539" s="9"/>
      <c r="BN1539" s="9"/>
      <c r="BO1539" s="9"/>
      <c r="BP1539" s="9"/>
      <c r="BQ1539" s="9"/>
      <c r="BR1539" s="9"/>
      <c r="BS1539" s="9"/>
      <c r="BT1539" s="9"/>
      <c r="BU1539" s="9"/>
      <c r="BV1539" s="9"/>
      <c r="BW1539" s="9"/>
      <c r="BX1539" s="9"/>
      <c r="BY1539" s="9"/>
      <c r="BZ1539" s="9"/>
      <c r="CA1539" s="9"/>
      <c r="CB1539" s="9"/>
      <c r="CC1539" s="9"/>
      <c r="CD1539" s="9"/>
      <c r="CE1539" s="9"/>
      <c r="CF1539" s="9"/>
      <c r="CG1539" s="9"/>
      <c r="CH1539" s="9"/>
      <c r="CI1539" s="9"/>
      <c r="CJ1539" s="9"/>
      <c r="CK1539" s="9"/>
      <c r="CL1539" s="9"/>
      <c r="CM1539" s="9"/>
      <c r="CN1539" s="9"/>
      <c r="CO1539" s="9"/>
      <c r="CP1539" s="9"/>
    </row>
    <row r="1540" spans="1:94" x14ac:dyDescent="0.25">
      <c r="A1540" s="9" t="s">
        <v>4369</v>
      </c>
      <c r="B1540" s="9" t="s">
        <v>4370</v>
      </c>
      <c r="C1540" s="9"/>
      <c r="D1540" s="9"/>
      <c r="E1540" s="9"/>
      <c r="F1540" s="9"/>
      <c r="G1540" s="9"/>
      <c r="H1540" s="9"/>
      <c r="I1540" s="9"/>
      <c r="J1540" s="9"/>
      <c r="K1540" s="9"/>
      <c r="L1540" s="9"/>
      <c r="M1540" s="9"/>
      <c r="N1540" s="9"/>
      <c r="O1540" s="9"/>
      <c r="P1540" s="9"/>
      <c r="Q1540" s="9"/>
      <c r="R1540" s="9"/>
      <c r="S1540" s="9"/>
      <c r="T1540" s="9"/>
      <c r="U1540" s="9"/>
      <c r="V1540" s="9"/>
      <c r="W1540" s="9"/>
      <c r="X1540" s="9"/>
      <c r="Y1540" s="9"/>
      <c r="Z1540" s="9"/>
      <c r="AA1540" s="9"/>
      <c r="AB1540" s="9"/>
      <c r="AC1540" s="9"/>
      <c r="AD1540" s="9"/>
      <c r="AE1540" s="9"/>
      <c r="AF1540" s="9"/>
      <c r="AG1540" s="9"/>
      <c r="AH1540" s="9"/>
      <c r="AI1540" s="9"/>
      <c r="AJ1540" s="9"/>
      <c r="AK1540" s="9"/>
      <c r="AL1540" s="9"/>
      <c r="AM1540" s="69"/>
      <c r="AN1540" s="9"/>
      <c r="AO1540" s="69" t="s">
        <v>4161</v>
      </c>
      <c r="AP1540" s="210"/>
      <c r="AQ1540" s="211"/>
      <c r="AR1540" s="211"/>
      <c r="AS1540" s="211"/>
      <c r="AT1540" s="211"/>
      <c r="AU1540" s="211"/>
      <c r="AV1540" s="211"/>
      <c r="AW1540" s="9"/>
      <c r="AX1540" s="9"/>
      <c r="AY1540" s="9"/>
      <c r="AZ1540" s="9"/>
      <c r="BA1540" s="120"/>
      <c r="BB1540" s="69"/>
      <c r="BC1540" s="9"/>
      <c r="BD1540" s="9"/>
      <c r="BE1540" s="9"/>
      <c r="BF1540" s="9"/>
      <c r="BG1540" s="9"/>
      <c r="BH1540" s="9"/>
      <c r="BI1540" s="9"/>
      <c r="BJ1540" s="9"/>
      <c r="BK1540" s="9"/>
      <c r="BL1540" s="9"/>
      <c r="BM1540" s="9"/>
      <c r="BN1540" s="9"/>
      <c r="BO1540" s="9"/>
      <c r="BP1540" s="9"/>
      <c r="BQ1540" s="9"/>
      <c r="BR1540" s="9"/>
      <c r="BS1540" s="9"/>
      <c r="BT1540" s="9"/>
      <c r="BU1540" s="9"/>
      <c r="BV1540" s="9"/>
      <c r="BW1540" s="9"/>
      <c r="BX1540" s="9"/>
      <c r="BY1540" s="9"/>
      <c r="BZ1540" s="9"/>
      <c r="CA1540" s="9"/>
      <c r="CB1540" s="9"/>
      <c r="CC1540" s="9"/>
      <c r="CD1540" s="9"/>
      <c r="CE1540" s="9"/>
      <c r="CF1540" s="9"/>
      <c r="CG1540" s="9"/>
      <c r="CH1540" s="9"/>
      <c r="CI1540" s="9"/>
      <c r="CJ1540" s="9"/>
      <c r="CK1540" s="9"/>
      <c r="CL1540" s="9"/>
      <c r="CM1540" s="9"/>
      <c r="CN1540" s="9"/>
      <c r="CO1540" s="9"/>
      <c r="CP1540" s="9"/>
    </row>
    <row r="1541" spans="1:94" x14ac:dyDescent="0.25">
      <c r="A1541" s="9" t="s">
        <v>4371</v>
      </c>
      <c r="B1541" s="9" t="s">
        <v>4372</v>
      </c>
      <c r="C1541" s="9"/>
      <c r="D1541" s="9"/>
      <c r="E1541" s="9"/>
      <c r="F1541" s="9"/>
      <c r="G1541" s="9"/>
      <c r="H1541" s="9"/>
      <c r="I1541" s="9"/>
      <c r="J1541" s="9"/>
      <c r="K1541" s="9"/>
      <c r="L1541" s="9"/>
      <c r="M1541" s="9"/>
      <c r="N1541" s="9"/>
      <c r="O1541" s="9"/>
      <c r="P1541" s="9"/>
      <c r="Q1541" s="9"/>
      <c r="R1541" s="9"/>
      <c r="S1541" s="9"/>
      <c r="T1541" s="9"/>
      <c r="U1541" s="9"/>
      <c r="V1541" s="9"/>
      <c r="W1541" s="9"/>
      <c r="X1541" s="9"/>
      <c r="Y1541" s="9"/>
      <c r="Z1541" s="9"/>
      <c r="AA1541" s="9"/>
      <c r="AB1541" s="9"/>
      <c r="AC1541" s="9"/>
      <c r="AD1541" s="9"/>
      <c r="AE1541" s="9"/>
      <c r="AF1541" s="9"/>
      <c r="AG1541" s="9"/>
      <c r="AH1541" s="9"/>
      <c r="AI1541" s="9"/>
      <c r="AJ1541" s="9"/>
      <c r="AK1541" s="9"/>
      <c r="AL1541" s="9"/>
      <c r="AM1541" s="69"/>
      <c r="AN1541" s="9"/>
      <c r="AO1541" s="69" t="s">
        <v>4161</v>
      </c>
      <c r="AP1541" s="210"/>
      <c r="AQ1541" s="211"/>
      <c r="AR1541" s="211"/>
      <c r="AS1541" s="211"/>
      <c r="AT1541" s="211"/>
      <c r="AU1541" s="211"/>
      <c r="AV1541" s="211"/>
      <c r="AW1541" s="9"/>
      <c r="AX1541" s="9"/>
      <c r="AY1541" s="9"/>
      <c r="AZ1541" s="9"/>
      <c r="BA1541" s="120"/>
      <c r="BB1541" s="69"/>
      <c r="BC1541" s="9"/>
      <c r="BD1541" s="9"/>
      <c r="BE1541" s="9"/>
      <c r="BF1541" s="9"/>
      <c r="BG1541" s="9"/>
      <c r="BH1541" s="9"/>
      <c r="BI1541" s="9"/>
      <c r="BJ1541" s="9"/>
      <c r="BK1541" s="9"/>
      <c r="BL1541" s="9"/>
      <c r="BM1541" s="9"/>
      <c r="BN1541" s="9"/>
      <c r="BO1541" s="9"/>
      <c r="BP1541" s="9"/>
      <c r="BQ1541" s="9"/>
      <c r="BR1541" s="9"/>
      <c r="BS1541" s="9"/>
      <c r="BT1541" s="9"/>
      <c r="BU1541" s="9"/>
      <c r="BV1541" s="9"/>
      <c r="BW1541" s="9"/>
      <c r="BX1541" s="9"/>
      <c r="BY1541" s="9"/>
      <c r="BZ1541" s="9"/>
      <c r="CA1541" s="9"/>
      <c r="CB1541" s="9"/>
      <c r="CC1541" s="9"/>
      <c r="CD1541" s="9"/>
      <c r="CE1541" s="9"/>
      <c r="CF1541" s="9"/>
      <c r="CG1541" s="9"/>
      <c r="CH1541" s="9"/>
      <c r="CI1541" s="9"/>
      <c r="CJ1541" s="9"/>
      <c r="CK1541" s="9"/>
      <c r="CL1541" s="9"/>
      <c r="CM1541" s="9"/>
      <c r="CN1541" s="9"/>
      <c r="CO1541" s="9"/>
      <c r="CP1541" s="9"/>
    </row>
    <row r="1542" spans="1:94" ht="15.75" x14ac:dyDescent="0.25">
      <c r="A1542" s="126" t="s">
        <v>4373</v>
      </c>
      <c r="B1542" s="9" t="s">
        <v>4374</v>
      </c>
      <c r="C1542" s="9"/>
      <c r="D1542" s="9"/>
      <c r="E1542" s="9"/>
      <c r="F1542" s="9"/>
      <c r="G1542" s="9"/>
      <c r="H1542" s="9"/>
      <c r="I1542" s="9"/>
      <c r="J1542" s="9"/>
      <c r="K1542" s="9"/>
      <c r="L1542" s="9"/>
      <c r="M1542" s="9"/>
      <c r="N1542" s="9"/>
      <c r="O1542" s="9"/>
      <c r="P1542" s="9"/>
      <c r="Q1542" s="9"/>
      <c r="R1542" s="9"/>
      <c r="S1542" s="9"/>
      <c r="T1542" s="9"/>
      <c r="U1542" s="9"/>
      <c r="V1542" s="9"/>
      <c r="W1542" s="9"/>
      <c r="X1542" s="9"/>
      <c r="Y1542" s="9"/>
      <c r="Z1542" s="9"/>
      <c r="AA1542" s="9"/>
      <c r="AB1542" s="9"/>
      <c r="AC1542" s="9"/>
      <c r="AD1542" s="9"/>
      <c r="AE1542" s="9"/>
      <c r="AF1542" s="9"/>
      <c r="AG1542" s="9"/>
      <c r="AH1542" s="9"/>
      <c r="AI1542" s="9"/>
      <c r="AJ1542" s="9"/>
      <c r="AK1542" s="9"/>
      <c r="AL1542" s="9"/>
      <c r="AM1542" s="69"/>
      <c r="AN1542" s="9"/>
      <c r="AO1542" s="69" t="s">
        <v>4161</v>
      </c>
      <c r="AP1542" s="210"/>
      <c r="AQ1542" s="211"/>
      <c r="AR1542" s="211"/>
      <c r="AS1542" s="211"/>
      <c r="AT1542" s="211"/>
      <c r="AU1542" s="211"/>
      <c r="AV1542" s="211"/>
      <c r="AW1542" s="9"/>
      <c r="AX1542" s="9"/>
      <c r="AY1542" s="9"/>
      <c r="AZ1542" s="9"/>
      <c r="BA1542" s="120"/>
      <c r="BB1542" s="69"/>
      <c r="BC1542" s="9"/>
      <c r="BD1542" s="9"/>
      <c r="BE1542" s="9"/>
      <c r="BF1542" s="9"/>
      <c r="BG1542" s="9"/>
      <c r="BH1542" s="9"/>
      <c r="BI1542" s="9"/>
      <c r="BJ1542" s="9"/>
      <c r="BK1542" s="9"/>
      <c r="BL1542" s="9"/>
      <c r="BM1542" s="9"/>
      <c r="BN1542" s="9"/>
      <c r="BO1542" s="9"/>
      <c r="BP1542" s="9"/>
      <c r="BQ1542" s="9"/>
      <c r="BR1542" s="9"/>
      <c r="BS1542" s="9"/>
      <c r="BT1542" s="9"/>
      <c r="BU1542" s="9"/>
      <c r="BV1542" s="9"/>
      <c r="BW1542" s="9"/>
      <c r="BX1542" s="9"/>
      <c r="BY1542" s="9"/>
      <c r="BZ1542" s="9"/>
      <c r="CA1542" s="9"/>
      <c r="CB1542" s="9"/>
      <c r="CC1542" s="9"/>
      <c r="CD1542" s="9"/>
      <c r="CE1542" s="9"/>
      <c r="CF1542" s="9"/>
      <c r="CG1542" s="9"/>
      <c r="CH1542" s="9"/>
      <c r="CI1542" s="9"/>
      <c r="CJ1542" s="9"/>
      <c r="CK1542" s="9"/>
      <c r="CL1542" s="9"/>
      <c r="CM1542" s="9"/>
      <c r="CN1542" s="9"/>
      <c r="CO1542" s="9"/>
      <c r="CP1542" s="9"/>
    </row>
    <row r="1543" spans="1:94" ht="15.75" x14ac:dyDescent="0.25">
      <c r="A1543" s="126" t="s">
        <v>4375</v>
      </c>
      <c r="B1543" s="9" t="s">
        <v>4376</v>
      </c>
      <c r="C1543" s="9"/>
      <c r="D1543" s="9"/>
      <c r="E1543" s="9"/>
      <c r="F1543" s="9"/>
      <c r="G1543" s="9"/>
      <c r="H1543" s="9"/>
      <c r="I1543" s="9"/>
      <c r="J1543" s="9"/>
      <c r="K1543" s="9"/>
      <c r="L1543" s="9"/>
      <c r="M1543" s="9"/>
      <c r="N1543" s="9"/>
      <c r="O1543" s="9"/>
      <c r="P1543" s="9"/>
      <c r="Q1543" s="9"/>
      <c r="R1543" s="9"/>
      <c r="S1543" s="9"/>
      <c r="T1543" s="9"/>
      <c r="U1543" s="9"/>
      <c r="V1543" s="9"/>
      <c r="W1543" s="9"/>
      <c r="X1543" s="9"/>
      <c r="Y1543" s="9"/>
      <c r="Z1543" s="9"/>
      <c r="AA1543" s="9"/>
      <c r="AB1543" s="9"/>
      <c r="AC1543" s="9"/>
      <c r="AD1543" s="9"/>
      <c r="AE1543" s="9"/>
      <c r="AF1543" s="9"/>
      <c r="AG1543" s="9"/>
      <c r="AH1543" s="9"/>
      <c r="AI1543" s="9"/>
      <c r="AJ1543" s="9"/>
      <c r="AK1543" s="9"/>
      <c r="AL1543" s="9"/>
      <c r="AM1543" s="69"/>
      <c r="AN1543" s="9"/>
      <c r="AO1543" s="69" t="s">
        <v>4377</v>
      </c>
      <c r="AP1543" s="210"/>
      <c r="AQ1543" s="211"/>
      <c r="AR1543" s="211"/>
      <c r="AS1543" s="211"/>
      <c r="AT1543" s="211"/>
      <c r="AU1543" s="211"/>
      <c r="AV1543" s="211"/>
      <c r="AW1543" s="9"/>
      <c r="AX1543" s="9"/>
      <c r="AY1543" s="9"/>
      <c r="AZ1543" s="9"/>
      <c r="BA1543" s="120"/>
      <c r="BB1543" s="69"/>
      <c r="BC1543" s="9"/>
      <c r="BD1543" s="9"/>
      <c r="BE1543" s="9"/>
      <c r="BF1543" s="9"/>
      <c r="BG1543" s="9"/>
      <c r="BH1543" s="9"/>
      <c r="BI1543" s="9"/>
      <c r="BJ1543" s="9"/>
      <c r="BK1543" s="9"/>
      <c r="BL1543" s="9"/>
      <c r="BM1543" s="9"/>
      <c r="BN1543" s="9"/>
      <c r="BO1543" s="9"/>
      <c r="BP1543" s="9"/>
      <c r="BQ1543" s="9"/>
      <c r="BR1543" s="9"/>
      <c r="BS1543" s="9"/>
      <c r="BT1543" s="9"/>
      <c r="BU1543" s="9"/>
      <c r="BV1543" s="9"/>
      <c r="BW1543" s="9"/>
      <c r="BX1543" s="9"/>
      <c r="BY1543" s="9"/>
      <c r="BZ1543" s="9"/>
      <c r="CA1543" s="9"/>
      <c r="CB1543" s="9"/>
      <c r="CC1543" s="9"/>
      <c r="CD1543" s="9"/>
      <c r="CE1543" s="9"/>
      <c r="CF1543" s="9"/>
      <c r="CG1543" s="9"/>
      <c r="CH1543" s="9"/>
      <c r="CI1543" s="9"/>
      <c r="CJ1543" s="9"/>
      <c r="CK1543" s="9"/>
      <c r="CL1543" s="9"/>
      <c r="CM1543" s="9"/>
      <c r="CN1543" s="9"/>
      <c r="CO1543" s="9"/>
      <c r="CP1543" s="9"/>
    </row>
    <row r="1544" spans="1:94" ht="15.75" x14ac:dyDescent="0.25">
      <c r="A1544" s="126" t="s">
        <v>4378</v>
      </c>
      <c r="B1544" s="9" t="s">
        <v>4379</v>
      </c>
      <c r="C1544" s="9"/>
      <c r="D1544" s="9"/>
      <c r="E1544" s="9"/>
      <c r="F1544" s="9"/>
      <c r="G1544" s="9"/>
      <c r="H1544" s="9"/>
      <c r="I1544" s="9"/>
      <c r="J1544" s="9"/>
      <c r="K1544" s="9"/>
      <c r="L1544" s="9"/>
      <c r="M1544" s="9"/>
      <c r="N1544" s="9"/>
      <c r="O1544" s="9"/>
      <c r="P1544" s="9"/>
      <c r="Q1544" s="9"/>
      <c r="R1544" s="9"/>
      <c r="S1544" s="9"/>
      <c r="T1544" s="9"/>
      <c r="U1544" s="9"/>
      <c r="V1544" s="9"/>
      <c r="W1544" s="9"/>
      <c r="X1544" s="9"/>
      <c r="Y1544" s="9"/>
      <c r="Z1544" s="9"/>
      <c r="AA1544" s="9"/>
      <c r="AB1544" s="9"/>
      <c r="AC1544" s="9"/>
      <c r="AD1544" s="9"/>
      <c r="AE1544" s="9"/>
      <c r="AF1544" s="9"/>
      <c r="AG1544" s="9"/>
      <c r="AH1544" s="9"/>
      <c r="AI1544" s="9"/>
      <c r="AJ1544" s="9"/>
      <c r="AK1544" s="9"/>
      <c r="AL1544" s="9"/>
      <c r="AM1544" s="69"/>
      <c r="AN1544" s="9"/>
      <c r="AO1544" s="69" t="s">
        <v>4377</v>
      </c>
      <c r="AP1544" s="210"/>
      <c r="AQ1544" s="211"/>
      <c r="AR1544" s="211"/>
      <c r="AS1544" s="211"/>
      <c r="AT1544" s="211"/>
      <c r="AU1544" s="211"/>
      <c r="AV1544" s="211"/>
      <c r="AW1544" s="9"/>
      <c r="AX1544" s="9"/>
      <c r="AY1544" s="9"/>
      <c r="AZ1544" s="9"/>
      <c r="BA1544" s="120"/>
      <c r="BB1544" s="69"/>
      <c r="BC1544" s="9"/>
      <c r="BD1544" s="9"/>
      <c r="BE1544" s="9"/>
      <c r="BF1544" s="9"/>
      <c r="BG1544" s="9"/>
      <c r="BH1544" s="9"/>
      <c r="BI1544" s="9"/>
      <c r="BJ1544" s="9"/>
      <c r="BK1544" s="9"/>
      <c r="BL1544" s="9"/>
      <c r="BM1544" s="9"/>
      <c r="BN1544" s="9"/>
      <c r="BO1544" s="9"/>
      <c r="BP1544" s="9"/>
      <c r="BQ1544" s="9"/>
      <c r="BR1544" s="9"/>
      <c r="BS1544" s="9"/>
      <c r="BT1544" s="9"/>
      <c r="BU1544" s="9"/>
      <c r="BV1544" s="9"/>
      <c r="BW1544" s="9"/>
      <c r="BX1544" s="9"/>
      <c r="BY1544" s="9"/>
      <c r="BZ1544" s="9"/>
      <c r="CA1544" s="9"/>
      <c r="CB1544" s="9"/>
      <c r="CC1544" s="9"/>
      <c r="CD1544" s="9"/>
      <c r="CE1544" s="9"/>
      <c r="CF1544" s="9"/>
      <c r="CG1544" s="9"/>
      <c r="CH1544" s="9"/>
      <c r="CI1544" s="9"/>
      <c r="CJ1544" s="9"/>
      <c r="CK1544" s="9"/>
      <c r="CL1544" s="9"/>
      <c r="CM1544" s="9"/>
      <c r="CN1544" s="9"/>
      <c r="CO1544" s="9"/>
      <c r="CP1544" s="9"/>
    </row>
    <row r="1545" spans="1:94" ht="15.75" x14ac:dyDescent="0.25">
      <c r="A1545" s="126" t="s">
        <v>4380</v>
      </c>
      <c r="B1545" s="9" t="s">
        <v>4381</v>
      </c>
      <c r="C1545" s="9"/>
      <c r="D1545" s="9"/>
      <c r="E1545" s="9"/>
      <c r="F1545" s="9"/>
      <c r="G1545" s="9"/>
      <c r="H1545" s="9"/>
      <c r="I1545" s="9"/>
      <c r="J1545" s="9"/>
      <c r="K1545" s="9"/>
      <c r="L1545" s="9"/>
      <c r="M1545" s="9"/>
      <c r="N1545" s="9"/>
      <c r="O1545" s="9"/>
      <c r="P1545" s="9"/>
      <c r="Q1545" s="9"/>
      <c r="R1545" s="9"/>
      <c r="S1545" s="9"/>
      <c r="T1545" s="9"/>
      <c r="U1545" s="9"/>
      <c r="V1545" s="9"/>
      <c r="W1545" s="9"/>
      <c r="X1545" s="9"/>
      <c r="Y1545" s="9"/>
      <c r="Z1545" s="9"/>
      <c r="AA1545" s="9"/>
      <c r="AB1545" s="9"/>
      <c r="AC1545" s="9"/>
      <c r="AD1545" s="9"/>
      <c r="AE1545" s="9"/>
      <c r="AF1545" s="9"/>
      <c r="AG1545" s="9"/>
      <c r="AH1545" s="9"/>
      <c r="AI1545" s="9"/>
      <c r="AJ1545" s="9"/>
      <c r="AK1545" s="9"/>
      <c r="AL1545" s="9"/>
      <c r="AM1545" s="69"/>
      <c r="AN1545" s="9"/>
      <c r="AO1545" s="69" t="s">
        <v>4161</v>
      </c>
      <c r="AP1545" s="210"/>
      <c r="AQ1545" s="211"/>
      <c r="AR1545" s="211"/>
      <c r="AS1545" s="211"/>
      <c r="AT1545" s="211"/>
      <c r="AU1545" s="211"/>
      <c r="AV1545" s="211"/>
      <c r="AW1545" s="9"/>
      <c r="AX1545" s="9"/>
      <c r="AY1545" s="9"/>
      <c r="AZ1545" s="9"/>
      <c r="BA1545" s="120"/>
      <c r="BB1545" s="69"/>
      <c r="BC1545" s="9"/>
      <c r="BD1545" s="9"/>
      <c r="BE1545" s="9"/>
      <c r="BF1545" s="9"/>
      <c r="BG1545" s="9"/>
      <c r="BH1545" s="9"/>
      <c r="BI1545" s="9"/>
      <c r="BJ1545" s="9"/>
      <c r="BK1545" s="9"/>
      <c r="BL1545" s="9"/>
      <c r="BM1545" s="9"/>
      <c r="BN1545" s="9"/>
      <c r="BO1545" s="9"/>
      <c r="BP1545" s="9"/>
      <c r="BQ1545" s="9"/>
      <c r="BR1545" s="9"/>
      <c r="BS1545" s="9"/>
      <c r="BT1545" s="9"/>
      <c r="BU1545" s="9"/>
      <c r="BV1545" s="9"/>
      <c r="BW1545" s="9"/>
      <c r="BX1545" s="9"/>
      <c r="BY1545" s="9"/>
      <c r="BZ1545" s="9"/>
      <c r="CA1545" s="9"/>
      <c r="CB1545" s="9"/>
      <c r="CC1545" s="9"/>
      <c r="CD1545" s="9"/>
      <c r="CE1545" s="9"/>
      <c r="CF1545" s="9"/>
      <c r="CG1545" s="9"/>
      <c r="CH1545" s="9"/>
      <c r="CI1545" s="9"/>
      <c r="CJ1545" s="9"/>
      <c r="CK1545" s="9"/>
      <c r="CL1545" s="9"/>
      <c r="CM1545" s="9"/>
      <c r="CN1545" s="9"/>
      <c r="CO1545" s="9"/>
      <c r="CP1545" s="9"/>
    </row>
    <row r="1546" spans="1:94" ht="15.75" x14ac:dyDescent="0.25">
      <c r="A1546" s="126" t="s">
        <v>4382</v>
      </c>
      <c r="B1546" s="9" t="s">
        <v>4350</v>
      </c>
      <c r="C1546" s="9"/>
      <c r="D1546" s="9"/>
      <c r="E1546" s="9"/>
      <c r="F1546" s="9"/>
      <c r="G1546" s="9"/>
      <c r="H1546" s="9"/>
      <c r="I1546" s="9"/>
      <c r="J1546" s="9"/>
      <c r="K1546" s="9"/>
      <c r="L1546" s="9"/>
      <c r="M1546" s="9"/>
      <c r="N1546" s="9"/>
      <c r="O1546" s="9"/>
      <c r="P1546" s="9"/>
      <c r="Q1546" s="9"/>
      <c r="R1546" s="9"/>
      <c r="S1546" s="9"/>
      <c r="T1546" s="9"/>
      <c r="U1546" s="9"/>
      <c r="V1546" s="9"/>
      <c r="W1546" s="9"/>
      <c r="X1546" s="9"/>
      <c r="Y1546" s="9"/>
      <c r="Z1546" s="9"/>
      <c r="AA1546" s="9"/>
      <c r="AB1546" s="9"/>
      <c r="AC1546" s="9"/>
      <c r="AD1546" s="9"/>
      <c r="AE1546" s="9"/>
      <c r="AF1546" s="9"/>
      <c r="AG1546" s="9"/>
      <c r="AH1546" s="9"/>
      <c r="AI1546" s="9"/>
      <c r="AJ1546" s="9"/>
      <c r="AK1546" s="9"/>
      <c r="AL1546" s="9"/>
      <c r="AM1546" s="69"/>
      <c r="AN1546" s="9"/>
      <c r="AO1546" s="69" t="s">
        <v>4161</v>
      </c>
      <c r="AP1546" s="210"/>
      <c r="AQ1546" s="211"/>
      <c r="AR1546" s="211"/>
      <c r="AS1546" s="211"/>
      <c r="AT1546" s="211"/>
      <c r="AU1546" s="211"/>
      <c r="AV1546" s="211"/>
      <c r="AW1546" s="9"/>
      <c r="AX1546" s="9"/>
      <c r="AY1546" s="9"/>
      <c r="AZ1546" s="9"/>
      <c r="BA1546" s="120"/>
      <c r="BB1546" s="69"/>
      <c r="BC1546" s="9"/>
      <c r="BD1546" s="9"/>
      <c r="BE1546" s="9"/>
      <c r="BF1546" s="9"/>
      <c r="BG1546" s="9"/>
      <c r="BH1546" s="9"/>
      <c r="BI1546" s="9"/>
      <c r="BJ1546" s="9"/>
      <c r="BK1546" s="9"/>
      <c r="BL1546" s="9"/>
      <c r="BM1546" s="9"/>
      <c r="BN1546" s="9"/>
      <c r="BO1546" s="9"/>
      <c r="BP1546" s="9"/>
      <c r="BQ1546" s="9"/>
      <c r="BR1546" s="9"/>
      <c r="BS1546" s="9"/>
      <c r="BT1546" s="9"/>
      <c r="BU1546" s="9"/>
      <c r="BV1546" s="9"/>
      <c r="BW1546" s="9"/>
      <c r="BX1546" s="9"/>
      <c r="BY1546" s="9"/>
      <c r="BZ1546" s="9"/>
      <c r="CA1546" s="9"/>
      <c r="CB1546" s="9"/>
      <c r="CC1546" s="9"/>
      <c r="CD1546" s="9"/>
      <c r="CE1546" s="9"/>
      <c r="CF1546" s="9"/>
      <c r="CG1546" s="9"/>
      <c r="CH1546" s="9"/>
      <c r="CI1546" s="9"/>
      <c r="CJ1546" s="9"/>
      <c r="CK1546" s="9"/>
      <c r="CL1546" s="9"/>
      <c r="CM1546" s="9"/>
      <c r="CN1546" s="9"/>
      <c r="CO1546" s="9"/>
      <c r="CP1546" s="9"/>
    </row>
    <row r="1547" spans="1:94" ht="15.75" x14ac:dyDescent="0.25">
      <c r="A1547" s="126" t="s">
        <v>4383</v>
      </c>
      <c r="B1547" s="9" t="s">
        <v>4384</v>
      </c>
      <c r="C1547" s="9"/>
      <c r="D1547" s="9"/>
      <c r="E1547" s="9"/>
      <c r="F1547" s="9"/>
      <c r="G1547" s="9"/>
      <c r="H1547" s="9"/>
      <c r="I1547" s="9"/>
      <c r="J1547" s="9"/>
      <c r="K1547" s="9"/>
      <c r="L1547" s="9"/>
      <c r="M1547" s="9"/>
      <c r="N1547" s="9"/>
      <c r="O1547" s="9"/>
      <c r="P1547" s="9"/>
      <c r="Q1547" s="9"/>
      <c r="R1547" s="9"/>
      <c r="S1547" s="9"/>
      <c r="T1547" s="9"/>
      <c r="U1547" s="9"/>
      <c r="V1547" s="9"/>
      <c r="W1547" s="9"/>
      <c r="X1547" s="9"/>
      <c r="Y1547" s="9"/>
      <c r="Z1547" s="9"/>
      <c r="AA1547" s="9"/>
      <c r="AB1547" s="9"/>
      <c r="AC1547" s="9"/>
      <c r="AD1547" s="9"/>
      <c r="AE1547" s="9"/>
      <c r="AF1547" s="9"/>
      <c r="AG1547" s="9"/>
      <c r="AH1547" s="9"/>
      <c r="AI1547" s="9"/>
      <c r="AJ1547" s="9"/>
      <c r="AK1547" s="9"/>
      <c r="AL1547" s="9"/>
      <c r="AM1547" s="69"/>
      <c r="AN1547" s="9"/>
      <c r="AO1547" s="69" t="s">
        <v>4161</v>
      </c>
      <c r="AP1547" s="210"/>
      <c r="AQ1547" s="211"/>
      <c r="AR1547" s="211"/>
      <c r="AS1547" s="211"/>
      <c r="AT1547" s="211"/>
      <c r="AU1547" s="211"/>
      <c r="AV1547" s="211"/>
      <c r="AW1547" s="9"/>
      <c r="AX1547" s="9"/>
      <c r="AY1547" s="9"/>
      <c r="AZ1547" s="9"/>
      <c r="BA1547" s="120"/>
      <c r="BB1547" s="69"/>
      <c r="BC1547" s="9"/>
      <c r="BD1547" s="9"/>
      <c r="BE1547" s="9"/>
      <c r="BF1547" s="9"/>
      <c r="BG1547" s="9"/>
      <c r="BH1547" s="9"/>
      <c r="BI1547" s="9"/>
      <c r="BJ1547" s="9"/>
      <c r="BK1547" s="9"/>
      <c r="BL1547" s="9"/>
      <c r="BM1547" s="9"/>
      <c r="BN1547" s="9"/>
      <c r="BO1547" s="9"/>
      <c r="BP1547" s="9"/>
      <c r="BQ1547" s="9"/>
      <c r="BR1547" s="9"/>
      <c r="BS1547" s="9"/>
      <c r="BT1547" s="9"/>
      <c r="BU1547" s="9"/>
      <c r="BV1547" s="9"/>
      <c r="BW1547" s="9"/>
      <c r="BX1547" s="9"/>
      <c r="BY1547" s="9"/>
      <c r="BZ1547" s="9"/>
      <c r="CA1547" s="9"/>
      <c r="CB1547" s="9"/>
      <c r="CC1547" s="9"/>
      <c r="CD1547" s="9"/>
      <c r="CE1547" s="9"/>
      <c r="CF1547" s="9"/>
      <c r="CG1547" s="9"/>
      <c r="CH1547" s="9"/>
      <c r="CI1547" s="9"/>
      <c r="CJ1547" s="9"/>
      <c r="CK1547" s="9"/>
      <c r="CL1547" s="9"/>
      <c r="CM1547" s="9"/>
      <c r="CN1547" s="9"/>
      <c r="CO1547" s="9"/>
      <c r="CP1547" s="9"/>
    </row>
    <row r="1548" spans="1:94" ht="15.75" x14ac:dyDescent="0.25">
      <c r="A1548" s="126" t="s">
        <v>4385</v>
      </c>
      <c r="B1548" s="9" t="s">
        <v>4386</v>
      </c>
      <c r="C1548" s="9"/>
      <c r="D1548" s="9"/>
      <c r="E1548" s="9"/>
      <c r="F1548" s="9"/>
      <c r="G1548" s="9"/>
      <c r="H1548" s="9"/>
      <c r="I1548" s="9"/>
      <c r="J1548" s="9"/>
      <c r="K1548" s="9"/>
      <c r="L1548" s="9"/>
      <c r="M1548" s="9"/>
      <c r="N1548" s="9"/>
      <c r="O1548" s="9"/>
      <c r="P1548" s="9"/>
      <c r="Q1548" s="9"/>
      <c r="R1548" s="9"/>
      <c r="S1548" s="9"/>
      <c r="T1548" s="9"/>
      <c r="U1548" s="9"/>
      <c r="V1548" s="9"/>
      <c r="W1548" s="9"/>
      <c r="X1548" s="9"/>
      <c r="Y1548" s="9"/>
      <c r="Z1548" s="9"/>
      <c r="AA1548" s="9"/>
      <c r="AB1548" s="9"/>
      <c r="AC1548" s="9"/>
      <c r="AD1548" s="9"/>
      <c r="AE1548" s="9"/>
      <c r="AF1548" s="9"/>
      <c r="AG1548" s="9"/>
      <c r="AH1548" s="9"/>
      <c r="AI1548" s="9"/>
      <c r="AJ1548" s="9"/>
      <c r="AK1548" s="9"/>
      <c r="AL1548" s="9"/>
      <c r="AM1548" s="69"/>
      <c r="AN1548" s="9"/>
      <c r="AO1548" s="69" t="s">
        <v>4161</v>
      </c>
      <c r="AP1548" s="210"/>
      <c r="AQ1548" s="211"/>
      <c r="AR1548" s="211"/>
      <c r="AS1548" s="211"/>
      <c r="AT1548" s="211"/>
      <c r="AU1548" s="211"/>
      <c r="AV1548" s="211"/>
      <c r="AW1548" s="9"/>
      <c r="AX1548" s="9"/>
      <c r="AY1548" s="9"/>
      <c r="AZ1548" s="9"/>
      <c r="BA1548" s="120"/>
      <c r="BB1548" s="69"/>
      <c r="BC1548" s="9"/>
      <c r="BD1548" s="9"/>
      <c r="BE1548" s="9"/>
      <c r="BF1548" s="9"/>
      <c r="BG1548" s="9"/>
      <c r="BH1548" s="9"/>
      <c r="BI1548" s="9"/>
      <c r="BJ1548" s="9"/>
      <c r="BK1548" s="9"/>
      <c r="BL1548" s="9"/>
      <c r="BM1548" s="9"/>
      <c r="BN1548" s="9"/>
      <c r="BO1548" s="9"/>
      <c r="BP1548" s="9"/>
      <c r="BQ1548" s="9"/>
      <c r="BR1548" s="9"/>
      <c r="BS1548" s="9"/>
      <c r="BT1548" s="9"/>
      <c r="BU1548" s="9"/>
      <c r="BV1548" s="9"/>
      <c r="BW1548" s="9"/>
      <c r="BX1548" s="9"/>
      <c r="BY1548" s="9"/>
      <c r="BZ1548" s="9"/>
      <c r="CA1548" s="9"/>
      <c r="CB1548" s="9"/>
      <c r="CC1548" s="9"/>
      <c r="CD1548" s="9"/>
      <c r="CE1548" s="9"/>
      <c r="CF1548" s="9"/>
      <c r="CG1548" s="9"/>
      <c r="CH1548" s="9"/>
      <c r="CI1548" s="9"/>
      <c r="CJ1548" s="9"/>
      <c r="CK1548" s="9"/>
      <c r="CL1548" s="9"/>
      <c r="CM1548" s="9"/>
      <c r="CN1548" s="9"/>
      <c r="CO1548" s="9"/>
      <c r="CP1548" s="9"/>
    </row>
    <row r="1549" spans="1:94" ht="15.75" x14ac:dyDescent="0.25">
      <c r="A1549" s="126" t="s">
        <v>4387</v>
      </c>
      <c r="B1549" s="9" t="s">
        <v>4388</v>
      </c>
      <c r="C1549" s="9"/>
      <c r="D1549" s="9"/>
      <c r="E1549" s="9"/>
      <c r="F1549" s="9"/>
      <c r="G1549" s="9"/>
      <c r="H1549" s="9"/>
      <c r="I1549" s="9"/>
      <c r="J1549" s="9"/>
      <c r="K1549" s="9"/>
      <c r="L1549" s="9"/>
      <c r="M1549" s="9"/>
      <c r="N1549" s="9"/>
      <c r="O1549" s="9"/>
      <c r="P1549" s="9"/>
      <c r="Q1549" s="9"/>
      <c r="R1549" s="9"/>
      <c r="S1549" s="9"/>
      <c r="T1549" s="9"/>
      <c r="U1549" s="9"/>
      <c r="V1549" s="9"/>
      <c r="W1549" s="9"/>
      <c r="X1549" s="9"/>
      <c r="Y1549" s="9"/>
      <c r="Z1549" s="9"/>
      <c r="AA1549" s="9"/>
      <c r="AB1549" s="9"/>
      <c r="AC1549" s="9"/>
      <c r="AD1549" s="9"/>
      <c r="AE1549" s="9"/>
      <c r="AF1549" s="9"/>
      <c r="AG1549" s="9"/>
      <c r="AH1549" s="9"/>
      <c r="AI1549" s="9"/>
      <c r="AJ1549" s="9"/>
      <c r="AK1549" s="9"/>
      <c r="AL1549" s="9"/>
      <c r="AM1549" s="69"/>
      <c r="AN1549" s="9"/>
      <c r="AO1549" s="69" t="s">
        <v>4161</v>
      </c>
      <c r="AP1549" s="210"/>
      <c r="AQ1549" s="211"/>
      <c r="AR1549" s="211"/>
      <c r="AS1549" s="211"/>
      <c r="AT1549" s="211"/>
      <c r="AU1549" s="211"/>
      <c r="AV1549" s="211"/>
      <c r="AW1549" s="9"/>
      <c r="AX1549" s="9"/>
      <c r="AY1549" s="9"/>
      <c r="AZ1549" s="9"/>
      <c r="BA1549" s="120"/>
      <c r="BB1549" s="69"/>
      <c r="BC1549" s="9"/>
      <c r="BD1549" s="9"/>
      <c r="BE1549" s="9"/>
      <c r="BF1549" s="9"/>
      <c r="BG1549" s="9"/>
      <c r="BH1549" s="9"/>
      <c r="BI1549" s="9"/>
      <c r="BJ1549" s="9"/>
      <c r="BK1549" s="9"/>
      <c r="BL1549" s="9"/>
      <c r="BM1549" s="9"/>
      <c r="BN1549" s="9"/>
      <c r="BO1549" s="9"/>
      <c r="BP1549" s="9"/>
      <c r="BQ1549" s="9"/>
      <c r="BR1549" s="9"/>
      <c r="BS1549" s="9"/>
      <c r="BT1549" s="9"/>
      <c r="BU1549" s="9"/>
      <c r="BV1549" s="9"/>
      <c r="BW1549" s="9"/>
      <c r="BX1549" s="9"/>
      <c r="BY1549" s="9"/>
      <c r="BZ1549" s="9"/>
      <c r="CA1549" s="9"/>
      <c r="CB1549" s="9"/>
      <c r="CC1549" s="9"/>
      <c r="CD1549" s="9"/>
      <c r="CE1549" s="9"/>
      <c r="CF1549" s="9"/>
      <c r="CG1549" s="9"/>
      <c r="CH1549" s="9"/>
      <c r="CI1549" s="9"/>
      <c r="CJ1549" s="9"/>
      <c r="CK1549" s="9"/>
      <c r="CL1549" s="9"/>
      <c r="CM1549" s="9"/>
      <c r="CN1549" s="9"/>
      <c r="CO1549" s="9"/>
      <c r="CP1549" s="9"/>
    </row>
    <row r="1550" spans="1:94" ht="15.75" x14ac:dyDescent="0.25">
      <c r="A1550" s="126" t="s">
        <v>4389</v>
      </c>
      <c r="B1550" s="9" t="s">
        <v>4390</v>
      </c>
      <c r="C1550" s="9"/>
      <c r="D1550" s="9"/>
      <c r="E1550" s="9"/>
      <c r="F1550" s="9"/>
      <c r="G1550" s="9"/>
      <c r="H1550" s="9"/>
      <c r="I1550" s="9"/>
      <c r="J1550" s="9"/>
      <c r="K1550" s="9"/>
      <c r="L1550" s="9"/>
      <c r="M1550" s="9"/>
      <c r="N1550" s="9"/>
      <c r="O1550" s="9"/>
      <c r="P1550" s="9"/>
      <c r="Q1550" s="9"/>
      <c r="R1550" s="9"/>
      <c r="S1550" s="9"/>
      <c r="T1550" s="9"/>
      <c r="U1550" s="9"/>
      <c r="V1550" s="9"/>
      <c r="W1550" s="9"/>
      <c r="X1550" s="9"/>
      <c r="Y1550" s="9"/>
      <c r="Z1550" s="9"/>
      <c r="AA1550" s="9"/>
      <c r="AB1550" s="9"/>
      <c r="AC1550" s="9"/>
      <c r="AD1550" s="9"/>
      <c r="AE1550" s="9"/>
      <c r="AF1550" s="9"/>
      <c r="AG1550" s="9"/>
      <c r="AH1550" s="9"/>
      <c r="AI1550" s="9"/>
      <c r="AJ1550" s="9"/>
      <c r="AK1550" s="9"/>
      <c r="AL1550" s="9"/>
      <c r="AM1550" s="69"/>
      <c r="AN1550" s="9"/>
      <c r="AO1550" s="69" t="s">
        <v>4161</v>
      </c>
      <c r="AP1550" s="210"/>
      <c r="AQ1550" s="211"/>
      <c r="AR1550" s="211"/>
      <c r="AS1550" s="211"/>
      <c r="AT1550" s="211"/>
      <c r="AU1550" s="211"/>
      <c r="AV1550" s="211"/>
      <c r="AW1550" s="9"/>
      <c r="AX1550" s="9"/>
      <c r="AY1550" s="9"/>
      <c r="AZ1550" s="9"/>
      <c r="BA1550" s="120"/>
      <c r="BB1550" s="69"/>
      <c r="BC1550" s="9"/>
      <c r="BD1550" s="9"/>
      <c r="BE1550" s="9"/>
      <c r="BF1550" s="9"/>
      <c r="BG1550" s="9"/>
      <c r="BH1550" s="9"/>
      <c r="BI1550" s="9"/>
      <c r="BJ1550" s="9"/>
      <c r="BK1550" s="9"/>
      <c r="BL1550" s="9"/>
      <c r="BM1550" s="9"/>
      <c r="BN1550" s="9"/>
      <c r="BO1550" s="9"/>
      <c r="BP1550" s="9"/>
      <c r="BQ1550" s="9"/>
      <c r="BR1550" s="9"/>
      <c r="BS1550" s="9"/>
      <c r="BT1550" s="9"/>
      <c r="BU1550" s="9"/>
      <c r="BV1550" s="9"/>
      <c r="BW1550" s="9"/>
      <c r="BX1550" s="9"/>
      <c r="BY1550" s="9"/>
      <c r="BZ1550" s="9"/>
      <c r="CA1550" s="9"/>
      <c r="CB1550" s="9"/>
      <c r="CC1550" s="9"/>
      <c r="CD1550" s="9"/>
      <c r="CE1550" s="9"/>
      <c r="CF1550" s="9"/>
      <c r="CG1550" s="9"/>
      <c r="CH1550" s="9"/>
      <c r="CI1550" s="9"/>
      <c r="CJ1550" s="9"/>
      <c r="CK1550" s="9"/>
      <c r="CL1550" s="9"/>
      <c r="CM1550" s="9"/>
      <c r="CN1550" s="9"/>
      <c r="CO1550" s="9"/>
      <c r="CP1550" s="9"/>
    </row>
    <row r="1551" spans="1:94" x14ac:dyDescent="0.25">
      <c r="A1551" s="9" t="s">
        <v>4391</v>
      </c>
      <c r="B1551" s="9" t="s">
        <v>4392</v>
      </c>
      <c r="C1551" s="9"/>
      <c r="D1551" s="9"/>
      <c r="E1551" s="9"/>
      <c r="F1551" s="9"/>
      <c r="G1551" s="9"/>
      <c r="H1551" s="9"/>
      <c r="I1551" s="9"/>
      <c r="J1551" s="9"/>
      <c r="K1551" s="9"/>
      <c r="L1551" s="9"/>
      <c r="M1551" s="9"/>
      <c r="N1551" s="9"/>
      <c r="O1551" s="9"/>
      <c r="P1551" s="9"/>
      <c r="Q1551" s="9"/>
      <c r="R1551" s="9"/>
      <c r="S1551" s="9"/>
      <c r="T1551" s="9"/>
      <c r="U1551" s="9"/>
      <c r="V1551" s="9"/>
      <c r="W1551" s="9"/>
      <c r="X1551" s="9"/>
      <c r="Y1551" s="9"/>
      <c r="Z1551" s="9"/>
      <c r="AA1551" s="9"/>
      <c r="AB1551" s="9"/>
      <c r="AC1551" s="9"/>
      <c r="AD1551" s="9"/>
      <c r="AE1551" s="9"/>
      <c r="AF1551" s="9"/>
      <c r="AG1551" s="9"/>
      <c r="AH1551" s="9"/>
      <c r="AI1551" s="9"/>
      <c r="AJ1551" s="9"/>
      <c r="AK1551" s="9"/>
      <c r="AL1551" s="9"/>
      <c r="AM1551" s="69"/>
      <c r="AN1551" s="9"/>
      <c r="AO1551" s="69" t="s">
        <v>4161</v>
      </c>
      <c r="AP1551" s="210"/>
      <c r="AQ1551" s="211"/>
      <c r="AR1551" s="211"/>
      <c r="AS1551" s="211"/>
      <c r="AT1551" s="211"/>
      <c r="AU1551" s="211"/>
      <c r="AV1551" s="211"/>
      <c r="AW1551" s="9"/>
      <c r="AX1551" s="9"/>
      <c r="AY1551" s="9"/>
      <c r="AZ1551" s="9"/>
      <c r="BA1551" s="120"/>
      <c r="BB1551" s="69"/>
      <c r="BC1551" s="9"/>
      <c r="BD1551" s="9"/>
      <c r="BE1551" s="9"/>
      <c r="BF1551" s="9"/>
      <c r="BG1551" s="9"/>
      <c r="BH1551" s="9"/>
      <c r="BI1551" s="9"/>
      <c r="BJ1551" s="9"/>
      <c r="BK1551" s="9"/>
      <c r="BL1551" s="9"/>
      <c r="BM1551" s="9"/>
      <c r="BN1551" s="9"/>
      <c r="BO1551" s="9"/>
      <c r="BP1551" s="9"/>
      <c r="BQ1551" s="9"/>
      <c r="BR1551" s="9"/>
      <c r="BS1551" s="9"/>
      <c r="BT1551" s="9"/>
      <c r="BU1551" s="9"/>
      <c r="BV1551" s="9"/>
      <c r="BW1551" s="9"/>
      <c r="BX1551" s="9"/>
      <c r="BY1551" s="9"/>
      <c r="BZ1551" s="9"/>
      <c r="CA1551" s="9"/>
      <c r="CB1551" s="9"/>
      <c r="CC1551" s="9"/>
      <c r="CD1551" s="9"/>
      <c r="CE1551" s="9"/>
      <c r="CF1551" s="9"/>
      <c r="CG1551" s="9"/>
      <c r="CH1551" s="9"/>
      <c r="CI1551" s="9"/>
      <c r="CJ1551" s="9"/>
      <c r="CK1551" s="9"/>
      <c r="CL1551" s="9"/>
      <c r="CM1551" s="9"/>
      <c r="CN1551" s="9"/>
      <c r="CO1551" s="9"/>
      <c r="CP1551" s="9"/>
    </row>
    <row r="1552" spans="1:94" ht="15.75" x14ac:dyDescent="0.25">
      <c r="A1552" s="126" t="s">
        <v>4393</v>
      </c>
      <c r="B1552" s="9" t="s">
        <v>4394</v>
      </c>
      <c r="C1552" s="9"/>
      <c r="D1552" s="9"/>
      <c r="E1552" s="9"/>
      <c r="F1552" s="9"/>
      <c r="G1552" s="9"/>
      <c r="H1552" s="9"/>
      <c r="I1552" s="9"/>
      <c r="J1552" s="9"/>
      <c r="K1552" s="9"/>
      <c r="L1552" s="9"/>
      <c r="M1552" s="9"/>
      <c r="N1552" s="9"/>
      <c r="O1552" s="9"/>
      <c r="P1552" s="9"/>
      <c r="Q1552" s="9"/>
      <c r="R1552" s="9"/>
      <c r="S1552" s="9"/>
      <c r="T1552" s="9"/>
      <c r="U1552" s="9"/>
      <c r="V1552" s="9"/>
      <c r="W1552" s="9"/>
      <c r="X1552" s="9"/>
      <c r="Y1552" s="9"/>
      <c r="Z1552" s="9"/>
      <c r="AA1552" s="9"/>
      <c r="AB1552" s="9"/>
      <c r="AC1552" s="9"/>
      <c r="AD1552" s="9"/>
      <c r="AE1552" s="9"/>
      <c r="AF1552" s="9"/>
      <c r="AG1552" s="9"/>
      <c r="AH1552" s="9"/>
      <c r="AI1552" s="9"/>
      <c r="AJ1552" s="9"/>
      <c r="AK1552" s="9"/>
      <c r="AL1552" s="9"/>
      <c r="AM1552" s="69"/>
      <c r="AN1552" s="9"/>
      <c r="AO1552" s="69" t="s">
        <v>4161</v>
      </c>
      <c r="AP1552" s="210"/>
      <c r="AQ1552" s="211"/>
      <c r="AR1552" s="211"/>
      <c r="AS1552" s="211"/>
      <c r="AT1552" s="211"/>
      <c r="AU1552" s="211"/>
      <c r="AV1552" s="211"/>
      <c r="AW1552" s="9"/>
      <c r="AX1552" s="9"/>
      <c r="AY1552" s="9"/>
      <c r="AZ1552" s="9"/>
      <c r="BA1552" s="120"/>
      <c r="BB1552" s="69"/>
      <c r="BC1552" s="9"/>
      <c r="BD1552" s="9"/>
      <c r="BE1552" s="9"/>
      <c r="BF1552" s="9"/>
      <c r="BG1552" s="9"/>
      <c r="BH1552" s="9"/>
      <c r="BI1552" s="9"/>
      <c r="BJ1552" s="9"/>
      <c r="BK1552" s="9"/>
      <c r="BL1552" s="9"/>
      <c r="BM1552" s="9"/>
      <c r="BN1552" s="9"/>
      <c r="BO1552" s="9"/>
      <c r="BP1552" s="9"/>
      <c r="BQ1552" s="9"/>
      <c r="BR1552" s="9"/>
      <c r="BS1552" s="9"/>
      <c r="BT1552" s="9"/>
      <c r="BU1552" s="9"/>
      <c r="BV1552" s="9"/>
      <c r="BW1552" s="9"/>
      <c r="BX1552" s="9"/>
      <c r="BY1552" s="9"/>
      <c r="BZ1552" s="9"/>
      <c r="CA1552" s="9"/>
      <c r="CB1552" s="9"/>
      <c r="CC1552" s="9"/>
      <c r="CD1552" s="9"/>
      <c r="CE1552" s="9"/>
      <c r="CF1552" s="9"/>
      <c r="CG1552" s="9"/>
      <c r="CH1552" s="9"/>
      <c r="CI1552" s="9"/>
      <c r="CJ1552" s="9"/>
      <c r="CK1552" s="9"/>
      <c r="CL1552" s="9"/>
      <c r="CM1552" s="9"/>
      <c r="CN1552" s="9"/>
      <c r="CO1552" s="9"/>
      <c r="CP1552" s="9"/>
    </row>
    <row r="1553" spans="1:94" x14ac:dyDescent="0.25">
      <c r="A1553" s="9" t="s">
        <v>4395</v>
      </c>
      <c r="B1553" s="9" t="s">
        <v>4396</v>
      </c>
      <c r="C1553" s="9"/>
      <c r="D1553" s="9"/>
      <c r="E1553" s="9"/>
      <c r="F1553" s="9"/>
      <c r="G1553" s="9"/>
      <c r="H1553" s="9"/>
      <c r="I1553" s="9"/>
      <c r="J1553" s="9"/>
      <c r="K1553" s="9"/>
      <c r="L1553" s="9"/>
      <c r="M1553" s="9"/>
      <c r="N1553" s="9"/>
      <c r="O1553" s="9"/>
      <c r="P1553" s="9"/>
      <c r="Q1553" s="9"/>
      <c r="R1553" s="9"/>
      <c r="S1553" s="9"/>
      <c r="T1553" s="9"/>
      <c r="U1553" s="9"/>
      <c r="V1553" s="9"/>
      <c r="W1553" s="9"/>
      <c r="X1553" s="9"/>
      <c r="Y1553" s="9"/>
      <c r="Z1553" s="9"/>
      <c r="AA1553" s="9"/>
      <c r="AB1553" s="9"/>
      <c r="AC1553" s="9"/>
      <c r="AD1553" s="9"/>
      <c r="AE1553" s="9"/>
      <c r="AF1553" s="9"/>
      <c r="AG1553" s="9"/>
      <c r="AH1553" s="9"/>
      <c r="AI1553" s="9"/>
      <c r="AJ1553" s="9"/>
      <c r="AK1553" s="9"/>
      <c r="AL1553" s="9"/>
      <c r="AM1553" s="69"/>
      <c r="AN1553" s="9"/>
      <c r="AO1553" s="69" t="s">
        <v>4377</v>
      </c>
      <c r="AP1553" s="210"/>
      <c r="AQ1553" s="211"/>
      <c r="AR1553" s="211"/>
      <c r="AS1553" s="211"/>
      <c r="AT1553" s="211"/>
      <c r="AU1553" s="211"/>
      <c r="AV1553" s="211"/>
      <c r="AW1553" s="9"/>
      <c r="AX1553" s="9"/>
      <c r="AY1553" s="9"/>
      <c r="AZ1553" s="9"/>
      <c r="BA1553" s="120"/>
      <c r="BB1553" s="69"/>
      <c r="BC1553" s="9"/>
      <c r="BD1553" s="9"/>
      <c r="BE1553" s="9"/>
      <c r="BF1553" s="9"/>
      <c r="BG1553" s="9"/>
      <c r="BH1553" s="9"/>
      <c r="BI1553" s="9"/>
      <c r="BJ1553" s="9"/>
      <c r="BK1553" s="9"/>
      <c r="BL1553" s="9"/>
      <c r="BM1553" s="9"/>
      <c r="BN1553" s="9"/>
      <c r="BO1553" s="9"/>
      <c r="BP1553" s="9"/>
      <c r="BQ1553" s="9"/>
      <c r="BR1553" s="9"/>
      <c r="BS1553" s="9"/>
      <c r="BT1553" s="9"/>
      <c r="BU1553" s="9"/>
      <c r="BV1553" s="9"/>
      <c r="BW1553" s="9"/>
      <c r="BX1553" s="9"/>
      <c r="BY1553" s="9"/>
      <c r="BZ1553" s="9"/>
      <c r="CA1553" s="9"/>
      <c r="CB1553" s="9"/>
      <c r="CC1553" s="9"/>
      <c r="CD1553" s="9"/>
      <c r="CE1553" s="9"/>
      <c r="CF1553" s="9"/>
      <c r="CG1553" s="9"/>
      <c r="CH1553" s="9"/>
      <c r="CI1553" s="9"/>
      <c r="CJ1553" s="9"/>
      <c r="CK1553" s="9"/>
      <c r="CL1553" s="9"/>
      <c r="CM1553" s="9"/>
      <c r="CN1553" s="9"/>
      <c r="CO1553" s="9"/>
      <c r="CP1553" s="9"/>
    </row>
    <row r="1554" spans="1:94" x14ac:dyDescent="0.25">
      <c r="A1554" s="9" t="s">
        <v>4397</v>
      </c>
      <c r="B1554" s="9" t="s">
        <v>4398</v>
      </c>
      <c r="C1554" s="9"/>
      <c r="D1554" s="9"/>
      <c r="E1554" s="9"/>
      <c r="F1554" s="9"/>
      <c r="G1554" s="9"/>
      <c r="H1554" s="9"/>
      <c r="I1554" s="9"/>
      <c r="J1554" s="9"/>
      <c r="K1554" s="9"/>
      <c r="L1554" s="9"/>
      <c r="M1554" s="9"/>
      <c r="N1554" s="9"/>
      <c r="O1554" s="9"/>
      <c r="P1554" s="9"/>
      <c r="Q1554" s="9"/>
      <c r="R1554" s="9"/>
      <c r="S1554" s="9"/>
      <c r="T1554" s="9"/>
      <c r="U1554" s="9"/>
      <c r="V1554" s="9"/>
      <c r="W1554" s="9"/>
      <c r="X1554" s="9"/>
      <c r="Y1554" s="9"/>
      <c r="Z1554" s="9"/>
      <c r="AA1554" s="9"/>
      <c r="AB1554" s="9"/>
      <c r="AC1554" s="9"/>
      <c r="AD1554" s="9"/>
      <c r="AE1554" s="9"/>
      <c r="AF1554" s="9"/>
      <c r="AG1554" s="9"/>
      <c r="AH1554" s="9"/>
      <c r="AI1554" s="9"/>
      <c r="AJ1554" s="9"/>
      <c r="AK1554" s="9"/>
      <c r="AL1554" s="9"/>
      <c r="AM1554" s="69"/>
      <c r="AN1554" s="9"/>
      <c r="AO1554" s="69" t="s">
        <v>4377</v>
      </c>
      <c r="AP1554" s="210"/>
      <c r="AQ1554" s="211"/>
      <c r="AR1554" s="211"/>
      <c r="AS1554" s="211"/>
      <c r="AT1554" s="211"/>
      <c r="AU1554" s="211"/>
      <c r="AV1554" s="211"/>
      <c r="AW1554" s="9"/>
      <c r="AX1554" s="9"/>
      <c r="AY1554" s="9"/>
      <c r="AZ1554" s="9"/>
      <c r="BA1554" s="120"/>
      <c r="BB1554" s="69"/>
      <c r="BC1554" s="9"/>
      <c r="BD1554" s="9"/>
      <c r="BE1554" s="9"/>
      <c r="BF1554" s="9"/>
      <c r="BG1554" s="9"/>
      <c r="BH1554" s="9"/>
      <c r="BI1554" s="9"/>
      <c r="BJ1554" s="9"/>
      <c r="BK1554" s="9"/>
      <c r="BL1554" s="9"/>
      <c r="BM1554" s="9"/>
      <c r="BN1554" s="9"/>
      <c r="BO1554" s="9"/>
      <c r="BP1554" s="9"/>
      <c r="BQ1554" s="9"/>
      <c r="BR1554" s="9"/>
      <c r="BS1554" s="9"/>
      <c r="BT1554" s="9"/>
      <c r="BU1554" s="9"/>
      <c r="BV1554" s="9"/>
      <c r="BW1554" s="9"/>
      <c r="BX1554" s="9"/>
      <c r="BY1554" s="9"/>
      <c r="BZ1554" s="9"/>
      <c r="CA1554" s="9"/>
      <c r="CB1554" s="9"/>
      <c r="CC1554" s="9"/>
      <c r="CD1554" s="9"/>
      <c r="CE1554" s="9"/>
      <c r="CF1554" s="9"/>
      <c r="CG1554" s="9"/>
      <c r="CH1554" s="9"/>
      <c r="CI1554" s="9"/>
      <c r="CJ1554" s="9"/>
      <c r="CK1554" s="9"/>
      <c r="CL1554" s="9"/>
      <c r="CM1554" s="9"/>
      <c r="CN1554" s="9"/>
      <c r="CO1554" s="9"/>
      <c r="CP1554" s="9"/>
    </row>
    <row r="1555" spans="1:94" ht="15.75" x14ac:dyDescent="0.25">
      <c r="A1555" s="126" t="s">
        <v>4399</v>
      </c>
      <c r="B1555" s="9" t="s">
        <v>4400</v>
      </c>
      <c r="C1555" s="9"/>
      <c r="D1555" s="9"/>
      <c r="E1555" s="9"/>
      <c r="F1555" s="9"/>
      <c r="G1555" s="9"/>
      <c r="H1555" s="9"/>
      <c r="I1555" s="9"/>
      <c r="J1555" s="9"/>
      <c r="K1555" s="9"/>
      <c r="L1555" s="9"/>
      <c r="M1555" s="9"/>
      <c r="N1555" s="9"/>
      <c r="O1555" s="9"/>
      <c r="P1555" s="9"/>
      <c r="Q1555" s="9"/>
      <c r="R1555" s="9"/>
      <c r="S1555" s="9"/>
      <c r="T1555" s="9"/>
      <c r="U1555" s="9"/>
      <c r="V1555" s="9"/>
      <c r="W1555" s="9"/>
      <c r="X1555" s="9"/>
      <c r="Y1555" s="9"/>
      <c r="Z1555" s="9"/>
      <c r="AA1555" s="9"/>
      <c r="AB1555" s="9"/>
      <c r="AC1555" s="9"/>
      <c r="AD1555" s="9"/>
      <c r="AE1555" s="9"/>
      <c r="AF1555" s="9"/>
      <c r="AG1555" s="9"/>
      <c r="AH1555" s="9"/>
      <c r="AI1555" s="9"/>
      <c r="AJ1555" s="9"/>
      <c r="AK1555" s="9"/>
      <c r="AL1555" s="9"/>
      <c r="AM1555" s="69"/>
      <c r="AN1555" s="9"/>
      <c r="AO1555" s="69" t="s">
        <v>4377</v>
      </c>
      <c r="AP1555" s="210"/>
      <c r="AQ1555" s="211"/>
      <c r="AR1555" s="211"/>
      <c r="AS1555" s="211"/>
      <c r="AT1555" s="211"/>
      <c r="AU1555" s="211"/>
      <c r="AV1555" s="211"/>
      <c r="AW1555" s="9"/>
      <c r="AX1555" s="9"/>
      <c r="AY1555" s="9"/>
      <c r="AZ1555" s="9"/>
      <c r="BA1555" s="120"/>
      <c r="BB1555" s="69"/>
      <c r="BC1555" s="9"/>
      <c r="BD1555" s="9"/>
      <c r="BE1555" s="9"/>
      <c r="BF1555" s="9"/>
      <c r="BG1555" s="9"/>
      <c r="BH1555" s="9"/>
      <c r="BI1555" s="9"/>
      <c r="BJ1555" s="9"/>
      <c r="BK1555" s="9"/>
      <c r="BL1555" s="9"/>
      <c r="BM1555" s="9"/>
      <c r="BN1555" s="9"/>
      <c r="BO1555" s="9"/>
      <c r="BP1555" s="9"/>
      <c r="BQ1555" s="9"/>
      <c r="BR1555" s="9"/>
      <c r="BS1555" s="9"/>
      <c r="BT1555" s="9"/>
      <c r="BU1555" s="9"/>
      <c r="BV1555" s="9"/>
      <c r="BW1555" s="9"/>
      <c r="BX1555" s="9"/>
      <c r="BY1555" s="9"/>
      <c r="BZ1555" s="9"/>
      <c r="CA1555" s="9"/>
      <c r="CB1555" s="9"/>
      <c r="CC1555" s="9"/>
      <c r="CD1555" s="9"/>
      <c r="CE1555" s="9"/>
      <c r="CF1555" s="9"/>
      <c r="CG1555" s="9"/>
      <c r="CH1555" s="9"/>
      <c r="CI1555" s="9"/>
      <c r="CJ1555" s="9"/>
      <c r="CK1555" s="9"/>
      <c r="CL1555" s="9"/>
      <c r="CM1555" s="9"/>
      <c r="CN1555" s="9"/>
      <c r="CO1555" s="9"/>
      <c r="CP1555" s="9"/>
    </row>
    <row r="1556" spans="1:94" ht="15.75" x14ac:dyDescent="0.25">
      <c r="A1556" s="126" t="s">
        <v>4401</v>
      </c>
      <c r="B1556" s="9" t="s">
        <v>4402</v>
      </c>
      <c r="C1556" s="9"/>
      <c r="D1556" s="9"/>
      <c r="E1556" s="9"/>
      <c r="F1556" s="9"/>
      <c r="G1556" s="9"/>
      <c r="H1556" s="9"/>
      <c r="I1556" s="9"/>
      <c r="J1556" s="9"/>
      <c r="K1556" s="9"/>
      <c r="L1556" s="9"/>
      <c r="M1556" s="9"/>
      <c r="N1556" s="9"/>
      <c r="O1556" s="9"/>
      <c r="P1556" s="9"/>
      <c r="Q1556" s="9"/>
      <c r="R1556" s="9"/>
      <c r="S1556" s="9"/>
      <c r="T1556" s="9"/>
      <c r="U1556" s="9"/>
      <c r="V1556" s="9"/>
      <c r="W1556" s="9"/>
      <c r="X1556" s="9"/>
      <c r="Y1556" s="9"/>
      <c r="Z1556" s="9"/>
      <c r="AA1556" s="9"/>
      <c r="AB1556" s="9"/>
      <c r="AC1556" s="9"/>
      <c r="AD1556" s="9"/>
      <c r="AE1556" s="9"/>
      <c r="AF1556" s="9"/>
      <c r="AG1556" s="9"/>
      <c r="AH1556" s="9"/>
      <c r="AI1556" s="9"/>
      <c r="AJ1556" s="9"/>
      <c r="AK1556" s="9"/>
      <c r="AL1556" s="9"/>
      <c r="AM1556" s="69"/>
      <c r="AN1556" s="9"/>
      <c r="AO1556" s="69" t="s">
        <v>4377</v>
      </c>
      <c r="AP1556" s="210"/>
      <c r="AQ1556" s="211"/>
      <c r="AR1556" s="211"/>
      <c r="AS1556" s="211"/>
      <c r="AT1556" s="211"/>
      <c r="AU1556" s="211"/>
      <c r="AV1556" s="211"/>
      <c r="AW1556" s="9"/>
      <c r="AX1556" s="9"/>
      <c r="AY1556" s="9"/>
      <c r="AZ1556" s="9"/>
      <c r="BA1556" s="120"/>
      <c r="BB1556" s="69"/>
      <c r="BC1556" s="9"/>
      <c r="BD1556" s="9"/>
      <c r="BE1556" s="9"/>
      <c r="BF1556" s="9"/>
      <c r="BG1556" s="9"/>
      <c r="BH1556" s="9"/>
      <c r="BI1556" s="9"/>
      <c r="BJ1556" s="9"/>
      <c r="BK1556" s="9"/>
      <c r="BL1556" s="9"/>
      <c r="BM1556" s="9"/>
      <c r="BN1556" s="9"/>
      <c r="BO1556" s="9"/>
      <c r="BP1556" s="9"/>
      <c r="BQ1556" s="9"/>
      <c r="BR1556" s="9"/>
      <c r="BS1556" s="9"/>
      <c r="BT1556" s="9"/>
      <c r="BU1556" s="9"/>
      <c r="BV1556" s="9"/>
      <c r="BW1556" s="9"/>
      <c r="BX1556" s="9"/>
      <c r="BY1556" s="9"/>
      <c r="BZ1556" s="9"/>
      <c r="CA1556" s="9"/>
      <c r="CB1556" s="9"/>
      <c r="CC1556" s="9"/>
      <c r="CD1556" s="9"/>
      <c r="CE1556" s="9"/>
      <c r="CF1556" s="9"/>
      <c r="CG1556" s="9"/>
      <c r="CH1556" s="9"/>
      <c r="CI1556" s="9"/>
      <c r="CJ1556" s="9"/>
      <c r="CK1556" s="9"/>
      <c r="CL1556" s="9"/>
      <c r="CM1556" s="9"/>
      <c r="CN1556" s="9"/>
      <c r="CO1556" s="9"/>
      <c r="CP1556" s="9"/>
    </row>
    <row r="1557" spans="1:94" ht="15.75" x14ac:dyDescent="0.25">
      <c r="A1557" s="126" t="s">
        <v>4403</v>
      </c>
      <c r="B1557" s="126" t="s">
        <v>4404</v>
      </c>
      <c r="C1557" s="9"/>
      <c r="D1557" s="9"/>
      <c r="E1557" s="9"/>
      <c r="F1557" s="9"/>
      <c r="G1557" s="9"/>
      <c r="H1557" s="9"/>
      <c r="I1557" s="9"/>
      <c r="J1557" s="9"/>
      <c r="K1557" s="9"/>
      <c r="L1557" s="9"/>
      <c r="M1557" s="9"/>
      <c r="N1557" s="9"/>
      <c r="O1557" s="9"/>
      <c r="P1557" s="9"/>
      <c r="Q1557" s="9"/>
      <c r="R1557" s="9"/>
      <c r="S1557" s="9"/>
      <c r="T1557" s="9"/>
      <c r="U1557" s="9"/>
      <c r="V1557" s="9"/>
      <c r="W1557" s="9"/>
      <c r="X1557" s="9"/>
      <c r="Y1557" s="9"/>
      <c r="Z1557" s="9"/>
      <c r="AA1557" s="9"/>
      <c r="AB1557" s="9"/>
      <c r="AC1557" s="9"/>
      <c r="AD1557" s="9"/>
      <c r="AE1557" s="9"/>
      <c r="AF1557" s="9"/>
      <c r="AG1557" s="9"/>
      <c r="AH1557" s="9"/>
      <c r="AI1557" s="9"/>
      <c r="AJ1557" s="9"/>
      <c r="AK1557" s="9"/>
      <c r="AL1557" s="9"/>
      <c r="AM1557" s="69"/>
      <c r="AN1557" s="9"/>
      <c r="AO1557" s="69"/>
      <c r="AP1557" s="210"/>
      <c r="AQ1557" s="211"/>
      <c r="AR1557" s="211"/>
      <c r="AS1557" s="211"/>
      <c r="AT1557" s="211"/>
      <c r="AU1557" s="211"/>
      <c r="AV1557" s="211"/>
      <c r="AW1557" s="9"/>
      <c r="AX1557" s="9"/>
      <c r="AY1557" s="9"/>
      <c r="AZ1557" s="9"/>
      <c r="BA1557" s="120"/>
      <c r="BB1557" s="69"/>
      <c r="BC1557" s="9"/>
      <c r="BD1557" s="9"/>
      <c r="BE1557" s="9"/>
      <c r="BF1557" s="9"/>
      <c r="BG1557" s="9"/>
      <c r="BH1557" s="9"/>
      <c r="BI1557" s="9"/>
      <c r="BJ1557" s="9"/>
      <c r="BK1557" s="9"/>
      <c r="BL1557" s="9"/>
      <c r="BM1557" s="9"/>
      <c r="BN1557" s="9"/>
      <c r="BO1557" s="9"/>
      <c r="BP1557" s="9"/>
      <c r="BQ1557" s="9"/>
      <c r="BR1557" s="9"/>
      <c r="BS1557" s="9"/>
      <c r="BT1557" s="9"/>
      <c r="BU1557" s="9"/>
      <c r="BV1557" s="9"/>
      <c r="BW1557" s="9"/>
      <c r="BX1557" s="9"/>
      <c r="BY1557" s="9"/>
      <c r="BZ1557" s="9"/>
      <c r="CA1557" s="9"/>
      <c r="CB1557" s="9"/>
      <c r="CC1557" s="9"/>
      <c r="CD1557" s="9"/>
      <c r="CE1557" s="9"/>
      <c r="CF1557" s="9"/>
      <c r="CG1557" s="9"/>
      <c r="CH1557" s="9"/>
      <c r="CI1557" s="9"/>
      <c r="CJ1557" s="9"/>
      <c r="CK1557" s="9"/>
      <c r="CL1557" s="9"/>
      <c r="CM1557" s="9"/>
      <c r="CN1557" s="9"/>
      <c r="CO1557" s="9"/>
      <c r="CP1557" s="9"/>
    </row>
    <row r="1558" spans="1:94" ht="15.75" x14ac:dyDescent="0.25">
      <c r="A1558" s="126" t="s">
        <v>4405</v>
      </c>
      <c r="B1558" s="9" t="s">
        <v>4406</v>
      </c>
      <c r="C1558" s="9"/>
      <c r="D1558" s="9"/>
      <c r="E1558" s="9"/>
      <c r="F1558" s="9"/>
      <c r="G1558" s="9"/>
      <c r="H1558" s="9"/>
      <c r="I1558" s="9"/>
      <c r="J1558" s="9"/>
      <c r="K1558" s="9"/>
      <c r="L1558" s="9"/>
      <c r="M1558" s="9"/>
      <c r="N1558" s="9"/>
      <c r="O1558" s="9"/>
      <c r="P1558" s="9"/>
      <c r="Q1558" s="9"/>
      <c r="R1558" s="9"/>
      <c r="S1558" s="9"/>
      <c r="T1558" s="9"/>
      <c r="U1558" s="9"/>
      <c r="V1558" s="9"/>
      <c r="W1558" s="9"/>
      <c r="X1558" s="9"/>
      <c r="Y1558" s="9"/>
      <c r="Z1558" s="9"/>
      <c r="AA1558" s="9"/>
      <c r="AB1558" s="9"/>
      <c r="AC1558" s="9"/>
      <c r="AD1558" s="9"/>
      <c r="AE1558" s="9"/>
      <c r="AF1558" s="9"/>
      <c r="AG1558" s="9"/>
      <c r="AH1558" s="9"/>
      <c r="AI1558" s="9"/>
      <c r="AJ1558" s="9"/>
      <c r="AK1558" s="9"/>
      <c r="AL1558" s="9"/>
      <c r="AM1558" s="69"/>
      <c r="AN1558" s="9"/>
      <c r="AO1558" s="69" t="s">
        <v>4407</v>
      </c>
      <c r="AP1558" s="210"/>
      <c r="AQ1558" s="211"/>
      <c r="AR1558" s="211"/>
      <c r="AS1558" s="211"/>
      <c r="AT1558" s="211"/>
      <c r="AU1558" s="211"/>
      <c r="AV1558" s="211"/>
      <c r="AW1558" s="9"/>
      <c r="AX1558" s="9"/>
      <c r="AY1558" s="9"/>
      <c r="AZ1558" s="9"/>
      <c r="BA1558" s="120"/>
      <c r="BB1558" s="69"/>
      <c r="BC1558" s="9"/>
      <c r="BD1558" s="9"/>
      <c r="BE1558" s="9"/>
      <c r="BF1558" s="9"/>
      <c r="BG1558" s="9"/>
      <c r="BH1558" s="9"/>
      <c r="BI1558" s="9"/>
      <c r="BJ1558" s="9"/>
      <c r="BK1558" s="9"/>
      <c r="BL1558" s="9"/>
      <c r="BM1558" s="9"/>
      <c r="BN1558" s="9"/>
      <c r="BO1558" s="9"/>
      <c r="BP1558" s="9"/>
      <c r="BQ1558" s="9"/>
      <c r="BR1558" s="9"/>
      <c r="BS1558" s="9"/>
      <c r="BT1558" s="9"/>
      <c r="BU1558" s="9"/>
      <c r="BV1558" s="9"/>
      <c r="BW1558" s="9"/>
      <c r="BX1558" s="9"/>
      <c r="BY1558" s="9"/>
      <c r="BZ1558" s="9"/>
      <c r="CA1558" s="9"/>
      <c r="CB1558" s="9"/>
      <c r="CC1558" s="9"/>
      <c r="CD1558" s="9"/>
      <c r="CE1558" s="9"/>
      <c r="CF1558" s="9"/>
      <c r="CG1558" s="9"/>
      <c r="CH1558" s="9"/>
      <c r="CI1558" s="9"/>
      <c r="CJ1558" s="9"/>
      <c r="CK1558" s="9"/>
      <c r="CL1558" s="9"/>
      <c r="CM1558" s="9"/>
      <c r="CN1558" s="9"/>
      <c r="CO1558" s="9"/>
      <c r="CP1558" s="9"/>
    </row>
    <row r="1559" spans="1:94" x14ac:dyDescent="0.25">
      <c r="A1559" s="9" t="s">
        <v>4408</v>
      </c>
      <c r="B1559" s="9" t="s">
        <v>4409</v>
      </c>
      <c r="C1559" s="9"/>
      <c r="D1559" s="9"/>
      <c r="E1559" s="9"/>
      <c r="F1559" s="9"/>
      <c r="G1559" s="9"/>
      <c r="H1559" s="9"/>
      <c r="I1559" s="9"/>
      <c r="J1559" s="9"/>
      <c r="K1559" s="9"/>
      <c r="L1559" s="9"/>
      <c r="M1559" s="9"/>
      <c r="N1559" s="9"/>
      <c r="O1559" s="9"/>
      <c r="P1559" s="9"/>
      <c r="Q1559" s="9"/>
      <c r="R1559" s="9"/>
      <c r="S1559" s="9"/>
      <c r="T1559" s="9"/>
      <c r="U1559" s="9"/>
      <c r="V1559" s="9"/>
      <c r="W1559" s="9"/>
      <c r="X1559" s="9"/>
      <c r="Y1559" s="9"/>
      <c r="Z1559" s="9"/>
      <c r="AA1559" s="9"/>
      <c r="AB1559" s="9"/>
      <c r="AC1559" s="9"/>
      <c r="AD1559" s="9"/>
      <c r="AE1559" s="9"/>
      <c r="AF1559" s="9"/>
      <c r="AG1559" s="9"/>
      <c r="AH1559" s="9"/>
      <c r="AI1559" s="9"/>
      <c r="AJ1559" s="9"/>
      <c r="AK1559" s="9"/>
      <c r="AL1559" s="9"/>
      <c r="AM1559" s="69"/>
      <c r="AN1559" s="9"/>
      <c r="AO1559" s="69" t="s">
        <v>4410</v>
      </c>
      <c r="AP1559" s="210"/>
      <c r="AQ1559" s="211"/>
      <c r="AR1559" s="211"/>
      <c r="AS1559" s="211"/>
      <c r="AT1559" s="211"/>
      <c r="AU1559" s="211"/>
      <c r="AV1559" s="211"/>
      <c r="AW1559" s="9"/>
      <c r="AX1559" s="9"/>
      <c r="AY1559" s="9"/>
      <c r="AZ1559" s="9"/>
      <c r="BA1559" s="120"/>
      <c r="BB1559" s="69"/>
      <c r="BC1559" s="9"/>
      <c r="BD1559" s="9"/>
      <c r="BE1559" s="9"/>
      <c r="BF1559" s="9"/>
      <c r="BG1559" s="9"/>
      <c r="BH1559" s="9"/>
      <c r="BI1559" s="9"/>
      <c r="BJ1559" s="9"/>
      <c r="BK1559" s="9"/>
      <c r="BL1559" s="9"/>
      <c r="BM1559" s="9"/>
      <c r="BN1559" s="9"/>
      <c r="BO1559" s="9"/>
      <c r="BP1559" s="9"/>
      <c r="BQ1559" s="9"/>
      <c r="BR1559" s="9"/>
      <c r="BS1559" s="9"/>
      <c r="BT1559" s="9"/>
      <c r="BU1559" s="9"/>
      <c r="BV1559" s="9"/>
      <c r="BW1559" s="9"/>
      <c r="BX1559" s="9"/>
      <c r="BY1559" s="9"/>
      <c r="BZ1559" s="9"/>
      <c r="CA1559" s="9"/>
      <c r="CB1559" s="9"/>
      <c r="CC1559" s="9"/>
      <c r="CD1559" s="9"/>
      <c r="CE1559" s="9"/>
      <c r="CF1559" s="9"/>
      <c r="CG1559" s="9"/>
      <c r="CH1559" s="9"/>
      <c r="CI1559" s="9"/>
      <c r="CJ1559" s="9"/>
      <c r="CK1559" s="9"/>
      <c r="CL1559" s="9"/>
      <c r="CM1559" s="9"/>
      <c r="CN1559" s="9"/>
      <c r="CO1559" s="9"/>
      <c r="CP1559" s="9"/>
    </row>
    <row r="1560" spans="1:94" x14ac:dyDescent="0.25">
      <c r="A1560" s="9" t="s">
        <v>4411</v>
      </c>
      <c r="B1560" s="9" t="s">
        <v>4412</v>
      </c>
      <c r="C1560" s="9"/>
      <c r="D1560" s="9"/>
      <c r="E1560" s="9"/>
      <c r="F1560" s="9"/>
      <c r="G1560" s="9"/>
      <c r="H1560" s="9"/>
      <c r="I1560" s="9"/>
      <c r="J1560" s="9"/>
      <c r="K1560" s="9"/>
      <c r="L1560" s="9"/>
      <c r="M1560" s="9"/>
      <c r="N1560" s="9"/>
      <c r="O1560" s="9"/>
      <c r="P1560" s="9"/>
      <c r="Q1560" s="9"/>
      <c r="R1560" s="9"/>
      <c r="S1560" s="9"/>
      <c r="T1560" s="9"/>
      <c r="U1560" s="9"/>
      <c r="V1560" s="9"/>
      <c r="W1560" s="9"/>
      <c r="X1560" s="9"/>
      <c r="Y1560" s="9"/>
      <c r="Z1560" s="9"/>
      <c r="AA1560" s="9"/>
      <c r="AB1560" s="9"/>
      <c r="AC1560" s="9"/>
      <c r="AD1560" s="9"/>
      <c r="AE1560" s="9"/>
      <c r="AF1560" s="9"/>
      <c r="AG1560" s="9"/>
      <c r="AH1560" s="9"/>
      <c r="AI1560" s="9"/>
      <c r="AJ1560" s="9"/>
      <c r="AK1560" s="9"/>
      <c r="AL1560" s="9"/>
      <c r="AM1560" s="69"/>
      <c r="AN1560" s="9"/>
      <c r="AO1560" s="69" t="s">
        <v>4407</v>
      </c>
      <c r="AP1560" s="210"/>
      <c r="AQ1560" s="211"/>
      <c r="AR1560" s="211"/>
      <c r="AS1560" s="211"/>
      <c r="AT1560" s="211"/>
      <c r="AU1560" s="211"/>
      <c r="AV1560" s="211"/>
      <c r="AW1560" s="9"/>
      <c r="AX1560" s="9"/>
      <c r="AY1560" s="9"/>
      <c r="AZ1560" s="9"/>
      <c r="BA1560" s="120"/>
      <c r="BB1560" s="69"/>
      <c r="BC1560" s="9"/>
      <c r="BD1560" s="9"/>
      <c r="BE1560" s="9"/>
      <c r="BF1560" s="9"/>
      <c r="BG1560" s="9"/>
      <c r="BH1560" s="9"/>
      <c r="BI1560" s="9"/>
      <c r="BJ1560" s="9"/>
      <c r="BK1560" s="9"/>
      <c r="BL1560" s="9"/>
      <c r="BM1560" s="9"/>
      <c r="BN1560" s="9"/>
      <c r="BO1560" s="9"/>
      <c r="BP1560" s="9"/>
      <c r="BQ1560" s="9"/>
      <c r="BR1560" s="9"/>
      <c r="BS1560" s="9"/>
      <c r="BT1560" s="9"/>
      <c r="BU1560" s="9"/>
      <c r="BV1560" s="9"/>
      <c r="BW1560" s="9"/>
      <c r="BX1560" s="9"/>
      <c r="BY1560" s="9"/>
      <c r="BZ1560" s="9"/>
      <c r="CA1560" s="9"/>
      <c r="CB1560" s="9"/>
      <c r="CC1560" s="9"/>
      <c r="CD1560" s="9"/>
      <c r="CE1560" s="9"/>
      <c r="CF1560" s="9"/>
      <c r="CG1560" s="9"/>
      <c r="CH1560" s="9"/>
      <c r="CI1560" s="9"/>
      <c r="CJ1560" s="9"/>
      <c r="CK1560" s="9"/>
      <c r="CL1560" s="9"/>
      <c r="CM1560" s="9"/>
      <c r="CN1560" s="9"/>
      <c r="CO1560" s="9"/>
      <c r="CP1560" s="9"/>
    </row>
    <row r="1561" spans="1:94" x14ac:dyDescent="0.25">
      <c r="A1561" s="9" t="s">
        <v>4413</v>
      </c>
      <c r="B1561" s="9" t="s">
        <v>4414</v>
      </c>
      <c r="C1561" s="9"/>
      <c r="D1561" s="9"/>
      <c r="E1561" s="9"/>
      <c r="F1561" s="9"/>
      <c r="G1561" s="9"/>
      <c r="H1561" s="9"/>
      <c r="I1561" s="9"/>
      <c r="J1561" s="9"/>
      <c r="K1561" s="9"/>
      <c r="L1561" s="9"/>
      <c r="M1561" s="9"/>
      <c r="N1561" s="9"/>
      <c r="O1561" s="9"/>
      <c r="P1561" s="9"/>
      <c r="Q1561" s="9"/>
      <c r="R1561" s="9"/>
      <c r="S1561" s="9"/>
      <c r="T1561" s="9"/>
      <c r="U1561" s="9"/>
      <c r="V1561" s="9"/>
      <c r="W1561" s="9"/>
      <c r="X1561" s="9"/>
      <c r="Y1561" s="9"/>
      <c r="Z1561" s="9"/>
      <c r="AA1561" s="9"/>
      <c r="AB1561" s="9"/>
      <c r="AC1561" s="9"/>
      <c r="AD1561" s="9"/>
      <c r="AE1561" s="9"/>
      <c r="AF1561" s="9"/>
      <c r="AG1561" s="9"/>
      <c r="AH1561" s="9"/>
      <c r="AI1561" s="9"/>
      <c r="AJ1561" s="9"/>
      <c r="AK1561" s="9"/>
      <c r="AL1561" s="9"/>
      <c r="AM1561" s="69"/>
      <c r="AN1561" s="9"/>
      <c r="AO1561" s="69" t="s">
        <v>4407</v>
      </c>
      <c r="AP1561" s="210"/>
      <c r="AQ1561" s="211"/>
      <c r="AR1561" s="211"/>
      <c r="AS1561" s="211"/>
      <c r="AT1561" s="211"/>
      <c r="AU1561" s="211"/>
      <c r="AV1561" s="211"/>
      <c r="AW1561" s="9"/>
      <c r="AX1561" s="9"/>
      <c r="AY1561" s="9"/>
      <c r="AZ1561" s="9"/>
      <c r="BA1561" s="120"/>
      <c r="BB1561" s="69"/>
      <c r="BC1561" s="9"/>
      <c r="BD1561" s="9"/>
      <c r="BE1561" s="9"/>
      <c r="BF1561" s="9"/>
      <c r="BG1561" s="9"/>
      <c r="BH1561" s="9"/>
      <c r="BI1561" s="9"/>
      <c r="BJ1561" s="9"/>
      <c r="BK1561" s="9"/>
      <c r="BL1561" s="9"/>
      <c r="BM1561" s="9"/>
      <c r="BN1561" s="9"/>
      <c r="BO1561" s="9"/>
      <c r="BP1561" s="9"/>
      <c r="BQ1561" s="9"/>
      <c r="BR1561" s="9"/>
      <c r="BS1561" s="9"/>
      <c r="BT1561" s="9"/>
      <c r="BU1561" s="9"/>
      <c r="BV1561" s="9"/>
      <c r="BW1561" s="9"/>
      <c r="BX1561" s="9"/>
      <c r="BY1561" s="9"/>
      <c r="BZ1561" s="9"/>
      <c r="CA1561" s="9"/>
      <c r="CB1561" s="9"/>
      <c r="CC1561" s="9"/>
      <c r="CD1561" s="9"/>
      <c r="CE1561" s="9"/>
      <c r="CF1561" s="9"/>
      <c r="CG1561" s="9"/>
      <c r="CH1561" s="9"/>
      <c r="CI1561" s="9"/>
      <c r="CJ1561" s="9"/>
      <c r="CK1561" s="9"/>
      <c r="CL1561" s="9"/>
      <c r="CM1561" s="9"/>
      <c r="CN1561" s="9"/>
      <c r="CO1561" s="9"/>
      <c r="CP1561" s="9"/>
    </row>
    <row r="1562" spans="1:94" x14ac:dyDescent="0.25">
      <c r="A1562" s="9" t="s">
        <v>4415</v>
      </c>
      <c r="B1562" s="9" t="s">
        <v>4416</v>
      </c>
      <c r="C1562" s="9"/>
      <c r="D1562" s="9"/>
      <c r="E1562" s="9"/>
      <c r="F1562" s="9"/>
      <c r="G1562" s="9"/>
      <c r="H1562" s="9"/>
      <c r="I1562" s="9"/>
      <c r="J1562" s="9"/>
      <c r="K1562" s="9"/>
      <c r="L1562" s="9"/>
      <c r="M1562" s="9"/>
      <c r="N1562" s="9"/>
      <c r="O1562" s="9"/>
      <c r="P1562" s="9"/>
      <c r="Q1562" s="9"/>
      <c r="R1562" s="9"/>
      <c r="S1562" s="9"/>
      <c r="T1562" s="9"/>
      <c r="U1562" s="9"/>
      <c r="V1562" s="9"/>
      <c r="W1562" s="9"/>
      <c r="X1562" s="9"/>
      <c r="Y1562" s="9"/>
      <c r="Z1562" s="9"/>
      <c r="AA1562" s="9"/>
      <c r="AB1562" s="9"/>
      <c r="AC1562" s="9"/>
      <c r="AD1562" s="9"/>
      <c r="AE1562" s="9"/>
      <c r="AF1562" s="9"/>
      <c r="AG1562" s="9"/>
      <c r="AH1562" s="9"/>
      <c r="AI1562" s="9"/>
      <c r="AJ1562" s="9"/>
      <c r="AK1562" s="9"/>
      <c r="AL1562" s="9"/>
      <c r="AM1562" s="69"/>
      <c r="AN1562" s="9"/>
      <c r="AO1562" s="69" t="s">
        <v>4407</v>
      </c>
      <c r="AP1562" s="210"/>
      <c r="AQ1562" s="211"/>
      <c r="AR1562" s="211"/>
      <c r="AS1562" s="211"/>
      <c r="AT1562" s="211"/>
      <c r="AU1562" s="211"/>
      <c r="AV1562" s="211"/>
      <c r="AW1562" s="9"/>
      <c r="AX1562" s="9"/>
      <c r="AY1562" s="9"/>
      <c r="AZ1562" s="9"/>
      <c r="BA1562" s="120"/>
      <c r="BB1562" s="69"/>
      <c r="BC1562" s="9"/>
      <c r="BD1562" s="9"/>
      <c r="BE1562" s="9"/>
      <c r="BF1562" s="9"/>
      <c r="BG1562" s="9"/>
      <c r="BH1562" s="9"/>
      <c r="BI1562" s="9"/>
      <c r="BJ1562" s="9"/>
      <c r="BK1562" s="9"/>
      <c r="BL1562" s="9"/>
      <c r="BM1562" s="9"/>
      <c r="BN1562" s="9"/>
      <c r="BO1562" s="9"/>
      <c r="BP1562" s="9"/>
      <c r="BQ1562" s="9"/>
      <c r="BR1562" s="9"/>
      <c r="BS1562" s="9"/>
      <c r="BT1562" s="9"/>
      <c r="BU1562" s="9"/>
      <c r="BV1562" s="9"/>
      <c r="BW1562" s="9"/>
      <c r="BX1562" s="9"/>
      <c r="BY1562" s="9"/>
      <c r="BZ1562" s="9"/>
      <c r="CA1562" s="9"/>
      <c r="CB1562" s="9"/>
      <c r="CC1562" s="9"/>
      <c r="CD1562" s="9"/>
      <c r="CE1562" s="9"/>
      <c r="CF1562" s="9"/>
      <c r="CG1562" s="9"/>
      <c r="CH1562" s="9"/>
      <c r="CI1562" s="9"/>
      <c r="CJ1562" s="9"/>
      <c r="CK1562" s="9"/>
      <c r="CL1562" s="9"/>
      <c r="CM1562" s="9"/>
      <c r="CN1562" s="9"/>
      <c r="CO1562" s="9"/>
      <c r="CP1562" s="9"/>
    </row>
    <row r="1563" spans="1:94" ht="15.75" x14ac:dyDescent="0.25">
      <c r="A1563" s="126" t="s">
        <v>4417</v>
      </c>
      <c r="B1563" s="9" t="s">
        <v>4418</v>
      </c>
      <c r="C1563" s="9"/>
      <c r="D1563" s="9"/>
      <c r="E1563" s="9"/>
      <c r="F1563" s="9"/>
      <c r="G1563" s="9"/>
      <c r="H1563" s="9"/>
      <c r="I1563" s="9"/>
      <c r="J1563" s="9"/>
      <c r="K1563" s="9"/>
      <c r="L1563" s="9"/>
      <c r="M1563" s="9"/>
      <c r="N1563" s="9"/>
      <c r="O1563" s="9"/>
      <c r="P1563" s="9"/>
      <c r="Q1563" s="9"/>
      <c r="R1563" s="9"/>
      <c r="S1563" s="9"/>
      <c r="T1563" s="9"/>
      <c r="U1563" s="9"/>
      <c r="V1563" s="9"/>
      <c r="W1563" s="9"/>
      <c r="X1563" s="9"/>
      <c r="Y1563" s="9"/>
      <c r="Z1563" s="9"/>
      <c r="AA1563" s="9"/>
      <c r="AB1563" s="9"/>
      <c r="AC1563" s="9"/>
      <c r="AD1563" s="9"/>
      <c r="AE1563" s="9"/>
      <c r="AF1563" s="9"/>
      <c r="AG1563" s="9"/>
      <c r="AH1563" s="9"/>
      <c r="AI1563" s="9"/>
      <c r="AJ1563" s="9"/>
      <c r="AK1563" s="9"/>
      <c r="AL1563" s="9"/>
      <c r="AM1563" s="69"/>
      <c r="AN1563" s="9"/>
      <c r="AO1563" s="69" t="s">
        <v>4377</v>
      </c>
      <c r="AP1563" s="210"/>
      <c r="AQ1563" s="211"/>
      <c r="AR1563" s="211"/>
      <c r="AS1563" s="211"/>
      <c r="AT1563" s="211"/>
      <c r="AU1563" s="211"/>
      <c r="AV1563" s="211"/>
      <c r="AW1563" s="9"/>
      <c r="AX1563" s="9"/>
      <c r="AY1563" s="9"/>
      <c r="AZ1563" s="9"/>
      <c r="BA1563" s="120"/>
      <c r="BB1563" s="69"/>
      <c r="BC1563" s="9"/>
      <c r="BD1563" s="9"/>
      <c r="BE1563" s="9"/>
      <c r="BF1563" s="9"/>
      <c r="BG1563" s="9"/>
      <c r="BH1563" s="9"/>
      <c r="BI1563" s="9"/>
      <c r="BJ1563" s="9"/>
      <c r="BK1563" s="9"/>
      <c r="BL1563" s="9"/>
      <c r="BM1563" s="9"/>
      <c r="BN1563" s="9"/>
      <c r="BO1563" s="9"/>
      <c r="BP1563" s="9"/>
      <c r="BQ1563" s="9"/>
      <c r="BR1563" s="9"/>
      <c r="BS1563" s="9"/>
      <c r="BT1563" s="9"/>
      <c r="BU1563" s="9"/>
      <c r="BV1563" s="9"/>
      <c r="BW1563" s="9"/>
      <c r="BX1563" s="9"/>
      <c r="BY1563" s="9"/>
      <c r="BZ1563" s="9"/>
      <c r="CA1563" s="9"/>
      <c r="CB1563" s="9"/>
      <c r="CC1563" s="9"/>
      <c r="CD1563" s="9"/>
      <c r="CE1563" s="9"/>
      <c r="CF1563" s="9"/>
      <c r="CG1563" s="9"/>
      <c r="CH1563" s="9"/>
      <c r="CI1563" s="9"/>
      <c r="CJ1563" s="9"/>
      <c r="CK1563" s="9"/>
      <c r="CL1563" s="9"/>
      <c r="CM1563" s="9"/>
      <c r="CN1563" s="9"/>
      <c r="CO1563" s="9"/>
      <c r="CP1563" s="9"/>
    </row>
    <row r="1564" spans="1:94" x14ac:dyDescent="0.25">
      <c r="A1564" s="127" t="s">
        <v>4419</v>
      </c>
      <c r="B1564" s="9" t="s">
        <v>4420</v>
      </c>
      <c r="C1564" s="9"/>
      <c r="D1564" s="9"/>
      <c r="E1564" s="9"/>
      <c r="F1564" s="9"/>
      <c r="G1564" s="9"/>
      <c r="H1564" s="9"/>
      <c r="I1564" s="9"/>
      <c r="J1564" s="9"/>
      <c r="K1564" s="9"/>
      <c r="L1564" s="9"/>
      <c r="M1564" s="9"/>
      <c r="N1564" s="9"/>
      <c r="O1564" s="9"/>
      <c r="P1564" s="9"/>
      <c r="Q1564" s="9"/>
      <c r="R1564" s="9"/>
      <c r="S1564" s="9"/>
      <c r="T1564" s="9"/>
      <c r="U1564" s="9"/>
      <c r="V1564" s="9"/>
      <c r="W1564" s="9"/>
      <c r="X1564" s="9"/>
      <c r="Y1564" s="9"/>
      <c r="Z1564" s="9"/>
      <c r="AA1564" s="9"/>
      <c r="AB1564" s="9"/>
      <c r="AC1564" s="9"/>
      <c r="AD1564" s="9"/>
      <c r="AE1564" s="9"/>
      <c r="AF1564" s="9"/>
      <c r="AG1564" s="9"/>
      <c r="AH1564" s="9"/>
      <c r="AI1564" s="9"/>
      <c r="AJ1564" s="9"/>
      <c r="AK1564" s="9"/>
      <c r="AL1564" s="9"/>
      <c r="AM1564" s="69"/>
      <c r="AN1564" s="9"/>
      <c r="AO1564" s="69" t="s">
        <v>4407</v>
      </c>
      <c r="AP1564" s="210"/>
      <c r="AQ1564" s="211"/>
      <c r="AR1564" s="211"/>
      <c r="AS1564" s="211"/>
      <c r="AT1564" s="211"/>
      <c r="AU1564" s="211"/>
      <c r="AV1564" s="211"/>
      <c r="AW1564" s="9"/>
      <c r="AX1564" s="9"/>
      <c r="AY1564" s="9"/>
      <c r="AZ1564" s="9"/>
      <c r="BA1564" s="120"/>
      <c r="BB1564" s="69"/>
      <c r="BC1564" s="9"/>
      <c r="BD1564" s="9"/>
      <c r="BE1564" s="9"/>
      <c r="BF1564" s="9"/>
      <c r="BG1564" s="9"/>
      <c r="BH1564" s="9"/>
      <c r="BI1564" s="9"/>
      <c r="BJ1564" s="9"/>
      <c r="BK1564" s="9"/>
      <c r="BL1564" s="9"/>
      <c r="BM1564" s="9"/>
      <c r="BN1564" s="9"/>
      <c r="BO1564" s="9"/>
      <c r="BP1564" s="9"/>
      <c r="BQ1564" s="9"/>
      <c r="BR1564" s="9"/>
      <c r="BS1564" s="9"/>
      <c r="BT1564" s="9"/>
      <c r="BU1564" s="9"/>
      <c r="BV1564" s="9"/>
      <c r="BW1564" s="9"/>
      <c r="BX1564" s="9"/>
      <c r="BY1564" s="9"/>
      <c r="BZ1564" s="9"/>
      <c r="CA1564" s="9"/>
      <c r="CB1564" s="9"/>
      <c r="CC1564" s="9"/>
      <c r="CD1564" s="9"/>
      <c r="CE1564" s="9"/>
      <c r="CF1564" s="9"/>
      <c r="CG1564" s="9"/>
      <c r="CH1564" s="9"/>
      <c r="CI1564" s="9"/>
      <c r="CJ1564" s="9"/>
      <c r="CK1564" s="9"/>
      <c r="CL1564" s="9"/>
      <c r="CM1564" s="9"/>
      <c r="CN1564" s="9"/>
      <c r="CO1564" s="9"/>
      <c r="CP1564" s="9"/>
    </row>
    <row r="1565" spans="1:94" ht="15.75" x14ac:dyDescent="0.25">
      <c r="A1565" s="126" t="s">
        <v>4421</v>
      </c>
      <c r="B1565" s="9" t="s">
        <v>4422</v>
      </c>
      <c r="C1565" s="9"/>
      <c r="D1565" s="9"/>
      <c r="E1565" s="9"/>
      <c r="F1565" s="9"/>
      <c r="G1565" s="9"/>
      <c r="H1565" s="9"/>
      <c r="I1565" s="9"/>
      <c r="J1565" s="9"/>
      <c r="K1565" s="9"/>
      <c r="L1565" s="9"/>
      <c r="M1565" s="9"/>
      <c r="N1565" s="9"/>
      <c r="O1565" s="9"/>
      <c r="P1565" s="9"/>
      <c r="Q1565" s="9"/>
      <c r="R1565" s="9"/>
      <c r="S1565" s="9"/>
      <c r="T1565" s="9"/>
      <c r="U1565" s="9"/>
      <c r="V1565" s="9"/>
      <c r="W1565" s="9"/>
      <c r="X1565" s="9"/>
      <c r="Y1565" s="9"/>
      <c r="Z1565" s="9"/>
      <c r="AA1565" s="9"/>
      <c r="AB1565" s="9"/>
      <c r="AC1565" s="9"/>
      <c r="AD1565" s="9"/>
      <c r="AE1565" s="9"/>
      <c r="AF1565" s="9"/>
      <c r="AG1565" s="9"/>
      <c r="AH1565" s="9"/>
      <c r="AI1565" s="9"/>
      <c r="AJ1565" s="9"/>
      <c r="AK1565" s="9"/>
      <c r="AL1565" s="9"/>
      <c r="AM1565" s="69"/>
      <c r="AN1565" s="9"/>
      <c r="AO1565" s="69" t="s">
        <v>4407</v>
      </c>
      <c r="AP1565" s="210"/>
      <c r="AQ1565" s="211"/>
      <c r="AR1565" s="211"/>
      <c r="AS1565" s="211"/>
      <c r="AT1565" s="211"/>
      <c r="AU1565" s="211"/>
      <c r="AV1565" s="211"/>
      <c r="AW1565" s="9"/>
      <c r="AX1565" s="9"/>
      <c r="AY1565" s="9"/>
      <c r="AZ1565" s="9"/>
      <c r="BA1565" s="120"/>
      <c r="BB1565" s="69"/>
      <c r="BC1565" s="9"/>
      <c r="BD1565" s="9"/>
      <c r="BE1565" s="9"/>
      <c r="BF1565" s="9"/>
      <c r="BG1565" s="9"/>
      <c r="BH1565" s="9"/>
      <c r="BI1565" s="9"/>
      <c r="BJ1565" s="9"/>
      <c r="BK1565" s="9"/>
      <c r="BL1565" s="9"/>
      <c r="BM1565" s="9"/>
      <c r="BN1565" s="9"/>
      <c r="BO1565" s="9"/>
      <c r="BP1565" s="9"/>
      <c r="BQ1565" s="9"/>
      <c r="BR1565" s="9"/>
      <c r="BS1565" s="9"/>
      <c r="BT1565" s="9"/>
      <c r="BU1565" s="9"/>
      <c r="BV1565" s="9"/>
      <c r="BW1565" s="9"/>
      <c r="BX1565" s="9"/>
      <c r="BY1565" s="9"/>
      <c r="BZ1565" s="9"/>
      <c r="CA1565" s="9"/>
      <c r="CB1565" s="9"/>
      <c r="CC1565" s="9"/>
      <c r="CD1565" s="9"/>
      <c r="CE1565" s="9"/>
      <c r="CF1565" s="9"/>
      <c r="CG1565" s="9"/>
      <c r="CH1565" s="9"/>
      <c r="CI1565" s="9"/>
      <c r="CJ1565" s="9"/>
      <c r="CK1565" s="9"/>
      <c r="CL1565" s="9"/>
      <c r="CM1565" s="9"/>
      <c r="CN1565" s="9"/>
      <c r="CO1565" s="9"/>
      <c r="CP1565" s="9"/>
    </row>
    <row r="1566" spans="1:94" ht="15.75" x14ac:dyDescent="0.25">
      <c r="A1566" s="126" t="s">
        <v>4423</v>
      </c>
      <c r="B1566" s="9" t="s">
        <v>4424</v>
      </c>
      <c r="C1566" s="9"/>
      <c r="D1566" s="9"/>
      <c r="E1566" s="9"/>
      <c r="F1566" s="9"/>
      <c r="G1566" s="9"/>
      <c r="H1566" s="9"/>
      <c r="I1566" s="9"/>
      <c r="J1566" s="9"/>
      <c r="K1566" s="9"/>
      <c r="L1566" s="9"/>
      <c r="M1566" s="9"/>
      <c r="N1566" s="9"/>
      <c r="O1566" s="9"/>
      <c r="P1566" s="9"/>
      <c r="Q1566" s="9"/>
      <c r="R1566" s="9"/>
      <c r="S1566" s="9"/>
      <c r="T1566" s="9"/>
      <c r="U1566" s="9"/>
      <c r="V1566" s="9"/>
      <c r="W1566" s="9"/>
      <c r="X1566" s="9"/>
      <c r="Y1566" s="9"/>
      <c r="Z1566" s="9"/>
      <c r="AA1566" s="9"/>
      <c r="AB1566" s="9"/>
      <c r="AC1566" s="9"/>
      <c r="AD1566" s="9"/>
      <c r="AE1566" s="9"/>
      <c r="AF1566" s="9"/>
      <c r="AG1566" s="9"/>
      <c r="AH1566" s="9"/>
      <c r="AI1566" s="9"/>
      <c r="AJ1566" s="9"/>
      <c r="AK1566" s="9"/>
      <c r="AL1566" s="9"/>
      <c r="AM1566" s="69"/>
      <c r="AN1566" s="9"/>
      <c r="AO1566" s="69" t="s">
        <v>4407</v>
      </c>
      <c r="AP1566" s="210"/>
      <c r="AQ1566" s="211"/>
      <c r="AR1566" s="211"/>
      <c r="AS1566" s="211"/>
      <c r="AT1566" s="211"/>
      <c r="AU1566" s="211"/>
      <c r="AV1566" s="211"/>
      <c r="AW1566" s="9"/>
      <c r="AX1566" s="9"/>
      <c r="AY1566" s="9"/>
      <c r="AZ1566" s="9"/>
      <c r="BA1566" s="120"/>
      <c r="BB1566" s="69"/>
      <c r="BC1566" s="9"/>
      <c r="BD1566" s="9"/>
      <c r="BE1566" s="9"/>
      <c r="BF1566" s="9"/>
      <c r="BG1566" s="9"/>
      <c r="BH1566" s="9"/>
      <c r="BI1566" s="9"/>
      <c r="BJ1566" s="9"/>
      <c r="BK1566" s="9"/>
      <c r="BL1566" s="9"/>
      <c r="BM1566" s="9"/>
      <c r="BN1566" s="9"/>
      <c r="BO1566" s="9"/>
      <c r="BP1566" s="9"/>
      <c r="BQ1566" s="9"/>
      <c r="BR1566" s="9"/>
      <c r="BS1566" s="9"/>
      <c r="BT1566" s="9"/>
      <c r="BU1566" s="9"/>
      <c r="BV1566" s="9"/>
      <c r="BW1566" s="9"/>
      <c r="BX1566" s="9"/>
      <c r="BY1566" s="9"/>
      <c r="BZ1566" s="9"/>
      <c r="CA1566" s="9"/>
      <c r="CB1566" s="9"/>
      <c r="CC1566" s="9"/>
      <c r="CD1566" s="9"/>
      <c r="CE1566" s="9"/>
      <c r="CF1566" s="9"/>
      <c r="CG1566" s="9"/>
      <c r="CH1566" s="9"/>
      <c r="CI1566" s="9"/>
      <c r="CJ1566" s="9"/>
      <c r="CK1566" s="9"/>
      <c r="CL1566" s="9"/>
      <c r="CM1566" s="9"/>
      <c r="CN1566" s="9"/>
      <c r="CO1566" s="9"/>
      <c r="CP1566" s="9"/>
    </row>
    <row r="1567" spans="1:94" ht="15.75" x14ac:dyDescent="0.25">
      <c r="A1567" s="126" t="s">
        <v>4425</v>
      </c>
      <c r="B1567" s="9" t="s">
        <v>4416</v>
      </c>
      <c r="C1567" s="9"/>
      <c r="D1567" s="9"/>
      <c r="E1567" s="9"/>
      <c r="F1567" s="9"/>
      <c r="G1567" s="9"/>
      <c r="H1567" s="9"/>
      <c r="I1567" s="9"/>
      <c r="J1567" s="9"/>
      <c r="K1567" s="9"/>
      <c r="L1567" s="9"/>
      <c r="M1567" s="9"/>
      <c r="N1567" s="9"/>
      <c r="O1567" s="9"/>
      <c r="P1567" s="9"/>
      <c r="Q1567" s="9"/>
      <c r="R1567" s="9"/>
      <c r="S1567" s="9"/>
      <c r="T1567" s="9"/>
      <c r="U1567" s="9"/>
      <c r="V1567" s="9"/>
      <c r="W1567" s="9"/>
      <c r="X1567" s="9"/>
      <c r="Y1567" s="9"/>
      <c r="Z1567" s="9"/>
      <c r="AA1567" s="9"/>
      <c r="AB1567" s="9"/>
      <c r="AC1567" s="9"/>
      <c r="AD1567" s="9"/>
      <c r="AE1567" s="9"/>
      <c r="AF1567" s="9"/>
      <c r="AG1567" s="9"/>
      <c r="AH1567" s="9"/>
      <c r="AI1567" s="9"/>
      <c r="AJ1567" s="9"/>
      <c r="AK1567" s="9"/>
      <c r="AL1567" s="9"/>
      <c r="AM1567" s="69"/>
      <c r="AN1567" s="9"/>
      <c r="AO1567" s="69" t="s">
        <v>4407</v>
      </c>
      <c r="AP1567" s="210"/>
      <c r="AQ1567" s="211"/>
      <c r="AR1567" s="211"/>
      <c r="AS1567" s="211"/>
      <c r="AT1567" s="211"/>
      <c r="AU1567" s="211"/>
      <c r="AV1567" s="211"/>
      <c r="AW1567" s="9"/>
      <c r="AX1567" s="9"/>
      <c r="AY1567" s="9"/>
      <c r="AZ1567" s="9"/>
      <c r="BA1567" s="120"/>
      <c r="BB1567" s="69"/>
      <c r="BC1567" s="9"/>
      <c r="BD1567" s="9"/>
      <c r="BE1567" s="9"/>
      <c r="BF1567" s="9"/>
      <c r="BG1567" s="9"/>
      <c r="BH1567" s="9"/>
      <c r="BI1567" s="9"/>
      <c r="BJ1567" s="9"/>
      <c r="BK1567" s="9"/>
      <c r="BL1567" s="9"/>
      <c r="BM1567" s="9"/>
      <c r="BN1567" s="9"/>
      <c r="BO1567" s="9"/>
      <c r="BP1567" s="9"/>
      <c r="BQ1567" s="9"/>
      <c r="BR1567" s="9"/>
      <c r="BS1567" s="9"/>
      <c r="BT1567" s="9"/>
      <c r="BU1567" s="9"/>
      <c r="BV1567" s="9"/>
      <c r="BW1567" s="9"/>
      <c r="BX1567" s="9"/>
      <c r="BY1567" s="9"/>
      <c r="BZ1567" s="9"/>
      <c r="CA1567" s="9"/>
      <c r="CB1567" s="9"/>
      <c r="CC1567" s="9"/>
      <c r="CD1567" s="9"/>
      <c r="CE1567" s="9"/>
      <c r="CF1567" s="9"/>
      <c r="CG1567" s="9"/>
      <c r="CH1567" s="9"/>
      <c r="CI1567" s="9"/>
      <c r="CJ1567" s="9"/>
      <c r="CK1567" s="9"/>
      <c r="CL1567" s="9"/>
      <c r="CM1567" s="9"/>
      <c r="CN1567" s="9"/>
      <c r="CO1567" s="9"/>
      <c r="CP1567" s="9"/>
    </row>
    <row r="1568" spans="1:94" ht="15.75" x14ac:dyDescent="0.25">
      <c r="A1568" s="126" t="s">
        <v>4426</v>
      </c>
      <c r="B1568" s="9" t="s">
        <v>4427</v>
      </c>
      <c r="C1568" s="9"/>
      <c r="D1568" s="9"/>
      <c r="E1568" s="9"/>
      <c r="F1568" s="9"/>
      <c r="G1568" s="9"/>
      <c r="H1568" s="9"/>
      <c r="I1568" s="9"/>
      <c r="J1568" s="9"/>
      <c r="K1568" s="9"/>
      <c r="L1568" s="9"/>
      <c r="M1568" s="9"/>
      <c r="N1568" s="9"/>
      <c r="O1568" s="9"/>
      <c r="P1568" s="9"/>
      <c r="Q1568" s="9"/>
      <c r="R1568" s="9"/>
      <c r="S1568" s="9"/>
      <c r="T1568" s="9"/>
      <c r="U1568" s="9"/>
      <c r="V1568" s="9"/>
      <c r="W1568" s="9"/>
      <c r="X1568" s="9"/>
      <c r="Y1568" s="9"/>
      <c r="Z1568" s="9"/>
      <c r="AA1568" s="9"/>
      <c r="AB1568" s="9"/>
      <c r="AC1568" s="9"/>
      <c r="AD1568" s="9"/>
      <c r="AE1568" s="9"/>
      <c r="AF1568" s="9"/>
      <c r="AG1568" s="9"/>
      <c r="AH1568" s="9"/>
      <c r="AI1568" s="9"/>
      <c r="AJ1568" s="9"/>
      <c r="AK1568" s="9"/>
      <c r="AL1568" s="9"/>
      <c r="AM1568" s="69"/>
      <c r="AN1568" s="9"/>
      <c r="AO1568" s="69" t="s">
        <v>4407</v>
      </c>
      <c r="AP1568" s="210"/>
      <c r="AQ1568" s="211"/>
      <c r="AR1568" s="211"/>
      <c r="AS1568" s="211"/>
      <c r="AT1568" s="211"/>
      <c r="AU1568" s="211"/>
      <c r="AV1568" s="211"/>
      <c r="AW1568" s="9"/>
      <c r="AX1568" s="9"/>
      <c r="AY1568" s="9"/>
      <c r="AZ1568" s="9"/>
      <c r="BA1568" s="120"/>
      <c r="BB1568" s="69"/>
      <c r="BC1568" s="9"/>
      <c r="BD1568" s="9"/>
      <c r="BE1568" s="9"/>
      <c r="BF1568" s="9"/>
      <c r="BG1568" s="9"/>
      <c r="BH1568" s="9"/>
      <c r="BI1568" s="9"/>
      <c r="BJ1568" s="9"/>
      <c r="BK1568" s="9"/>
      <c r="BL1568" s="9"/>
      <c r="BM1568" s="9"/>
      <c r="BN1568" s="9"/>
      <c r="BO1568" s="9"/>
      <c r="BP1568" s="9"/>
      <c r="BQ1568" s="9"/>
      <c r="BR1568" s="9"/>
      <c r="BS1568" s="9"/>
      <c r="BT1568" s="9"/>
      <c r="BU1568" s="9"/>
      <c r="BV1568" s="9"/>
      <c r="BW1568" s="9"/>
      <c r="BX1568" s="9"/>
      <c r="BY1568" s="9"/>
      <c r="BZ1568" s="9"/>
      <c r="CA1568" s="9"/>
      <c r="CB1568" s="9"/>
      <c r="CC1568" s="9"/>
      <c r="CD1568" s="9"/>
      <c r="CE1568" s="9"/>
      <c r="CF1568" s="9"/>
      <c r="CG1568" s="9"/>
      <c r="CH1568" s="9"/>
      <c r="CI1568" s="9"/>
      <c r="CJ1568" s="9"/>
      <c r="CK1568" s="9"/>
      <c r="CL1568" s="9"/>
      <c r="CM1568" s="9"/>
      <c r="CN1568" s="9"/>
      <c r="CO1568" s="9"/>
      <c r="CP1568" s="9"/>
    </row>
    <row r="1569" spans="1:94" ht="15.75" x14ac:dyDescent="0.25">
      <c r="A1569" s="126" t="s">
        <v>4428</v>
      </c>
      <c r="B1569" s="9" t="s">
        <v>4429</v>
      </c>
      <c r="C1569" s="9"/>
      <c r="D1569" s="9"/>
      <c r="E1569" s="9"/>
      <c r="F1569" s="9"/>
      <c r="G1569" s="9"/>
      <c r="H1569" s="9"/>
      <c r="I1569" s="9"/>
      <c r="J1569" s="9"/>
      <c r="K1569" s="9"/>
      <c r="L1569" s="9"/>
      <c r="M1569" s="9"/>
      <c r="N1569" s="9"/>
      <c r="O1569" s="9"/>
      <c r="P1569" s="9"/>
      <c r="Q1569" s="9"/>
      <c r="R1569" s="9"/>
      <c r="S1569" s="9"/>
      <c r="T1569" s="9"/>
      <c r="U1569" s="9"/>
      <c r="V1569" s="9"/>
      <c r="W1569" s="9"/>
      <c r="X1569" s="9"/>
      <c r="Y1569" s="9"/>
      <c r="Z1569" s="9"/>
      <c r="AA1569" s="9"/>
      <c r="AB1569" s="9"/>
      <c r="AC1569" s="9"/>
      <c r="AD1569" s="9"/>
      <c r="AE1569" s="9"/>
      <c r="AF1569" s="9"/>
      <c r="AG1569" s="9"/>
      <c r="AH1569" s="9"/>
      <c r="AI1569" s="9"/>
      <c r="AJ1569" s="9"/>
      <c r="AK1569" s="9"/>
      <c r="AL1569" s="9"/>
      <c r="AM1569" s="69"/>
      <c r="AN1569" s="9"/>
      <c r="AO1569" s="69" t="s">
        <v>4407</v>
      </c>
      <c r="AP1569" s="210"/>
      <c r="AQ1569" s="211"/>
      <c r="AR1569" s="211"/>
      <c r="AS1569" s="211"/>
      <c r="AT1569" s="211"/>
      <c r="AU1569" s="211"/>
      <c r="AV1569" s="211"/>
      <c r="AW1569" s="9"/>
      <c r="AX1569" s="9"/>
      <c r="AY1569" s="9"/>
      <c r="AZ1569" s="9"/>
      <c r="BA1569" s="120"/>
      <c r="BB1569" s="69"/>
      <c r="BC1569" s="9"/>
      <c r="BD1569" s="9"/>
      <c r="BE1569" s="9"/>
      <c r="BF1569" s="9"/>
      <c r="BG1569" s="9"/>
      <c r="BH1569" s="9"/>
      <c r="BI1569" s="9"/>
      <c r="BJ1569" s="9"/>
      <c r="BK1569" s="9"/>
      <c r="BL1569" s="9"/>
      <c r="BM1569" s="9"/>
      <c r="BN1569" s="9"/>
      <c r="BO1569" s="9"/>
      <c r="BP1569" s="9"/>
      <c r="BQ1569" s="9"/>
      <c r="BR1569" s="9"/>
      <c r="BS1569" s="9"/>
      <c r="BT1569" s="9"/>
      <c r="BU1569" s="9"/>
      <c r="BV1569" s="9"/>
      <c r="BW1569" s="9"/>
      <c r="BX1569" s="9"/>
      <c r="BY1569" s="9"/>
      <c r="BZ1569" s="9"/>
      <c r="CA1569" s="9"/>
      <c r="CB1569" s="9"/>
      <c r="CC1569" s="9"/>
      <c r="CD1569" s="9"/>
      <c r="CE1569" s="9"/>
      <c r="CF1569" s="9"/>
      <c r="CG1569" s="9"/>
      <c r="CH1569" s="9"/>
      <c r="CI1569" s="9"/>
      <c r="CJ1569" s="9"/>
      <c r="CK1569" s="9"/>
      <c r="CL1569" s="9"/>
      <c r="CM1569" s="9"/>
      <c r="CN1569" s="9"/>
      <c r="CO1569" s="9"/>
      <c r="CP1569" s="9"/>
    </row>
    <row r="1570" spans="1:94" ht="45" x14ac:dyDescent="0.25">
      <c r="A1570" s="9" t="s">
        <v>4430</v>
      </c>
      <c r="B1570" s="9" t="s">
        <v>4431</v>
      </c>
      <c r="C1570" s="9"/>
      <c r="D1570" s="9"/>
      <c r="E1570" s="9"/>
      <c r="F1570" s="9"/>
      <c r="G1570" s="9"/>
      <c r="H1570" s="9"/>
      <c r="I1570" s="9"/>
      <c r="J1570" s="9"/>
      <c r="K1570" s="9"/>
      <c r="L1570" s="9"/>
      <c r="M1570" s="9"/>
      <c r="N1570" s="9"/>
      <c r="O1570" s="9"/>
      <c r="P1570" s="9"/>
      <c r="Q1570" s="9"/>
      <c r="R1570" s="9"/>
      <c r="S1570" s="9"/>
      <c r="T1570" s="9"/>
      <c r="U1570" s="9"/>
      <c r="V1570" s="9"/>
      <c r="W1570" s="9"/>
      <c r="X1570" s="9"/>
      <c r="Y1570" s="9"/>
      <c r="Z1570" s="9"/>
      <c r="AA1570" s="9"/>
      <c r="AB1570" s="9"/>
      <c r="AC1570" s="9"/>
      <c r="AD1570" s="9"/>
      <c r="AE1570" s="9"/>
      <c r="AF1570" s="9"/>
      <c r="AG1570" s="9"/>
      <c r="AH1570" s="9"/>
      <c r="AI1570" s="9"/>
      <c r="AJ1570" s="9"/>
      <c r="AK1570" s="9"/>
      <c r="AL1570" s="9"/>
      <c r="AM1570" s="69"/>
      <c r="AN1570" s="9"/>
      <c r="AO1570" s="69" t="s">
        <v>4194</v>
      </c>
      <c r="AP1570" s="210"/>
      <c r="AQ1570" s="211"/>
      <c r="AR1570" s="211"/>
      <c r="AS1570" s="211"/>
      <c r="AT1570" s="211"/>
      <c r="AU1570" s="211"/>
      <c r="AV1570" s="211"/>
      <c r="AW1570" s="9"/>
      <c r="AX1570" s="9"/>
      <c r="AY1570" s="9"/>
      <c r="AZ1570" s="9"/>
      <c r="BA1570" s="120"/>
      <c r="BB1570" s="69"/>
      <c r="BC1570" s="9"/>
      <c r="BD1570" s="9"/>
      <c r="BE1570" s="9"/>
      <c r="BF1570" s="9"/>
      <c r="BG1570" s="9"/>
      <c r="BH1570" s="9"/>
      <c r="BI1570" s="9"/>
      <c r="BJ1570" s="9"/>
      <c r="BK1570" s="9"/>
      <c r="BL1570" s="9"/>
      <c r="BM1570" s="9"/>
      <c r="BN1570" s="9"/>
      <c r="BO1570" s="9"/>
      <c r="BP1570" s="9"/>
      <c r="BQ1570" s="9"/>
      <c r="BR1570" s="9"/>
      <c r="BS1570" s="9"/>
      <c r="BT1570" s="9"/>
      <c r="BU1570" s="9"/>
      <c r="BV1570" s="9"/>
      <c r="BW1570" s="9"/>
      <c r="BX1570" s="9"/>
      <c r="BY1570" s="9"/>
      <c r="BZ1570" s="9"/>
      <c r="CA1570" s="9"/>
      <c r="CB1570" s="9"/>
      <c r="CC1570" s="9"/>
      <c r="CD1570" s="9"/>
      <c r="CE1570" s="9"/>
      <c r="CF1570" s="9"/>
      <c r="CG1570" s="9"/>
      <c r="CH1570" s="9"/>
      <c r="CI1570" s="9"/>
      <c r="CJ1570" s="9"/>
      <c r="CK1570" s="9"/>
      <c r="CL1570" s="9"/>
      <c r="CM1570" s="9"/>
      <c r="CN1570" s="9"/>
      <c r="CO1570" s="9"/>
      <c r="CP1570" s="9"/>
    </row>
    <row r="1571" spans="1:94" ht="15.75" x14ac:dyDescent="0.25">
      <c r="A1571" s="126" t="s">
        <v>4432</v>
      </c>
      <c r="B1571" s="9" t="s">
        <v>4433</v>
      </c>
      <c r="C1571" s="9"/>
      <c r="D1571" s="9"/>
      <c r="E1571" s="9"/>
      <c r="F1571" s="9"/>
      <c r="G1571" s="9"/>
      <c r="H1571" s="9"/>
      <c r="I1571" s="9"/>
      <c r="J1571" s="9"/>
      <c r="K1571" s="9"/>
      <c r="L1571" s="9"/>
      <c r="M1571" s="9"/>
      <c r="N1571" s="9"/>
      <c r="O1571" s="9"/>
      <c r="P1571" s="9"/>
      <c r="Q1571" s="9"/>
      <c r="R1571" s="9"/>
      <c r="S1571" s="9"/>
      <c r="T1571" s="9"/>
      <c r="U1571" s="9"/>
      <c r="V1571" s="9"/>
      <c r="W1571" s="9"/>
      <c r="X1571" s="9"/>
      <c r="Y1571" s="9"/>
      <c r="Z1571" s="9"/>
      <c r="AA1571" s="9"/>
      <c r="AB1571" s="9"/>
      <c r="AC1571" s="9"/>
      <c r="AD1571" s="9"/>
      <c r="AE1571" s="9"/>
      <c r="AF1571" s="9"/>
      <c r="AG1571" s="9"/>
      <c r="AH1571" s="9"/>
      <c r="AI1571" s="9"/>
      <c r="AJ1571" s="9"/>
      <c r="AK1571" s="9"/>
      <c r="AL1571" s="9"/>
      <c r="AM1571" s="69"/>
      <c r="AN1571" s="9"/>
      <c r="AO1571" s="69" t="s">
        <v>4434</v>
      </c>
      <c r="AP1571" s="210"/>
      <c r="AQ1571" s="211"/>
      <c r="AR1571" s="211"/>
      <c r="AS1571" s="211"/>
      <c r="AT1571" s="211"/>
      <c r="AU1571" s="211"/>
      <c r="AV1571" s="211"/>
      <c r="AW1571" s="9"/>
      <c r="AX1571" s="9"/>
      <c r="AY1571" s="9"/>
      <c r="AZ1571" s="9"/>
      <c r="BA1571" s="120"/>
      <c r="BB1571" s="69"/>
      <c r="BC1571" s="9"/>
      <c r="BD1571" s="9"/>
      <c r="BE1571" s="9"/>
      <c r="BF1571" s="9"/>
      <c r="BG1571" s="9"/>
      <c r="BH1571" s="9"/>
      <c r="BI1571" s="9"/>
      <c r="BJ1571" s="9"/>
      <c r="BK1571" s="9"/>
      <c r="BL1571" s="9"/>
      <c r="BM1571" s="9"/>
      <c r="BN1571" s="9"/>
      <c r="BO1571" s="9"/>
      <c r="BP1571" s="9"/>
      <c r="BQ1571" s="9"/>
      <c r="BR1571" s="9"/>
      <c r="BS1571" s="9"/>
      <c r="BT1571" s="9"/>
      <c r="BU1571" s="9"/>
      <c r="BV1571" s="9"/>
      <c r="BW1571" s="9"/>
      <c r="BX1571" s="9"/>
      <c r="BY1571" s="9"/>
      <c r="BZ1571" s="9"/>
      <c r="CA1571" s="9"/>
      <c r="CB1571" s="9"/>
      <c r="CC1571" s="9"/>
      <c r="CD1571" s="9"/>
      <c r="CE1571" s="9"/>
      <c r="CF1571" s="9"/>
      <c r="CG1571" s="9"/>
      <c r="CH1571" s="9"/>
      <c r="CI1571" s="9"/>
      <c r="CJ1571" s="9"/>
      <c r="CK1571" s="9"/>
      <c r="CL1571" s="9"/>
      <c r="CM1571" s="9"/>
      <c r="CN1571" s="9"/>
      <c r="CO1571" s="9"/>
      <c r="CP1571" s="9"/>
    </row>
    <row r="1572" spans="1:94" ht="30" x14ac:dyDescent="0.25">
      <c r="A1572" s="267" t="s">
        <v>4435</v>
      </c>
      <c r="B1572" s="9" t="s">
        <v>4436</v>
      </c>
      <c r="C1572" s="9"/>
      <c r="D1572" s="9"/>
      <c r="E1572" s="9"/>
      <c r="F1572" s="9"/>
      <c r="G1572" s="9"/>
      <c r="H1572" s="9"/>
      <c r="I1572" s="9"/>
      <c r="J1572" s="9"/>
      <c r="K1572" s="9"/>
      <c r="L1572" s="9"/>
      <c r="M1572" s="9"/>
      <c r="N1572" s="9"/>
      <c r="O1572" s="9"/>
      <c r="P1572" s="9"/>
      <c r="Q1572" s="9"/>
      <c r="R1572" s="9"/>
      <c r="S1572" s="9"/>
      <c r="T1572" s="9"/>
      <c r="U1572" s="9"/>
      <c r="V1572" s="9"/>
      <c r="W1572" s="9"/>
      <c r="X1572" s="9"/>
      <c r="Y1572" s="9"/>
      <c r="Z1572" s="9"/>
      <c r="AA1572" s="9"/>
      <c r="AB1572" s="9"/>
      <c r="AC1572" s="9"/>
      <c r="AD1572" s="9"/>
      <c r="AE1572" s="9"/>
      <c r="AF1572" s="9"/>
      <c r="AG1572" s="9"/>
      <c r="AH1572" s="9"/>
      <c r="AI1572" s="9"/>
      <c r="AJ1572" s="9"/>
      <c r="AK1572" s="9"/>
      <c r="AL1572" s="9"/>
      <c r="AM1572" s="69"/>
      <c r="AN1572" s="9"/>
      <c r="AO1572" s="69" t="s">
        <v>4437</v>
      </c>
      <c r="AP1572" s="210"/>
      <c r="AQ1572" s="211"/>
      <c r="AR1572" s="211"/>
      <c r="AS1572" s="211"/>
      <c r="AT1572" s="211"/>
      <c r="AU1572" s="211"/>
      <c r="AV1572" s="211"/>
      <c r="AW1572" s="9"/>
      <c r="AX1572" s="9"/>
      <c r="AY1572" s="9"/>
      <c r="AZ1572" s="9"/>
      <c r="BA1572" s="120"/>
      <c r="BB1572" s="69"/>
      <c r="BC1572" s="9"/>
      <c r="BD1572" s="9"/>
      <c r="BE1572" s="9"/>
      <c r="BF1572" s="9"/>
      <c r="BG1572" s="9"/>
      <c r="BH1572" s="9"/>
      <c r="BI1572" s="9"/>
      <c r="BJ1572" s="9"/>
      <c r="BK1572" s="9"/>
      <c r="BL1572" s="9"/>
      <c r="BM1572" s="9"/>
      <c r="BN1572" s="9"/>
      <c r="BO1572" s="9"/>
      <c r="BP1572" s="9"/>
      <c r="BQ1572" s="9"/>
      <c r="BR1572" s="9"/>
      <c r="BS1572" s="9"/>
      <c r="BT1572" s="9"/>
      <c r="BU1572" s="9"/>
      <c r="BV1572" s="9"/>
      <c r="BW1572" s="9"/>
      <c r="BX1572" s="9"/>
      <c r="BY1572" s="9"/>
      <c r="BZ1572" s="9"/>
      <c r="CA1572" s="9"/>
      <c r="CB1572" s="9"/>
      <c r="CC1572" s="9"/>
      <c r="CD1572" s="9"/>
      <c r="CE1572" s="9"/>
      <c r="CF1572" s="9"/>
      <c r="CG1572" s="9"/>
      <c r="CH1572" s="9"/>
      <c r="CI1572" s="9"/>
      <c r="CJ1572" s="9"/>
      <c r="CK1572" s="9"/>
      <c r="CL1572" s="9"/>
      <c r="CM1572" s="9"/>
      <c r="CN1572" s="9"/>
      <c r="CO1572" s="9"/>
      <c r="CP1572" s="9"/>
    </row>
    <row r="1573" spans="1:94" ht="15.75" x14ac:dyDescent="0.25">
      <c r="A1573" s="126" t="s">
        <v>4438</v>
      </c>
      <c r="B1573" s="9" t="s">
        <v>4439</v>
      </c>
      <c r="C1573" s="9"/>
      <c r="D1573" s="9"/>
      <c r="E1573" s="9"/>
      <c r="F1573" s="9"/>
      <c r="G1573" s="9"/>
      <c r="H1573" s="9"/>
      <c r="I1573" s="9"/>
      <c r="J1573" s="9"/>
      <c r="K1573" s="9"/>
      <c r="L1573" s="9"/>
      <c r="M1573" s="9"/>
      <c r="N1573" s="9"/>
      <c r="O1573" s="9"/>
      <c r="P1573" s="9"/>
      <c r="Q1573" s="9"/>
      <c r="R1573" s="9"/>
      <c r="S1573" s="9"/>
      <c r="T1573" s="9"/>
      <c r="U1573" s="9"/>
      <c r="V1573" s="9"/>
      <c r="W1573" s="9"/>
      <c r="X1573" s="9"/>
      <c r="Y1573" s="9"/>
      <c r="Z1573" s="9"/>
      <c r="AA1573" s="9"/>
      <c r="AB1573" s="9"/>
      <c r="AC1573" s="9"/>
      <c r="AD1573" s="9"/>
      <c r="AE1573" s="9"/>
      <c r="AF1573" s="9"/>
      <c r="AG1573" s="9"/>
      <c r="AH1573" s="9"/>
      <c r="AI1573" s="9"/>
      <c r="AJ1573" s="9"/>
      <c r="AK1573" s="9"/>
      <c r="AL1573" s="9"/>
      <c r="AM1573" s="69"/>
      <c r="AN1573" s="9"/>
      <c r="AO1573" s="69" t="s">
        <v>4434</v>
      </c>
      <c r="AP1573" s="210"/>
      <c r="AQ1573" s="211"/>
      <c r="AR1573" s="211"/>
      <c r="AS1573" s="211"/>
      <c r="AT1573" s="211"/>
      <c r="AU1573" s="211"/>
      <c r="AV1573" s="211"/>
      <c r="AW1573" s="9"/>
      <c r="AX1573" s="9"/>
      <c r="AY1573" s="9"/>
      <c r="AZ1573" s="9"/>
      <c r="BA1573" s="120"/>
      <c r="BB1573" s="69"/>
      <c r="BC1573" s="9"/>
      <c r="BD1573" s="9"/>
      <c r="BE1573" s="9"/>
      <c r="BF1573" s="9"/>
      <c r="BG1573" s="9"/>
      <c r="BH1573" s="9"/>
      <c r="BI1573" s="9"/>
      <c r="BJ1573" s="9"/>
      <c r="BK1573" s="9"/>
      <c r="BL1573" s="9"/>
      <c r="BM1573" s="9"/>
      <c r="BN1573" s="9"/>
      <c r="BO1573" s="9"/>
      <c r="BP1573" s="9"/>
      <c r="BQ1573" s="9"/>
      <c r="BR1573" s="9"/>
      <c r="BS1573" s="9"/>
      <c r="BT1573" s="9"/>
      <c r="BU1573" s="9"/>
      <c r="BV1573" s="9"/>
      <c r="BW1573" s="9"/>
      <c r="BX1573" s="9"/>
      <c r="BY1573" s="9"/>
      <c r="BZ1573" s="9"/>
      <c r="CA1573" s="9"/>
      <c r="CB1573" s="9"/>
      <c r="CC1573" s="9"/>
      <c r="CD1573" s="9"/>
      <c r="CE1573" s="9"/>
      <c r="CF1573" s="9"/>
      <c r="CG1573" s="9"/>
      <c r="CH1573" s="9"/>
      <c r="CI1573" s="9"/>
      <c r="CJ1573" s="9"/>
      <c r="CK1573" s="9"/>
      <c r="CL1573" s="9"/>
      <c r="CM1573" s="9"/>
      <c r="CN1573" s="9"/>
      <c r="CO1573" s="9"/>
      <c r="CP1573" s="9"/>
    </row>
    <row r="1574" spans="1:94" ht="15.75" x14ac:dyDescent="0.25">
      <c r="A1574" s="126" t="s">
        <v>4440</v>
      </c>
      <c r="B1574" s="9" t="s">
        <v>4441</v>
      </c>
      <c r="C1574" s="9"/>
      <c r="D1574" s="9"/>
      <c r="E1574" s="9"/>
      <c r="F1574" s="9"/>
      <c r="G1574" s="9"/>
      <c r="H1574" s="9"/>
      <c r="I1574" s="9"/>
      <c r="J1574" s="9"/>
      <c r="K1574" s="9"/>
      <c r="L1574" s="9"/>
      <c r="M1574" s="9"/>
      <c r="N1574" s="9"/>
      <c r="O1574" s="9"/>
      <c r="P1574" s="9"/>
      <c r="Q1574" s="9"/>
      <c r="R1574" s="9"/>
      <c r="S1574" s="9"/>
      <c r="T1574" s="9"/>
      <c r="U1574" s="9"/>
      <c r="V1574" s="9"/>
      <c r="W1574" s="9"/>
      <c r="X1574" s="9"/>
      <c r="Y1574" s="9"/>
      <c r="Z1574" s="9"/>
      <c r="AA1574" s="9"/>
      <c r="AB1574" s="9"/>
      <c r="AC1574" s="9"/>
      <c r="AD1574" s="9"/>
      <c r="AE1574" s="9"/>
      <c r="AF1574" s="9"/>
      <c r="AG1574" s="9"/>
      <c r="AH1574" s="9"/>
      <c r="AI1574" s="9"/>
      <c r="AJ1574" s="9"/>
      <c r="AK1574" s="9"/>
      <c r="AL1574" s="9"/>
      <c r="AM1574" s="69"/>
      <c r="AN1574" s="9"/>
      <c r="AO1574" s="69" t="s">
        <v>4434</v>
      </c>
      <c r="AP1574" s="210"/>
      <c r="AQ1574" s="211"/>
      <c r="AR1574" s="211"/>
      <c r="AS1574" s="211"/>
      <c r="AT1574" s="211"/>
      <c r="AU1574" s="211"/>
      <c r="AV1574" s="211"/>
      <c r="AW1574" s="9"/>
      <c r="AX1574" s="9"/>
      <c r="AY1574" s="9"/>
      <c r="AZ1574" s="9"/>
      <c r="BA1574" s="120"/>
      <c r="BB1574" s="69"/>
      <c r="BC1574" s="9"/>
      <c r="BD1574" s="9"/>
      <c r="BE1574" s="9"/>
      <c r="BF1574" s="9"/>
      <c r="BG1574" s="9"/>
      <c r="BH1574" s="9"/>
      <c r="BI1574" s="9"/>
      <c r="BJ1574" s="9"/>
      <c r="BK1574" s="9"/>
      <c r="BL1574" s="9"/>
      <c r="BM1574" s="9"/>
      <c r="BN1574" s="9"/>
      <c r="BO1574" s="9"/>
      <c r="BP1574" s="9"/>
      <c r="BQ1574" s="9"/>
      <c r="BR1574" s="9"/>
      <c r="BS1574" s="9"/>
      <c r="BT1574" s="9"/>
      <c r="BU1574" s="9"/>
      <c r="BV1574" s="9"/>
      <c r="BW1574" s="9"/>
      <c r="BX1574" s="9"/>
      <c r="BY1574" s="9"/>
      <c r="BZ1574" s="9"/>
      <c r="CA1574" s="9"/>
      <c r="CB1574" s="9"/>
      <c r="CC1574" s="9"/>
      <c r="CD1574" s="9"/>
      <c r="CE1574" s="9"/>
      <c r="CF1574" s="9"/>
      <c r="CG1574" s="9"/>
      <c r="CH1574" s="9"/>
      <c r="CI1574" s="9"/>
      <c r="CJ1574" s="9"/>
      <c r="CK1574" s="9"/>
      <c r="CL1574" s="9"/>
      <c r="CM1574" s="9"/>
      <c r="CN1574" s="9"/>
      <c r="CO1574" s="9"/>
      <c r="CP1574" s="9"/>
    </row>
    <row r="1575" spans="1:94" ht="30" x14ac:dyDescent="0.25">
      <c r="A1575" s="126" t="s">
        <v>4442</v>
      </c>
      <c r="B1575" s="9" t="s">
        <v>4443</v>
      </c>
      <c r="C1575" s="9"/>
      <c r="D1575" s="9"/>
      <c r="E1575" s="9"/>
      <c r="F1575" s="9"/>
      <c r="G1575" s="9"/>
      <c r="H1575" s="9"/>
      <c r="I1575" s="9"/>
      <c r="J1575" s="9"/>
      <c r="K1575" s="9"/>
      <c r="L1575" s="9"/>
      <c r="M1575" s="9"/>
      <c r="N1575" s="9"/>
      <c r="O1575" s="9"/>
      <c r="P1575" s="9"/>
      <c r="Q1575" s="9"/>
      <c r="R1575" s="9"/>
      <c r="S1575" s="9"/>
      <c r="T1575" s="9"/>
      <c r="U1575" s="9"/>
      <c r="V1575" s="9"/>
      <c r="W1575" s="9"/>
      <c r="X1575" s="9"/>
      <c r="Y1575" s="9"/>
      <c r="Z1575" s="9"/>
      <c r="AA1575" s="9"/>
      <c r="AB1575" s="9"/>
      <c r="AC1575" s="9"/>
      <c r="AD1575" s="9"/>
      <c r="AE1575" s="9"/>
      <c r="AF1575" s="9"/>
      <c r="AG1575" s="9"/>
      <c r="AH1575" s="9"/>
      <c r="AI1575" s="9"/>
      <c r="AJ1575" s="9"/>
      <c r="AK1575" s="9"/>
      <c r="AL1575" s="9"/>
      <c r="AM1575" s="69"/>
      <c r="AN1575" s="9"/>
      <c r="AO1575" s="69" t="s">
        <v>4437</v>
      </c>
      <c r="AP1575" s="210"/>
      <c r="AQ1575" s="211"/>
      <c r="AR1575" s="211"/>
      <c r="AS1575" s="211"/>
      <c r="AT1575" s="211"/>
      <c r="AU1575" s="211"/>
      <c r="AV1575" s="211"/>
      <c r="AW1575" s="9"/>
      <c r="AX1575" s="9"/>
      <c r="AY1575" s="9"/>
      <c r="AZ1575" s="9"/>
      <c r="BA1575" s="120"/>
      <c r="BB1575" s="69"/>
      <c r="BC1575" s="9"/>
      <c r="BD1575" s="9"/>
      <c r="BE1575" s="9"/>
      <c r="BF1575" s="9"/>
      <c r="BG1575" s="9"/>
      <c r="BH1575" s="9"/>
      <c r="BI1575" s="9"/>
      <c r="BJ1575" s="9"/>
      <c r="BK1575" s="9"/>
      <c r="BL1575" s="9"/>
      <c r="BM1575" s="9"/>
      <c r="BN1575" s="9"/>
      <c r="BO1575" s="9"/>
      <c r="BP1575" s="9"/>
      <c r="BQ1575" s="9"/>
      <c r="BR1575" s="9"/>
      <c r="BS1575" s="9"/>
      <c r="BT1575" s="9"/>
      <c r="BU1575" s="9"/>
      <c r="BV1575" s="9"/>
      <c r="BW1575" s="9"/>
      <c r="BX1575" s="9"/>
      <c r="BY1575" s="9"/>
      <c r="BZ1575" s="9"/>
      <c r="CA1575" s="9"/>
      <c r="CB1575" s="9"/>
      <c r="CC1575" s="9"/>
      <c r="CD1575" s="9"/>
      <c r="CE1575" s="9"/>
      <c r="CF1575" s="9"/>
      <c r="CG1575" s="9"/>
      <c r="CH1575" s="9"/>
      <c r="CI1575" s="9"/>
      <c r="CJ1575" s="9"/>
      <c r="CK1575" s="9"/>
      <c r="CL1575" s="9"/>
      <c r="CM1575" s="9"/>
      <c r="CN1575" s="9"/>
      <c r="CO1575" s="9"/>
      <c r="CP1575" s="9"/>
    </row>
    <row r="1576" spans="1:94" ht="15.75" x14ac:dyDescent="0.25">
      <c r="A1576" s="126" t="s">
        <v>4444</v>
      </c>
      <c r="B1576" s="9" t="s">
        <v>4445</v>
      </c>
      <c r="C1576" s="9"/>
      <c r="D1576" s="9"/>
      <c r="E1576" s="9"/>
      <c r="F1576" s="9"/>
      <c r="G1576" s="9"/>
      <c r="H1576" s="9"/>
      <c r="I1576" s="9"/>
      <c r="J1576" s="9"/>
      <c r="K1576" s="9"/>
      <c r="L1576" s="9"/>
      <c r="M1576" s="9"/>
      <c r="N1576" s="9"/>
      <c r="O1576" s="9"/>
      <c r="P1576" s="9"/>
      <c r="Q1576" s="9"/>
      <c r="R1576" s="9"/>
      <c r="S1576" s="9"/>
      <c r="T1576" s="9"/>
      <c r="U1576" s="9"/>
      <c r="V1576" s="9"/>
      <c r="W1576" s="9"/>
      <c r="X1576" s="9"/>
      <c r="Y1576" s="9"/>
      <c r="Z1576" s="9"/>
      <c r="AA1576" s="9"/>
      <c r="AB1576" s="9"/>
      <c r="AC1576" s="9"/>
      <c r="AD1576" s="9"/>
      <c r="AE1576" s="9"/>
      <c r="AF1576" s="9"/>
      <c r="AG1576" s="9"/>
      <c r="AH1576" s="9"/>
      <c r="AI1576" s="9"/>
      <c r="AJ1576" s="9"/>
      <c r="AK1576" s="9"/>
      <c r="AL1576" s="9"/>
      <c r="AM1576" s="69"/>
      <c r="AN1576" s="9"/>
      <c r="AO1576" s="69" t="s">
        <v>4377</v>
      </c>
      <c r="AP1576" s="210"/>
      <c r="AQ1576" s="211"/>
      <c r="AR1576" s="211"/>
      <c r="AS1576" s="211"/>
      <c r="AT1576" s="211"/>
      <c r="AU1576" s="211"/>
      <c r="AV1576" s="211"/>
      <c r="AW1576" s="9"/>
      <c r="AX1576" s="9"/>
      <c r="AY1576" s="9"/>
      <c r="AZ1576" s="9"/>
      <c r="BA1576" s="120"/>
      <c r="BB1576" s="69"/>
      <c r="BC1576" s="9"/>
      <c r="BD1576" s="9"/>
      <c r="BE1576" s="9"/>
      <c r="BF1576" s="9"/>
      <c r="BG1576" s="9"/>
      <c r="BH1576" s="9"/>
      <c r="BI1576" s="9"/>
      <c r="BJ1576" s="9"/>
      <c r="BK1576" s="9"/>
      <c r="BL1576" s="9"/>
      <c r="BM1576" s="9"/>
      <c r="BN1576" s="9"/>
      <c r="BO1576" s="9"/>
      <c r="BP1576" s="9"/>
      <c r="BQ1576" s="9"/>
      <c r="BR1576" s="9"/>
      <c r="BS1576" s="9"/>
      <c r="BT1576" s="9"/>
      <c r="BU1576" s="9"/>
      <c r="BV1576" s="9"/>
      <c r="BW1576" s="9"/>
      <c r="BX1576" s="9"/>
      <c r="BY1576" s="9"/>
      <c r="BZ1576" s="9"/>
      <c r="CA1576" s="9"/>
      <c r="CB1576" s="9"/>
      <c r="CC1576" s="9"/>
      <c r="CD1576" s="9"/>
      <c r="CE1576" s="9"/>
      <c r="CF1576" s="9"/>
      <c r="CG1576" s="9"/>
      <c r="CH1576" s="9"/>
      <c r="CI1576" s="9"/>
      <c r="CJ1576" s="9"/>
      <c r="CK1576" s="9"/>
      <c r="CL1576" s="9"/>
      <c r="CM1576" s="9"/>
      <c r="CN1576" s="9"/>
      <c r="CO1576" s="9"/>
      <c r="CP1576" s="9"/>
    </row>
    <row r="1577" spans="1:94" ht="15.75" x14ac:dyDescent="0.25">
      <c r="A1577" s="126" t="s">
        <v>4446</v>
      </c>
      <c r="B1577" s="9" t="s">
        <v>4447</v>
      </c>
      <c r="C1577" s="9"/>
      <c r="D1577" s="9"/>
      <c r="E1577" s="9"/>
      <c r="F1577" s="9"/>
      <c r="G1577" s="9"/>
      <c r="H1577" s="9"/>
      <c r="I1577" s="9"/>
      <c r="J1577" s="9"/>
      <c r="K1577" s="9"/>
      <c r="L1577" s="9"/>
      <c r="M1577" s="9"/>
      <c r="N1577" s="9"/>
      <c r="O1577" s="9"/>
      <c r="P1577" s="9"/>
      <c r="Q1577" s="9"/>
      <c r="R1577" s="9"/>
      <c r="S1577" s="9"/>
      <c r="T1577" s="9"/>
      <c r="U1577" s="9"/>
      <c r="V1577" s="9"/>
      <c r="W1577" s="9"/>
      <c r="X1577" s="9"/>
      <c r="Y1577" s="9"/>
      <c r="Z1577" s="9"/>
      <c r="AA1577" s="9"/>
      <c r="AB1577" s="9"/>
      <c r="AC1577" s="9"/>
      <c r="AD1577" s="9"/>
      <c r="AE1577" s="9"/>
      <c r="AF1577" s="9"/>
      <c r="AG1577" s="9"/>
      <c r="AH1577" s="9"/>
      <c r="AI1577" s="9"/>
      <c r="AJ1577" s="9"/>
      <c r="AK1577" s="9"/>
      <c r="AL1577" s="9"/>
      <c r="AM1577" s="69"/>
      <c r="AN1577" s="9"/>
      <c r="AO1577" s="69" t="s">
        <v>4377</v>
      </c>
      <c r="AP1577" s="210"/>
      <c r="AQ1577" s="211"/>
      <c r="AR1577" s="211"/>
      <c r="AS1577" s="211"/>
      <c r="AT1577" s="211"/>
      <c r="AU1577" s="211"/>
      <c r="AV1577" s="211"/>
      <c r="AW1577" s="9"/>
      <c r="AX1577" s="9"/>
      <c r="AY1577" s="9"/>
      <c r="AZ1577" s="9"/>
      <c r="BA1577" s="120"/>
      <c r="BB1577" s="69"/>
      <c r="BC1577" s="9"/>
      <c r="BD1577" s="9"/>
      <c r="BE1577" s="9"/>
      <c r="BF1577" s="9"/>
      <c r="BG1577" s="9"/>
      <c r="BH1577" s="9"/>
      <c r="BI1577" s="9"/>
      <c r="BJ1577" s="9"/>
      <c r="BK1577" s="9"/>
      <c r="BL1577" s="9"/>
      <c r="BM1577" s="9"/>
      <c r="BN1577" s="9"/>
      <c r="BO1577" s="9"/>
      <c r="BP1577" s="9"/>
      <c r="BQ1577" s="9"/>
      <c r="BR1577" s="9"/>
      <c r="BS1577" s="9"/>
      <c r="BT1577" s="9"/>
      <c r="BU1577" s="9"/>
      <c r="BV1577" s="9"/>
      <c r="BW1577" s="9"/>
      <c r="BX1577" s="9"/>
      <c r="BY1577" s="9"/>
      <c r="BZ1577" s="9"/>
      <c r="CA1577" s="9"/>
      <c r="CB1577" s="9"/>
      <c r="CC1577" s="9"/>
      <c r="CD1577" s="9"/>
      <c r="CE1577" s="9"/>
      <c r="CF1577" s="9"/>
      <c r="CG1577" s="9"/>
      <c r="CH1577" s="9"/>
      <c r="CI1577" s="9"/>
      <c r="CJ1577" s="9"/>
      <c r="CK1577" s="9"/>
      <c r="CL1577" s="9"/>
      <c r="CM1577" s="9"/>
      <c r="CN1577" s="9"/>
      <c r="CO1577" s="9"/>
      <c r="CP1577" s="9"/>
    </row>
    <row r="1578" spans="1:94" ht="15.75" x14ac:dyDescent="0.25">
      <c r="A1578" s="126" t="s">
        <v>4448</v>
      </c>
      <c r="B1578" s="9" t="s">
        <v>4449</v>
      </c>
      <c r="C1578" s="9"/>
      <c r="D1578" s="9"/>
      <c r="E1578" s="9"/>
      <c r="F1578" s="9"/>
      <c r="G1578" s="9"/>
      <c r="H1578" s="9"/>
      <c r="I1578" s="9"/>
      <c r="J1578" s="9"/>
      <c r="K1578" s="9"/>
      <c r="L1578" s="9"/>
      <c r="M1578" s="9"/>
      <c r="N1578" s="9"/>
      <c r="O1578" s="9"/>
      <c r="P1578" s="9"/>
      <c r="Q1578" s="9"/>
      <c r="R1578" s="9"/>
      <c r="S1578" s="9"/>
      <c r="T1578" s="9"/>
      <c r="U1578" s="9"/>
      <c r="V1578" s="9"/>
      <c r="W1578" s="9"/>
      <c r="X1578" s="9"/>
      <c r="Y1578" s="9"/>
      <c r="Z1578" s="9"/>
      <c r="AA1578" s="9"/>
      <c r="AB1578" s="9"/>
      <c r="AC1578" s="9"/>
      <c r="AD1578" s="9"/>
      <c r="AE1578" s="9"/>
      <c r="AF1578" s="9"/>
      <c r="AG1578" s="9"/>
      <c r="AH1578" s="9"/>
      <c r="AI1578" s="9"/>
      <c r="AJ1578" s="9"/>
      <c r="AK1578" s="9"/>
      <c r="AL1578" s="9"/>
      <c r="AM1578" s="69"/>
      <c r="AN1578" s="9"/>
      <c r="AO1578" s="69" t="s">
        <v>2150</v>
      </c>
      <c r="AP1578" s="210"/>
      <c r="AQ1578" s="211"/>
      <c r="AR1578" s="211"/>
      <c r="AS1578" s="211"/>
      <c r="AT1578" s="211"/>
      <c r="AU1578" s="211"/>
      <c r="AV1578" s="211"/>
      <c r="AW1578" s="9"/>
      <c r="AX1578" s="9"/>
      <c r="AY1578" s="9"/>
      <c r="AZ1578" s="9"/>
      <c r="BA1578" s="120"/>
      <c r="BB1578" s="69"/>
      <c r="BC1578" s="9"/>
      <c r="BD1578" s="9"/>
      <c r="BE1578" s="9"/>
      <c r="BF1578" s="9"/>
      <c r="BG1578" s="9"/>
      <c r="BH1578" s="9"/>
      <c r="BI1578" s="9"/>
      <c r="BJ1578" s="9"/>
      <c r="BK1578" s="9"/>
      <c r="BL1578" s="9"/>
      <c r="BM1578" s="9"/>
      <c r="BN1578" s="9"/>
      <c r="BO1578" s="9"/>
      <c r="BP1578" s="9"/>
      <c r="BQ1578" s="9"/>
      <c r="BR1578" s="9"/>
      <c r="BS1578" s="9"/>
      <c r="BT1578" s="9"/>
      <c r="BU1578" s="9"/>
      <c r="BV1578" s="9"/>
      <c r="BW1578" s="9"/>
      <c r="BX1578" s="9"/>
      <c r="BY1578" s="9"/>
      <c r="BZ1578" s="9"/>
      <c r="CA1578" s="9"/>
      <c r="CB1578" s="9"/>
      <c r="CC1578" s="9"/>
      <c r="CD1578" s="9"/>
      <c r="CE1578" s="9"/>
      <c r="CF1578" s="9"/>
      <c r="CG1578" s="9"/>
      <c r="CH1578" s="9"/>
      <c r="CI1578" s="9"/>
      <c r="CJ1578" s="9"/>
      <c r="CK1578" s="9"/>
      <c r="CL1578" s="9"/>
      <c r="CM1578" s="9"/>
      <c r="CN1578" s="9"/>
      <c r="CO1578" s="9"/>
      <c r="CP1578" s="9"/>
    </row>
    <row r="1579" spans="1:94" ht="15.75" x14ac:dyDescent="0.25">
      <c r="A1579" s="126" t="s">
        <v>4450</v>
      </c>
      <c r="B1579" s="9" t="s">
        <v>4451</v>
      </c>
      <c r="C1579" s="9"/>
      <c r="D1579" s="9"/>
      <c r="E1579" s="9"/>
      <c r="F1579" s="9"/>
      <c r="G1579" s="9"/>
      <c r="H1579" s="9"/>
      <c r="I1579" s="9"/>
      <c r="J1579" s="9"/>
      <c r="K1579" s="9"/>
      <c r="L1579" s="9"/>
      <c r="M1579" s="9"/>
      <c r="N1579" s="9"/>
      <c r="O1579" s="9"/>
      <c r="P1579" s="9"/>
      <c r="Q1579" s="9"/>
      <c r="R1579" s="9"/>
      <c r="S1579" s="9"/>
      <c r="T1579" s="9"/>
      <c r="U1579" s="9"/>
      <c r="V1579" s="9"/>
      <c r="W1579" s="9"/>
      <c r="X1579" s="9"/>
      <c r="Y1579" s="9"/>
      <c r="Z1579" s="9"/>
      <c r="AA1579" s="9"/>
      <c r="AB1579" s="9"/>
      <c r="AC1579" s="9"/>
      <c r="AD1579" s="9"/>
      <c r="AE1579" s="9"/>
      <c r="AF1579" s="9"/>
      <c r="AG1579" s="9"/>
      <c r="AH1579" s="9"/>
      <c r="AI1579" s="9"/>
      <c r="AJ1579" s="9"/>
      <c r="AK1579" s="9"/>
      <c r="AL1579" s="9"/>
      <c r="AM1579" s="69"/>
      <c r="AN1579" s="9"/>
      <c r="AO1579" s="69" t="s">
        <v>2150</v>
      </c>
      <c r="AP1579" s="210"/>
      <c r="AQ1579" s="211"/>
      <c r="AR1579" s="211"/>
      <c r="AS1579" s="211"/>
      <c r="AT1579" s="211"/>
      <c r="AU1579" s="211"/>
      <c r="AV1579" s="211"/>
      <c r="AW1579" s="9"/>
      <c r="AX1579" s="9"/>
      <c r="AY1579" s="9"/>
      <c r="AZ1579" s="9"/>
      <c r="BA1579" s="120"/>
      <c r="BB1579" s="69"/>
      <c r="BC1579" s="9"/>
      <c r="BD1579" s="9"/>
      <c r="BE1579" s="9"/>
      <c r="BF1579" s="9"/>
      <c r="BG1579" s="9"/>
      <c r="BH1579" s="9"/>
      <c r="BI1579" s="9"/>
      <c r="BJ1579" s="9"/>
      <c r="BK1579" s="9"/>
      <c r="BL1579" s="9"/>
      <c r="BM1579" s="9"/>
      <c r="BN1579" s="9"/>
      <c r="BO1579" s="9"/>
      <c r="BP1579" s="9"/>
      <c r="BQ1579" s="9"/>
      <c r="BR1579" s="9"/>
      <c r="BS1579" s="9"/>
      <c r="BT1579" s="9"/>
      <c r="BU1579" s="9"/>
      <c r="BV1579" s="9"/>
      <c r="BW1579" s="9"/>
      <c r="BX1579" s="9"/>
      <c r="BY1579" s="9"/>
      <c r="BZ1579" s="9"/>
      <c r="CA1579" s="9"/>
      <c r="CB1579" s="9"/>
      <c r="CC1579" s="9"/>
      <c r="CD1579" s="9"/>
      <c r="CE1579" s="9"/>
      <c r="CF1579" s="9"/>
      <c r="CG1579" s="9"/>
      <c r="CH1579" s="9"/>
      <c r="CI1579" s="9"/>
      <c r="CJ1579" s="9"/>
      <c r="CK1579" s="9"/>
      <c r="CL1579" s="9"/>
      <c r="CM1579" s="9"/>
      <c r="CN1579" s="9"/>
      <c r="CO1579" s="9"/>
      <c r="CP1579" s="9"/>
    </row>
    <row r="1580" spans="1:94" ht="15.75" x14ac:dyDescent="0.25">
      <c r="A1580" s="126" t="s">
        <v>4452</v>
      </c>
      <c r="B1580" s="9" t="s">
        <v>4453</v>
      </c>
      <c r="C1580" s="9"/>
      <c r="D1580" s="9"/>
      <c r="E1580" s="9"/>
      <c r="F1580" s="9"/>
      <c r="G1580" s="9"/>
      <c r="H1580" s="9"/>
      <c r="I1580" s="9"/>
      <c r="J1580" s="9"/>
      <c r="K1580" s="9"/>
      <c r="L1580" s="9"/>
      <c r="M1580" s="9"/>
      <c r="N1580" s="9"/>
      <c r="O1580" s="9"/>
      <c r="P1580" s="9"/>
      <c r="Q1580" s="9"/>
      <c r="R1580" s="9"/>
      <c r="S1580" s="9"/>
      <c r="T1580" s="9"/>
      <c r="U1580" s="9"/>
      <c r="V1580" s="9"/>
      <c r="W1580" s="9"/>
      <c r="X1580" s="9"/>
      <c r="Y1580" s="9"/>
      <c r="Z1580" s="9"/>
      <c r="AA1580" s="9"/>
      <c r="AB1580" s="9"/>
      <c r="AC1580" s="9"/>
      <c r="AD1580" s="9"/>
      <c r="AE1580" s="9"/>
      <c r="AF1580" s="9"/>
      <c r="AG1580" s="9"/>
      <c r="AH1580" s="9"/>
      <c r="AI1580" s="9"/>
      <c r="AJ1580" s="9"/>
      <c r="AK1580" s="9"/>
      <c r="AL1580" s="9"/>
      <c r="AM1580" s="69"/>
      <c r="AN1580" s="9"/>
      <c r="AO1580" s="69" t="s">
        <v>2150</v>
      </c>
      <c r="AP1580" s="210"/>
      <c r="AQ1580" s="211"/>
      <c r="AR1580" s="211"/>
      <c r="AS1580" s="211"/>
      <c r="AT1580" s="211"/>
      <c r="AU1580" s="211"/>
      <c r="AV1580" s="211"/>
      <c r="AW1580" s="9"/>
      <c r="AX1580" s="9"/>
      <c r="AY1580" s="9"/>
      <c r="AZ1580" s="9"/>
      <c r="BA1580" s="120"/>
      <c r="BB1580" s="69"/>
      <c r="BC1580" s="9"/>
      <c r="BD1580" s="9"/>
      <c r="BE1580" s="9"/>
      <c r="BF1580" s="9"/>
      <c r="BG1580" s="9"/>
      <c r="BH1580" s="9"/>
      <c r="BI1580" s="9"/>
      <c r="BJ1580" s="9"/>
      <c r="BK1580" s="9"/>
      <c r="BL1580" s="9"/>
      <c r="BM1580" s="9"/>
      <c r="BN1580" s="9"/>
      <c r="BO1580" s="9"/>
      <c r="BP1580" s="9"/>
      <c r="BQ1580" s="9"/>
      <c r="BR1580" s="9"/>
      <c r="BS1580" s="9"/>
      <c r="BT1580" s="9"/>
      <c r="BU1580" s="9"/>
      <c r="BV1580" s="9"/>
      <c r="BW1580" s="9"/>
      <c r="BX1580" s="9"/>
      <c r="BY1580" s="9"/>
      <c r="BZ1580" s="9"/>
      <c r="CA1580" s="9"/>
      <c r="CB1580" s="9"/>
      <c r="CC1580" s="9"/>
      <c r="CD1580" s="9"/>
      <c r="CE1580" s="9"/>
      <c r="CF1580" s="9"/>
      <c r="CG1580" s="9"/>
      <c r="CH1580" s="9"/>
      <c r="CI1580" s="9"/>
      <c r="CJ1580" s="9"/>
      <c r="CK1580" s="9"/>
      <c r="CL1580" s="9"/>
      <c r="CM1580" s="9"/>
      <c r="CN1580" s="9"/>
      <c r="CO1580" s="9"/>
      <c r="CP1580" s="9"/>
    </row>
    <row r="1581" spans="1:94" ht="15.75" x14ac:dyDescent="0.25">
      <c r="A1581" s="126" t="s">
        <v>4454</v>
      </c>
      <c r="B1581" s="9" t="s">
        <v>4455</v>
      </c>
      <c r="C1581" s="9"/>
      <c r="D1581" s="9"/>
      <c r="E1581" s="9"/>
      <c r="F1581" s="9"/>
      <c r="G1581" s="9"/>
      <c r="H1581" s="9"/>
      <c r="I1581" s="9"/>
      <c r="J1581" s="9"/>
      <c r="K1581" s="9"/>
      <c r="L1581" s="9"/>
      <c r="M1581" s="9"/>
      <c r="N1581" s="9"/>
      <c r="O1581" s="9"/>
      <c r="P1581" s="9"/>
      <c r="Q1581" s="9"/>
      <c r="R1581" s="9"/>
      <c r="S1581" s="9"/>
      <c r="T1581" s="9"/>
      <c r="U1581" s="9"/>
      <c r="V1581" s="9"/>
      <c r="W1581" s="9"/>
      <c r="X1581" s="9"/>
      <c r="Y1581" s="9"/>
      <c r="Z1581" s="9"/>
      <c r="AA1581" s="9"/>
      <c r="AB1581" s="9"/>
      <c r="AC1581" s="9"/>
      <c r="AD1581" s="9"/>
      <c r="AE1581" s="9"/>
      <c r="AF1581" s="9"/>
      <c r="AG1581" s="9"/>
      <c r="AH1581" s="9"/>
      <c r="AI1581" s="9"/>
      <c r="AJ1581" s="9"/>
      <c r="AK1581" s="9"/>
      <c r="AL1581" s="9"/>
      <c r="AM1581" s="69"/>
      <c r="AN1581" s="9"/>
      <c r="AO1581" s="69" t="s">
        <v>2150</v>
      </c>
      <c r="AP1581" s="210"/>
      <c r="AQ1581" s="211"/>
      <c r="AR1581" s="211"/>
      <c r="AS1581" s="211"/>
      <c r="AT1581" s="211"/>
      <c r="AU1581" s="211"/>
      <c r="AV1581" s="211"/>
      <c r="AW1581" s="9"/>
      <c r="AX1581" s="9"/>
      <c r="AY1581" s="9"/>
      <c r="AZ1581" s="9"/>
      <c r="BA1581" s="120"/>
      <c r="BB1581" s="69"/>
      <c r="BC1581" s="9"/>
      <c r="BD1581" s="9"/>
      <c r="BE1581" s="9"/>
      <c r="BF1581" s="9"/>
      <c r="BG1581" s="9"/>
      <c r="BH1581" s="9"/>
      <c r="BI1581" s="9"/>
      <c r="BJ1581" s="9"/>
      <c r="BK1581" s="9"/>
      <c r="BL1581" s="9"/>
      <c r="BM1581" s="9"/>
      <c r="BN1581" s="9"/>
      <c r="BO1581" s="9"/>
      <c r="BP1581" s="9"/>
      <c r="BQ1581" s="9"/>
      <c r="BR1581" s="9"/>
      <c r="BS1581" s="9"/>
      <c r="BT1581" s="9"/>
      <c r="BU1581" s="9"/>
      <c r="BV1581" s="9"/>
      <c r="BW1581" s="9"/>
      <c r="BX1581" s="9"/>
      <c r="BY1581" s="9"/>
      <c r="BZ1581" s="9"/>
      <c r="CA1581" s="9"/>
      <c r="CB1581" s="9"/>
      <c r="CC1581" s="9"/>
      <c r="CD1581" s="9"/>
      <c r="CE1581" s="9"/>
      <c r="CF1581" s="9"/>
      <c r="CG1581" s="9"/>
      <c r="CH1581" s="9"/>
      <c r="CI1581" s="9"/>
      <c r="CJ1581" s="9"/>
      <c r="CK1581" s="9"/>
      <c r="CL1581" s="9"/>
      <c r="CM1581" s="9"/>
      <c r="CN1581" s="9"/>
      <c r="CO1581" s="9"/>
      <c r="CP1581" s="9"/>
    </row>
    <row r="1582" spans="1:94" ht="30" x14ac:dyDescent="0.25">
      <c r="A1582" s="126" t="s">
        <v>4456</v>
      </c>
      <c r="B1582" s="9" t="s">
        <v>4457</v>
      </c>
      <c r="C1582" s="9"/>
      <c r="D1582" s="9"/>
      <c r="E1582" s="9"/>
      <c r="F1582" s="9"/>
      <c r="G1582" s="9"/>
      <c r="H1582" s="9"/>
      <c r="I1582" s="9"/>
      <c r="J1582" s="9"/>
      <c r="K1582" s="9"/>
      <c r="L1582" s="9"/>
      <c r="M1582" s="9"/>
      <c r="N1582" s="9"/>
      <c r="O1582" s="9"/>
      <c r="P1582" s="9"/>
      <c r="Q1582" s="9"/>
      <c r="R1582" s="9"/>
      <c r="S1582" s="9"/>
      <c r="T1582" s="9"/>
      <c r="U1582" s="9"/>
      <c r="V1582" s="9"/>
      <c r="W1582" s="9"/>
      <c r="X1582" s="9"/>
      <c r="Y1582" s="9"/>
      <c r="Z1582" s="9"/>
      <c r="AA1582" s="9"/>
      <c r="AB1582" s="9"/>
      <c r="AC1582" s="9"/>
      <c r="AD1582" s="9"/>
      <c r="AE1582" s="9"/>
      <c r="AF1582" s="9"/>
      <c r="AG1582" s="9"/>
      <c r="AH1582" s="9"/>
      <c r="AI1582" s="9"/>
      <c r="AJ1582" s="9"/>
      <c r="AK1582" s="9"/>
      <c r="AL1582" s="9"/>
      <c r="AM1582" s="69"/>
      <c r="AN1582" s="9"/>
      <c r="AO1582" s="69" t="s">
        <v>4437</v>
      </c>
      <c r="AP1582" s="210"/>
      <c r="AQ1582" s="211"/>
      <c r="AR1582" s="211"/>
      <c r="AS1582" s="211"/>
      <c r="AT1582" s="211"/>
      <c r="AU1582" s="211"/>
      <c r="AV1582" s="211"/>
      <c r="AW1582" s="9"/>
      <c r="AX1582" s="9"/>
      <c r="AY1582" s="9"/>
      <c r="AZ1582" s="9"/>
      <c r="BA1582" s="120"/>
      <c r="BB1582" s="69"/>
      <c r="BC1582" s="9"/>
      <c r="BD1582" s="9"/>
      <c r="BE1582" s="9"/>
      <c r="BF1582" s="9"/>
      <c r="BG1582" s="9"/>
      <c r="BH1582" s="9"/>
      <c r="BI1582" s="9"/>
      <c r="BJ1582" s="9"/>
      <c r="BK1582" s="9"/>
      <c r="BL1582" s="9"/>
      <c r="BM1582" s="9"/>
      <c r="BN1582" s="9"/>
      <c r="BO1582" s="9"/>
      <c r="BP1582" s="9"/>
      <c r="BQ1582" s="9"/>
      <c r="BR1582" s="9"/>
      <c r="BS1582" s="9"/>
      <c r="BT1582" s="9"/>
      <c r="BU1582" s="9"/>
      <c r="BV1582" s="9"/>
      <c r="BW1582" s="9"/>
      <c r="BX1582" s="9"/>
      <c r="BY1582" s="9"/>
      <c r="BZ1582" s="9"/>
      <c r="CA1582" s="9"/>
      <c r="CB1582" s="9"/>
      <c r="CC1582" s="9"/>
      <c r="CD1582" s="9"/>
      <c r="CE1582" s="9"/>
      <c r="CF1582" s="9"/>
      <c r="CG1582" s="9"/>
      <c r="CH1582" s="9"/>
      <c r="CI1582" s="9"/>
      <c r="CJ1582" s="9"/>
      <c r="CK1582" s="9"/>
      <c r="CL1582" s="9"/>
      <c r="CM1582" s="9"/>
      <c r="CN1582" s="9"/>
      <c r="CO1582" s="9"/>
      <c r="CP1582" s="9"/>
    </row>
    <row r="1583" spans="1:94" ht="15.75" x14ac:dyDescent="0.25">
      <c r="A1583" s="126" t="s">
        <v>4458</v>
      </c>
      <c r="B1583" s="9" t="s">
        <v>4459</v>
      </c>
      <c r="C1583" s="9"/>
      <c r="D1583" s="9"/>
      <c r="E1583" s="9"/>
      <c r="F1583" s="9"/>
      <c r="G1583" s="9"/>
      <c r="H1583" s="9"/>
      <c r="I1583" s="9"/>
      <c r="J1583" s="9"/>
      <c r="K1583" s="9"/>
      <c r="L1583" s="9"/>
      <c r="M1583" s="9"/>
      <c r="N1583" s="9"/>
      <c r="O1583" s="9"/>
      <c r="P1583" s="9"/>
      <c r="Q1583" s="9"/>
      <c r="R1583" s="9"/>
      <c r="S1583" s="9"/>
      <c r="T1583" s="9"/>
      <c r="U1583" s="9"/>
      <c r="V1583" s="9"/>
      <c r="W1583" s="9"/>
      <c r="X1583" s="9"/>
      <c r="Y1583" s="9"/>
      <c r="Z1583" s="9"/>
      <c r="AA1583" s="9"/>
      <c r="AB1583" s="9"/>
      <c r="AC1583" s="9"/>
      <c r="AD1583" s="9"/>
      <c r="AE1583" s="9"/>
      <c r="AF1583" s="9"/>
      <c r="AG1583" s="9"/>
      <c r="AH1583" s="9"/>
      <c r="AI1583" s="9"/>
      <c r="AJ1583" s="9"/>
      <c r="AK1583" s="9"/>
      <c r="AL1583" s="9"/>
      <c r="AM1583" s="69"/>
      <c r="AN1583" s="9"/>
      <c r="AO1583" s="69" t="s">
        <v>2150</v>
      </c>
      <c r="AP1583" s="210"/>
      <c r="AQ1583" s="211"/>
      <c r="AR1583" s="211"/>
      <c r="AS1583" s="211"/>
      <c r="AT1583" s="211"/>
      <c r="AU1583" s="211"/>
      <c r="AV1583" s="211"/>
      <c r="AW1583" s="9"/>
      <c r="AX1583" s="9"/>
      <c r="AY1583" s="9"/>
      <c r="AZ1583" s="9"/>
      <c r="BA1583" s="120"/>
      <c r="BB1583" s="69"/>
      <c r="BC1583" s="9"/>
      <c r="BD1583" s="9"/>
      <c r="BE1583" s="9"/>
      <c r="BF1583" s="9"/>
      <c r="BG1583" s="9"/>
      <c r="BH1583" s="9"/>
      <c r="BI1583" s="9"/>
      <c r="BJ1583" s="9"/>
      <c r="BK1583" s="9"/>
      <c r="BL1583" s="9"/>
      <c r="BM1583" s="9"/>
      <c r="BN1583" s="9"/>
      <c r="BO1583" s="9"/>
      <c r="BP1583" s="9"/>
      <c r="BQ1583" s="9"/>
      <c r="BR1583" s="9"/>
      <c r="BS1583" s="9"/>
      <c r="BT1583" s="9"/>
      <c r="BU1583" s="9"/>
      <c r="BV1583" s="9"/>
      <c r="BW1583" s="9"/>
      <c r="BX1583" s="9"/>
      <c r="BY1583" s="9"/>
      <c r="BZ1583" s="9"/>
      <c r="CA1583" s="9"/>
      <c r="CB1583" s="9"/>
      <c r="CC1583" s="9"/>
      <c r="CD1583" s="9"/>
      <c r="CE1583" s="9"/>
      <c r="CF1583" s="9"/>
      <c r="CG1583" s="9"/>
      <c r="CH1583" s="9"/>
      <c r="CI1583" s="9"/>
      <c r="CJ1583" s="9"/>
      <c r="CK1583" s="9"/>
      <c r="CL1583" s="9"/>
      <c r="CM1583" s="9"/>
      <c r="CN1583" s="9"/>
      <c r="CO1583" s="9"/>
      <c r="CP1583" s="9"/>
    </row>
    <row r="1584" spans="1:94" ht="30" x14ac:dyDescent="0.25">
      <c r="A1584" s="126" t="s">
        <v>4460</v>
      </c>
      <c r="B1584" s="9" t="s">
        <v>4461</v>
      </c>
      <c r="C1584" s="9"/>
      <c r="D1584" s="9"/>
      <c r="E1584" s="9"/>
      <c r="F1584" s="9"/>
      <c r="G1584" s="9"/>
      <c r="H1584" s="9"/>
      <c r="I1584" s="9"/>
      <c r="J1584" s="9"/>
      <c r="K1584" s="9"/>
      <c r="L1584" s="9"/>
      <c r="M1584" s="9"/>
      <c r="N1584" s="9"/>
      <c r="O1584" s="9"/>
      <c r="P1584" s="9"/>
      <c r="Q1584" s="9"/>
      <c r="R1584" s="9"/>
      <c r="S1584" s="9"/>
      <c r="T1584" s="9"/>
      <c r="U1584" s="9"/>
      <c r="V1584" s="9"/>
      <c r="W1584" s="9"/>
      <c r="X1584" s="9"/>
      <c r="Y1584" s="9"/>
      <c r="Z1584" s="9"/>
      <c r="AA1584" s="9"/>
      <c r="AB1584" s="9"/>
      <c r="AC1584" s="9"/>
      <c r="AD1584" s="9"/>
      <c r="AE1584" s="9"/>
      <c r="AF1584" s="9"/>
      <c r="AG1584" s="9"/>
      <c r="AH1584" s="9"/>
      <c r="AI1584" s="9"/>
      <c r="AJ1584" s="9"/>
      <c r="AK1584" s="9"/>
      <c r="AL1584" s="9"/>
      <c r="AM1584" s="69"/>
      <c r="AN1584" s="9"/>
      <c r="AO1584" s="69" t="s">
        <v>4437</v>
      </c>
      <c r="AP1584" s="210"/>
      <c r="AQ1584" s="211"/>
      <c r="AR1584" s="211"/>
      <c r="AS1584" s="211"/>
      <c r="AT1584" s="211"/>
      <c r="AU1584" s="211"/>
      <c r="AV1584" s="211"/>
      <c r="AW1584" s="9"/>
      <c r="AX1584" s="9"/>
      <c r="AY1584" s="9"/>
      <c r="AZ1584" s="9"/>
      <c r="BA1584" s="120"/>
      <c r="BB1584" s="69"/>
      <c r="BC1584" s="9"/>
      <c r="BD1584" s="9"/>
      <c r="BE1584" s="9"/>
      <c r="BF1584" s="9"/>
      <c r="BG1584" s="9"/>
      <c r="BH1584" s="9"/>
      <c r="BI1584" s="9"/>
      <c r="BJ1584" s="9"/>
      <c r="BK1584" s="9"/>
      <c r="BL1584" s="9"/>
      <c r="BM1584" s="9"/>
      <c r="BN1584" s="9"/>
      <c r="BO1584" s="9"/>
      <c r="BP1584" s="9"/>
      <c r="BQ1584" s="9"/>
      <c r="BR1584" s="9"/>
      <c r="BS1584" s="9"/>
      <c r="BT1584" s="9"/>
      <c r="BU1584" s="9"/>
      <c r="BV1584" s="9"/>
      <c r="BW1584" s="9"/>
      <c r="BX1584" s="9"/>
      <c r="BY1584" s="9"/>
      <c r="BZ1584" s="9"/>
      <c r="CA1584" s="9"/>
      <c r="CB1584" s="9"/>
      <c r="CC1584" s="9"/>
      <c r="CD1584" s="9"/>
      <c r="CE1584" s="9"/>
      <c r="CF1584" s="9"/>
      <c r="CG1584" s="9"/>
      <c r="CH1584" s="9"/>
      <c r="CI1584" s="9"/>
      <c r="CJ1584" s="9"/>
      <c r="CK1584" s="9"/>
      <c r="CL1584" s="9"/>
      <c r="CM1584" s="9"/>
      <c r="CN1584" s="9"/>
      <c r="CO1584" s="9"/>
      <c r="CP1584" s="9"/>
    </row>
    <row r="1585" spans="1:94" ht="15.75" x14ac:dyDescent="0.25">
      <c r="A1585" s="126" t="s">
        <v>4462</v>
      </c>
      <c r="B1585" s="9" t="s">
        <v>4463</v>
      </c>
      <c r="C1585" s="9"/>
      <c r="D1585" s="9"/>
      <c r="E1585" s="9"/>
      <c r="F1585" s="9"/>
      <c r="G1585" s="9"/>
      <c r="H1585" s="9"/>
      <c r="I1585" s="9"/>
      <c r="J1585" s="9"/>
      <c r="K1585" s="9"/>
      <c r="L1585" s="9"/>
      <c r="M1585" s="9"/>
      <c r="N1585" s="9"/>
      <c r="O1585" s="9"/>
      <c r="P1585" s="9"/>
      <c r="Q1585" s="9"/>
      <c r="R1585" s="9"/>
      <c r="S1585" s="9"/>
      <c r="T1585" s="9"/>
      <c r="U1585" s="9"/>
      <c r="V1585" s="9"/>
      <c r="W1585" s="9"/>
      <c r="X1585" s="9"/>
      <c r="Y1585" s="9"/>
      <c r="Z1585" s="9"/>
      <c r="AA1585" s="9"/>
      <c r="AB1585" s="9"/>
      <c r="AC1585" s="9"/>
      <c r="AD1585" s="9"/>
      <c r="AE1585" s="9"/>
      <c r="AF1585" s="9"/>
      <c r="AG1585" s="9"/>
      <c r="AH1585" s="9"/>
      <c r="AI1585" s="9"/>
      <c r="AJ1585" s="9"/>
      <c r="AK1585" s="9"/>
      <c r="AL1585" s="9"/>
      <c r="AM1585" s="69"/>
      <c r="AN1585" s="9"/>
      <c r="AO1585" s="69" t="s">
        <v>2150</v>
      </c>
      <c r="AP1585" s="210"/>
      <c r="AQ1585" s="211"/>
      <c r="AR1585" s="211"/>
      <c r="AS1585" s="211"/>
      <c r="AT1585" s="211"/>
      <c r="AU1585" s="211"/>
      <c r="AV1585" s="211"/>
      <c r="AW1585" s="9"/>
      <c r="AX1585" s="9"/>
      <c r="AY1585" s="9"/>
      <c r="AZ1585" s="9"/>
      <c r="BA1585" s="120"/>
      <c r="BB1585" s="69"/>
      <c r="BC1585" s="9"/>
      <c r="BD1585" s="9"/>
      <c r="BE1585" s="9"/>
      <c r="BF1585" s="9"/>
      <c r="BG1585" s="9"/>
      <c r="BH1585" s="9"/>
      <c r="BI1585" s="9"/>
      <c r="BJ1585" s="9"/>
      <c r="BK1585" s="9"/>
      <c r="BL1585" s="9"/>
      <c r="BM1585" s="9"/>
      <c r="BN1585" s="9"/>
      <c r="BO1585" s="9"/>
      <c r="BP1585" s="9"/>
      <c r="BQ1585" s="9"/>
      <c r="BR1585" s="9"/>
      <c r="BS1585" s="9"/>
      <c r="BT1585" s="9"/>
      <c r="BU1585" s="9"/>
      <c r="BV1585" s="9"/>
      <c r="BW1585" s="9"/>
      <c r="BX1585" s="9"/>
      <c r="BY1585" s="9"/>
      <c r="BZ1585" s="9"/>
      <c r="CA1585" s="9"/>
      <c r="CB1585" s="9"/>
      <c r="CC1585" s="9"/>
      <c r="CD1585" s="9"/>
      <c r="CE1585" s="9"/>
      <c r="CF1585" s="9"/>
      <c r="CG1585" s="9"/>
      <c r="CH1585" s="9"/>
      <c r="CI1585" s="9"/>
      <c r="CJ1585" s="9"/>
      <c r="CK1585" s="9"/>
      <c r="CL1585" s="9"/>
      <c r="CM1585" s="9"/>
      <c r="CN1585" s="9"/>
      <c r="CO1585" s="9"/>
      <c r="CP1585" s="9"/>
    </row>
    <row r="1586" spans="1:94" ht="15.75" x14ac:dyDescent="0.25">
      <c r="A1586" s="126" t="s">
        <v>4464</v>
      </c>
      <c r="B1586" s="9" t="s">
        <v>4277</v>
      </c>
      <c r="C1586" s="9"/>
      <c r="D1586" s="9"/>
      <c r="E1586" s="9"/>
      <c r="F1586" s="9"/>
      <c r="G1586" s="9"/>
      <c r="H1586" s="9"/>
      <c r="I1586" s="9"/>
      <c r="J1586" s="9"/>
      <c r="K1586" s="9"/>
      <c r="L1586" s="9"/>
      <c r="M1586" s="9"/>
      <c r="N1586" s="9"/>
      <c r="O1586" s="9"/>
      <c r="P1586" s="9"/>
      <c r="Q1586" s="9"/>
      <c r="R1586" s="9"/>
      <c r="S1586" s="9"/>
      <c r="T1586" s="9"/>
      <c r="U1586" s="9"/>
      <c r="V1586" s="9"/>
      <c r="W1586" s="9"/>
      <c r="X1586" s="9"/>
      <c r="Y1586" s="9"/>
      <c r="Z1586" s="9"/>
      <c r="AA1586" s="9"/>
      <c r="AB1586" s="9"/>
      <c r="AC1586" s="9"/>
      <c r="AD1586" s="9"/>
      <c r="AE1586" s="9"/>
      <c r="AF1586" s="9"/>
      <c r="AG1586" s="9"/>
      <c r="AH1586" s="9"/>
      <c r="AI1586" s="9"/>
      <c r="AJ1586" s="9"/>
      <c r="AK1586" s="9"/>
      <c r="AL1586" s="9"/>
      <c r="AM1586" s="69"/>
      <c r="AN1586" s="9"/>
      <c r="AO1586" s="69" t="s">
        <v>2150</v>
      </c>
      <c r="AP1586" s="210"/>
      <c r="AQ1586" s="211"/>
      <c r="AR1586" s="211"/>
      <c r="AS1586" s="211"/>
      <c r="AT1586" s="211"/>
      <c r="AU1586" s="211"/>
      <c r="AV1586" s="211"/>
      <c r="AW1586" s="9"/>
      <c r="AX1586" s="9"/>
      <c r="AY1586" s="9"/>
      <c r="AZ1586" s="9"/>
      <c r="BA1586" s="120"/>
      <c r="BB1586" s="69"/>
      <c r="BC1586" s="9"/>
      <c r="BD1586" s="9"/>
      <c r="BE1586" s="9"/>
      <c r="BF1586" s="9"/>
      <c r="BG1586" s="9"/>
      <c r="BH1586" s="9"/>
      <c r="BI1586" s="9"/>
      <c r="BJ1586" s="9"/>
      <c r="BK1586" s="9"/>
      <c r="BL1586" s="9"/>
      <c r="BM1586" s="9"/>
      <c r="BN1586" s="9"/>
      <c r="BO1586" s="9"/>
      <c r="BP1586" s="9"/>
      <c r="BQ1586" s="9"/>
      <c r="BR1586" s="9"/>
      <c r="BS1586" s="9"/>
      <c r="BT1586" s="9"/>
      <c r="BU1586" s="9"/>
      <c r="BV1586" s="9"/>
      <c r="BW1586" s="9"/>
      <c r="BX1586" s="9"/>
      <c r="BY1586" s="9"/>
      <c r="BZ1586" s="9"/>
      <c r="CA1586" s="9"/>
      <c r="CB1586" s="9"/>
      <c r="CC1586" s="9"/>
      <c r="CD1586" s="9"/>
      <c r="CE1586" s="9"/>
      <c r="CF1586" s="9"/>
      <c r="CG1586" s="9"/>
      <c r="CH1586" s="9"/>
      <c r="CI1586" s="9"/>
      <c r="CJ1586" s="9"/>
      <c r="CK1586" s="9"/>
      <c r="CL1586" s="9"/>
      <c r="CM1586" s="9"/>
      <c r="CN1586" s="9"/>
      <c r="CO1586" s="9"/>
      <c r="CP1586" s="9"/>
    </row>
    <row r="1587" spans="1:94" ht="15.75" x14ac:dyDescent="0.25">
      <c r="A1587" s="126" t="s">
        <v>4465</v>
      </c>
      <c r="B1587" s="9" t="s">
        <v>4466</v>
      </c>
      <c r="C1587" s="9"/>
      <c r="D1587" s="9"/>
      <c r="E1587" s="9"/>
      <c r="F1587" s="9"/>
      <c r="G1587" s="9"/>
      <c r="H1587" s="9"/>
      <c r="I1587" s="9"/>
      <c r="J1587" s="9"/>
      <c r="K1587" s="9"/>
      <c r="L1587" s="9"/>
      <c r="M1587" s="9"/>
      <c r="N1587" s="9"/>
      <c r="O1587" s="9"/>
      <c r="P1587" s="9"/>
      <c r="Q1587" s="9"/>
      <c r="R1587" s="9"/>
      <c r="S1587" s="9"/>
      <c r="T1587" s="9"/>
      <c r="U1587" s="9"/>
      <c r="V1587" s="9"/>
      <c r="W1587" s="9"/>
      <c r="X1587" s="9"/>
      <c r="Y1587" s="9"/>
      <c r="Z1587" s="9"/>
      <c r="AA1587" s="9"/>
      <c r="AB1587" s="9"/>
      <c r="AC1587" s="9"/>
      <c r="AD1587" s="9"/>
      <c r="AE1587" s="9"/>
      <c r="AF1587" s="9"/>
      <c r="AG1587" s="9"/>
      <c r="AH1587" s="9"/>
      <c r="AI1587" s="9"/>
      <c r="AJ1587" s="9"/>
      <c r="AK1587" s="9"/>
      <c r="AL1587" s="9"/>
      <c r="AM1587" s="69"/>
      <c r="AN1587" s="9"/>
      <c r="AO1587" s="69" t="s">
        <v>2150</v>
      </c>
      <c r="AP1587" s="210"/>
      <c r="AQ1587" s="211"/>
      <c r="AR1587" s="211"/>
      <c r="AS1587" s="211"/>
      <c r="AT1587" s="211"/>
      <c r="AU1587" s="211"/>
      <c r="AV1587" s="211"/>
      <c r="AW1587" s="9"/>
      <c r="AX1587" s="9"/>
      <c r="AY1587" s="9"/>
      <c r="AZ1587" s="9"/>
      <c r="BA1587" s="120"/>
      <c r="BB1587" s="69"/>
      <c r="BC1587" s="9"/>
      <c r="BD1587" s="9"/>
      <c r="BE1587" s="9"/>
      <c r="BF1587" s="9"/>
      <c r="BG1587" s="9"/>
      <c r="BH1587" s="9"/>
      <c r="BI1587" s="9"/>
      <c r="BJ1587" s="9"/>
      <c r="BK1587" s="9"/>
      <c r="BL1587" s="9"/>
      <c r="BM1587" s="9"/>
      <c r="BN1587" s="9"/>
      <c r="BO1587" s="9"/>
      <c r="BP1587" s="9"/>
      <c r="BQ1587" s="9"/>
      <c r="BR1587" s="9"/>
      <c r="BS1587" s="9"/>
      <c r="BT1587" s="9"/>
      <c r="BU1587" s="9"/>
      <c r="BV1587" s="9"/>
      <c r="BW1587" s="9"/>
      <c r="BX1587" s="9"/>
      <c r="BY1587" s="9"/>
      <c r="BZ1587" s="9"/>
      <c r="CA1587" s="9"/>
      <c r="CB1587" s="9"/>
      <c r="CC1587" s="9"/>
      <c r="CD1587" s="9"/>
      <c r="CE1587" s="9"/>
      <c r="CF1587" s="9"/>
      <c r="CG1587" s="9"/>
      <c r="CH1587" s="9"/>
      <c r="CI1587" s="9"/>
      <c r="CJ1587" s="9"/>
      <c r="CK1587" s="9"/>
      <c r="CL1587" s="9"/>
      <c r="CM1587" s="9"/>
      <c r="CN1587" s="9"/>
      <c r="CO1587" s="9"/>
      <c r="CP1587" s="9"/>
    </row>
    <row r="1588" spans="1:94" x14ac:dyDescent="0.25">
      <c r="A1588" s="9" t="s">
        <v>4467</v>
      </c>
      <c r="B1588" s="9" t="s">
        <v>4468</v>
      </c>
      <c r="C1588" s="9"/>
      <c r="D1588" s="9"/>
      <c r="E1588" s="9"/>
      <c r="F1588" s="9"/>
      <c r="G1588" s="9"/>
      <c r="H1588" s="9"/>
      <c r="I1588" s="9"/>
      <c r="J1588" s="9"/>
      <c r="K1588" s="9"/>
      <c r="L1588" s="9"/>
      <c r="M1588" s="9"/>
      <c r="N1588" s="9"/>
      <c r="O1588" s="9"/>
      <c r="P1588" s="9"/>
      <c r="Q1588" s="9"/>
      <c r="R1588" s="9"/>
      <c r="S1588" s="9"/>
      <c r="T1588" s="9"/>
      <c r="U1588" s="9"/>
      <c r="V1588" s="9"/>
      <c r="W1588" s="9"/>
      <c r="X1588" s="9"/>
      <c r="Y1588" s="9"/>
      <c r="Z1588" s="9"/>
      <c r="AA1588" s="9"/>
      <c r="AB1588" s="9"/>
      <c r="AC1588" s="9"/>
      <c r="AD1588" s="9"/>
      <c r="AE1588" s="9"/>
      <c r="AF1588" s="9"/>
      <c r="AG1588" s="9"/>
      <c r="AH1588" s="9"/>
      <c r="AI1588" s="9"/>
      <c r="AJ1588" s="9"/>
      <c r="AK1588" s="9"/>
      <c r="AL1588" s="9"/>
      <c r="AM1588" s="69"/>
      <c r="AN1588" s="9"/>
      <c r="AO1588" s="69" t="s">
        <v>4161</v>
      </c>
      <c r="AP1588" s="210"/>
      <c r="AQ1588" s="211"/>
      <c r="AR1588" s="211"/>
      <c r="AS1588" s="211"/>
      <c r="AT1588" s="211"/>
      <c r="AU1588" s="211"/>
      <c r="AV1588" s="211"/>
      <c r="AW1588" s="9"/>
      <c r="AX1588" s="9"/>
      <c r="AY1588" s="9"/>
      <c r="AZ1588" s="9"/>
      <c r="BA1588" s="120"/>
      <c r="BB1588" s="69"/>
      <c r="BC1588" s="9"/>
      <c r="BD1588" s="9"/>
      <c r="BE1588" s="9"/>
      <c r="BF1588" s="9"/>
      <c r="BG1588" s="9"/>
      <c r="BH1588" s="9"/>
      <c r="BI1588" s="9"/>
      <c r="BJ1588" s="9"/>
      <c r="BK1588" s="9"/>
      <c r="BL1588" s="9"/>
      <c r="BM1588" s="9"/>
      <c r="BN1588" s="9"/>
      <c r="BO1588" s="9"/>
      <c r="BP1588" s="9"/>
      <c r="BQ1588" s="9"/>
      <c r="BR1588" s="9"/>
      <c r="BS1588" s="9"/>
      <c r="BT1588" s="9"/>
      <c r="BU1588" s="9"/>
      <c r="BV1588" s="9"/>
      <c r="BW1588" s="9"/>
      <c r="BX1588" s="9"/>
      <c r="BY1588" s="9"/>
      <c r="BZ1588" s="9"/>
      <c r="CA1588" s="9"/>
      <c r="CB1588" s="9"/>
      <c r="CC1588" s="9"/>
      <c r="CD1588" s="9"/>
      <c r="CE1588" s="9"/>
      <c r="CF1588" s="9"/>
      <c r="CG1588" s="9"/>
      <c r="CH1588" s="9"/>
      <c r="CI1588" s="9"/>
      <c r="CJ1588" s="9"/>
      <c r="CK1588" s="9"/>
      <c r="CL1588" s="9"/>
      <c r="CM1588" s="9"/>
      <c r="CN1588" s="9"/>
      <c r="CO1588" s="9"/>
      <c r="CP1588" s="9"/>
    </row>
    <row r="1589" spans="1:94" x14ac:dyDescent="0.25">
      <c r="A1589" s="9" t="s">
        <v>4469</v>
      </c>
      <c r="B1589" s="9" t="s">
        <v>4470</v>
      </c>
      <c r="C1589" s="9"/>
      <c r="D1589" s="9"/>
      <c r="E1589" s="9"/>
      <c r="F1589" s="9"/>
      <c r="G1589" s="9"/>
      <c r="H1589" s="9"/>
      <c r="I1589" s="9"/>
      <c r="J1589" s="9"/>
      <c r="K1589" s="9"/>
      <c r="L1589" s="9"/>
      <c r="M1589" s="9"/>
      <c r="N1589" s="9"/>
      <c r="O1589" s="9"/>
      <c r="P1589" s="9"/>
      <c r="Q1589" s="9"/>
      <c r="R1589" s="9"/>
      <c r="S1589" s="9"/>
      <c r="T1589" s="9"/>
      <c r="U1589" s="9"/>
      <c r="V1589" s="9"/>
      <c r="W1589" s="9"/>
      <c r="X1589" s="9"/>
      <c r="Y1589" s="9"/>
      <c r="Z1589" s="9"/>
      <c r="AA1589" s="9"/>
      <c r="AB1589" s="9"/>
      <c r="AC1589" s="9"/>
      <c r="AD1589" s="9"/>
      <c r="AE1589" s="9"/>
      <c r="AF1589" s="9"/>
      <c r="AG1589" s="9"/>
      <c r="AH1589" s="9"/>
      <c r="AI1589" s="9"/>
      <c r="AJ1589" s="9"/>
      <c r="AK1589" s="9"/>
      <c r="AL1589" s="9"/>
      <c r="AM1589" s="69"/>
      <c r="AN1589" s="9"/>
      <c r="AO1589" s="69" t="s">
        <v>4161</v>
      </c>
      <c r="AP1589" s="210"/>
      <c r="AQ1589" s="211"/>
      <c r="AR1589" s="211"/>
      <c r="AS1589" s="211"/>
      <c r="AT1589" s="211"/>
      <c r="AU1589" s="211"/>
      <c r="AV1589" s="211"/>
      <c r="AW1589" s="9"/>
      <c r="AX1589" s="9"/>
      <c r="AY1589" s="9"/>
      <c r="AZ1589" s="9"/>
      <c r="BA1589" s="120"/>
      <c r="BB1589" s="69"/>
      <c r="BC1589" s="9"/>
      <c r="BD1589" s="9"/>
      <c r="BE1589" s="9"/>
      <c r="BF1589" s="9"/>
      <c r="BG1589" s="9"/>
      <c r="BH1589" s="9"/>
      <c r="BI1589" s="9"/>
      <c r="BJ1589" s="9"/>
      <c r="BK1589" s="9"/>
      <c r="BL1589" s="9"/>
      <c r="BM1589" s="9"/>
      <c r="BN1589" s="9"/>
      <c r="BO1589" s="9"/>
      <c r="BP1589" s="9"/>
      <c r="BQ1589" s="9"/>
      <c r="BR1589" s="9"/>
      <c r="BS1589" s="9"/>
      <c r="BT1589" s="9"/>
      <c r="BU1589" s="9"/>
      <c r="BV1589" s="9"/>
      <c r="BW1589" s="9"/>
      <c r="BX1589" s="9"/>
      <c r="BY1589" s="9"/>
      <c r="BZ1589" s="9"/>
      <c r="CA1589" s="9"/>
      <c r="CB1589" s="9"/>
      <c r="CC1589" s="9"/>
      <c r="CD1589" s="9"/>
      <c r="CE1589" s="9"/>
      <c r="CF1589" s="9"/>
      <c r="CG1589" s="9"/>
      <c r="CH1589" s="9"/>
      <c r="CI1589" s="9"/>
      <c r="CJ1589" s="9"/>
      <c r="CK1589" s="9"/>
      <c r="CL1589" s="9"/>
      <c r="CM1589" s="9"/>
      <c r="CN1589" s="9"/>
      <c r="CO1589" s="9"/>
      <c r="CP1589" s="9"/>
    </row>
    <row r="1590" spans="1:94" x14ac:dyDescent="0.25">
      <c r="A1590" s="127" t="s">
        <v>4471</v>
      </c>
      <c r="B1590" s="9" t="s">
        <v>4472</v>
      </c>
      <c r="C1590" s="9"/>
      <c r="D1590" s="9"/>
      <c r="E1590" s="9"/>
      <c r="F1590" s="9"/>
      <c r="G1590" s="9"/>
      <c r="H1590" s="9"/>
      <c r="I1590" s="9"/>
      <c r="J1590" s="9"/>
      <c r="K1590" s="9"/>
      <c r="L1590" s="9"/>
      <c r="M1590" s="9"/>
      <c r="N1590" s="9"/>
      <c r="O1590" s="9"/>
      <c r="P1590" s="9"/>
      <c r="Q1590" s="9"/>
      <c r="R1590" s="9"/>
      <c r="S1590" s="9"/>
      <c r="T1590" s="9"/>
      <c r="U1590" s="9"/>
      <c r="V1590" s="9"/>
      <c r="W1590" s="9"/>
      <c r="X1590" s="9"/>
      <c r="Y1590" s="9"/>
      <c r="Z1590" s="9"/>
      <c r="AA1590" s="9"/>
      <c r="AB1590" s="9"/>
      <c r="AC1590" s="9"/>
      <c r="AD1590" s="9"/>
      <c r="AE1590" s="9"/>
      <c r="AF1590" s="9"/>
      <c r="AG1590" s="9"/>
      <c r="AH1590" s="9"/>
      <c r="AI1590" s="9"/>
      <c r="AJ1590" s="9"/>
      <c r="AK1590" s="9"/>
      <c r="AL1590" s="9"/>
      <c r="AM1590" s="69"/>
      <c r="AN1590" s="9"/>
      <c r="AO1590" s="69" t="s">
        <v>2150</v>
      </c>
      <c r="AP1590" s="210"/>
      <c r="AQ1590" s="211"/>
      <c r="AR1590" s="211"/>
      <c r="AS1590" s="211"/>
      <c r="AT1590" s="211"/>
      <c r="AU1590" s="211"/>
      <c r="AV1590" s="211"/>
      <c r="AW1590" s="9"/>
      <c r="AX1590" s="9"/>
      <c r="AY1590" s="9"/>
      <c r="AZ1590" s="9"/>
      <c r="BA1590" s="120"/>
      <c r="BB1590" s="69"/>
      <c r="BC1590" s="9"/>
      <c r="BD1590" s="9"/>
      <c r="BE1590" s="9"/>
      <c r="BF1590" s="9"/>
      <c r="BG1590" s="9"/>
      <c r="BH1590" s="9"/>
      <c r="BI1590" s="9"/>
      <c r="BJ1590" s="9"/>
      <c r="BK1590" s="9"/>
      <c r="BL1590" s="9"/>
      <c r="BM1590" s="9"/>
      <c r="BN1590" s="9"/>
      <c r="BO1590" s="9"/>
      <c r="BP1590" s="9"/>
      <c r="BQ1590" s="9"/>
      <c r="BR1590" s="9"/>
      <c r="BS1590" s="9"/>
      <c r="BT1590" s="9"/>
      <c r="BU1590" s="9"/>
      <c r="BV1590" s="9"/>
      <c r="BW1590" s="9"/>
      <c r="BX1590" s="9"/>
      <c r="BY1590" s="9"/>
      <c r="BZ1590" s="9"/>
      <c r="CA1590" s="9"/>
      <c r="CB1590" s="9"/>
      <c r="CC1590" s="9"/>
      <c r="CD1590" s="9"/>
      <c r="CE1590" s="9"/>
      <c r="CF1590" s="9"/>
      <c r="CG1590" s="9"/>
      <c r="CH1590" s="9"/>
      <c r="CI1590" s="9"/>
      <c r="CJ1590" s="9"/>
      <c r="CK1590" s="9"/>
      <c r="CL1590" s="9"/>
      <c r="CM1590" s="9"/>
      <c r="CN1590" s="9"/>
      <c r="CO1590" s="9"/>
      <c r="CP1590" s="9"/>
    </row>
    <row r="1591" spans="1:94" x14ac:dyDescent="0.25">
      <c r="A1591" s="127" t="s">
        <v>4473</v>
      </c>
      <c r="B1591" s="9" t="s">
        <v>4474</v>
      </c>
      <c r="C1591" s="9"/>
      <c r="D1591" s="9"/>
      <c r="E1591" s="9"/>
      <c r="F1591" s="9"/>
      <c r="G1591" s="9"/>
      <c r="H1591" s="9"/>
      <c r="I1591" s="9"/>
      <c r="J1591" s="9"/>
      <c r="K1591" s="9"/>
      <c r="L1591" s="9"/>
      <c r="M1591" s="9"/>
      <c r="N1591" s="9"/>
      <c r="O1591" s="9"/>
      <c r="P1591" s="9"/>
      <c r="Q1591" s="9"/>
      <c r="R1591" s="9"/>
      <c r="S1591" s="9"/>
      <c r="T1591" s="9"/>
      <c r="U1591" s="9"/>
      <c r="V1591" s="9"/>
      <c r="W1591" s="9"/>
      <c r="X1591" s="9"/>
      <c r="Y1591" s="9"/>
      <c r="Z1591" s="9"/>
      <c r="AA1591" s="9"/>
      <c r="AB1591" s="9"/>
      <c r="AC1591" s="9"/>
      <c r="AD1591" s="9"/>
      <c r="AE1591" s="9"/>
      <c r="AF1591" s="9"/>
      <c r="AG1591" s="9"/>
      <c r="AH1591" s="9"/>
      <c r="AI1591" s="9"/>
      <c r="AJ1591" s="9"/>
      <c r="AK1591" s="9"/>
      <c r="AL1591" s="9"/>
      <c r="AM1591" s="69"/>
      <c r="AN1591" s="9"/>
      <c r="AO1591" s="69" t="s">
        <v>2150</v>
      </c>
      <c r="AP1591" s="210"/>
      <c r="AQ1591" s="211"/>
      <c r="AR1591" s="211"/>
      <c r="AS1591" s="211"/>
      <c r="AT1591" s="211"/>
      <c r="AU1591" s="211"/>
      <c r="AV1591" s="211"/>
      <c r="AW1591" s="9"/>
      <c r="AX1591" s="9"/>
      <c r="AY1591" s="9"/>
      <c r="AZ1591" s="9"/>
      <c r="BA1591" s="120"/>
      <c r="BB1591" s="69"/>
      <c r="BC1591" s="9"/>
      <c r="BD1591" s="9"/>
      <c r="BE1591" s="9"/>
      <c r="BF1591" s="9"/>
      <c r="BG1591" s="9"/>
      <c r="BH1591" s="9"/>
      <c r="BI1591" s="9"/>
      <c r="BJ1591" s="9"/>
      <c r="BK1591" s="9"/>
      <c r="BL1591" s="9"/>
      <c r="BM1591" s="9"/>
      <c r="BN1591" s="9"/>
      <c r="BO1591" s="9"/>
      <c r="BP1591" s="9"/>
      <c r="BQ1591" s="9"/>
      <c r="BR1591" s="9"/>
      <c r="BS1591" s="9"/>
      <c r="BT1591" s="9"/>
      <c r="BU1591" s="9"/>
      <c r="BV1591" s="9"/>
      <c r="BW1591" s="9"/>
      <c r="BX1591" s="9"/>
      <c r="BY1591" s="9"/>
      <c r="BZ1591" s="9"/>
      <c r="CA1591" s="9"/>
      <c r="CB1591" s="9"/>
      <c r="CC1591" s="9"/>
      <c r="CD1591" s="9"/>
      <c r="CE1591" s="9"/>
      <c r="CF1591" s="9"/>
      <c r="CG1591" s="9"/>
      <c r="CH1591" s="9"/>
      <c r="CI1591" s="9"/>
      <c r="CJ1591" s="9"/>
      <c r="CK1591" s="9"/>
      <c r="CL1591" s="9"/>
      <c r="CM1591" s="9"/>
      <c r="CN1591" s="9"/>
      <c r="CO1591" s="9"/>
      <c r="CP1591" s="9"/>
    </row>
    <row r="1592" spans="1:94" x14ac:dyDescent="0.25">
      <c r="A1592" s="127" t="s">
        <v>4475</v>
      </c>
      <c r="B1592" s="9" t="s">
        <v>4476</v>
      </c>
      <c r="C1592" s="9"/>
      <c r="D1592" s="9"/>
      <c r="E1592" s="9"/>
      <c r="F1592" s="9"/>
      <c r="G1592" s="9"/>
      <c r="H1592" s="9"/>
      <c r="I1592" s="9"/>
      <c r="J1592" s="9"/>
      <c r="K1592" s="9"/>
      <c r="L1592" s="9"/>
      <c r="M1592" s="9"/>
      <c r="N1592" s="9"/>
      <c r="O1592" s="9"/>
      <c r="P1592" s="9"/>
      <c r="Q1592" s="9"/>
      <c r="R1592" s="9"/>
      <c r="S1592" s="9"/>
      <c r="T1592" s="9"/>
      <c r="U1592" s="9"/>
      <c r="V1592" s="9"/>
      <c r="W1592" s="9"/>
      <c r="X1592" s="9"/>
      <c r="Y1592" s="9"/>
      <c r="Z1592" s="9"/>
      <c r="AA1592" s="9"/>
      <c r="AB1592" s="9"/>
      <c r="AC1592" s="9"/>
      <c r="AD1592" s="9"/>
      <c r="AE1592" s="9"/>
      <c r="AF1592" s="9"/>
      <c r="AG1592" s="9"/>
      <c r="AH1592" s="9"/>
      <c r="AI1592" s="9"/>
      <c r="AJ1592" s="9"/>
      <c r="AK1592" s="9"/>
      <c r="AL1592" s="9"/>
      <c r="AM1592" s="69"/>
      <c r="AN1592" s="9"/>
      <c r="AO1592" s="69" t="s">
        <v>2150</v>
      </c>
      <c r="AP1592" s="210"/>
      <c r="AQ1592" s="211"/>
      <c r="AR1592" s="211"/>
      <c r="AS1592" s="211"/>
      <c r="AT1592" s="211"/>
      <c r="AU1592" s="211"/>
      <c r="AV1592" s="211"/>
      <c r="AW1592" s="9"/>
      <c r="AX1592" s="9"/>
      <c r="AY1592" s="9"/>
      <c r="AZ1592" s="9"/>
      <c r="BA1592" s="120"/>
      <c r="BB1592" s="69"/>
      <c r="BC1592" s="9"/>
      <c r="BD1592" s="9"/>
      <c r="BE1592" s="9"/>
      <c r="BF1592" s="9"/>
      <c r="BG1592" s="9"/>
      <c r="BH1592" s="9"/>
      <c r="BI1592" s="9"/>
      <c r="BJ1592" s="9"/>
      <c r="BK1592" s="9"/>
      <c r="BL1592" s="9"/>
      <c r="BM1592" s="9"/>
      <c r="BN1592" s="9"/>
      <c r="BO1592" s="9"/>
      <c r="BP1592" s="9"/>
      <c r="BQ1592" s="9"/>
      <c r="BR1592" s="9"/>
      <c r="BS1592" s="9"/>
      <c r="BT1592" s="9"/>
      <c r="BU1592" s="9"/>
      <c r="BV1592" s="9"/>
      <c r="BW1592" s="9"/>
      <c r="BX1592" s="9"/>
      <c r="BY1592" s="9"/>
      <c r="BZ1592" s="9"/>
      <c r="CA1592" s="9"/>
      <c r="CB1592" s="9"/>
      <c r="CC1592" s="9"/>
      <c r="CD1592" s="9"/>
      <c r="CE1592" s="9"/>
      <c r="CF1592" s="9"/>
      <c r="CG1592" s="9"/>
      <c r="CH1592" s="9"/>
      <c r="CI1592" s="9"/>
      <c r="CJ1592" s="9"/>
      <c r="CK1592" s="9"/>
      <c r="CL1592" s="9"/>
      <c r="CM1592" s="9"/>
      <c r="CN1592" s="9"/>
      <c r="CO1592" s="9"/>
      <c r="CP1592" s="9"/>
    </row>
    <row r="1593" spans="1:94" x14ac:dyDescent="0.25">
      <c r="A1593" s="127" t="s">
        <v>4477</v>
      </c>
      <c r="B1593" s="9" t="s">
        <v>4478</v>
      </c>
      <c r="C1593" s="9"/>
      <c r="D1593" s="9"/>
      <c r="E1593" s="9"/>
      <c r="F1593" s="9"/>
      <c r="G1593" s="9"/>
      <c r="H1593" s="9"/>
      <c r="I1593" s="9"/>
      <c r="J1593" s="9"/>
      <c r="K1593" s="9"/>
      <c r="L1593" s="9"/>
      <c r="M1593" s="9"/>
      <c r="N1593" s="9"/>
      <c r="O1593" s="9"/>
      <c r="P1593" s="9"/>
      <c r="Q1593" s="9"/>
      <c r="R1593" s="9"/>
      <c r="S1593" s="9"/>
      <c r="T1593" s="9"/>
      <c r="U1593" s="9"/>
      <c r="V1593" s="9"/>
      <c r="W1593" s="9"/>
      <c r="X1593" s="9"/>
      <c r="Y1593" s="9"/>
      <c r="Z1593" s="9"/>
      <c r="AA1593" s="9"/>
      <c r="AB1593" s="9"/>
      <c r="AC1593" s="9"/>
      <c r="AD1593" s="9"/>
      <c r="AE1593" s="9"/>
      <c r="AF1593" s="9"/>
      <c r="AG1593" s="9"/>
      <c r="AH1593" s="9"/>
      <c r="AI1593" s="9"/>
      <c r="AJ1593" s="9"/>
      <c r="AK1593" s="9"/>
      <c r="AL1593" s="9"/>
      <c r="AM1593" s="69"/>
      <c r="AN1593" s="9"/>
      <c r="AO1593" s="69" t="s">
        <v>2150</v>
      </c>
      <c r="AP1593" s="210"/>
      <c r="AQ1593" s="211"/>
      <c r="AR1593" s="211"/>
      <c r="AS1593" s="211"/>
      <c r="AT1593" s="211"/>
      <c r="AU1593" s="211"/>
      <c r="AV1593" s="211"/>
      <c r="AW1593" s="9"/>
      <c r="AX1593" s="9"/>
      <c r="AY1593" s="9"/>
      <c r="AZ1593" s="9"/>
      <c r="BA1593" s="120"/>
      <c r="BB1593" s="69"/>
      <c r="BC1593" s="9"/>
      <c r="BD1593" s="9"/>
      <c r="BE1593" s="9"/>
      <c r="BF1593" s="9"/>
      <c r="BG1593" s="9"/>
      <c r="BH1593" s="9"/>
      <c r="BI1593" s="9"/>
      <c r="BJ1593" s="9"/>
      <c r="BK1593" s="9"/>
      <c r="BL1593" s="9"/>
      <c r="BM1593" s="9"/>
      <c r="BN1593" s="9"/>
      <c r="BO1593" s="9"/>
      <c r="BP1593" s="9"/>
      <c r="BQ1593" s="9"/>
      <c r="BR1593" s="9"/>
      <c r="BS1593" s="9"/>
      <c r="BT1593" s="9"/>
      <c r="BU1593" s="9"/>
      <c r="BV1593" s="9"/>
      <c r="BW1593" s="9"/>
      <c r="BX1593" s="9"/>
      <c r="BY1593" s="9"/>
      <c r="BZ1593" s="9"/>
      <c r="CA1593" s="9"/>
      <c r="CB1593" s="9"/>
      <c r="CC1593" s="9"/>
      <c r="CD1593" s="9"/>
      <c r="CE1593" s="9"/>
      <c r="CF1593" s="9"/>
      <c r="CG1593" s="9"/>
      <c r="CH1593" s="9"/>
      <c r="CI1593" s="9"/>
      <c r="CJ1593" s="9"/>
      <c r="CK1593" s="9"/>
      <c r="CL1593" s="9"/>
      <c r="CM1593" s="9"/>
      <c r="CN1593" s="9"/>
      <c r="CO1593" s="9"/>
      <c r="CP1593" s="9"/>
    </row>
    <row r="1594" spans="1:94" ht="15.75" x14ac:dyDescent="0.25">
      <c r="A1594" s="126" t="s">
        <v>4479</v>
      </c>
      <c r="B1594" s="9" t="s">
        <v>4480</v>
      </c>
      <c r="C1594" s="9"/>
      <c r="D1594" s="9"/>
      <c r="E1594" s="9"/>
      <c r="F1594" s="9"/>
      <c r="G1594" s="9"/>
      <c r="H1594" s="9"/>
      <c r="I1594" s="9"/>
      <c r="J1594" s="9"/>
      <c r="K1594" s="9"/>
      <c r="L1594" s="9"/>
      <c r="M1594" s="9"/>
      <c r="N1594" s="9"/>
      <c r="O1594" s="9"/>
      <c r="P1594" s="9"/>
      <c r="Q1594" s="9"/>
      <c r="R1594" s="9"/>
      <c r="S1594" s="9"/>
      <c r="T1594" s="9"/>
      <c r="U1594" s="9"/>
      <c r="V1594" s="9"/>
      <c r="W1594" s="9"/>
      <c r="X1594" s="9"/>
      <c r="Y1594" s="9"/>
      <c r="Z1594" s="9"/>
      <c r="AA1594" s="9"/>
      <c r="AB1594" s="9"/>
      <c r="AC1594" s="9"/>
      <c r="AD1594" s="9"/>
      <c r="AE1594" s="9"/>
      <c r="AF1594" s="9"/>
      <c r="AG1594" s="9"/>
      <c r="AH1594" s="9"/>
      <c r="AI1594" s="9"/>
      <c r="AJ1594" s="9"/>
      <c r="AK1594" s="9"/>
      <c r="AL1594" s="9"/>
      <c r="AM1594" s="69"/>
      <c r="AN1594" s="9"/>
      <c r="AO1594" s="69" t="s">
        <v>4481</v>
      </c>
      <c r="AP1594" s="210"/>
      <c r="AQ1594" s="211"/>
      <c r="AR1594" s="211"/>
      <c r="AS1594" s="211"/>
      <c r="AT1594" s="211"/>
      <c r="AU1594" s="211"/>
      <c r="AV1594" s="211"/>
      <c r="AW1594" s="9"/>
      <c r="AX1594" s="9"/>
      <c r="AY1594" s="9"/>
      <c r="AZ1594" s="9"/>
      <c r="BA1594" s="120"/>
      <c r="BB1594" s="69"/>
      <c r="BC1594" s="9"/>
      <c r="BD1594" s="9"/>
      <c r="BE1594" s="9"/>
      <c r="BF1594" s="9"/>
      <c r="BG1594" s="9"/>
      <c r="BH1594" s="9"/>
      <c r="BI1594" s="9"/>
      <c r="BJ1594" s="9"/>
      <c r="BK1594" s="9"/>
      <c r="BL1594" s="9"/>
      <c r="BM1594" s="9"/>
      <c r="BN1594" s="9"/>
      <c r="BO1594" s="9"/>
      <c r="BP1594" s="9"/>
      <c r="BQ1594" s="9"/>
      <c r="BR1594" s="9"/>
      <c r="BS1594" s="9"/>
      <c r="BT1594" s="9"/>
      <c r="BU1594" s="9"/>
      <c r="BV1594" s="9"/>
      <c r="BW1594" s="9"/>
      <c r="BX1594" s="9"/>
      <c r="BY1594" s="9"/>
      <c r="BZ1594" s="9"/>
      <c r="CA1594" s="9"/>
      <c r="CB1594" s="9"/>
      <c r="CC1594" s="9"/>
      <c r="CD1594" s="9"/>
      <c r="CE1594" s="9"/>
      <c r="CF1594" s="9"/>
      <c r="CG1594" s="9"/>
      <c r="CH1594" s="9"/>
      <c r="CI1594" s="9"/>
      <c r="CJ1594" s="9"/>
      <c r="CK1594" s="9"/>
      <c r="CL1594" s="9"/>
      <c r="CM1594" s="9"/>
      <c r="CN1594" s="9"/>
      <c r="CO1594" s="9"/>
      <c r="CP1594" s="9"/>
    </row>
    <row r="1595" spans="1:94" ht="15.75" x14ac:dyDescent="0.25">
      <c r="A1595" s="126" t="s">
        <v>83</v>
      </c>
      <c r="B1595" s="9" t="s">
        <v>4482</v>
      </c>
      <c r="C1595" s="9"/>
      <c r="D1595" s="9"/>
      <c r="E1595" s="9"/>
      <c r="F1595" s="9"/>
      <c r="G1595" s="9"/>
      <c r="H1595" s="9"/>
      <c r="I1595" s="9"/>
      <c r="J1595" s="9"/>
      <c r="K1595" s="9"/>
      <c r="L1595" s="9"/>
      <c r="M1595" s="9"/>
      <c r="N1595" s="9"/>
      <c r="O1595" s="9"/>
      <c r="P1595" s="9"/>
      <c r="Q1595" s="9"/>
      <c r="R1595" s="9"/>
      <c r="S1595" s="9"/>
      <c r="T1595" s="9"/>
      <c r="U1595" s="9"/>
      <c r="V1595" s="9"/>
      <c r="W1595" s="9"/>
      <c r="X1595" s="9"/>
      <c r="Y1595" s="9"/>
      <c r="Z1595" s="9"/>
      <c r="AA1595" s="9"/>
      <c r="AB1595" s="9"/>
      <c r="AC1595" s="9"/>
      <c r="AD1595" s="9"/>
      <c r="AE1595" s="9"/>
      <c r="AF1595" s="9"/>
      <c r="AG1595" s="9"/>
      <c r="AH1595" s="9"/>
      <c r="AI1595" s="9"/>
      <c r="AJ1595" s="9"/>
      <c r="AK1595" s="9"/>
      <c r="AL1595" s="9"/>
      <c r="AM1595" s="69"/>
      <c r="AN1595" s="9"/>
      <c r="AO1595" s="69" t="s">
        <v>4481</v>
      </c>
      <c r="AP1595" s="210"/>
      <c r="AQ1595" s="211"/>
      <c r="AR1595" s="211"/>
      <c r="AS1595" s="211"/>
      <c r="AT1595" s="211"/>
      <c r="AU1595" s="211"/>
      <c r="AV1595" s="211"/>
      <c r="AW1595" s="9"/>
      <c r="AX1595" s="9"/>
      <c r="AY1595" s="9"/>
      <c r="AZ1595" s="9"/>
      <c r="BA1595" s="120"/>
      <c r="BB1595" s="69"/>
      <c r="BC1595" s="9"/>
      <c r="BD1595" s="9"/>
      <c r="BE1595" s="9"/>
      <c r="BF1595" s="9"/>
      <c r="BG1595" s="9"/>
      <c r="BH1595" s="9"/>
      <c r="BI1595" s="9"/>
      <c r="BJ1595" s="9"/>
      <c r="BK1595" s="9"/>
      <c r="BL1595" s="9"/>
      <c r="BM1595" s="9"/>
      <c r="BN1595" s="9"/>
      <c r="BO1595" s="9"/>
      <c r="BP1595" s="9"/>
      <c r="BQ1595" s="9"/>
      <c r="BR1595" s="9"/>
      <c r="BS1595" s="9"/>
      <c r="BT1595" s="9"/>
      <c r="BU1595" s="9"/>
      <c r="BV1595" s="9"/>
      <c r="BW1595" s="9"/>
      <c r="BX1595" s="9"/>
      <c r="BY1595" s="9"/>
      <c r="BZ1595" s="9"/>
      <c r="CA1595" s="9"/>
      <c r="CB1595" s="9"/>
      <c r="CC1595" s="9"/>
      <c r="CD1595" s="9"/>
      <c r="CE1595" s="9"/>
      <c r="CF1595" s="9"/>
      <c r="CG1595" s="9"/>
      <c r="CH1595" s="9"/>
      <c r="CI1595" s="9"/>
      <c r="CJ1595" s="9"/>
      <c r="CK1595" s="9"/>
      <c r="CL1595" s="9"/>
      <c r="CM1595" s="9"/>
      <c r="CN1595" s="9"/>
      <c r="CO1595" s="9"/>
      <c r="CP1595" s="9"/>
    </row>
    <row r="1596" spans="1:94" ht="15.75" x14ac:dyDescent="0.25">
      <c r="A1596" s="126" t="s">
        <v>4483</v>
      </c>
      <c r="B1596" s="9" t="s">
        <v>4484</v>
      </c>
      <c r="C1596" s="9"/>
      <c r="D1596" s="9"/>
      <c r="E1596" s="9"/>
      <c r="F1596" s="9"/>
      <c r="G1596" s="9"/>
      <c r="H1596" s="9"/>
      <c r="I1596" s="9"/>
      <c r="J1596" s="9"/>
      <c r="K1596" s="9"/>
      <c r="L1596" s="9"/>
      <c r="M1596" s="9"/>
      <c r="N1596" s="9"/>
      <c r="O1596" s="9"/>
      <c r="P1596" s="9"/>
      <c r="Q1596" s="9"/>
      <c r="R1596" s="9"/>
      <c r="S1596" s="9"/>
      <c r="T1596" s="9"/>
      <c r="U1596" s="9"/>
      <c r="V1596" s="9"/>
      <c r="W1596" s="9"/>
      <c r="X1596" s="9"/>
      <c r="Y1596" s="9"/>
      <c r="Z1596" s="9"/>
      <c r="AA1596" s="9"/>
      <c r="AB1596" s="9"/>
      <c r="AC1596" s="9"/>
      <c r="AD1596" s="9"/>
      <c r="AE1596" s="9"/>
      <c r="AF1596" s="9"/>
      <c r="AG1596" s="9"/>
      <c r="AH1596" s="9"/>
      <c r="AI1596" s="9"/>
      <c r="AJ1596" s="9"/>
      <c r="AK1596" s="9"/>
      <c r="AL1596" s="9"/>
      <c r="AM1596" s="69"/>
      <c r="AN1596" s="9"/>
      <c r="AO1596" s="69" t="s">
        <v>4481</v>
      </c>
      <c r="AP1596" s="210"/>
      <c r="AQ1596" s="211"/>
      <c r="AR1596" s="211"/>
      <c r="AS1596" s="211"/>
      <c r="AT1596" s="211"/>
      <c r="AU1596" s="211"/>
      <c r="AV1596" s="211"/>
      <c r="AW1596" s="9"/>
      <c r="AX1596" s="9"/>
      <c r="AY1596" s="9"/>
      <c r="AZ1596" s="9"/>
      <c r="BA1596" s="120"/>
      <c r="BB1596" s="69"/>
      <c r="BC1596" s="9"/>
      <c r="BD1596" s="9"/>
      <c r="BE1596" s="9"/>
      <c r="BF1596" s="9"/>
      <c r="BG1596" s="9"/>
      <c r="BH1596" s="9"/>
      <c r="BI1596" s="9"/>
      <c r="BJ1596" s="9"/>
      <c r="BK1596" s="9"/>
      <c r="BL1596" s="9"/>
      <c r="BM1596" s="9"/>
      <c r="BN1596" s="9"/>
      <c r="BO1596" s="9"/>
      <c r="BP1596" s="9"/>
      <c r="BQ1596" s="9"/>
      <c r="BR1596" s="9"/>
      <c r="BS1596" s="9"/>
      <c r="BT1596" s="9"/>
      <c r="BU1596" s="9"/>
      <c r="BV1596" s="9"/>
      <c r="BW1596" s="9"/>
      <c r="BX1596" s="9"/>
      <c r="BY1596" s="9"/>
      <c r="BZ1596" s="9"/>
      <c r="CA1596" s="9"/>
      <c r="CB1596" s="9"/>
      <c r="CC1596" s="9"/>
      <c r="CD1596" s="9"/>
      <c r="CE1596" s="9"/>
      <c r="CF1596" s="9"/>
      <c r="CG1596" s="9"/>
      <c r="CH1596" s="9"/>
      <c r="CI1596" s="9"/>
      <c r="CJ1596" s="9"/>
      <c r="CK1596" s="9"/>
      <c r="CL1596" s="9"/>
      <c r="CM1596" s="9"/>
      <c r="CN1596" s="9"/>
      <c r="CO1596" s="9"/>
      <c r="CP1596" s="9"/>
    </row>
    <row r="1597" spans="1:94" x14ac:dyDescent="0.25">
      <c r="A1597" s="127" t="s">
        <v>4485</v>
      </c>
      <c r="B1597" s="9" t="s">
        <v>4486</v>
      </c>
      <c r="C1597" s="9"/>
      <c r="D1597" s="9"/>
      <c r="E1597" s="9"/>
      <c r="F1597" s="9"/>
      <c r="G1597" s="9"/>
      <c r="H1597" s="9"/>
      <c r="I1597" s="9"/>
      <c r="J1597" s="9"/>
      <c r="K1597" s="9"/>
      <c r="L1597" s="9"/>
      <c r="M1597" s="9"/>
      <c r="N1597" s="9"/>
      <c r="O1597" s="9"/>
      <c r="P1597" s="9"/>
      <c r="Q1597" s="9"/>
      <c r="R1597" s="9"/>
      <c r="S1597" s="9"/>
      <c r="T1597" s="9"/>
      <c r="U1597" s="9"/>
      <c r="V1597" s="9"/>
      <c r="W1597" s="9"/>
      <c r="X1597" s="9"/>
      <c r="Y1597" s="9"/>
      <c r="Z1597" s="9"/>
      <c r="AA1597" s="9"/>
      <c r="AB1597" s="9"/>
      <c r="AC1597" s="9"/>
      <c r="AD1597" s="9"/>
      <c r="AE1597" s="9"/>
      <c r="AF1597" s="9"/>
      <c r="AG1597" s="9"/>
      <c r="AH1597" s="9"/>
      <c r="AI1597" s="9"/>
      <c r="AJ1597" s="9"/>
      <c r="AK1597" s="9"/>
      <c r="AL1597" s="9"/>
      <c r="AM1597" s="69"/>
      <c r="AN1597" s="9"/>
      <c r="AO1597" s="69" t="s">
        <v>2150</v>
      </c>
      <c r="AP1597" s="210"/>
      <c r="AQ1597" s="211"/>
      <c r="AR1597" s="211"/>
      <c r="AS1597" s="211"/>
      <c r="AT1597" s="211"/>
      <c r="AU1597" s="211"/>
      <c r="AV1597" s="211"/>
      <c r="AW1597" s="9"/>
      <c r="AX1597" s="9"/>
      <c r="AY1597" s="9"/>
      <c r="AZ1597" s="9"/>
      <c r="BA1597" s="120"/>
      <c r="BB1597" s="69"/>
      <c r="BC1597" s="9"/>
      <c r="BD1597" s="9"/>
      <c r="BE1597" s="9"/>
      <c r="BF1597" s="9"/>
      <c r="BG1597" s="9"/>
      <c r="BH1597" s="9"/>
      <c r="BI1597" s="9"/>
      <c r="BJ1597" s="9"/>
      <c r="BK1597" s="9"/>
      <c r="BL1597" s="9"/>
      <c r="BM1597" s="9"/>
      <c r="BN1597" s="9"/>
      <c r="BO1597" s="9"/>
      <c r="BP1597" s="9"/>
      <c r="BQ1597" s="9"/>
      <c r="BR1597" s="9"/>
      <c r="BS1597" s="9"/>
      <c r="BT1597" s="9"/>
      <c r="BU1597" s="9"/>
      <c r="BV1597" s="9"/>
      <c r="BW1597" s="9"/>
      <c r="BX1597" s="9"/>
      <c r="BY1597" s="9"/>
      <c r="BZ1597" s="9"/>
      <c r="CA1597" s="9"/>
      <c r="CB1597" s="9"/>
      <c r="CC1597" s="9"/>
      <c r="CD1597" s="9"/>
      <c r="CE1597" s="9"/>
      <c r="CF1597" s="9"/>
      <c r="CG1597" s="9"/>
      <c r="CH1597" s="9"/>
      <c r="CI1597" s="9"/>
      <c r="CJ1597" s="9"/>
      <c r="CK1597" s="9"/>
      <c r="CL1597" s="9"/>
      <c r="CM1597" s="9"/>
      <c r="CN1597" s="9"/>
      <c r="CO1597" s="9"/>
      <c r="CP1597" s="9"/>
    </row>
    <row r="1598" spans="1:94" x14ac:dyDescent="0.25">
      <c r="A1598" s="9" t="s">
        <v>4487</v>
      </c>
      <c r="B1598" s="9" t="s">
        <v>4488</v>
      </c>
      <c r="C1598" s="9"/>
      <c r="D1598" s="9"/>
      <c r="E1598" s="9"/>
      <c r="F1598" s="9"/>
      <c r="G1598" s="9"/>
      <c r="H1598" s="9"/>
      <c r="I1598" s="9"/>
      <c r="J1598" s="9"/>
      <c r="K1598" s="9"/>
      <c r="L1598" s="9"/>
      <c r="M1598" s="9"/>
      <c r="N1598" s="9"/>
      <c r="O1598" s="9"/>
      <c r="P1598" s="9"/>
      <c r="Q1598" s="9"/>
      <c r="R1598" s="9"/>
      <c r="S1598" s="9"/>
      <c r="T1598" s="9"/>
      <c r="U1598" s="9"/>
      <c r="V1598" s="9"/>
      <c r="W1598" s="9"/>
      <c r="X1598" s="9"/>
      <c r="Y1598" s="9"/>
      <c r="Z1598" s="9"/>
      <c r="AA1598" s="9"/>
      <c r="AB1598" s="9"/>
      <c r="AC1598" s="9"/>
      <c r="AD1598" s="9"/>
      <c r="AE1598" s="9"/>
      <c r="AF1598" s="9"/>
      <c r="AG1598" s="9"/>
      <c r="AH1598" s="9"/>
      <c r="AI1598" s="9"/>
      <c r="AJ1598" s="9"/>
      <c r="AK1598" s="9"/>
      <c r="AL1598" s="9"/>
      <c r="AM1598" s="69"/>
      <c r="AN1598" s="9"/>
      <c r="AO1598" s="69" t="s">
        <v>4434</v>
      </c>
      <c r="AP1598" s="210"/>
      <c r="AQ1598" s="211"/>
      <c r="AR1598" s="211"/>
      <c r="AS1598" s="211"/>
      <c r="AT1598" s="211"/>
      <c r="AU1598" s="211"/>
      <c r="AV1598" s="211"/>
      <c r="AW1598" s="9"/>
      <c r="AX1598" s="9"/>
      <c r="AY1598" s="9"/>
      <c r="AZ1598" s="9"/>
      <c r="BA1598" s="120"/>
      <c r="BB1598" s="69"/>
      <c r="BC1598" s="9"/>
      <c r="BD1598" s="9"/>
      <c r="BE1598" s="9"/>
      <c r="BF1598" s="9"/>
      <c r="BG1598" s="9"/>
      <c r="BH1598" s="9"/>
      <c r="BI1598" s="9"/>
      <c r="BJ1598" s="9"/>
      <c r="BK1598" s="9"/>
      <c r="BL1598" s="9"/>
      <c r="BM1598" s="9"/>
      <c r="BN1598" s="9"/>
      <c r="BO1598" s="9"/>
      <c r="BP1598" s="9"/>
      <c r="BQ1598" s="9"/>
      <c r="BR1598" s="9"/>
      <c r="BS1598" s="9"/>
      <c r="BT1598" s="9"/>
      <c r="BU1598" s="9"/>
      <c r="BV1598" s="9"/>
      <c r="BW1598" s="9"/>
      <c r="BX1598" s="9"/>
      <c r="BY1598" s="9"/>
      <c r="BZ1598" s="9"/>
      <c r="CA1598" s="9"/>
      <c r="CB1598" s="9"/>
      <c r="CC1598" s="9"/>
      <c r="CD1598" s="9"/>
      <c r="CE1598" s="9"/>
      <c r="CF1598" s="9"/>
      <c r="CG1598" s="9"/>
      <c r="CH1598" s="9"/>
      <c r="CI1598" s="9"/>
      <c r="CJ1598" s="9"/>
      <c r="CK1598" s="9"/>
      <c r="CL1598" s="9"/>
      <c r="CM1598" s="9"/>
      <c r="CN1598" s="9"/>
      <c r="CO1598" s="9"/>
      <c r="CP1598" s="9"/>
    </row>
    <row r="1599" spans="1:94" x14ac:dyDescent="0.25">
      <c r="A1599" s="9" t="s">
        <v>4489</v>
      </c>
      <c r="B1599" s="9" t="s">
        <v>4490</v>
      </c>
      <c r="C1599" s="9"/>
      <c r="D1599" s="9"/>
      <c r="E1599" s="9"/>
      <c r="F1599" s="9"/>
      <c r="G1599" s="9"/>
      <c r="H1599" s="9"/>
      <c r="I1599" s="9"/>
      <c r="J1599" s="9"/>
      <c r="K1599" s="9"/>
      <c r="L1599" s="9"/>
      <c r="M1599" s="9"/>
      <c r="N1599" s="9"/>
      <c r="O1599" s="9"/>
      <c r="P1599" s="9"/>
      <c r="Q1599" s="9"/>
      <c r="R1599" s="9"/>
      <c r="S1599" s="9"/>
      <c r="T1599" s="9"/>
      <c r="U1599" s="9"/>
      <c r="V1599" s="9"/>
      <c r="W1599" s="9"/>
      <c r="X1599" s="9"/>
      <c r="Y1599" s="9"/>
      <c r="Z1599" s="9"/>
      <c r="AA1599" s="9"/>
      <c r="AB1599" s="9"/>
      <c r="AC1599" s="9"/>
      <c r="AD1599" s="9"/>
      <c r="AE1599" s="9"/>
      <c r="AF1599" s="9"/>
      <c r="AG1599" s="9"/>
      <c r="AH1599" s="9"/>
      <c r="AI1599" s="9"/>
      <c r="AJ1599" s="9"/>
      <c r="AK1599" s="9"/>
      <c r="AL1599" s="9"/>
      <c r="AM1599" s="69"/>
      <c r="AN1599" s="9"/>
      <c r="AO1599" s="69" t="s">
        <v>4434</v>
      </c>
      <c r="AP1599" s="210"/>
      <c r="AQ1599" s="211"/>
      <c r="AR1599" s="211"/>
      <c r="AS1599" s="211"/>
      <c r="AT1599" s="211"/>
      <c r="AU1599" s="211"/>
      <c r="AV1599" s="211"/>
      <c r="AW1599" s="9"/>
      <c r="AX1599" s="9"/>
      <c r="AY1599" s="9"/>
      <c r="AZ1599" s="9"/>
      <c r="BA1599" s="120"/>
      <c r="BB1599" s="69"/>
      <c r="BC1599" s="9"/>
      <c r="BD1599" s="9"/>
      <c r="BE1599" s="9"/>
      <c r="BF1599" s="9"/>
      <c r="BG1599" s="9"/>
      <c r="BH1599" s="9"/>
      <c r="BI1599" s="9"/>
      <c r="BJ1599" s="9"/>
      <c r="BK1599" s="9"/>
      <c r="BL1599" s="9"/>
      <c r="BM1599" s="9"/>
      <c r="BN1599" s="9"/>
      <c r="BO1599" s="9"/>
      <c r="BP1599" s="9"/>
      <c r="BQ1599" s="9"/>
      <c r="BR1599" s="9"/>
      <c r="BS1599" s="9"/>
      <c r="BT1599" s="9"/>
      <c r="BU1599" s="9"/>
      <c r="BV1599" s="9"/>
      <c r="BW1599" s="9"/>
      <c r="BX1599" s="9"/>
      <c r="BY1599" s="9"/>
      <c r="BZ1599" s="9"/>
      <c r="CA1599" s="9"/>
      <c r="CB1599" s="9"/>
      <c r="CC1599" s="9"/>
      <c r="CD1599" s="9"/>
      <c r="CE1599" s="9"/>
      <c r="CF1599" s="9"/>
      <c r="CG1599" s="9"/>
      <c r="CH1599" s="9"/>
      <c r="CI1599" s="9"/>
      <c r="CJ1599" s="9"/>
      <c r="CK1599" s="9"/>
      <c r="CL1599" s="9"/>
      <c r="CM1599" s="9"/>
      <c r="CN1599" s="9"/>
      <c r="CO1599" s="9"/>
      <c r="CP1599" s="9"/>
    </row>
    <row r="1600" spans="1:94" x14ac:dyDescent="0.25">
      <c r="A1600" s="9" t="s">
        <v>4491</v>
      </c>
      <c r="B1600" s="9" t="s">
        <v>4492</v>
      </c>
      <c r="C1600" s="9"/>
      <c r="D1600" s="9"/>
      <c r="E1600" s="9"/>
      <c r="F1600" s="9"/>
      <c r="G1600" s="9"/>
      <c r="H1600" s="9"/>
      <c r="I1600" s="9"/>
      <c r="J1600" s="9"/>
      <c r="K1600" s="9"/>
      <c r="L1600" s="9"/>
      <c r="M1600" s="9"/>
      <c r="N1600" s="9"/>
      <c r="O1600" s="9"/>
      <c r="P1600" s="9"/>
      <c r="Q1600" s="9"/>
      <c r="R1600" s="9"/>
      <c r="S1600" s="9"/>
      <c r="T1600" s="9"/>
      <c r="U1600" s="9"/>
      <c r="V1600" s="9"/>
      <c r="W1600" s="9"/>
      <c r="X1600" s="9"/>
      <c r="Y1600" s="9"/>
      <c r="Z1600" s="9"/>
      <c r="AA1600" s="9"/>
      <c r="AB1600" s="9"/>
      <c r="AC1600" s="9"/>
      <c r="AD1600" s="9"/>
      <c r="AE1600" s="9"/>
      <c r="AF1600" s="9"/>
      <c r="AG1600" s="9"/>
      <c r="AH1600" s="9"/>
      <c r="AI1600" s="9"/>
      <c r="AJ1600" s="9"/>
      <c r="AK1600" s="9"/>
      <c r="AL1600" s="9"/>
      <c r="AM1600" s="69"/>
      <c r="AN1600" s="9"/>
      <c r="AO1600" s="69" t="s">
        <v>4481</v>
      </c>
      <c r="AP1600" s="210"/>
      <c r="AQ1600" s="211"/>
      <c r="AR1600" s="211"/>
      <c r="AS1600" s="211"/>
      <c r="AT1600" s="211"/>
      <c r="AU1600" s="211"/>
      <c r="AV1600" s="211"/>
      <c r="AW1600" s="9"/>
      <c r="AX1600" s="9"/>
      <c r="AY1600" s="9"/>
      <c r="AZ1600" s="9"/>
      <c r="BA1600" s="120"/>
      <c r="BB1600" s="69"/>
      <c r="BC1600" s="9"/>
      <c r="BD1600" s="9"/>
      <c r="BE1600" s="9"/>
      <c r="BF1600" s="9"/>
      <c r="BG1600" s="9"/>
      <c r="BH1600" s="9"/>
      <c r="BI1600" s="9"/>
      <c r="BJ1600" s="9"/>
      <c r="BK1600" s="9"/>
      <c r="BL1600" s="9"/>
      <c r="BM1600" s="9"/>
      <c r="BN1600" s="9"/>
      <c r="BO1600" s="9"/>
      <c r="BP1600" s="9"/>
      <c r="BQ1600" s="9"/>
      <c r="BR1600" s="9"/>
      <c r="BS1600" s="9"/>
      <c r="BT1600" s="9"/>
      <c r="BU1600" s="9"/>
      <c r="BV1600" s="9"/>
      <c r="BW1600" s="9"/>
      <c r="BX1600" s="9"/>
      <c r="BY1600" s="9"/>
      <c r="BZ1600" s="9"/>
      <c r="CA1600" s="9"/>
      <c r="CB1600" s="9"/>
      <c r="CC1600" s="9"/>
      <c r="CD1600" s="9"/>
      <c r="CE1600" s="9"/>
      <c r="CF1600" s="9"/>
      <c r="CG1600" s="9"/>
      <c r="CH1600" s="9"/>
      <c r="CI1600" s="9"/>
      <c r="CJ1600" s="9"/>
      <c r="CK1600" s="9"/>
      <c r="CL1600" s="9"/>
      <c r="CM1600" s="9"/>
      <c r="CN1600" s="9"/>
      <c r="CO1600" s="9"/>
      <c r="CP1600" s="9"/>
    </row>
    <row r="1601" spans="1:94" x14ac:dyDescent="0.25">
      <c r="A1601" s="9" t="s">
        <v>526</v>
      </c>
      <c r="B1601" s="9" t="s">
        <v>4493</v>
      </c>
      <c r="C1601" s="9"/>
      <c r="D1601" s="9"/>
      <c r="E1601" s="9"/>
      <c r="F1601" s="9"/>
      <c r="G1601" s="9"/>
      <c r="H1601" s="9"/>
      <c r="I1601" s="9"/>
      <c r="J1601" s="9"/>
      <c r="K1601" s="9"/>
      <c r="L1601" s="9"/>
      <c r="M1601" s="9"/>
      <c r="N1601" s="9"/>
      <c r="O1601" s="9"/>
      <c r="P1601" s="9"/>
      <c r="Q1601" s="9"/>
      <c r="R1601" s="9"/>
      <c r="S1601" s="9"/>
      <c r="T1601" s="9"/>
      <c r="U1601" s="9"/>
      <c r="V1601" s="9"/>
      <c r="W1601" s="9"/>
      <c r="X1601" s="9"/>
      <c r="Y1601" s="9"/>
      <c r="Z1601" s="9"/>
      <c r="AA1601" s="9"/>
      <c r="AB1601" s="9"/>
      <c r="AC1601" s="9"/>
      <c r="AD1601" s="9"/>
      <c r="AE1601" s="9"/>
      <c r="AF1601" s="9"/>
      <c r="AG1601" s="9"/>
      <c r="AH1601" s="9"/>
      <c r="AI1601" s="9"/>
      <c r="AJ1601" s="9"/>
      <c r="AK1601" s="9"/>
      <c r="AL1601" s="9"/>
      <c r="AM1601" s="69"/>
      <c r="AN1601" s="9"/>
      <c r="AO1601" s="69" t="s">
        <v>4481</v>
      </c>
      <c r="AP1601" s="210"/>
      <c r="AQ1601" s="211"/>
      <c r="AR1601" s="211"/>
      <c r="AS1601" s="211"/>
      <c r="AT1601" s="211"/>
      <c r="AU1601" s="211"/>
      <c r="AV1601" s="211"/>
      <c r="AW1601" s="9"/>
      <c r="AX1601" s="9"/>
      <c r="AY1601" s="9"/>
      <c r="AZ1601" s="9"/>
      <c r="BA1601" s="120"/>
      <c r="BB1601" s="69"/>
      <c r="BC1601" s="9"/>
      <c r="BD1601" s="9"/>
      <c r="BE1601" s="9"/>
      <c r="BF1601" s="9"/>
      <c r="BG1601" s="9"/>
      <c r="BH1601" s="9"/>
      <c r="BI1601" s="9"/>
      <c r="BJ1601" s="9"/>
      <c r="BK1601" s="9"/>
      <c r="BL1601" s="9"/>
      <c r="BM1601" s="9"/>
      <c r="BN1601" s="9"/>
      <c r="BO1601" s="9"/>
      <c r="BP1601" s="9"/>
      <c r="BQ1601" s="9"/>
      <c r="BR1601" s="9"/>
      <c r="BS1601" s="9"/>
      <c r="BT1601" s="9"/>
      <c r="BU1601" s="9"/>
      <c r="BV1601" s="9"/>
      <c r="BW1601" s="9"/>
      <c r="BX1601" s="9"/>
      <c r="BY1601" s="9"/>
      <c r="BZ1601" s="9"/>
      <c r="CA1601" s="9"/>
      <c r="CB1601" s="9"/>
      <c r="CC1601" s="9"/>
      <c r="CD1601" s="9"/>
      <c r="CE1601" s="9"/>
      <c r="CF1601" s="9"/>
      <c r="CG1601" s="9"/>
      <c r="CH1601" s="9"/>
      <c r="CI1601" s="9"/>
      <c r="CJ1601" s="9"/>
      <c r="CK1601" s="9"/>
      <c r="CL1601" s="9"/>
      <c r="CM1601" s="9"/>
      <c r="CN1601" s="9"/>
      <c r="CO1601" s="9"/>
      <c r="CP1601" s="9"/>
    </row>
    <row r="1602" spans="1:94" x14ac:dyDescent="0.25">
      <c r="A1602" s="9" t="s">
        <v>4494</v>
      </c>
      <c r="B1602" s="9" t="s">
        <v>4495</v>
      </c>
      <c r="C1602" s="9"/>
      <c r="D1602" s="9"/>
      <c r="E1602" s="9"/>
      <c r="F1602" s="9"/>
      <c r="G1602" s="9"/>
      <c r="H1602" s="9"/>
      <c r="I1602" s="9"/>
      <c r="J1602" s="9"/>
      <c r="K1602" s="9"/>
      <c r="L1602" s="9"/>
      <c r="M1602" s="9"/>
      <c r="N1602" s="9"/>
      <c r="O1602" s="9"/>
      <c r="P1602" s="9"/>
      <c r="Q1602" s="9"/>
      <c r="R1602" s="9"/>
      <c r="S1602" s="9"/>
      <c r="T1602" s="9"/>
      <c r="U1602" s="9"/>
      <c r="V1602" s="9"/>
      <c r="W1602" s="9"/>
      <c r="X1602" s="9"/>
      <c r="Y1602" s="9"/>
      <c r="Z1602" s="9"/>
      <c r="AA1602" s="9"/>
      <c r="AB1602" s="9"/>
      <c r="AC1602" s="9"/>
      <c r="AD1602" s="9"/>
      <c r="AE1602" s="9"/>
      <c r="AF1602" s="9"/>
      <c r="AG1602" s="9"/>
      <c r="AH1602" s="9"/>
      <c r="AI1602" s="9"/>
      <c r="AJ1602" s="9"/>
      <c r="AK1602" s="9"/>
      <c r="AL1602" s="9"/>
      <c r="AM1602" s="69"/>
      <c r="AN1602" s="9"/>
      <c r="AO1602" s="69" t="s">
        <v>4481</v>
      </c>
      <c r="AP1602" s="210"/>
      <c r="AQ1602" s="211"/>
      <c r="AR1602" s="211"/>
      <c r="AS1602" s="211"/>
      <c r="AT1602" s="211"/>
      <c r="AU1602" s="211"/>
      <c r="AV1602" s="211"/>
      <c r="AW1602" s="9"/>
      <c r="AX1602" s="9"/>
      <c r="AY1602" s="9"/>
      <c r="AZ1602" s="9"/>
      <c r="BA1602" s="120"/>
      <c r="BB1602" s="69"/>
      <c r="BC1602" s="9"/>
      <c r="BD1602" s="9"/>
      <c r="BE1602" s="9"/>
      <c r="BF1602" s="9"/>
      <c r="BG1602" s="9"/>
      <c r="BH1602" s="9"/>
      <c r="BI1602" s="9"/>
      <c r="BJ1602" s="9"/>
      <c r="BK1602" s="9"/>
      <c r="BL1602" s="9"/>
      <c r="BM1602" s="9"/>
      <c r="BN1602" s="9"/>
      <c r="BO1602" s="9"/>
      <c r="BP1602" s="9"/>
      <c r="BQ1602" s="9"/>
      <c r="BR1602" s="9"/>
      <c r="BS1602" s="9"/>
      <c r="BT1602" s="9"/>
      <c r="BU1602" s="9"/>
      <c r="BV1602" s="9"/>
      <c r="BW1602" s="9"/>
      <c r="BX1602" s="9"/>
      <c r="BY1602" s="9"/>
      <c r="BZ1602" s="9"/>
      <c r="CA1602" s="9"/>
      <c r="CB1602" s="9"/>
      <c r="CC1602" s="9"/>
      <c r="CD1602" s="9"/>
      <c r="CE1602" s="9"/>
      <c r="CF1602" s="9"/>
      <c r="CG1602" s="9"/>
      <c r="CH1602" s="9"/>
      <c r="CI1602" s="9"/>
      <c r="CJ1602" s="9"/>
      <c r="CK1602" s="9"/>
      <c r="CL1602" s="9"/>
      <c r="CM1602" s="9"/>
      <c r="CN1602" s="9"/>
      <c r="CO1602" s="9"/>
      <c r="CP1602" s="9"/>
    </row>
    <row r="1603" spans="1:94" ht="15.75" x14ac:dyDescent="0.25">
      <c r="A1603" s="126" t="s">
        <v>4496</v>
      </c>
      <c r="B1603" s="9" t="s">
        <v>4497</v>
      </c>
      <c r="C1603" s="9"/>
      <c r="D1603" s="9"/>
      <c r="E1603" s="9"/>
      <c r="F1603" s="9"/>
      <c r="G1603" s="9"/>
      <c r="H1603" s="9"/>
      <c r="I1603" s="9"/>
      <c r="J1603" s="9"/>
      <c r="K1603" s="9"/>
      <c r="L1603" s="9"/>
      <c r="M1603" s="9"/>
      <c r="N1603" s="9"/>
      <c r="O1603" s="9"/>
      <c r="P1603" s="9"/>
      <c r="Q1603" s="9"/>
      <c r="R1603" s="9"/>
      <c r="S1603" s="9"/>
      <c r="T1603" s="9"/>
      <c r="U1603" s="9"/>
      <c r="V1603" s="9"/>
      <c r="W1603" s="9"/>
      <c r="X1603" s="9"/>
      <c r="Y1603" s="9"/>
      <c r="Z1603" s="9"/>
      <c r="AA1603" s="9"/>
      <c r="AB1603" s="9"/>
      <c r="AC1603" s="9"/>
      <c r="AD1603" s="9"/>
      <c r="AE1603" s="9"/>
      <c r="AF1603" s="9"/>
      <c r="AG1603" s="9"/>
      <c r="AH1603" s="9"/>
      <c r="AI1603" s="9"/>
      <c r="AJ1603" s="9"/>
      <c r="AK1603" s="9"/>
      <c r="AL1603" s="9"/>
      <c r="AM1603" s="69"/>
      <c r="AN1603" s="9"/>
      <c r="AO1603" s="69" t="s">
        <v>2150</v>
      </c>
      <c r="AP1603" s="210"/>
      <c r="AQ1603" s="211"/>
      <c r="AR1603" s="211"/>
      <c r="AS1603" s="211"/>
      <c r="AT1603" s="211"/>
      <c r="AU1603" s="211"/>
      <c r="AV1603" s="211"/>
      <c r="AW1603" s="9"/>
      <c r="AX1603" s="9"/>
      <c r="AY1603" s="9"/>
      <c r="AZ1603" s="9"/>
      <c r="BA1603" s="120"/>
      <c r="BB1603" s="69"/>
      <c r="BC1603" s="9"/>
      <c r="BD1603" s="9"/>
      <c r="BE1603" s="9"/>
      <c r="BF1603" s="9"/>
      <c r="BG1603" s="9"/>
      <c r="BH1603" s="9"/>
      <c r="BI1603" s="9"/>
      <c r="BJ1603" s="9"/>
      <c r="BK1603" s="9"/>
      <c r="BL1603" s="9"/>
      <c r="BM1603" s="9"/>
      <c r="BN1603" s="9"/>
      <c r="BO1603" s="9"/>
      <c r="BP1603" s="9"/>
      <c r="BQ1603" s="9"/>
      <c r="BR1603" s="9"/>
      <c r="BS1603" s="9"/>
      <c r="BT1603" s="9"/>
      <c r="BU1603" s="9"/>
      <c r="BV1603" s="9"/>
      <c r="BW1603" s="9"/>
      <c r="BX1603" s="9"/>
      <c r="BY1603" s="9"/>
      <c r="BZ1603" s="9"/>
      <c r="CA1603" s="9"/>
      <c r="CB1603" s="9"/>
      <c r="CC1603" s="9"/>
      <c r="CD1603" s="9"/>
      <c r="CE1603" s="9"/>
      <c r="CF1603" s="9"/>
      <c r="CG1603" s="9"/>
      <c r="CH1603" s="9"/>
      <c r="CI1603" s="9"/>
      <c r="CJ1603" s="9"/>
      <c r="CK1603" s="9"/>
      <c r="CL1603" s="9"/>
      <c r="CM1603" s="9"/>
      <c r="CN1603" s="9"/>
      <c r="CO1603" s="9"/>
      <c r="CP1603" s="9"/>
    </row>
    <row r="1604" spans="1:94" ht="15.75" x14ac:dyDescent="0.25">
      <c r="A1604" s="126" t="s">
        <v>4498</v>
      </c>
      <c r="B1604" s="9" t="s">
        <v>4499</v>
      </c>
      <c r="C1604" s="9"/>
      <c r="D1604" s="9"/>
      <c r="E1604" s="9"/>
      <c r="F1604" s="9"/>
      <c r="G1604" s="9"/>
      <c r="H1604" s="9"/>
      <c r="I1604" s="9"/>
      <c r="J1604" s="9"/>
      <c r="K1604" s="9"/>
      <c r="L1604" s="9"/>
      <c r="M1604" s="9"/>
      <c r="N1604" s="9"/>
      <c r="O1604" s="9"/>
      <c r="P1604" s="9"/>
      <c r="Q1604" s="9"/>
      <c r="R1604" s="9"/>
      <c r="S1604" s="9"/>
      <c r="T1604" s="9"/>
      <c r="U1604" s="9"/>
      <c r="V1604" s="9"/>
      <c r="W1604" s="9"/>
      <c r="X1604" s="9"/>
      <c r="Y1604" s="9"/>
      <c r="Z1604" s="9"/>
      <c r="AA1604" s="9"/>
      <c r="AB1604" s="9"/>
      <c r="AC1604" s="9"/>
      <c r="AD1604" s="9"/>
      <c r="AE1604" s="9"/>
      <c r="AF1604" s="9"/>
      <c r="AG1604" s="9"/>
      <c r="AH1604" s="9"/>
      <c r="AI1604" s="9"/>
      <c r="AJ1604" s="9"/>
      <c r="AK1604" s="9"/>
      <c r="AL1604" s="9"/>
      <c r="AM1604" s="69"/>
      <c r="AN1604" s="9"/>
      <c r="AO1604" s="69" t="s">
        <v>2150</v>
      </c>
      <c r="AP1604" s="210"/>
      <c r="AQ1604" s="211"/>
      <c r="AR1604" s="211"/>
      <c r="AS1604" s="211"/>
      <c r="AT1604" s="211"/>
      <c r="AU1604" s="211"/>
      <c r="AV1604" s="211"/>
      <c r="AW1604" s="9"/>
      <c r="AX1604" s="9"/>
      <c r="AY1604" s="9"/>
      <c r="AZ1604" s="9"/>
      <c r="BA1604" s="120"/>
      <c r="BB1604" s="69"/>
      <c r="BC1604" s="9"/>
      <c r="BD1604" s="9"/>
      <c r="BE1604" s="9"/>
      <c r="BF1604" s="9"/>
      <c r="BG1604" s="9"/>
      <c r="BH1604" s="9"/>
      <c r="BI1604" s="9"/>
      <c r="BJ1604" s="9"/>
      <c r="BK1604" s="9"/>
      <c r="BL1604" s="9"/>
      <c r="BM1604" s="9"/>
      <c r="BN1604" s="9"/>
      <c r="BO1604" s="9"/>
      <c r="BP1604" s="9"/>
      <c r="BQ1604" s="9"/>
      <c r="BR1604" s="9"/>
      <c r="BS1604" s="9"/>
      <c r="BT1604" s="9"/>
      <c r="BU1604" s="9"/>
      <c r="BV1604" s="9"/>
      <c r="BW1604" s="9"/>
      <c r="BX1604" s="9"/>
      <c r="BY1604" s="9"/>
      <c r="BZ1604" s="9"/>
      <c r="CA1604" s="9"/>
      <c r="CB1604" s="9"/>
      <c r="CC1604" s="9"/>
      <c r="CD1604" s="9"/>
      <c r="CE1604" s="9"/>
      <c r="CF1604" s="9"/>
      <c r="CG1604" s="9"/>
      <c r="CH1604" s="9"/>
      <c r="CI1604" s="9"/>
      <c r="CJ1604" s="9"/>
      <c r="CK1604" s="9"/>
      <c r="CL1604" s="9"/>
      <c r="CM1604" s="9"/>
      <c r="CN1604" s="9"/>
      <c r="CO1604" s="9"/>
      <c r="CP1604" s="9"/>
    </row>
    <row r="1605" spans="1:94" x14ac:dyDescent="0.25">
      <c r="A1605" s="9" t="s">
        <v>4500</v>
      </c>
      <c r="B1605" s="9" t="s">
        <v>4501</v>
      </c>
      <c r="C1605" s="9"/>
      <c r="D1605" s="9"/>
      <c r="E1605" s="9"/>
      <c r="F1605" s="9"/>
      <c r="G1605" s="9"/>
      <c r="H1605" s="9"/>
      <c r="I1605" s="9"/>
      <c r="J1605" s="9"/>
      <c r="K1605" s="9"/>
      <c r="L1605" s="9"/>
      <c r="M1605" s="9"/>
      <c r="N1605" s="9"/>
      <c r="O1605" s="9"/>
      <c r="P1605" s="9"/>
      <c r="Q1605" s="9"/>
      <c r="R1605" s="9"/>
      <c r="S1605" s="9"/>
      <c r="T1605" s="9"/>
      <c r="U1605" s="9"/>
      <c r="V1605" s="9"/>
      <c r="W1605" s="9"/>
      <c r="X1605" s="9"/>
      <c r="Y1605" s="9"/>
      <c r="Z1605" s="9"/>
      <c r="AA1605" s="9"/>
      <c r="AB1605" s="9"/>
      <c r="AC1605" s="9"/>
      <c r="AD1605" s="9"/>
      <c r="AE1605" s="9"/>
      <c r="AF1605" s="9"/>
      <c r="AG1605" s="9"/>
      <c r="AH1605" s="9"/>
      <c r="AI1605" s="9"/>
      <c r="AJ1605" s="9"/>
      <c r="AK1605" s="9"/>
      <c r="AL1605" s="9"/>
      <c r="AM1605" s="69"/>
      <c r="AN1605" s="9"/>
      <c r="AO1605" s="69" t="s">
        <v>2150</v>
      </c>
      <c r="AP1605" s="210"/>
      <c r="AQ1605" s="211"/>
      <c r="AR1605" s="211"/>
      <c r="AS1605" s="211"/>
      <c r="AT1605" s="211"/>
      <c r="AU1605" s="211"/>
      <c r="AV1605" s="211"/>
      <c r="AW1605" s="9"/>
      <c r="AX1605" s="9"/>
      <c r="AY1605" s="9"/>
      <c r="AZ1605" s="9"/>
      <c r="BA1605" s="120"/>
      <c r="BB1605" s="69"/>
      <c r="BC1605" s="9"/>
      <c r="BD1605" s="9"/>
      <c r="BE1605" s="9"/>
      <c r="BF1605" s="9"/>
      <c r="BG1605" s="9"/>
      <c r="BH1605" s="9"/>
      <c r="BI1605" s="9"/>
      <c r="BJ1605" s="9"/>
      <c r="BK1605" s="9"/>
      <c r="BL1605" s="9"/>
      <c r="BM1605" s="9"/>
      <c r="BN1605" s="9"/>
      <c r="BO1605" s="9"/>
      <c r="BP1605" s="9"/>
      <c r="BQ1605" s="9"/>
      <c r="BR1605" s="9"/>
      <c r="BS1605" s="9"/>
      <c r="BT1605" s="9"/>
      <c r="BU1605" s="9"/>
      <c r="BV1605" s="9"/>
      <c r="BW1605" s="9"/>
      <c r="BX1605" s="9"/>
      <c r="BY1605" s="9"/>
      <c r="BZ1605" s="9"/>
      <c r="CA1605" s="9"/>
      <c r="CB1605" s="9"/>
      <c r="CC1605" s="9"/>
      <c r="CD1605" s="9"/>
      <c r="CE1605" s="9"/>
      <c r="CF1605" s="9"/>
      <c r="CG1605" s="9"/>
      <c r="CH1605" s="9"/>
      <c r="CI1605" s="9"/>
      <c r="CJ1605" s="9"/>
      <c r="CK1605" s="9"/>
      <c r="CL1605" s="9"/>
      <c r="CM1605" s="9"/>
      <c r="CN1605" s="9"/>
      <c r="CO1605" s="9"/>
      <c r="CP1605" s="9"/>
    </row>
    <row r="1606" spans="1:94" x14ac:dyDescent="0.25">
      <c r="A1606" s="9" t="s">
        <v>4502</v>
      </c>
      <c r="B1606" s="9" t="s">
        <v>4503</v>
      </c>
      <c r="C1606" s="9"/>
      <c r="D1606" s="9"/>
      <c r="E1606" s="9"/>
      <c r="F1606" s="9"/>
      <c r="G1606" s="9"/>
      <c r="H1606" s="9"/>
      <c r="I1606" s="9"/>
      <c r="J1606" s="9"/>
      <c r="K1606" s="9"/>
      <c r="L1606" s="9"/>
      <c r="M1606" s="9"/>
      <c r="N1606" s="9"/>
      <c r="O1606" s="9"/>
      <c r="P1606" s="9"/>
      <c r="Q1606" s="9"/>
      <c r="R1606" s="9"/>
      <c r="S1606" s="9"/>
      <c r="T1606" s="9"/>
      <c r="U1606" s="9"/>
      <c r="V1606" s="9"/>
      <c r="W1606" s="9"/>
      <c r="X1606" s="9"/>
      <c r="Y1606" s="9"/>
      <c r="Z1606" s="9"/>
      <c r="AA1606" s="9"/>
      <c r="AB1606" s="9"/>
      <c r="AC1606" s="9"/>
      <c r="AD1606" s="9"/>
      <c r="AE1606" s="9"/>
      <c r="AF1606" s="9"/>
      <c r="AG1606" s="9"/>
      <c r="AH1606" s="9"/>
      <c r="AI1606" s="9"/>
      <c r="AJ1606" s="9"/>
      <c r="AK1606" s="9"/>
      <c r="AL1606" s="9"/>
      <c r="AM1606" s="69"/>
      <c r="AN1606" s="9"/>
      <c r="AO1606" s="69" t="s">
        <v>2150</v>
      </c>
      <c r="AP1606" s="210"/>
      <c r="AQ1606" s="211"/>
      <c r="AR1606" s="211"/>
      <c r="AS1606" s="211"/>
      <c r="AT1606" s="211"/>
      <c r="AU1606" s="211"/>
      <c r="AV1606" s="211"/>
      <c r="AW1606" s="9"/>
      <c r="AX1606" s="9"/>
      <c r="AY1606" s="9"/>
      <c r="AZ1606" s="9"/>
      <c r="BA1606" s="120"/>
      <c r="BB1606" s="69"/>
      <c r="BC1606" s="9"/>
      <c r="BD1606" s="9"/>
      <c r="BE1606" s="9"/>
      <c r="BF1606" s="9"/>
      <c r="BG1606" s="9"/>
      <c r="BH1606" s="9"/>
      <c r="BI1606" s="9"/>
      <c r="BJ1606" s="9"/>
      <c r="BK1606" s="9"/>
      <c r="BL1606" s="9"/>
      <c r="BM1606" s="9"/>
      <c r="BN1606" s="9"/>
      <c r="BO1606" s="9"/>
      <c r="BP1606" s="9"/>
      <c r="BQ1606" s="9"/>
      <c r="BR1606" s="9"/>
      <c r="BS1606" s="9"/>
      <c r="BT1606" s="9"/>
      <c r="BU1606" s="9"/>
      <c r="BV1606" s="9"/>
      <c r="BW1606" s="9"/>
      <c r="BX1606" s="9"/>
      <c r="BY1606" s="9"/>
      <c r="BZ1606" s="9"/>
      <c r="CA1606" s="9"/>
      <c r="CB1606" s="9"/>
      <c r="CC1606" s="9"/>
      <c r="CD1606" s="9"/>
      <c r="CE1606" s="9"/>
      <c r="CF1606" s="9"/>
      <c r="CG1606" s="9"/>
      <c r="CH1606" s="9"/>
      <c r="CI1606" s="9"/>
      <c r="CJ1606" s="9"/>
      <c r="CK1606" s="9"/>
      <c r="CL1606" s="9"/>
      <c r="CM1606" s="9"/>
      <c r="CN1606" s="9"/>
      <c r="CO1606" s="9"/>
      <c r="CP1606" s="9"/>
    </row>
    <row r="1607" spans="1:94" x14ac:dyDescent="0.25">
      <c r="A1607" s="9" t="s">
        <v>4504</v>
      </c>
      <c r="B1607" s="9" t="s">
        <v>4505</v>
      </c>
      <c r="C1607" s="9"/>
      <c r="D1607" s="9"/>
      <c r="E1607" s="9"/>
      <c r="F1607" s="9"/>
      <c r="G1607" s="9"/>
      <c r="H1607" s="9"/>
      <c r="I1607" s="9"/>
      <c r="J1607" s="9"/>
      <c r="K1607" s="9"/>
      <c r="L1607" s="9"/>
      <c r="M1607" s="9"/>
      <c r="N1607" s="9"/>
      <c r="O1607" s="9"/>
      <c r="P1607" s="9"/>
      <c r="Q1607" s="9"/>
      <c r="R1607" s="9"/>
      <c r="S1607" s="9"/>
      <c r="T1607" s="9"/>
      <c r="U1607" s="9"/>
      <c r="V1607" s="9"/>
      <c r="W1607" s="9"/>
      <c r="X1607" s="9"/>
      <c r="Y1607" s="9"/>
      <c r="Z1607" s="9"/>
      <c r="AA1607" s="9"/>
      <c r="AB1607" s="9"/>
      <c r="AC1607" s="9"/>
      <c r="AD1607" s="9"/>
      <c r="AE1607" s="9"/>
      <c r="AF1607" s="9"/>
      <c r="AG1607" s="9"/>
      <c r="AH1607" s="9"/>
      <c r="AI1607" s="9"/>
      <c r="AJ1607" s="9"/>
      <c r="AK1607" s="9"/>
      <c r="AL1607" s="9"/>
      <c r="AM1607" s="69"/>
      <c r="AN1607" s="9"/>
      <c r="AO1607" s="69" t="s">
        <v>2150</v>
      </c>
      <c r="AP1607" s="210"/>
      <c r="AQ1607" s="211"/>
      <c r="AR1607" s="211"/>
      <c r="AS1607" s="211"/>
      <c r="AT1607" s="211"/>
      <c r="AU1607" s="211"/>
      <c r="AV1607" s="211"/>
      <c r="AW1607" s="9"/>
      <c r="AX1607" s="9"/>
      <c r="AY1607" s="9"/>
      <c r="AZ1607" s="9"/>
      <c r="BA1607" s="120"/>
      <c r="BB1607" s="69"/>
      <c r="BC1607" s="9"/>
      <c r="BD1607" s="9"/>
      <c r="BE1607" s="9"/>
      <c r="BF1607" s="9"/>
      <c r="BG1607" s="9"/>
      <c r="BH1607" s="9"/>
      <c r="BI1607" s="9"/>
      <c r="BJ1607" s="9"/>
      <c r="BK1607" s="9"/>
      <c r="BL1607" s="9"/>
      <c r="BM1607" s="9"/>
      <c r="BN1607" s="9"/>
      <c r="BO1607" s="9"/>
      <c r="BP1607" s="9"/>
      <c r="BQ1607" s="9"/>
      <c r="BR1607" s="9"/>
      <c r="BS1607" s="9"/>
      <c r="BT1607" s="9"/>
      <c r="BU1607" s="9"/>
      <c r="BV1607" s="9"/>
      <c r="BW1607" s="9"/>
      <c r="BX1607" s="9"/>
      <c r="BY1607" s="9"/>
      <c r="BZ1607" s="9"/>
      <c r="CA1607" s="9"/>
      <c r="CB1607" s="9"/>
      <c r="CC1607" s="9"/>
      <c r="CD1607" s="9"/>
      <c r="CE1607" s="9"/>
      <c r="CF1607" s="9"/>
      <c r="CG1607" s="9"/>
      <c r="CH1607" s="9"/>
      <c r="CI1607" s="9"/>
      <c r="CJ1607" s="9"/>
      <c r="CK1607" s="9"/>
      <c r="CL1607" s="9"/>
      <c r="CM1607" s="9"/>
      <c r="CN1607" s="9"/>
      <c r="CO1607" s="9"/>
      <c r="CP1607" s="9"/>
    </row>
    <row r="1608" spans="1:94" ht="15.75" x14ac:dyDescent="0.25">
      <c r="A1608" s="126" t="s">
        <v>4506</v>
      </c>
      <c r="B1608" s="9" t="s">
        <v>4507</v>
      </c>
      <c r="C1608" s="9"/>
      <c r="D1608" s="9"/>
      <c r="E1608" s="9"/>
      <c r="F1608" s="9"/>
      <c r="G1608" s="9"/>
      <c r="H1608" s="9"/>
      <c r="I1608" s="9"/>
      <c r="J1608" s="9"/>
      <c r="K1608" s="9"/>
      <c r="L1608" s="9"/>
      <c r="M1608" s="9"/>
      <c r="N1608" s="9"/>
      <c r="O1608" s="9"/>
      <c r="P1608" s="9"/>
      <c r="Q1608" s="9"/>
      <c r="R1608" s="9"/>
      <c r="S1608" s="9"/>
      <c r="T1608" s="9"/>
      <c r="U1608" s="9"/>
      <c r="V1608" s="9"/>
      <c r="W1608" s="9"/>
      <c r="X1608" s="9"/>
      <c r="Y1608" s="9"/>
      <c r="Z1608" s="9"/>
      <c r="AA1608" s="9"/>
      <c r="AB1608" s="9"/>
      <c r="AC1608" s="9"/>
      <c r="AD1608" s="9"/>
      <c r="AE1608" s="9"/>
      <c r="AF1608" s="9"/>
      <c r="AG1608" s="9"/>
      <c r="AH1608" s="9"/>
      <c r="AI1608" s="9"/>
      <c r="AJ1608" s="9"/>
      <c r="AK1608" s="9"/>
      <c r="AL1608" s="9"/>
      <c r="AM1608" s="69"/>
      <c r="AN1608" s="9"/>
      <c r="AO1608" s="69" t="s">
        <v>2150</v>
      </c>
      <c r="AP1608" s="210"/>
      <c r="AQ1608" s="211"/>
      <c r="AR1608" s="211"/>
      <c r="AS1608" s="211"/>
      <c r="AT1608" s="211"/>
      <c r="AU1608" s="211"/>
      <c r="AV1608" s="211"/>
      <c r="AW1608" s="9"/>
      <c r="AX1608" s="9"/>
      <c r="AY1608" s="9"/>
      <c r="AZ1608" s="9"/>
      <c r="BA1608" s="120"/>
      <c r="BB1608" s="69"/>
      <c r="BC1608" s="9"/>
      <c r="BD1608" s="9"/>
      <c r="BE1608" s="9"/>
      <c r="BF1608" s="9"/>
      <c r="BG1608" s="9"/>
      <c r="BH1608" s="9"/>
      <c r="BI1608" s="9"/>
      <c r="BJ1608" s="9"/>
      <c r="BK1608" s="9"/>
      <c r="BL1608" s="9"/>
      <c r="BM1608" s="9"/>
      <c r="BN1608" s="9"/>
      <c r="BO1608" s="9"/>
      <c r="BP1608" s="9"/>
      <c r="BQ1608" s="9"/>
      <c r="BR1608" s="9"/>
      <c r="BS1608" s="9"/>
      <c r="BT1608" s="9"/>
      <c r="BU1608" s="9"/>
      <c r="BV1608" s="9"/>
      <c r="BW1608" s="9"/>
      <c r="BX1608" s="9"/>
      <c r="BY1608" s="9"/>
      <c r="BZ1608" s="9"/>
      <c r="CA1608" s="9"/>
      <c r="CB1608" s="9"/>
      <c r="CC1608" s="9"/>
      <c r="CD1608" s="9"/>
      <c r="CE1608" s="9"/>
      <c r="CF1608" s="9"/>
      <c r="CG1608" s="9"/>
      <c r="CH1608" s="9"/>
      <c r="CI1608" s="9"/>
      <c r="CJ1608" s="9"/>
      <c r="CK1608" s="9"/>
      <c r="CL1608" s="9"/>
      <c r="CM1608" s="9"/>
      <c r="CN1608" s="9"/>
      <c r="CO1608" s="9"/>
      <c r="CP1608" s="9"/>
    </row>
    <row r="1609" spans="1:94" ht="15.75" x14ac:dyDescent="0.25">
      <c r="A1609" s="126" t="s">
        <v>4508</v>
      </c>
      <c r="B1609" s="9" t="s">
        <v>4509</v>
      </c>
      <c r="C1609" s="9"/>
      <c r="D1609" s="9"/>
      <c r="E1609" s="9"/>
      <c r="F1609" s="9"/>
      <c r="G1609" s="9"/>
      <c r="H1609" s="9"/>
      <c r="I1609" s="9"/>
      <c r="J1609" s="9"/>
      <c r="K1609" s="9"/>
      <c r="L1609" s="9"/>
      <c r="M1609" s="9"/>
      <c r="N1609" s="9"/>
      <c r="O1609" s="9"/>
      <c r="P1609" s="9"/>
      <c r="Q1609" s="9"/>
      <c r="R1609" s="9"/>
      <c r="S1609" s="9"/>
      <c r="T1609" s="9"/>
      <c r="U1609" s="9"/>
      <c r="V1609" s="9"/>
      <c r="W1609" s="9"/>
      <c r="X1609" s="9"/>
      <c r="Y1609" s="9"/>
      <c r="Z1609" s="9"/>
      <c r="AA1609" s="9"/>
      <c r="AB1609" s="9"/>
      <c r="AC1609" s="9"/>
      <c r="AD1609" s="9"/>
      <c r="AE1609" s="9"/>
      <c r="AF1609" s="9"/>
      <c r="AG1609" s="9"/>
      <c r="AH1609" s="9"/>
      <c r="AI1609" s="9"/>
      <c r="AJ1609" s="9"/>
      <c r="AK1609" s="9"/>
      <c r="AL1609" s="9"/>
      <c r="AM1609" s="69"/>
      <c r="AN1609" s="9"/>
      <c r="AO1609" s="69" t="s">
        <v>2150</v>
      </c>
      <c r="AP1609" s="210"/>
      <c r="AQ1609" s="211"/>
      <c r="AR1609" s="211"/>
      <c r="AS1609" s="211"/>
      <c r="AT1609" s="211"/>
      <c r="AU1609" s="211"/>
      <c r="AV1609" s="211"/>
      <c r="AW1609" s="9"/>
      <c r="AX1609" s="9"/>
      <c r="AY1609" s="9"/>
      <c r="AZ1609" s="9"/>
      <c r="BA1609" s="120"/>
      <c r="BB1609" s="69"/>
      <c r="BC1609" s="9"/>
      <c r="BD1609" s="9"/>
      <c r="BE1609" s="9"/>
      <c r="BF1609" s="9"/>
      <c r="BG1609" s="9"/>
      <c r="BH1609" s="9"/>
      <c r="BI1609" s="9"/>
      <c r="BJ1609" s="9"/>
      <c r="BK1609" s="9"/>
      <c r="BL1609" s="9"/>
      <c r="BM1609" s="9"/>
      <c r="BN1609" s="9"/>
      <c r="BO1609" s="9"/>
      <c r="BP1609" s="9"/>
      <c r="BQ1609" s="9"/>
      <c r="BR1609" s="9"/>
      <c r="BS1609" s="9"/>
      <c r="BT1609" s="9"/>
      <c r="BU1609" s="9"/>
      <c r="BV1609" s="9"/>
      <c r="BW1609" s="9"/>
      <c r="BX1609" s="9"/>
      <c r="BY1609" s="9"/>
      <c r="BZ1609" s="9"/>
      <c r="CA1609" s="9"/>
      <c r="CB1609" s="9"/>
      <c r="CC1609" s="9"/>
      <c r="CD1609" s="9"/>
      <c r="CE1609" s="9"/>
      <c r="CF1609" s="9"/>
      <c r="CG1609" s="9"/>
      <c r="CH1609" s="9"/>
      <c r="CI1609" s="9"/>
      <c r="CJ1609" s="9"/>
      <c r="CK1609" s="9"/>
      <c r="CL1609" s="9"/>
      <c r="CM1609" s="9"/>
      <c r="CN1609" s="9"/>
      <c r="CO1609" s="9"/>
      <c r="CP1609" s="9"/>
    </row>
    <row r="1610" spans="1:94" x14ac:dyDescent="0.25">
      <c r="A1610" s="9" t="s">
        <v>4510</v>
      </c>
      <c r="B1610" s="9" t="s">
        <v>4511</v>
      </c>
      <c r="C1610" s="9"/>
      <c r="D1610" s="9"/>
      <c r="E1610" s="9"/>
      <c r="F1610" s="9"/>
      <c r="G1610" s="9"/>
      <c r="H1610" s="9"/>
      <c r="I1610" s="9"/>
      <c r="J1610" s="9"/>
      <c r="K1610" s="9"/>
      <c r="L1610" s="9"/>
      <c r="M1610" s="9"/>
      <c r="N1610" s="9"/>
      <c r="O1610" s="9"/>
      <c r="P1610" s="9"/>
      <c r="Q1610" s="9"/>
      <c r="R1610" s="9"/>
      <c r="S1610" s="9"/>
      <c r="T1610" s="9"/>
      <c r="U1610" s="9"/>
      <c r="V1610" s="9"/>
      <c r="W1610" s="9"/>
      <c r="X1610" s="9"/>
      <c r="Y1610" s="9"/>
      <c r="Z1610" s="9"/>
      <c r="AA1610" s="9"/>
      <c r="AB1610" s="9"/>
      <c r="AC1610" s="9"/>
      <c r="AD1610" s="9"/>
      <c r="AE1610" s="9"/>
      <c r="AF1610" s="9"/>
      <c r="AG1610" s="9"/>
      <c r="AH1610" s="9"/>
      <c r="AI1610" s="9"/>
      <c r="AJ1610" s="9"/>
      <c r="AK1610" s="9"/>
      <c r="AL1610" s="9"/>
      <c r="AM1610" s="69"/>
      <c r="AN1610" s="9"/>
      <c r="AO1610" s="69" t="s">
        <v>2150</v>
      </c>
      <c r="AP1610" s="210"/>
      <c r="AQ1610" s="211"/>
      <c r="AR1610" s="211"/>
      <c r="AS1610" s="211"/>
      <c r="AT1610" s="211"/>
      <c r="AU1610" s="211"/>
      <c r="AV1610" s="211"/>
      <c r="AW1610" s="9"/>
      <c r="AX1610" s="9"/>
      <c r="AY1610" s="9"/>
      <c r="AZ1610" s="9"/>
      <c r="BA1610" s="120"/>
      <c r="BB1610" s="69"/>
      <c r="BC1610" s="9"/>
      <c r="BD1610" s="9"/>
      <c r="BE1610" s="9"/>
      <c r="BF1610" s="9"/>
      <c r="BG1610" s="9"/>
      <c r="BH1610" s="9"/>
      <c r="BI1610" s="9"/>
      <c r="BJ1610" s="9"/>
      <c r="BK1610" s="9"/>
      <c r="BL1610" s="9"/>
      <c r="BM1610" s="9"/>
      <c r="BN1610" s="9"/>
      <c r="BO1610" s="9"/>
      <c r="BP1610" s="9"/>
      <c r="BQ1610" s="9"/>
      <c r="BR1610" s="9"/>
      <c r="BS1610" s="9"/>
      <c r="BT1610" s="9"/>
      <c r="BU1610" s="9"/>
      <c r="BV1610" s="9"/>
      <c r="BW1610" s="9"/>
      <c r="BX1610" s="9"/>
      <c r="BY1610" s="9"/>
      <c r="BZ1610" s="9"/>
      <c r="CA1610" s="9"/>
      <c r="CB1610" s="9"/>
      <c r="CC1610" s="9"/>
      <c r="CD1610" s="9"/>
      <c r="CE1610" s="9"/>
      <c r="CF1610" s="9"/>
      <c r="CG1610" s="9"/>
      <c r="CH1610" s="9"/>
      <c r="CI1610" s="9"/>
      <c r="CJ1610" s="9"/>
      <c r="CK1610" s="9"/>
      <c r="CL1610" s="9"/>
      <c r="CM1610" s="9"/>
      <c r="CN1610" s="9"/>
      <c r="CO1610" s="9"/>
      <c r="CP1610" s="9"/>
    </row>
    <row r="1611" spans="1:94" x14ac:dyDescent="0.25">
      <c r="A1611" s="9" t="s">
        <v>4512</v>
      </c>
      <c r="B1611" s="9" t="s">
        <v>4513</v>
      </c>
      <c r="C1611" s="9"/>
      <c r="D1611" s="9"/>
      <c r="E1611" s="9"/>
      <c r="F1611" s="9"/>
      <c r="G1611" s="9"/>
      <c r="H1611" s="9"/>
      <c r="I1611" s="9"/>
      <c r="J1611" s="9"/>
      <c r="K1611" s="9"/>
      <c r="L1611" s="9"/>
      <c r="M1611" s="9"/>
      <c r="N1611" s="9"/>
      <c r="O1611" s="9"/>
      <c r="P1611" s="9"/>
      <c r="Q1611" s="9"/>
      <c r="R1611" s="9"/>
      <c r="S1611" s="9"/>
      <c r="T1611" s="9"/>
      <c r="U1611" s="9"/>
      <c r="V1611" s="9"/>
      <c r="W1611" s="9"/>
      <c r="X1611" s="9"/>
      <c r="Y1611" s="9"/>
      <c r="Z1611" s="9"/>
      <c r="AA1611" s="9"/>
      <c r="AB1611" s="9"/>
      <c r="AC1611" s="9"/>
      <c r="AD1611" s="9"/>
      <c r="AE1611" s="9"/>
      <c r="AF1611" s="9"/>
      <c r="AG1611" s="9"/>
      <c r="AH1611" s="9"/>
      <c r="AI1611" s="9"/>
      <c r="AJ1611" s="9"/>
      <c r="AK1611" s="9"/>
      <c r="AL1611" s="9"/>
      <c r="AM1611" s="69"/>
      <c r="AN1611" s="9"/>
      <c r="AO1611" s="69" t="s">
        <v>2150</v>
      </c>
      <c r="AP1611" s="210"/>
      <c r="AQ1611" s="211"/>
      <c r="AR1611" s="211"/>
      <c r="AS1611" s="211"/>
      <c r="AT1611" s="211"/>
      <c r="AU1611" s="211"/>
      <c r="AV1611" s="211"/>
      <c r="AW1611" s="9"/>
      <c r="AX1611" s="9"/>
      <c r="AY1611" s="9"/>
      <c r="AZ1611" s="9"/>
      <c r="BA1611" s="120"/>
      <c r="BB1611" s="69"/>
      <c r="BC1611" s="9"/>
      <c r="BD1611" s="9"/>
      <c r="BE1611" s="9"/>
      <c r="BF1611" s="9"/>
      <c r="BG1611" s="9"/>
      <c r="BH1611" s="9"/>
      <c r="BI1611" s="9"/>
      <c r="BJ1611" s="9"/>
      <c r="BK1611" s="9"/>
      <c r="BL1611" s="9"/>
      <c r="BM1611" s="9"/>
      <c r="BN1611" s="9"/>
      <c r="BO1611" s="9"/>
      <c r="BP1611" s="9"/>
      <c r="BQ1611" s="9"/>
      <c r="BR1611" s="9"/>
      <c r="BS1611" s="9"/>
      <c r="BT1611" s="9"/>
      <c r="BU1611" s="9"/>
      <c r="BV1611" s="9"/>
      <c r="BW1611" s="9"/>
      <c r="BX1611" s="9"/>
      <c r="BY1611" s="9"/>
      <c r="BZ1611" s="9"/>
      <c r="CA1611" s="9"/>
      <c r="CB1611" s="9"/>
      <c r="CC1611" s="9"/>
      <c r="CD1611" s="9"/>
      <c r="CE1611" s="9"/>
      <c r="CF1611" s="9"/>
      <c r="CG1611" s="9"/>
      <c r="CH1611" s="9"/>
      <c r="CI1611" s="9"/>
      <c r="CJ1611" s="9"/>
      <c r="CK1611" s="9"/>
      <c r="CL1611" s="9"/>
      <c r="CM1611" s="9"/>
      <c r="CN1611" s="9"/>
      <c r="CO1611" s="9"/>
      <c r="CP1611" s="9"/>
    </row>
    <row r="1612" spans="1:94" ht="15.75" x14ac:dyDescent="0.25">
      <c r="A1612" s="126" t="s">
        <v>4514</v>
      </c>
      <c r="B1612" s="9" t="s">
        <v>4515</v>
      </c>
      <c r="C1612" s="9"/>
      <c r="D1612" s="9"/>
      <c r="E1612" s="9"/>
      <c r="F1612" s="9"/>
      <c r="G1612" s="9"/>
      <c r="H1612" s="9"/>
      <c r="I1612" s="9"/>
      <c r="J1612" s="9"/>
      <c r="K1612" s="9"/>
      <c r="L1612" s="9"/>
      <c r="M1612" s="9"/>
      <c r="N1612" s="9"/>
      <c r="O1612" s="9"/>
      <c r="P1612" s="9"/>
      <c r="Q1612" s="9"/>
      <c r="R1612" s="9"/>
      <c r="S1612" s="9"/>
      <c r="T1612" s="9"/>
      <c r="U1612" s="9"/>
      <c r="V1612" s="9"/>
      <c r="W1612" s="9"/>
      <c r="X1612" s="9"/>
      <c r="Y1612" s="9"/>
      <c r="Z1612" s="9"/>
      <c r="AA1612" s="9"/>
      <c r="AB1612" s="9"/>
      <c r="AC1612" s="9"/>
      <c r="AD1612" s="9"/>
      <c r="AE1612" s="9"/>
      <c r="AF1612" s="9"/>
      <c r="AG1612" s="9"/>
      <c r="AH1612" s="9"/>
      <c r="AI1612" s="9"/>
      <c r="AJ1612" s="9"/>
      <c r="AK1612" s="9"/>
      <c r="AL1612" s="9"/>
      <c r="AM1612" s="69"/>
      <c r="AN1612" s="9"/>
      <c r="AO1612" s="69" t="s">
        <v>2150</v>
      </c>
      <c r="AP1612" s="210"/>
      <c r="AQ1612" s="211"/>
      <c r="AR1612" s="211"/>
      <c r="AS1612" s="211"/>
      <c r="AT1612" s="211"/>
      <c r="AU1612" s="211"/>
      <c r="AV1612" s="211"/>
      <c r="AW1612" s="9"/>
      <c r="AX1612" s="9"/>
      <c r="AY1612" s="9"/>
      <c r="AZ1612" s="9"/>
      <c r="BA1612" s="120"/>
      <c r="BB1612" s="69"/>
      <c r="BC1612" s="9"/>
      <c r="BD1612" s="9"/>
      <c r="BE1612" s="9"/>
      <c r="BF1612" s="9"/>
      <c r="BG1612" s="9"/>
      <c r="BH1612" s="9"/>
      <c r="BI1612" s="9"/>
      <c r="BJ1612" s="9"/>
      <c r="BK1612" s="9"/>
      <c r="BL1612" s="9"/>
      <c r="BM1612" s="9"/>
      <c r="BN1612" s="9"/>
      <c r="BO1612" s="9"/>
      <c r="BP1612" s="9"/>
      <c r="BQ1612" s="9"/>
      <c r="BR1612" s="9"/>
      <c r="BS1612" s="9"/>
      <c r="BT1612" s="9"/>
      <c r="BU1612" s="9"/>
      <c r="BV1612" s="9"/>
      <c r="BW1612" s="9"/>
      <c r="BX1612" s="9"/>
      <c r="BY1612" s="9"/>
      <c r="BZ1612" s="9"/>
      <c r="CA1612" s="9"/>
      <c r="CB1612" s="9"/>
      <c r="CC1612" s="9"/>
      <c r="CD1612" s="9"/>
      <c r="CE1612" s="9"/>
      <c r="CF1612" s="9"/>
      <c r="CG1612" s="9"/>
      <c r="CH1612" s="9"/>
      <c r="CI1612" s="9"/>
      <c r="CJ1612" s="9"/>
      <c r="CK1612" s="9"/>
      <c r="CL1612" s="9"/>
      <c r="CM1612" s="9"/>
      <c r="CN1612" s="9"/>
      <c r="CO1612" s="9"/>
      <c r="CP1612" s="9"/>
    </row>
    <row r="1613" spans="1:94" ht="15.75" x14ac:dyDescent="0.25">
      <c r="A1613" s="126" t="s">
        <v>4516</v>
      </c>
      <c r="B1613" s="9" t="s">
        <v>4517</v>
      </c>
      <c r="C1613" s="9"/>
      <c r="D1613" s="9"/>
      <c r="E1613" s="9"/>
      <c r="F1613" s="9"/>
      <c r="G1613" s="9"/>
      <c r="H1613" s="9"/>
      <c r="I1613" s="9"/>
      <c r="J1613" s="9"/>
      <c r="K1613" s="9"/>
      <c r="L1613" s="9"/>
      <c r="M1613" s="9"/>
      <c r="N1613" s="9"/>
      <c r="O1613" s="9"/>
      <c r="P1613" s="9"/>
      <c r="Q1613" s="9"/>
      <c r="R1613" s="9"/>
      <c r="S1613" s="9"/>
      <c r="T1613" s="9"/>
      <c r="U1613" s="9"/>
      <c r="V1613" s="9"/>
      <c r="W1613" s="9"/>
      <c r="X1613" s="9"/>
      <c r="Y1613" s="9"/>
      <c r="Z1613" s="9"/>
      <c r="AA1613" s="9"/>
      <c r="AB1613" s="9"/>
      <c r="AC1613" s="9"/>
      <c r="AD1613" s="9"/>
      <c r="AE1613" s="9"/>
      <c r="AF1613" s="9"/>
      <c r="AG1613" s="9"/>
      <c r="AH1613" s="9"/>
      <c r="AI1613" s="9"/>
      <c r="AJ1613" s="9"/>
      <c r="AK1613" s="9"/>
      <c r="AL1613" s="9"/>
      <c r="AM1613" s="69"/>
      <c r="AN1613" s="9"/>
      <c r="AO1613" s="69" t="s">
        <v>2150</v>
      </c>
      <c r="AP1613" s="210"/>
      <c r="AQ1613" s="211"/>
      <c r="AR1613" s="211"/>
      <c r="AS1613" s="211"/>
      <c r="AT1613" s="211"/>
      <c r="AU1613" s="211"/>
      <c r="AV1613" s="211"/>
      <c r="AW1613" s="9"/>
      <c r="AX1613" s="9"/>
      <c r="AY1613" s="9"/>
      <c r="AZ1613" s="9"/>
      <c r="BA1613" s="120"/>
      <c r="BB1613" s="69"/>
      <c r="BC1613" s="9"/>
      <c r="BD1613" s="9"/>
      <c r="BE1613" s="9"/>
      <c r="BF1613" s="9"/>
      <c r="BG1613" s="9"/>
      <c r="BH1613" s="9"/>
      <c r="BI1613" s="9"/>
      <c r="BJ1613" s="9"/>
      <c r="BK1613" s="9"/>
      <c r="BL1613" s="9"/>
      <c r="BM1613" s="9"/>
      <c r="BN1613" s="9"/>
      <c r="BO1613" s="9"/>
      <c r="BP1613" s="9"/>
      <c r="BQ1613" s="9"/>
      <c r="BR1613" s="9"/>
      <c r="BS1613" s="9"/>
      <c r="BT1613" s="9"/>
      <c r="BU1613" s="9"/>
      <c r="BV1613" s="9"/>
      <c r="BW1613" s="9"/>
      <c r="BX1613" s="9"/>
      <c r="BY1613" s="9"/>
      <c r="BZ1613" s="9"/>
      <c r="CA1613" s="9"/>
      <c r="CB1613" s="9"/>
      <c r="CC1613" s="9"/>
      <c r="CD1613" s="9"/>
      <c r="CE1613" s="9"/>
      <c r="CF1613" s="9"/>
      <c r="CG1613" s="9"/>
      <c r="CH1613" s="9"/>
      <c r="CI1613" s="9"/>
      <c r="CJ1613" s="9"/>
      <c r="CK1613" s="9"/>
      <c r="CL1613" s="9"/>
      <c r="CM1613" s="9"/>
      <c r="CN1613" s="9"/>
      <c r="CO1613" s="9"/>
      <c r="CP1613" s="9"/>
    </row>
    <row r="1614" spans="1:94" ht="15.75" x14ac:dyDescent="0.25">
      <c r="A1614" s="126" t="s">
        <v>4518</v>
      </c>
      <c r="B1614" s="9" t="s">
        <v>4519</v>
      </c>
      <c r="C1614" s="9"/>
      <c r="D1614" s="9"/>
      <c r="E1614" s="9"/>
      <c r="F1614" s="9"/>
      <c r="G1614" s="9"/>
      <c r="H1614" s="9"/>
      <c r="I1614" s="9"/>
      <c r="J1614" s="9"/>
      <c r="K1614" s="9"/>
      <c r="L1614" s="9"/>
      <c r="M1614" s="9"/>
      <c r="N1614" s="9"/>
      <c r="O1614" s="9"/>
      <c r="P1614" s="9"/>
      <c r="Q1614" s="9"/>
      <c r="R1614" s="9"/>
      <c r="S1614" s="9"/>
      <c r="T1614" s="9"/>
      <c r="U1614" s="9"/>
      <c r="V1614" s="9"/>
      <c r="W1614" s="9"/>
      <c r="X1614" s="9"/>
      <c r="Y1614" s="9"/>
      <c r="Z1614" s="9"/>
      <c r="AA1614" s="9"/>
      <c r="AB1614" s="9"/>
      <c r="AC1614" s="9"/>
      <c r="AD1614" s="9"/>
      <c r="AE1614" s="9"/>
      <c r="AF1614" s="9"/>
      <c r="AG1614" s="9"/>
      <c r="AH1614" s="9"/>
      <c r="AI1614" s="9"/>
      <c r="AJ1614" s="9"/>
      <c r="AK1614" s="9"/>
      <c r="AL1614" s="9"/>
      <c r="AM1614" s="69"/>
      <c r="AN1614" s="9"/>
      <c r="AO1614" s="69" t="s">
        <v>2150</v>
      </c>
      <c r="AP1614" s="210"/>
      <c r="AQ1614" s="211"/>
      <c r="AR1614" s="211"/>
      <c r="AS1614" s="211"/>
      <c r="AT1614" s="211"/>
      <c r="AU1614" s="211"/>
      <c r="AV1614" s="211"/>
      <c r="AW1614" s="9"/>
      <c r="AX1614" s="9"/>
      <c r="AY1614" s="9"/>
      <c r="AZ1614" s="9"/>
      <c r="BA1614" s="120"/>
      <c r="BB1614" s="69"/>
      <c r="BC1614" s="9"/>
      <c r="BD1614" s="9"/>
      <c r="BE1614" s="9"/>
      <c r="BF1614" s="9"/>
      <c r="BG1614" s="9"/>
      <c r="BH1614" s="9"/>
      <c r="BI1614" s="9"/>
      <c r="BJ1614" s="9"/>
      <c r="BK1614" s="9"/>
      <c r="BL1614" s="9"/>
      <c r="BM1614" s="9"/>
      <c r="BN1614" s="9"/>
      <c r="BO1614" s="9"/>
      <c r="BP1614" s="9"/>
      <c r="BQ1614" s="9"/>
      <c r="BR1614" s="9"/>
      <c r="BS1614" s="9"/>
      <c r="BT1614" s="9"/>
      <c r="BU1614" s="9"/>
      <c r="BV1614" s="9"/>
      <c r="BW1614" s="9"/>
      <c r="BX1614" s="9"/>
      <c r="BY1614" s="9"/>
      <c r="BZ1614" s="9"/>
      <c r="CA1614" s="9"/>
      <c r="CB1614" s="9"/>
      <c r="CC1614" s="9"/>
      <c r="CD1614" s="9"/>
      <c r="CE1614" s="9"/>
      <c r="CF1614" s="9"/>
      <c r="CG1614" s="9"/>
      <c r="CH1614" s="9"/>
      <c r="CI1614" s="9"/>
      <c r="CJ1614" s="9"/>
      <c r="CK1614" s="9"/>
      <c r="CL1614" s="9"/>
      <c r="CM1614" s="9"/>
      <c r="CN1614" s="9"/>
      <c r="CO1614" s="9"/>
      <c r="CP1614" s="9"/>
    </row>
    <row r="1615" spans="1:94" ht="15.75" x14ac:dyDescent="0.25">
      <c r="A1615" s="126" t="s">
        <v>4520</v>
      </c>
      <c r="B1615" s="9" t="s">
        <v>4521</v>
      </c>
      <c r="C1615" s="9"/>
      <c r="D1615" s="9"/>
      <c r="E1615" s="9"/>
      <c r="F1615" s="9"/>
      <c r="G1615" s="9"/>
      <c r="H1615" s="9"/>
      <c r="I1615" s="9"/>
      <c r="J1615" s="9"/>
      <c r="K1615" s="9"/>
      <c r="L1615" s="9"/>
      <c r="M1615" s="9"/>
      <c r="N1615" s="9"/>
      <c r="O1615" s="9"/>
      <c r="P1615" s="9"/>
      <c r="Q1615" s="9"/>
      <c r="R1615" s="9"/>
      <c r="S1615" s="9"/>
      <c r="T1615" s="9"/>
      <c r="U1615" s="9"/>
      <c r="V1615" s="9"/>
      <c r="W1615" s="9"/>
      <c r="X1615" s="9"/>
      <c r="Y1615" s="9"/>
      <c r="Z1615" s="9"/>
      <c r="AA1615" s="9"/>
      <c r="AB1615" s="9"/>
      <c r="AC1615" s="9"/>
      <c r="AD1615" s="9"/>
      <c r="AE1615" s="9"/>
      <c r="AF1615" s="9"/>
      <c r="AG1615" s="9"/>
      <c r="AH1615" s="9"/>
      <c r="AI1615" s="9"/>
      <c r="AJ1615" s="9"/>
      <c r="AK1615" s="9"/>
      <c r="AL1615" s="9"/>
      <c r="AM1615" s="69"/>
      <c r="AN1615" s="9"/>
      <c r="AO1615" s="69" t="s">
        <v>4377</v>
      </c>
      <c r="AP1615" s="210"/>
      <c r="AQ1615" s="211"/>
      <c r="AR1615" s="211"/>
      <c r="AS1615" s="211"/>
      <c r="AT1615" s="211"/>
      <c r="AU1615" s="211"/>
      <c r="AV1615" s="211"/>
      <c r="AW1615" s="9"/>
      <c r="AX1615" s="9"/>
      <c r="AY1615" s="9"/>
      <c r="AZ1615" s="9"/>
      <c r="BA1615" s="120"/>
      <c r="BB1615" s="69"/>
      <c r="BC1615" s="9"/>
      <c r="BD1615" s="9"/>
      <c r="BE1615" s="9"/>
      <c r="BF1615" s="9"/>
      <c r="BG1615" s="9"/>
      <c r="BH1615" s="9"/>
      <c r="BI1615" s="9"/>
      <c r="BJ1615" s="9"/>
      <c r="BK1615" s="9"/>
      <c r="BL1615" s="9"/>
      <c r="BM1615" s="9"/>
      <c r="BN1615" s="9"/>
      <c r="BO1615" s="9"/>
      <c r="BP1615" s="9"/>
      <c r="BQ1615" s="9"/>
      <c r="BR1615" s="9"/>
      <c r="BS1615" s="9"/>
      <c r="BT1615" s="9"/>
      <c r="BU1615" s="9"/>
      <c r="BV1615" s="9"/>
      <c r="BW1615" s="9"/>
      <c r="BX1615" s="9"/>
      <c r="BY1615" s="9"/>
      <c r="BZ1615" s="9"/>
      <c r="CA1615" s="9"/>
      <c r="CB1615" s="9"/>
      <c r="CC1615" s="9"/>
      <c r="CD1615" s="9"/>
      <c r="CE1615" s="9"/>
      <c r="CF1615" s="9"/>
      <c r="CG1615" s="9"/>
      <c r="CH1615" s="9"/>
      <c r="CI1615" s="9"/>
      <c r="CJ1615" s="9"/>
      <c r="CK1615" s="9"/>
      <c r="CL1615" s="9"/>
      <c r="CM1615" s="9"/>
      <c r="CN1615" s="9"/>
      <c r="CO1615" s="9"/>
      <c r="CP1615" s="9"/>
    </row>
    <row r="1616" spans="1:94" ht="15.75" x14ac:dyDescent="0.25">
      <c r="A1616" s="126" t="s">
        <v>4522</v>
      </c>
      <c r="B1616" s="9" t="s">
        <v>4523</v>
      </c>
      <c r="C1616" s="9"/>
      <c r="D1616" s="9"/>
      <c r="E1616" s="9"/>
      <c r="F1616" s="9"/>
      <c r="G1616" s="9"/>
      <c r="H1616" s="9"/>
      <c r="I1616" s="9"/>
      <c r="J1616" s="9"/>
      <c r="K1616" s="9"/>
      <c r="L1616" s="9"/>
      <c r="M1616" s="9"/>
      <c r="N1616" s="9"/>
      <c r="O1616" s="9"/>
      <c r="P1616" s="9"/>
      <c r="Q1616" s="9"/>
      <c r="R1616" s="9"/>
      <c r="S1616" s="9"/>
      <c r="T1616" s="9"/>
      <c r="U1616" s="9"/>
      <c r="V1616" s="9"/>
      <c r="W1616" s="9"/>
      <c r="X1616" s="9"/>
      <c r="Y1616" s="9"/>
      <c r="Z1616" s="9"/>
      <c r="AA1616" s="9"/>
      <c r="AB1616" s="9"/>
      <c r="AC1616" s="9"/>
      <c r="AD1616" s="9"/>
      <c r="AE1616" s="9"/>
      <c r="AF1616" s="9"/>
      <c r="AG1616" s="9"/>
      <c r="AH1616" s="9"/>
      <c r="AI1616" s="9"/>
      <c r="AJ1616" s="9"/>
      <c r="AK1616" s="9"/>
      <c r="AL1616" s="9"/>
      <c r="AM1616" s="69"/>
      <c r="AN1616" s="9"/>
      <c r="AO1616" s="69" t="s">
        <v>4434</v>
      </c>
      <c r="AP1616" s="210"/>
      <c r="AQ1616" s="211"/>
      <c r="AR1616" s="211"/>
      <c r="AS1616" s="211"/>
      <c r="AT1616" s="211"/>
      <c r="AU1616" s="211"/>
      <c r="AV1616" s="211"/>
      <c r="AW1616" s="9"/>
      <c r="AX1616" s="9"/>
      <c r="AY1616" s="9"/>
      <c r="AZ1616" s="9"/>
      <c r="BA1616" s="120"/>
      <c r="BB1616" s="69"/>
      <c r="BC1616" s="9"/>
      <c r="BD1616" s="9"/>
      <c r="BE1616" s="9"/>
      <c r="BF1616" s="9"/>
      <c r="BG1616" s="9"/>
      <c r="BH1616" s="9"/>
      <c r="BI1616" s="9"/>
      <c r="BJ1616" s="9"/>
      <c r="BK1616" s="9"/>
      <c r="BL1616" s="9"/>
      <c r="BM1616" s="9"/>
      <c r="BN1616" s="9"/>
      <c r="BO1616" s="9"/>
      <c r="BP1616" s="9"/>
      <c r="BQ1616" s="9"/>
      <c r="BR1616" s="9"/>
      <c r="BS1616" s="9"/>
      <c r="BT1616" s="9"/>
      <c r="BU1616" s="9"/>
      <c r="BV1616" s="9"/>
      <c r="BW1616" s="9"/>
      <c r="BX1616" s="9"/>
      <c r="BY1616" s="9"/>
      <c r="BZ1616" s="9"/>
      <c r="CA1616" s="9"/>
      <c r="CB1616" s="9"/>
      <c r="CC1616" s="9"/>
      <c r="CD1616" s="9"/>
      <c r="CE1616" s="9"/>
      <c r="CF1616" s="9"/>
      <c r="CG1616" s="9"/>
      <c r="CH1616" s="9"/>
      <c r="CI1616" s="9"/>
      <c r="CJ1616" s="9"/>
      <c r="CK1616" s="9"/>
      <c r="CL1616" s="9"/>
      <c r="CM1616" s="9"/>
      <c r="CN1616" s="9"/>
      <c r="CO1616" s="9"/>
      <c r="CP1616" s="9"/>
    </row>
    <row r="1617" spans="1:94" ht="15.75" x14ac:dyDescent="0.25">
      <c r="A1617" s="126" t="s">
        <v>4524</v>
      </c>
      <c r="B1617" s="9" t="s">
        <v>4525</v>
      </c>
      <c r="C1617" s="9"/>
      <c r="D1617" s="9"/>
      <c r="E1617" s="9"/>
      <c r="F1617" s="9"/>
      <c r="G1617" s="9"/>
      <c r="H1617" s="9"/>
      <c r="I1617" s="9"/>
      <c r="J1617" s="9"/>
      <c r="K1617" s="9"/>
      <c r="L1617" s="9"/>
      <c r="M1617" s="9"/>
      <c r="N1617" s="9"/>
      <c r="O1617" s="9"/>
      <c r="P1617" s="9"/>
      <c r="Q1617" s="9"/>
      <c r="R1617" s="9"/>
      <c r="S1617" s="9"/>
      <c r="T1617" s="9"/>
      <c r="U1617" s="9"/>
      <c r="V1617" s="9"/>
      <c r="W1617" s="9"/>
      <c r="X1617" s="9"/>
      <c r="Y1617" s="9"/>
      <c r="Z1617" s="9"/>
      <c r="AA1617" s="9"/>
      <c r="AB1617" s="9"/>
      <c r="AC1617" s="9"/>
      <c r="AD1617" s="9"/>
      <c r="AE1617" s="9"/>
      <c r="AF1617" s="9"/>
      <c r="AG1617" s="9"/>
      <c r="AH1617" s="9"/>
      <c r="AI1617" s="9"/>
      <c r="AJ1617" s="9"/>
      <c r="AK1617" s="9"/>
      <c r="AL1617" s="9"/>
      <c r="AM1617" s="69"/>
      <c r="AN1617" s="9"/>
      <c r="AO1617" s="69" t="s">
        <v>2150</v>
      </c>
      <c r="AP1617" s="210"/>
      <c r="AQ1617" s="211"/>
      <c r="AR1617" s="211"/>
      <c r="AS1617" s="211"/>
      <c r="AT1617" s="211"/>
      <c r="AU1617" s="211"/>
      <c r="AV1617" s="211"/>
      <c r="AW1617" s="9"/>
      <c r="AX1617" s="9"/>
      <c r="AY1617" s="9"/>
      <c r="AZ1617" s="9"/>
      <c r="BA1617" s="120"/>
      <c r="BB1617" s="69"/>
      <c r="BC1617" s="9"/>
      <c r="BD1617" s="9"/>
      <c r="BE1617" s="9"/>
      <c r="BF1617" s="9"/>
      <c r="BG1617" s="9"/>
      <c r="BH1617" s="9"/>
      <c r="BI1617" s="9"/>
      <c r="BJ1617" s="9"/>
      <c r="BK1617" s="9"/>
      <c r="BL1617" s="9"/>
      <c r="BM1617" s="9"/>
      <c r="BN1617" s="9"/>
      <c r="BO1617" s="9"/>
      <c r="BP1617" s="9"/>
      <c r="BQ1617" s="9"/>
      <c r="BR1617" s="9"/>
      <c r="BS1617" s="9"/>
      <c r="BT1617" s="9"/>
      <c r="BU1617" s="9"/>
      <c r="BV1617" s="9"/>
      <c r="BW1617" s="9"/>
      <c r="BX1617" s="9"/>
      <c r="BY1617" s="9"/>
      <c r="BZ1617" s="9"/>
      <c r="CA1617" s="9"/>
      <c r="CB1617" s="9"/>
      <c r="CC1617" s="9"/>
      <c r="CD1617" s="9"/>
      <c r="CE1617" s="9"/>
      <c r="CF1617" s="9"/>
      <c r="CG1617" s="9"/>
      <c r="CH1617" s="9"/>
      <c r="CI1617" s="9"/>
      <c r="CJ1617" s="9"/>
      <c r="CK1617" s="9"/>
      <c r="CL1617" s="9"/>
      <c r="CM1617" s="9"/>
      <c r="CN1617" s="9"/>
      <c r="CO1617" s="9"/>
      <c r="CP1617" s="9"/>
    </row>
    <row r="1618" spans="1:94" ht="15.75" x14ac:dyDescent="0.25">
      <c r="A1618" s="126" t="s">
        <v>4526</v>
      </c>
      <c r="B1618" s="9" t="s">
        <v>4527</v>
      </c>
      <c r="C1618" s="9"/>
      <c r="D1618" s="9"/>
      <c r="E1618" s="9"/>
      <c r="F1618" s="9"/>
      <c r="G1618" s="9"/>
      <c r="H1618" s="9"/>
      <c r="I1618" s="9"/>
      <c r="J1618" s="9"/>
      <c r="K1618" s="9"/>
      <c r="L1618" s="9"/>
      <c r="M1618" s="9"/>
      <c r="N1618" s="9"/>
      <c r="O1618" s="9"/>
      <c r="P1618" s="9"/>
      <c r="Q1618" s="9"/>
      <c r="R1618" s="9"/>
      <c r="S1618" s="9"/>
      <c r="T1618" s="9"/>
      <c r="U1618" s="9"/>
      <c r="V1618" s="9"/>
      <c r="W1618" s="9"/>
      <c r="X1618" s="9"/>
      <c r="Y1618" s="9"/>
      <c r="Z1618" s="9"/>
      <c r="AA1618" s="9"/>
      <c r="AB1618" s="9"/>
      <c r="AC1618" s="9"/>
      <c r="AD1618" s="9"/>
      <c r="AE1618" s="9"/>
      <c r="AF1618" s="9"/>
      <c r="AG1618" s="9"/>
      <c r="AH1618" s="9"/>
      <c r="AI1618" s="9"/>
      <c r="AJ1618" s="9"/>
      <c r="AK1618" s="9"/>
      <c r="AL1618" s="9"/>
      <c r="AM1618" s="69"/>
      <c r="AN1618" s="9"/>
      <c r="AO1618" s="69" t="s">
        <v>2150</v>
      </c>
      <c r="AP1618" s="210"/>
      <c r="AQ1618" s="211"/>
      <c r="AR1618" s="211"/>
      <c r="AS1618" s="211"/>
      <c r="AT1618" s="211"/>
      <c r="AU1618" s="211"/>
      <c r="AV1618" s="211"/>
      <c r="AW1618" s="9"/>
      <c r="AX1618" s="9"/>
      <c r="AY1618" s="9"/>
      <c r="AZ1618" s="9"/>
      <c r="BA1618" s="120"/>
      <c r="BB1618" s="69"/>
      <c r="BC1618" s="9"/>
      <c r="BD1618" s="9"/>
      <c r="BE1618" s="9"/>
      <c r="BF1618" s="9"/>
      <c r="BG1618" s="9"/>
      <c r="BH1618" s="9"/>
      <c r="BI1618" s="9"/>
      <c r="BJ1618" s="9"/>
      <c r="BK1618" s="9"/>
      <c r="BL1618" s="9"/>
      <c r="BM1618" s="9"/>
      <c r="BN1618" s="9"/>
      <c r="BO1618" s="9"/>
      <c r="BP1618" s="9"/>
      <c r="BQ1618" s="9"/>
      <c r="BR1618" s="9"/>
      <c r="BS1618" s="9"/>
      <c r="BT1618" s="9"/>
      <c r="BU1618" s="9"/>
      <c r="BV1618" s="9"/>
      <c r="BW1618" s="9"/>
      <c r="BX1618" s="9"/>
      <c r="BY1618" s="9"/>
      <c r="BZ1618" s="9"/>
      <c r="CA1618" s="9"/>
      <c r="CB1618" s="9"/>
      <c r="CC1618" s="9"/>
      <c r="CD1618" s="9"/>
      <c r="CE1618" s="9"/>
      <c r="CF1618" s="9"/>
      <c r="CG1618" s="9"/>
      <c r="CH1618" s="9"/>
      <c r="CI1618" s="9"/>
      <c r="CJ1618" s="9"/>
      <c r="CK1618" s="9"/>
      <c r="CL1618" s="9"/>
      <c r="CM1618" s="9"/>
      <c r="CN1618" s="9"/>
      <c r="CO1618" s="9"/>
      <c r="CP1618" s="9"/>
    </row>
    <row r="1619" spans="1:94" ht="15.75" x14ac:dyDescent="0.25">
      <c r="A1619" s="126" t="s">
        <v>4528</v>
      </c>
      <c r="B1619" s="9" t="s">
        <v>4529</v>
      </c>
      <c r="C1619" s="9"/>
      <c r="D1619" s="9"/>
      <c r="E1619" s="9"/>
      <c r="F1619" s="9"/>
      <c r="G1619" s="9"/>
      <c r="H1619" s="9"/>
      <c r="I1619" s="9"/>
      <c r="J1619" s="9"/>
      <c r="K1619" s="9"/>
      <c r="L1619" s="9"/>
      <c r="M1619" s="9"/>
      <c r="N1619" s="9"/>
      <c r="O1619" s="9"/>
      <c r="P1619" s="9"/>
      <c r="Q1619" s="9"/>
      <c r="R1619" s="9"/>
      <c r="S1619" s="9"/>
      <c r="T1619" s="9"/>
      <c r="U1619" s="9"/>
      <c r="V1619" s="9"/>
      <c r="W1619" s="9"/>
      <c r="X1619" s="9"/>
      <c r="Y1619" s="9"/>
      <c r="Z1619" s="9"/>
      <c r="AA1619" s="9"/>
      <c r="AB1619" s="9"/>
      <c r="AC1619" s="9"/>
      <c r="AD1619" s="9"/>
      <c r="AE1619" s="9"/>
      <c r="AF1619" s="9"/>
      <c r="AG1619" s="9"/>
      <c r="AH1619" s="9"/>
      <c r="AI1619" s="9"/>
      <c r="AJ1619" s="9"/>
      <c r="AK1619" s="9"/>
      <c r="AL1619" s="9"/>
      <c r="AM1619" s="69"/>
      <c r="AN1619" s="9"/>
      <c r="AO1619" s="69" t="s">
        <v>2150</v>
      </c>
      <c r="AP1619" s="210"/>
      <c r="AQ1619" s="211"/>
      <c r="AR1619" s="211"/>
      <c r="AS1619" s="211"/>
      <c r="AT1619" s="211"/>
      <c r="AU1619" s="211"/>
      <c r="AV1619" s="211"/>
      <c r="AW1619" s="9"/>
      <c r="AX1619" s="9"/>
      <c r="AY1619" s="9"/>
      <c r="AZ1619" s="9"/>
      <c r="BA1619" s="120"/>
      <c r="BB1619" s="69"/>
      <c r="BC1619" s="9"/>
      <c r="BD1619" s="9"/>
      <c r="BE1619" s="9"/>
      <c r="BF1619" s="9"/>
      <c r="BG1619" s="9"/>
      <c r="BH1619" s="9"/>
      <c r="BI1619" s="9"/>
      <c r="BJ1619" s="9"/>
      <c r="BK1619" s="9"/>
      <c r="BL1619" s="9"/>
      <c r="BM1619" s="9"/>
      <c r="BN1619" s="9"/>
      <c r="BO1619" s="9"/>
      <c r="BP1619" s="9"/>
      <c r="BQ1619" s="9"/>
      <c r="BR1619" s="9"/>
      <c r="BS1619" s="9"/>
      <c r="BT1619" s="9"/>
      <c r="BU1619" s="9"/>
      <c r="BV1619" s="9"/>
      <c r="BW1619" s="9"/>
      <c r="BX1619" s="9"/>
      <c r="BY1619" s="9"/>
      <c r="BZ1619" s="9"/>
      <c r="CA1619" s="9"/>
      <c r="CB1619" s="9"/>
      <c r="CC1619" s="9"/>
      <c r="CD1619" s="9"/>
      <c r="CE1619" s="9"/>
      <c r="CF1619" s="9"/>
      <c r="CG1619" s="9"/>
      <c r="CH1619" s="9"/>
      <c r="CI1619" s="9"/>
      <c r="CJ1619" s="9"/>
      <c r="CK1619" s="9"/>
      <c r="CL1619" s="9"/>
      <c r="CM1619" s="9"/>
      <c r="CN1619" s="9"/>
      <c r="CO1619" s="9"/>
      <c r="CP1619" s="9"/>
    </row>
    <row r="1620" spans="1:94" ht="31.5" x14ac:dyDescent="0.25">
      <c r="A1620" s="268" t="s">
        <v>4530</v>
      </c>
      <c r="B1620" s="9" t="s">
        <v>4531</v>
      </c>
      <c r="C1620" s="9"/>
      <c r="D1620" s="9"/>
      <c r="E1620" s="9"/>
      <c r="F1620" s="9"/>
      <c r="G1620" s="9"/>
      <c r="H1620" s="9"/>
      <c r="I1620" s="9"/>
      <c r="J1620" s="9"/>
      <c r="K1620" s="9"/>
      <c r="L1620" s="9"/>
      <c r="M1620" s="9"/>
      <c r="N1620" s="9"/>
      <c r="O1620" s="9"/>
      <c r="P1620" s="9"/>
      <c r="Q1620" s="9"/>
      <c r="R1620" s="9"/>
      <c r="S1620" s="9"/>
      <c r="T1620" s="9"/>
      <c r="U1620" s="9"/>
      <c r="V1620" s="9"/>
      <c r="W1620" s="9"/>
      <c r="X1620" s="9"/>
      <c r="Y1620" s="9"/>
      <c r="Z1620" s="9"/>
      <c r="AA1620" s="9"/>
      <c r="AB1620" s="9"/>
      <c r="AC1620" s="9"/>
      <c r="AD1620" s="9"/>
      <c r="AE1620" s="9"/>
      <c r="AF1620" s="9"/>
      <c r="AG1620" s="9"/>
      <c r="AH1620" s="9"/>
      <c r="AI1620" s="9"/>
      <c r="AJ1620" s="9"/>
      <c r="AK1620" s="9"/>
      <c r="AL1620" s="9"/>
      <c r="AM1620" s="69"/>
      <c r="AN1620" s="9"/>
      <c r="AO1620" s="69" t="s">
        <v>2150</v>
      </c>
      <c r="AP1620" s="210"/>
      <c r="AQ1620" s="211"/>
      <c r="AR1620" s="211"/>
      <c r="AS1620" s="211"/>
      <c r="AT1620" s="211"/>
      <c r="AU1620" s="211"/>
      <c r="AV1620" s="211"/>
      <c r="AW1620" s="9"/>
      <c r="AX1620" s="9"/>
      <c r="AY1620" s="9"/>
      <c r="AZ1620" s="9"/>
      <c r="BA1620" s="120"/>
      <c r="BB1620" s="69"/>
      <c r="BC1620" s="9"/>
      <c r="BD1620" s="9"/>
      <c r="BE1620" s="9"/>
      <c r="BF1620" s="9"/>
      <c r="BG1620" s="9"/>
      <c r="BH1620" s="9"/>
      <c r="BI1620" s="9"/>
      <c r="BJ1620" s="9"/>
      <c r="BK1620" s="9"/>
      <c r="BL1620" s="9"/>
      <c r="BM1620" s="9"/>
      <c r="BN1620" s="9"/>
      <c r="BO1620" s="9"/>
      <c r="BP1620" s="9"/>
      <c r="BQ1620" s="9"/>
      <c r="BR1620" s="9"/>
      <c r="BS1620" s="9"/>
      <c r="BT1620" s="9"/>
      <c r="BU1620" s="9"/>
      <c r="BV1620" s="9"/>
      <c r="BW1620" s="9"/>
      <c r="BX1620" s="9"/>
      <c r="BY1620" s="9"/>
      <c r="BZ1620" s="9"/>
      <c r="CA1620" s="9"/>
      <c r="CB1620" s="9"/>
      <c r="CC1620" s="9"/>
      <c r="CD1620" s="9"/>
      <c r="CE1620" s="9"/>
      <c r="CF1620" s="9"/>
      <c r="CG1620" s="9"/>
      <c r="CH1620" s="9"/>
      <c r="CI1620" s="9"/>
      <c r="CJ1620" s="9"/>
      <c r="CK1620" s="9"/>
      <c r="CL1620" s="9"/>
      <c r="CM1620" s="9"/>
      <c r="CN1620" s="9"/>
      <c r="CO1620" s="9"/>
      <c r="CP1620" s="9"/>
    </row>
    <row r="1621" spans="1:94" ht="31.5" x14ac:dyDescent="0.25">
      <c r="A1621" s="268" t="s">
        <v>4532</v>
      </c>
      <c r="B1621" s="9" t="s">
        <v>4533</v>
      </c>
      <c r="C1621" s="9"/>
      <c r="D1621" s="9"/>
      <c r="E1621" s="9"/>
      <c r="F1621" s="9"/>
      <c r="G1621" s="9"/>
      <c r="H1621" s="9"/>
      <c r="I1621" s="9"/>
      <c r="J1621" s="9"/>
      <c r="K1621" s="9"/>
      <c r="L1621" s="9"/>
      <c r="M1621" s="9"/>
      <c r="N1621" s="9"/>
      <c r="O1621" s="9"/>
      <c r="P1621" s="9"/>
      <c r="Q1621" s="9"/>
      <c r="R1621" s="9"/>
      <c r="S1621" s="9"/>
      <c r="T1621" s="9"/>
      <c r="U1621" s="9"/>
      <c r="V1621" s="9"/>
      <c r="W1621" s="9"/>
      <c r="X1621" s="9"/>
      <c r="Y1621" s="9"/>
      <c r="Z1621" s="9"/>
      <c r="AA1621" s="9"/>
      <c r="AB1621" s="9"/>
      <c r="AC1621" s="9"/>
      <c r="AD1621" s="9"/>
      <c r="AE1621" s="9"/>
      <c r="AF1621" s="9"/>
      <c r="AG1621" s="9"/>
      <c r="AH1621" s="9"/>
      <c r="AI1621" s="9"/>
      <c r="AJ1621" s="9"/>
      <c r="AK1621" s="9"/>
      <c r="AL1621" s="9"/>
      <c r="AM1621" s="69"/>
      <c r="AN1621" s="9"/>
      <c r="AO1621" s="69" t="s">
        <v>2150</v>
      </c>
      <c r="AP1621" s="210"/>
      <c r="AQ1621" s="211"/>
      <c r="AR1621" s="211"/>
      <c r="AS1621" s="211"/>
      <c r="AT1621" s="211"/>
      <c r="AU1621" s="211"/>
      <c r="AV1621" s="211"/>
      <c r="AW1621" s="9"/>
      <c r="AX1621" s="9"/>
      <c r="AY1621" s="9"/>
      <c r="AZ1621" s="9"/>
      <c r="BA1621" s="120"/>
      <c r="BB1621" s="69"/>
      <c r="BC1621" s="9"/>
      <c r="BD1621" s="9"/>
      <c r="BE1621" s="9"/>
      <c r="BF1621" s="9"/>
      <c r="BG1621" s="9"/>
      <c r="BH1621" s="9"/>
      <c r="BI1621" s="9"/>
      <c r="BJ1621" s="9"/>
      <c r="BK1621" s="9"/>
      <c r="BL1621" s="9"/>
      <c r="BM1621" s="9"/>
      <c r="BN1621" s="9"/>
      <c r="BO1621" s="9"/>
      <c r="BP1621" s="9"/>
      <c r="BQ1621" s="9"/>
      <c r="BR1621" s="9"/>
      <c r="BS1621" s="9"/>
      <c r="BT1621" s="9"/>
      <c r="BU1621" s="9"/>
      <c r="BV1621" s="9"/>
      <c r="BW1621" s="9"/>
      <c r="BX1621" s="9"/>
      <c r="BY1621" s="9"/>
      <c r="BZ1621" s="9"/>
      <c r="CA1621" s="9"/>
      <c r="CB1621" s="9"/>
      <c r="CC1621" s="9"/>
      <c r="CD1621" s="9"/>
      <c r="CE1621" s="9"/>
      <c r="CF1621" s="9"/>
      <c r="CG1621" s="9"/>
      <c r="CH1621" s="9"/>
      <c r="CI1621" s="9"/>
      <c r="CJ1621" s="9"/>
      <c r="CK1621" s="9"/>
      <c r="CL1621" s="9"/>
      <c r="CM1621" s="9"/>
      <c r="CN1621" s="9"/>
      <c r="CO1621" s="9"/>
      <c r="CP1621" s="9"/>
    </row>
    <row r="1622" spans="1:94" ht="15.75" x14ac:dyDescent="0.25">
      <c r="A1622" s="126" t="s">
        <v>4534</v>
      </c>
      <c r="B1622" s="9" t="s">
        <v>4535</v>
      </c>
      <c r="C1622" s="9"/>
      <c r="D1622" s="9"/>
      <c r="E1622" s="9"/>
      <c r="F1622" s="9"/>
      <c r="G1622" s="9"/>
      <c r="H1622" s="9"/>
      <c r="I1622" s="9"/>
      <c r="J1622" s="9"/>
      <c r="K1622" s="9"/>
      <c r="L1622" s="9"/>
      <c r="M1622" s="9"/>
      <c r="N1622" s="9"/>
      <c r="O1622" s="9"/>
      <c r="P1622" s="9"/>
      <c r="Q1622" s="9"/>
      <c r="R1622" s="9"/>
      <c r="S1622" s="9"/>
      <c r="T1622" s="9"/>
      <c r="U1622" s="9"/>
      <c r="V1622" s="9"/>
      <c r="W1622" s="9"/>
      <c r="X1622" s="9"/>
      <c r="Y1622" s="9"/>
      <c r="Z1622" s="9"/>
      <c r="AA1622" s="9"/>
      <c r="AB1622" s="9"/>
      <c r="AC1622" s="9"/>
      <c r="AD1622" s="9"/>
      <c r="AE1622" s="9"/>
      <c r="AF1622" s="9"/>
      <c r="AG1622" s="9"/>
      <c r="AH1622" s="9"/>
      <c r="AI1622" s="9"/>
      <c r="AJ1622" s="9"/>
      <c r="AK1622" s="9"/>
      <c r="AL1622" s="9"/>
      <c r="AM1622" s="69"/>
      <c r="AN1622" s="9"/>
      <c r="AO1622" s="69" t="s">
        <v>4481</v>
      </c>
      <c r="AP1622" s="210"/>
      <c r="AQ1622" s="211"/>
      <c r="AR1622" s="211"/>
      <c r="AS1622" s="211"/>
      <c r="AT1622" s="211"/>
      <c r="AU1622" s="211"/>
      <c r="AV1622" s="211"/>
      <c r="AW1622" s="9"/>
      <c r="AX1622" s="9"/>
      <c r="AY1622" s="9"/>
      <c r="AZ1622" s="9"/>
      <c r="BA1622" s="120"/>
      <c r="BB1622" s="69"/>
      <c r="BC1622" s="9"/>
      <c r="BD1622" s="9"/>
      <c r="BE1622" s="9"/>
      <c r="BF1622" s="9"/>
      <c r="BG1622" s="9"/>
      <c r="BH1622" s="9"/>
      <c r="BI1622" s="9"/>
      <c r="BJ1622" s="9"/>
      <c r="BK1622" s="9"/>
      <c r="BL1622" s="9"/>
      <c r="BM1622" s="9"/>
      <c r="BN1622" s="9"/>
      <c r="BO1622" s="9"/>
      <c r="BP1622" s="9"/>
      <c r="BQ1622" s="9"/>
      <c r="BR1622" s="9"/>
      <c r="BS1622" s="9"/>
      <c r="BT1622" s="9"/>
      <c r="BU1622" s="9"/>
      <c r="BV1622" s="9"/>
      <c r="BW1622" s="9"/>
      <c r="BX1622" s="9"/>
      <c r="BY1622" s="9"/>
      <c r="BZ1622" s="9"/>
      <c r="CA1622" s="9"/>
      <c r="CB1622" s="9"/>
      <c r="CC1622" s="9"/>
      <c r="CD1622" s="9"/>
      <c r="CE1622" s="9"/>
      <c r="CF1622" s="9"/>
      <c r="CG1622" s="9"/>
      <c r="CH1622" s="9"/>
      <c r="CI1622" s="9"/>
      <c r="CJ1622" s="9"/>
      <c r="CK1622" s="9"/>
      <c r="CL1622" s="9"/>
      <c r="CM1622" s="9"/>
      <c r="CN1622" s="9"/>
      <c r="CO1622" s="9"/>
      <c r="CP1622" s="9"/>
    </row>
    <row r="1623" spans="1:94" ht="15.75" x14ac:dyDescent="0.25">
      <c r="A1623" s="126" t="s">
        <v>4536</v>
      </c>
      <c r="B1623" s="9" t="s">
        <v>4537</v>
      </c>
      <c r="C1623" s="9"/>
      <c r="D1623" s="9"/>
      <c r="E1623" s="9"/>
      <c r="F1623" s="9"/>
      <c r="G1623" s="9"/>
      <c r="H1623" s="9"/>
      <c r="I1623" s="9"/>
      <c r="J1623" s="9"/>
      <c r="K1623" s="9"/>
      <c r="L1623" s="9"/>
      <c r="M1623" s="9"/>
      <c r="N1623" s="9"/>
      <c r="O1623" s="9"/>
      <c r="P1623" s="9"/>
      <c r="Q1623" s="9"/>
      <c r="R1623" s="9"/>
      <c r="S1623" s="9"/>
      <c r="T1623" s="9"/>
      <c r="U1623" s="9"/>
      <c r="V1623" s="9"/>
      <c r="W1623" s="9"/>
      <c r="X1623" s="9"/>
      <c r="Y1623" s="9"/>
      <c r="Z1623" s="9"/>
      <c r="AA1623" s="9"/>
      <c r="AB1623" s="9"/>
      <c r="AC1623" s="9"/>
      <c r="AD1623" s="9"/>
      <c r="AE1623" s="9"/>
      <c r="AF1623" s="9"/>
      <c r="AG1623" s="9"/>
      <c r="AH1623" s="9"/>
      <c r="AI1623" s="9"/>
      <c r="AJ1623" s="9"/>
      <c r="AK1623" s="9"/>
      <c r="AL1623" s="9"/>
      <c r="AM1623" s="69"/>
      <c r="AN1623" s="9"/>
      <c r="AO1623" s="69" t="s">
        <v>4481</v>
      </c>
      <c r="AP1623" s="210"/>
      <c r="AQ1623" s="211"/>
      <c r="AR1623" s="211"/>
      <c r="AS1623" s="211"/>
      <c r="AT1623" s="211"/>
      <c r="AU1623" s="211"/>
      <c r="AV1623" s="211"/>
      <c r="AW1623" s="9"/>
      <c r="AX1623" s="9"/>
      <c r="AY1623" s="9"/>
      <c r="AZ1623" s="9"/>
      <c r="BA1623" s="120"/>
      <c r="BB1623" s="69"/>
      <c r="BC1623" s="9"/>
      <c r="BD1623" s="9"/>
      <c r="BE1623" s="9"/>
      <c r="BF1623" s="9"/>
      <c r="BG1623" s="9"/>
      <c r="BH1623" s="9"/>
      <c r="BI1623" s="9"/>
      <c r="BJ1623" s="9"/>
      <c r="BK1623" s="9"/>
      <c r="BL1623" s="9"/>
      <c r="BM1623" s="9"/>
      <c r="BN1623" s="9"/>
      <c r="BO1623" s="9"/>
      <c r="BP1623" s="9"/>
      <c r="BQ1623" s="9"/>
      <c r="BR1623" s="9"/>
      <c r="BS1623" s="9"/>
      <c r="BT1623" s="9"/>
      <c r="BU1623" s="9"/>
      <c r="BV1623" s="9"/>
      <c r="BW1623" s="9"/>
      <c r="BX1623" s="9"/>
      <c r="BY1623" s="9"/>
      <c r="BZ1623" s="9"/>
      <c r="CA1623" s="9"/>
      <c r="CB1623" s="9"/>
      <c r="CC1623" s="9"/>
      <c r="CD1623" s="9"/>
      <c r="CE1623" s="9"/>
      <c r="CF1623" s="9"/>
      <c r="CG1623" s="9"/>
      <c r="CH1623" s="9"/>
      <c r="CI1623" s="9"/>
      <c r="CJ1623" s="9"/>
      <c r="CK1623" s="9"/>
      <c r="CL1623" s="9"/>
      <c r="CM1623" s="9"/>
      <c r="CN1623" s="9"/>
      <c r="CO1623" s="9"/>
      <c r="CP1623" s="9"/>
    </row>
    <row r="1624" spans="1:94" ht="15.75" x14ac:dyDescent="0.25">
      <c r="A1624" s="126" t="s">
        <v>4538</v>
      </c>
      <c r="B1624" s="9" t="s">
        <v>4539</v>
      </c>
      <c r="C1624" s="9"/>
      <c r="D1624" s="9"/>
      <c r="E1624" s="9"/>
      <c r="F1624" s="9"/>
      <c r="G1624" s="9"/>
      <c r="H1624" s="9"/>
      <c r="I1624" s="9"/>
      <c r="J1624" s="9"/>
      <c r="K1624" s="9"/>
      <c r="L1624" s="9"/>
      <c r="M1624" s="9"/>
      <c r="N1624" s="9"/>
      <c r="O1624" s="9"/>
      <c r="P1624" s="9"/>
      <c r="Q1624" s="9"/>
      <c r="R1624" s="9"/>
      <c r="S1624" s="9"/>
      <c r="T1624" s="9"/>
      <c r="U1624" s="9"/>
      <c r="V1624" s="9"/>
      <c r="W1624" s="9"/>
      <c r="X1624" s="9"/>
      <c r="Y1624" s="9"/>
      <c r="Z1624" s="9"/>
      <c r="AA1624" s="9"/>
      <c r="AB1624" s="9"/>
      <c r="AC1624" s="9"/>
      <c r="AD1624" s="9"/>
      <c r="AE1624" s="9"/>
      <c r="AF1624" s="9"/>
      <c r="AG1624" s="9"/>
      <c r="AH1624" s="9"/>
      <c r="AI1624" s="9"/>
      <c r="AJ1624" s="9"/>
      <c r="AK1624" s="9"/>
      <c r="AL1624" s="9"/>
      <c r="AM1624" s="69"/>
      <c r="AN1624" s="9"/>
      <c r="AO1624" s="69" t="s">
        <v>2150</v>
      </c>
      <c r="AP1624" s="210"/>
      <c r="AQ1624" s="211"/>
      <c r="AR1624" s="211"/>
      <c r="AS1624" s="211"/>
      <c r="AT1624" s="211"/>
      <c r="AU1624" s="211"/>
      <c r="AV1624" s="211"/>
      <c r="AW1624" s="9"/>
      <c r="AX1624" s="9"/>
      <c r="AY1624" s="9"/>
      <c r="AZ1624" s="9"/>
      <c r="BA1624" s="120"/>
      <c r="BB1624" s="69"/>
      <c r="BC1624" s="9"/>
      <c r="BD1624" s="9"/>
      <c r="BE1624" s="9"/>
      <c r="BF1624" s="9"/>
      <c r="BG1624" s="9"/>
      <c r="BH1624" s="9"/>
      <c r="BI1624" s="9"/>
      <c r="BJ1624" s="9"/>
      <c r="BK1624" s="9"/>
      <c r="BL1624" s="9"/>
      <c r="BM1624" s="9"/>
      <c r="BN1624" s="9"/>
      <c r="BO1624" s="9"/>
      <c r="BP1624" s="9"/>
      <c r="BQ1624" s="9"/>
      <c r="BR1624" s="9"/>
      <c r="BS1624" s="9"/>
      <c r="BT1624" s="9"/>
      <c r="BU1624" s="9"/>
      <c r="BV1624" s="9"/>
      <c r="BW1624" s="9"/>
      <c r="BX1624" s="9"/>
      <c r="BY1624" s="9"/>
      <c r="BZ1624" s="9"/>
      <c r="CA1624" s="9"/>
      <c r="CB1624" s="9"/>
      <c r="CC1624" s="9"/>
      <c r="CD1624" s="9"/>
      <c r="CE1624" s="9"/>
      <c r="CF1624" s="9"/>
      <c r="CG1624" s="9"/>
      <c r="CH1624" s="9"/>
      <c r="CI1624" s="9"/>
      <c r="CJ1624" s="9"/>
      <c r="CK1624" s="9"/>
      <c r="CL1624" s="9"/>
      <c r="CM1624" s="9"/>
      <c r="CN1624" s="9"/>
      <c r="CO1624" s="9"/>
      <c r="CP1624" s="9"/>
    </row>
    <row r="1625" spans="1:94" ht="15.75" x14ac:dyDescent="0.25">
      <c r="A1625" s="126" t="s">
        <v>4540</v>
      </c>
      <c r="B1625" s="9" t="s">
        <v>4541</v>
      </c>
      <c r="C1625" s="9"/>
      <c r="D1625" s="9"/>
      <c r="E1625" s="9"/>
      <c r="F1625" s="9"/>
      <c r="G1625" s="9"/>
      <c r="H1625" s="9"/>
      <c r="I1625" s="9"/>
      <c r="J1625" s="9"/>
      <c r="K1625" s="9"/>
      <c r="L1625" s="9"/>
      <c r="M1625" s="9"/>
      <c r="N1625" s="9"/>
      <c r="O1625" s="9"/>
      <c r="P1625" s="9"/>
      <c r="Q1625" s="9"/>
      <c r="R1625" s="9"/>
      <c r="S1625" s="9"/>
      <c r="T1625" s="9"/>
      <c r="U1625" s="9"/>
      <c r="V1625" s="9"/>
      <c r="W1625" s="9"/>
      <c r="X1625" s="9"/>
      <c r="Y1625" s="9"/>
      <c r="Z1625" s="9"/>
      <c r="AA1625" s="9"/>
      <c r="AB1625" s="9"/>
      <c r="AC1625" s="9"/>
      <c r="AD1625" s="9"/>
      <c r="AE1625" s="9"/>
      <c r="AF1625" s="9"/>
      <c r="AG1625" s="9"/>
      <c r="AH1625" s="9"/>
      <c r="AI1625" s="9"/>
      <c r="AJ1625" s="9"/>
      <c r="AK1625" s="9"/>
      <c r="AL1625" s="9"/>
      <c r="AM1625" s="69"/>
      <c r="AN1625" s="9"/>
      <c r="AO1625" s="69" t="s">
        <v>2150</v>
      </c>
      <c r="AP1625" s="210"/>
      <c r="AQ1625" s="211"/>
      <c r="AR1625" s="211"/>
      <c r="AS1625" s="211"/>
      <c r="AT1625" s="211"/>
      <c r="AU1625" s="211"/>
      <c r="AV1625" s="211"/>
      <c r="AW1625" s="9"/>
      <c r="AX1625" s="9"/>
      <c r="AY1625" s="9"/>
      <c r="AZ1625" s="9"/>
      <c r="BA1625" s="120"/>
      <c r="BB1625" s="69"/>
      <c r="BC1625" s="9"/>
      <c r="BD1625" s="9"/>
      <c r="BE1625" s="9"/>
      <c r="BF1625" s="9"/>
      <c r="BG1625" s="9"/>
      <c r="BH1625" s="9"/>
      <c r="BI1625" s="9"/>
      <c r="BJ1625" s="9"/>
      <c r="BK1625" s="9"/>
      <c r="BL1625" s="9"/>
      <c r="BM1625" s="9"/>
      <c r="BN1625" s="9"/>
      <c r="BO1625" s="9"/>
      <c r="BP1625" s="9"/>
      <c r="BQ1625" s="9"/>
      <c r="BR1625" s="9"/>
      <c r="BS1625" s="9"/>
      <c r="BT1625" s="9"/>
      <c r="BU1625" s="9"/>
      <c r="BV1625" s="9"/>
      <c r="BW1625" s="9"/>
      <c r="BX1625" s="9"/>
      <c r="BY1625" s="9"/>
      <c r="BZ1625" s="9"/>
      <c r="CA1625" s="9"/>
      <c r="CB1625" s="9"/>
      <c r="CC1625" s="9"/>
      <c r="CD1625" s="9"/>
      <c r="CE1625" s="9"/>
      <c r="CF1625" s="9"/>
      <c r="CG1625" s="9"/>
      <c r="CH1625" s="9"/>
      <c r="CI1625" s="9"/>
      <c r="CJ1625" s="9"/>
      <c r="CK1625" s="9"/>
      <c r="CL1625" s="9"/>
      <c r="CM1625" s="9"/>
      <c r="CN1625" s="9"/>
      <c r="CO1625" s="9"/>
      <c r="CP1625" s="9"/>
    </row>
    <row r="1626" spans="1:94" ht="15.75" x14ac:dyDescent="0.25">
      <c r="A1626" s="126" t="s">
        <v>4542</v>
      </c>
      <c r="B1626" s="9" t="s">
        <v>4543</v>
      </c>
      <c r="C1626" s="9"/>
      <c r="D1626" s="9"/>
      <c r="E1626" s="9"/>
      <c r="F1626" s="9"/>
      <c r="G1626" s="9"/>
      <c r="H1626" s="9"/>
      <c r="I1626" s="9"/>
      <c r="J1626" s="9"/>
      <c r="K1626" s="9"/>
      <c r="L1626" s="9"/>
      <c r="M1626" s="9"/>
      <c r="N1626" s="9"/>
      <c r="O1626" s="9"/>
      <c r="P1626" s="9"/>
      <c r="Q1626" s="9"/>
      <c r="R1626" s="9"/>
      <c r="S1626" s="9"/>
      <c r="T1626" s="9"/>
      <c r="U1626" s="9"/>
      <c r="V1626" s="9"/>
      <c r="W1626" s="9"/>
      <c r="X1626" s="9"/>
      <c r="Y1626" s="9"/>
      <c r="Z1626" s="9"/>
      <c r="AA1626" s="9"/>
      <c r="AB1626" s="9"/>
      <c r="AC1626" s="9"/>
      <c r="AD1626" s="9"/>
      <c r="AE1626" s="9"/>
      <c r="AF1626" s="9"/>
      <c r="AG1626" s="9"/>
      <c r="AH1626" s="9"/>
      <c r="AI1626" s="9"/>
      <c r="AJ1626" s="9"/>
      <c r="AK1626" s="9"/>
      <c r="AL1626" s="9"/>
      <c r="AM1626" s="69"/>
      <c r="AN1626" s="9"/>
      <c r="AO1626" s="69" t="s">
        <v>4434</v>
      </c>
      <c r="AP1626" s="210"/>
      <c r="AQ1626" s="211"/>
      <c r="AR1626" s="211"/>
      <c r="AS1626" s="211"/>
      <c r="AT1626" s="211"/>
      <c r="AU1626" s="211"/>
      <c r="AV1626" s="211"/>
      <c r="AW1626" s="9"/>
      <c r="AX1626" s="9"/>
      <c r="AY1626" s="9"/>
      <c r="AZ1626" s="9"/>
      <c r="BA1626" s="120"/>
      <c r="BB1626" s="69"/>
      <c r="BC1626" s="9"/>
      <c r="BD1626" s="9"/>
      <c r="BE1626" s="9"/>
      <c r="BF1626" s="9"/>
      <c r="BG1626" s="9"/>
      <c r="BH1626" s="9"/>
      <c r="BI1626" s="9"/>
      <c r="BJ1626" s="9"/>
      <c r="BK1626" s="9"/>
      <c r="BL1626" s="9"/>
      <c r="BM1626" s="9"/>
      <c r="BN1626" s="9"/>
      <c r="BO1626" s="9"/>
      <c r="BP1626" s="9"/>
      <c r="BQ1626" s="9"/>
      <c r="BR1626" s="9"/>
      <c r="BS1626" s="9"/>
      <c r="BT1626" s="9"/>
      <c r="BU1626" s="9"/>
      <c r="BV1626" s="9"/>
      <c r="BW1626" s="9"/>
      <c r="BX1626" s="9"/>
      <c r="BY1626" s="9"/>
      <c r="BZ1626" s="9"/>
      <c r="CA1626" s="9"/>
      <c r="CB1626" s="9"/>
      <c r="CC1626" s="9"/>
      <c r="CD1626" s="9"/>
      <c r="CE1626" s="9"/>
      <c r="CF1626" s="9"/>
      <c r="CG1626" s="9"/>
      <c r="CH1626" s="9"/>
      <c r="CI1626" s="9"/>
      <c r="CJ1626" s="9"/>
      <c r="CK1626" s="9"/>
      <c r="CL1626" s="9"/>
      <c r="CM1626" s="9"/>
      <c r="CN1626" s="9"/>
      <c r="CO1626" s="9"/>
      <c r="CP1626" s="9"/>
    </row>
    <row r="1627" spans="1:94" ht="15.75" x14ac:dyDescent="0.25">
      <c r="A1627" s="126" t="s">
        <v>4544</v>
      </c>
      <c r="B1627" s="9" t="s">
        <v>4545</v>
      </c>
      <c r="C1627" s="9"/>
      <c r="D1627" s="9"/>
      <c r="E1627" s="9"/>
      <c r="F1627" s="9"/>
      <c r="G1627" s="9"/>
      <c r="H1627" s="9"/>
      <c r="I1627" s="9"/>
      <c r="J1627" s="9"/>
      <c r="K1627" s="9"/>
      <c r="L1627" s="9"/>
      <c r="M1627" s="9"/>
      <c r="N1627" s="9"/>
      <c r="O1627" s="9"/>
      <c r="P1627" s="9"/>
      <c r="Q1627" s="9"/>
      <c r="R1627" s="9"/>
      <c r="S1627" s="9"/>
      <c r="T1627" s="9"/>
      <c r="U1627" s="9"/>
      <c r="V1627" s="9"/>
      <c r="W1627" s="9"/>
      <c r="X1627" s="9"/>
      <c r="Y1627" s="9"/>
      <c r="Z1627" s="9"/>
      <c r="AA1627" s="9"/>
      <c r="AB1627" s="9"/>
      <c r="AC1627" s="9"/>
      <c r="AD1627" s="9"/>
      <c r="AE1627" s="9"/>
      <c r="AF1627" s="9"/>
      <c r="AG1627" s="9"/>
      <c r="AH1627" s="9"/>
      <c r="AI1627" s="9"/>
      <c r="AJ1627" s="9"/>
      <c r="AK1627" s="9"/>
      <c r="AL1627" s="9"/>
      <c r="AM1627" s="69"/>
      <c r="AN1627" s="9"/>
      <c r="AO1627" s="69" t="s">
        <v>4481</v>
      </c>
      <c r="AP1627" s="210"/>
      <c r="AQ1627" s="211"/>
      <c r="AR1627" s="211"/>
      <c r="AS1627" s="211"/>
      <c r="AT1627" s="211"/>
      <c r="AU1627" s="211"/>
      <c r="AV1627" s="211"/>
      <c r="AW1627" s="9"/>
      <c r="AX1627" s="9"/>
      <c r="AY1627" s="9"/>
      <c r="AZ1627" s="9"/>
      <c r="BA1627" s="120"/>
      <c r="BB1627" s="69"/>
      <c r="BC1627" s="9"/>
      <c r="BD1627" s="9"/>
      <c r="BE1627" s="9"/>
      <c r="BF1627" s="9"/>
      <c r="BG1627" s="9"/>
      <c r="BH1627" s="9"/>
      <c r="BI1627" s="9"/>
      <c r="BJ1627" s="9"/>
      <c r="BK1627" s="9"/>
      <c r="BL1627" s="9"/>
      <c r="BM1627" s="9"/>
      <c r="BN1627" s="9"/>
      <c r="BO1627" s="9"/>
      <c r="BP1627" s="9"/>
      <c r="BQ1627" s="9"/>
      <c r="BR1627" s="9"/>
      <c r="BS1627" s="9"/>
      <c r="BT1627" s="9"/>
      <c r="BU1627" s="9"/>
      <c r="BV1627" s="9"/>
      <c r="BW1627" s="9"/>
      <c r="BX1627" s="9"/>
      <c r="BY1627" s="9"/>
      <c r="BZ1627" s="9"/>
      <c r="CA1627" s="9"/>
      <c r="CB1627" s="9"/>
      <c r="CC1627" s="9"/>
      <c r="CD1627" s="9"/>
      <c r="CE1627" s="9"/>
      <c r="CF1627" s="9"/>
      <c r="CG1627" s="9"/>
      <c r="CH1627" s="9"/>
      <c r="CI1627" s="9"/>
      <c r="CJ1627" s="9"/>
      <c r="CK1627" s="9"/>
      <c r="CL1627" s="9"/>
      <c r="CM1627" s="9"/>
      <c r="CN1627" s="9"/>
      <c r="CO1627" s="9"/>
      <c r="CP1627" s="9"/>
    </row>
    <row r="1628" spans="1:94" ht="15.75" x14ac:dyDescent="0.25">
      <c r="A1628" s="126" t="s">
        <v>4546</v>
      </c>
      <c r="B1628" s="9" t="s">
        <v>4547</v>
      </c>
      <c r="C1628" s="9"/>
      <c r="D1628" s="9"/>
      <c r="E1628" s="9"/>
      <c r="F1628" s="9"/>
      <c r="G1628" s="9"/>
      <c r="H1628" s="9"/>
      <c r="I1628" s="9"/>
      <c r="J1628" s="9"/>
      <c r="K1628" s="9"/>
      <c r="L1628" s="9"/>
      <c r="M1628" s="9"/>
      <c r="N1628" s="9"/>
      <c r="O1628" s="9"/>
      <c r="P1628" s="9"/>
      <c r="Q1628" s="9"/>
      <c r="R1628" s="9"/>
      <c r="S1628" s="9"/>
      <c r="T1628" s="9"/>
      <c r="U1628" s="9"/>
      <c r="V1628" s="9"/>
      <c r="W1628" s="9"/>
      <c r="X1628" s="9"/>
      <c r="Y1628" s="9"/>
      <c r="Z1628" s="9"/>
      <c r="AA1628" s="9"/>
      <c r="AB1628" s="9"/>
      <c r="AC1628" s="9"/>
      <c r="AD1628" s="9"/>
      <c r="AE1628" s="9"/>
      <c r="AF1628" s="9"/>
      <c r="AG1628" s="9"/>
      <c r="AH1628" s="9"/>
      <c r="AI1628" s="9"/>
      <c r="AJ1628" s="9"/>
      <c r="AK1628" s="9"/>
      <c r="AL1628" s="9"/>
      <c r="AM1628" s="69"/>
      <c r="AN1628" s="9"/>
      <c r="AO1628" s="69" t="s">
        <v>2150</v>
      </c>
      <c r="AP1628" s="210"/>
      <c r="AQ1628" s="211"/>
      <c r="AR1628" s="211"/>
      <c r="AS1628" s="211"/>
      <c r="AT1628" s="211"/>
      <c r="AU1628" s="211"/>
      <c r="AV1628" s="211"/>
      <c r="AW1628" s="9"/>
      <c r="AX1628" s="9"/>
      <c r="AY1628" s="9"/>
      <c r="AZ1628" s="9"/>
      <c r="BA1628" s="120"/>
      <c r="BB1628" s="69"/>
      <c r="BC1628" s="9"/>
      <c r="BD1628" s="9"/>
      <c r="BE1628" s="9"/>
      <c r="BF1628" s="9"/>
      <c r="BG1628" s="9"/>
      <c r="BH1628" s="9"/>
      <c r="BI1628" s="9"/>
      <c r="BJ1628" s="9"/>
      <c r="BK1628" s="9"/>
      <c r="BL1628" s="9"/>
      <c r="BM1628" s="9"/>
      <c r="BN1628" s="9"/>
      <c r="BO1628" s="9"/>
      <c r="BP1628" s="9"/>
      <c r="BQ1628" s="9"/>
      <c r="BR1628" s="9"/>
      <c r="BS1628" s="9"/>
      <c r="BT1628" s="9"/>
      <c r="BU1628" s="9"/>
      <c r="BV1628" s="9"/>
      <c r="BW1628" s="9"/>
      <c r="BX1628" s="9"/>
      <c r="BY1628" s="9"/>
      <c r="BZ1628" s="9"/>
      <c r="CA1628" s="9"/>
      <c r="CB1628" s="9"/>
      <c r="CC1628" s="9"/>
      <c r="CD1628" s="9"/>
      <c r="CE1628" s="9"/>
      <c r="CF1628" s="9"/>
      <c r="CG1628" s="9"/>
      <c r="CH1628" s="9"/>
      <c r="CI1628" s="9"/>
      <c r="CJ1628" s="9"/>
      <c r="CK1628" s="9"/>
      <c r="CL1628" s="9"/>
      <c r="CM1628" s="9"/>
      <c r="CN1628" s="9"/>
      <c r="CO1628" s="9"/>
      <c r="CP1628" s="9"/>
    </row>
    <row r="1629" spans="1:94" ht="15.75" x14ac:dyDescent="0.25">
      <c r="A1629" s="126" t="s">
        <v>4548</v>
      </c>
      <c r="B1629" s="9" t="s">
        <v>4549</v>
      </c>
      <c r="C1629" s="9"/>
      <c r="D1629" s="9"/>
      <c r="E1629" s="9"/>
      <c r="F1629" s="9"/>
      <c r="G1629" s="9"/>
      <c r="H1629" s="9"/>
      <c r="I1629" s="9"/>
      <c r="J1629" s="9"/>
      <c r="K1629" s="9"/>
      <c r="L1629" s="9"/>
      <c r="M1629" s="9"/>
      <c r="N1629" s="9"/>
      <c r="O1629" s="9"/>
      <c r="P1629" s="9"/>
      <c r="Q1629" s="9"/>
      <c r="R1629" s="9"/>
      <c r="S1629" s="9"/>
      <c r="T1629" s="9"/>
      <c r="U1629" s="9"/>
      <c r="V1629" s="9"/>
      <c r="W1629" s="9"/>
      <c r="X1629" s="9"/>
      <c r="Y1629" s="9"/>
      <c r="Z1629" s="9"/>
      <c r="AA1629" s="9"/>
      <c r="AB1629" s="9"/>
      <c r="AC1629" s="9"/>
      <c r="AD1629" s="9"/>
      <c r="AE1629" s="9"/>
      <c r="AF1629" s="9"/>
      <c r="AG1629" s="9"/>
      <c r="AH1629" s="9"/>
      <c r="AI1629" s="9"/>
      <c r="AJ1629" s="9"/>
      <c r="AK1629" s="9"/>
      <c r="AL1629" s="9"/>
      <c r="AM1629" s="69"/>
      <c r="AN1629" s="9"/>
      <c r="AO1629" s="69" t="s">
        <v>2150</v>
      </c>
      <c r="AP1629" s="210"/>
      <c r="AQ1629" s="211"/>
      <c r="AR1629" s="211"/>
      <c r="AS1629" s="211"/>
      <c r="AT1629" s="211"/>
      <c r="AU1629" s="211"/>
      <c r="AV1629" s="211"/>
      <c r="AW1629" s="9"/>
      <c r="AX1629" s="9"/>
      <c r="AY1629" s="9"/>
      <c r="AZ1629" s="9"/>
      <c r="BA1629" s="120"/>
      <c r="BB1629" s="69"/>
      <c r="BC1629" s="9"/>
      <c r="BD1629" s="9"/>
      <c r="BE1629" s="9"/>
      <c r="BF1629" s="9"/>
      <c r="BG1629" s="9"/>
      <c r="BH1629" s="9"/>
      <c r="BI1629" s="9"/>
      <c r="BJ1629" s="9"/>
      <c r="BK1629" s="9"/>
      <c r="BL1629" s="9"/>
      <c r="BM1629" s="9"/>
      <c r="BN1629" s="9"/>
      <c r="BO1629" s="9"/>
      <c r="BP1629" s="9"/>
      <c r="BQ1629" s="9"/>
      <c r="BR1629" s="9"/>
      <c r="BS1629" s="9"/>
      <c r="BT1629" s="9"/>
      <c r="BU1629" s="9"/>
      <c r="BV1629" s="9"/>
      <c r="BW1629" s="9"/>
      <c r="BX1629" s="9"/>
      <c r="BY1629" s="9"/>
      <c r="BZ1629" s="9"/>
      <c r="CA1629" s="9"/>
      <c r="CB1629" s="9"/>
      <c r="CC1629" s="9"/>
      <c r="CD1629" s="9"/>
      <c r="CE1629" s="9"/>
      <c r="CF1629" s="9"/>
      <c r="CG1629" s="9"/>
      <c r="CH1629" s="9"/>
      <c r="CI1629" s="9"/>
      <c r="CJ1629" s="9"/>
      <c r="CK1629" s="9"/>
      <c r="CL1629" s="9"/>
      <c r="CM1629" s="9"/>
      <c r="CN1629" s="9"/>
      <c r="CO1629" s="9"/>
      <c r="CP1629" s="9"/>
    </row>
    <row r="1630" spans="1:94" ht="15.75" x14ac:dyDescent="0.25">
      <c r="A1630" s="126" t="s">
        <v>4550</v>
      </c>
      <c r="B1630" s="9" t="s">
        <v>4551</v>
      </c>
      <c r="C1630" s="9"/>
      <c r="D1630" s="9"/>
      <c r="E1630" s="9"/>
      <c r="F1630" s="9"/>
      <c r="G1630" s="9"/>
      <c r="H1630" s="9"/>
      <c r="I1630" s="9"/>
      <c r="J1630" s="9"/>
      <c r="K1630" s="9"/>
      <c r="L1630" s="9"/>
      <c r="M1630" s="9"/>
      <c r="N1630" s="9"/>
      <c r="O1630" s="9"/>
      <c r="P1630" s="9"/>
      <c r="Q1630" s="9"/>
      <c r="R1630" s="9"/>
      <c r="S1630" s="9"/>
      <c r="T1630" s="9"/>
      <c r="U1630" s="9"/>
      <c r="V1630" s="9"/>
      <c r="W1630" s="9"/>
      <c r="X1630" s="9"/>
      <c r="Y1630" s="9"/>
      <c r="Z1630" s="9"/>
      <c r="AA1630" s="9"/>
      <c r="AB1630" s="9"/>
      <c r="AC1630" s="9"/>
      <c r="AD1630" s="9"/>
      <c r="AE1630" s="9"/>
      <c r="AF1630" s="9"/>
      <c r="AG1630" s="9"/>
      <c r="AH1630" s="9"/>
      <c r="AI1630" s="9"/>
      <c r="AJ1630" s="9"/>
      <c r="AK1630" s="9"/>
      <c r="AL1630" s="9"/>
      <c r="AM1630" s="69"/>
      <c r="AN1630" s="9"/>
      <c r="AO1630" s="69" t="s">
        <v>2150</v>
      </c>
      <c r="AP1630" s="210"/>
      <c r="AQ1630" s="211"/>
      <c r="AR1630" s="211"/>
      <c r="AS1630" s="211"/>
      <c r="AT1630" s="211"/>
      <c r="AU1630" s="211"/>
      <c r="AV1630" s="211"/>
      <c r="AW1630" s="9"/>
      <c r="AX1630" s="9"/>
      <c r="AY1630" s="9"/>
      <c r="AZ1630" s="9"/>
      <c r="BA1630" s="120"/>
      <c r="BB1630" s="69"/>
      <c r="BC1630" s="9"/>
      <c r="BD1630" s="9"/>
      <c r="BE1630" s="9"/>
      <c r="BF1630" s="9"/>
      <c r="BG1630" s="9"/>
      <c r="BH1630" s="9"/>
      <c r="BI1630" s="9"/>
      <c r="BJ1630" s="9"/>
      <c r="BK1630" s="9"/>
      <c r="BL1630" s="9"/>
      <c r="BM1630" s="9"/>
      <c r="BN1630" s="9"/>
      <c r="BO1630" s="9"/>
      <c r="BP1630" s="9"/>
      <c r="BQ1630" s="9"/>
      <c r="BR1630" s="9"/>
      <c r="BS1630" s="9"/>
      <c r="BT1630" s="9"/>
      <c r="BU1630" s="9"/>
      <c r="BV1630" s="9"/>
      <c r="BW1630" s="9"/>
      <c r="BX1630" s="9"/>
      <c r="BY1630" s="9"/>
      <c r="BZ1630" s="9"/>
      <c r="CA1630" s="9"/>
      <c r="CB1630" s="9"/>
      <c r="CC1630" s="9"/>
      <c r="CD1630" s="9"/>
      <c r="CE1630" s="9"/>
      <c r="CF1630" s="9"/>
      <c r="CG1630" s="9"/>
      <c r="CH1630" s="9"/>
      <c r="CI1630" s="9"/>
      <c r="CJ1630" s="9"/>
      <c r="CK1630" s="9"/>
      <c r="CL1630" s="9"/>
      <c r="CM1630" s="9"/>
      <c r="CN1630" s="9"/>
      <c r="CO1630" s="9"/>
      <c r="CP1630" s="9"/>
    </row>
    <row r="1631" spans="1:94" ht="15.75" x14ac:dyDescent="0.25">
      <c r="A1631" s="126" t="s">
        <v>4552</v>
      </c>
      <c r="B1631" s="9" t="s">
        <v>4553</v>
      </c>
      <c r="C1631" s="9"/>
      <c r="D1631" s="9"/>
      <c r="E1631" s="9"/>
      <c r="F1631" s="9"/>
      <c r="G1631" s="9"/>
      <c r="H1631" s="9"/>
      <c r="I1631" s="9"/>
      <c r="J1631" s="9"/>
      <c r="K1631" s="9"/>
      <c r="L1631" s="9"/>
      <c r="M1631" s="9"/>
      <c r="N1631" s="9"/>
      <c r="O1631" s="9"/>
      <c r="P1631" s="9"/>
      <c r="Q1631" s="9"/>
      <c r="R1631" s="9"/>
      <c r="S1631" s="9"/>
      <c r="T1631" s="9"/>
      <c r="U1631" s="9"/>
      <c r="V1631" s="9"/>
      <c r="W1631" s="9"/>
      <c r="X1631" s="9"/>
      <c r="Y1631" s="9"/>
      <c r="Z1631" s="9"/>
      <c r="AA1631" s="9"/>
      <c r="AB1631" s="9"/>
      <c r="AC1631" s="9"/>
      <c r="AD1631" s="9"/>
      <c r="AE1631" s="9"/>
      <c r="AF1631" s="9"/>
      <c r="AG1631" s="9"/>
      <c r="AH1631" s="9"/>
      <c r="AI1631" s="9"/>
      <c r="AJ1631" s="9"/>
      <c r="AK1631" s="9"/>
      <c r="AL1631" s="9"/>
      <c r="AM1631" s="69"/>
      <c r="AN1631" s="9"/>
      <c r="AO1631" s="69" t="s">
        <v>2150</v>
      </c>
      <c r="AP1631" s="210"/>
      <c r="AQ1631" s="211"/>
      <c r="AR1631" s="211"/>
      <c r="AS1631" s="211"/>
      <c r="AT1631" s="211"/>
      <c r="AU1631" s="211"/>
      <c r="AV1631" s="211"/>
      <c r="AW1631" s="9"/>
      <c r="AX1631" s="9"/>
      <c r="AY1631" s="9"/>
      <c r="AZ1631" s="9"/>
      <c r="BA1631" s="120"/>
      <c r="BB1631" s="69"/>
      <c r="BC1631" s="9"/>
      <c r="BD1631" s="9"/>
      <c r="BE1631" s="9"/>
      <c r="BF1631" s="9"/>
      <c r="BG1631" s="9"/>
      <c r="BH1631" s="9"/>
      <c r="BI1631" s="9"/>
      <c r="BJ1631" s="9"/>
      <c r="BK1631" s="9"/>
      <c r="BL1631" s="9"/>
      <c r="BM1631" s="9"/>
      <c r="BN1631" s="9"/>
      <c r="BO1631" s="9"/>
      <c r="BP1631" s="9"/>
      <c r="BQ1631" s="9"/>
      <c r="BR1631" s="9"/>
      <c r="BS1631" s="9"/>
      <c r="BT1631" s="9"/>
      <c r="BU1631" s="9"/>
      <c r="BV1631" s="9"/>
      <c r="BW1631" s="9"/>
      <c r="BX1631" s="9"/>
      <c r="BY1631" s="9"/>
      <c r="BZ1631" s="9"/>
      <c r="CA1631" s="9"/>
      <c r="CB1631" s="9"/>
      <c r="CC1631" s="9"/>
      <c r="CD1631" s="9"/>
      <c r="CE1631" s="9"/>
      <c r="CF1631" s="9"/>
      <c r="CG1631" s="9"/>
      <c r="CH1631" s="9"/>
      <c r="CI1631" s="9"/>
      <c r="CJ1631" s="9"/>
      <c r="CK1631" s="9"/>
      <c r="CL1631" s="9"/>
      <c r="CM1631" s="9"/>
      <c r="CN1631" s="9"/>
      <c r="CO1631" s="9"/>
      <c r="CP1631" s="9"/>
    </row>
    <row r="1632" spans="1:94" ht="15.75" x14ac:dyDescent="0.25">
      <c r="A1632" s="126" t="s">
        <v>4554</v>
      </c>
      <c r="B1632" s="9" t="s">
        <v>4555</v>
      </c>
      <c r="C1632" s="9"/>
      <c r="D1632" s="9"/>
      <c r="E1632" s="9"/>
      <c r="F1632" s="9"/>
      <c r="G1632" s="9"/>
      <c r="H1632" s="9"/>
      <c r="I1632" s="9"/>
      <c r="J1632" s="9"/>
      <c r="K1632" s="9"/>
      <c r="L1632" s="9"/>
      <c r="M1632" s="9"/>
      <c r="N1632" s="9"/>
      <c r="O1632" s="9"/>
      <c r="P1632" s="9"/>
      <c r="Q1632" s="9"/>
      <c r="R1632" s="9"/>
      <c r="S1632" s="9"/>
      <c r="T1632" s="9"/>
      <c r="U1632" s="9"/>
      <c r="V1632" s="9"/>
      <c r="W1632" s="9"/>
      <c r="X1632" s="9"/>
      <c r="Y1632" s="9"/>
      <c r="Z1632" s="9"/>
      <c r="AA1632" s="9"/>
      <c r="AB1632" s="9"/>
      <c r="AC1632" s="9"/>
      <c r="AD1632" s="9"/>
      <c r="AE1632" s="9"/>
      <c r="AF1632" s="9"/>
      <c r="AG1632" s="9"/>
      <c r="AH1632" s="9"/>
      <c r="AI1632" s="9"/>
      <c r="AJ1632" s="9"/>
      <c r="AK1632" s="9"/>
      <c r="AL1632" s="9"/>
      <c r="AM1632" s="69"/>
      <c r="AN1632" s="9"/>
      <c r="AO1632" s="69" t="s">
        <v>4434</v>
      </c>
      <c r="AP1632" s="210"/>
      <c r="AQ1632" s="211"/>
      <c r="AR1632" s="211"/>
      <c r="AS1632" s="211"/>
      <c r="AT1632" s="211"/>
      <c r="AU1632" s="211"/>
      <c r="AV1632" s="211"/>
      <c r="AW1632" s="9"/>
      <c r="AX1632" s="9"/>
      <c r="AY1632" s="9"/>
      <c r="AZ1632" s="9"/>
      <c r="BA1632" s="120"/>
      <c r="BB1632" s="69"/>
      <c r="BC1632" s="9"/>
      <c r="BD1632" s="9"/>
      <c r="BE1632" s="9"/>
      <c r="BF1632" s="9"/>
      <c r="BG1632" s="9"/>
      <c r="BH1632" s="9"/>
      <c r="BI1632" s="9"/>
      <c r="BJ1632" s="9"/>
      <c r="BK1632" s="9"/>
      <c r="BL1632" s="9"/>
      <c r="BM1632" s="9"/>
      <c r="BN1632" s="9"/>
      <c r="BO1632" s="9"/>
      <c r="BP1632" s="9"/>
      <c r="BQ1632" s="9"/>
      <c r="BR1632" s="9"/>
      <c r="BS1632" s="9"/>
      <c r="BT1632" s="9"/>
      <c r="BU1632" s="9"/>
      <c r="BV1632" s="9"/>
      <c r="BW1632" s="9"/>
      <c r="BX1632" s="9"/>
      <c r="BY1632" s="9"/>
      <c r="BZ1632" s="9"/>
      <c r="CA1632" s="9"/>
      <c r="CB1632" s="9"/>
      <c r="CC1632" s="9"/>
      <c r="CD1632" s="9"/>
      <c r="CE1632" s="9"/>
      <c r="CF1632" s="9"/>
      <c r="CG1632" s="9"/>
      <c r="CH1632" s="9"/>
      <c r="CI1632" s="9"/>
      <c r="CJ1632" s="9"/>
      <c r="CK1632" s="9"/>
      <c r="CL1632" s="9"/>
      <c r="CM1632" s="9"/>
      <c r="CN1632" s="9"/>
      <c r="CO1632" s="9"/>
      <c r="CP1632" s="9"/>
    </row>
    <row r="1633" spans="1:94" ht="15.75" x14ac:dyDescent="0.25">
      <c r="A1633" s="126" t="s">
        <v>4556</v>
      </c>
      <c r="B1633" s="9" t="s">
        <v>4557</v>
      </c>
      <c r="C1633" s="9"/>
      <c r="D1633" s="9"/>
      <c r="E1633" s="9"/>
      <c r="F1633" s="9"/>
      <c r="G1633" s="9"/>
      <c r="H1633" s="9"/>
      <c r="I1633" s="9"/>
      <c r="J1633" s="9"/>
      <c r="K1633" s="9"/>
      <c r="L1633" s="9"/>
      <c r="M1633" s="9"/>
      <c r="N1633" s="9"/>
      <c r="O1633" s="9"/>
      <c r="P1633" s="9"/>
      <c r="Q1633" s="9"/>
      <c r="R1633" s="9"/>
      <c r="S1633" s="9"/>
      <c r="T1633" s="9"/>
      <c r="U1633" s="9"/>
      <c r="V1633" s="9"/>
      <c r="W1633" s="9"/>
      <c r="X1633" s="9"/>
      <c r="Y1633" s="9"/>
      <c r="Z1633" s="9"/>
      <c r="AA1633" s="9"/>
      <c r="AB1633" s="9"/>
      <c r="AC1633" s="9"/>
      <c r="AD1633" s="9"/>
      <c r="AE1633" s="9"/>
      <c r="AF1633" s="9"/>
      <c r="AG1633" s="9"/>
      <c r="AH1633" s="9"/>
      <c r="AI1633" s="9"/>
      <c r="AJ1633" s="9"/>
      <c r="AK1633" s="9"/>
      <c r="AL1633" s="9"/>
      <c r="AM1633" s="69"/>
      <c r="AN1633" s="9"/>
      <c r="AO1633" s="69" t="s">
        <v>2150</v>
      </c>
      <c r="AP1633" s="210"/>
      <c r="AQ1633" s="211"/>
      <c r="AR1633" s="211"/>
      <c r="AS1633" s="211"/>
      <c r="AT1633" s="211"/>
      <c r="AU1633" s="211"/>
      <c r="AV1633" s="211"/>
      <c r="AW1633" s="9"/>
      <c r="AX1633" s="9"/>
      <c r="AY1633" s="9"/>
      <c r="AZ1633" s="9"/>
      <c r="BA1633" s="120"/>
      <c r="BB1633" s="69"/>
      <c r="BC1633" s="9"/>
      <c r="BD1633" s="9"/>
      <c r="BE1633" s="9"/>
      <c r="BF1633" s="9"/>
      <c r="BG1633" s="9"/>
      <c r="BH1633" s="9"/>
      <c r="BI1633" s="9"/>
      <c r="BJ1633" s="9"/>
      <c r="BK1633" s="9"/>
      <c r="BL1633" s="9"/>
      <c r="BM1633" s="9"/>
      <c r="BN1633" s="9"/>
      <c r="BO1633" s="9"/>
      <c r="BP1633" s="9"/>
      <c r="BQ1633" s="9"/>
      <c r="BR1633" s="9"/>
      <c r="BS1633" s="9"/>
      <c r="BT1633" s="9"/>
      <c r="BU1633" s="9"/>
      <c r="BV1633" s="9"/>
      <c r="BW1633" s="9"/>
      <c r="BX1633" s="9"/>
      <c r="BY1633" s="9"/>
      <c r="BZ1633" s="9"/>
      <c r="CA1633" s="9"/>
      <c r="CB1633" s="9"/>
      <c r="CC1633" s="9"/>
      <c r="CD1633" s="9"/>
      <c r="CE1633" s="9"/>
      <c r="CF1633" s="9"/>
      <c r="CG1633" s="9"/>
      <c r="CH1633" s="9"/>
      <c r="CI1633" s="9"/>
      <c r="CJ1633" s="9"/>
      <c r="CK1633" s="9"/>
      <c r="CL1633" s="9"/>
      <c r="CM1633" s="9"/>
      <c r="CN1633" s="9"/>
      <c r="CO1633" s="9"/>
      <c r="CP1633" s="9"/>
    </row>
    <row r="1634" spans="1:94" ht="15.75" x14ac:dyDescent="0.25">
      <c r="A1634" s="126" t="s">
        <v>4558</v>
      </c>
      <c r="B1634" s="9" t="s">
        <v>4559</v>
      </c>
      <c r="C1634" s="9"/>
      <c r="D1634" s="9"/>
      <c r="E1634" s="9"/>
      <c r="F1634" s="9"/>
      <c r="G1634" s="9"/>
      <c r="H1634" s="9"/>
      <c r="I1634" s="9"/>
      <c r="J1634" s="9"/>
      <c r="K1634" s="9"/>
      <c r="L1634" s="9"/>
      <c r="M1634" s="9"/>
      <c r="N1634" s="9"/>
      <c r="O1634" s="9"/>
      <c r="P1634" s="9"/>
      <c r="Q1634" s="9"/>
      <c r="R1634" s="9"/>
      <c r="S1634" s="9"/>
      <c r="T1634" s="9"/>
      <c r="U1634" s="9"/>
      <c r="V1634" s="9"/>
      <c r="W1634" s="9"/>
      <c r="X1634" s="9"/>
      <c r="Y1634" s="9"/>
      <c r="Z1634" s="9"/>
      <c r="AA1634" s="9"/>
      <c r="AB1634" s="9"/>
      <c r="AC1634" s="9"/>
      <c r="AD1634" s="9"/>
      <c r="AE1634" s="9"/>
      <c r="AF1634" s="9"/>
      <c r="AG1634" s="9"/>
      <c r="AH1634" s="9"/>
      <c r="AI1634" s="9"/>
      <c r="AJ1634" s="9"/>
      <c r="AK1634" s="9"/>
      <c r="AL1634" s="9"/>
      <c r="AM1634" s="69"/>
      <c r="AN1634" s="9"/>
      <c r="AO1634" s="69" t="s">
        <v>2150</v>
      </c>
      <c r="AP1634" s="210"/>
      <c r="AQ1634" s="211"/>
      <c r="AR1634" s="211"/>
      <c r="AS1634" s="211"/>
      <c r="AT1634" s="211"/>
      <c r="AU1634" s="211"/>
      <c r="AV1634" s="211"/>
      <c r="AW1634" s="9"/>
      <c r="AX1634" s="9"/>
      <c r="AY1634" s="9"/>
      <c r="AZ1634" s="9"/>
      <c r="BA1634" s="120"/>
      <c r="BB1634" s="69"/>
      <c r="BC1634" s="9"/>
      <c r="BD1634" s="9"/>
      <c r="BE1634" s="9"/>
      <c r="BF1634" s="9"/>
      <c r="BG1634" s="9"/>
      <c r="BH1634" s="9"/>
      <c r="BI1634" s="9"/>
      <c r="BJ1634" s="9"/>
      <c r="BK1634" s="9"/>
      <c r="BL1634" s="9"/>
      <c r="BM1634" s="9"/>
      <c r="BN1634" s="9"/>
      <c r="BO1634" s="9"/>
      <c r="BP1634" s="9"/>
      <c r="BQ1634" s="9"/>
      <c r="BR1634" s="9"/>
      <c r="BS1634" s="9"/>
      <c r="BT1634" s="9"/>
      <c r="BU1634" s="9"/>
      <c r="BV1634" s="9"/>
      <c r="BW1634" s="9"/>
      <c r="BX1634" s="9"/>
      <c r="BY1634" s="9"/>
      <c r="BZ1634" s="9"/>
      <c r="CA1634" s="9"/>
      <c r="CB1634" s="9"/>
      <c r="CC1634" s="9"/>
      <c r="CD1634" s="9"/>
      <c r="CE1634" s="9"/>
      <c r="CF1634" s="9"/>
      <c r="CG1634" s="9"/>
      <c r="CH1634" s="9"/>
      <c r="CI1634" s="9"/>
      <c r="CJ1634" s="9"/>
      <c r="CK1634" s="9"/>
      <c r="CL1634" s="9"/>
      <c r="CM1634" s="9"/>
      <c r="CN1634" s="9"/>
      <c r="CO1634" s="9"/>
      <c r="CP1634" s="9"/>
    </row>
    <row r="1635" spans="1:94" ht="15.75" x14ac:dyDescent="0.25">
      <c r="A1635" s="126" t="s">
        <v>4560</v>
      </c>
      <c r="B1635" s="9" t="s">
        <v>4561</v>
      </c>
      <c r="C1635" s="9"/>
      <c r="D1635" s="9"/>
      <c r="E1635" s="9"/>
      <c r="F1635" s="9"/>
      <c r="G1635" s="9"/>
      <c r="H1635" s="9"/>
      <c r="I1635" s="9"/>
      <c r="J1635" s="9"/>
      <c r="K1635" s="9"/>
      <c r="L1635" s="9"/>
      <c r="M1635" s="9"/>
      <c r="N1635" s="9"/>
      <c r="O1635" s="9"/>
      <c r="P1635" s="9"/>
      <c r="Q1635" s="9"/>
      <c r="R1635" s="9"/>
      <c r="S1635" s="9"/>
      <c r="T1635" s="9"/>
      <c r="U1635" s="9"/>
      <c r="V1635" s="9"/>
      <c r="W1635" s="9"/>
      <c r="X1635" s="9"/>
      <c r="Y1635" s="9"/>
      <c r="Z1635" s="9"/>
      <c r="AA1635" s="9"/>
      <c r="AB1635" s="9"/>
      <c r="AC1635" s="9"/>
      <c r="AD1635" s="9"/>
      <c r="AE1635" s="9"/>
      <c r="AF1635" s="9"/>
      <c r="AG1635" s="9"/>
      <c r="AH1635" s="9"/>
      <c r="AI1635" s="9"/>
      <c r="AJ1635" s="9"/>
      <c r="AK1635" s="9"/>
      <c r="AL1635" s="9"/>
      <c r="AM1635" s="69"/>
      <c r="AN1635" s="9"/>
      <c r="AO1635" s="69" t="s">
        <v>2150</v>
      </c>
      <c r="AP1635" s="210"/>
      <c r="AQ1635" s="211"/>
      <c r="AR1635" s="211"/>
      <c r="AS1635" s="211"/>
      <c r="AT1635" s="211"/>
      <c r="AU1635" s="211"/>
      <c r="AV1635" s="211"/>
      <c r="AW1635" s="9"/>
      <c r="AX1635" s="9"/>
      <c r="AY1635" s="9"/>
      <c r="AZ1635" s="9"/>
      <c r="BA1635" s="120"/>
      <c r="BB1635" s="69"/>
      <c r="BC1635" s="9"/>
      <c r="BD1635" s="9"/>
      <c r="BE1635" s="9"/>
      <c r="BF1635" s="9"/>
      <c r="BG1635" s="9"/>
      <c r="BH1635" s="9"/>
      <c r="BI1635" s="9"/>
      <c r="BJ1635" s="9"/>
      <c r="BK1635" s="9"/>
      <c r="BL1635" s="9"/>
      <c r="BM1635" s="9"/>
      <c r="BN1635" s="9"/>
      <c r="BO1635" s="9"/>
      <c r="BP1635" s="9"/>
      <c r="BQ1635" s="9"/>
      <c r="BR1635" s="9"/>
      <c r="BS1635" s="9"/>
      <c r="BT1635" s="9"/>
      <c r="BU1635" s="9"/>
      <c r="BV1635" s="9"/>
      <c r="BW1635" s="9"/>
      <c r="BX1635" s="9"/>
      <c r="BY1635" s="9"/>
      <c r="BZ1635" s="9"/>
      <c r="CA1635" s="9"/>
      <c r="CB1635" s="9"/>
      <c r="CC1635" s="9"/>
      <c r="CD1635" s="9"/>
      <c r="CE1635" s="9"/>
      <c r="CF1635" s="9"/>
      <c r="CG1635" s="9"/>
      <c r="CH1635" s="9"/>
      <c r="CI1635" s="9"/>
      <c r="CJ1635" s="9"/>
      <c r="CK1635" s="9"/>
      <c r="CL1635" s="9"/>
      <c r="CM1635" s="9"/>
      <c r="CN1635" s="9"/>
      <c r="CO1635" s="9"/>
      <c r="CP1635" s="9"/>
    </row>
    <row r="1636" spans="1:94" ht="15.75" x14ac:dyDescent="0.25">
      <c r="A1636" s="126" t="s">
        <v>4562</v>
      </c>
      <c r="B1636" s="9" t="s">
        <v>4563</v>
      </c>
      <c r="C1636" s="9"/>
      <c r="D1636" s="9"/>
      <c r="E1636" s="9"/>
      <c r="F1636" s="9"/>
      <c r="G1636" s="9"/>
      <c r="H1636" s="9"/>
      <c r="I1636" s="9"/>
      <c r="J1636" s="9"/>
      <c r="K1636" s="9"/>
      <c r="L1636" s="9"/>
      <c r="M1636" s="9"/>
      <c r="N1636" s="9"/>
      <c r="O1636" s="9"/>
      <c r="P1636" s="9"/>
      <c r="Q1636" s="9"/>
      <c r="R1636" s="9"/>
      <c r="S1636" s="9"/>
      <c r="T1636" s="9"/>
      <c r="U1636" s="9"/>
      <c r="V1636" s="9"/>
      <c r="W1636" s="9"/>
      <c r="X1636" s="9"/>
      <c r="Y1636" s="9"/>
      <c r="Z1636" s="9"/>
      <c r="AA1636" s="9"/>
      <c r="AB1636" s="9"/>
      <c r="AC1636" s="9"/>
      <c r="AD1636" s="9"/>
      <c r="AE1636" s="9"/>
      <c r="AF1636" s="9"/>
      <c r="AG1636" s="9"/>
      <c r="AH1636" s="9"/>
      <c r="AI1636" s="9"/>
      <c r="AJ1636" s="9"/>
      <c r="AK1636" s="9"/>
      <c r="AL1636" s="9"/>
      <c r="AM1636" s="69"/>
      <c r="AN1636" s="9"/>
      <c r="AO1636" s="69" t="s">
        <v>2150</v>
      </c>
      <c r="AP1636" s="210"/>
      <c r="AQ1636" s="211"/>
      <c r="AR1636" s="211"/>
      <c r="AS1636" s="211"/>
      <c r="AT1636" s="211"/>
      <c r="AU1636" s="211"/>
      <c r="AV1636" s="211"/>
      <c r="AW1636" s="9"/>
      <c r="AX1636" s="9"/>
      <c r="AY1636" s="9"/>
      <c r="AZ1636" s="9"/>
      <c r="BA1636" s="120"/>
      <c r="BB1636" s="69"/>
      <c r="BC1636" s="9"/>
      <c r="BD1636" s="9"/>
      <c r="BE1636" s="9"/>
      <c r="BF1636" s="9"/>
      <c r="BG1636" s="9"/>
      <c r="BH1636" s="9"/>
      <c r="BI1636" s="9"/>
      <c r="BJ1636" s="9"/>
      <c r="BK1636" s="9"/>
      <c r="BL1636" s="9"/>
      <c r="BM1636" s="9"/>
      <c r="BN1636" s="9"/>
      <c r="BO1636" s="9"/>
      <c r="BP1636" s="9"/>
      <c r="BQ1636" s="9"/>
      <c r="BR1636" s="9"/>
      <c r="BS1636" s="9"/>
      <c r="BT1636" s="9"/>
      <c r="BU1636" s="9"/>
      <c r="BV1636" s="9"/>
      <c r="BW1636" s="9"/>
      <c r="BX1636" s="9"/>
      <c r="BY1636" s="9"/>
      <c r="BZ1636" s="9"/>
      <c r="CA1636" s="9"/>
      <c r="CB1636" s="9"/>
      <c r="CC1636" s="9"/>
      <c r="CD1636" s="9"/>
      <c r="CE1636" s="9"/>
      <c r="CF1636" s="9"/>
      <c r="CG1636" s="9"/>
      <c r="CH1636" s="9"/>
      <c r="CI1636" s="9"/>
      <c r="CJ1636" s="9"/>
      <c r="CK1636" s="9"/>
      <c r="CL1636" s="9"/>
      <c r="CM1636" s="9"/>
      <c r="CN1636" s="9"/>
      <c r="CO1636" s="9"/>
      <c r="CP1636" s="9"/>
    </row>
    <row r="1637" spans="1:94" ht="15.75" x14ac:dyDescent="0.25">
      <c r="A1637" s="126" t="s">
        <v>4564</v>
      </c>
      <c r="B1637" s="9" t="s">
        <v>4565</v>
      </c>
      <c r="C1637" s="9"/>
      <c r="D1637" s="9"/>
      <c r="E1637" s="9"/>
      <c r="F1637" s="9"/>
      <c r="G1637" s="9"/>
      <c r="H1637" s="9"/>
      <c r="I1637" s="9"/>
      <c r="J1637" s="9"/>
      <c r="K1637" s="9"/>
      <c r="L1637" s="9"/>
      <c r="M1637" s="9"/>
      <c r="N1637" s="9"/>
      <c r="O1637" s="9"/>
      <c r="P1637" s="9"/>
      <c r="Q1637" s="9"/>
      <c r="R1637" s="9"/>
      <c r="S1637" s="9"/>
      <c r="T1637" s="9"/>
      <c r="U1637" s="9"/>
      <c r="V1637" s="9"/>
      <c r="W1637" s="9"/>
      <c r="X1637" s="9"/>
      <c r="Y1637" s="9"/>
      <c r="Z1637" s="9"/>
      <c r="AA1637" s="9"/>
      <c r="AB1637" s="9"/>
      <c r="AC1637" s="9"/>
      <c r="AD1637" s="9"/>
      <c r="AE1637" s="9"/>
      <c r="AF1637" s="9"/>
      <c r="AG1637" s="9"/>
      <c r="AH1637" s="9"/>
      <c r="AI1637" s="9"/>
      <c r="AJ1637" s="9"/>
      <c r="AK1637" s="9"/>
      <c r="AL1637" s="9"/>
      <c r="AM1637" s="69"/>
      <c r="AN1637" s="9"/>
      <c r="AO1637" s="69" t="s">
        <v>2150</v>
      </c>
      <c r="AP1637" s="210"/>
      <c r="AQ1637" s="211"/>
      <c r="AR1637" s="211"/>
      <c r="AS1637" s="211"/>
      <c r="AT1637" s="211"/>
      <c r="AU1637" s="211"/>
      <c r="AV1637" s="211"/>
      <c r="AW1637" s="9"/>
      <c r="AX1637" s="9"/>
      <c r="AY1637" s="9"/>
      <c r="AZ1637" s="9"/>
      <c r="BA1637" s="120"/>
      <c r="BB1637" s="69"/>
      <c r="BC1637" s="9"/>
      <c r="BD1637" s="9"/>
      <c r="BE1637" s="9"/>
      <c r="BF1637" s="9"/>
      <c r="BG1637" s="9"/>
      <c r="BH1637" s="9"/>
      <c r="BI1637" s="9"/>
      <c r="BJ1637" s="9"/>
      <c r="BK1637" s="9"/>
      <c r="BL1637" s="9"/>
      <c r="BM1637" s="9"/>
      <c r="BN1637" s="9"/>
      <c r="BO1637" s="9"/>
      <c r="BP1637" s="9"/>
      <c r="BQ1637" s="9"/>
      <c r="BR1637" s="9"/>
      <c r="BS1637" s="9"/>
      <c r="BT1637" s="9"/>
      <c r="BU1637" s="9"/>
      <c r="BV1637" s="9"/>
      <c r="BW1637" s="9"/>
      <c r="BX1637" s="9"/>
      <c r="BY1637" s="9"/>
      <c r="BZ1637" s="9"/>
      <c r="CA1637" s="9"/>
      <c r="CB1637" s="9"/>
      <c r="CC1637" s="9"/>
      <c r="CD1637" s="9"/>
      <c r="CE1637" s="9"/>
      <c r="CF1637" s="9"/>
      <c r="CG1637" s="9"/>
      <c r="CH1637" s="9"/>
      <c r="CI1637" s="9"/>
      <c r="CJ1637" s="9"/>
      <c r="CK1637" s="9"/>
      <c r="CL1637" s="9"/>
      <c r="CM1637" s="9"/>
      <c r="CN1637" s="9"/>
      <c r="CO1637" s="9"/>
      <c r="CP1637" s="9"/>
    </row>
    <row r="1638" spans="1:94" ht="15.75" x14ac:dyDescent="0.25">
      <c r="A1638" s="126" t="s">
        <v>4566</v>
      </c>
      <c r="B1638" s="269" t="s">
        <v>4567</v>
      </c>
      <c r="C1638" s="9"/>
      <c r="D1638" s="9"/>
      <c r="E1638" s="9"/>
      <c r="F1638" s="9"/>
      <c r="G1638" s="9"/>
      <c r="H1638" s="9"/>
      <c r="I1638" s="9"/>
      <c r="J1638" s="9"/>
      <c r="K1638" s="9"/>
      <c r="L1638" s="9"/>
      <c r="M1638" s="9"/>
      <c r="N1638" s="9"/>
      <c r="O1638" s="9"/>
      <c r="P1638" s="9"/>
      <c r="Q1638" s="9"/>
      <c r="R1638" s="9"/>
      <c r="S1638" s="9"/>
      <c r="T1638" s="9"/>
      <c r="U1638" s="9"/>
      <c r="V1638" s="9"/>
      <c r="W1638" s="9"/>
      <c r="X1638" s="9"/>
      <c r="Y1638" s="9"/>
      <c r="Z1638" s="9"/>
      <c r="AA1638" s="9"/>
      <c r="AB1638" s="9"/>
      <c r="AC1638" s="9"/>
      <c r="AD1638" s="9"/>
      <c r="AE1638" s="9"/>
      <c r="AF1638" s="9"/>
      <c r="AG1638" s="9"/>
      <c r="AH1638" s="9"/>
      <c r="AI1638" s="9"/>
      <c r="AJ1638" s="9"/>
      <c r="AK1638" s="9"/>
      <c r="AL1638" s="9"/>
      <c r="AM1638" s="69"/>
      <c r="AN1638" s="9"/>
      <c r="AO1638" s="69" t="s">
        <v>4434</v>
      </c>
      <c r="AP1638" s="210"/>
      <c r="AQ1638" s="211"/>
      <c r="AR1638" s="211"/>
      <c r="AS1638" s="211"/>
      <c r="AT1638" s="211"/>
      <c r="AU1638" s="211"/>
      <c r="AV1638" s="211"/>
      <c r="AW1638" s="9"/>
      <c r="AX1638" s="9"/>
      <c r="AY1638" s="9"/>
      <c r="AZ1638" s="9"/>
      <c r="BA1638" s="120"/>
      <c r="BB1638" s="69"/>
      <c r="BC1638" s="9"/>
      <c r="BD1638" s="9"/>
      <c r="BE1638" s="9"/>
      <c r="BF1638" s="9"/>
      <c r="BG1638" s="9"/>
      <c r="BH1638" s="9"/>
      <c r="BI1638" s="9"/>
      <c r="BJ1638" s="9"/>
      <c r="BK1638" s="9"/>
      <c r="BL1638" s="9"/>
      <c r="BM1638" s="9"/>
      <c r="BN1638" s="9"/>
      <c r="BO1638" s="9"/>
      <c r="BP1638" s="9"/>
      <c r="BQ1638" s="9"/>
      <c r="BR1638" s="9"/>
      <c r="BS1638" s="9"/>
      <c r="BT1638" s="9"/>
      <c r="BU1638" s="9"/>
      <c r="BV1638" s="9"/>
      <c r="BW1638" s="9"/>
      <c r="BX1638" s="9"/>
      <c r="BY1638" s="9"/>
      <c r="BZ1638" s="9"/>
      <c r="CA1638" s="9"/>
      <c r="CB1638" s="9"/>
      <c r="CC1638" s="9"/>
      <c r="CD1638" s="9"/>
      <c r="CE1638" s="9"/>
      <c r="CF1638" s="9"/>
      <c r="CG1638" s="9"/>
      <c r="CH1638" s="9"/>
      <c r="CI1638" s="9"/>
      <c r="CJ1638" s="9"/>
      <c r="CK1638" s="9"/>
      <c r="CL1638" s="9"/>
      <c r="CM1638" s="9"/>
      <c r="CN1638" s="9"/>
      <c r="CO1638" s="9"/>
      <c r="CP1638" s="9"/>
    </row>
    <row r="1639" spans="1:94" ht="15.75" x14ac:dyDescent="0.25">
      <c r="A1639" s="126" t="s">
        <v>4568</v>
      </c>
      <c r="B1639" s="9" t="s">
        <v>4569</v>
      </c>
      <c r="C1639" s="9"/>
      <c r="D1639" s="9"/>
      <c r="E1639" s="9"/>
      <c r="F1639" s="9"/>
      <c r="G1639" s="9"/>
      <c r="H1639" s="9"/>
      <c r="I1639" s="9"/>
      <c r="J1639" s="9"/>
      <c r="K1639" s="9"/>
      <c r="L1639" s="9"/>
      <c r="M1639" s="9"/>
      <c r="N1639" s="9"/>
      <c r="O1639" s="9"/>
      <c r="P1639" s="9"/>
      <c r="Q1639" s="9"/>
      <c r="R1639" s="9"/>
      <c r="S1639" s="9"/>
      <c r="T1639" s="9"/>
      <c r="U1639" s="9"/>
      <c r="V1639" s="9"/>
      <c r="W1639" s="9"/>
      <c r="X1639" s="9"/>
      <c r="Y1639" s="9"/>
      <c r="Z1639" s="9"/>
      <c r="AA1639" s="9"/>
      <c r="AB1639" s="9"/>
      <c r="AC1639" s="9"/>
      <c r="AD1639" s="9"/>
      <c r="AE1639" s="9"/>
      <c r="AF1639" s="9"/>
      <c r="AG1639" s="9"/>
      <c r="AH1639" s="9"/>
      <c r="AI1639" s="9"/>
      <c r="AJ1639" s="9"/>
      <c r="AK1639" s="9"/>
      <c r="AL1639" s="9"/>
      <c r="AM1639" s="69"/>
      <c r="AN1639" s="9"/>
      <c r="AO1639" s="69" t="s">
        <v>2150</v>
      </c>
      <c r="AP1639" s="210"/>
      <c r="AQ1639" s="211"/>
      <c r="AR1639" s="211"/>
      <c r="AS1639" s="211"/>
      <c r="AT1639" s="211"/>
      <c r="AU1639" s="211"/>
      <c r="AV1639" s="211"/>
      <c r="AW1639" s="9"/>
      <c r="AX1639" s="9"/>
      <c r="AY1639" s="9"/>
      <c r="AZ1639" s="9"/>
      <c r="BA1639" s="120"/>
      <c r="BB1639" s="69"/>
      <c r="BC1639" s="9"/>
      <c r="BD1639" s="9"/>
      <c r="BE1639" s="9"/>
      <c r="BF1639" s="9"/>
      <c r="BG1639" s="9"/>
      <c r="BH1639" s="9"/>
      <c r="BI1639" s="9"/>
      <c r="BJ1639" s="9"/>
      <c r="BK1639" s="9"/>
      <c r="BL1639" s="9"/>
      <c r="BM1639" s="9"/>
      <c r="BN1639" s="9"/>
      <c r="BO1639" s="9"/>
      <c r="BP1639" s="9"/>
      <c r="BQ1639" s="9"/>
      <c r="BR1639" s="9"/>
      <c r="BS1639" s="9"/>
      <c r="BT1639" s="9"/>
      <c r="BU1639" s="9"/>
      <c r="BV1639" s="9"/>
      <c r="BW1639" s="9"/>
      <c r="BX1639" s="9"/>
      <c r="BY1639" s="9"/>
      <c r="BZ1639" s="9"/>
      <c r="CA1639" s="9"/>
      <c r="CB1639" s="9"/>
      <c r="CC1639" s="9"/>
      <c r="CD1639" s="9"/>
      <c r="CE1639" s="9"/>
      <c r="CF1639" s="9"/>
      <c r="CG1639" s="9"/>
      <c r="CH1639" s="9"/>
      <c r="CI1639" s="9"/>
      <c r="CJ1639" s="9"/>
      <c r="CK1639" s="9"/>
      <c r="CL1639" s="9"/>
      <c r="CM1639" s="9"/>
      <c r="CN1639" s="9"/>
      <c r="CO1639" s="9"/>
      <c r="CP1639" s="9"/>
    </row>
    <row r="1640" spans="1:94" ht="15.75" x14ac:dyDescent="0.25">
      <c r="A1640" s="126" t="s">
        <v>4570</v>
      </c>
      <c r="B1640" s="9" t="s">
        <v>4571</v>
      </c>
      <c r="C1640" s="9"/>
      <c r="D1640" s="9"/>
      <c r="E1640" s="9"/>
      <c r="F1640" s="9"/>
      <c r="G1640" s="9"/>
      <c r="H1640" s="9"/>
      <c r="I1640" s="9"/>
      <c r="J1640" s="9"/>
      <c r="K1640" s="9"/>
      <c r="L1640" s="9"/>
      <c r="M1640" s="9"/>
      <c r="N1640" s="9"/>
      <c r="O1640" s="9"/>
      <c r="P1640" s="9"/>
      <c r="Q1640" s="9"/>
      <c r="R1640" s="9"/>
      <c r="S1640" s="9"/>
      <c r="T1640" s="9"/>
      <c r="U1640" s="9"/>
      <c r="V1640" s="9"/>
      <c r="W1640" s="9"/>
      <c r="X1640" s="9"/>
      <c r="Y1640" s="9"/>
      <c r="Z1640" s="9"/>
      <c r="AA1640" s="9"/>
      <c r="AB1640" s="9"/>
      <c r="AC1640" s="9"/>
      <c r="AD1640" s="9"/>
      <c r="AE1640" s="9"/>
      <c r="AF1640" s="9"/>
      <c r="AG1640" s="9"/>
      <c r="AH1640" s="9"/>
      <c r="AI1640" s="9"/>
      <c r="AJ1640" s="9"/>
      <c r="AK1640" s="9"/>
      <c r="AL1640" s="9"/>
      <c r="AM1640" s="69"/>
      <c r="AN1640" s="9"/>
      <c r="AO1640" s="69" t="s">
        <v>2150</v>
      </c>
      <c r="AP1640" s="210"/>
      <c r="AQ1640" s="211"/>
      <c r="AR1640" s="211"/>
      <c r="AS1640" s="211"/>
      <c r="AT1640" s="211"/>
      <c r="AU1640" s="211"/>
      <c r="AV1640" s="211"/>
      <c r="AW1640" s="9"/>
      <c r="AX1640" s="9"/>
      <c r="AY1640" s="9"/>
      <c r="AZ1640" s="9"/>
      <c r="BA1640" s="120"/>
      <c r="BB1640" s="69"/>
      <c r="BC1640" s="9"/>
      <c r="BD1640" s="9"/>
      <c r="BE1640" s="9"/>
      <c r="BF1640" s="9"/>
      <c r="BG1640" s="9"/>
      <c r="BH1640" s="9"/>
      <c r="BI1640" s="9"/>
      <c r="BJ1640" s="9"/>
      <c r="BK1640" s="9"/>
      <c r="BL1640" s="9"/>
      <c r="BM1640" s="9"/>
      <c r="BN1640" s="9"/>
      <c r="BO1640" s="9"/>
      <c r="BP1640" s="9"/>
      <c r="BQ1640" s="9"/>
      <c r="BR1640" s="9"/>
      <c r="BS1640" s="9"/>
      <c r="BT1640" s="9"/>
      <c r="BU1640" s="9"/>
      <c r="BV1640" s="9"/>
      <c r="BW1640" s="9"/>
      <c r="BX1640" s="9"/>
      <c r="BY1640" s="9"/>
      <c r="BZ1640" s="9"/>
      <c r="CA1640" s="9"/>
      <c r="CB1640" s="9"/>
      <c r="CC1640" s="9"/>
      <c r="CD1640" s="9"/>
      <c r="CE1640" s="9"/>
      <c r="CF1640" s="9"/>
      <c r="CG1640" s="9"/>
      <c r="CH1640" s="9"/>
      <c r="CI1640" s="9"/>
      <c r="CJ1640" s="9"/>
      <c r="CK1640" s="9"/>
      <c r="CL1640" s="9"/>
      <c r="CM1640" s="9"/>
      <c r="CN1640" s="9"/>
      <c r="CO1640" s="9"/>
      <c r="CP1640" s="9"/>
    </row>
    <row r="1641" spans="1:94" ht="15.75" x14ac:dyDescent="0.25">
      <c r="A1641" s="126" t="s">
        <v>4572</v>
      </c>
      <c r="B1641" s="9" t="s">
        <v>4573</v>
      </c>
      <c r="C1641" s="9"/>
      <c r="D1641" s="9"/>
      <c r="E1641" s="9"/>
      <c r="F1641" s="9"/>
      <c r="G1641" s="9"/>
      <c r="H1641" s="9"/>
      <c r="I1641" s="9"/>
      <c r="J1641" s="9"/>
      <c r="K1641" s="9"/>
      <c r="L1641" s="9"/>
      <c r="M1641" s="9"/>
      <c r="N1641" s="9"/>
      <c r="O1641" s="9"/>
      <c r="P1641" s="9"/>
      <c r="Q1641" s="9"/>
      <c r="R1641" s="9"/>
      <c r="S1641" s="9"/>
      <c r="T1641" s="9"/>
      <c r="U1641" s="9"/>
      <c r="V1641" s="9"/>
      <c r="W1641" s="9"/>
      <c r="X1641" s="9"/>
      <c r="Y1641" s="9"/>
      <c r="Z1641" s="9"/>
      <c r="AA1641" s="9"/>
      <c r="AB1641" s="9"/>
      <c r="AC1641" s="9"/>
      <c r="AD1641" s="9"/>
      <c r="AE1641" s="9"/>
      <c r="AF1641" s="9"/>
      <c r="AG1641" s="9"/>
      <c r="AH1641" s="9"/>
      <c r="AI1641" s="9"/>
      <c r="AJ1641" s="9"/>
      <c r="AK1641" s="9"/>
      <c r="AL1641" s="9"/>
      <c r="AM1641" s="69"/>
      <c r="AN1641" s="9"/>
      <c r="AO1641" s="69" t="s">
        <v>2150</v>
      </c>
      <c r="AP1641" s="210"/>
      <c r="AQ1641" s="211"/>
      <c r="AR1641" s="211"/>
      <c r="AS1641" s="211"/>
      <c r="AT1641" s="211"/>
      <c r="AU1641" s="211"/>
      <c r="AV1641" s="211"/>
      <c r="AW1641" s="9"/>
      <c r="AX1641" s="9"/>
      <c r="AY1641" s="9"/>
      <c r="AZ1641" s="9"/>
      <c r="BA1641" s="120"/>
      <c r="BB1641" s="69"/>
      <c r="BC1641" s="9"/>
      <c r="BD1641" s="9"/>
      <c r="BE1641" s="9"/>
      <c r="BF1641" s="9"/>
      <c r="BG1641" s="9"/>
      <c r="BH1641" s="9"/>
      <c r="BI1641" s="9"/>
      <c r="BJ1641" s="9"/>
      <c r="BK1641" s="9"/>
      <c r="BL1641" s="9"/>
      <c r="BM1641" s="9"/>
      <c r="BN1641" s="9"/>
      <c r="BO1641" s="9"/>
      <c r="BP1641" s="9"/>
      <c r="BQ1641" s="9"/>
      <c r="BR1641" s="9"/>
      <c r="BS1641" s="9"/>
      <c r="BT1641" s="9"/>
      <c r="BU1641" s="9"/>
      <c r="BV1641" s="9"/>
      <c r="BW1641" s="9"/>
      <c r="BX1641" s="9"/>
      <c r="BY1641" s="9"/>
      <c r="BZ1641" s="9"/>
      <c r="CA1641" s="9"/>
      <c r="CB1641" s="9"/>
      <c r="CC1641" s="9"/>
      <c r="CD1641" s="9"/>
      <c r="CE1641" s="9"/>
      <c r="CF1641" s="9"/>
      <c r="CG1641" s="9"/>
      <c r="CH1641" s="9"/>
      <c r="CI1641" s="9"/>
      <c r="CJ1641" s="9"/>
      <c r="CK1641" s="9"/>
      <c r="CL1641" s="9"/>
      <c r="CM1641" s="9"/>
      <c r="CN1641" s="9"/>
      <c r="CO1641" s="9"/>
      <c r="CP1641" s="9"/>
    </row>
    <row r="1642" spans="1:94" ht="15.75" x14ac:dyDescent="0.25">
      <c r="A1642" s="126" t="s">
        <v>4574</v>
      </c>
      <c r="B1642" s="9" t="s">
        <v>4553</v>
      </c>
      <c r="C1642" s="9"/>
      <c r="D1642" s="9"/>
      <c r="E1642" s="9"/>
      <c r="F1642" s="9"/>
      <c r="G1642" s="9"/>
      <c r="H1642" s="9"/>
      <c r="I1642" s="9"/>
      <c r="J1642" s="9"/>
      <c r="K1642" s="9"/>
      <c r="L1642" s="9"/>
      <c r="M1642" s="9"/>
      <c r="N1642" s="9"/>
      <c r="O1642" s="9"/>
      <c r="P1642" s="9"/>
      <c r="Q1642" s="9"/>
      <c r="R1642" s="9"/>
      <c r="S1642" s="9"/>
      <c r="T1642" s="9"/>
      <c r="U1642" s="9"/>
      <c r="V1642" s="9"/>
      <c r="W1642" s="9"/>
      <c r="X1642" s="9"/>
      <c r="Y1642" s="9"/>
      <c r="Z1642" s="9"/>
      <c r="AA1642" s="9"/>
      <c r="AB1642" s="9"/>
      <c r="AC1642" s="9"/>
      <c r="AD1642" s="9"/>
      <c r="AE1642" s="9"/>
      <c r="AF1642" s="9"/>
      <c r="AG1642" s="9"/>
      <c r="AH1642" s="9"/>
      <c r="AI1642" s="9"/>
      <c r="AJ1642" s="9"/>
      <c r="AK1642" s="9"/>
      <c r="AL1642" s="9"/>
      <c r="AM1642" s="69"/>
      <c r="AN1642" s="9"/>
      <c r="AO1642" s="69" t="s">
        <v>2150</v>
      </c>
      <c r="AP1642" s="210"/>
      <c r="AQ1642" s="211"/>
      <c r="AR1642" s="211"/>
      <c r="AS1642" s="211"/>
      <c r="AT1642" s="211"/>
      <c r="AU1642" s="211"/>
      <c r="AV1642" s="211"/>
      <c r="AW1642" s="9"/>
      <c r="AX1642" s="9"/>
      <c r="AY1642" s="9"/>
      <c r="AZ1642" s="9"/>
      <c r="BA1642" s="120"/>
      <c r="BB1642" s="69"/>
      <c r="BC1642" s="9"/>
      <c r="BD1642" s="9"/>
      <c r="BE1642" s="9"/>
      <c r="BF1642" s="9"/>
      <c r="BG1642" s="9"/>
      <c r="BH1642" s="9"/>
      <c r="BI1642" s="9"/>
      <c r="BJ1642" s="9"/>
      <c r="BK1642" s="9"/>
      <c r="BL1642" s="9"/>
      <c r="BM1642" s="9"/>
      <c r="BN1642" s="9"/>
      <c r="BO1642" s="9"/>
      <c r="BP1642" s="9"/>
      <c r="BQ1642" s="9"/>
      <c r="BR1642" s="9"/>
      <c r="BS1642" s="9"/>
      <c r="BT1642" s="9"/>
      <c r="BU1642" s="9"/>
      <c r="BV1642" s="9"/>
      <c r="BW1642" s="9"/>
      <c r="BX1642" s="9"/>
      <c r="BY1642" s="9"/>
      <c r="BZ1642" s="9"/>
      <c r="CA1642" s="9"/>
      <c r="CB1642" s="9"/>
      <c r="CC1642" s="9"/>
      <c r="CD1642" s="9"/>
      <c r="CE1642" s="9"/>
      <c r="CF1642" s="9"/>
      <c r="CG1642" s="9"/>
      <c r="CH1642" s="9"/>
      <c r="CI1642" s="9"/>
      <c r="CJ1642" s="9"/>
      <c r="CK1642" s="9"/>
      <c r="CL1642" s="9"/>
      <c r="CM1642" s="9"/>
      <c r="CN1642" s="9"/>
      <c r="CO1642" s="9"/>
      <c r="CP1642" s="9"/>
    </row>
    <row r="1643" spans="1:94" ht="15.75" x14ac:dyDescent="0.25">
      <c r="A1643" s="126" t="s">
        <v>4575</v>
      </c>
      <c r="B1643" s="9" t="s">
        <v>4576</v>
      </c>
      <c r="C1643" s="9"/>
      <c r="D1643" s="9"/>
      <c r="E1643" s="9"/>
      <c r="F1643" s="9"/>
      <c r="G1643" s="9"/>
      <c r="H1643" s="9"/>
      <c r="I1643" s="9"/>
      <c r="J1643" s="9"/>
      <c r="K1643" s="9"/>
      <c r="L1643" s="9"/>
      <c r="M1643" s="9"/>
      <c r="N1643" s="9"/>
      <c r="O1643" s="9"/>
      <c r="P1643" s="9"/>
      <c r="Q1643" s="9"/>
      <c r="R1643" s="9"/>
      <c r="S1643" s="9"/>
      <c r="T1643" s="9"/>
      <c r="U1643" s="9"/>
      <c r="V1643" s="9"/>
      <c r="W1643" s="9"/>
      <c r="X1643" s="9"/>
      <c r="Y1643" s="9"/>
      <c r="Z1643" s="9"/>
      <c r="AA1643" s="9"/>
      <c r="AB1643" s="9"/>
      <c r="AC1643" s="9"/>
      <c r="AD1643" s="9"/>
      <c r="AE1643" s="9"/>
      <c r="AF1643" s="9"/>
      <c r="AG1643" s="9"/>
      <c r="AH1643" s="9"/>
      <c r="AI1643" s="9"/>
      <c r="AJ1643" s="9"/>
      <c r="AK1643" s="9"/>
      <c r="AL1643" s="9"/>
      <c r="AM1643" s="69"/>
      <c r="AN1643" s="9"/>
      <c r="AO1643" s="69" t="s">
        <v>2150</v>
      </c>
      <c r="AP1643" s="210"/>
      <c r="AQ1643" s="211"/>
      <c r="AR1643" s="211"/>
      <c r="AS1643" s="211"/>
      <c r="AT1643" s="211"/>
      <c r="AU1643" s="211"/>
      <c r="AV1643" s="211"/>
      <c r="AW1643" s="9"/>
      <c r="AX1643" s="9"/>
      <c r="AY1643" s="9"/>
      <c r="AZ1643" s="9"/>
      <c r="BA1643" s="120"/>
      <c r="BB1643" s="69"/>
      <c r="BC1643" s="9"/>
      <c r="BD1643" s="9"/>
      <c r="BE1643" s="9"/>
      <c r="BF1643" s="9"/>
      <c r="BG1643" s="9"/>
      <c r="BH1643" s="9"/>
      <c r="BI1643" s="9"/>
      <c r="BJ1643" s="9"/>
      <c r="BK1643" s="9"/>
      <c r="BL1643" s="9"/>
      <c r="BM1643" s="9"/>
      <c r="BN1643" s="9"/>
      <c r="BO1643" s="9"/>
      <c r="BP1643" s="9"/>
      <c r="BQ1643" s="9"/>
      <c r="BR1643" s="9"/>
      <c r="BS1643" s="9"/>
      <c r="BT1643" s="9"/>
      <c r="BU1643" s="9"/>
      <c r="BV1643" s="9"/>
      <c r="BW1643" s="9"/>
      <c r="BX1643" s="9"/>
      <c r="BY1643" s="9"/>
      <c r="BZ1643" s="9"/>
      <c r="CA1643" s="9"/>
      <c r="CB1643" s="9"/>
      <c r="CC1643" s="9"/>
      <c r="CD1643" s="9"/>
      <c r="CE1643" s="9"/>
      <c r="CF1643" s="9"/>
      <c r="CG1643" s="9"/>
      <c r="CH1643" s="9"/>
      <c r="CI1643" s="9"/>
      <c r="CJ1643" s="9"/>
      <c r="CK1643" s="9"/>
      <c r="CL1643" s="9"/>
      <c r="CM1643" s="9"/>
      <c r="CN1643" s="9"/>
      <c r="CO1643" s="9"/>
      <c r="CP1643" s="9"/>
    </row>
    <row r="1644" spans="1:94" ht="15.75" x14ac:dyDescent="0.25">
      <c r="A1644" s="126" t="s">
        <v>4577</v>
      </c>
      <c r="B1644" s="9" t="s">
        <v>4578</v>
      </c>
      <c r="C1644" s="9"/>
      <c r="D1644" s="9"/>
      <c r="E1644" s="9"/>
      <c r="F1644" s="9"/>
      <c r="G1644" s="9"/>
      <c r="H1644" s="9"/>
      <c r="I1644" s="9"/>
      <c r="J1644" s="9"/>
      <c r="K1644" s="9"/>
      <c r="L1644" s="9"/>
      <c r="M1644" s="9"/>
      <c r="N1644" s="9"/>
      <c r="O1644" s="9"/>
      <c r="P1644" s="9"/>
      <c r="Q1644" s="9"/>
      <c r="R1644" s="9"/>
      <c r="S1644" s="9"/>
      <c r="T1644" s="9"/>
      <c r="U1644" s="9"/>
      <c r="V1644" s="9"/>
      <c r="W1644" s="9"/>
      <c r="X1644" s="9"/>
      <c r="Y1644" s="9"/>
      <c r="Z1644" s="9"/>
      <c r="AA1644" s="9"/>
      <c r="AB1644" s="9"/>
      <c r="AC1644" s="9"/>
      <c r="AD1644" s="9"/>
      <c r="AE1644" s="9"/>
      <c r="AF1644" s="9"/>
      <c r="AG1644" s="9"/>
      <c r="AH1644" s="9"/>
      <c r="AI1644" s="9"/>
      <c r="AJ1644" s="9"/>
      <c r="AK1644" s="9"/>
      <c r="AL1644" s="9"/>
      <c r="AM1644" s="69"/>
      <c r="AN1644" s="9"/>
      <c r="AO1644" s="69" t="s">
        <v>4434</v>
      </c>
      <c r="AP1644" s="210"/>
      <c r="AQ1644" s="211"/>
      <c r="AR1644" s="211"/>
      <c r="AS1644" s="211"/>
      <c r="AT1644" s="211"/>
      <c r="AU1644" s="211"/>
      <c r="AV1644" s="211"/>
      <c r="AW1644" s="9"/>
      <c r="AX1644" s="9"/>
      <c r="AY1644" s="9"/>
      <c r="AZ1644" s="9"/>
      <c r="BA1644" s="120"/>
      <c r="BB1644" s="69"/>
      <c r="BC1644" s="9"/>
      <c r="BD1644" s="9"/>
      <c r="BE1644" s="9"/>
      <c r="BF1644" s="9"/>
      <c r="BG1644" s="9"/>
      <c r="BH1644" s="9"/>
      <c r="BI1644" s="9"/>
      <c r="BJ1644" s="9"/>
      <c r="BK1644" s="9"/>
      <c r="BL1644" s="9"/>
      <c r="BM1644" s="9"/>
      <c r="BN1644" s="9"/>
      <c r="BO1644" s="9"/>
      <c r="BP1644" s="9"/>
      <c r="BQ1644" s="9"/>
      <c r="BR1644" s="9"/>
      <c r="BS1644" s="9"/>
      <c r="BT1644" s="9"/>
      <c r="BU1644" s="9"/>
      <c r="BV1644" s="9"/>
      <c r="BW1644" s="9"/>
      <c r="BX1644" s="9"/>
      <c r="BY1644" s="9"/>
      <c r="BZ1644" s="9"/>
      <c r="CA1644" s="9"/>
      <c r="CB1644" s="9"/>
      <c r="CC1644" s="9"/>
      <c r="CD1644" s="9"/>
      <c r="CE1644" s="9"/>
      <c r="CF1644" s="9"/>
      <c r="CG1644" s="9"/>
      <c r="CH1644" s="9"/>
      <c r="CI1644" s="9"/>
      <c r="CJ1644" s="9"/>
      <c r="CK1644" s="9"/>
      <c r="CL1644" s="9"/>
      <c r="CM1644" s="9"/>
      <c r="CN1644" s="9"/>
      <c r="CO1644" s="9"/>
      <c r="CP1644" s="9"/>
    </row>
    <row r="1645" spans="1:94" ht="15.75" x14ac:dyDescent="0.25">
      <c r="A1645" s="270" t="s">
        <v>4579</v>
      </c>
      <c r="B1645" s="9" t="s">
        <v>4580</v>
      </c>
      <c r="C1645" s="9"/>
      <c r="D1645" s="9"/>
      <c r="E1645" s="9"/>
      <c r="F1645" s="9"/>
      <c r="G1645" s="9"/>
      <c r="H1645" s="9"/>
      <c r="I1645" s="9"/>
      <c r="J1645" s="9"/>
      <c r="K1645" s="9"/>
      <c r="L1645" s="9"/>
      <c r="M1645" s="9"/>
      <c r="N1645" s="9"/>
      <c r="O1645" s="9"/>
      <c r="P1645" s="9"/>
      <c r="Q1645" s="9"/>
      <c r="R1645" s="9"/>
      <c r="S1645" s="9"/>
      <c r="T1645" s="9"/>
      <c r="U1645" s="9"/>
      <c r="V1645" s="9"/>
      <c r="W1645" s="9"/>
      <c r="X1645" s="9"/>
      <c r="Y1645" s="9"/>
      <c r="Z1645" s="9"/>
      <c r="AA1645" s="9"/>
      <c r="AB1645" s="9"/>
      <c r="AC1645" s="9"/>
      <c r="AD1645" s="9"/>
      <c r="AE1645" s="9"/>
      <c r="AF1645" s="9"/>
      <c r="AG1645" s="9"/>
      <c r="AH1645" s="9"/>
      <c r="AI1645" s="9"/>
      <c r="AJ1645" s="9"/>
      <c r="AK1645" s="9"/>
      <c r="AL1645" s="9"/>
      <c r="AM1645" s="69"/>
      <c r="AN1645" s="9"/>
      <c r="AO1645" s="69" t="s">
        <v>4434</v>
      </c>
      <c r="AP1645" s="210"/>
      <c r="AQ1645" s="211"/>
      <c r="AR1645" s="211"/>
      <c r="AS1645" s="211"/>
      <c r="AT1645" s="211"/>
      <c r="AU1645" s="211"/>
      <c r="AV1645" s="211"/>
      <c r="AW1645" s="9"/>
      <c r="AX1645" s="9"/>
      <c r="AY1645" s="9"/>
      <c r="AZ1645" s="9"/>
      <c r="BA1645" s="120"/>
      <c r="BB1645" s="69"/>
      <c r="BC1645" s="9"/>
      <c r="BD1645" s="9"/>
      <c r="BE1645" s="9"/>
      <c r="BF1645" s="9"/>
      <c r="BG1645" s="9"/>
      <c r="BH1645" s="9"/>
      <c r="BI1645" s="9"/>
      <c r="BJ1645" s="9"/>
      <c r="BK1645" s="9"/>
      <c r="BL1645" s="9"/>
      <c r="BM1645" s="9"/>
      <c r="BN1645" s="9"/>
      <c r="BO1645" s="9"/>
      <c r="BP1645" s="9"/>
      <c r="BQ1645" s="9"/>
      <c r="BR1645" s="9"/>
      <c r="BS1645" s="9"/>
      <c r="BT1645" s="9"/>
      <c r="BU1645" s="9"/>
      <c r="BV1645" s="9"/>
      <c r="BW1645" s="9"/>
      <c r="BX1645" s="9"/>
      <c r="BY1645" s="9"/>
      <c r="BZ1645" s="9"/>
      <c r="CA1645" s="9"/>
      <c r="CB1645" s="9"/>
      <c r="CC1645" s="9"/>
      <c r="CD1645" s="9"/>
      <c r="CE1645" s="9"/>
      <c r="CF1645" s="9"/>
      <c r="CG1645" s="9"/>
      <c r="CH1645" s="9"/>
      <c r="CI1645" s="9"/>
      <c r="CJ1645" s="9"/>
      <c r="CK1645" s="9"/>
      <c r="CL1645" s="9"/>
      <c r="CM1645" s="9"/>
      <c r="CN1645" s="9"/>
      <c r="CO1645" s="9"/>
      <c r="CP1645" s="9"/>
    </row>
    <row r="1646" spans="1:94" ht="15.75" x14ac:dyDescent="0.25">
      <c r="A1646" s="126" t="s">
        <v>4581</v>
      </c>
      <c r="B1646" s="62" t="s">
        <v>4582</v>
      </c>
      <c r="C1646" s="9"/>
      <c r="D1646" s="9"/>
      <c r="E1646" s="9"/>
      <c r="F1646" s="9"/>
      <c r="G1646" s="9"/>
      <c r="H1646" s="9"/>
      <c r="I1646" s="9"/>
      <c r="J1646" s="9"/>
      <c r="K1646" s="9"/>
      <c r="L1646" s="9"/>
      <c r="M1646" s="9"/>
      <c r="N1646" s="9"/>
      <c r="O1646" s="9"/>
      <c r="P1646" s="9"/>
      <c r="Q1646" s="9"/>
      <c r="R1646" s="9"/>
      <c r="S1646" s="9"/>
      <c r="T1646" s="9"/>
      <c r="U1646" s="9"/>
      <c r="V1646" s="9"/>
      <c r="W1646" s="9"/>
      <c r="X1646" s="9"/>
      <c r="Y1646" s="9"/>
      <c r="Z1646" s="9"/>
      <c r="AA1646" s="9"/>
      <c r="AB1646" s="9"/>
      <c r="AC1646" s="9"/>
      <c r="AD1646" s="9"/>
      <c r="AE1646" s="9"/>
      <c r="AF1646" s="9"/>
      <c r="AG1646" s="9"/>
      <c r="AH1646" s="9"/>
      <c r="AI1646" s="9"/>
      <c r="AJ1646" s="9"/>
      <c r="AK1646" s="9"/>
      <c r="AL1646" s="9"/>
      <c r="AM1646" s="69"/>
      <c r="AN1646" s="9"/>
      <c r="AO1646" s="69" t="s">
        <v>1977</v>
      </c>
      <c r="AP1646" s="210"/>
      <c r="AQ1646" s="211"/>
      <c r="AR1646" s="211"/>
      <c r="AS1646" s="211"/>
      <c r="AT1646" s="211"/>
      <c r="AU1646" s="211"/>
      <c r="AV1646" s="211"/>
      <c r="AW1646" s="9"/>
      <c r="AX1646" s="9"/>
      <c r="AY1646" s="9"/>
      <c r="AZ1646" s="9"/>
      <c r="BA1646" s="120"/>
      <c r="BB1646" s="69"/>
      <c r="BC1646" s="9"/>
      <c r="BD1646" s="9"/>
      <c r="BE1646" s="9"/>
      <c r="BF1646" s="9"/>
      <c r="BG1646" s="9"/>
      <c r="BH1646" s="9"/>
      <c r="BI1646" s="9"/>
      <c r="BJ1646" s="9"/>
      <c r="BK1646" s="9"/>
      <c r="BL1646" s="9"/>
      <c r="BM1646" s="9"/>
      <c r="BN1646" s="9"/>
      <c r="BO1646" s="9"/>
      <c r="BP1646" s="9"/>
      <c r="BQ1646" s="9"/>
      <c r="BR1646" s="9"/>
      <c r="BS1646" s="9"/>
      <c r="BT1646" s="9"/>
      <c r="BU1646" s="9"/>
      <c r="BV1646" s="9"/>
      <c r="BW1646" s="9"/>
      <c r="BX1646" s="9"/>
      <c r="BY1646" s="9"/>
      <c r="BZ1646" s="9"/>
      <c r="CA1646" s="9"/>
      <c r="CB1646" s="9"/>
      <c r="CC1646" s="9"/>
      <c r="CD1646" s="9"/>
      <c r="CE1646" s="9"/>
      <c r="CF1646" s="9"/>
      <c r="CG1646" s="9"/>
      <c r="CH1646" s="9"/>
      <c r="CI1646" s="9"/>
      <c r="CJ1646" s="9"/>
      <c r="CK1646" s="9"/>
      <c r="CL1646" s="9"/>
      <c r="CM1646" s="9"/>
      <c r="CN1646" s="9"/>
      <c r="CO1646" s="9"/>
      <c r="CP1646" s="9"/>
    </row>
    <row r="1647" spans="1:94" ht="15.75" x14ac:dyDescent="0.25">
      <c r="A1647" s="126" t="s">
        <v>4583</v>
      </c>
      <c r="B1647" s="62" t="s">
        <v>4584</v>
      </c>
      <c r="C1647" s="9"/>
      <c r="D1647" s="9"/>
      <c r="E1647" s="9"/>
      <c r="F1647" s="9"/>
      <c r="G1647" s="9"/>
      <c r="H1647" s="9"/>
      <c r="I1647" s="9"/>
      <c r="J1647" s="9"/>
      <c r="K1647" s="9"/>
      <c r="L1647" s="9"/>
      <c r="M1647" s="9"/>
      <c r="N1647" s="9"/>
      <c r="O1647" s="9"/>
      <c r="P1647" s="9"/>
      <c r="Q1647" s="9"/>
      <c r="R1647" s="9"/>
      <c r="S1647" s="9"/>
      <c r="T1647" s="9"/>
      <c r="U1647" s="9"/>
      <c r="V1647" s="9"/>
      <c r="W1647" s="9"/>
      <c r="X1647" s="9"/>
      <c r="Y1647" s="9"/>
      <c r="Z1647" s="9"/>
      <c r="AA1647" s="9"/>
      <c r="AB1647" s="9"/>
      <c r="AC1647" s="9"/>
      <c r="AD1647" s="9"/>
      <c r="AE1647" s="9"/>
      <c r="AF1647" s="9"/>
      <c r="AG1647" s="9"/>
      <c r="AH1647" s="9"/>
      <c r="AI1647" s="9"/>
      <c r="AJ1647" s="9"/>
      <c r="AK1647" s="9"/>
      <c r="AL1647" s="9"/>
      <c r="AM1647" s="69"/>
      <c r="AN1647" s="9"/>
      <c r="AO1647" s="69" t="s">
        <v>1977</v>
      </c>
      <c r="AP1647" s="210"/>
      <c r="AQ1647" s="211"/>
      <c r="AR1647" s="211"/>
      <c r="AS1647" s="211"/>
      <c r="AT1647" s="211"/>
      <c r="AU1647" s="211"/>
      <c r="AV1647" s="211"/>
      <c r="AW1647" s="9"/>
      <c r="AX1647" s="9"/>
      <c r="AY1647" s="9"/>
      <c r="AZ1647" s="9"/>
      <c r="BA1647" s="120"/>
      <c r="BB1647" s="69"/>
      <c r="BC1647" s="9"/>
      <c r="BD1647" s="9"/>
      <c r="BE1647" s="9"/>
      <c r="BF1647" s="9"/>
      <c r="BG1647" s="9"/>
      <c r="BH1647" s="9"/>
      <c r="BI1647" s="9"/>
      <c r="BJ1647" s="9"/>
      <c r="BK1647" s="9"/>
      <c r="BL1647" s="9"/>
      <c r="BM1647" s="9"/>
      <c r="BN1647" s="9"/>
      <c r="BO1647" s="9"/>
      <c r="BP1647" s="9"/>
      <c r="BQ1647" s="9"/>
      <c r="BR1647" s="9"/>
      <c r="BS1647" s="9"/>
      <c r="BT1647" s="9"/>
      <c r="BU1647" s="9"/>
      <c r="BV1647" s="9"/>
      <c r="BW1647" s="9"/>
      <c r="BX1647" s="9"/>
      <c r="BY1647" s="9"/>
      <c r="BZ1647" s="9"/>
      <c r="CA1647" s="9"/>
      <c r="CB1647" s="9"/>
      <c r="CC1647" s="9"/>
      <c r="CD1647" s="9"/>
      <c r="CE1647" s="9"/>
      <c r="CF1647" s="9"/>
      <c r="CG1647" s="9"/>
      <c r="CH1647" s="9"/>
      <c r="CI1647" s="9"/>
      <c r="CJ1647" s="9"/>
      <c r="CK1647" s="9"/>
      <c r="CL1647" s="9"/>
      <c r="CM1647" s="9"/>
      <c r="CN1647" s="9"/>
      <c r="CO1647" s="9"/>
      <c r="CP1647" s="9"/>
    </row>
    <row r="1648" spans="1:94" ht="15.75" x14ac:dyDescent="0.25">
      <c r="A1648" s="271" t="s">
        <v>4585</v>
      </c>
      <c r="B1648" s="9" t="s">
        <v>4586</v>
      </c>
      <c r="C1648" s="9"/>
      <c r="D1648" s="9"/>
      <c r="E1648" s="9"/>
      <c r="F1648" s="9"/>
      <c r="G1648" s="9"/>
      <c r="H1648" s="9"/>
      <c r="I1648" s="9"/>
      <c r="J1648" s="9"/>
      <c r="K1648" s="9"/>
      <c r="L1648" s="9"/>
      <c r="M1648" s="9"/>
      <c r="N1648" s="9"/>
      <c r="O1648" s="9"/>
      <c r="P1648" s="9"/>
      <c r="Q1648" s="9"/>
      <c r="R1648" s="9"/>
      <c r="S1648" s="9"/>
      <c r="T1648" s="9"/>
      <c r="U1648" s="9"/>
      <c r="V1648" s="9"/>
      <c r="W1648" s="9"/>
      <c r="X1648" s="9"/>
      <c r="Y1648" s="9"/>
      <c r="Z1648" s="9"/>
      <c r="AA1648" s="9"/>
      <c r="AB1648" s="9"/>
      <c r="AC1648" s="9"/>
      <c r="AD1648" s="9"/>
      <c r="AE1648" s="9"/>
      <c r="AF1648" s="9"/>
      <c r="AG1648" s="9"/>
      <c r="AH1648" s="9"/>
      <c r="AI1648" s="9"/>
      <c r="AJ1648" s="9"/>
      <c r="AK1648" s="9"/>
      <c r="AL1648" s="9"/>
      <c r="AM1648" s="69"/>
      <c r="AN1648" s="9"/>
      <c r="AO1648" s="69" t="s">
        <v>4434</v>
      </c>
      <c r="AP1648" s="210"/>
      <c r="AQ1648" s="211"/>
      <c r="AR1648" s="211"/>
      <c r="AS1648" s="211"/>
      <c r="AT1648" s="211"/>
      <c r="AU1648" s="211"/>
      <c r="AV1648" s="211"/>
      <c r="AW1648" s="9"/>
      <c r="AX1648" s="9"/>
      <c r="AY1648" s="9"/>
      <c r="AZ1648" s="9"/>
      <c r="BA1648" s="120"/>
      <c r="BB1648" s="69"/>
      <c r="BC1648" s="9"/>
      <c r="BD1648" s="9"/>
      <c r="BE1648" s="9"/>
      <c r="BF1648" s="9"/>
      <c r="BG1648" s="9"/>
      <c r="BH1648" s="9"/>
      <c r="BI1648" s="9"/>
      <c r="BJ1648" s="9"/>
      <c r="BK1648" s="9"/>
      <c r="BL1648" s="9"/>
      <c r="BM1648" s="9"/>
      <c r="BN1648" s="9"/>
      <c r="BO1648" s="9"/>
      <c r="BP1648" s="9"/>
      <c r="BQ1648" s="9"/>
      <c r="BR1648" s="9"/>
      <c r="BS1648" s="9"/>
      <c r="BT1648" s="9"/>
      <c r="BU1648" s="9"/>
      <c r="BV1648" s="9"/>
      <c r="BW1648" s="9"/>
      <c r="BX1648" s="9"/>
      <c r="BY1648" s="9"/>
      <c r="BZ1648" s="9"/>
      <c r="CA1648" s="9"/>
      <c r="CB1648" s="9"/>
      <c r="CC1648" s="9"/>
      <c r="CD1648" s="9"/>
      <c r="CE1648" s="9"/>
      <c r="CF1648" s="9"/>
      <c r="CG1648" s="9"/>
      <c r="CH1648" s="9"/>
      <c r="CI1648" s="9"/>
      <c r="CJ1648" s="9"/>
      <c r="CK1648" s="9"/>
      <c r="CL1648" s="9"/>
      <c r="CM1648" s="9"/>
      <c r="CN1648" s="9"/>
      <c r="CO1648" s="9"/>
      <c r="CP1648" s="9"/>
    </row>
    <row r="1649" spans="1:94" ht="15.75" x14ac:dyDescent="0.25">
      <c r="A1649" s="126" t="s">
        <v>4587</v>
      </c>
      <c r="B1649" s="9" t="s">
        <v>4588</v>
      </c>
      <c r="C1649" s="9"/>
      <c r="D1649" s="9"/>
      <c r="E1649" s="9"/>
      <c r="F1649" s="9"/>
      <c r="G1649" s="9"/>
      <c r="H1649" s="9"/>
      <c r="I1649" s="9"/>
      <c r="J1649" s="9"/>
      <c r="K1649" s="9"/>
      <c r="L1649" s="9"/>
      <c r="M1649" s="9"/>
      <c r="N1649" s="9"/>
      <c r="O1649" s="9"/>
      <c r="P1649" s="9"/>
      <c r="Q1649" s="9"/>
      <c r="R1649" s="9"/>
      <c r="S1649" s="9"/>
      <c r="T1649" s="9"/>
      <c r="U1649" s="9"/>
      <c r="V1649" s="9"/>
      <c r="W1649" s="9"/>
      <c r="X1649" s="9"/>
      <c r="Y1649" s="9"/>
      <c r="Z1649" s="9"/>
      <c r="AA1649" s="9"/>
      <c r="AB1649" s="9"/>
      <c r="AC1649" s="9"/>
      <c r="AD1649" s="9"/>
      <c r="AE1649" s="9"/>
      <c r="AF1649" s="9"/>
      <c r="AG1649" s="9"/>
      <c r="AH1649" s="9"/>
      <c r="AI1649" s="9"/>
      <c r="AJ1649" s="9"/>
      <c r="AK1649" s="9"/>
      <c r="AL1649" s="9"/>
      <c r="AM1649" s="69"/>
      <c r="AN1649" s="9"/>
      <c r="AO1649" s="69" t="s">
        <v>4434</v>
      </c>
      <c r="AP1649" s="210"/>
      <c r="AQ1649" s="211"/>
      <c r="AR1649" s="211"/>
      <c r="AS1649" s="211"/>
      <c r="AT1649" s="211"/>
      <c r="AU1649" s="211"/>
      <c r="AV1649" s="211"/>
      <c r="AW1649" s="9"/>
      <c r="AX1649" s="9"/>
      <c r="AY1649" s="9"/>
      <c r="AZ1649" s="9"/>
      <c r="BA1649" s="120"/>
      <c r="BB1649" s="69"/>
      <c r="BC1649" s="9"/>
      <c r="BD1649" s="9"/>
      <c r="BE1649" s="9"/>
      <c r="BF1649" s="9"/>
      <c r="BG1649" s="9"/>
      <c r="BH1649" s="9"/>
      <c r="BI1649" s="9"/>
      <c r="BJ1649" s="9"/>
      <c r="BK1649" s="9"/>
      <c r="BL1649" s="9"/>
      <c r="BM1649" s="9"/>
      <c r="BN1649" s="9"/>
      <c r="BO1649" s="9"/>
      <c r="BP1649" s="9"/>
      <c r="BQ1649" s="9"/>
      <c r="BR1649" s="9"/>
      <c r="BS1649" s="9"/>
      <c r="BT1649" s="9"/>
      <c r="BU1649" s="9"/>
      <c r="BV1649" s="9"/>
      <c r="BW1649" s="9"/>
      <c r="BX1649" s="9"/>
      <c r="BY1649" s="9"/>
      <c r="BZ1649" s="9"/>
      <c r="CA1649" s="9"/>
      <c r="CB1649" s="9"/>
      <c r="CC1649" s="9"/>
      <c r="CD1649" s="9"/>
      <c r="CE1649" s="9"/>
      <c r="CF1649" s="9"/>
      <c r="CG1649" s="9"/>
      <c r="CH1649" s="9"/>
      <c r="CI1649" s="9"/>
      <c r="CJ1649" s="9"/>
      <c r="CK1649" s="9"/>
      <c r="CL1649" s="9"/>
      <c r="CM1649" s="9"/>
      <c r="CN1649" s="9"/>
      <c r="CO1649" s="9"/>
      <c r="CP1649" s="9"/>
    </row>
    <row r="1650" spans="1:94" x14ac:dyDescent="0.25">
      <c r="A1650" s="9" t="s">
        <v>4589</v>
      </c>
      <c r="B1650" s="9" t="s">
        <v>4590</v>
      </c>
      <c r="C1650" s="9"/>
      <c r="D1650" s="9"/>
      <c r="E1650" s="9"/>
      <c r="F1650" s="9"/>
      <c r="G1650" s="9"/>
      <c r="H1650" s="9"/>
      <c r="I1650" s="9"/>
      <c r="J1650" s="9"/>
      <c r="K1650" s="9"/>
      <c r="L1650" s="9"/>
      <c r="M1650" s="9"/>
      <c r="N1650" s="9"/>
      <c r="O1650" s="9"/>
      <c r="P1650" s="9"/>
      <c r="Q1650" s="9"/>
      <c r="R1650" s="9"/>
      <c r="S1650" s="9"/>
      <c r="T1650" s="9"/>
      <c r="U1650" s="9"/>
      <c r="V1650" s="9"/>
      <c r="W1650" s="9"/>
      <c r="X1650" s="9"/>
      <c r="Y1650" s="9"/>
      <c r="Z1650" s="9"/>
      <c r="AA1650" s="9"/>
      <c r="AB1650" s="9"/>
      <c r="AC1650" s="9"/>
      <c r="AD1650" s="9"/>
      <c r="AE1650" s="9"/>
      <c r="AF1650" s="9"/>
      <c r="AG1650" s="9"/>
      <c r="AH1650" s="9"/>
      <c r="AI1650" s="9"/>
      <c r="AJ1650" s="9"/>
      <c r="AK1650" s="9"/>
      <c r="AL1650" s="9"/>
      <c r="AM1650" s="69"/>
      <c r="AN1650" s="9"/>
      <c r="AO1650" s="69" t="s">
        <v>4591</v>
      </c>
      <c r="AP1650" s="210"/>
      <c r="AQ1650" s="211"/>
      <c r="AR1650" s="211"/>
      <c r="AS1650" s="211"/>
      <c r="AT1650" s="211"/>
      <c r="AU1650" s="211"/>
      <c r="AV1650" s="211"/>
      <c r="AW1650" s="9"/>
      <c r="AX1650" s="9"/>
      <c r="AY1650" s="9"/>
      <c r="AZ1650" s="9"/>
      <c r="BA1650" s="120"/>
      <c r="BB1650" s="69"/>
      <c r="BC1650" s="9"/>
      <c r="BD1650" s="9"/>
      <c r="BE1650" s="9"/>
      <c r="BF1650" s="9"/>
      <c r="BG1650" s="9"/>
      <c r="BH1650" s="9"/>
      <c r="BI1650" s="9"/>
      <c r="BJ1650" s="9"/>
      <c r="BK1650" s="9"/>
      <c r="BL1650" s="9"/>
      <c r="BM1650" s="9"/>
      <c r="BN1650" s="9"/>
      <c r="BO1650" s="9"/>
      <c r="BP1650" s="9"/>
      <c r="BQ1650" s="9"/>
      <c r="BR1650" s="9"/>
      <c r="BS1650" s="9"/>
      <c r="BT1650" s="9"/>
      <c r="BU1650" s="9"/>
      <c r="BV1650" s="9"/>
      <c r="BW1650" s="9"/>
      <c r="BX1650" s="9"/>
      <c r="BY1650" s="9"/>
      <c r="BZ1650" s="9"/>
      <c r="CA1650" s="9"/>
      <c r="CB1650" s="9"/>
      <c r="CC1650" s="9"/>
      <c r="CD1650" s="9"/>
      <c r="CE1650" s="9"/>
      <c r="CF1650" s="9"/>
      <c r="CG1650" s="9"/>
      <c r="CH1650" s="9"/>
      <c r="CI1650" s="9"/>
      <c r="CJ1650" s="9"/>
      <c r="CK1650" s="9"/>
      <c r="CL1650" s="9"/>
      <c r="CM1650" s="9"/>
      <c r="CN1650" s="9"/>
      <c r="CO1650" s="9"/>
      <c r="CP1650" s="9"/>
    </row>
    <row r="1651" spans="1:94" x14ac:dyDescent="0.25">
      <c r="A1651" s="9" t="s">
        <v>4592</v>
      </c>
      <c r="B1651" s="9" t="s">
        <v>4593</v>
      </c>
      <c r="C1651" s="9"/>
      <c r="D1651" s="9"/>
      <c r="E1651" s="9"/>
      <c r="F1651" s="9"/>
      <c r="G1651" s="9"/>
      <c r="H1651" s="9"/>
      <c r="I1651" s="9"/>
      <c r="J1651" s="9"/>
      <c r="K1651" s="9"/>
      <c r="L1651" s="9"/>
      <c r="M1651" s="9"/>
      <c r="N1651" s="9"/>
      <c r="O1651" s="9"/>
      <c r="P1651" s="9"/>
      <c r="Q1651" s="9"/>
      <c r="R1651" s="9"/>
      <c r="S1651" s="9"/>
      <c r="T1651" s="9"/>
      <c r="U1651" s="9"/>
      <c r="V1651" s="9"/>
      <c r="W1651" s="9"/>
      <c r="X1651" s="9"/>
      <c r="Y1651" s="9"/>
      <c r="Z1651" s="9"/>
      <c r="AA1651" s="9"/>
      <c r="AB1651" s="9"/>
      <c r="AC1651" s="9"/>
      <c r="AD1651" s="9"/>
      <c r="AE1651" s="9"/>
      <c r="AF1651" s="9"/>
      <c r="AG1651" s="9"/>
      <c r="AH1651" s="9"/>
      <c r="AI1651" s="9"/>
      <c r="AJ1651" s="9"/>
      <c r="AK1651" s="9"/>
      <c r="AL1651" s="9"/>
      <c r="AM1651" s="69"/>
      <c r="AN1651" s="9"/>
      <c r="AO1651" s="69" t="s">
        <v>4591</v>
      </c>
      <c r="AP1651" s="210"/>
      <c r="AQ1651" s="211"/>
      <c r="AR1651" s="211"/>
      <c r="AS1651" s="211"/>
      <c r="AT1651" s="211"/>
      <c r="AU1651" s="211"/>
      <c r="AV1651" s="211"/>
      <c r="AW1651" s="9"/>
      <c r="AX1651" s="9"/>
      <c r="AY1651" s="9"/>
      <c r="AZ1651" s="9"/>
      <c r="BA1651" s="120"/>
      <c r="BB1651" s="69"/>
      <c r="BC1651" s="9"/>
      <c r="BD1651" s="9"/>
      <c r="BE1651" s="9"/>
      <c r="BF1651" s="9"/>
      <c r="BG1651" s="9"/>
      <c r="BH1651" s="9"/>
      <c r="BI1651" s="9"/>
      <c r="BJ1651" s="9"/>
      <c r="BK1651" s="9"/>
      <c r="BL1651" s="9"/>
      <c r="BM1651" s="9"/>
      <c r="BN1651" s="9"/>
      <c r="BO1651" s="9"/>
      <c r="BP1651" s="9"/>
      <c r="BQ1651" s="9"/>
      <c r="BR1651" s="9"/>
      <c r="BS1651" s="9"/>
      <c r="BT1651" s="9"/>
      <c r="BU1651" s="9"/>
      <c r="BV1651" s="9"/>
      <c r="BW1651" s="9"/>
      <c r="BX1651" s="9"/>
      <c r="BY1651" s="9"/>
      <c r="BZ1651" s="9"/>
      <c r="CA1651" s="9"/>
      <c r="CB1651" s="9"/>
      <c r="CC1651" s="9"/>
      <c r="CD1651" s="9"/>
      <c r="CE1651" s="9"/>
      <c r="CF1651" s="9"/>
      <c r="CG1651" s="9"/>
      <c r="CH1651" s="9"/>
      <c r="CI1651" s="9"/>
      <c r="CJ1651" s="9"/>
      <c r="CK1651" s="9"/>
      <c r="CL1651" s="9"/>
      <c r="CM1651" s="9"/>
      <c r="CN1651" s="9"/>
      <c r="CO1651" s="9"/>
      <c r="CP1651" s="9"/>
    </row>
    <row r="1652" spans="1:94" x14ac:dyDescent="0.25">
      <c r="A1652" s="9" t="s">
        <v>4594</v>
      </c>
      <c r="B1652" s="9" t="s">
        <v>4595</v>
      </c>
      <c r="C1652" s="9"/>
      <c r="D1652" s="9"/>
      <c r="E1652" s="9"/>
      <c r="F1652" s="9"/>
      <c r="G1652" s="9"/>
      <c r="H1652" s="9"/>
      <c r="I1652" s="9"/>
      <c r="J1652" s="9"/>
      <c r="K1652" s="9"/>
      <c r="L1652" s="9"/>
      <c r="M1652" s="9"/>
      <c r="N1652" s="9"/>
      <c r="O1652" s="9"/>
      <c r="P1652" s="9"/>
      <c r="Q1652" s="9"/>
      <c r="R1652" s="9"/>
      <c r="S1652" s="9"/>
      <c r="T1652" s="9"/>
      <c r="U1652" s="9"/>
      <c r="V1652" s="9"/>
      <c r="W1652" s="9"/>
      <c r="X1652" s="9"/>
      <c r="Y1652" s="9"/>
      <c r="Z1652" s="9"/>
      <c r="AA1652" s="9"/>
      <c r="AB1652" s="9"/>
      <c r="AC1652" s="9"/>
      <c r="AD1652" s="9"/>
      <c r="AE1652" s="9"/>
      <c r="AF1652" s="9"/>
      <c r="AG1652" s="9"/>
      <c r="AH1652" s="9"/>
      <c r="AI1652" s="9"/>
      <c r="AJ1652" s="9"/>
      <c r="AK1652" s="9"/>
      <c r="AL1652" s="9"/>
      <c r="AM1652" s="69"/>
      <c r="AN1652" s="9"/>
      <c r="AO1652" s="69" t="s">
        <v>4591</v>
      </c>
      <c r="AP1652" s="210"/>
      <c r="AQ1652" s="211"/>
      <c r="AR1652" s="211"/>
      <c r="AS1652" s="211"/>
      <c r="AT1652" s="211"/>
      <c r="AU1652" s="211"/>
      <c r="AV1652" s="211"/>
      <c r="AW1652" s="9"/>
      <c r="AX1652" s="9"/>
      <c r="AY1652" s="9"/>
      <c r="AZ1652" s="9"/>
      <c r="BA1652" s="120"/>
      <c r="BB1652" s="69"/>
      <c r="BC1652" s="9"/>
      <c r="BD1652" s="9"/>
      <c r="BE1652" s="9"/>
      <c r="BF1652" s="9"/>
      <c r="BG1652" s="9"/>
      <c r="BH1652" s="9"/>
      <c r="BI1652" s="9"/>
      <c r="BJ1652" s="9"/>
      <c r="BK1652" s="9"/>
      <c r="BL1652" s="9"/>
      <c r="BM1652" s="9"/>
      <c r="BN1652" s="9"/>
      <c r="BO1652" s="9"/>
      <c r="BP1652" s="9"/>
      <c r="BQ1652" s="9"/>
      <c r="BR1652" s="9"/>
      <c r="BS1652" s="9"/>
      <c r="BT1652" s="9"/>
      <c r="BU1652" s="9"/>
      <c r="BV1652" s="9"/>
      <c r="BW1652" s="9"/>
      <c r="BX1652" s="9"/>
      <c r="BY1652" s="9"/>
      <c r="BZ1652" s="9"/>
      <c r="CA1652" s="9"/>
      <c r="CB1652" s="9"/>
      <c r="CC1652" s="9"/>
      <c r="CD1652" s="9"/>
      <c r="CE1652" s="9"/>
      <c r="CF1652" s="9"/>
      <c r="CG1652" s="9"/>
      <c r="CH1652" s="9"/>
      <c r="CI1652" s="9"/>
      <c r="CJ1652" s="9"/>
      <c r="CK1652" s="9"/>
      <c r="CL1652" s="9"/>
      <c r="CM1652" s="9"/>
      <c r="CN1652" s="9"/>
      <c r="CO1652" s="9"/>
      <c r="CP1652" s="9"/>
    </row>
    <row r="1653" spans="1:94" x14ac:dyDescent="0.25">
      <c r="A1653" s="9" t="s">
        <v>4596</v>
      </c>
      <c r="B1653" s="9" t="s">
        <v>4597</v>
      </c>
      <c r="C1653" s="9"/>
      <c r="D1653" s="9"/>
      <c r="E1653" s="9"/>
      <c r="F1653" s="9"/>
      <c r="G1653" s="9"/>
      <c r="H1653" s="9"/>
      <c r="I1653" s="9"/>
      <c r="J1653" s="9"/>
      <c r="K1653" s="9"/>
      <c r="L1653" s="9"/>
      <c r="M1653" s="9"/>
      <c r="N1653" s="9"/>
      <c r="O1653" s="9"/>
      <c r="P1653" s="9"/>
      <c r="Q1653" s="9"/>
      <c r="R1653" s="9"/>
      <c r="S1653" s="9"/>
      <c r="T1653" s="9"/>
      <c r="U1653" s="9"/>
      <c r="V1653" s="9"/>
      <c r="W1653" s="9"/>
      <c r="X1653" s="9"/>
      <c r="Y1653" s="9"/>
      <c r="Z1653" s="9"/>
      <c r="AA1653" s="9"/>
      <c r="AB1653" s="9"/>
      <c r="AC1653" s="9"/>
      <c r="AD1653" s="9"/>
      <c r="AE1653" s="9"/>
      <c r="AF1653" s="9"/>
      <c r="AG1653" s="9"/>
      <c r="AH1653" s="9"/>
      <c r="AI1653" s="9"/>
      <c r="AJ1653" s="9"/>
      <c r="AK1653" s="9"/>
      <c r="AL1653" s="9"/>
      <c r="AM1653" s="69"/>
      <c r="AN1653" s="9"/>
      <c r="AO1653" s="69" t="s">
        <v>4591</v>
      </c>
      <c r="AP1653" s="210"/>
      <c r="AQ1653" s="211"/>
      <c r="AR1653" s="211"/>
      <c r="AS1653" s="211"/>
      <c r="AT1653" s="211"/>
      <c r="AU1653" s="211"/>
      <c r="AV1653" s="211"/>
      <c r="AW1653" s="9"/>
      <c r="AX1653" s="9"/>
      <c r="AY1653" s="9"/>
      <c r="AZ1653" s="9"/>
      <c r="BA1653" s="120"/>
      <c r="BB1653" s="69"/>
      <c r="BC1653" s="9"/>
      <c r="BD1653" s="9"/>
      <c r="BE1653" s="9"/>
      <c r="BF1653" s="9"/>
      <c r="BG1653" s="9"/>
      <c r="BH1653" s="9"/>
      <c r="BI1653" s="9"/>
      <c r="BJ1653" s="9"/>
      <c r="BK1653" s="9"/>
      <c r="BL1653" s="9"/>
      <c r="BM1653" s="9"/>
      <c r="BN1653" s="9"/>
      <c r="BO1653" s="9"/>
      <c r="BP1653" s="9"/>
      <c r="BQ1653" s="9"/>
      <c r="BR1653" s="9"/>
      <c r="BS1653" s="9"/>
      <c r="BT1653" s="9"/>
      <c r="BU1653" s="9"/>
      <c r="BV1653" s="9"/>
      <c r="BW1653" s="9"/>
      <c r="BX1653" s="9"/>
      <c r="BY1653" s="9"/>
      <c r="BZ1653" s="9"/>
      <c r="CA1653" s="9"/>
      <c r="CB1653" s="9"/>
      <c r="CC1653" s="9"/>
      <c r="CD1653" s="9"/>
      <c r="CE1653" s="9"/>
      <c r="CF1653" s="9"/>
      <c r="CG1653" s="9"/>
      <c r="CH1653" s="9"/>
      <c r="CI1653" s="9"/>
      <c r="CJ1653" s="9"/>
      <c r="CK1653" s="9"/>
      <c r="CL1653" s="9"/>
      <c r="CM1653" s="9"/>
      <c r="CN1653" s="9"/>
      <c r="CO1653" s="9"/>
      <c r="CP1653" s="9"/>
    </row>
    <row r="1654" spans="1:94" x14ac:dyDescent="0.25">
      <c r="A1654" s="9" t="s">
        <v>4598</v>
      </c>
      <c r="B1654" s="9" t="s">
        <v>4599</v>
      </c>
      <c r="C1654" s="9"/>
      <c r="D1654" s="9"/>
      <c r="E1654" s="9"/>
      <c r="F1654" s="9"/>
      <c r="G1654" s="9"/>
      <c r="H1654" s="9"/>
      <c r="I1654" s="9"/>
      <c r="J1654" s="9"/>
      <c r="K1654" s="9"/>
      <c r="L1654" s="9"/>
      <c r="M1654" s="9"/>
      <c r="N1654" s="9"/>
      <c r="O1654" s="9"/>
      <c r="P1654" s="9"/>
      <c r="Q1654" s="9"/>
      <c r="R1654" s="9"/>
      <c r="S1654" s="9"/>
      <c r="T1654" s="9"/>
      <c r="U1654" s="9"/>
      <c r="V1654" s="9"/>
      <c r="W1654" s="9"/>
      <c r="X1654" s="9"/>
      <c r="Y1654" s="9"/>
      <c r="Z1654" s="9"/>
      <c r="AA1654" s="9"/>
      <c r="AB1654" s="9"/>
      <c r="AC1654" s="9"/>
      <c r="AD1654" s="9"/>
      <c r="AE1654" s="9"/>
      <c r="AF1654" s="9"/>
      <c r="AG1654" s="9"/>
      <c r="AH1654" s="9"/>
      <c r="AI1654" s="9"/>
      <c r="AJ1654" s="9"/>
      <c r="AK1654" s="9"/>
      <c r="AL1654" s="9"/>
      <c r="AM1654" s="69"/>
      <c r="AN1654" s="9"/>
      <c r="AO1654" s="69" t="s">
        <v>4591</v>
      </c>
      <c r="AP1654" s="210"/>
      <c r="AQ1654" s="211"/>
      <c r="AR1654" s="211"/>
      <c r="AS1654" s="211"/>
      <c r="AT1654" s="211"/>
      <c r="AU1654" s="211"/>
      <c r="AV1654" s="211"/>
      <c r="AW1654" s="9"/>
      <c r="AX1654" s="9"/>
      <c r="AY1654" s="9"/>
      <c r="AZ1654" s="9"/>
      <c r="BA1654" s="120"/>
      <c r="BB1654" s="69"/>
      <c r="BC1654" s="9"/>
      <c r="BD1654" s="9"/>
      <c r="BE1654" s="9"/>
      <c r="BF1654" s="9"/>
      <c r="BG1654" s="9"/>
      <c r="BH1654" s="9"/>
      <c r="BI1654" s="9"/>
      <c r="BJ1654" s="9"/>
      <c r="BK1654" s="9"/>
      <c r="BL1654" s="9"/>
      <c r="BM1654" s="9"/>
      <c r="BN1654" s="9"/>
      <c r="BO1654" s="9"/>
      <c r="BP1654" s="9"/>
      <c r="BQ1654" s="9"/>
      <c r="BR1654" s="9"/>
      <c r="BS1654" s="9"/>
      <c r="BT1654" s="9"/>
      <c r="BU1654" s="9"/>
      <c r="BV1654" s="9"/>
      <c r="BW1654" s="9"/>
      <c r="BX1654" s="9"/>
      <c r="BY1654" s="9"/>
      <c r="BZ1654" s="9"/>
      <c r="CA1654" s="9"/>
      <c r="CB1654" s="9"/>
      <c r="CC1654" s="9"/>
      <c r="CD1654" s="9"/>
      <c r="CE1654" s="9"/>
      <c r="CF1654" s="9"/>
      <c r="CG1654" s="9"/>
      <c r="CH1654" s="9"/>
      <c r="CI1654" s="9"/>
      <c r="CJ1654" s="9"/>
      <c r="CK1654" s="9"/>
      <c r="CL1654" s="9"/>
      <c r="CM1654" s="9"/>
      <c r="CN1654" s="9"/>
      <c r="CO1654" s="9"/>
      <c r="CP1654" s="9"/>
    </row>
    <row r="1655" spans="1:94" x14ac:dyDescent="0.25">
      <c r="A1655" s="9" t="s">
        <v>4600</v>
      </c>
      <c r="B1655" s="9" t="s">
        <v>4601</v>
      </c>
      <c r="C1655" s="9"/>
      <c r="D1655" s="9"/>
      <c r="E1655" s="9"/>
      <c r="F1655" s="9"/>
      <c r="G1655" s="9"/>
      <c r="H1655" s="9"/>
      <c r="I1655" s="9"/>
      <c r="J1655" s="9"/>
      <c r="K1655" s="9"/>
      <c r="L1655" s="9"/>
      <c r="M1655" s="9"/>
      <c r="N1655" s="9"/>
      <c r="O1655" s="9"/>
      <c r="P1655" s="9"/>
      <c r="Q1655" s="9"/>
      <c r="R1655" s="9"/>
      <c r="S1655" s="9"/>
      <c r="T1655" s="9"/>
      <c r="U1655" s="9"/>
      <c r="V1655" s="9"/>
      <c r="W1655" s="9"/>
      <c r="X1655" s="9"/>
      <c r="Y1655" s="9"/>
      <c r="Z1655" s="9"/>
      <c r="AA1655" s="9"/>
      <c r="AB1655" s="9"/>
      <c r="AC1655" s="9"/>
      <c r="AD1655" s="9"/>
      <c r="AE1655" s="9"/>
      <c r="AF1655" s="9"/>
      <c r="AG1655" s="9"/>
      <c r="AH1655" s="9"/>
      <c r="AI1655" s="9"/>
      <c r="AJ1655" s="9"/>
      <c r="AK1655" s="9"/>
      <c r="AL1655" s="9"/>
      <c r="AM1655" s="69"/>
      <c r="AN1655" s="9"/>
      <c r="AO1655" s="69" t="s">
        <v>4591</v>
      </c>
      <c r="AP1655" s="210"/>
      <c r="AQ1655" s="211"/>
      <c r="AR1655" s="211"/>
      <c r="AS1655" s="211"/>
      <c r="AT1655" s="211"/>
      <c r="AU1655" s="211"/>
      <c r="AV1655" s="211"/>
      <c r="AW1655" s="9"/>
      <c r="AX1655" s="9"/>
      <c r="AY1655" s="9"/>
      <c r="AZ1655" s="9"/>
      <c r="BA1655" s="120"/>
      <c r="BB1655" s="69"/>
      <c r="BC1655" s="9"/>
      <c r="BD1655" s="9"/>
      <c r="BE1655" s="9"/>
      <c r="BF1655" s="9"/>
      <c r="BG1655" s="9"/>
      <c r="BH1655" s="9"/>
      <c r="BI1655" s="9"/>
      <c r="BJ1655" s="9"/>
      <c r="BK1655" s="9"/>
      <c r="BL1655" s="9"/>
      <c r="BM1655" s="9"/>
      <c r="BN1655" s="9"/>
      <c r="BO1655" s="9"/>
      <c r="BP1655" s="9"/>
      <c r="BQ1655" s="9"/>
      <c r="BR1655" s="9"/>
      <c r="BS1655" s="9"/>
      <c r="BT1655" s="9"/>
      <c r="BU1655" s="9"/>
      <c r="BV1655" s="9"/>
      <c r="BW1655" s="9"/>
      <c r="BX1655" s="9"/>
      <c r="BY1655" s="9"/>
      <c r="BZ1655" s="9"/>
      <c r="CA1655" s="9"/>
      <c r="CB1655" s="9"/>
      <c r="CC1655" s="9"/>
      <c r="CD1655" s="9"/>
      <c r="CE1655" s="9"/>
      <c r="CF1655" s="9"/>
      <c r="CG1655" s="9"/>
      <c r="CH1655" s="9"/>
      <c r="CI1655" s="9"/>
      <c r="CJ1655" s="9"/>
      <c r="CK1655" s="9"/>
      <c r="CL1655" s="9"/>
      <c r="CM1655" s="9"/>
      <c r="CN1655" s="9"/>
      <c r="CO1655" s="9"/>
      <c r="CP1655" s="9"/>
    </row>
    <row r="1656" spans="1:94" x14ac:dyDescent="0.25">
      <c r="A1656" s="9" t="s">
        <v>4602</v>
      </c>
      <c r="B1656" s="9" t="s">
        <v>4603</v>
      </c>
      <c r="C1656" s="9"/>
      <c r="D1656" s="9"/>
      <c r="E1656" s="9"/>
      <c r="F1656" s="9"/>
      <c r="G1656" s="9"/>
      <c r="H1656" s="9"/>
      <c r="I1656" s="9"/>
      <c r="J1656" s="9"/>
      <c r="K1656" s="9"/>
      <c r="L1656" s="9"/>
      <c r="M1656" s="9"/>
      <c r="N1656" s="9"/>
      <c r="O1656" s="9"/>
      <c r="P1656" s="9"/>
      <c r="Q1656" s="9"/>
      <c r="R1656" s="9"/>
      <c r="S1656" s="9"/>
      <c r="T1656" s="9"/>
      <c r="U1656" s="9"/>
      <c r="V1656" s="9"/>
      <c r="W1656" s="9"/>
      <c r="X1656" s="9"/>
      <c r="Y1656" s="9"/>
      <c r="Z1656" s="9"/>
      <c r="AA1656" s="9"/>
      <c r="AB1656" s="9"/>
      <c r="AC1656" s="9"/>
      <c r="AD1656" s="9"/>
      <c r="AE1656" s="9"/>
      <c r="AF1656" s="9"/>
      <c r="AG1656" s="9"/>
      <c r="AH1656" s="9"/>
      <c r="AI1656" s="9"/>
      <c r="AJ1656" s="9"/>
      <c r="AK1656" s="9"/>
      <c r="AL1656" s="9"/>
      <c r="AM1656" s="69"/>
      <c r="AN1656" s="9"/>
      <c r="AO1656" s="69" t="s">
        <v>4591</v>
      </c>
      <c r="AP1656" s="210"/>
      <c r="AQ1656" s="211"/>
      <c r="AR1656" s="211"/>
      <c r="AS1656" s="211"/>
      <c r="AT1656" s="211"/>
      <c r="AU1656" s="211"/>
      <c r="AV1656" s="211"/>
      <c r="AW1656" s="9"/>
      <c r="AX1656" s="9"/>
      <c r="AY1656" s="9"/>
      <c r="AZ1656" s="9"/>
      <c r="BA1656" s="120"/>
      <c r="BB1656" s="69"/>
      <c r="BC1656" s="9"/>
      <c r="BD1656" s="9"/>
      <c r="BE1656" s="9"/>
      <c r="BF1656" s="9"/>
      <c r="BG1656" s="9"/>
      <c r="BH1656" s="9"/>
      <c r="BI1656" s="9"/>
      <c r="BJ1656" s="9"/>
      <c r="BK1656" s="9"/>
      <c r="BL1656" s="9"/>
      <c r="BM1656" s="9"/>
      <c r="BN1656" s="9"/>
      <c r="BO1656" s="9"/>
      <c r="BP1656" s="9"/>
      <c r="BQ1656" s="9"/>
      <c r="BR1656" s="9"/>
      <c r="BS1656" s="9"/>
      <c r="BT1656" s="9"/>
      <c r="BU1656" s="9"/>
      <c r="BV1656" s="9"/>
      <c r="BW1656" s="9"/>
      <c r="BX1656" s="9"/>
      <c r="BY1656" s="9"/>
      <c r="BZ1656" s="9"/>
      <c r="CA1656" s="9"/>
      <c r="CB1656" s="9"/>
      <c r="CC1656" s="9"/>
      <c r="CD1656" s="9"/>
      <c r="CE1656" s="9"/>
      <c r="CF1656" s="9"/>
      <c r="CG1656" s="9"/>
      <c r="CH1656" s="9"/>
      <c r="CI1656" s="9"/>
      <c r="CJ1656" s="9"/>
      <c r="CK1656" s="9"/>
      <c r="CL1656" s="9"/>
      <c r="CM1656" s="9"/>
      <c r="CN1656" s="9"/>
      <c r="CO1656" s="9"/>
      <c r="CP1656" s="9"/>
    </row>
    <row r="1657" spans="1:94" ht="15.75" x14ac:dyDescent="0.25">
      <c r="A1657" s="126" t="s">
        <v>4604</v>
      </c>
      <c r="B1657" s="9" t="s">
        <v>4605</v>
      </c>
      <c r="C1657" s="9"/>
      <c r="D1657" s="9"/>
      <c r="E1657" s="9"/>
      <c r="F1657" s="9"/>
      <c r="G1657" s="9"/>
      <c r="H1657" s="9"/>
      <c r="I1657" s="9"/>
      <c r="J1657" s="9"/>
      <c r="K1657" s="9"/>
      <c r="L1657" s="9"/>
      <c r="M1657" s="9"/>
      <c r="N1657" s="9"/>
      <c r="O1657" s="9"/>
      <c r="P1657" s="9"/>
      <c r="Q1657" s="9"/>
      <c r="R1657" s="9"/>
      <c r="S1657" s="9"/>
      <c r="T1657" s="9"/>
      <c r="U1657" s="9"/>
      <c r="V1657" s="9"/>
      <c r="W1657" s="9"/>
      <c r="X1657" s="9"/>
      <c r="Y1657" s="9"/>
      <c r="Z1657" s="9"/>
      <c r="AA1657" s="9"/>
      <c r="AB1657" s="9"/>
      <c r="AC1657" s="9"/>
      <c r="AD1657" s="9"/>
      <c r="AE1657" s="9"/>
      <c r="AF1657" s="9"/>
      <c r="AG1657" s="9"/>
      <c r="AH1657" s="9"/>
      <c r="AI1657" s="9"/>
      <c r="AJ1657" s="9"/>
      <c r="AK1657" s="9"/>
      <c r="AL1657" s="9"/>
      <c r="AM1657" s="69"/>
      <c r="AN1657" s="9"/>
      <c r="AO1657" s="69" t="s">
        <v>4591</v>
      </c>
      <c r="AP1657" s="210"/>
      <c r="AQ1657" s="211"/>
      <c r="AR1657" s="211"/>
      <c r="AS1657" s="211"/>
      <c r="AT1657" s="211"/>
      <c r="AU1657" s="211"/>
      <c r="AV1657" s="211"/>
      <c r="AW1657" s="9"/>
      <c r="AX1657" s="9"/>
      <c r="AY1657" s="9"/>
      <c r="AZ1657" s="9"/>
      <c r="BA1657" s="120"/>
      <c r="BB1657" s="69"/>
      <c r="BC1657" s="9"/>
      <c r="BD1657" s="9"/>
      <c r="BE1657" s="9"/>
      <c r="BF1657" s="9"/>
      <c r="BG1657" s="9"/>
      <c r="BH1657" s="9"/>
      <c r="BI1657" s="9"/>
      <c r="BJ1657" s="9"/>
      <c r="BK1657" s="9"/>
      <c r="BL1657" s="9"/>
      <c r="BM1657" s="9"/>
      <c r="BN1657" s="9"/>
      <c r="BO1657" s="9"/>
      <c r="BP1657" s="9"/>
      <c r="BQ1657" s="9"/>
      <c r="BR1657" s="9"/>
      <c r="BS1657" s="9"/>
      <c r="BT1657" s="9"/>
      <c r="BU1657" s="9"/>
      <c r="BV1657" s="9"/>
      <c r="BW1657" s="9"/>
      <c r="BX1657" s="9"/>
      <c r="BY1657" s="9"/>
      <c r="BZ1657" s="9"/>
      <c r="CA1657" s="9"/>
      <c r="CB1657" s="9"/>
      <c r="CC1657" s="9"/>
      <c r="CD1657" s="9"/>
      <c r="CE1657" s="9"/>
      <c r="CF1657" s="9"/>
      <c r="CG1657" s="9"/>
      <c r="CH1657" s="9"/>
      <c r="CI1657" s="9"/>
      <c r="CJ1657" s="9"/>
      <c r="CK1657" s="9"/>
      <c r="CL1657" s="9"/>
      <c r="CM1657" s="9"/>
      <c r="CN1657" s="9"/>
      <c r="CO1657" s="9"/>
      <c r="CP1657" s="9"/>
    </row>
    <row r="1658" spans="1:94" ht="15.75" x14ac:dyDescent="0.25">
      <c r="A1658" s="126" t="s">
        <v>4606</v>
      </c>
      <c r="B1658" s="9" t="s">
        <v>4607</v>
      </c>
      <c r="C1658" s="9"/>
      <c r="D1658" s="9"/>
      <c r="E1658" s="9"/>
      <c r="F1658" s="9"/>
      <c r="G1658" s="9"/>
      <c r="H1658" s="9"/>
      <c r="I1658" s="9"/>
      <c r="J1658" s="9"/>
      <c r="K1658" s="9"/>
      <c r="L1658" s="9"/>
      <c r="M1658" s="9"/>
      <c r="N1658" s="9"/>
      <c r="O1658" s="9"/>
      <c r="P1658" s="9"/>
      <c r="Q1658" s="9"/>
      <c r="R1658" s="9"/>
      <c r="S1658" s="9"/>
      <c r="T1658" s="9"/>
      <c r="U1658" s="9"/>
      <c r="V1658" s="9"/>
      <c r="W1658" s="9"/>
      <c r="X1658" s="9"/>
      <c r="Y1658" s="9"/>
      <c r="Z1658" s="9"/>
      <c r="AA1658" s="9"/>
      <c r="AB1658" s="9"/>
      <c r="AC1658" s="9"/>
      <c r="AD1658" s="9"/>
      <c r="AE1658" s="9"/>
      <c r="AF1658" s="9"/>
      <c r="AG1658" s="9"/>
      <c r="AH1658" s="9"/>
      <c r="AI1658" s="9"/>
      <c r="AJ1658" s="9"/>
      <c r="AK1658" s="9"/>
      <c r="AL1658" s="9"/>
      <c r="AM1658" s="69"/>
      <c r="AN1658" s="9"/>
      <c r="AO1658" s="69" t="s">
        <v>4591</v>
      </c>
      <c r="AP1658" s="210"/>
      <c r="AQ1658" s="211"/>
      <c r="AR1658" s="211"/>
      <c r="AS1658" s="211"/>
      <c r="AT1658" s="211"/>
      <c r="AU1658" s="211"/>
      <c r="AV1658" s="211"/>
      <c r="AW1658" s="9"/>
      <c r="AX1658" s="9"/>
      <c r="AY1658" s="9"/>
      <c r="AZ1658" s="9"/>
      <c r="BA1658" s="120"/>
      <c r="BB1658" s="69"/>
      <c r="BC1658" s="9"/>
      <c r="BD1658" s="9"/>
      <c r="BE1658" s="9"/>
      <c r="BF1658" s="9"/>
      <c r="BG1658" s="9"/>
      <c r="BH1658" s="9"/>
      <c r="BI1658" s="9"/>
      <c r="BJ1658" s="9"/>
      <c r="BK1658" s="9"/>
      <c r="BL1658" s="9"/>
      <c r="BM1658" s="9"/>
      <c r="BN1658" s="9"/>
      <c r="BO1658" s="9"/>
      <c r="BP1658" s="9"/>
      <c r="BQ1658" s="9"/>
      <c r="BR1658" s="9"/>
      <c r="BS1658" s="9"/>
      <c r="BT1658" s="9"/>
      <c r="BU1658" s="9"/>
      <c r="BV1658" s="9"/>
      <c r="BW1658" s="9"/>
      <c r="BX1658" s="9"/>
      <c r="BY1658" s="9"/>
      <c r="BZ1658" s="9"/>
      <c r="CA1658" s="9"/>
      <c r="CB1658" s="9"/>
      <c r="CC1658" s="9"/>
      <c r="CD1658" s="9"/>
      <c r="CE1658" s="9"/>
      <c r="CF1658" s="9"/>
      <c r="CG1658" s="9"/>
      <c r="CH1658" s="9"/>
      <c r="CI1658" s="9"/>
      <c r="CJ1658" s="9"/>
      <c r="CK1658" s="9"/>
      <c r="CL1658" s="9"/>
      <c r="CM1658" s="9"/>
      <c r="CN1658" s="9"/>
      <c r="CO1658" s="9"/>
      <c r="CP1658" s="9"/>
    </row>
    <row r="1659" spans="1:94" x14ac:dyDescent="0.25">
      <c r="A1659" s="9" t="s">
        <v>4608</v>
      </c>
      <c r="B1659" s="9" t="s">
        <v>4609</v>
      </c>
      <c r="C1659" s="9"/>
      <c r="D1659" s="9"/>
      <c r="E1659" s="9"/>
      <c r="F1659" s="9"/>
      <c r="G1659" s="9"/>
      <c r="H1659" s="9"/>
      <c r="I1659" s="9"/>
      <c r="J1659" s="9"/>
      <c r="K1659" s="9"/>
      <c r="L1659" s="9"/>
      <c r="M1659" s="9"/>
      <c r="N1659" s="9"/>
      <c r="O1659" s="9"/>
      <c r="P1659" s="9"/>
      <c r="Q1659" s="9"/>
      <c r="R1659" s="9"/>
      <c r="S1659" s="9"/>
      <c r="T1659" s="9"/>
      <c r="U1659" s="9"/>
      <c r="V1659" s="9"/>
      <c r="W1659" s="9"/>
      <c r="X1659" s="9"/>
      <c r="Y1659" s="9"/>
      <c r="Z1659" s="9"/>
      <c r="AA1659" s="9"/>
      <c r="AB1659" s="9"/>
      <c r="AC1659" s="9"/>
      <c r="AD1659" s="9"/>
      <c r="AE1659" s="9"/>
      <c r="AF1659" s="9"/>
      <c r="AG1659" s="9"/>
      <c r="AH1659" s="9"/>
      <c r="AI1659" s="9"/>
      <c r="AJ1659" s="9"/>
      <c r="AK1659" s="9"/>
      <c r="AL1659" s="9"/>
      <c r="AM1659" s="69"/>
      <c r="AN1659" s="9"/>
      <c r="AO1659" s="69" t="s">
        <v>4591</v>
      </c>
      <c r="AP1659" s="210"/>
      <c r="AQ1659" s="211"/>
      <c r="AR1659" s="211"/>
      <c r="AS1659" s="211"/>
      <c r="AT1659" s="211"/>
      <c r="AU1659" s="211"/>
      <c r="AV1659" s="211"/>
      <c r="AW1659" s="9"/>
      <c r="AX1659" s="9"/>
      <c r="AY1659" s="9"/>
      <c r="AZ1659" s="9"/>
      <c r="BA1659" s="120"/>
      <c r="BB1659" s="69"/>
      <c r="BC1659" s="9"/>
      <c r="BD1659" s="9"/>
      <c r="BE1659" s="9"/>
      <c r="BF1659" s="9"/>
      <c r="BG1659" s="9"/>
      <c r="BH1659" s="9"/>
      <c r="BI1659" s="9"/>
      <c r="BJ1659" s="9"/>
      <c r="BK1659" s="9"/>
      <c r="BL1659" s="9"/>
      <c r="BM1659" s="9"/>
      <c r="BN1659" s="9"/>
      <c r="BO1659" s="9"/>
      <c r="BP1659" s="9"/>
      <c r="BQ1659" s="9"/>
      <c r="BR1659" s="9"/>
      <c r="BS1659" s="9"/>
      <c r="BT1659" s="9"/>
      <c r="BU1659" s="9"/>
      <c r="BV1659" s="9"/>
      <c r="BW1659" s="9"/>
      <c r="BX1659" s="9"/>
      <c r="BY1659" s="9"/>
      <c r="BZ1659" s="9"/>
      <c r="CA1659" s="9"/>
      <c r="CB1659" s="9"/>
      <c r="CC1659" s="9"/>
      <c r="CD1659" s="9"/>
      <c r="CE1659" s="9"/>
      <c r="CF1659" s="9"/>
      <c r="CG1659" s="9"/>
      <c r="CH1659" s="9"/>
      <c r="CI1659" s="9"/>
      <c r="CJ1659" s="9"/>
      <c r="CK1659" s="9"/>
      <c r="CL1659" s="9"/>
      <c r="CM1659" s="9"/>
      <c r="CN1659" s="9"/>
      <c r="CO1659" s="9"/>
      <c r="CP1659" s="9"/>
    </row>
    <row r="1660" spans="1:94" x14ac:dyDescent="0.25">
      <c r="A1660" s="9" t="s">
        <v>4610</v>
      </c>
      <c r="B1660" s="9" t="s">
        <v>4611</v>
      </c>
      <c r="C1660" s="9"/>
      <c r="D1660" s="9"/>
      <c r="E1660" s="9"/>
      <c r="F1660" s="9"/>
      <c r="G1660" s="9"/>
      <c r="H1660" s="9"/>
      <c r="I1660" s="9"/>
      <c r="J1660" s="9"/>
      <c r="K1660" s="9"/>
      <c r="L1660" s="9"/>
      <c r="M1660" s="9"/>
      <c r="N1660" s="9"/>
      <c r="O1660" s="9"/>
      <c r="P1660" s="9"/>
      <c r="Q1660" s="9"/>
      <c r="R1660" s="9"/>
      <c r="S1660" s="9"/>
      <c r="T1660" s="9"/>
      <c r="U1660" s="9"/>
      <c r="V1660" s="9"/>
      <c r="W1660" s="9"/>
      <c r="X1660" s="9"/>
      <c r="Y1660" s="9"/>
      <c r="Z1660" s="9"/>
      <c r="AA1660" s="9"/>
      <c r="AB1660" s="9"/>
      <c r="AC1660" s="9"/>
      <c r="AD1660" s="9"/>
      <c r="AE1660" s="9"/>
      <c r="AF1660" s="9"/>
      <c r="AG1660" s="9"/>
      <c r="AH1660" s="9"/>
      <c r="AI1660" s="9"/>
      <c r="AJ1660" s="9"/>
      <c r="AK1660" s="9"/>
      <c r="AL1660" s="9"/>
      <c r="AM1660" s="69"/>
      <c r="AN1660" s="9"/>
      <c r="AO1660" s="69" t="s">
        <v>4591</v>
      </c>
      <c r="AP1660" s="210"/>
      <c r="AQ1660" s="211"/>
      <c r="AR1660" s="211"/>
      <c r="AS1660" s="211"/>
      <c r="AT1660" s="211"/>
      <c r="AU1660" s="211"/>
      <c r="AV1660" s="211"/>
      <c r="AW1660" s="9"/>
      <c r="AX1660" s="9"/>
      <c r="AY1660" s="9"/>
      <c r="AZ1660" s="9"/>
      <c r="BA1660" s="120"/>
      <c r="BB1660" s="69"/>
      <c r="BC1660" s="9"/>
      <c r="BD1660" s="9"/>
      <c r="BE1660" s="9"/>
      <c r="BF1660" s="9"/>
      <c r="BG1660" s="9"/>
      <c r="BH1660" s="9"/>
      <c r="BI1660" s="9"/>
      <c r="BJ1660" s="9"/>
      <c r="BK1660" s="9"/>
      <c r="BL1660" s="9"/>
      <c r="BM1660" s="9"/>
      <c r="BN1660" s="9"/>
      <c r="BO1660" s="9"/>
      <c r="BP1660" s="9"/>
      <c r="BQ1660" s="9"/>
      <c r="BR1660" s="9"/>
      <c r="BS1660" s="9"/>
      <c r="BT1660" s="9"/>
      <c r="BU1660" s="9"/>
      <c r="BV1660" s="9"/>
      <c r="BW1660" s="9"/>
      <c r="BX1660" s="9"/>
      <c r="BY1660" s="9"/>
      <c r="BZ1660" s="9"/>
      <c r="CA1660" s="9"/>
      <c r="CB1660" s="9"/>
      <c r="CC1660" s="9"/>
      <c r="CD1660" s="9"/>
      <c r="CE1660" s="9"/>
      <c r="CF1660" s="9"/>
      <c r="CG1660" s="9"/>
      <c r="CH1660" s="9"/>
      <c r="CI1660" s="9"/>
      <c r="CJ1660" s="9"/>
      <c r="CK1660" s="9"/>
      <c r="CL1660" s="9"/>
      <c r="CM1660" s="9"/>
      <c r="CN1660" s="9"/>
      <c r="CO1660" s="9"/>
      <c r="CP1660" s="9"/>
    </row>
    <row r="1661" spans="1:94" ht="15.75" x14ac:dyDescent="0.25">
      <c r="A1661" s="126" t="s">
        <v>4612</v>
      </c>
      <c r="B1661" s="9" t="s">
        <v>4613</v>
      </c>
      <c r="C1661" s="9"/>
      <c r="D1661" s="9"/>
      <c r="E1661" s="9"/>
      <c r="F1661" s="9"/>
      <c r="G1661" s="9"/>
      <c r="H1661" s="9"/>
      <c r="I1661" s="9"/>
      <c r="J1661" s="9"/>
      <c r="K1661" s="9"/>
      <c r="L1661" s="9"/>
      <c r="M1661" s="9"/>
      <c r="N1661" s="9"/>
      <c r="O1661" s="9"/>
      <c r="P1661" s="9"/>
      <c r="Q1661" s="9"/>
      <c r="R1661" s="9"/>
      <c r="S1661" s="9"/>
      <c r="T1661" s="9"/>
      <c r="U1661" s="9"/>
      <c r="V1661" s="9"/>
      <c r="W1661" s="9"/>
      <c r="X1661" s="9"/>
      <c r="Y1661" s="9"/>
      <c r="Z1661" s="9"/>
      <c r="AA1661" s="9"/>
      <c r="AB1661" s="9"/>
      <c r="AC1661" s="9"/>
      <c r="AD1661" s="9"/>
      <c r="AE1661" s="9"/>
      <c r="AF1661" s="9"/>
      <c r="AG1661" s="9"/>
      <c r="AH1661" s="9"/>
      <c r="AI1661" s="9"/>
      <c r="AJ1661" s="9"/>
      <c r="AK1661" s="9"/>
      <c r="AL1661" s="9"/>
      <c r="AM1661" s="69"/>
      <c r="AN1661" s="9"/>
      <c r="AO1661" s="69" t="s">
        <v>4434</v>
      </c>
      <c r="AP1661" s="210"/>
      <c r="AQ1661" s="211"/>
      <c r="AR1661" s="211"/>
      <c r="AS1661" s="211"/>
      <c r="AT1661" s="211"/>
      <c r="AU1661" s="211"/>
      <c r="AV1661" s="211"/>
      <c r="AW1661" s="9"/>
      <c r="AX1661" s="9"/>
      <c r="AY1661" s="9"/>
      <c r="AZ1661" s="9"/>
      <c r="BA1661" s="120"/>
      <c r="BB1661" s="69"/>
      <c r="BC1661" s="9"/>
      <c r="BD1661" s="9"/>
      <c r="BE1661" s="9"/>
      <c r="BF1661" s="9"/>
      <c r="BG1661" s="9"/>
      <c r="BH1661" s="9"/>
      <c r="BI1661" s="9"/>
      <c r="BJ1661" s="9"/>
      <c r="BK1661" s="9"/>
      <c r="BL1661" s="9"/>
      <c r="BM1661" s="9"/>
      <c r="BN1661" s="9"/>
      <c r="BO1661" s="9"/>
      <c r="BP1661" s="9"/>
      <c r="BQ1661" s="9"/>
      <c r="BR1661" s="9"/>
      <c r="BS1661" s="9"/>
      <c r="BT1661" s="9"/>
      <c r="BU1661" s="9"/>
      <c r="BV1661" s="9"/>
      <c r="BW1661" s="9"/>
      <c r="BX1661" s="9"/>
      <c r="BY1661" s="9"/>
      <c r="BZ1661" s="9"/>
      <c r="CA1661" s="9"/>
      <c r="CB1661" s="9"/>
      <c r="CC1661" s="9"/>
      <c r="CD1661" s="9"/>
      <c r="CE1661" s="9"/>
      <c r="CF1661" s="9"/>
      <c r="CG1661" s="9"/>
      <c r="CH1661" s="9"/>
      <c r="CI1661" s="9"/>
      <c r="CJ1661" s="9"/>
      <c r="CK1661" s="9"/>
      <c r="CL1661" s="9"/>
      <c r="CM1661" s="9"/>
      <c r="CN1661" s="9"/>
      <c r="CO1661" s="9"/>
      <c r="CP1661" s="9"/>
    </row>
    <row r="1662" spans="1:94" ht="15.75" x14ac:dyDescent="0.25">
      <c r="A1662" s="126" t="s">
        <v>4614</v>
      </c>
      <c r="B1662" s="9" t="s">
        <v>4615</v>
      </c>
      <c r="C1662" s="9"/>
      <c r="D1662" s="9"/>
      <c r="E1662" s="9"/>
      <c r="F1662" s="9"/>
      <c r="G1662" s="9"/>
      <c r="H1662" s="9"/>
      <c r="I1662" s="9"/>
      <c r="J1662" s="9"/>
      <c r="K1662" s="9"/>
      <c r="L1662" s="9"/>
      <c r="M1662" s="9"/>
      <c r="N1662" s="9"/>
      <c r="O1662" s="9"/>
      <c r="P1662" s="9"/>
      <c r="Q1662" s="9"/>
      <c r="R1662" s="9"/>
      <c r="S1662" s="9"/>
      <c r="T1662" s="9"/>
      <c r="U1662" s="9"/>
      <c r="V1662" s="9"/>
      <c r="W1662" s="9"/>
      <c r="X1662" s="9"/>
      <c r="Y1662" s="9"/>
      <c r="Z1662" s="9"/>
      <c r="AA1662" s="9"/>
      <c r="AB1662" s="9"/>
      <c r="AC1662" s="9"/>
      <c r="AD1662" s="9"/>
      <c r="AE1662" s="9"/>
      <c r="AF1662" s="9"/>
      <c r="AG1662" s="9"/>
      <c r="AH1662" s="9"/>
      <c r="AI1662" s="9"/>
      <c r="AJ1662" s="9"/>
      <c r="AK1662" s="9"/>
      <c r="AL1662" s="9"/>
      <c r="AM1662" s="69"/>
      <c r="AN1662" s="9"/>
      <c r="AO1662" s="69" t="s">
        <v>2150</v>
      </c>
      <c r="AP1662" s="210"/>
      <c r="AQ1662" s="211"/>
      <c r="AR1662" s="211"/>
      <c r="AS1662" s="211"/>
      <c r="AT1662" s="211"/>
      <c r="AU1662" s="211"/>
      <c r="AV1662" s="211"/>
      <c r="AW1662" s="9"/>
      <c r="AX1662" s="9"/>
      <c r="AY1662" s="9"/>
      <c r="AZ1662" s="9"/>
      <c r="BA1662" s="120"/>
      <c r="BB1662" s="69"/>
      <c r="BC1662" s="9"/>
      <c r="BD1662" s="9"/>
      <c r="BE1662" s="9"/>
      <c r="BF1662" s="9"/>
      <c r="BG1662" s="9"/>
      <c r="BH1662" s="9"/>
      <c r="BI1662" s="9"/>
      <c r="BJ1662" s="9"/>
      <c r="BK1662" s="9"/>
      <c r="BL1662" s="9"/>
      <c r="BM1662" s="9"/>
      <c r="BN1662" s="9"/>
      <c r="BO1662" s="9"/>
      <c r="BP1662" s="9"/>
      <c r="BQ1662" s="9"/>
      <c r="BR1662" s="9"/>
      <c r="BS1662" s="9"/>
      <c r="BT1662" s="9"/>
      <c r="BU1662" s="9"/>
      <c r="BV1662" s="9"/>
      <c r="BW1662" s="9"/>
      <c r="BX1662" s="9"/>
      <c r="BY1662" s="9"/>
      <c r="BZ1662" s="9"/>
      <c r="CA1662" s="9"/>
      <c r="CB1662" s="9"/>
      <c r="CC1662" s="9"/>
      <c r="CD1662" s="9"/>
      <c r="CE1662" s="9"/>
      <c r="CF1662" s="9"/>
      <c r="CG1662" s="9"/>
      <c r="CH1662" s="9"/>
      <c r="CI1662" s="9"/>
      <c r="CJ1662" s="9"/>
      <c r="CK1662" s="9"/>
      <c r="CL1662" s="9"/>
      <c r="CM1662" s="9"/>
      <c r="CN1662" s="9"/>
      <c r="CO1662" s="9"/>
      <c r="CP1662" s="9"/>
    </row>
    <row r="1663" spans="1:94" ht="15.75" x14ac:dyDescent="0.25">
      <c r="A1663" s="126" t="s">
        <v>4616</v>
      </c>
      <c r="B1663" s="9" t="s">
        <v>4617</v>
      </c>
      <c r="C1663" s="9"/>
      <c r="D1663" s="9"/>
      <c r="E1663" s="9"/>
      <c r="F1663" s="9"/>
      <c r="G1663" s="9"/>
      <c r="H1663" s="9"/>
      <c r="I1663" s="9"/>
      <c r="J1663" s="9"/>
      <c r="K1663" s="9"/>
      <c r="L1663" s="9"/>
      <c r="M1663" s="9"/>
      <c r="N1663" s="9"/>
      <c r="O1663" s="9"/>
      <c r="P1663" s="9"/>
      <c r="Q1663" s="9"/>
      <c r="R1663" s="9"/>
      <c r="S1663" s="9"/>
      <c r="T1663" s="9"/>
      <c r="U1663" s="9"/>
      <c r="V1663" s="9"/>
      <c r="W1663" s="9"/>
      <c r="X1663" s="9"/>
      <c r="Y1663" s="9"/>
      <c r="Z1663" s="9"/>
      <c r="AA1663" s="9"/>
      <c r="AB1663" s="9"/>
      <c r="AC1663" s="9"/>
      <c r="AD1663" s="9"/>
      <c r="AE1663" s="9"/>
      <c r="AF1663" s="9"/>
      <c r="AG1663" s="9"/>
      <c r="AH1663" s="9"/>
      <c r="AI1663" s="9"/>
      <c r="AJ1663" s="9"/>
      <c r="AK1663" s="9"/>
      <c r="AL1663" s="9"/>
      <c r="AM1663" s="69"/>
      <c r="AN1663" s="9"/>
      <c r="AO1663" s="69" t="s">
        <v>2150</v>
      </c>
      <c r="AP1663" s="210"/>
      <c r="AQ1663" s="211"/>
      <c r="AR1663" s="211"/>
      <c r="AS1663" s="211"/>
      <c r="AT1663" s="211"/>
      <c r="AU1663" s="211"/>
      <c r="AV1663" s="211"/>
      <c r="AW1663" s="9"/>
      <c r="AX1663" s="9"/>
      <c r="AY1663" s="9"/>
      <c r="AZ1663" s="9"/>
      <c r="BA1663" s="120"/>
      <c r="BB1663" s="69"/>
      <c r="BC1663" s="9"/>
      <c r="BD1663" s="9"/>
      <c r="BE1663" s="9"/>
      <c r="BF1663" s="9"/>
      <c r="BG1663" s="9"/>
      <c r="BH1663" s="9"/>
      <c r="BI1663" s="9"/>
      <c r="BJ1663" s="9"/>
      <c r="BK1663" s="9"/>
      <c r="BL1663" s="9"/>
      <c r="BM1663" s="9"/>
      <c r="BN1663" s="9"/>
      <c r="BO1663" s="9"/>
      <c r="BP1663" s="9"/>
      <c r="BQ1663" s="9"/>
      <c r="BR1663" s="9"/>
      <c r="BS1663" s="9"/>
      <c r="BT1663" s="9"/>
      <c r="BU1663" s="9"/>
      <c r="BV1663" s="9"/>
      <c r="BW1663" s="9"/>
      <c r="BX1663" s="9"/>
      <c r="BY1663" s="9"/>
      <c r="BZ1663" s="9"/>
      <c r="CA1663" s="9"/>
      <c r="CB1663" s="9"/>
      <c r="CC1663" s="9"/>
      <c r="CD1663" s="9"/>
      <c r="CE1663" s="9"/>
      <c r="CF1663" s="9"/>
      <c r="CG1663" s="9"/>
      <c r="CH1663" s="9"/>
      <c r="CI1663" s="9"/>
      <c r="CJ1663" s="9"/>
      <c r="CK1663" s="9"/>
      <c r="CL1663" s="9"/>
      <c r="CM1663" s="9"/>
      <c r="CN1663" s="9"/>
      <c r="CO1663" s="9"/>
      <c r="CP1663" s="9"/>
    </row>
    <row r="1664" spans="1:94" x14ac:dyDescent="0.25">
      <c r="A1664" s="9" t="s">
        <v>4618</v>
      </c>
      <c r="B1664" s="9" t="s">
        <v>4619</v>
      </c>
      <c r="C1664" s="9"/>
      <c r="D1664" s="9"/>
      <c r="E1664" s="9"/>
      <c r="F1664" s="9"/>
      <c r="G1664" s="9"/>
      <c r="H1664" s="9"/>
      <c r="I1664" s="9"/>
      <c r="J1664" s="9"/>
      <c r="K1664" s="9"/>
      <c r="L1664" s="9"/>
      <c r="M1664" s="9"/>
      <c r="N1664" s="9"/>
      <c r="O1664" s="9"/>
      <c r="P1664" s="9"/>
      <c r="Q1664" s="9"/>
      <c r="R1664" s="9"/>
      <c r="S1664" s="9"/>
      <c r="T1664" s="9"/>
      <c r="U1664" s="9"/>
      <c r="V1664" s="9"/>
      <c r="W1664" s="9"/>
      <c r="X1664" s="9"/>
      <c r="Y1664" s="9"/>
      <c r="Z1664" s="9"/>
      <c r="AA1664" s="9"/>
      <c r="AB1664" s="9"/>
      <c r="AC1664" s="9"/>
      <c r="AD1664" s="9"/>
      <c r="AE1664" s="9"/>
      <c r="AF1664" s="9"/>
      <c r="AG1664" s="9"/>
      <c r="AH1664" s="9"/>
      <c r="AI1664" s="9"/>
      <c r="AJ1664" s="9"/>
      <c r="AK1664" s="9"/>
      <c r="AL1664" s="9"/>
      <c r="AM1664" s="69"/>
      <c r="AN1664" s="9"/>
      <c r="AO1664" s="69" t="s">
        <v>4434</v>
      </c>
      <c r="AP1664" s="210"/>
      <c r="AQ1664" s="211"/>
      <c r="AR1664" s="211"/>
      <c r="AS1664" s="211"/>
      <c r="AT1664" s="211"/>
      <c r="AU1664" s="211"/>
      <c r="AV1664" s="211"/>
      <c r="AW1664" s="9"/>
      <c r="AX1664" s="9"/>
      <c r="AY1664" s="9"/>
      <c r="AZ1664" s="9"/>
      <c r="BA1664" s="120"/>
      <c r="BB1664" s="69"/>
      <c r="BC1664" s="9"/>
      <c r="BD1664" s="9"/>
      <c r="BE1664" s="9"/>
      <c r="BF1664" s="9"/>
      <c r="BG1664" s="9"/>
      <c r="BH1664" s="9"/>
      <c r="BI1664" s="9"/>
      <c r="BJ1664" s="9"/>
      <c r="BK1664" s="9"/>
      <c r="BL1664" s="9"/>
      <c r="BM1664" s="9"/>
      <c r="BN1664" s="9"/>
      <c r="BO1664" s="9"/>
      <c r="BP1664" s="9"/>
      <c r="BQ1664" s="9"/>
      <c r="BR1664" s="9"/>
      <c r="BS1664" s="9"/>
      <c r="BT1664" s="9"/>
      <c r="BU1664" s="9"/>
      <c r="BV1664" s="9"/>
      <c r="BW1664" s="9"/>
      <c r="BX1664" s="9"/>
      <c r="BY1664" s="9"/>
      <c r="BZ1664" s="9"/>
      <c r="CA1664" s="9"/>
      <c r="CB1664" s="9"/>
      <c r="CC1664" s="9"/>
      <c r="CD1664" s="9"/>
      <c r="CE1664" s="9"/>
      <c r="CF1664" s="9"/>
      <c r="CG1664" s="9"/>
      <c r="CH1664" s="9"/>
      <c r="CI1664" s="9"/>
      <c r="CJ1664" s="9"/>
      <c r="CK1664" s="9"/>
      <c r="CL1664" s="9"/>
      <c r="CM1664" s="9"/>
      <c r="CN1664" s="9"/>
      <c r="CO1664" s="9"/>
      <c r="CP1664" s="9"/>
    </row>
    <row r="1665" spans="1:94" ht="15.75" x14ac:dyDescent="0.25">
      <c r="A1665" s="126" t="s">
        <v>4620</v>
      </c>
      <c r="B1665" s="9" t="s">
        <v>4621</v>
      </c>
      <c r="C1665" s="9"/>
      <c r="D1665" s="9"/>
      <c r="E1665" s="9"/>
      <c r="F1665" s="9"/>
      <c r="G1665" s="9"/>
      <c r="H1665" s="9"/>
      <c r="I1665" s="9"/>
      <c r="J1665" s="9"/>
      <c r="K1665" s="9"/>
      <c r="L1665" s="9"/>
      <c r="M1665" s="9"/>
      <c r="N1665" s="9"/>
      <c r="O1665" s="9"/>
      <c r="P1665" s="9"/>
      <c r="Q1665" s="9"/>
      <c r="R1665" s="9"/>
      <c r="S1665" s="9"/>
      <c r="T1665" s="9"/>
      <c r="U1665" s="9"/>
      <c r="V1665" s="9"/>
      <c r="W1665" s="9"/>
      <c r="X1665" s="9"/>
      <c r="Y1665" s="9"/>
      <c r="Z1665" s="9"/>
      <c r="AA1665" s="9"/>
      <c r="AB1665" s="9"/>
      <c r="AC1665" s="9"/>
      <c r="AD1665" s="9"/>
      <c r="AE1665" s="9"/>
      <c r="AF1665" s="9"/>
      <c r="AG1665" s="9"/>
      <c r="AH1665" s="9"/>
      <c r="AI1665" s="9"/>
      <c r="AJ1665" s="9"/>
      <c r="AK1665" s="9"/>
      <c r="AL1665" s="9"/>
      <c r="AM1665" s="69"/>
      <c r="AN1665" s="9"/>
      <c r="AO1665" s="69" t="s">
        <v>4591</v>
      </c>
      <c r="AP1665" s="210"/>
      <c r="AQ1665" s="211"/>
      <c r="AR1665" s="211"/>
      <c r="AS1665" s="211"/>
      <c r="AT1665" s="211"/>
      <c r="AU1665" s="211"/>
      <c r="AV1665" s="211"/>
      <c r="AW1665" s="9"/>
      <c r="AX1665" s="9"/>
      <c r="AY1665" s="9"/>
      <c r="AZ1665" s="9"/>
      <c r="BA1665" s="120"/>
      <c r="BB1665" s="69"/>
      <c r="BC1665" s="9"/>
      <c r="BD1665" s="9"/>
      <c r="BE1665" s="9"/>
      <c r="BF1665" s="9"/>
      <c r="BG1665" s="9"/>
      <c r="BH1665" s="9"/>
      <c r="BI1665" s="9"/>
      <c r="BJ1665" s="9"/>
      <c r="BK1665" s="9"/>
      <c r="BL1665" s="9"/>
      <c r="BM1665" s="9"/>
      <c r="BN1665" s="9"/>
      <c r="BO1665" s="9"/>
      <c r="BP1665" s="9"/>
      <c r="BQ1665" s="9"/>
      <c r="BR1665" s="9"/>
      <c r="BS1665" s="9"/>
      <c r="BT1665" s="9"/>
      <c r="BU1665" s="9"/>
      <c r="BV1665" s="9"/>
      <c r="BW1665" s="9"/>
      <c r="BX1665" s="9"/>
      <c r="BY1665" s="9"/>
      <c r="BZ1665" s="9"/>
      <c r="CA1665" s="9"/>
      <c r="CB1665" s="9"/>
      <c r="CC1665" s="9"/>
      <c r="CD1665" s="9"/>
      <c r="CE1665" s="9"/>
      <c r="CF1665" s="9"/>
      <c r="CG1665" s="9"/>
      <c r="CH1665" s="9"/>
      <c r="CI1665" s="9"/>
      <c r="CJ1665" s="9"/>
      <c r="CK1665" s="9"/>
      <c r="CL1665" s="9"/>
      <c r="CM1665" s="9"/>
      <c r="CN1665" s="9"/>
      <c r="CO1665" s="9"/>
      <c r="CP1665" s="9"/>
    </row>
    <row r="1666" spans="1:94" ht="15.75" x14ac:dyDescent="0.25">
      <c r="A1666" s="126" t="s">
        <v>4622</v>
      </c>
      <c r="B1666" s="9" t="s">
        <v>4623</v>
      </c>
      <c r="C1666" s="9"/>
      <c r="D1666" s="9"/>
      <c r="E1666" s="9"/>
      <c r="F1666" s="9"/>
      <c r="G1666" s="9"/>
      <c r="H1666" s="9"/>
      <c r="I1666" s="9"/>
      <c r="J1666" s="9"/>
      <c r="K1666" s="9"/>
      <c r="L1666" s="9"/>
      <c r="M1666" s="9"/>
      <c r="N1666" s="9"/>
      <c r="O1666" s="9"/>
      <c r="P1666" s="9"/>
      <c r="Q1666" s="9"/>
      <c r="R1666" s="9"/>
      <c r="S1666" s="9"/>
      <c r="T1666" s="9"/>
      <c r="U1666" s="9"/>
      <c r="V1666" s="9"/>
      <c r="W1666" s="9"/>
      <c r="X1666" s="9"/>
      <c r="Y1666" s="9"/>
      <c r="Z1666" s="9"/>
      <c r="AA1666" s="9"/>
      <c r="AB1666" s="9"/>
      <c r="AC1666" s="9"/>
      <c r="AD1666" s="9"/>
      <c r="AE1666" s="9"/>
      <c r="AF1666" s="9"/>
      <c r="AG1666" s="9"/>
      <c r="AH1666" s="9"/>
      <c r="AI1666" s="9"/>
      <c r="AJ1666" s="9"/>
      <c r="AK1666" s="9"/>
      <c r="AL1666" s="9"/>
      <c r="AM1666" s="69"/>
      <c r="AN1666" s="9"/>
      <c r="AO1666" s="69" t="s">
        <v>4591</v>
      </c>
      <c r="AP1666" s="210"/>
      <c r="AQ1666" s="211"/>
      <c r="AR1666" s="211"/>
      <c r="AS1666" s="211"/>
      <c r="AT1666" s="211"/>
      <c r="AU1666" s="211"/>
      <c r="AV1666" s="211"/>
      <c r="AW1666" s="9"/>
      <c r="AX1666" s="9"/>
      <c r="AY1666" s="9"/>
      <c r="AZ1666" s="9"/>
      <c r="BA1666" s="120"/>
      <c r="BB1666" s="69"/>
      <c r="BC1666" s="9"/>
      <c r="BD1666" s="9"/>
      <c r="BE1666" s="9"/>
      <c r="BF1666" s="9"/>
      <c r="BG1666" s="9"/>
      <c r="BH1666" s="9"/>
      <c r="BI1666" s="9"/>
      <c r="BJ1666" s="9"/>
      <c r="BK1666" s="9"/>
      <c r="BL1666" s="9"/>
      <c r="BM1666" s="9"/>
      <c r="BN1666" s="9"/>
      <c r="BO1666" s="9"/>
      <c r="BP1666" s="9"/>
      <c r="BQ1666" s="9"/>
      <c r="BR1666" s="9"/>
      <c r="BS1666" s="9"/>
      <c r="BT1666" s="9"/>
      <c r="BU1666" s="9"/>
      <c r="BV1666" s="9"/>
      <c r="BW1666" s="9"/>
      <c r="BX1666" s="9"/>
      <c r="BY1666" s="9"/>
      <c r="BZ1666" s="9"/>
      <c r="CA1666" s="9"/>
      <c r="CB1666" s="9"/>
      <c r="CC1666" s="9"/>
      <c r="CD1666" s="9"/>
      <c r="CE1666" s="9"/>
      <c r="CF1666" s="9"/>
      <c r="CG1666" s="9"/>
      <c r="CH1666" s="9"/>
      <c r="CI1666" s="9"/>
      <c r="CJ1666" s="9"/>
      <c r="CK1666" s="9"/>
      <c r="CL1666" s="9"/>
      <c r="CM1666" s="9"/>
      <c r="CN1666" s="9"/>
      <c r="CO1666" s="9"/>
      <c r="CP1666" s="9"/>
    </row>
    <row r="1667" spans="1:94" ht="30" x14ac:dyDescent="0.25">
      <c r="A1667" s="126" t="s">
        <v>4624</v>
      </c>
      <c r="B1667" s="9" t="s">
        <v>4625</v>
      </c>
      <c r="C1667" s="9"/>
      <c r="D1667" s="9"/>
      <c r="E1667" s="9"/>
      <c r="F1667" s="9"/>
      <c r="G1667" s="9"/>
      <c r="H1667" s="9"/>
      <c r="I1667" s="9"/>
      <c r="J1667" s="9"/>
      <c r="K1667" s="9"/>
      <c r="L1667" s="9"/>
      <c r="M1667" s="9"/>
      <c r="N1667" s="9"/>
      <c r="O1667" s="9"/>
      <c r="P1667" s="9"/>
      <c r="Q1667" s="9"/>
      <c r="R1667" s="9"/>
      <c r="S1667" s="9"/>
      <c r="T1667" s="9"/>
      <c r="U1667" s="9"/>
      <c r="V1667" s="9"/>
      <c r="W1667" s="9"/>
      <c r="X1667" s="9"/>
      <c r="Y1667" s="9"/>
      <c r="Z1667" s="9"/>
      <c r="AA1667" s="9"/>
      <c r="AB1667" s="9"/>
      <c r="AC1667" s="9"/>
      <c r="AD1667" s="9"/>
      <c r="AE1667" s="9"/>
      <c r="AF1667" s="9"/>
      <c r="AG1667" s="9"/>
      <c r="AH1667" s="9"/>
      <c r="AI1667" s="9"/>
      <c r="AJ1667" s="9"/>
      <c r="AK1667" s="9"/>
      <c r="AL1667" s="9"/>
      <c r="AM1667" s="69"/>
      <c r="AN1667" s="9"/>
      <c r="AO1667" s="69" t="s">
        <v>3351</v>
      </c>
      <c r="AP1667" s="210"/>
      <c r="AQ1667" s="211"/>
      <c r="AR1667" s="211"/>
      <c r="AS1667" s="211"/>
      <c r="AT1667" s="211"/>
      <c r="AU1667" s="211"/>
      <c r="AV1667" s="211"/>
      <c r="AW1667" s="9"/>
      <c r="AX1667" s="9"/>
      <c r="AY1667" s="9"/>
      <c r="AZ1667" s="9"/>
      <c r="BA1667" s="120"/>
      <c r="BB1667" s="69"/>
      <c r="BC1667" s="9"/>
      <c r="BD1667" s="9"/>
      <c r="BE1667" s="9"/>
      <c r="BF1667" s="9"/>
      <c r="BG1667" s="9"/>
      <c r="BH1667" s="9"/>
      <c r="BI1667" s="9"/>
      <c r="BJ1667" s="9"/>
      <c r="BK1667" s="9"/>
      <c r="BL1667" s="9"/>
      <c r="BM1667" s="9"/>
      <c r="BN1667" s="9"/>
      <c r="BO1667" s="9"/>
      <c r="BP1667" s="9"/>
      <c r="BQ1667" s="9"/>
      <c r="BR1667" s="9"/>
      <c r="BS1667" s="9"/>
      <c r="BT1667" s="9"/>
      <c r="BU1667" s="9"/>
      <c r="BV1667" s="9"/>
      <c r="BW1667" s="9"/>
      <c r="BX1667" s="9"/>
      <c r="BY1667" s="9"/>
      <c r="BZ1667" s="9"/>
      <c r="CA1667" s="9"/>
      <c r="CB1667" s="9"/>
      <c r="CC1667" s="9"/>
      <c r="CD1667" s="9"/>
      <c r="CE1667" s="9"/>
      <c r="CF1667" s="9"/>
      <c r="CG1667" s="9"/>
      <c r="CH1667" s="9"/>
      <c r="CI1667" s="9"/>
      <c r="CJ1667" s="9"/>
      <c r="CK1667" s="9"/>
      <c r="CL1667" s="9"/>
      <c r="CM1667" s="9"/>
      <c r="CN1667" s="9"/>
      <c r="CO1667" s="9"/>
      <c r="CP1667" s="9"/>
    </row>
    <row r="1668" spans="1:94" ht="30" x14ac:dyDescent="0.25">
      <c r="A1668" s="126" t="s">
        <v>4626</v>
      </c>
      <c r="B1668" s="9" t="s">
        <v>4627</v>
      </c>
      <c r="C1668" s="9"/>
      <c r="D1668" s="9"/>
      <c r="E1668" s="9"/>
      <c r="F1668" s="9"/>
      <c r="G1668" s="9"/>
      <c r="H1668" s="9"/>
      <c r="I1668" s="9"/>
      <c r="J1668" s="9"/>
      <c r="K1668" s="9"/>
      <c r="L1668" s="9"/>
      <c r="M1668" s="9"/>
      <c r="N1668" s="9"/>
      <c r="O1668" s="9"/>
      <c r="P1668" s="9"/>
      <c r="Q1668" s="9"/>
      <c r="R1668" s="9"/>
      <c r="S1668" s="9"/>
      <c r="T1668" s="9"/>
      <c r="U1668" s="9"/>
      <c r="V1668" s="9"/>
      <c r="W1668" s="9"/>
      <c r="X1668" s="9"/>
      <c r="Y1668" s="9"/>
      <c r="Z1668" s="9"/>
      <c r="AA1668" s="9"/>
      <c r="AB1668" s="9"/>
      <c r="AC1668" s="9"/>
      <c r="AD1668" s="9"/>
      <c r="AE1668" s="9"/>
      <c r="AF1668" s="9"/>
      <c r="AG1668" s="9"/>
      <c r="AH1668" s="9"/>
      <c r="AI1668" s="9"/>
      <c r="AJ1668" s="9"/>
      <c r="AK1668" s="9"/>
      <c r="AL1668" s="9"/>
      <c r="AM1668" s="69"/>
      <c r="AN1668" s="9"/>
      <c r="AO1668" s="69" t="s">
        <v>3351</v>
      </c>
      <c r="AP1668" s="210"/>
      <c r="AQ1668" s="211"/>
      <c r="AR1668" s="211"/>
      <c r="AS1668" s="211"/>
      <c r="AT1668" s="211"/>
      <c r="AU1668" s="211"/>
      <c r="AV1668" s="211"/>
      <c r="AW1668" s="9"/>
      <c r="AX1668" s="9"/>
      <c r="AY1668" s="9"/>
      <c r="AZ1668" s="9"/>
      <c r="BA1668" s="120"/>
      <c r="BB1668" s="69"/>
      <c r="BC1668" s="9"/>
      <c r="BD1668" s="9"/>
      <c r="BE1668" s="9"/>
      <c r="BF1668" s="9"/>
      <c r="BG1668" s="9"/>
      <c r="BH1668" s="9"/>
      <c r="BI1668" s="9"/>
      <c r="BJ1668" s="9"/>
      <c r="BK1668" s="9"/>
      <c r="BL1668" s="9"/>
      <c r="BM1668" s="9"/>
      <c r="BN1668" s="9"/>
      <c r="BO1668" s="9"/>
      <c r="BP1668" s="9"/>
      <c r="BQ1668" s="9"/>
      <c r="BR1668" s="9"/>
      <c r="BS1668" s="9"/>
      <c r="BT1668" s="9"/>
      <c r="BU1668" s="9"/>
      <c r="BV1668" s="9"/>
      <c r="BW1668" s="9"/>
      <c r="BX1668" s="9"/>
      <c r="BY1668" s="9"/>
      <c r="BZ1668" s="9"/>
      <c r="CA1668" s="9"/>
      <c r="CB1668" s="9"/>
      <c r="CC1668" s="9"/>
      <c r="CD1668" s="9"/>
      <c r="CE1668" s="9"/>
      <c r="CF1668" s="9"/>
      <c r="CG1668" s="9"/>
      <c r="CH1668" s="9"/>
      <c r="CI1668" s="9"/>
      <c r="CJ1668" s="9"/>
      <c r="CK1668" s="9"/>
      <c r="CL1668" s="9"/>
      <c r="CM1668" s="9"/>
      <c r="CN1668" s="9"/>
      <c r="CO1668" s="9"/>
      <c r="CP1668" s="9"/>
    </row>
    <row r="1669" spans="1:94" ht="30" x14ac:dyDescent="0.25">
      <c r="A1669" s="126" t="s">
        <v>4628</v>
      </c>
      <c r="B1669" s="9" t="s">
        <v>4629</v>
      </c>
      <c r="C1669" s="9"/>
      <c r="D1669" s="9"/>
      <c r="E1669" s="9"/>
      <c r="F1669" s="9"/>
      <c r="G1669" s="9"/>
      <c r="H1669" s="9"/>
      <c r="I1669" s="9"/>
      <c r="J1669" s="9"/>
      <c r="K1669" s="9"/>
      <c r="L1669" s="9"/>
      <c r="M1669" s="9"/>
      <c r="N1669" s="9"/>
      <c r="O1669" s="9"/>
      <c r="P1669" s="9"/>
      <c r="Q1669" s="9"/>
      <c r="R1669" s="9"/>
      <c r="S1669" s="9"/>
      <c r="T1669" s="9"/>
      <c r="U1669" s="9"/>
      <c r="V1669" s="9"/>
      <c r="W1669" s="9"/>
      <c r="X1669" s="9"/>
      <c r="Y1669" s="9"/>
      <c r="Z1669" s="9"/>
      <c r="AA1669" s="9"/>
      <c r="AB1669" s="9"/>
      <c r="AC1669" s="9"/>
      <c r="AD1669" s="9"/>
      <c r="AE1669" s="9"/>
      <c r="AF1669" s="9"/>
      <c r="AG1669" s="9"/>
      <c r="AH1669" s="9"/>
      <c r="AI1669" s="9"/>
      <c r="AJ1669" s="9"/>
      <c r="AK1669" s="9"/>
      <c r="AL1669" s="9"/>
      <c r="AM1669" s="69"/>
      <c r="AN1669" s="9"/>
      <c r="AO1669" s="69" t="s">
        <v>3351</v>
      </c>
      <c r="AP1669" s="210"/>
      <c r="AQ1669" s="211"/>
      <c r="AR1669" s="211"/>
      <c r="AS1669" s="211"/>
      <c r="AT1669" s="211"/>
      <c r="AU1669" s="211"/>
      <c r="AV1669" s="211"/>
      <c r="AW1669" s="9"/>
      <c r="AX1669" s="9"/>
      <c r="AY1669" s="9"/>
      <c r="AZ1669" s="9"/>
      <c r="BA1669" s="120"/>
      <c r="BB1669" s="69"/>
      <c r="BC1669" s="9"/>
      <c r="BD1669" s="9"/>
      <c r="BE1669" s="9"/>
      <c r="BF1669" s="9"/>
      <c r="BG1669" s="9"/>
      <c r="BH1669" s="9"/>
      <c r="BI1669" s="9"/>
      <c r="BJ1669" s="9"/>
      <c r="BK1669" s="9"/>
      <c r="BL1669" s="9"/>
      <c r="BM1669" s="9"/>
      <c r="BN1669" s="9"/>
      <c r="BO1669" s="9"/>
      <c r="BP1669" s="9"/>
      <c r="BQ1669" s="9"/>
      <c r="BR1669" s="9"/>
      <c r="BS1669" s="9"/>
      <c r="BT1669" s="9"/>
      <c r="BU1669" s="9"/>
      <c r="BV1669" s="9"/>
      <c r="BW1669" s="9"/>
      <c r="BX1669" s="9"/>
      <c r="BY1669" s="9"/>
      <c r="BZ1669" s="9"/>
      <c r="CA1669" s="9"/>
      <c r="CB1669" s="9"/>
      <c r="CC1669" s="9"/>
      <c r="CD1669" s="9"/>
      <c r="CE1669" s="9"/>
      <c r="CF1669" s="9"/>
      <c r="CG1669" s="9"/>
      <c r="CH1669" s="9"/>
      <c r="CI1669" s="9"/>
      <c r="CJ1669" s="9"/>
      <c r="CK1669" s="9"/>
      <c r="CL1669" s="9"/>
      <c r="CM1669" s="9"/>
      <c r="CN1669" s="9"/>
      <c r="CO1669" s="9"/>
      <c r="CP1669" s="9"/>
    </row>
    <row r="1670" spans="1:94" ht="30" x14ac:dyDescent="0.25">
      <c r="A1670" s="126" t="s">
        <v>4630</v>
      </c>
      <c r="B1670" s="9" t="s">
        <v>4631</v>
      </c>
      <c r="C1670" s="9"/>
      <c r="D1670" s="9"/>
      <c r="E1670" s="9"/>
      <c r="F1670" s="9"/>
      <c r="G1670" s="9"/>
      <c r="H1670" s="9"/>
      <c r="I1670" s="9"/>
      <c r="J1670" s="9"/>
      <c r="K1670" s="9"/>
      <c r="L1670" s="9"/>
      <c r="M1670" s="9"/>
      <c r="N1670" s="9"/>
      <c r="O1670" s="9"/>
      <c r="P1670" s="9"/>
      <c r="Q1670" s="9"/>
      <c r="R1670" s="9"/>
      <c r="S1670" s="9"/>
      <c r="T1670" s="9"/>
      <c r="U1670" s="9"/>
      <c r="V1670" s="9"/>
      <c r="W1670" s="9"/>
      <c r="X1670" s="9"/>
      <c r="Y1670" s="9"/>
      <c r="Z1670" s="9"/>
      <c r="AA1670" s="9"/>
      <c r="AB1670" s="9"/>
      <c r="AC1670" s="9"/>
      <c r="AD1670" s="9"/>
      <c r="AE1670" s="9"/>
      <c r="AF1670" s="9"/>
      <c r="AG1670" s="9"/>
      <c r="AH1670" s="9"/>
      <c r="AI1670" s="9"/>
      <c r="AJ1670" s="9"/>
      <c r="AK1670" s="9"/>
      <c r="AL1670" s="9"/>
      <c r="AM1670" s="69"/>
      <c r="AN1670" s="9"/>
      <c r="AO1670" s="69" t="s">
        <v>3351</v>
      </c>
      <c r="AP1670" s="210"/>
      <c r="AQ1670" s="211"/>
      <c r="AR1670" s="211"/>
      <c r="AS1670" s="211"/>
      <c r="AT1670" s="211"/>
      <c r="AU1670" s="211"/>
      <c r="AV1670" s="211"/>
      <c r="AW1670" s="9"/>
      <c r="AX1670" s="9"/>
      <c r="AY1670" s="9"/>
      <c r="AZ1670" s="9"/>
      <c r="BA1670" s="120"/>
      <c r="BB1670" s="69"/>
      <c r="BC1670" s="9"/>
      <c r="BD1670" s="9"/>
      <c r="BE1670" s="9"/>
      <c r="BF1670" s="9"/>
      <c r="BG1670" s="9"/>
      <c r="BH1670" s="9"/>
      <c r="BI1670" s="9"/>
      <c r="BJ1670" s="9"/>
      <c r="BK1670" s="9"/>
      <c r="BL1670" s="9"/>
      <c r="BM1670" s="9"/>
      <c r="BN1670" s="9"/>
      <c r="BO1670" s="9"/>
      <c r="BP1670" s="9"/>
      <c r="BQ1670" s="9"/>
      <c r="BR1670" s="9"/>
      <c r="BS1670" s="9"/>
      <c r="BT1670" s="9"/>
      <c r="BU1670" s="9"/>
      <c r="BV1670" s="9"/>
      <c r="BW1670" s="9"/>
      <c r="BX1670" s="9"/>
      <c r="BY1670" s="9"/>
      <c r="BZ1670" s="9"/>
      <c r="CA1670" s="9"/>
      <c r="CB1670" s="9"/>
      <c r="CC1670" s="9"/>
      <c r="CD1670" s="9"/>
      <c r="CE1670" s="9"/>
      <c r="CF1670" s="9"/>
      <c r="CG1670" s="9"/>
      <c r="CH1670" s="9"/>
      <c r="CI1670" s="9"/>
      <c r="CJ1670" s="9"/>
      <c r="CK1670" s="9"/>
      <c r="CL1670" s="9"/>
      <c r="CM1670" s="9"/>
      <c r="CN1670" s="9"/>
      <c r="CO1670" s="9"/>
      <c r="CP1670" s="9"/>
    </row>
    <row r="1671" spans="1:94" ht="30" x14ac:dyDescent="0.25">
      <c r="A1671" s="126" t="s">
        <v>4632</v>
      </c>
      <c r="B1671" s="9" t="s">
        <v>4633</v>
      </c>
      <c r="C1671" s="9"/>
      <c r="D1671" s="9"/>
      <c r="E1671" s="9"/>
      <c r="F1671" s="9"/>
      <c r="G1671" s="9"/>
      <c r="H1671" s="9"/>
      <c r="I1671" s="9"/>
      <c r="J1671" s="9"/>
      <c r="K1671" s="9"/>
      <c r="L1671" s="9"/>
      <c r="M1671" s="9"/>
      <c r="N1671" s="9"/>
      <c r="O1671" s="9"/>
      <c r="P1671" s="9"/>
      <c r="Q1671" s="9"/>
      <c r="R1671" s="9"/>
      <c r="S1671" s="9"/>
      <c r="T1671" s="9"/>
      <c r="U1671" s="9"/>
      <c r="V1671" s="9"/>
      <c r="W1671" s="9"/>
      <c r="X1671" s="9"/>
      <c r="Y1671" s="9"/>
      <c r="Z1671" s="9"/>
      <c r="AA1671" s="9"/>
      <c r="AB1671" s="9"/>
      <c r="AC1671" s="9"/>
      <c r="AD1671" s="9"/>
      <c r="AE1671" s="9"/>
      <c r="AF1671" s="9"/>
      <c r="AG1671" s="9"/>
      <c r="AH1671" s="9"/>
      <c r="AI1671" s="9"/>
      <c r="AJ1671" s="9"/>
      <c r="AK1671" s="9"/>
      <c r="AL1671" s="9"/>
      <c r="AM1671" s="69"/>
      <c r="AN1671" s="9"/>
      <c r="AO1671" s="69" t="s">
        <v>3351</v>
      </c>
      <c r="AP1671" s="210"/>
      <c r="AQ1671" s="211"/>
      <c r="AR1671" s="211"/>
      <c r="AS1671" s="211"/>
      <c r="AT1671" s="211"/>
      <c r="AU1671" s="211"/>
      <c r="AV1671" s="211"/>
      <c r="AW1671" s="9"/>
      <c r="AX1671" s="9"/>
      <c r="AY1671" s="9"/>
      <c r="AZ1671" s="9"/>
      <c r="BA1671" s="120"/>
      <c r="BB1671" s="69"/>
      <c r="BC1671" s="9"/>
      <c r="BD1671" s="9"/>
      <c r="BE1671" s="9"/>
      <c r="BF1671" s="9"/>
      <c r="BG1671" s="9"/>
      <c r="BH1671" s="9"/>
      <c r="BI1671" s="9"/>
      <c r="BJ1671" s="9"/>
      <c r="BK1671" s="9"/>
      <c r="BL1671" s="9"/>
      <c r="BM1671" s="9"/>
      <c r="BN1671" s="9"/>
      <c r="BO1671" s="9"/>
      <c r="BP1671" s="9"/>
      <c r="BQ1671" s="9"/>
      <c r="BR1671" s="9"/>
      <c r="BS1671" s="9"/>
      <c r="BT1671" s="9"/>
      <c r="BU1671" s="9"/>
      <c r="BV1671" s="9"/>
      <c r="BW1671" s="9"/>
      <c r="BX1671" s="9"/>
      <c r="BY1671" s="9"/>
      <c r="BZ1671" s="9"/>
      <c r="CA1671" s="9"/>
      <c r="CB1671" s="9"/>
      <c r="CC1671" s="9"/>
      <c r="CD1671" s="9"/>
      <c r="CE1671" s="9"/>
      <c r="CF1671" s="9"/>
      <c r="CG1671" s="9"/>
      <c r="CH1671" s="9"/>
      <c r="CI1671" s="9"/>
      <c r="CJ1671" s="9"/>
      <c r="CK1671" s="9"/>
      <c r="CL1671" s="9"/>
      <c r="CM1671" s="9"/>
      <c r="CN1671" s="9"/>
      <c r="CO1671" s="9"/>
      <c r="CP1671" s="9"/>
    </row>
    <row r="1672" spans="1:94" ht="30" x14ac:dyDescent="0.25">
      <c r="A1672" s="126" t="s">
        <v>4634</v>
      </c>
      <c r="B1672" s="9" t="s">
        <v>4635</v>
      </c>
      <c r="C1672" s="9"/>
      <c r="D1672" s="9"/>
      <c r="E1672" s="9"/>
      <c r="F1672" s="9"/>
      <c r="G1672" s="9"/>
      <c r="H1672" s="9"/>
      <c r="I1672" s="9"/>
      <c r="J1672" s="9"/>
      <c r="K1672" s="9"/>
      <c r="L1672" s="9"/>
      <c r="M1672" s="9"/>
      <c r="N1672" s="9"/>
      <c r="O1672" s="9"/>
      <c r="P1672" s="9"/>
      <c r="Q1672" s="9"/>
      <c r="R1672" s="9"/>
      <c r="S1672" s="9"/>
      <c r="T1672" s="9"/>
      <c r="U1672" s="9"/>
      <c r="V1672" s="9"/>
      <c r="W1672" s="9"/>
      <c r="X1672" s="9"/>
      <c r="Y1672" s="9"/>
      <c r="Z1672" s="9"/>
      <c r="AA1672" s="9"/>
      <c r="AB1672" s="9"/>
      <c r="AC1672" s="9"/>
      <c r="AD1672" s="9"/>
      <c r="AE1672" s="9"/>
      <c r="AF1672" s="9"/>
      <c r="AG1672" s="9"/>
      <c r="AH1672" s="9"/>
      <c r="AI1672" s="9"/>
      <c r="AJ1672" s="9"/>
      <c r="AK1672" s="9"/>
      <c r="AL1672" s="9"/>
      <c r="AM1672" s="69"/>
      <c r="AN1672" s="9"/>
      <c r="AO1672" s="69" t="s">
        <v>3351</v>
      </c>
      <c r="AP1672" s="210"/>
      <c r="AQ1672" s="211"/>
      <c r="AR1672" s="211"/>
      <c r="AS1672" s="211"/>
      <c r="AT1672" s="211"/>
      <c r="AU1672" s="211"/>
      <c r="AV1672" s="211"/>
      <c r="AW1672" s="9"/>
      <c r="AX1672" s="9"/>
      <c r="AY1672" s="9"/>
      <c r="AZ1672" s="9"/>
      <c r="BA1672" s="120"/>
      <c r="BB1672" s="69"/>
      <c r="BC1672" s="9"/>
      <c r="BD1672" s="9"/>
      <c r="BE1672" s="9"/>
      <c r="BF1672" s="9"/>
      <c r="BG1672" s="9"/>
      <c r="BH1672" s="9"/>
      <c r="BI1672" s="9"/>
      <c r="BJ1672" s="9"/>
      <c r="BK1672" s="9"/>
      <c r="BL1672" s="9"/>
      <c r="BM1672" s="9"/>
      <c r="BN1672" s="9"/>
      <c r="BO1672" s="9"/>
      <c r="BP1672" s="9"/>
      <c r="BQ1672" s="9"/>
      <c r="BR1672" s="9"/>
      <c r="BS1672" s="9"/>
      <c r="BT1672" s="9"/>
      <c r="BU1672" s="9"/>
      <c r="BV1672" s="9"/>
      <c r="BW1672" s="9"/>
      <c r="BX1672" s="9"/>
      <c r="BY1672" s="9"/>
      <c r="BZ1672" s="9"/>
      <c r="CA1672" s="9"/>
      <c r="CB1672" s="9"/>
      <c r="CC1672" s="9"/>
      <c r="CD1672" s="9"/>
      <c r="CE1672" s="9"/>
      <c r="CF1672" s="9"/>
      <c r="CG1672" s="9"/>
      <c r="CH1672" s="9"/>
      <c r="CI1672" s="9"/>
      <c r="CJ1672" s="9"/>
      <c r="CK1672" s="9"/>
      <c r="CL1672" s="9"/>
      <c r="CM1672" s="9"/>
      <c r="CN1672" s="9"/>
      <c r="CO1672" s="9"/>
      <c r="CP1672" s="9"/>
    </row>
    <row r="1673" spans="1:94" ht="15.75" x14ac:dyDescent="0.25">
      <c r="A1673" s="126" t="s">
        <v>4636</v>
      </c>
      <c r="B1673" s="9" t="s">
        <v>4637</v>
      </c>
      <c r="C1673" s="9"/>
      <c r="D1673" s="9"/>
      <c r="E1673" s="9"/>
      <c r="F1673" s="9"/>
      <c r="G1673" s="9"/>
      <c r="H1673" s="9"/>
      <c r="I1673" s="9"/>
      <c r="J1673" s="9"/>
      <c r="K1673" s="9"/>
      <c r="L1673" s="9"/>
      <c r="M1673" s="9"/>
      <c r="N1673" s="9"/>
      <c r="O1673" s="9"/>
      <c r="P1673" s="9"/>
      <c r="Q1673" s="9"/>
      <c r="R1673" s="9"/>
      <c r="S1673" s="9"/>
      <c r="T1673" s="9"/>
      <c r="U1673" s="9"/>
      <c r="V1673" s="9"/>
      <c r="W1673" s="9"/>
      <c r="X1673" s="9"/>
      <c r="Y1673" s="9"/>
      <c r="Z1673" s="9"/>
      <c r="AA1673" s="9"/>
      <c r="AB1673" s="9"/>
      <c r="AC1673" s="9"/>
      <c r="AD1673" s="9"/>
      <c r="AE1673" s="9"/>
      <c r="AF1673" s="9"/>
      <c r="AG1673" s="9"/>
      <c r="AH1673" s="9"/>
      <c r="AI1673" s="9"/>
      <c r="AJ1673" s="9"/>
      <c r="AK1673" s="9"/>
      <c r="AL1673" s="9"/>
      <c r="AM1673" s="69"/>
      <c r="AN1673" s="9"/>
      <c r="AO1673" s="69" t="s">
        <v>2150</v>
      </c>
      <c r="AP1673" s="210"/>
      <c r="AQ1673" s="211"/>
      <c r="AR1673" s="211"/>
      <c r="AS1673" s="211"/>
      <c r="AT1673" s="211"/>
      <c r="AU1673" s="211"/>
      <c r="AV1673" s="211"/>
      <c r="AW1673" s="9"/>
      <c r="AX1673" s="9"/>
      <c r="AY1673" s="9"/>
      <c r="AZ1673" s="9"/>
      <c r="BA1673" s="120"/>
      <c r="BB1673" s="69"/>
      <c r="BC1673" s="9"/>
      <c r="BD1673" s="9"/>
      <c r="BE1673" s="9"/>
      <c r="BF1673" s="9"/>
      <c r="BG1673" s="9"/>
      <c r="BH1673" s="9"/>
      <c r="BI1673" s="9"/>
      <c r="BJ1673" s="9"/>
      <c r="BK1673" s="9"/>
      <c r="BL1673" s="9"/>
      <c r="BM1673" s="9"/>
      <c r="BN1673" s="9"/>
      <c r="BO1673" s="9"/>
      <c r="BP1673" s="9"/>
      <c r="BQ1673" s="9"/>
      <c r="BR1673" s="9"/>
      <c r="BS1673" s="9"/>
      <c r="BT1673" s="9"/>
      <c r="BU1673" s="9"/>
      <c r="BV1673" s="9"/>
      <c r="BW1673" s="9"/>
      <c r="BX1673" s="9"/>
      <c r="BY1673" s="9"/>
      <c r="BZ1673" s="9"/>
      <c r="CA1673" s="9"/>
      <c r="CB1673" s="9"/>
      <c r="CC1673" s="9"/>
      <c r="CD1673" s="9"/>
      <c r="CE1673" s="9"/>
      <c r="CF1673" s="9"/>
      <c r="CG1673" s="9"/>
      <c r="CH1673" s="9"/>
      <c r="CI1673" s="9"/>
      <c r="CJ1673" s="9"/>
      <c r="CK1673" s="9"/>
      <c r="CL1673" s="9"/>
      <c r="CM1673" s="9"/>
      <c r="CN1673" s="9"/>
      <c r="CO1673" s="9"/>
      <c r="CP1673" s="9"/>
    </row>
    <row r="1674" spans="1:94" ht="15.75" x14ac:dyDescent="0.25">
      <c r="A1674" s="270" t="s">
        <v>4638</v>
      </c>
      <c r="B1674" s="9" t="s">
        <v>4639</v>
      </c>
      <c r="C1674" s="9"/>
      <c r="D1674" s="9"/>
      <c r="E1674" s="9"/>
      <c r="F1674" s="9"/>
      <c r="G1674" s="9"/>
      <c r="H1674" s="9"/>
      <c r="I1674" s="9"/>
      <c r="J1674" s="9"/>
      <c r="K1674" s="9"/>
      <c r="L1674" s="9"/>
      <c r="M1674" s="9"/>
      <c r="N1674" s="9"/>
      <c r="O1674" s="9"/>
      <c r="P1674" s="9"/>
      <c r="Q1674" s="9"/>
      <c r="R1674" s="9"/>
      <c r="S1674" s="9"/>
      <c r="T1674" s="9"/>
      <c r="U1674" s="9"/>
      <c r="V1674" s="9"/>
      <c r="W1674" s="9"/>
      <c r="X1674" s="9"/>
      <c r="Y1674" s="9"/>
      <c r="Z1674" s="9"/>
      <c r="AA1674" s="9"/>
      <c r="AB1674" s="9"/>
      <c r="AC1674" s="9"/>
      <c r="AD1674" s="9"/>
      <c r="AE1674" s="9"/>
      <c r="AF1674" s="9"/>
      <c r="AG1674" s="9"/>
      <c r="AH1674" s="9"/>
      <c r="AI1674" s="9"/>
      <c r="AJ1674" s="9"/>
      <c r="AK1674" s="9"/>
      <c r="AL1674" s="9"/>
      <c r="AM1674" s="69"/>
      <c r="AN1674" s="9"/>
      <c r="AO1674" s="69" t="s">
        <v>4434</v>
      </c>
      <c r="AP1674" s="210"/>
      <c r="AQ1674" s="211"/>
      <c r="AR1674" s="211"/>
      <c r="AS1674" s="211"/>
      <c r="AT1674" s="211"/>
      <c r="AU1674" s="211"/>
      <c r="AV1674" s="211"/>
      <c r="AW1674" s="9"/>
      <c r="AX1674" s="9"/>
      <c r="AY1674" s="9"/>
      <c r="AZ1674" s="9"/>
      <c r="BA1674" s="120"/>
      <c r="BB1674" s="69"/>
      <c r="BC1674" s="9"/>
      <c r="BD1674" s="9"/>
      <c r="BE1674" s="9"/>
      <c r="BF1674" s="9"/>
      <c r="BG1674" s="9"/>
      <c r="BH1674" s="9"/>
      <c r="BI1674" s="9"/>
      <c r="BJ1674" s="9"/>
      <c r="BK1674" s="9"/>
      <c r="BL1674" s="9"/>
      <c r="BM1674" s="9"/>
      <c r="BN1674" s="9"/>
      <c r="BO1674" s="9"/>
      <c r="BP1674" s="9"/>
      <c r="BQ1674" s="9"/>
      <c r="BR1674" s="9"/>
      <c r="BS1674" s="9"/>
      <c r="BT1674" s="9"/>
      <c r="BU1674" s="9"/>
      <c r="BV1674" s="9"/>
      <c r="BW1674" s="9"/>
      <c r="BX1674" s="9"/>
      <c r="BY1674" s="9"/>
      <c r="BZ1674" s="9"/>
      <c r="CA1674" s="9"/>
      <c r="CB1674" s="9"/>
      <c r="CC1674" s="9"/>
      <c r="CD1674" s="9"/>
      <c r="CE1674" s="9"/>
      <c r="CF1674" s="9"/>
      <c r="CG1674" s="9"/>
      <c r="CH1674" s="9"/>
      <c r="CI1674" s="9"/>
      <c r="CJ1674" s="9"/>
      <c r="CK1674" s="9"/>
      <c r="CL1674" s="9"/>
      <c r="CM1674" s="9"/>
      <c r="CN1674" s="9"/>
      <c r="CO1674" s="9"/>
      <c r="CP1674" s="9"/>
    </row>
    <row r="1675" spans="1:94" ht="15.75" x14ac:dyDescent="0.25">
      <c r="A1675" s="126" t="s">
        <v>2336</v>
      </c>
      <c r="B1675" s="62" t="s">
        <v>4640</v>
      </c>
      <c r="C1675" s="9"/>
      <c r="D1675" s="9"/>
      <c r="E1675" s="9"/>
      <c r="F1675" s="9"/>
      <c r="G1675" s="9"/>
      <c r="H1675" s="9"/>
      <c r="I1675" s="9"/>
      <c r="J1675" s="9"/>
      <c r="K1675" s="9"/>
      <c r="L1675" s="9"/>
      <c r="M1675" s="9"/>
      <c r="N1675" s="9"/>
      <c r="O1675" s="9"/>
      <c r="P1675" s="9"/>
      <c r="Q1675" s="9"/>
      <c r="R1675" s="9"/>
      <c r="S1675" s="9"/>
      <c r="T1675" s="9"/>
      <c r="U1675" s="9"/>
      <c r="V1675" s="9"/>
      <c r="W1675" s="9"/>
      <c r="X1675" s="9"/>
      <c r="Y1675" s="9"/>
      <c r="Z1675" s="9"/>
      <c r="AA1675" s="9"/>
      <c r="AB1675" s="9"/>
      <c r="AC1675" s="9"/>
      <c r="AD1675" s="9"/>
      <c r="AE1675" s="9"/>
      <c r="AF1675" s="9"/>
      <c r="AG1675" s="9"/>
      <c r="AH1675" s="9"/>
      <c r="AI1675" s="9"/>
      <c r="AJ1675" s="9"/>
      <c r="AK1675" s="9"/>
      <c r="AL1675" s="9"/>
      <c r="AM1675" s="69"/>
      <c r="AN1675" s="9"/>
      <c r="AO1675" s="69" t="s">
        <v>2338</v>
      </c>
      <c r="AP1675" s="210"/>
      <c r="AQ1675" s="211"/>
      <c r="AR1675" s="211"/>
      <c r="AS1675" s="211"/>
      <c r="AT1675" s="211"/>
      <c r="AU1675" s="211"/>
      <c r="AV1675" s="211"/>
      <c r="AW1675" s="9"/>
      <c r="AX1675" s="9"/>
      <c r="AY1675" s="9"/>
      <c r="AZ1675" s="9"/>
      <c r="BA1675" s="120"/>
      <c r="BB1675" s="69"/>
      <c r="BC1675" s="9"/>
      <c r="BD1675" s="9"/>
      <c r="BE1675" s="9"/>
      <c r="BF1675" s="9"/>
      <c r="BG1675" s="9"/>
      <c r="BH1675" s="9"/>
      <c r="BI1675" s="9"/>
      <c r="BJ1675" s="9"/>
      <c r="BK1675" s="9"/>
      <c r="BL1675" s="9"/>
      <c r="BM1675" s="9"/>
      <c r="BN1675" s="9"/>
      <c r="BO1675" s="9"/>
      <c r="BP1675" s="9"/>
      <c r="BQ1675" s="9"/>
      <c r="BR1675" s="9"/>
      <c r="BS1675" s="9"/>
      <c r="BT1675" s="9"/>
      <c r="BU1675" s="9"/>
      <c r="BV1675" s="9"/>
      <c r="BW1675" s="9"/>
      <c r="BX1675" s="9"/>
      <c r="BY1675" s="9"/>
      <c r="BZ1675" s="9"/>
      <c r="CA1675" s="9"/>
      <c r="CB1675" s="9"/>
      <c r="CC1675" s="9"/>
      <c r="CD1675" s="9"/>
      <c r="CE1675" s="9"/>
      <c r="CF1675" s="9"/>
      <c r="CG1675" s="9"/>
      <c r="CH1675" s="9"/>
      <c r="CI1675" s="9"/>
      <c r="CJ1675" s="9"/>
      <c r="CK1675" s="9"/>
      <c r="CL1675" s="9"/>
      <c r="CM1675" s="9"/>
      <c r="CN1675" s="9"/>
      <c r="CO1675" s="9"/>
      <c r="CP1675" s="9"/>
    </row>
    <row r="1676" spans="1:94" ht="30" x14ac:dyDescent="0.25">
      <c r="A1676" s="271" t="s">
        <v>4641</v>
      </c>
      <c r="B1676" s="9" t="s">
        <v>4642</v>
      </c>
      <c r="C1676" s="9"/>
      <c r="D1676" s="9"/>
      <c r="E1676" s="9"/>
      <c r="F1676" s="9"/>
      <c r="G1676" s="9"/>
      <c r="H1676" s="9"/>
      <c r="I1676" s="9"/>
      <c r="J1676" s="9"/>
      <c r="K1676" s="9"/>
      <c r="L1676" s="9"/>
      <c r="M1676" s="9"/>
      <c r="N1676" s="9"/>
      <c r="O1676" s="9"/>
      <c r="P1676" s="9"/>
      <c r="Q1676" s="9"/>
      <c r="R1676" s="9"/>
      <c r="S1676" s="9"/>
      <c r="T1676" s="9"/>
      <c r="U1676" s="9"/>
      <c r="V1676" s="9"/>
      <c r="W1676" s="9"/>
      <c r="X1676" s="9"/>
      <c r="Y1676" s="9"/>
      <c r="Z1676" s="9"/>
      <c r="AA1676" s="9"/>
      <c r="AB1676" s="9"/>
      <c r="AC1676" s="9"/>
      <c r="AD1676" s="9"/>
      <c r="AE1676" s="9"/>
      <c r="AF1676" s="9"/>
      <c r="AG1676" s="9"/>
      <c r="AH1676" s="9"/>
      <c r="AI1676" s="9"/>
      <c r="AJ1676" s="9"/>
      <c r="AK1676" s="9"/>
      <c r="AL1676" s="9"/>
      <c r="AM1676" s="69"/>
      <c r="AN1676" s="9"/>
      <c r="AO1676" s="69" t="s">
        <v>4643</v>
      </c>
      <c r="AP1676" s="210"/>
      <c r="AQ1676" s="211"/>
      <c r="AR1676" s="211"/>
      <c r="AS1676" s="211"/>
      <c r="AT1676" s="211"/>
      <c r="AU1676" s="211"/>
      <c r="AV1676" s="211"/>
      <c r="AW1676" s="9"/>
      <c r="AX1676" s="9"/>
      <c r="AY1676" s="9"/>
      <c r="AZ1676" s="9"/>
      <c r="BA1676" s="120"/>
      <c r="BB1676" s="69"/>
      <c r="BC1676" s="9"/>
      <c r="BD1676" s="9"/>
      <c r="BE1676" s="9"/>
      <c r="BF1676" s="9"/>
      <c r="BG1676" s="9"/>
      <c r="BH1676" s="9"/>
      <c r="BI1676" s="9"/>
      <c r="BJ1676" s="9"/>
      <c r="BK1676" s="9"/>
      <c r="BL1676" s="9"/>
      <c r="BM1676" s="9"/>
      <c r="BN1676" s="9"/>
      <c r="BO1676" s="9"/>
      <c r="BP1676" s="9"/>
      <c r="BQ1676" s="9"/>
      <c r="BR1676" s="9"/>
      <c r="BS1676" s="9"/>
      <c r="BT1676" s="9"/>
      <c r="BU1676" s="9"/>
      <c r="BV1676" s="9"/>
      <c r="BW1676" s="9"/>
      <c r="BX1676" s="9"/>
      <c r="BY1676" s="9"/>
      <c r="BZ1676" s="9"/>
      <c r="CA1676" s="9"/>
      <c r="CB1676" s="9"/>
      <c r="CC1676" s="9"/>
      <c r="CD1676" s="9"/>
      <c r="CE1676" s="9"/>
      <c r="CF1676" s="9"/>
      <c r="CG1676" s="9"/>
      <c r="CH1676" s="9"/>
      <c r="CI1676" s="9"/>
      <c r="CJ1676" s="9"/>
      <c r="CK1676" s="9"/>
      <c r="CL1676" s="9"/>
      <c r="CM1676" s="9"/>
      <c r="CN1676" s="9"/>
      <c r="CO1676" s="9"/>
      <c r="CP1676" s="9"/>
    </row>
    <row r="1677" spans="1:94" ht="30" x14ac:dyDescent="0.25">
      <c r="A1677" s="126" t="s">
        <v>4644</v>
      </c>
      <c r="B1677" s="9" t="s">
        <v>4645</v>
      </c>
      <c r="C1677" s="9"/>
      <c r="D1677" s="9"/>
      <c r="E1677" s="9"/>
      <c r="F1677" s="9"/>
      <c r="G1677" s="9"/>
      <c r="H1677" s="9"/>
      <c r="I1677" s="9"/>
      <c r="J1677" s="9"/>
      <c r="K1677" s="9"/>
      <c r="L1677" s="9"/>
      <c r="M1677" s="9"/>
      <c r="N1677" s="9"/>
      <c r="O1677" s="9"/>
      <c r="P1677" s="9"/>
      <c r="Q1677" s="9"/>
      <c r="R1677" s="9"/>
      <c r="S1677" s="9"/>
      <c r="T1677" s="9"/>
      <c r="U1677" s="9"/>
      <c r="V1677" s="9"/>
      <c r="W1677" s="9"/>
      <c r="X1677" s="9"/>
      <c r="Y1677" s="9"/>
      <c r="Z1677" s="9"/>
      <c r="AA1677" s="9"/>
      <c r="AB1677" s="9"/>
      <c r="AC1677" s="9"/>
      <c r="AD1677" s="9"/>
      <c r="AE1677" s="9"/>
      <c r="AF1677" s="9"/>
      <c r="AG1677" s="9"/>
      <c r="AH1677" s="9"/>
      <c r="AI1677" s="9"/>
      <c r="AJ1677" s="9"/>
      <c r="AK1677" s="9"/>
      <c r="AL1677" s="9"/>
      <c r="AM1677" s="69"/>
      <c r="AN1677" s="9"/>
      <c r="AO1677" s="69" t="s">
        <v>4643</v>
      </c>
      <c r="AP1677" s="210"/>
      <c r="AQ1677" s="211"/>
      <c r="AR1677" s="211"/>
      <c r="AS1677" s="211"/>
      <c r="AT1677" s="211"/>
      <c r="AU1677" s="211"/>
      <c r="AV1677" s="211"/>
      <c r="AW1677" s="9"/>
      <c r="AX1677" s="9"/>
      <c r="AY1677" s="9"/>
      <c r="AZ1677" s="9"/>
      <c r="BA1677" s="120"/>
      <c r="BB1677" s="69"/>
      <c r="BC1677" s="9"/>
      <c r="BD1677" s="9"/>
      <c r="BE1677" s="9"/>
      <c r="BF1677" s="9"/>
      <c r="BG1677" s="9"/>
      <c r="BH1677" s="9"/>
      <c r="BI1677" s="9"/>
      <c r="BJ1677" s="9"/>
      <c r="BK1677" s="9"/>
      <c r="BL1677" s="9"/>
      <c r="BM1677" s="9"/>
      <c r="BN1677" s="9"/>
      <c r="BO1677" s="9"/>
      <c r="BP1677" s="9"/>
      <c r="BQ1677" s="9"/>
      <c r="BR1677" s="9"/>
      <c r="BS1677" s="9"/>
      <c r="BT1677" s="9"/>
      <c r="BU1677" s="9"/>
      <c r="BV1677" s="9"/>
      <c r="BW1677" s="9"/>
      <c r="BX1677" s="9"/>
      <c r="BY1677" s="9"/>
      <c r="BZ1677" s="9"/>
      <c r="CA1677" s="9"/>
      <c r="CB1677" s="9"/>
      <c r="CC1677" s="9"/>
      <c r="CD1677" s="9"/>
      <c r="CE1677" s="9"/>
      <c r="CF1677" s="9"/>
      <c r="CG1677" s="9"/>
      <c r="CH1677" s="9"/>
      <c r="CI1677" s="9"/>
      <c r="CJ1677" s="9"/>
      <c r="CK1677" s="9"/>
      <c r="CL1677" s="9"/>
      <c r="CM1677" s="9"/>
      <c r="CN1677" s="9"/>
      <c r="CO1677" s="9"/>
      <c r="CP1677" s="9"/>
    </row>
    <row r="1678" spans="1:94" ht="30" x14ac:dyDescent="0.25">
      <c r="A1678" s="126" t="s">
        <v>4646</v>
      </c>
      <c r="B1678" s="9" t="s">
        <v>4647</v>
      </c>
      <c r="C1678" s="9"/>
      <c r="D1678" s="9"/>
      <c r="E1678" s="9"/>
      <c r="F1678" s="9"/>
      <c r="G1678" s="9"/>
      <c r="H1678" s="9"/>
      <c r="I1678" s="9"/>
      <c r="J1678" s="9"/>
      <c r="K1678" s="9"/>
      <c r="L1678" s="9"/>
      <c r="M1678" s="9"/>
      <c r="N1678" s="9"/>
      <c r="O1678" s="9"/>
      <c r="P1678" s="9"/>
      <c r="Q1678" s="9"/>
      <c r="R1678" s="9"/>
      <c r="S1678" s="9"/>
      <c r="T1678" s="9"/>
      <c r="U1678" s="9"/>
      <c r="V1678" s="9"/>
      <c r="W1678" s="9"/>
      <c r="X1678" s="9"/>
      <c r="Y1678" s="9"/>
      <c r="Z1678" s="9"/>
      <c r="AA1678" s="9"/>
      <c r="AB1678" s="9"/>
      <c r="AC1678" s="9"/>
      <c r="AD1678" s="9"/>
      <c r="AE1678" s="9"/>
      <c r="AF1678" s="9"/>
      <c r="AG1678" s="9"/>
      <c r="AH1678" s="9"/>
      <c r="AI1678" s="9"/>
      <c r="AJ1678" s="9"/>
      <c r="AK1678" s="9"/>
      <c r="AL1678" s="9"/>
      <c r="AM1678" s="69"/>
      <c r="AN1678" s="9"/>
      <c r="AO1678" s="69" t="s">
        <v>4643</v>
      </c>
      <c r="AP1678" s="210"/>
      <c r="AQ1678" s="211"/>
      <c r="AR1678" s="211"/>
      <c r="AS1678" s="211"/>
      <c r="AT1678" s="211"/>
      <c r="AU1678" s="211"/>
      <c r="AV1678" s="211"/>
      <c r="AW1678" s="9"/>
      <c r="AX1678" s="9"/>
      <c r="AY1678" s="9"/>
      <c r="AZ1678" s="9"/>
      <c r="BA1678" s="120"/>
      <c r="BB1678" s="69"/>
      <c r="BC1678" s="9"/>
      <c r="BD1678" s="9"/>
      <c r="BE1678" s="9"/>
      <c r="BF1678" s="9"/>
      <c r="BG1678" s="9"/>
      <c r="BH1678" s="9"/>
      <c r="BI1678" s="9"/>
      <c r="BJ1678" s="9"/>
      <c r="BK1678" s="9"/>
      <c r="BL1678" s="9"/>
      <c r="BM1678" s="9"/>
      <c r="BN1678" s="9"/>
      <c r="BO1678" s="9"/>
      <c r="BP1678" s="9"/>
      <c r="BQ1678" s="9"/>
      <c r="BR1678" s="9"/>
      <c r="BS1678" s="9"/>
      <c r="BT1678" s="9"/>
      <c r="BU1678" s="9"/>
      <c r="BV1678" s="9"/>
      <c r="BW1678" s="9"/>
      <c r="BX1678" s="9"/>
      <c r="BY1678" s="9"/>
      <c r="BZ1678" s="9"/>
      <c r="CA1678" s="9"/>
      <c r="CB1678" s="9"/>
      <c r="CC1678" s="9"/>
      <c r="CD1678" s="9"/>
      <c r="CE1678" s="9"/>
      <c r="CF1678" s="9"/>
      <c r="CG1678" s="9"/>
      <c r="CH1678" s="9"/>
      <c r="CI1678" s="9"/>
      <c r="CJ1678" s="9"/>
      <c r="CK1678" s="9"/>
      <c r="CL1678" s="9"/>
      <c r="CM1678" s="9"/>
      <c r="CN1678" s="9"/>
      <c r="CO1678" s="9"/>
      <c r="CP1678" s="9"/>
    </row>
    <row r="1679" spans="1:94" ht="30" x14ac:dyDescent="0.25">
      <c r="A1679" s="126" t="s">
        <v>4648</v>
      </c>
      <c r="B1679" s="9" t="s">
        <v>4649</v>
      </c>
      <c r="C1679" s="9"/>
      <c r="D1679" s="9"/>
      <c r="E1679" s="9"/>
      <c r="F1679" s="9"/>
      <c r="G1679" s="9"/>
      <c r="H1679" s="9"/>
      <c r="I1679" s="9"/>
      <c r="J1679" s="9"/>
      <c r="K1679" s="9"/>
      <c r="L1679" s="9"/>
      <c r="M1679" s="9"/>
      <c r="N1679" s="9"/>
      <c r="O1679" s="9"/>
      <c r="P1679" s="9"/>
      <c r="Q1679" s="9"/>
      <c r="R1679" s="9"/>
      <c r="S1679" s="9"/>
      <c r="T1679" s="9"/>
      <c r="U1679" s="9"/>
      <c r="V1679" s="9"/>
      <c r="W1679" s="9"/>
      <c r="X1679" s="9"/>
      <c r="Y1679" s="9"/>
      <c r="Z1679" s="9"/>
      <c r="AA1679" s="9"/>
      <c r="AB1679" s="9"/>
      <c r="AC1679" s="9"/>
      <c r="AD1679" s="9"/>
      <c r="AE1679" s="9"/>
      <c r="AF1679" s="9"/>
      <c r="AG1679" s="9"/>
      <c r="AH1679" s="9"/>
      <c r="AI1679" s="9"/>
      <c r="AJ1679" s="9"/>
      <c r="AK1679" s="9"/>
      <c r="AL1679" s="9"/>
      <c r="AM1679" s="69"/>
      <c r="AN1679" s="9"/>
      <c r="AO1679" s="69" t="s">
        <v>4643</v>
      </c>
      <c r="AP1679" s="210"/>
      <c r="AQ1679" s="211"/>
      <c r="AR1679" s="211"/>
      <c r="AS1679" s="211"/>
      <c r="AT1679" s="211"/>
      <c r="AU1679" s="211"/>
      <c r="AV1679" s="211"/>
      <c r="AW1679" s="9"/>
      <c r="AX1679" s="9"/>
      <c r="AY1679" s="9"/>
      <c r="AZ1679" s="9"/>
      <c r="BA1679" s="120"/>
      <c r="BB1679" s="69"/>
      <c r="BC1679" s="9"/>
      <c r="BD1679" s="9"/>
      <c r="BE1679" s="9"/>
      <c r="BF1679" s="9"/>
      <c r="BG1679" s="9"/>
      <c r="BH1679" s="9"/>
      <c r="BI1679" s="9"/>
      <c r="BJ1679" s="9"/>
      <c r="BK1679" s="9"/>
      <c r="BL1679" s="9"/>
      <c r="BM1679" s="9"/>
      <c r="BN1679" s="9"/>
      <c r="BO1679" s="9"/>
      <c r="BP1679" s="9"/>
      <c r="BQ1679" s="9"/>
      <c r="BR1679" s="9"/>
      <c r="BS1679" s="9"/>
      <c r="BT1679" s="9"/>
      <c r="BU1679" s="9"/>
      <c r="BV1679" s="9"/>
      <c r="BW1679" s="9"/>
      <c r="BX1679" s="9"/>
      <c r="BY1679" s="9"/>
      <c r="BZ1679" s="9"/>
      <c r="CA1679" s="9"/>
      <c r="CB1679" s="9"/>
      <c r="CC1679" s="9"/>
      <c r="CD1679" s="9"/>
      <c r="CE1679" s="9"/>
      <c r="CF1679" s="9"/>
      <c r="CG1679" s="9"/>
      <c r="CH1679" s="9"/>
      <c r="CI1679" s="9"/>
      <c r="CJ1679" s="9"/>
      <c r="CK1679" s="9"/>
      <c r="CL1679" s="9"/>
      <c r="CM1679" s="9"/>
      <c r="CN1679" s="9"/>
      <c r="CO1679" s="9"/>
      <c r="CP1679" s="9"/>
    </row>
    <row r="1680" spans="1:94" ht="30" x14ac:dyDescent="0.25">
      <c r="A1680" s="126" t="s">
        <v>4650</v>
      </c>
      <c r="B1680" s="9" t="s">
        <v>4651</v>
      </c>
      <c r="C1680" s="9"/>
      <c r="D1680" s="9"/>
      <c r="E1680" s="9"/>
      <c r="F1680" s="9"/>
      <c r="G1680" s="9"/>
      <c r="H1680" s="9"/>
      <c r="I1680" s="9"/>
      <c r="J1680" s="9"/>
      <c r="K1680" s="9"/>
      <c r="L1680" s="9"/>
      <c r="M1680" s="9"/>
      <c r="N1680" s="9"/>
      <c r="O1680" s="9"/>
      <c r="P1680" s="9"/>
      <c r="Q1680" s="9"/>
      <c r="R1680" s="9"/>
      <c r="S1680" s="9"/>
      <c r="T1680" s="9"/>
      <c r="U1680" s="9"/>
      <c r="V1680" s="9"/>
      <c r="W1680" s="9"/>
      <c r="X1680" s="9"/>
      <c r="Y1680" s="9"/>
      <c r="Z1680" s="9"/>
      <c r="AA1680" s="9"/>
      <c r="AB1680" s="9"/>
      <c r="AC1680" s="9"/>
      <c r="AD1680" s="9"/>
      <c r="AE1680" s="9"/>
      <c r="AF1680" s="9"/>
      <c r="AG1680" s="9"/>
      <c r="AH1680" s="9"/>
      <c r="AI1680" s="9"/>
      <c r="AJ1680" s="9"/>
      <c r="AK1680" s="9"/>
      <c r="AL1680" s="9"/>
      <c r="AM1680" s="69"/>
      <c r="AN1680" s="9"/>
      <c r="AO1680" s="69" t="s">
        <v>4643</v>
      </c>
      <c r="AP1680" s="210"/>
      <c r="AQ1680" s="211"/>
      <c r="AR1680" s="211"/>
      <c r="AS1680" s="211"/>
      <c r="AT1680" s="211"/>
      <c r="AU1680" s="211"/>
      <c r="AV1680" s="211"/>
      <c r="AW1680" s="9"/>
      <c r="AX1680" s="9"/>
      <c r="AY1680" s="9"/>
      <c r="AZ1680" s="9"/>
      <c r="BA1680" s="120"/>
      <c r="BB1680" s="69"/>
      <c r="BC1680" s="9"/>
      <c r="BD1680" s="9"/>
      <c r="BE1680" s="9"/>
      <c r="BF1680" s="9"/>
      <c r="BG1680" s="9"/>
      <c r="BH1680" s="9"/>
      <c r="BI1680" s="9"/>
      <c r="BJ1680" s="9"/>
      <c r="BK1680" s="9"/>
      <c r="BL1680" s="9"/>
      <c r="BM1680" s="9"/>
      <c r="BN1680" s="9"/>
      <c r="BO1680" s="9"/>
      <c r="BP1680" s="9"/>
      <c r="BQ1680" s="9"/>
      <c r="BR1680" s="9"/>
      <c r="BS1680" s="9"/>
      <c r="BT1680" s="9"/>
      <c r="BU1680" s="9"/>
      <c r="BV1680" s="9"/>
      <c r="BW1680" s="9"/>
      <c r="BX1680" s="9"/>
      <c r="BY1680" s="9"/>
      <c r="BZ1680" s="9"/>
      <c r="CA1680" s="9"/>
      <c r="CB1680" s="9"/>
      <c r="CC1680" s="9"/>
      <c r="CD1680" s="9"/>
      <c r="CE1680" s="9"/>
      <c r="CF1680" s="9"/>
      <c r="CG1680" s="9"/>
      <c r="CH1680" s="9"/>
      <c r="CI1680" s="9"/>
      <c r="CJ1680" s="9"/>
      <c r="CK1680" s="9"/>
      <c r="CL1680" s="9"/>
      <c r="CM1680" s="9"/>
      <c r="CN1680" s="9"/>
      <c r="CO1680" s="9"/>
      <c r="CP1680" s="9"/>
    </row>
    <row r="1681" spans="1:94" ht="30" x14ac:dyDescent="0.25">
      <c r="A1681" s="126" t="s">
        <v>4652</v>
      </c>
      <c r="B1681" s="9" t="s">
        <v>4653</v>
      </c>
      <c r="C1681" s="9"/>
      <c r="D1681" s="9"/>
      <c r="E1681" s="9"/>
      <c r="F1681" s="9"/>
      <c r="G1681" s="9"/>
      <c r="H1681" s="9"/>
      <c r="I1681" s="9"/>
      <c r="J1681" s="9"/>
      <c r="K1681" s="9"/>
      <c r="L1681" s="9"/>
      <c r="M1681" s="9"/>
      <c r="N1681" s="9"/>
      <c r="O1681" s="9"/>
      <c r="P1681" s="9"/>
      <c r="Q1681" s="9"/>
      <c r="R1681" s="9"/>
      <c r="S1681" s="9"/>
      <c r="T1681" s="9"/>
      <c r="U1681" s="9"/>
      <c r="V1681" s="9"/>
      <c r="W1681" s="9"/>
      <c r="X1681" s="9"/>
      <c r="Y1681" s="9"/>
      <c r="Z1681" s="9"/>
      <c r="AA1681" s="9"/>
      <c r="AB1681" s="9"/>
      <c r="AC1681" s="9"/>
      <c r="AD1681" s="9"/>
      <c r="AE1681" s="9"/>
      <c r="AF1681" s="9"/>
      <c r="AG1681" s="9"/>
      <c r="AH1681" s="9"/>
      <c r="AI1681" s="9"/>
      <c r="AJ1681" s="9"/>
      <c r="AK1681" s="9"/>
      <c r="AL1681" s="9"/>
      <c r="AM1681" s="69"/>
      <c r="AN1681" s="9"/>
      <c r="AO1681" s="69" t="s">
        <v>4643</v>
      </c>
      <c r="AP1681" s="210"/>
      <c r="AQ1681" s="211"/>
      <c r="AR1681" s="211"/>
      <c r="AS1681" s="211"/>
      <c r="AT1681" s="211"/>
      <c r="AU1681" s="211"/>
      <c r="AV1681" s="211"/>
      <c r="AW1681" s="9"/>
      <c r="AX1681" s="9"/>
      <c r="AY1681" s="9"/>
      <c r="AZ1681" s="9"/>
      <c r="BA1681" s="120"/>
      <c r="BB1681" s="69"/>
      <c r="BC1681" s="9"/>
      <c r="BD1681" s="9"/>
      <c r="BE1681" s="9"/>
      <c r="BF1681" s="9"/>
      <c r="BG1681" s="9"/>
      <c r="BH1681" s="9"/>
      <c r="BI1681" s="9"/>
      <c r="BJ1681" s="9"/>
      <c r="BK1681" s="9"/>
      <c r="BL1681" s="9"/>
      <c r="BM1681" s="9"/>
      <c r="BN1681" s="9"/>
      <c r="BO1681" s="9"/>
      <c r="BP1681" s="9"/>
      <c r="BQ1681" s="9"/>
      <c r="BR1681" s="9"/>
      <c r="BS1681" s="9"/>
      <c r="BT1681" s="9"/>
      <c r="BU1681" s="9"/>
      <c r="BV1681" s="9"/>
      <c r="BW1681" s="9"/>
      <c r="BX1681" s="9"/>
      <c r="BY1681" s="9"/>
      <c r="BZ1681" s="9"/>
      <c r="CA1681" s="9"/>
      <c r="CB1681" s="9"/>
      <c r="CC1681" s="9"/>
      <c r="CD1681" s="9"/>
      <c r="CE1681" s="9"/>
      <c r="CF1681" s="9"/>
      <c r="CG1681" s="9"/>
      <c r="CH1681" s="9"/>
      <c r="CI1681" s="9"/>
      <c r="CJ1681" s="9"/>
      <c r="CK1681" s="9"/>
      <c r="CL1681" s="9"/>
      <c r="CM1681" s="9"/>
      <c r="CN1681" s="9"/>
      <c r="CO1681" s="9"/>
      <c r="CP1681" s="9"/>
    </row>
    <row r="1682" spans="1:94" ht="30" x14ac:dyDescent="0.25">
      <c r="A1682" s="126" t="s">
        <v>4654</v>
      </c>
      <c r="B1682" s="9" t="s">
        <v>4655</v>
      </c>
      <c r="C1682" s="9"/>
      <c r="D1682" s="9"/>
      <c r="E1682" s="9"/>
      <c r="F1682" s="9"/>
      <c r="G1682" s="9"/>
      <c r="H1682" s="9"/>
      <c r="I1682" s="9"/>
      <c r="J1682" s="9"/>
      <c r="K1682" s="9"/>
      <c r="L1682" s="9"/>
      <c r="M1682" s="9"/>
      <c r="N1682" s="9"/>
      <c r="O1682" s="9"/>
      <c r="P1682" s="9"/>
      <c r="Q1682" s="9"/>
      <c r="R1682" s="9"/>
      <c r="S1682" s="9"/>
      <c r="T1682" s="9"/>
      <c r="U1682" s="9"/>
      <c r="V1682" s="9"/>
      <c r="W1682" s="9"/>
      <c r="X1682" s="9"/>
      <c r="Y1682" s="9"/>
      <c r="Z1682" s="9"/>
      <c r="AA1682" s="9"/>
      <c r="AB1682" s="9"/>
      <c r="AC1682" s="9"/>
      <c r="AD1682" s="9"/>
      <c r="AE1682" s="9"/>
      <c r="AF1682" s="9"/>
      <c r="AG1682" s="9"/>
      <c r="AH1682" s="9"/>
      <c r="AI1682" s="9"/>
      <c r="AJ1682" s="9"/>
      <c r="AK1682" s="9"/>
      <c r="AL1682" s="9"/>
      <c r="AM1682" s="69"/>
      <c r="AN1682" s="9"/>
      <c r="AO1682" s="69" t="s">
        <v>4643</v>
      </c>
      <c r="AP1682" s="210"/>
      <c r="AQ1682" s="211"/>
      <c r="AR1682" s="211"/>
      <c r="AS1682" s="211"/>
      <c r="AT1682" s="211"/>
      <c r="AU1682" s="211"/>
      <c r="AV1682" s="211"/>
      <c r="AW1682" s="9"/>
      <c r="AX1682" s="9"/>
      <c r="AY1682" s="9"/>
      <c r="AZ1682" s="9"/>
      <c r="BA1682" s="120"/>
      <c r="BB1682" s="69"/>
      <c r="BC1682" s="9"/>
      <c r="BD1682" s="9"/>
      <c r="BE1682" s="9"/>
      <c r="BF1682" s="9"/>
      <c r="BG1682" s="9"/>
      <c r="BH1682" s="9"/>
      <c r="BI1682" s="9"/>
      <c r="BJ1682" s="9"/>
      <c r="BK1682" s="9"/>
      <c r="BL1682" s="9"/>
      <c r="BM1682" s="9"/>
      <c r="BN1682" s="9"/>
      <c r="BO1682" s="9"/>
      <c r="BP1682" s="9"/>
      <c r="BQ1682" s="9"/>
      <c r="BR1682" s="9"/>
      <c r="BS1682" s="9"/>
      <c r="BT1682" s="9"/>
      <c r="BU1682" s="9"/>
      <c r="BV1682" s="9"/>
      <c r="BW1682" s="9"/>
      <c r="BX1682" s="9"/>
      <c r="BY1682" s="9"/>
      <c r="BZ1682" s="9"/>
      <c r="CA1682" s="9"/>
      <c r="CB1682" s="9"/>
      <c r="CC1682" s="9"/>
      <c r="CD1682" s="9"/>
      <c r="CE1682" s="9"/>
      <c r="CF1682" s="9"/>
      <c r="CG1682" s="9"/>
      <c r="CH1682" s="9"/>
      <c r="CI1682" s="9"/>
      <c r="CJ1682" s="9"/>
      <c r="CK1682" s="9"/>
      <c r="CL1682" s="9"/>
      <c r="CM1682" s="9"/>
      <c r="CN1682" s="9"/>
      <c r="CO1682" s="9"/>
      <c r="CP1682" s="9"/>
    </row>
    <row r="1683" spans="1:94" ht="30" x14ac:dyDescent="0.25">
      <c r="A1683" s="126" t="s">
        <v>4656</v>
      </c>
      <c r="B1683" s="9" t="s">
        <v>4657</v>
      </c>
      <c r="C1683" s="9"/>
      <c r="D1683" s="9"/>
      <c r="E1683" s="9"/>
      <c r="F1683" s="9"/>
      <c r="G1683" s="9"/>
      <c r="H1683" s="9"/>
      <c r="I1683" s="9"/>
      <c r="J1683" s="9"/>
      <c r="K1683" s="9"/>
      <c r="L1683" s="9"/>
      <c r="M1683" s="9"/>
      <c r="N1683" s="9"/>
      <c r="O1683" s="9"/>
      <c r="P1683" s="9"/>
      <c r="Q1683" s="9"/>
      <c r="R1683" s="9"/>
      <c r="S1683" s="9"/>
      <c r="T1683" s="9"/>
      <c r="U1683" s="9"/>
      <c r="V1683" s="9"/>
      <c r="W1683" s="9"/>
      <c r="X1683" s="9"/>
      <c r="Y1683" s="9"/>
      <c r="Z1683" s="9"/>
      <c r="AA1683" s="9"/>
      <c r="AB1683" s="9"/>
      <c r="AC1683" s="9"/>
      <c r="AD1683" s="9"/>
      <c r="AE1683" s="9"/>
      <c r="AF1683" s="9"/>
      <c r="AG1683" s="9"/>
      <c r="AH1683" s="9"/>
      <c r="AI1683" s="9"/>
      <c r="AJ1683" s="9"/>
      <c r="AK1683" s="9"/>
      <c r="AL1683" s="9"/>
      <c r="AM1683" s="69"/>
      <c r="AN1683" s="9"/>
      <c r="AO1683" s="69" t="s">
        <v>4643</v>
      </c>
      <c r="AP1683" s="210"/>
      <c r="AQ1683" s="211"/>
      <c r="AR1683" s="211"/>
      <c r="AS1683" s="211"/>
      <c r="AT1683" s="211"/>
      <c r="AU1683" s="211"/>
      <c r="AV1683" s="211"/>
      <c r="AW1683" s="9"/>
      <c r="AX1683" s="9"/>
      <c r="AY1683" s="9"/>
      <c r="AZ1683" s="9"/>
      <c r="BA1683" s="120"/>
      <c r="BB1683" s="69"/>
      <c r="BC1683" s="9"/>
      <c r="BD1683" s="9"/>
      <c r="BE1683" s="9"/>
      <c r="BF1683" s="9"/>
      <c r="BG1683" s="9"/>
      <c r="BH1683" s="9"/>
      <c r="BI1683" s="9"/>
      <c r="BJ1683" s="9"/>
      <c r="BK1683" s="9"/>
      <c r="BL1683" s="9"/>
      <c r="BM1683" s="9"/>
      <c r="BN1683" s="9"/>
      <c r="BO1683" s="9"/>
      <c r="BP1683" s="9"/>
      <c r="BQ1683" s="9"/>
      <c r="BR1683" s="9"/>
      <c r="BS1683" s="9"/>
      <c r="BT1683" s="9"/>
      <c r="BU1683" s="9"/>
      <c r="BV1683" s="9"/>
      <c r="BW1683" s="9"/>
      <c r="BX1683" s="9"/>
      <c r="BY1683" s="9"/>
      <c r="BZ1683" s="9"/>
      <c r="CA1683" s="9"/>
      <c r="CB1683" s="9"/>
      <c r="CC1683" s="9"/>
      <c r="CD1683" s="9"/>
      <c r="CE1683" s="9"/>
      <c r="CF1683" s="9"/>
      <c r="CG1683" s="9"/>
      <c r="CH1683" s="9"/>
      <c r="CI1683" s="9"/>
      <c r="CJ1683" s="9"/>
      <c r="CK1683" s="9"/>
      <c r="CL1683" s="9"/>
      <c r="CM1683" s="9"/>
      <c r="CN1683" s="9"/>
      <c r="CO1683" s="9"/>
      <c r="CP1683" s="9"/>
    </row>
    <row r="1684" spans="1:94" ht="30" x14ac:dyDescent="0.25">
      <c r="A1684" s="126" t="s">
        <v>4658</v>
      </c>
      <c r="B1684" s="9" t="s">
        <v>4659</v>
      </c>
      <c r="C1684" s="9"/>
      <c r="D1684" s="9"/>
      <c r="E1684" s="9"/>
      <c r="F1684" s="9"/>
      <c r="G1684" s="9"/>
      <c r="H1684" s="9"/>
      <c r="I1684" s="9"/>
      <c r="J1684" s="9"/>
      <c r="K1684" s="9"/>
      <c r="L1684" s="9"/>
      <c r="M1684" s="9"/>
      <c r="N1684" s="9"/>
      <c r="O1684" s="9"/>
      <c r="P1684" s="9"/>
      <c r="Q1684" s="9"/>
      <c r="R1684" s="9"/>
      <c r="S1684" s="9"/>
      <c r="T1684" s="9"/>
      <c r="U1684" s="9"/>
      <c r="V1684" s="9"/>
      <c r="W1684" s="9"/>
      <c r="X1684" s="9"/>
      <c r="Y1684" s="9"/>
      <c r="Z1684" s="9"/>
      <c r="AA1684" s="9"/>
      <c r="AB1684" s="9"/>
      <c r="AC1684" s="9"/>
      <c r="AD1684" s="9"/>
      <c r="AE1684" s="9"/>
      <c r="AF1684" s="9"/>
      <c r="AG1684" s="9"/>
      <c r="AH1684" s="9"/>
      <c r="AI1684" s="9"/>
      <c r="AJ1684" s="9"/>
      <c r="AK1684" s="9"/>
      <c r="AL1684" s="9"/>
      <c r="AM1684" s="69"/>
      <c r="AN1684" s="9"/>
      <c r="AO1684" s="69" t="s">
        <v>4643</v>
      </c>
      <c r="AP1684" s="210"/>
      <c r="AQ1684" s="211"/>
      <c r="AR1684" s="211"/>
      <c r="AS1684" s="211"/>
      <c r="AT1684" s="211"/>
      <c r="AU1684" s="211"/>
      <c r="AV1684" s="211"/>
      <c r="AW1684" s="9"/>
      <c r="AX1684" s="9"/>
      <c r="AY1684" s="9"/>
      <c r="AZ1684" s="9"/>
      <c r="BA1684" s="120"/>
      <c r="BB1684" s="69"/>
      <c r="BC1684" s="9"/>
      <c r="BD1684" s="9"/>
      <c r="BE1684" s="9"/>
      <c r="BF1684" s="9"/>
      <c r="BG1684" s="9"/>
      <c r="BH1684" s="9"/>
      <c r="BI1684" s="9"/>
      <c r="BJ1684" s="9"/>
      <c r="BK1684" s="9"/>
      <c r="BL1684" s="9"/>
      <c r="BM1684" s="9"/>
      <c r="BN1684" s="9"/>
      <c r="BO1684" s="9"/>
      <c r="BP1684" s="9"/>
      <c r="BQ1684" s="9"/>
      <c r="BR1684" s="9"/>
      <c r="BS1684" s="9"/>
      <c r="BT1684" s="9"/>
      <c r="BU1684" s="9"/>
      <c r="BV1684" s="9"/>
      <c r="BW1684" s="9"/>
      <c r="BX1684" s="9"/>
      <c r="BY1684" s="9"/>
      <c r="BZ1684" s="9"/>
      <c r="CA1684" s="9"/>
      <c r="CB1684" s="9"/>
      <c r="CC1684" s="9"/>
      <c r="CD1684" s="9"/>
      <c r="CE1684" s="9"/>
      <c r="CF1684" s="9"/>
      <c r="CG1684" s="9"/>
      <c r="CH1684" s="9"/>
      <c r="CI1684" s="9"/>
      <c r="CJ1684" s="9"/>
      <c r="CK1684" s="9"/>
      <c r="CL1684" s="9"/>
      <c r="CM1684" s="9"/>
      <c r="CN1684" s="9"/>
      <c r="CO1684" s="9"/>
      <c r="CP1684" s="9"/>
    </row>
    <row r="1685" spans="1:94" ht="15.75" x14ac:dyDescent="0.25">
      <c r="A1685" s="126" t="s">
        <v>4660</v>
      </c>
      <c r="B1685" s="9" t="s">
        <v>4661</v>
      </c>
      <c r="C1685" s="9"/>
      <c r="D1685" s="9"/>
      <c r="E1685" s="9"/>
      <c r="F1685" s="9"/>
      <c r="G1685" s="9"/>
      <c r="H1685" s="9"/>
      <c r="I1685" s="9"/>
      <c r="J1685" s="9"/>
      <c r="K1685" s="9"/>
      <c r="L1685" s="9"/>
      <c r="M1685" s="9"/>
      <c r="N1685" s="9"/>
      <c r="O1685" s="9"/>
      <c r="P1685" s="9"/>
      <c r="Q1685" s="9"/>
      <c r="R1685" s="9"/>
      <c r="S1685" s="9"/>
      <c r="T1685" s="9"/>
      <c r="U1685" s="9"/>
      <c r="V1685" s="9"/>
      <c r="W1685" s="9"/>
      <c r="X1685" s="9"/>
      <c r="Y1685" s="9"/>
      <c r="Z1685" s="9"/>
      <c r="AA1685" s="9"/>
      <c r="AB1685" s="9"/>
      <c r="AC1685" s="9"/>
      <c r="AD1685" s="9"/>
      <c r="AE1685" s="9"/>
      <c r="AF1685" s="9"/>
      <c r="AG1685" s="9"/>
      <c r="AH1685" s="9"/>
      <c r="AI1685" s="9"/>
      <c r="AJ1685" s="9"/>
      <c r="AK1685" s="9"/>
      <c r="AL1685" s="9"/>
      <c r="AM1685" s="69"/>
      <c r="AN1685" s="9"/>
      <c r="AO1685" s="69" t="s">
        <v>4591</v>
      </c>
      <c r="AP1685" s="210"/>
      <c r="AQ1685" s="211"/>
      <c r="AR1685" s="211"/>
      <c r="AS1685" s="211"/>
      <c r="AT1685" s="211"/>
      <c r="AU1685" s="211"/>
      <c r="AV1685" s="211"/>
      <c r="AW1685" s="9"/>
      <c r="AX1685" s="9"/>
      <c r="AY1685" s="9"/>
      <c r="AZ1685" s="9"/>
      <c r="BA1685" s="120"/>
      <c r="BB1685" s="69"/>
      <c r="BC1685" s="9"/>
      <c r="BD1685" s="9"/>
      <c r="BE1685" s="9"/>
      <c r="BF1685" s="9"/>
      <c r="BG1685" s="9"/>
      <c r="BH1685" s="9"/>
      <c r="BI1685" s="9"/>
      <c r="BJ1685" s="9"/>
      <c r="BK1685" s="9"/>
      <c r="BL1685" s="9"/>
      <c r="BM1685" s="9"/>
      <c r="BN1685" s="9"/>
      <c r="BO1685" s="9"/>
      <c r="BP1685" s="9"/>
      <c r="BQ1685" s="9"/>
      <c r="BR1685" s="9"/>
      <c r="BS1685" s="9"/>
      <c r="BT1685" s="9"/>
      <c r="BU1685" s="9"/>
      <c r="BV1685" s="9"/>
      <c r="BW1685" s="9"/>
      <c r="BX1685" s="9"/>
      <c r="BY1685" s="9"/>
      <c r="BZ1685" s="9"/>
      <c r="CA1685" s="9"/>
      <c r="CB1685" s="9"/>
      <c r="CC1685" s="9"/>
      <c r="CD1685" s="9"/>
      <c r="CE1685" s="9"/>
      <c r="CF1685" s="9"/>
      <c r="CG1685" s="9"/>
      <c r="CH1685" s="9"/>
      <c r="CI1685" s="9"/>
      <c r="CJ1685" s="9"/>
      <c r="CK1685" s="9"/>
      <c r="CL1685" s="9"/>
      <c r="CM1685" s="9"/>
      <c r="CN1685" s="9"/>
      <c r="CO1685" s="9"/>
      <c r="CP1685" s="9"/>
    </row>
    <row r="1686" spans="1:94" ht="15.75" x14ac:dyDescent="0.25">
      <c r="A1686" s="126" t="s">
        <v>4662</v>
      </c>
      <c r="B1686" s="9" t="s">
        <v>4663</v>
      </c>
      <c r="C1686" s="9"/>
      <c r="D1686" s="9"/>
      <c r="E1686" s="9"/>
      <c r="F1686" s="9"/>
      <c r="G1686" s="9"/>
      <c r="H1686" s="9"/>
      <c r="I1686" s="9"/>
      <c r="J1686" s="9"/>
      <c r="K1686" s="9"/>
      <c r="L1686" s="9"/>
      <c r="M1686" s="9"/>
      <c r="N1686" s="9"/>
      <c r="O1686" s="9"/>
      <c r="P1686" s="9"/>
      <c r="Q1686" s="9"/>
      <c r="R1686" s="9"/>
      <c r="S1686" s="9"/>
      <c r="T1686" s="9"/>
      <c r="U1686" s="9"/>
      <c r="V1686" s="9"/>
      <c r="W1686" s="9"/>
      <c r="X1686" s="9"/>
      <c r="Y1686" s="9"/>
      <c r="Z1686" s="9"/>
      <c r="AA1686" s="9"/>
      <c r="AB1686" s="9"/>
      <c r="AC1686" s="9"/>
      <c r="AD1686" s="9"/>
      <c r="AE1686" s="9"/>
      <c r="AF1686" s="9"/>
      <c r="AG1686" s="9"/>
      <c r="AH1686" s="9"/>
      <c r="AI1686" s="9"/>
      <c r="AJ1686" s="9"/>
      <c r="AK1686" s="9"/>
      <c r="AL1686" s="9"/>
      <c r="AM1686" s="69"/>
      <c r="AN1686" s="9"/>
      <c r="AO1686" s="69" t="s">
        <v>4434</v>
      </c>
      <c r="AP1686" s="210"/>
      <c r="AQ1686" s="211"/>
      <c r="AR1686" s="211"/>
      <c r="AS1686" s="211"/>
      <c r="AT1686" s="211"/>
      <c r="AU1686" s="211"/>
      <c r="AV1686" s="211"/>
      <c r="AW1686" s="9"/>
      <c r="AX1686" s="9"/>
      <c r="AY1686" s="9"/>
      <c r="AZ1686" s="9"/>
      <c r="BA1686" s="120"/>
      <c r="BB1686" s="69"/>
      <c r="BC1686" s="9"/>
      <c r="BD1686" s="9"/>
      <c r="BE1686" s="9"/>
      <c r="BF1686" s="9"/>
      <c r="BG1686" s="9"/>
      <c r="BH1686" s="9"/>
      <c r="BI1686" s="9"/>
      <c r="BJ1686" s="9"/>
      <c r="BK1686" s="9"/>
      <c r="BL1686" s="9"/>
      <c r="BM1686" s="9"/>
      <c r="BN1686" s="9"/>
      <c r="BO1686" s="9"/>
      <c r="BP1686" s="9"/>
      <c r="BQ1686" s="9"/>
      <c r="BR1686" s="9"/>
      <c r="BS1686" s="9"/>
      <c r="BT1686" s="9"/>
      <c r="BU1686" s="9"/>
      <c r="BV1686" s="9"/>
      <c r="BW1686" s="9"/>
      <c r="BX1686" s="9"/>
      <c r="BY1686" s="9"/>
      <c r="BZ1686" s="9"/>
      <c r="CA1686" s="9"/>
      <c r="CB1686" s="9"/>
      <c r="CC1686" s="9"/>
      <c r="CD1686" s="9"/>
      <c r="CE1686" s="9"/>
      <c r="CF1686" s="9"/>
      <c r="CG1686" s="9"/>
      <c r="CH1686" s="9"/>
      <c r="CI1686" s="9"/>
      <c r="CJ1686" s="9"/>
      <c r="CK1686" s="9"/>
      <c r="CL1686" s="9"/>
      <c r="CM1686" s="9"/>
      <c r="CN1686" s="9"/>
      <c r="CO1686" s="9"/>
      <c r="CP1686" s="9"/>
    </row>
    <row r="1687" spans="1:94" ht="15.75" x14ac:dyDescent="0.25">
      <c r="A1687" s="126" t="s">
        <v>4664</v>
      </c>
      <c r="B1687" s="9" t="s">
        <v>4665</v>
      </c>
      <c r="C1687" s="9"/>
      <c r="D1687" s="9"/>
      <c r="E1687" s="9"/>
      <c r="F1687" s="9"/>
      <c r="G1687" s="9"/>
      <c r="H1687" s="9"/>
      <c r="I1687" s="9"/>
      <c r="J1687" s="9"/>
      <c r="K1687" s="9"/>
      <c r="L1687" s="9"/>
      <c r="M1687" s="9"/>
      <c r="N1687" s="9"/>
      <c r="O1687" s="9"/>
      <c r="P1687" s="9"/>
      <c r="Q1687" s="9"/>
      <c r="R1687" s="9"/>
      <c r="S1687" s="9"/>
      <c r="T1687" s="9"/>
      <c r="U1687" s="9"/>
      <c r="V1687" s="9"/>
      <c r="W1687" s="9"/>
      <c r="X1687" s="9"/>
      <c r="Y1687" s="9"/>
      <c r="Z1687" s="9"/>
      <c r="AA1687" s="9"/>
      <c r="AB1687" s="9"/>
      <c r="AC1687" s="9"/>
      <c r="AD1687" s="9"/>
      <c r="AE1687" s="9"/>
      <c r="AF1687" s="9"/>
      <c r="AG1687" s="9"/>
      <c r="AH1687" s="9"/>
      <c r="AI1687" s="9"/>
      <c r="AJ1687" s="9"/>
      <c r="AK1687" s="9"/>
      <c r="AL1687" s="9"/>
      <c r="AM1687" s="69"/>
      <c r="AN1687" s="9"/>
      <c r="AO1687" s="69" t="s">
        <v>4434</v>
      </c>
      <c r="AP1687" s="210"/>
      <c r="AQ1687" s="211"/>
      <c r="AR1687" s="211"/>
      <c r="AS1687" s="211"/>
      <c r="AT1687" s="211"/>
      <c r="AU1687" s="211"/>
      <c r="AV1687" s="211"/>
      <c r="AW1687" s="9"/>
      <c r="AX1687" s="9"/>
      <c r="AY1687" s="9"/>
      <c r="AZ1687" s="9"/>
      <c r="BA1687" s="120"/>
      <c r="BB1687" s="69"/>
      <c r="BC1687" s="9"/>
      <c r="BD1687" s="9"/>
      <c r="BE1687" s="9"/>
      <c r="BF1687" s="9"/>
      <c r="BG1687" s="9"/>
      <c r="BH1687" s="9"/>
      <c r="BI1687" s="9"/>
      <c r="BJ1687" s="9"/>
      <c r="BK1687" s="9"/>
      <c r="BL1687" s="9"/>
      <c r="BM1687" s="9"/>
      <c r="BN1687" s="9"/>
      <c r="BO1687" s="9"/>
      <c r="BP1687" s="9"/>
      <c r="BQ1687" s="9"/>
      <c r="BR1687" s="9"/>
      <c r="BS1687" s="9"/>
      <c r="BT1687" s="9"/>
      <c r="BU1687" s="9"/>
      <c r="BV1687" s="9"/>
      <c r="BW1687" s="9"/>
      <c r="BX1687" s="9"/>
      <c r="BY1687" s="9"/>
      <c r="BZ1687" s="9"/>
      <c r="CA1687" s="9"/>
      <c r="CB1687" s="9"/>
      <c r="CC1687" s="9"/>
      <c r="CD1687" s="9"/>
      <c r="CE1687" s="9"/>
      <c r="CF1687" s="9"/>
      <c r="CG1687" s="9"/>
      <c r="CH1687" s="9"/>
      <c r="CI1687" s="9"/>
      <c r="CJ1687" s="9"/>
      <c r="CK1687" s="9"/>
      <c r="CL1687" s="9"/>
      <c r="CM1687" s="9"/>
      <c r="CN1687" s="9"/>
      <c r="CO1687" s="9"/>
      <c r="CP1687" s="9"/>
    </row>
    <row r="1688" spans="1:94" ht="15.75" x14ac:dyDescent="0.25">
      <c r="A1688" s="126" t="s">
        <v>4666</v>
      </c>
      <c r="B1688" s="9" t="s">
        <v>4667</v>
      </c>
      <c r="C1688" s="9"/>
      <c r="D1688" s="9"/>
      <c r="E1688" s="9"/>
      <c r="F1688" s="9"/>
      <c r="G1688" s="9"/>
      <c r="H1688" s="9"/>
      <c r="I1688" s="9"/>
      <c r="J1688" s="9"/>
      <c r="K1688" s="9"/>
      <c r="L1688" s="9"/>
      <c r="M1688" s="9"/>
      <c r="N1688" s="9"/>
      <c r="O1688" s="9"/>
      <c r="P1688" s="9"/>
      <c r="Q1688" s="9"/>
      <c r="R1688" s="9"/>
      <c r="S1688" s="9"/>
      <c r="T1688" s="9"/>
      <c r="U1688" s="9"/>
      <c r="V1688" s="9"/>
      <c r="W1688" s="9"/>
      <c r="X1688" s="9"/>
      <c r="Y1688" s="9"/>
      <c r="Z1688" s="9"/>
      <c r="AA1688" s="9"/>
      <c r="AB1688" s="9"/>
      <c r="AC1688" s="9"/>
      <c r="AD1688" s="9"/>
      <c r="AE1688" s="9"/>
      <c r="AF1688" s="9"/>
      <c r="AG1688" s="9"/>
      <c r="AH1688" s="9"/>
      <c r="AI1688" s="9"/>
      <c r="AJ1688" s="9"/>
      <c r="AK1688" s="9"/>
      <c r="AL1688" s="9"/>
      <c r="AM1688" s="69"/>
      <c r="AN1688" s="9"/>
      <c r="AO1688" s="69" t="s">
        <v>4434</v>
      </c>
      <c r="AP1688" s="210"/>
      <c r="AQ1688" s="211"/>
      <c r="AR1688" s="211"/>
      <c r="AS1688" s="211"/>
      <c r="AT1688" s="211"/>
      <c r="AU1688" s="211"/>
      <c r="AV1688" s="211"/>
      <c r="AW1688" s="9"/>
      <c r="AX1688" s="9"/>
      <c r="AY1688" s="9"/>
      <c r="AZ1688" s="9"/>
      <c r="BA1688" s="120"/>
      <c r="BB1688" s="69"/>
      <c r="BC1688" s="9"/>
      <c r="BD1688" s="9"/>
      <c r="BE1688" s="9"/>
      <c r="BF1688" s="9"/>
      <c r="BG1688" s="9"/>
      <c r="BH1688" s="9"/>
      <c r="BI1688" s="9"/>
      <c r="BJ1688" s="9"/>
      <c r="BK1688" s="9"/>
      <c r="BL1688" s="9"/>
      <c r="BM1688" s="9"/>
      <c r="BN1688" s="9"/>
      <c r="BO1688" s="9"/>
      <c r="BP1688" s="9"/>
      <c r="BQ1688" s="9"/>
      <c r="BR1688" s="9"/>
      <c r="BS1688" s="9"/>
      <c r="BT1688" s="9"/>
      <c r="BU1688" s="9"/>
      <c r="BV1688" s="9"/>
      <c r="BW1688" s="9"/>
      <c r="BX1688" s="9"/>
      <c r="BY1688" s="9"/>
      <c r="BZ1688" s="9"/>
      <c r="CA1688" s="9"/>
      <c r="CB1688" s="9"/>
      <c r="CC1688" s="9"/>
      <c r="CD1688" s="9"/>
      <c r="CE1688" s="9"/>
      <c r="CF1688" s="9"/>
      <c r="CG1688" s="9"/>
      <c r="CH1688" s="9"/>
      <c r="CI1688" s="9"/>
      <c r="CJ1688" s="9"/>
      <c r="CK1688" s="9"/>
      <c r="CL1688" s="9"/>
      <c r="CM1688" s="9"/>
      <c r="CN1688" s="9"/>
      <c r="CO1688" s="9"/>
      <c r="CP1688" s="9"/>
    </row>
    <row r="1689" spans="1:94" ht="15.75" x14ac:dyDescent="0.25">
      <c r="A1689" s="126" t="s">
        <v>4668</v>
      </c>
      <c r="B1689" s="9" t="s">
        <v>4669</v>
      </c>
      <c r="C1689" s="9"/>
      <c r="D1689" s="9"/>
      <c r="E1689" s="9"/>
      <c r="F1689" s="9"/>
      <c r="G1689" s="9"/>
      <c r="H1689" s="9"/>
      <c r="I1689" s="9"/>
      <c r="J1689" s="9"/>
      <c r="K1689" s="9"/>
      <c r="L1689" s="9"/>
      <c r="M1689" s="9"/>
      <c r="N1689" s="9"/>
      <c r="O1689" s="9"/>
      <c r="P1689" s="9"/>
      <c r="Q1689" s="9"/>
      <c r="R1689" s="9"/>
      <c r="S1689" s="9"/>
      <c r="T1689" s="9"/>
      <c r="U1689" s="9"/>
      <c r="V1689" s="9"/>
      <c r="W1689" s="9"/>
      <c r="X1689" s="9"/>
      <c r="Y1689" s="9"/>
      <c r="Z1689" s="9"/>
      <c r="AA1689" s="9"/>
      <c r="AB1689" s="9"/>
      <c r="AC1689" s="9"/>
      <c r="AD1689" s="9"/>
      <c r="AE1689" s="9"/>
      <c r="AF1689" s="9"/>
      <c r="AG1689" s="9"/>
      <c r="AH1689" s="9"/>
      <c r="AI1689" s="9"/>
      <c r="AJ1689" s="9"/>
      <c r="AK1689" s="9"/>
      <c r="AL1689" s="9"/>
      <c r="AM1689" s="69"/>
      <c r="AN1689" s="9"/>
      <c r="AO1689" s="69" t="s">
        <v>4434</v>
      </c>
      <c r="AP1689" s="210"/>
      <c r="AQ1689" s="211"/>
      <c r="AR1689" s="211"/>
      <c r="AS1689" s="211"/>
      <c r="AT1689" s="211"/>
      <c r="AU1689" s="211"/>
      <c r="AV1689" s="211"/>
      <c r="AW1689" s="9"/>
      <c r="AX1689" s="9"/>
      <c r="AY1689" s="9"/>
      <c r="AZ1689" s="9"/>
      <c r="BA1689" s="120"/>
      <c r="BB1689" s="69"/>
      <c r="BC1689" s="9"/>
      <c r="BD1689" s="9"/>
      <c r="BE1689" s="9"/>
      <c r="BF1689" s="9"/>
      <c r="BG1689" s="9"/>
      <c r="BH1689" s="9"/>
      <c r="BI1689" s="9"/>
      <c r="BJ1689" s="9"/>
      <c r="BK1689" s="9"/>
      <c r="BL1689" s="9"/>
      <c r="BM1689" s="9"/>
      <c r="BN1689" s="9"/>
      <c r="BO1689" s="9"/>
      <c r="BP1689" s="9"/>
      <c r="BQ1689" s="9"/>
      <c r="BR1689" s="9"/>
      <c r="BS1689" s="9"/>
      <c r="BT1689" s="9"/>
      <c r="BU1689" s="9"/>
      <c r="BV1689" s="9"/>
      <c r="BW1689" s="9"/>
      <c r="BX1689" s="9"/>
      <c r="BY1689" s="9"/>
      <c r="BZ1689" s="9"/>
      <c r="CA1689" s="9"/>
      <c r="CB1689" s="9"/>
      <c r="CC1689" s="9"/>
      <c r="CD1689" s="9"/>
      <c r="CE1689" s="9"/>
      <c r="CF1689" s="9"/>
      <c r="CG1689" s="9"/>
      <c r="CH1689" s="9"/>
      <c r="CI1689" s="9"/>
      <c r="CJ1689" s="9"/>
      <c r="CK1689" s="9"/>
      <c r="CL1689" s="9"/>
      <c r="CM1689" s="9"/>
      <c r="CN1689" s="9"/>
      <c r="CO1689" s="9"/>
      <c r="CP1689" s="9"/>
    </row>
    <row r="1690" spans="1:94" ht="15.75" x14ac:dyDescent="0.25">
      <c r="A1690" s="126" t="s">
        <v>4670</v>
      </c>
      <c r="B1690" s="9" t="s">
        <v>4671</v>
      </c>
      <c r="C1690" s="9"/>
      <c r="D1690" s="9"/>
      <c r="E1690" s="9"/>
      <c r="F1690" s="9"/>
      <c r="G1690" s="9"/>
      <c r="H1690" s="9"/>
      <c r="I1690" s="9"/>
      <c r="J1690" s="9"/>
      <c r="K1690" s="9"/>
      <c r="L1690" s="9"/>
      <c r="M1690" s="9"/>
      <c r="N1690" s="9"/>
      <c r="O1690" s="9"/>
      <c r="P1690" s="9"/>
      <c r="Q1690" s="9"/>
      <c r="R1690" s="9"/>
      <c r="S1690" s="9"/>
      <c r="T1690" s="9"/>
      <c r="U1690" s="9"/>
      <c r="V1690" s="9"/>
      <c r="W1690" s="9"/>
      <c r="X1690" s="9"/>
      <c r="Y1690" s="9"/>
      <c r="Z1690" s="9"/>
      <c r="AA1690" s="9"/>
      <c r="AB1690" s="9"/>
      <c r="AC1690" s="9"/>
      <c r="AD1690" s="9"/>
      <c r="AE1690" s="9"/>
      <c r="AF1690" s="9"/>
      <c r="AG1690" s="9"/>
      <c r="AH1690" s="9"/>
      <c r="AI1690" s="9"/>
      <c r="AJ1690" s="9"/>
      <c r="AK1690" s="9"/>
      <c r="AL1690" s="9"/>
      <c r="AM1690" s="69"/>
      <c r="AN1690" s="9"/>
      <c r="AO1690" s="69" t="s">
        <v>4434</v>
      </c>
      <c r="AP1690" s="210"/>
      <c r="AQ1690" s="211"/>
      <c r="AR1690" s="211"/>
      <c r="AS1690" s="211"/>
      <c r="AT1690" s="211"/>
      <c r="AU1690" s="211"/>
      <c r="AV1690" s="211"/>
      <c r="AW1690" s="9"/>
      <c r="AX1690" s="9"/>
      <c r="AY1690" s="9"/>
      <c r="AZ1690" s="9"/>
      <c r="BA1690" s="120"/>
      <c r="BB1690" s="69"/>
      <c r="BC1690" s="9"/>
      <c r="BD1690" s="9"/>
      <c r="BE1690" s="9"/>
      <c r="BF1690" s="9"/>
      <c r="BG1690" s="9"/>
      <c r="BH1690" s="9"/>
      <c r="BI1690" s="9"/>
      <c r="BJ1690" s="9"/>
      <c r="BK1690" s="9"/>
      <c r="BL1690" s="9"/>
      <c r="BM1690" s="9"/>
      <c r="BN1690" s="9"/>
      <c r="BO1690" s="9"/>
      <c r="BP1690" s="9"/>
      <c r="BQ1690" s="9"/>
      <c r="BR1690" s="9"/>
      <c r="BS1690" s="9"/>
      <c r="BT1690" s="9"/>
      <c r="BU1690" s="9"/>
      <c r="BV1690" s="9"/>
      <c r="BW1690" s="9"/>
      <c r="BX1690" s="9"/>
      <c r="BY1690" s="9"/>
      <c r="BZ1690" s="9"/>
      <c r="CA1690" s="9"/>
      <c r="CB1690" s="9"/>
      <c r="CC1690" s="9"/>
      <c r="CD1690" s="9"/>
      <c r="CE1690" s="9"/>
      <c r="CF1690" s="9"/>
      <c r="CG1690" s="9"/>
      <c r="CH1690" s="9"/>
      <c r="CI1690" s="9"/>
      <c r="CJ1690" s="9"/>
      <c r="CK1690" s="9"/>
      <c r="CL1690" s="9"/>
      <c r="CM1690" s="9"/>
      <c r="CN1690" s="9"/>
      <c r="CO1690" s="9"/>
      <c r="CP1690" s="9"/>
    </row>
    <row r="1691" spans="1:94" ht="15.75" x14ac:dyDescent="0.25">
      <c r="A1691" s="126" t="s">
        <v>4672</v>
      </c>
      <c r="B1691" s="9" t="s">
        <v>4673</v>
      </c>
      <c r="C1691" s="9"/>
      <c r="D1691" s="9"/>
      <c r="E1691" s="9"/>
      <c r="F1691" s="9"/>
      <c r="G1691" s="9"/>
      <c r="H1691" s="9"/>
      <c r="I1691" s="9"/>
      <c r="J1691" s="9"/>
      <c r="K1691" s="9"/>
      <c r="L1691" s="9"/>
      <c r="M1691" s="9"/>
      <c r="N1691" s="9"/>
      <c r="O1691" s="9"/>
      <c r="P1691" s="9"/>
      <c r="Q1691" s="9"/>
      <c r="R1691" s="9"/>
      <c r="S1691" s="9"/>
      <c r="T1691" s="9"/>
      <c r="U1691" s="9"/>
      <c r="V1691" s="9"/>
      <c r="W1691" s="9"/>
      <c r="X1691" s="9"/>
      <c r="Y1691" s="9"/>
      <c r="Z1691" s="9"/>
      <c r="AA1691" s="9"/>
      <c r="AB1691" s="9"/>
      <c r="AC1691" s="9"/>
      <c r="AD1691" s="9"/>
      <c r="AE1691" s="9"/>
      <c r="AF1691" s="9"/>
      <c r="AG1691" s="9"/>
      <c r="AH1691" s="9"/>
      <c r="AI1691" s="9"/>
      <c r="AJ1691" s="9"/>
      <c r="AK1691" s="9"/>
      <c r="AL1691" s="9"/>
      <c r="AM1691" s="69"/>
      <c r="AN1691" s="9"/>
      <c r="AO1691" s="69" t="s">
        <v>4434</v>
      </c>
      <c r="AP1691" s="210"/>
      <c r="AQ1691" s="211"/>
      <c r="AR1691" s="211"/>
      <c r="AS1691" s="211"/>
      <c r="AT1691" s="211"/>
      <c r="AU1691" s="211"/>
      <c r="AV1691" s="211"/>
      <c r="AW1691" s="9"/>
      <c r="AX1691" s="9"/>
      <c r="AY1691" s="9"/>
      <c r="AZ1691" s="9"/>
      <c r="BA1691" s="120"/>
      <c r="BB1691" s="69"/>
      <c r="BC1691" s="9"/>
      <c r="BD1691" s="9"/>
      <c r="BE1691" s="9"/>
      <c r="BF1691" s="9"/>
      <c r="BG1691" s="9"/>
      <c r="BH1691" s="9"/>
      <c r="BI1691" s="9"/>
      <c r="BJ1691" s="9"/>
      <c r="BK1691" s="9"/>
      <c r="BL1691" s="9"/>
      <c r="BM1691" s="9"/>
      <c r="BN1691" s="9"/>
      <c r="BO1691" s="9"/>
      <c r="BP1691" s="9"/>
      <c r="BQ1691" s="9"/>
      <c r="BR1691" s="9"/>
      <c r="BS1691" s="9"/>
      <c r="BT1691" s="9"/>
      <c r="BU1691" s="9"/>
      <c r="BV1691" s="9"/>
      <c r="BW1691" s="9"/>
      <c r="BX1691" s="9"/>
      <c r="BY1691" s="9"/>
      <c r="BZ1691" s="9"/>
      <c r="CA1691" s="9"/>
      <c r="CB1691" s="9"/>
      <c r="CC1691" s="9"/>
      <c r="CD1691" s="9"/>
      <c r="CE1691" s="9"/>
      <c r="CF1691" s="9"/>
      <c r="CG1691" s="9"/>
      <c r="CH1691" s="9"/>
      <c r="CI1691" s="9"/>
      <c r="CJ1691" s="9"/>
      <c r="CK1691" s="9"/>
      <c r="CL1691" s="9"/>
      <c r="CM1691" s="9"/>
      <c r="CN1691" s="9"/>
      <c r="CO1691" s="9"/>
      <c r="CP1691" s="9"/>
    </row>
    <row r="1692" spans="1:94" ht="15.75" x14ac:dyDescent="0.25">
      <c r="A1692" s="126" t="s">
        <v>4674</v>
      </c>
      <c r="B1692" s="9" t="s">
        <v>4675</v>
      </c>
      <c r="C1692" s="9"/>
      <c r="D1692" s="9"/>
      <c r="E1692" s="9"/>
      <c r="F1692" s="9"/>
      <c r="G1692" s="9"/>
      <c r="H1692" s="9"/>
      <c r="I1692" s="9"/>
      <c r="J1692" s="9"/>
      <c r="K1692" s="9"/>
      <c r="L1692" s="9"/>
      <c r="M1692" s="9"/>
      <c r="N1692" s="9"/>
      <c r="O1692" s="9"/>
      <c r="P1692" s="9"/>
      <c r="Q1692" s="9"/>
      <c r="R1692" s="9"/>
      <c r="S1692" s="9"/>
      <c r="T1692" s="9"/>
      <c r="U1692" s="9"/>
      <c r="V1692" s="9"/>
      <c r="W1692" s="9"/>
      <c r="X1692" s="9"/>
      <c r="Y1692" s="9"/>
      <c r="Z1692" s="9"/>
      <c r="AA1692" s="9"/>
      <c r="AB1692" s="9"/>
      <c r="AC1692" s="9"/>
      <c r="AD1692" s="9"/>
      <c r="AE1692" s="9"/>
      <c r="AF1692" s="9"/>
      <c r="AG1692" s="9"/>
      <c r="AH1692" s="9"/>
      <c r="AI1692" s="9"/>
      <c r="AJ1692" s="9"/>
      <c r="AK1692" s="9"/>
      <c r="AL1692" s="9"/>
      <c r="AM1692" s="69"/>
      <c r="AN1692" s="9"/>
      <c r="AO1692" s="69" t="s">
        <v>4434</v>
      </c>
      <c r="AP1692" s="210"/>
      <c r="AQ1692" s="211"/>
      <c r="AR1692" s="211"/>
      <c r="AS1692" s="211"/>
      <c r="AT1692" s="211"/>
      <c r="AU1692" s="211"/>
      <c r="AV1692" s="211"/>
      <c r="AW1692" s="9"/>
      <c r="AX1692" s="9"/>
      <c r="AY1692" s="9"/>
      <c r="AZ1692" s="9"/>
      <c r="BA1692" s="120"/>
      <c r="BB1692" s="69"/>
      <c r="BC1692" s="9"/>
      <c r="BD1692" s="9"/>
      <c r="BE1692" s="9"/>
      <c r="BF1692" s="9"/>
      <c r="BG1692" s="9"/>
      <c r="BH1692" s="9"/>
      <c r="BI1692" s="9"/>
      <c r="BJ1692" s="9"/>
      <c r="BK1692" s="9"/>
      <c r="BL1692" s="9"/>
      <c r="BM1692" s="9"/>
      <c r="BN1692" s="9"/>
      <c r="BO1692" s="9"/>
      <c r="BP1692" s="9"/>
      <c r="BQ1692" s="9"/>
      <c r="BR1692" s="9"/>
      <c r="BS1692" s="9"/>
      <c r="BT1692" s="9"/>
      <c r="BU1692" s="9"/>
      <c r="BV1692" s="9"/>
      <c r="BW1692" s="9"/>
      <c r="BX1692" s="9"/>
      <c r="BY1692" s="9"/>
      <c r="BZ1692" s="9"/>
      <c r="CA1692" s="9"/>
      <c r="CB1692" s="9"/>
      <c r="CC1692" s="9"/>
      <c r="CD1692" s="9"/>
      <c r="CE1692" s="9"/>
      <c r="CF1692" s="9"/>
      <c r="CG1692" s="9"/>
      <c r="CH1692" s="9"/>
      <c r="CI1692" s="9"/>
      <c r="CJ1692" s="9"/>
      <c r="CK1692" s="9"/>
      <c r="CL1692" s="9"/>
      <c r="CM1692" s="9"/>
      <c r="CN1692" s="9"/>
      <c r="CO1692" s="9"/>
      <c r="CP1692" s="9"/>
    </row>
    <row r="1693" spans="1:94" ht="30" x14ac:dyDescent="0.25">
      <c r="A1693" s="126" t="s">
        <v>4676</v>
      </c>
      <c r="B1693" s="9" t="s">
        <v>4677</v>
      </c>
      <c r="C1693" s="9"/>
      <c r="D1693" s="9"/>
      <c r="E1693" s="9"/>
      <c r="F1693" s="9"/>
      <c r="G1693" s="9"/>
      <c r="H1693" s="9"/>
      <c r="I1693" s="9"/>
      <c r="J1693" s="9"/>
      <c r="K1693" s="9"/>
      <c r="L1693" s="9"/>
      <c r="M1693" s="9"/>
      <c r="N1693" s="9"/>
      <c r="O1693" s="9"/>
      <c r="P1693" s="9"/>
      <c r="Q1693" s="9"/>
      <c r="R1693" s="9"/>
      <c r="S1693" s="9"/>
      <c r="T1693" s="9"/>
      <c r="U1693" s="9"/>
      <c r="V1693" s="9"/>
      <c r="W1693" s="9"/>
      <c r="X1693" s="9"/>
      <c r="Y1693" s="9"/>
      <c r="Z1693" s="9"/>
      <c r="AA1693" s="9"/>
      <c r="AB1693" s="9"/>
      <c r="AC1693" s="9"/>
      <c r="AD1693" s="9"/>
      <c r="AE1693" s="9"/>
      <c r="AF1693" s="9"/>
      <c r="AG1693" s="9"/>
      <c r="AH1693" s="9"/>
      <c r="AI1693" s="9"/>
      <c r="AJ1693" s="9"/>
      <c r="AK1693" s="9"/>
      <c r="AL1693" s="9"/>
      <c r="AM1693" s="69"/>
      <c r="AN1693" s="9"/>
      <c r="AO1693" s="69" t="s">
        <v>4643</v>
      </c>
      <c r="AP1693" s="210"/>
      <c r="AQ1693" s="211"/>
      <c r="AR1693" s="211"/>
      <c r="AS1693" s="211"/>
      <c r="AT1693" s="211"/>
      <c r="AU1693" s="211"/>
      <c r="AV1693" s="211"/>
      <c r="AW1693" s="9"/>
      <c r="AX1693" s="9"/>
      <c r="AY1693" s="9"/>
      <c r="AZ1693" s="9"/>
      <c r="BA1693" s="120"/>
      <c r="BB1693" s="69"/>
      <c r="BC1693" s="9"/>
      <c r="BD1693" s="9"/>
      <c r="BE1693" s="9"/>
      <c r="BF1693" s="9"/>
      <c r="BG1693" s="9"/>
      <c r="BH1693" s="9"/>
      <c r="BI1693" s="9"/>
      <c r="BJ1693" s="9"/>
      <c r="BK1693" s="9"/>
      <c r="BL1693" s="9"/>
      <c r="BM1693" s="9"/>
      <c r="BN1693" s="9"/>
      <c r="BO1693" s="9"/>
      <c r="BP1693" s="9"/>
      <c r="BQ1693" s="9"/>
      <c r="BR1693" s="9"/>
      <c r="BS1693" s="9"/>
      <c r="BT1693" s="9"/>
      <c r="BU1693" s="9"/>
      <c r="BV1693" s="9"/>
      <c r="BW1693" s="9"/>
      <c r="BX1693" s="9"/>
      <c r="BY1693" s="9"/>
      <c r="BZ1693" s="9"/>
      <c r="CA1693" s="9"/>
      <c r="CB1693" s="9"/>
      <c r="CC1693" s="9"/>
      <c r="CD1693" s="9"/>
      <c r="CE1693" s="9"/>
      <c r="CF1693" s="9"/>
      <c r="CG1693" s="9"/>
      <c r="CH1693" s="9"/>
      <c r="CI1693" s="9"/>
      <c r="CJ1693" s="9"/>
      <c r="CK1693" s="9"/>
      <c r="CL1693" s="9"/>
      <c r="CM1693" s="9"/>
      <c r="CN1693" s="9"/>
      <c r="CO1693" s="9"/>
      <c r="CP1693" s="9"/>
    </row>
    <row r="1694" spans="1:94" ht="30" x14ac:dyDescent="0.25">
      <c r="A1694" s="126" t="s">
        <v>4678</v>
      </c>
      <c r="B1694" s="9" t="s">
        <v>4679</v>
      </c>
      <c r="C1694" s="9"/>
      <c r="D1694" s="9"/>
      <c r="E1694" s="9"/>
      <c r="F1694" s="9"/>
      <c r="G1694" s="9"/>
      <c r="H1694" s="9"/>
      <c r="I1694" s="9"/>
      <c r="J1694" s="9"/>
      <c r="K1694" s="9"/>
      <c r="L1694" s="9"/>
      <c r="M1694" s="9"/>
      <c r="N1694" s="9"/>
      <c r="O1694" s="9"/>
      <c r="P1694" s="9"/>
      <c r="Q1694" s="9"/>
      <c r="R1694" s="9"/>
      <c r="S1694" s="9"/>
      <c r="T1694" s="9"/>
      <c r="U1694" s="9"/>
      <c r="V1694" s="9"/>
      <c r="W1694" s="9"/>
      <c r="X1694" s="9"/>
      <c r="Y1694" s="9"/>
      <c r="Z1694" s="9"/>
      <c r="AA1694" s="9"/>
      <c r="AB1694" s="9"/>
      <c r="AC1694" s="9"/>
      <c r="AD1694" s="9"/>
      <c r="AE1694" s="9"/>
      <c r="AF1694" s="9"/>
      <c r="AG1694" s="9"/>
      <c r="AH1694" s="9"/>
      <c r="AI1694" s="9"/>
      <c r="AJ1694" s="9"/>
      <c r="AK1694" s="9"/>
      <c r="AL1694" s="9"/>
      <c r="AM1694" s="69"/>
      <c r="AN1694" s="9"/>
      <c r="AO1694" s="69" t="s">
        <v>4643</v>
      </c>
      <c r="AP1694" s="210"/>
      <c r="AQ1694" s="211"/>
      <c r="AR1694" s="211"/>
      <c r="AS1694" s="211"/>
      <c r="AT1694" s="211"/>
      <c r="AU1694" s="211"/>
      <c r="AV1694" s="211"/>
      <c r="AW1694" s="9"/>
      <c r="AX1694" s="9"/>
      <c r="AY1694" s="9"/>
      <c r="AZ1694" s="9"/>
      <c r="BA1694" s="120"/>
      <c r="BB1694" s="69"/>
      <c r="BC1694" s="9"/>
      <c r="BD1694" s="9"/>
      <c r="BE1694" s="9"/>
      <c r="BF1694" s="9"/>
      <c r="BG1694" s="9"/>
      <c r="BH1694" s="9"/>
      <c r="BI1694" s="9"/>
      <c r="BJ1694" s="9"/>
      <c r="BK1694" s="9"/>
      <c r="BL1694" s="9"/>
      <c r="BM1694" s="9"/>
      <c r="BN1694" s="9"/>
      <c r="BO1694" s="9"/>
      <c r="BP1694" s="9"/>
      <c r="BQ1694" s="9"/>
      <c r="BR1694" s="9"/>
      <c r="BS1694" s="9"/>
      <c r="BT1694" s="9"/>
      <c r="BU1694" s="9"/>
      <c r="BV1694" s="9"/>
      <c r="BW1694" s="9"/>
      <c r="BX1694" s="9"/>
      <c r="BY1694" s="9"/>
      <c r="BZ1694" s="9"/>
      <c r="CA1694" s="9"/>
      <c r="CB1694" s="9"/>
      <c r="CC1694" s="9"/>
      <c r="CD1694" s="9"/>
      <c r="CE1694" s="9"/>
      <c r="CF1694" s="9"/>
      <c r="CG1694" s="9"/>
      <c r="CH1694" s="9"/>
      <c r="CI1694" s="9"/>
      <c r="CJ1694" s="9"/>
      <c r="CK1694" s="9"/>
      <c r="CL1694" s="9"/>
      <c r="CM1694" s="9"/>
      <c r="CN1694" s="9"/>
      <c r="CO1694" s="9"/>
      <c r="CP1694" s="9"/>
    </row>
    <row r="1695" spans="1:94" ht="15.75" x14ac:dyDescent="0.25">
      <c r="A1695" s="126" t="s">
        <v>4680</v>
      </c>
      <c r="B1695" s="9" t="s">
        <v>4681</v>
      </c>
      <c r="C1695" s="9"/>
      <c r="D1695" s="9"/>
      <c r="E1695" s="9"/>
      <c r="F1695" s="9"/>
      <c r="G1695" s="9"/>
      <c r="H1695" s="9"/>
      <c r="I1695" s="9"/>
      <c r="J1695" s="9"/>
      <c r="K1695" s="9"/>
      <c r="L1695" s="9"/>
      <c r="M1695" s="9"/>
      <c r="N1695" s="9"/>
      <c r="O1695" s="9"/>
      <c r="P1695" s="9"/>
      <c r="Q1695" s="9"/>
      <c r="R1695" s="9"/>
      <c r="S1695" s="9"/>
      <c r="T1695" s="9"/>
      <c r="U1695" s="9"/>
      <c r="V1695" s="9"/>
      <c r="W1695" s="9"/>
      <c r="X1695" s="9"/>
      <c r="Y1695" s="9"/>
      <c r="Z1695" s="9"/>
      <c r="AA1695" s="9"/>
      <c r="AB1695" s="9"/>
      <c r="AC1695" s="9"/>
      <c r="AD1695" s="9"/>
      <c r="AE1695" s="9"/>
      <c r="AF1695" s="9"/>
      <c r="AG1695" s="9"/>
      <c r="AH1695" s="9"/>
      <c r="AI1695" s="9"/>
      <c r="AJ1695" s="9"/>
      <c r="AK1695" s="9"/>
      <c r="AL1695" s="9"/>
      <c r="AM1695" s="69"/>
      <c r="AN1695" s="9"/>
      <c r="AO1695" s="69" t="s">
        <v>4591</v>
      </c>
      <c r="AP1695" s="210"/>
      <c r="AQ1695" s="211"/>
      <c r="AR1695" s="211"/>
      <c r="AS1695" s="211"/>
      <c r="AT1695" s="211"/>
      <c r="AU1695" s="211"/>
      <c r="AV1695" s="211"/>
      <c r="AW1695" s="9"/>
      <c r="AX1695" s="9"/>
      <c r="AY1695" s="9"/>
      <c r="AZ1695" s="9"/>
      <c r="BA1695" s="120"/>
      <c r="BB1695" s="69"/>
      <c r="BC1695" s="9"/>
      <c r="BD1695" s="9"/>
      <c r="BE1695" s="9"/>
      <c r="BF1695" s="9"/>
      <c r="BG1695" s="9"/>
      <c r="BH1695" s="9"/>
      <c r="BI1695" s="9"/>
      <c r="BJ1695" s="9"/>
      <c r="BK1695" s="9"/>
      <c r="BL1695" s="9"/>
      <c r="BM1695" s="9"/>
      <c r="BN1695" s="9"/>
      <c r="BO1695" s="9"/>
      <c r="BP1695" s="9"/>
      <c r="BQ1695" s="9"/>
      <c r="BR1695" s="9"/>
      <c r="BS1695" s="9"/>
      <c r="BT1695" s="9"/>
      <c r="BU1695" s="9"/>
      <c r="BV1695" s="9"/>
      <c r="BW1695" s="9"/>
      <c r="BX1695" s="9"/>
      <c r="BY1695" s="9"/>
      <c r="BZ1695" s="9"/>
      <c r="CA1695" s="9"/>
      <c r="CB1695" s="9"/>
      <c r="CC1695" s="9"/>
      <c r="CD1695" s="9"/>
      <c r="CE1695" s="9"/>
      <c r="CF1695" s="9"/>
      <c r="CG1695" s="9"/>
      <c r="CH1695" s="9"/>
      <c r="CI1695" s="9"/>
      <c r="CJ1695" s="9"/>
      <c r="CK1695" s="9"/>
      <c r="CL1695" s="9"/>
      <c r="CM1695" s="9"/>
      <c r="CN1695" s="9"/>
      <c r="CO1695" s="9"/>
      <c r="CP1695" s="9"/>
    </row>
    <row r="1696" spans="1:94" ht="15.75" x14ac:dyDescent="0.25">
      <c r="A1696" s="126" t="s">
        <v>4682</v>
      </c>
      <c r="B1696" s="9" t="s">
        <v>4683</v>
      </c>
      <c r="C1696" s="9"/>
      <c r="D1696" s="9"/>
      <c r="E1696" s="9"/>
      <c r="F1696" s="9"/>
      <c r="G1696" s="9"/>
      <c r="H1696" s="9"/>
      <c r="I1696" s="9"/>
      <c r="J1696" s="9"/>
      <c r="K1696" s="9"/>
      <c r="L1696" s="9"/>
      <c r="M1696" s="9"/>
      <c r="N1696" s="9"/>
      <c r="O1696" s="9"/>
      <c r="P1696" s="9"/>
      <c r="Q1696" s="9"/>
      <c r="R1696" s="9"/>
      <c r="S1696" s="9"/>
      <c r="T1696" s="9"/>
      <c r="U1696" s="9"/>
      <c r="V1696" s="9"/>
      <c r="W1696" s="9"/>
      <c r="X1696" s="9"/>
      <c r="Y1696" s="9"/>
      <c r="Z1696" s="9"/>
      <c r="AA1696" s="9"/>
      <c r="AB1696" s="9"/>
      <c r="AC1696" s="9"/>
      <c r="AD1696" s="9"/>
      <c r="AE1696" s="9"/>
      <c r="AF1696" s="9"/>
      <c r="AG1696" s="9"/>
      <c r="AH1696" s="9"/>
      <c r="AI1696" s="9"/>
      <c r="AJ1696" s="9"/>
      <c r="AK1696" s="9"/>
      <c r="AL1696" s="9"/>
      <c r="AM1696" s="69"/>
      <c r="AN1696" s="9"/>
      <c r="AO1696" s="69" t="s">
        <v>4591</v>
      </c>
      <c r="AP1696" s="210"/>
      <c r="AQ1696" s="211"/>
      <c r="AR1696" s="211"/>
      <c r="AS1696" s="211"/>
      <c r="AT1696" s="211"/>
      <c r="AU1696" s="211"/>
      <c r="AV1696" s="211"/>
      <c r="AW1696" s="9"/>
      <c r="AX1696" s="9"/>
      <c r="AY1696" s="9"/>
      <c r="AZ1696" s="9"/>
      <c r="BA1696" s="120"/>
      <c r="BB1696" s="69"/>
      <c r="BC1696" s="9"/>
      <c r="BD1696" s="9"/>
      <c r="BE1696" s="9"/>
      <c r="BF1696" s="9"/>
      <c r="BG1696" s="9"/>
      <c r="BH1696" s="9"/>
      <c r="BI1696" s="9"/>
      <c r="BJ1696" s="9"/>
      <c r="BK1696" s="9"/>
      <c r="BL1696" s="9"/>
      <c r="BM1696" s="9"/>
      <c r="BN1696" s="9"/>
      <c r="BO1696" s="9"/>
      <c r="BP1696" s="9"/>
      <c r="BQ1696" s="9"/>
      <c r="BR1696" s="9"/>
      <c r="BS1696" s="9"/>
      <c r="BT1696" s="9"/>
      <c r="BU1696" s="9"/>
      <c r="BV1696" s="9"/>
      <c r="BW1696" s="9"/>
      <c r="BX1696" s="9"/>
      <c r="BY1696" s="9"/>
      <c r="BZ1696" s="9"/>
      <c r="CA1696" s="9"/>
      <c r="CB1696" s="9"/>
      <c r="CC1696" s="9"/>
      <c r="CD1696" s="9"/>
      <c r="CE1696" s="9"/>
      <c r="CF1696" s="9"/>
      <c r="CG1696" s="9"/>
      <c r="CH1696" s="9"/>
      <c r="CI1696" s="9"/>
      <c r="CJ1696" s="9"/>
      <c r="CK1696" s="9"/>
      <c r="CL1696" s="9"/>
      <c r="CM1696" s="9"/>
      <c r="CN1696" s="9"/>
      <c r="CO1696" s="9"/>
      <c r="CP1696" s="9"/>
    </row>
    <row r="1697" spans="1:94" ht="30" x14ac:dyDescent="0.25">
      <c r="A1697" s="126" t="s">
        <v>4684</v>
      </c>
      <c r="B1697" s="9" t="s">
        <v>4685</v>
      </c>
      <c r="C1697" s="9"/>
      <c r="D1697" s="9"/>
      <c r="E1697" s="9"/>
      <c r="F1697" s="9"/>
      <c r="G1697" s="9"/>
      <c r="H1697" s="9"/>
      <c r="I1697" s="9"/>
      <c r="J1697" s="9"/>
      <c r="K1697" s="9"/>
      <c r="L1697" s="9"/>
      <c r="M1697" s="9"/>
      <c r="N1697" s="9"/>
      <c r="O1697" s="9"/>
      <c r="P1697" s="9"/>
      <c r="Q1697" s="9"/>
      <c r="R1697" s="9"/>
      <c r="S1697" s="9"/>
      <c r="T1697" s="9"/>
      <c r="U1697" s="9"/>
      <c r="V1697" s="9"/>
      <c r="W1697" s="9"/>
      <c r="X1697" s="9"/>
      <c r="Y1697" s="9"/>
      <c r="Z1697" s="9"/>
      <c r="AA1697" s="9"/>
      <c r="AB1697" s="9"/>
      <c r="AC1697" s="9"/>
      <c r="AD1697" s="9"/>
      <c r="AE1697" s="9"/>
      <c r="AF1697" s="9"/>
      <c r="AG1697" s="9"/>
      <c r="AH1697" s="9"/>
      <c r="AI1697" s="9"/>
      <c r="AJ1697" s="9"/>
      <c r="AK1697" s="9"/>
      <c r="AL1697" s="9"/>
      <c r="AM1697" s="69"/>
      <c r="AN1697" s="9"/>
      <c r="AO1697" s="69" t="s">
        <v>4643</v>
      </c>
      <c r="AP1697" s="210"/>
      <c r="AQ1697" s="211"/>
      <c r="AR1697" s="211"/>
      <c r="AS1697" s="211"/>
      <c r="AT1697" s="211"/>
      <c r="AU1697" s="211"/>
      <c r="AV1697" s="211"/>
      <c r="AW1697" s="9"/>
      <c r="AX1697" s="9"/>
      <c r="AY1697" s="9"/>
      <c r="AZ1697" s="9"/>
      <c r="BA1697" s="120"/>
      <c r="BB1697" s="69"/>
      <c r="BC1697" s="9"/>
      <c r="BD1697" s="9"/>
      <c r="BE1697" s="9"/>
      <c r="BF1697" s="9"/>
      <c r="BG1697" s="9"/>
      <c r="BH1697" s="9"/>
      <c r="BI1697" s="9"/>
      <c r="BJ1697" s="9"/>
      <c r="BK1697" s="9"/>
      <c r="BL1697" s="9"/>
      <c r="BM1697" s="9"/>
      <c r="BN1697" s="9"/>
      <c r="BO1697" s="9"/>
      <c r="BP1697" s="9"/>
      <c r="BQ1697" s="9"/>
      <c r="BR1697" s="9"/>
      <c r="BS1697" s="9"/>
      <c r="BT1697" s="9"/>
      <c r="BU1697" s="9"/>
      <c r="BV1697" s="9"/>
      <c r="BW1697" s="9"/>
      <c r="BX1697" s="9"/>
      <c r="BY1697" s="9"/>
      <c r="BZ1697" s="9"/>
      <c r="CA1697" s="9"/>
      <c r="CB1697" s="9"/>
      <c r="CC1697" s="9"/>
      <c r="CD1697" s="9"/>
      <c r="CE1697" s="9"/>
      <c r="CF1697" s="9"/>
      <c r="CG1697" s="9"/>
      <c r="CH1697" s="9"/>
      <c r="CI1697" s="9"/>
      <c r="CJ1697" s="9"/>
      <c r="CK1697" s="9"/>
      <c r="CL1697" s="9"/>
      <c r="CM1697" s="9"/>
      <c r="CN1697" s="9"/>
      <c r="CO1697" s="9"/>
      <c r="CP1697" s="9"/>
    </row>
    <row r="1698" spans="1:94" ht="30" x14ac:dyDescent="0.25">
      <c r="A1698" s="126" t="s">
        <v>4686</v>
      </c>
      <c r="B1698" s="9" t="s">
        <v>4687</v>
      </c>
      <c r="C1698" s="9"/>
      <c r="D1698" s="9"/>
      <c r="E1698" s="9"/>
      <c r="F1698" s="9"/>
      <c r="G1698" s="9"/>
      <c r="H1698" s="9"/>
      <c r="I1698" s="9"/>
      <c r="J1698" s="9"/>
      <c r="K1698" s="9"/>
      <c r="L1698" s="9"/>
      <c r="M1698" s="9"/>
      <c r="N1698" s="9"/>
      <c r="O1698" s="9"/>
      <c r="P1698" s="9"/>
      <c r="Q1698" s="9"/>
      <c r="R1698" s="9"/>
      <c r="S1698" s="9"/>
      <c r="T1698" s="9"/>
      <c r="U1698" s="9"/>
      <c r="V1698" s="9"/>
      <c r="W1698" s="9"/>
      <c r="X1698" s="9"/>
      <c r="Y1698" s="9"/>
      <c r="Z1698" s="9"/>
      <c r="AA1698" s="9"/>
      <c r="AB1698" s="9"/>
      <c r="AC1698" s="9"/>
      <c r="AD1698" s="9"/>
      <c r="AE1698" s="9"/>
      <c r="AF1698" s="9"/>
      <c r="AG1698" s="9"/>
      <c r="AH1698" s="9"/>
      <c r="AI1698" s="9"/>
      <c r="AJ1698" s="9"/>
      <c r="AK1698" s="9"/>
      <c r="AL1698" s="9"/>
      <c r="AM1698" s="69"/>
      <c r="AN1698" s="9"/>
      <c r="AO1698" s="69" t="s">
        <v>4643</v>
      </c>
      <c r="AP1698" s="210"/>
      <c r="AQ1698" s="211"/>
      <c r="AR1698" s="211"/>
      <c r="AS1698" s="211"/>
      <c r="AT1698" s="211"/>
      <c r="AU1698" s="211"/>
      <c r="AV1698" s="211"/>
      <c r="AW1698" s="9"/>
      <c r="AX1698" s="9"/>
      <c r="AY1698" s="9"/>
      <c r="AZ1698" s="9"/>
      <c r="BA1698" s="120"/>
      <c r="BB1698" s="69"/>
      <c r="BC1698" s="9"/>
      <c r="BD1698" s="9"/>
      <c r="BE1698" s="9"/>
      <c r="BF1698" s="9"/>
      <c r="BG1698" s="9"/>
      <c r="BH1698" s="9"/>
      <c r="BI1698" s="9"/>
      <c r="BJ1698" s="9"/>
      <c r="BK1698" s="9"/>
      <c r="BL1698" s="9"/>
      <c r="BM1698" s="9"/>
      <c r="BN1698" s="9"/>
      <c r="BO1698" s="9"/>
      <c r="BP1698" s="9"/>
      <c r="BQ1698" s="9"/>
      <c r="BR1698" s="9"/>
      <c r="BS1698" s="9"/>
      <c r="BT1698" s="9"/>
      <c r="BU1698" s="9"/>
      <c r="BV1698" s="9"/>
      <c r="BW1698" s="9"/>
      <c r="BX1698" s="9"/>
      <c r="BY1698" s="9"/>
      <c r="BZ1698" s="9"/>
      <c r="CA1698" s="9"/>
      <c r="CB1698" s="9"/>
      <c r="CC1698" s="9"/>
      <c r="CD1698" s="9"/>
      <c r="CE1698" s="9"/>
      <c r="CF1698" s="9"/>
      <c r="CG1698" s="9"/>
      <c r="CH1698" s="9"/>
      <c r="CI1698" s="9"/>
      <c r="CJ1698" s="9"/>
      <c r="CK1698" s="9"/>
      <c r="CL1698" s="9"/>
      <c r="CM1698" s="9"/>
      <c r="CN1698" s="9"/>
      <c r="CO1698" s="9"/>
      <c r="CP1698" s="9"/>
    </row>
    <row r="1699" spans="1:94" ht="30" x14ac:dyDescent="0.25">
      <c r="A1699" s="126" t="s">
        <v>4688</v>
      </c>
      <c r="B1699" s="9" t="s">
        <v>4689</v>
      </c>
      <c r="C1699" s="9"/>
      <c r="D1699" s="9"/>
      <c r="E1699" s="9"/>
      <c r="F1699" s="9"/>
      <c r="G1699" s="9"/>
      <c r="H1699" s="9"/>
      <c r="I1699" s="9"/>
      <c r="J1699" s="9"/>
      <c r="K1699" s="9"/>
      <c r="L1699" s="9"/>
      <c r="M1699" s="9"/>
      <c r="N1699" s="9"/>
      <c r="O1699" s="9"/>
      <c r="P1699" s="9"/>
      <c r="Q1699" s="9"/>
      <c r="R1699" s="9"/>
      <c r="S1699" s="9"/>
      <c r="T1699" s="9"/>
      <c r="U1699" s="9"/>
      <c r="V1699" s="9"/>
      <c r="W1699" s="9"/>
      <c r="X1699" s="9"/>
      <c r="Y1699" s="9"/>
      <c r="Z1699" s="9"/>
      <c r="AA1699" s="9"/>
      <c r="AB1699" s="9"/>
      <c r="AC1699" s="9"/>
      <c r="AD1699" s="9"/>
      <c r="AE1699" s="9"/>
      <c r="AF1699" s="9"/>
      <c r="AG1699" s="9"/>
      <c r="AH1699" s="9"/>
      <c r="AI1699" s="9"/>
      <c r="AJ1699" s="9"/>
      <c r="AK1699" s="9"/>
      <c r="AL1699" s="9"/>
      <c r="AM1699" s="69"/>
      <c r="AN1699" s="9"/>
      <c r="AO1699" s="69" t="s">
        <v>4643</v>
      </c>
      <c r="AP1699" s="210"/>
      <c r="AQ1699" s="211"/>
      <c r="AR1699" s="211"/>
      <c r="AS1699" s="211"/>
      <c r="AT1699" s="211"/>
      <c r="AU1699" s="211"/>
      <c r="AV1699" s="211"/>
      <c r="AW1699" s="9"/>
      <c r="AX1699" s="9"/>
      <c r="AY1699" s="9"/>
      <c r="AZ1699" s="9"/>
      <c r="BA1699" s="120"/>
      <c r="BB1699" s="69"/>
      <c r="BC1699" s="9"/>
      <c r="BD1699" s="9"/>
      <c r="BE1699" s="9"/>
      <c r="BF1699" s="9"/>
      <c r="BG1699" s="9"/>
      <c r="BH1699" s="9"/>
      <c r="BI1699" s="9"/>
      <c r="BJ1699" s="9"/>
      <c r="BK1699" s="9"/>
      <c r="BL1699" s="9"/>
      <c r="BM1699" s="9"/>
      <c r="BN1699" s="9"/>
      <c r="BO1699" s="9"/>
      <c r="BP1699" s="9"/>
      <c r="BQ1699" s="9"/>
      <c r="BR1699" s="9"/>
      <c r="BS1699" s="9"/>
      <c r="BT1699" s="9"/>
      <c r="BU1699" s="9"/>
      <c r="BV1699" s="9"/>
      <c r="BW1699" s="9"/>
      <c r="BX1699" s="9"/>
      <c r="BY1699" s="9"/>
      <c r="BZ1699" s="9"/>
      <c r="CA1699" s="9"/>
      <c r="CB1699" s="9"/>
      <c r="CC1699" s="9"/>
      <c r="CD1699" s="9"/>
      <c r="CE1699" s="9"/>
      <c r="CF1699" s="9"/>
      <c r="CG1699" s="9"/>
      <c r="CH1699" s="9"/>
      <c r="CI1699" s="9"/>
      <c r="CJ1699" s="9"/>
      <c r="CK1699" s="9"/>
      <c r="CL1699" s="9"/>
      <c r="CM1699" s="9"/>
      <c r="CN1699" s="9"/>
      <c r="CO1699" s="9"/>
      <c r="CP1699" s="9"/>
    </row>
    <row r="1700" spans="1:94" ht="30" x14ac:dyDescent="0.25">
      <c r="A1700" s="126" t="s">
        <v>4690</v>
      </c>
      <c r="B1700" s="9" t="s">
        <v>4691</v>
      </c>
      <c r="C1700" s="9"/>
      <c r="D1700" s="9"/>
      <c r="E1700" s="9"/>
      <c r="F1700" s="9"/>
      <c r="G1700" s="9"/>
      <c r="H1700" s="9"/>
      <c r="I1700" s="9"/>
      <c r="J1700" s="9"/>
      <c r="K1700" s="9"/>
      <c r="L1700" s="9"/>
      <c r="M1700" s="9"/>
      <c r="N1700" s="9"/>
      <c r="O1700" s="9"/>
      <c r="P1700" s="9"/>
      <c r="Q1700" s="9"/>
      <c r="R1700" s="9"/>
      <c r="S1700" s="9"/>
      <c r="T1700" s="9"/>
      <c r="U1700" s="9"/>
      <c r="V1700" s="9"/>
      <c r="W1700" s="9"/>
      <c r="X1700" s="9"/>
      <c r="Y1700" s="9"/>
      <c r="Z1700" s="9"/>
      <c r="AA1700" s="9"/>
      <c r="AB1700" s="9"/>
      <c r="AC1700" s="9"/>
      <c r="AD1700" s="9"/>
      <c r="AE1700" s="9"/>
      <c r="AF1700" s="9"/>
      <c r="AG1700" s="9"/>
      <c r="AH1700" s="9"/>
      <c r="AI1700" s="9"/>
      <c r="AJ1700" s="9"/>
      <c r="AK1700" s="9"/>
      <c r="AL1700" s="9"/>
      <c r="AM1700" s="69"/>
      <c r="AN1700" s="9"/>
      <c r="AO1700" s="69" t="s">
        <v>4643</v>
      </c>
      <c r="AP1700" s="210"/>
      <c r="AQ1700" s="211"/>
      <c r="AR1700" s="211"/>
      <c r="AS1700" s="211"/>
      <c r="AT1700" s="211"/>
      <c r="AU1700" s="211"/>
      <c r="AV1700" s="211"/>
      <c r="AW1700" s="9"/>
      <c r="AX1700" s="9"/>
      <c r="AY1700" s="9"/>
      <c r="AZ1700" s="9"/>
      <c r="BA1700" s="120"/>
      <c r="BB1700" s="69"/>
      <c r="BC1700" s="9"/>
      <c r="BD1700" s="9"/>
      <c r="BE1700" s="9"/>
      <c r="BF1700" s="9"/>
      <c r="BG1700" s="9"/>
      <c r="BH1700" s="9"/>
      <c r="BI1700" s="9"/>
      <c r="BJ1700" s="9"/>
      <c r="BK1700" s="9"/>
      <c r="BL1700" s="9"/>
      <c r="BM1700" s="9"/>
      <c r="BN1700" s="9"/>
      <c r="BO1700" s="9"/>
      <c r="BP1700" s="9"/>
      <c r="BQ1700" s="9"/>
      <c r="BR1700" s="9"/>
      <c r="BS1700" s="9"/>
      <c r="BT1700" s="9"/>
      <c r="BU1700" s="9"/>
      <c r="BV1700" s="9"/>
      <c r="BW1700" s="9"/>
      <c r="BX1700" s="9"/>
      <c r="BY1700" s="9"/>
      <c r="BZ1700" s="9"/>
      <c r="CA1700" s="9"/>
      <c r="CB1700" s="9"/>
      <c r="CC1700" s="9"/>
      <c r="CD1700" s="9"/>
      <c r="CE1700" s="9"/>
      <c r="CF1700" s="9"/>
      <c r="CG1700" s="9"/>
      <c r="CH1700" s="9"/>
      <c r="CI1700" s="9"/>
      <c r="CJ1700" s="9"/>
      <c r="CK1700" s="9"/>
      <c r="CL1700" s="9"/>
      <c r="CM1700" s="9"/>
      <c r="CN1700" s="9"/>
      <c r="CO1700" s="9"/>
      <c r="CP1700" s="9"/>
    </row>
    <row r="1701" spans="1:94" ht="15.75" x14ac:dyDescent="0.25">
      <c r="A1701" s="126" t="s">
        <v>4692</v>
      </c>
      <c r="B1701" s="9" t="s">
        <v>4693</v>
      </c>
      <c r="C1701" s="9"/>
      <c r="D1701" s="9"/>
      <c r="E1701" s="9"/>
      <c r="F1701" s="9"/>
      <c r="G1701" s="9"/>
      <c r="H1701" s="9"/>
      <c r="I1701" s="9"/>
      <c r="J1701" s="9"/>
      <c r="K1701" s="9"/>
      <c r="L1701" s="9"/>
      <c r="M1701" s="9"/>
      <c r="N1701" s="9"/>
      <c r="O1701" s="9"/>
      <c r="P1701" s="9"/>
      <c r="Q1701" s="9"/>
      <c r="R1701" s="9"/>
      <c r="S1701" s="9"/>
      <c r="T1701" s="9"/>
      <c r="U1701" s="9"/>
      <c r="V1701" s="9"/>
      <c r="W1701" s="9"/>
      <c r="X1701" s="9"/>
      <c r="Y1701" s="9"/>
      <c r="Z1701" s="9"/>
      <c r="AA1701" s="9"/>
      <c r="AB1701" s="9"/>
      <c r="AC1701" s="9"/>
      <c r="AD1701" s="9"/>
      <c r="AE1701" s="9"/>
      <c r="AF1701" s="9"/>
      <c r="AG1701" s="9"/>
      <c r="AH1701" s="9"/>
      <c r="AI1701" s="9"/>
      <c r="AJ1701" s="9"/>
      <c r="AK1701" s="9"/>
      <c r="AL1701" s="9"/>
      <c r="AM1701" s="69"/>
      <c r="AN1701" s="9"/>
      <c r="AO1701" s="69" t="s">
        <v>4591</v>
      </c>
      <c r="AP1701" s="210"/>
      <c r="AQ1701" s="211"/>
      <c r="AR1701" s="211"/>
      <c r="AS1701" s="211"/>
      <c r="AT1701" s="211"/>
      <c r="AU1701" s="211"/>
      <c r="AV1701" s="211"/>
      <c r="AW1701" s="9"/>
      <c r="AX1701" s="9"/>
      <c r="AY1701" s="9"/>
      <c r="AZ1701" s="9"/>
      <c r="BA1701" s="120"/>
      <c r="BB1701" s="69"/>
      <c r="BC1701" s="9"/>
      <c r="BD1701" s="9"/>
      <c r="BE1701" s="9"/>
      <c r="BF1701" s="9"/>
      <c r="BG1701" s="9"/>
      <c r="BH1701" s="9"/>
      <c r="BI1701" s="9"/>
      <c r="BJ1701" s="9"/>
      <c r="BK1701" s="9"/>
      <c r="BL1701" s="9"/>
      <c r="BM1701" s="9"/>
      <c r="BN1701" s="9"/>
      <c r="BO1701" s="9"/>
      <c r="BP1701" s="9"/>
      <c r="BQ1701" s="9"/>
      <c r="BR1701" s="9"/>
      <c r="BS1701" s="9"/>
      <c r="BT1701" s="9"/>
      <c r="BU1701" s="9"/>
      <c r="BV1701" s="9"/>
      <c r="BW1701" s="9"/>
      <c r="BX1701" s="9"/>
      <c r="BY1701" s="9"/>
      <c r="BZ1701" s="9"/>
      <c r="CA1701" s="9"/>
      <c r="CB1701" s="9"/>
      <c r="CC1701" s="9"/>
      <c r="CD1701" s="9"/>
      <c r="CE1701" s="9"/>
      <c r="CF1701" s="9"/>
      <c r="CG1701" s="9"/>
      <c r="CH1701" s="9"/>
      <c r="CI1701" s="9"/>
      <c r="CJ1701" s="9"/>
      <c r="CK1701" s="9"/>
      <c r="CL1701" s="9"/>
      <c r="CM1701" s="9"/>
      <c r="CN1701" s="9"/>
      <c r="CO1701" s="9"/>
      <c r="CP1701" s="9"/>
    </row>
    <row r="1702" spans="1:94" ht="15.75" x14ac:dyDescent="0.25">
      <c r="A1702" s="126" t="s">
        <v>4694</v>
      </c>
      <c r="B1702" s="9" t="s">
        <v>4695</v>
      </c>
      <c r="C1702" s="9"/>
      <c r="D1702" s="9"/>
      <c r="E1702" s="9"/>
      <c r="F1702" s="9"/>
      <c r="G1702" s="9"/>
      <c r="H1702" s="9"/>
      <c r="I1702" s="9"/>
      <c r="J1702" s="9"/>
      <c r="K1702" s="9"/>
      <c r="L1702" s="9"/>
      <c r="M1702" s="9"/>
      <c r="N1702" s="9"/>
      <c r="O1702" s="9"/>
      <c r="P1702" s="9"/>
      <c r="Q1702" s="9"/>
      <c r="R1702" s="9"/>
      <c r="S1702" s="9"/>
      <c r="T1702" s="9"/>
      <c r="U1702" s="9"/>
      <c r="V1702" s="9"/>
      <c r="W1702" s="9"/>
      <c r="X1702" s="9"/>
      <c r="Y1702" s="9"/>
      <c r="Z1702" s="9"/>
      <c r="AA1702" s="9"/>
      <c r="AB1702" s="9"/>
      <c r="AC1702" s="9"/>
      <c r="AD1702" s="9"/>
      <c r="AE1702" s="9"/>
      <c r="AF1702" s="9"/>
      <c r="AG1702" s="9"/>
      <c r="AH1702" s="9"/>
      <c r="AI1702" s="9"/>
      <c r="AJ1702" s="9"/>
      <c r="AK1702" s="9"/>
      <c r="AL1702" s="9"/>
      <c r="AM1702" s="69"/>
      <c r="AN1702" s="9"/>
      <c r="AO1702" s="69" t="s">
        <v>4591</v>
      </c>
      <c r="AP1702" s="210"/>
      <c r="AQ1702" s="211"/>
      <c r="AR1702" s="211"/>
      <c r="AS1702" s="211"/>
      <c r="AT1702" s="211"/>
      <c r="AU1702" s="211"/>
      <c r="AV1702" s="211"/>
      <c r="AW1702" s="9"/>
      <c r="AX1702" s="9"/>
      <c r="AY1702" s="9"/>
      <c r="AZ1702" s="9"/>
      <c r="BA1702" s="120"/>
      <c r="BB1702" s="69"/>
      <c r="BC1702" s="9"/>
      <c r="BD1702" s="9"/>
      <c r="BE1702" s="9"/>
      <c r="BF1702" s="9"/>
      <c r="BG1702" s="9"/>
      <c r="BH1702" s="9"/>
      <c r="BI1702" s="9"/>
      <c r="BJ1702" s="9"/>
      <c r="BK1702" s="9"/>
      <c r="BL1702" s="9"/>
      <c r="BM1702" s="9"/>
      <c r="BN1702" s="9"/>
      <c r="BO1702" s="9"/>
      <c r="BP1702" s="9"/>
      <c r="BQ1702" s="9"/>
      <c r="BR1702" s="9"/>
      <c r="BS1702" s="9"/>
      <c r="BT1702" s="9"/>
      <c r="BU1702" s="9"/>
      <c r="BV1702" s="9"/>
      <c r="BW1702" s="9"/>
      <c r="BX1702" s="9"/>
      <c r="BY1702" s="9"/>
      <c r="BZ1702" s="9"/>
      <c r="CA1702" s="9"/>
      <c r="CB1702" s="9"/>
      <c r="CC1702" s="9"/>
      <c r="CD1702" s="9"/>
      <c r="CE1702" s="9"/>
      <c r="CF1702" s="9"/>
      <c r="CG1702" s="9"/>
      <c r="CH1702" s="9"/>
      <c r="CI1702" s="9"/>
      <c r="CJ1702" s="9"/>
      <c r="CK1702" s="9"/>
      <c r="CL1702" s="9"/>
      <c r="CM1702" s="9"/>
      <c r="CN1702" s="9"/>
      <c r="CO1702" s="9"/>
      <c r="CP1702" s="9"/>
    </row>
    <row r="1703" spans="1:94" ht="15.75" x14ac:dyDescent="0.25">
      <c r="A1703" s="126" t="s">
        <v>4696</v>
      </c>
      <c r="B1703" s="9" t="s">
        <v>4697</v>
      </c>
      <c r="C1703" s="9"/>
      <c r="D1703" s="9"/>
      <c r="E1703" s="9"/>
      <c r="F1703" s="9"/>
      <c r="G1703" s="9"/>
      <c r="H1703" s="9"/>
      <c r="I1703" s="9"/>
      <c r="J1703" s="9"/>
      <c r="K1703" s="9"/>
      <c r="L1703" s="9"/>
      <c r="M1703" s="9"/>
      <c r="N1703" s="9"/>
      <c r="O1703" s="9"/>
      <c r="P1703" s="9"/>
      <c r="Q1703" s="9"/>
      <c r="R1703" s="9"/>
      <c r="S1703" s="9"/>
      <c r="T1703" s="9"/>
      <c r="U1703" s="9"/>
      <c r="V1703" s="9"/>
      <c r="W1703" s="9"/>
      <c r="X1703" s="9"/>
      <c r="Y1703" s="9"/>
      <c r="Z1703" s="9"/>
      <c r="AA1703" s="9"/>
      <c r="AB1703" s="9"/>
      <c r="AC1703" s="9"/>
      <c r="AD1703" s="9"/>
      <c r="AE1703" s="9"/>
      <c r="AF1703" s="9"/>
      <c r="AG1703" s="9"/>
      <c r="AH1703" s="9"/>
      <c r="AI1703" s="9"/>
      <c r="AJ1703" s="9"/>
      <c r="AK1703" s="9"/>
      <c r="AL1703" s="9"/>
      <c r="AM1703" s="69"/>
      <c r="AN1703" s="9"/>
      <c r="AO1703" s="69" t="s">
        <v>4591</v>
      </c>
      <c r="AP1703" s="210"/>
      <c r="AQ1703" s="211"/>
      <c r="AR1703" s="211"/>
      <c r="AS1703" s="211"/>
      <c r="AT1703" s="211"/>
      <c r="AU1703" s="211"/>
      <c r="AV1703" s="211"/>
      <c r="AW1703" s="9"/>
      <c r="AX1703" s="9"/>
      <c r="AY1703" s="9"/>
      <c r="AZ1703" s="9"/>
      <c r="BA1703" s="120"/>
      <c r="BB1703" s="69"/>
      <c r="BC1703" s="9"/>
      <c r="BD1703" s="9"/>
      <c r="BE1703" s="9"/>
      <c r="BF1703" s="9"/>
      <c r="BG1703" s="9"/>
      <c r="BH1703" s="9"/>
      <c r="BI1703" s="9"/>
      <c r="BJ1703" s="9"/>
      <c r="BK1703" s="9"/>
      <c r="BL1703" s="9"/>
      <c r="BM1703" s="9"/>
      <c r="BN1703" s="9"/>
      <c r="BO1703" s="9"/>
      <c r="BP1703" s="9"/>
      <c r="BQ1703" s="9"/>
      <c r="BR1703" s="9"/>
      <c r="BS1703" s="9"/>
      <c r="BT1703" s="9"/>
      <c r="BU1703" s="9"/>
      <c r="BV1703" s="9"/>
      <c r="BW1703" s="9"/>
      <c r="BX1703" s="9"/>
      <c r="BY1703" s="9"/>
      <c r="BZ1703" s="9"/>
      <c r="CA1703" s="9"/>
      <c r="CB1703" s="9"/>
      <c r="CC1703" s="9"/>
      <c r="CD1703" s="9"/>
      <c r="CE1703" s="9"/>
      <c r="CF1703" s="9"/>
      <c r="CG1703" s="9"/>
      <c r="CH1703" s="9"/>
      <c r="CI1703" s="9"/>
      <c r="CJ1703" s="9"/>
      <c r="CK1703" s="9"/>
      <c r="CL1703" s="9"/>
      <c r="CM1703" s="9"/>
      <c r="CN1703" s="9"/>
      <c r="CO1703" s="9"/>
      <c r="CP1703" s="9"/>
    </row>
    <row r="1704" spans="1:94" ht="30" x14ac:dyDescent="0.25">
      <c r="A1704" s="126" t="s">
        <v>4698</v>
      </c>
      <c r="B1704" s="9" t="s">
        <v>4699</v>
      </c>
      <c r="C1704" s="9"/>
      <c r="D1704" s="9"/>
      <c r="E1704" s="9"/>
      <c r="F1704" s="9"/>
      <c r="G1704" s="9"/>
      <c r="H1704" s="9"/>
      <c r="I1704" s="9"/>
      <c r="J1704" s="9"/>
      <c r="K1704" s="9"/>
      <c r="L1704" s="9"/>
      <c r="M1704" s="9"/>
      <c r="N1704" s="9"/>
      <c r="O1704" s="9"/>
      <c r="P1704" s="9"/>
      <c r="Q1704" s="9"/>
      <c r="R1704" s="9"/>
      <c r="S1704" s="9"/>
      <c r="T1704" s="9"/>
      <c r="U1704" s="9"/>
      <c r="V1704" s="9"/>
      <c r="W1704" s="9"/>
      <c r="X1704" s="9"/>
      <c r="Y1704" s="9"/>
      <c r="Z1704" s="9"/>
      <c r="AA1704" s="9"/>
      <c r="AB1704" s="9"/>
      <c r="AC1704" s="9"/>
      <c r="AD1704" s="9"/>
      <c r="AE1704" s="9"/>
      <c r="AF1704" s="9"/>
      <c r="AG1704" s="9"/>
      <c r="AH1704" s="9"/>
      <c r="AI1704" s="9"/>
      <c r="AJ1704" s="9"/>
      <c r="AK1704" s="9"/>
      <c r="AL1704" s="9"/>
      <c r="AM1704" s="69"/>
      <c r="AN1704" s="9"/>
      <c r="AO1704" s="69" t="s">
        <v>4700</v>
      </c>
      <c r="AP1704" s="210"/>
      <c r="AQ1704" s="211"/>
      <c r="AR1704" s="211"/>
      <c r="AS1704" s="211"/>
      <c r="AT1704" s="211"/>
      <c r="AU1704" s="211"/>
      <c r="AV1704" s="211"/>
      <c r="AW1704" s="9"/>
      <c r="AX1704" s="9"/>
      <c r="AY1704" s="9"/>
      <c r="AZ1704" s="9"/>
      <c r="BA1704" s="120"/>
      <c r="BB1704" s="69"/>
      <c r="BC1704" s="9"/>
      <c r="BD1704" s="9"/>
      <c r="BE1704" s="9"/>
      <c r="BF1704" s="9"/>
      <c r="BG1704" s="9"/>
      <c r="BH1704" s="9"/>
      <c r="BI1704" s="9"/>
      <c r="BJ1704" s="9"/>
      <c r="BK1704" s="9"/>
      <c r="BL1704" s="9"/>
      <c r="BM1704" s="9"/>
      <c r="BN1704" s="9"/>
      <c r="BO1704" s="9"/>
      <c r="BP1704" s="9"/>
      <c r="BQ1704" s="9"/>
      <c r="BR1704" s="9"/>
      <c r="BS1704" s="9"/>
      <c r="BT1704" s="9"/>
      <c r="BU1704" s="9"/>
      <c r="BV1704" s="9"/>
      <c r="BW1704" s="9"/>
      <c r="BX1704" s="9"/>
      <c r="BY1704" s="9"/>
      <c r="BZ1704" s="9"/>
      <c r="CA1704" s="9"/>
      <c r="CB1704" s="9"/>
      <c r="CC1704" s="9"/>
      <c r="CD1704" s="9"/>
      <c r="CE1704" s="9"/>
      <c r="CF1704" s="9"/>
      <c r="CG1704" s="9"/>
      <c r="CH1704" s="9"/>
      <c r="CI1704" s="9"/>
      <c r="CJ1704" s="9"/>
      <c r="CK1704" s="9"/>
      <c r="CL1704" s="9"/>
      <c r="CM1704" s="9"/>
      <c r="CN1704" s="9"/>
      <c r="CO1704" s="9"/>
      <c r="CP1704" s="9"/>
    </row>
    <row r="1705" spans="1:94" ht="30" x14ac:dyDescent="0.25">
      <c r="A1705" s="126" t="s">
        <v>4701</v>
      </c>
      <c r="B1705" s="9" t="s">
        <v>4702</v>
      </c>
      <c r="C1705" s="9"/>
      <c r="D1705" s="9"/>
      <c r="E1705" s="9"/>
      <c r="F1705" s="9"/>
      <c r="G1705" s="9"/>
      <c r="H1705" s="9"/>
      <c r="I1705" s="9"/>
      <c r="J1705" s="9"/>
      <c r="K1705" s="9"/>
      <c r="L1705" s="9"/>
      <c r="M1705" s="9"/>
      <c r="N1705" s="9"/>
      <c r="O1705" s="9"/>
      <c r="P1705" s="9"/>
      <c r="Q1705" s="9"/>
      <c r="R1705" s="9"/>
      <c r="S1705" s="9"/>
      <c r="T1705" s="9"/>
      <c r="U1705" s="9"/>
      <c r="V1705" s="9"/>
      <c r="W1705" s="9"/>
      <c r="X1705" s="9"/>
      <c r="Y1705" s="9"/>
      <c r="Z1705" s="9"/>
      <c r="AA1705" s="9"/>
      <c r="AB1705" s="9"/>
      <c r="AC1705" s="9"/>
      <c r="AD1705" s="9"/>
      <c r="AE1705" s="9"/>
      <c r="AF1705" s="9"/>
      <c r="AG1705" s="9"/>
      <c r="AH1705" s="9"/>
      <c r="AI1705" s="9"/>
      <c r="AJ1705" s="9"/>
      <c r="AK1705" s="9"/>
      <c r="AL1705" s="9"/>
      <c r="AM1705" s="69"/>
      <c r="AN1705" s="9"/>
      <c r="AO1705" s="69" t="s">
        <v>4700</v>
      </c>
      <c r="AP1705" s="210"/>
      <c r="AQ1705" s="211"/>
      <c r="AR1705" s="211"/>
      <c r="AS1705" s="211"/>
      <c r="AT1705" s="211"/>
      <c r="AU1705" s="211"/>
      <c r="AV1705" s="211"/>
      <c r="AW1705" s="9"/>
      <c r="AX1705" s="9"/>
      <c r="AY1705" s="9"/>
      <c r="AZ1705" s="9"/>
      <c r="BA1705" s="120"/>
      <c r="BB1705" s="69"/>
      <c r="BC1705" s="9"/>
      <c r="BD1705" s="9"/>
      <c r="BE1705" s="9"/>
      <c r="BF1705" s="9"/>
      <c r="BG1705" s="9"/>
      <c r="BH1705" s="9"/>
      <c r="BI1705" s="9"/>
      <c r="BJ1705" s="9"/>
      <c r="BK1705" s="9"/>
      <c r="BL1705" s="9"/>
      <c r="BM1705" s="9"/>
      <c r="BN1705" s="9"/>
      <c r="BO1705" s="9"/>
      <c r="BP1705" s="9"/>
      <c r="BQ1705" s="9"/>
      <c r="BR1705" s="9"/>
      <c r="BS1705" s="9"/>
      <c r="BT1705" s="9"/>
      <c r="BU1705" s="9"/>
      <c r="BV1705" s="9"/>
      <c r="BW1705" s="9"/>
      <c r="BX1705" s="9"/>
      <c r="BY1705" s="9"/>
      <c r="BZ1705" s="9"/>
      <c r="CA1705" s="9"/>
      <c r="CB1705" s="9"/>
      <c r="CC1705" s="9"/>
      <c r="CD1705" s="9"/>
      <c r="CE1705" s="9"/>
      <c r="CF1705" s="9"/>
      <c r="CG1705" s="9"/>
      <c r="CH1705" s="9"/>
      <c r="CI1705" s="9"/>
      <c r="CJ1705" s="9"/>
      <c r="CK1705" s="9"/>
      <c r="CL1705" s="9"/>
      <c r="CM1705" s="9"/>
      <c r="CN1705" s="9"/>
      <c r="CO1705" s="9"/>
      <c r="CP1705" s="9"/>
    </row>
    <row r="1706" spans="1:94" ht="30" x14ac:dyDescent="0.25">
      <c r="A1706" s="126" t="s">
        <v>4703</v>
      </c>
      <c r="B1706" s="9" t="s">
        <v>4704</v>
      </c>
      <c r="C1706" s="9"/>
      <c r="D1706" s="9"/>
      <c r="E1706" s="9"/>
      <c r="F1706" s="9"/>
      <c r="G1706" s="9"/>
      <c r="H1706" s="9"/>
      <c r="I1706" s="9"/>
      <c r="J1706" s="9"/>
      <c r="K1706" s="9"/>
      <c r="L1706" s="9"/>
      <c r="M1706" s="9"/>
      <c r="N1706" s="9"/>
      <c r="O1706" s="9"/>
      <c r="P1706" s="9"/>
      <c r="Q1706" s="9"/>
      <c r="R1706" s="9"/>
      <c r="S1706" s="9"/>
      <c r="T1706" s="9"/>
      <c r="U1706" s="9"/>
      <c r="V1706" s="9"/>
      <c r="W1706" s="9"/>
      <c r="X1706" s="9"/>
      <c r="Y1706" s="9"/>
      <c r="Z1706" s="9"/>
      <c r="AA1706" s="9"/>
      <c r="AB1706" s="9"/>
      <c r="AC1706" s="9"/>
      <c r="AD1706" s="9"/>
      <c r="AE1706" s="9"/>
      <c r="AF1706" s="9"/>
      <c r="AG1706" s="9"/>
      <c r="AH1706" s="9"/>
      <c r="AI1706" s="9"/>
      <c r="AJ1706" s="9"/>
      <c r="AK1706" s="9"/>
      <c r="AL1706" s="9"/>
      <c r="AM1706" s="69"/>
      <c r="AN1706" s="9"/>
      <c r="AO1706" s="69" t="s">
        <v>4700</v>
      </c>
      <c r="AP1706" s="210"/>
      <c r="AQ1706" s="211"/>
      <c r="AR1706" s="211"/>
      <c r="AS1706" s="211"/>
      <c r="AT1706" s="211"/>
      <c r="AU1706" s="211"/>
      <c r="AV1706" s="211"/>
      <c r="AW1706" s="9"/>
      <c r="AX1706" s="9"/>
      <c r="AY1706" s="9"/>
      <c r="AZ1706" s="9"/>
      <c r="BA1706" s="120"/>
      <c r="BB1706" s="69"/>
      <c r="BC1706" s="9"/>
      <c r="BD1706" s="9"/>
      <c r="BE1706" s="9"/>
      <c r="BF1706" s="9"/>
      <c r="BG1706" s="9"/>
      <c r="BH1706" s="9"/>
      <c r="BI1706" s="9"/>
      <c r="BJ1706" s="9"/>
      <c r="BK1706" s="9"/>
      <c r="BL1706" s="9"/>
      <c r="BM1706" s="9"/>
      <c r="BN1706" s="9"/>
      <c r="BO1706" s="9"/>
      <c r="BP1706" s="9"/>
      <c r="BQ1706" s="9"/>
      <c r="BR1706" s="9"/>
      <c r="BS1706" s="9"/>
      <c r="BT1706" s="9"/>
      <c r="BU1706" s="9"/>
      <c r="BV1706" s="9"/>
      <c r="BW1706" s="9"/>
      <c r="BX1706" s="9"/>
      <c r="BY1706" s="9"/>
      <c r="BZ1706" s="9"/>
      <c r="CA1706" s="9"/>
      <c r="CB1706" s="9"/>
      <c r="CC1706" s="9"/>
      <c r="CD1706" s="9"/>
      <c r="CE1706" s="9"/>
      <c r="CF1706" s="9"/>
      <c r="CG1706" s="9"/>
      <c r="CH1706" s="9"/>
      <c r="CI1706" s="9"/>
      <c r="CJ1706" s="9"/>
      <c r="CK1706" s="9"/>
      <c r="CL1706" s="9"/>
      <c r="CM1706" s="9"/>
      <c r="CN1706" s="9"/>
      <c r="CO1706" s="9"/>
      <c r="CP1706" s="9"/>
    </row>
    <row r="1707" spans="1:94" ht="15.75" x14ac:dyDescent="0.25">
      <c r="A1707" s="126" t="s">
        <v>4705</v>
      </c>
      <c r="B1707" s="9" t="s">
        <v>4706</v>
      </c>
      <c r="C1707" s="9"/>
      <c r="D1707" s="9"/>
      <c r="E1707" s="9"/>
      <c r="F1707" s="9"/>
      <c r="G1707" s="9"/>
      <c r="H1707" s="9"/>
      <c r="I1707" s="9"/>
      <c r="J1707" s="9"/>
      <c r="K1707" s="9"/>
      <c r="L1707" s="9"/>
      <c r="M1707" s="9"/>
      <c r="N1707" s="9"/>
      <c r="O1707" s="9"/>
      <c r="P1707" s="9"/>
      <c r="Q1707" s="9"/>
      <c r="R1707" s="9"/>
      <c r="S1707" s="9"/>
      <c r="T1707" s="9"/>
      <c r="U1707" s="9"/>
      <c r="V1707" s="9"/>
      <c r="W1707" s="9"/>
      <c r="X1707" s="9"/>
      <c r="Y1707" s="9"/>
      <c r="Z1707" s="9"/>
      <c r="AA1707" s="9"/>
      <c r="AB1707" s="9"/>
      <c r="AC1707" s="9"/>
      <c r="AD1707" s="9"/>
      <c r="AE1707" s="9"/>
      <c r="AF1707" s="9"/>
      <c r="AG1707" s="9"/>
      <c r="AH1707" s="9"/>
      <c r="AI1707" s="9"/>
      <c r="AJ1707" s="9"/>
      <c r="AK1707" s="9"/>
      <c r="AL1707" s="9"/>
      <c r="AM1707" s="69"/>
      <c r="AN1707" s="9"/>
      <c r="AO1707" s="69" t="s">
        <v>4591</v>
      </c>
      <c r="AP1707" s="210"/>
      <c r="AQ1707" s="211"/>
      <c r="AR1707" s="211"/>
      <c r="AS1707" s="211"/>
      <c r="AT1707" s="211"/>
      <c r="AU1707" s="211"/>
      <c r="AV1707" s="211"/>
      <c r="AW1707" s="9"/>
      <c r="AX1707" s="9"/>
      <c r="AY1707" s="9"/>
      <c r="AZ1707" s="9"/>
      <c r="BA1707" s="120"/>
      <c r="BB1707" s="69"/>
      <c r="BC1707" s="9"/>
      <c r="BD1707" s="9"/>
      <c r="BE1707" s="9"/>
      <c r="BF1707" s="9"/>
      <c r="BG1707" s="9"/>
      <c r="BH1707" s="9"/>
      <c r="BI1707" s="9"/>
      <c r="BJ1707" s="9"/>
      <c r="BK1707" s="9"/>
      <c r="BL1707" s="9"/>
      <c r="BM1707" s="9"/>
      <c r="BN1707" s="9"/>
      <c r="BO1707" s="9"/>
      <c r="BP1707" s="9"/>
      <c r="BQ1707" s="9"/>
      <c r="BR1707" s="9"/>
      <c r="BS1707" s="9"/>
      <c r="BT1707" s="9"/>
      <c r="BU1707" s="9"/>
      <c r="BV1707" s="9"/>
      <c r="BW1707" s="9"/>
      <c r="BX1707" s="9"/>
      <c r="BY1707" s="9"/>
      <c r="BZ1707" s="9"/>
      <c r="CA1707" s="9"/>
      <c r="CB1707" s="9"/>
      <c r="CC1707" s="9"/>
      <c r="CD1707" s="9"/>
      <c r="CE1707" s="9"/>
      <c r="CF1707" s="9"/>
      <c r="CG1707" s="9"/>
      <c r="CH1707" s="9"/>
      <c r="CI1707" s="9"/>
      <c r="CJ1707" s="9"/>
      <c r="CK1707" s="9"/>
      <c r="CL1707" s="9"/>
      <c r="CM1707" s="9"/>
      <c r="CN1707" s="9"/>
      <c r="CO1707" s="9"/>
      <c r="CP1707" s="9"/>
    </row>
    <row r="1708" spans="1:94" ht="30" x14ac:dyDescent="0.25">
      <c r="A1708" s="126" t="s">
        <v>4707</v>
      </c>
      <c r="B1708" s="9" t="s">
        <v>4708</v>
      </c>
      <c r="C1708" s="9"/>
      <c r="D1708" s="9"/>
      <c r="E1708" s="9"/>
      <c r="F1708" s="9"/>
      <c r="G1708" s="9"/>
      <c r="H1708" s="9"/>
      <c r="I1708" s="9"/>
      <c r="J1708" s="9"/>
      <c r="K1708" s="9"/>
      <c r="L1708" s="9"/>
      <c r="M1708" s="9"/>
      <c r="N1708" s="9"/>
      <c r="O1708" s="9"/>
      <c r="P1708" s="9"/>
      <c r="Q1708" s="9"/>
      <c r="R1708" s="9"/>
      <c r="S1708" s="9"/>
      <c r="T1708" s="9"/>
      <c r="U1708" s="9"/>
      <c r="V1708" s="9"/>
      <c r="W1708" s="9"/>
      <c r="X1708" s="9"/>
      <c r="Y1708" s="9"/>
      <c r="Z1708" s="9"/>
      <c r="AA1708" s="9"/>
      <c r="AB1708" s="9"/>
      <c r="AC1708" s="9"/>
      <c r="AD1708" s="9"/>
      <c r="AE1708" s="9"/>
      <c r="AF1708" s="9"/>
      <c r="AG1708" s="9"/>
      <c r="AH1708" s="9"/>
      <c r="AI1708" s="9"/>
      <c r="AJ1708" s="9"/>
      <c r="AK1708" s="9"/>
      <c r="AL1708" s="9"/>
      <c r="AM1708" s="69"/>
      <c r="AN1708" s="9"/>
      <c r="AO1708" s="69" t="s">
        <v>4700</v>
      </c>
      <c r="AP1708" s="210"/>
      <c r="AQ1708" s="211"/>
      <c r="AR1708" s="211"/>
      <c r="AS1708" s="211"/>
      <c r="AT1708" s="211"/>
      <c r="AU1708" s="211"/>
      <c r="AV1708" s="211"/>
      <c r="AW1708" s="9"/>
      <c r="AX1708" s="9"/>
      <c r="AY1708" s="9"/>
      <c r="AZ1708" s="9"/>
      <c r="BA1708" s="120"/>
      <c r="BB1708" s="69"/>
      <c r="BC1708" s="9"/>
      <c r="BD1708" s="9"/>
      <c r="BE1708" s="9"/>
      <c r="BF1708" s="9"/>
      <c r="BG1708" s="9"/>
      <c r="BH1708" s="9"/>
      <c r="BI1708" s="9"/>
      <c r="BJ1708" s="9"/>
      <c r="BK1708" s="9"/>
      <c r="BL1708" s="9"/>
      <c r="BM1708" s="9"/>
      <c r="BN1708" s="9"/>
      <c r="BO1708" s="9"/>
      <c r="BP1708" s="9"/>
      <c r="BQ1708" s="9"/>
      <c r="BR1708" s="9"/>
      <c r="BS1708" s="9"/>
      <c r="BT1708" s="9"/>
      <c r="BU1708" s="9"/>
      <c r="BV1708" s="9"/>
      <c r="BW1708" s="9"/>
      <c r="BX1708" s="9"/>
      <c r="BY1708" s="9"/>
      <c r="BZ1708" s="9"/>
      <c r="CA1708" s="9"/>
      <c r="CB1708" s="9"/>
      <c r="CC1708" s="9"/>
      <c r="CD1708" s="9"/>
      <c r="CE1708" s="9"/>
      <c r="CF1708" s="9"/>
      <c r="CG1708" s="9"/>
      <c r="CH1708" s="9"/>
      <c r="CI1708" s="9"/>
      <c r="CJ1708" s="9"/>
      <c r="CK1708" s="9"/>
      <c r="CL1708" s="9"/>
      <c r="CM1708" s="9"/>
      <c r="CN1708" s="9"/>
      <c r="CO1708" s="9"/>
      <c r="CP1708" s="9"/>
    </row>
    <row r="1709" spans="1:94" ht="15.75" x14ac:dyDescent="0.25">
      <c r="A1709" s="126" t="s">
        <v>4709</v>
      </c>
      <c r="B1709" s="9" t="s">
        <v>4710</v>
      </c>
      <c r="C1709" s="9"/>
      <c r="D1709" s="9"/>
      <c r="E1709" s="9"/>
      <c r="F1709" s="9"/>
      <c r="G1709" s="9"/>
      <c r="H1709" s="9"/>
      <c r="I1709" s="9"/>
      <c r="J1709" s="9"/>
      <c r="K1709" s="9"/>
      <c r="L1709" s="9"/>
      <c r="M1709" s="9"/>
      <c r="N1709" s="9"/>
      <c r="O1709" s="9"/>
      <c r="P1709" s="9"/>
      <c r="Q1709" s="9"/>
      <c r="R1709" s="9"/>
      <c r="S1709" s="9"/>
      <c r="T1709" s="9"/>
      <c r="U1709" s="9"/>
      <c r="V1709" s="9"/>
      <c r="W1709" s="9"/>
      <c r="X1709" s="9"/>
      <c r="Y1709" s="9"/>
      <c r="Z1709" s="9"/>
      <c r="AA1709" s="9"/>
      <c r="AB1709" s="9"/>
      <c r="AC1709" s="9"/>
      <c r="AD1709" s="9"/>
      <c r="AE1709" s="9"/>
      <c r="AF1709" s="9"/>
      <c r="AG1709" s="9"/>
      <c r="AH1709" s="9"/>
      <c r="AI1709" s="9"/>
      <c r="AJ1709" s="9"/>
      <c r="AK1709" s="9"/>
      <c r="AL1709" s="9"/>
      <c r="AM1709" s="69"/>
      <c r="AN1709" s="9"/>
      <c r="AO1709" s="69" t="s">
        <v>4591</v>
      </c>
      <c r="AP1709" s="210"/>
      <c r="AQ1709" s="211"/>
      <c r="AR1709" s="211"/>
      <c r="AS1709" s="211"/>
      <c r="AT1709" s="211"/>
      <c r="AU1709" s="211"/>
      <c r="AV1709" s="211"/>
      <c r="AW1709" s="9"/>
      <c r="AX1709" s="9"/>
      <c r="AY1709" s="9"/>
      <c r="AZ1709" s="9"/>
      <c r="BA1709" s="120"/>
      <c r="BB1709" s="69"/>
      <c r="BC1709" s="9"/>
      <c r="BD1709" s="9"/>
      <c r="BE1709" s="9"/>
      <c r="BF1709" s="9"/>
      <c r="BG1709" s="9"/>
      <c r="BH1709" s="9"/>
      <c r="BI1709" s="9"/>
      <c r="BJ1709" s="9"/>
      <c r="BK1709" s="9"/>
      <c r="BL1709" s="9"/>
      <c r="BM1709" s="9"/>
      <c r="BN1709" s="9"/>
      <c r="BO1709" s="9"/>
      <c r="BP1709" s="9"/>
      <c r="BQ1709" s="9"/>
      <c r="BR1709" s="9"/>
      <c r="BS1709" s="9"/>
      <c r="BT1709" s="9"/>
      <c r="BU1709" s="9"/>
      <c r="BV1709" s="9"/>
      <c r="BW1709" s="9"/>
      <c r="BX1709" s="9"/>
      <c r="BY1709" s="9"/>
      <c r="BZ1709" s="9"/>
      <c r="CA1709" s="9"/>
      <c r="CB1709" s="9"/>
      <c r="CC1709" s="9"/>
      <c r="CD1709" s="9"/>
      <c r="CE1709" s="9"/>
      <c r="CF1709" s="9"/>
      <c r="CG1709" s="9"/>
      <c r="CH1709" s="9"/>
      <c r="CI1709" s="9"/>
      <c r="CJ1709" s="9"/>
      <c r="CK1709" s="9"/>
      <c r="CL1709" s="9"/>
      <c r="CM1709" s="9"/>
      <c r="CN1709" s="9"/>
      <c r="CO1709" s="9"/>
      <c r="CP1709" s="9"/>
    </row>
    <row r="1710" spans="1:94" ht="15.75" x14ac:dyDescent="0.25">
      <c r="A1710" s="126" t="s">
        <v>4711</v>
      </c>
      <c r="B1710" s="9" t="s">
        <v>4712</v>
      </c>
      <c r="C1710" s="9"/>
      <c r="D1710" s="9"/>
      <c r="E1710" s="9"/>
      <c r="F1710" s="9"/>
      <c r="G1710" s="9"/>
      <c r="H1710" s="9"/>
      <c r="I1710" s="9"/>
      <c r="J1710" s="9"/>
      <c r="K1710" s="9"/>
      <c r="L1710" s="9"/>
      <c r="M1710" s="9"/>
      <c r="N1710" s="9"/>
      <c r="O1710" s="9"/>
      <c r="P1710" s="9"/>
      <c r="Q1710" s="9"/>
      <c r="R1710" s="9"/>
      <c r="S1710" s="9"/>
      <c r="T1710" s="9"/>
      <c r="U1710" s="9"/>
      <c r="V1710" s="9"/>
      <c r="W1710" s="9"/>
      <c r="X1710" s="9"/>
      <c r="Y1710" s="9"/>
      <c r="Z1710" s="9"/>
      <c r="AA1710" s="9"/>
      <c r="AB1710" s="9"/>
      <c r="AC1710" s="9"/>
      <c r="AD1710" s="9"/>
      <c r="AE1710" s="9"/>
      <c r="AF1710" s="9"/>
      <c r="AG1710" s="9"/>
      <c r="AH1710" s="9"/>
      <c r="AI1710" s="9"/>
      <c r="AJ1710" s="9"/>
      <c r="AK1710" s="9"/>
      <c r="AL1710" s="9"/>
      <c r="AM1710" s="69"/>
      <c r="AN1710" s="9"/>
      <c r="AO1710" s="69" t="s">
        <v>4591</v>
      </c>
      <c r="AP1710" s="210"/>
      <c r="AQ1710" s="211"/>
      <c r="AR1710" s="211"/>
      <c r="AS1710" s="211"/>
      <c r="AT1710" s="211"/>
      <c r="AU1710" s="211"/>
      <c r="AV1710" s="211"/>
      <c r="AW1710" s="9"/>
      <c r="AX1710" s="9"/>
      <c r="AY1710" s="9"/>
      <c r="AZ1710" s="9"/>
      <c r="BA1710" s="120"/>
      <c r="BB1710" s="69"/>
      <c r="BC1710" s="9"/>
      <c r="BD1710" s="9"/>
      <c r="BE1710" s="9"/>
      <c r="BF1710" s="9"/>
      <c r="BG1710" s="9"/>
      <c r="BH1710" s="9"/>
      <c r="BI1710" s="9"/>
      <c r="BJ1710" s="9"/>
      <c r="BK1710" s="9"/>
      <c r="BL1710" s="9"/>
      <c r="BM1710" s="9"/>
      <c r="BN1710" s="9"/>
      <c r="BO1710" s="9"/>
      <c r="BP1710" s="9"/>
      <c r="BQ1710" s="9"/>
      <c r="BR1710" s="9"/>
      <c r="BS1710" s="9"/>
      <c r="BT1710" s="9"/>
      <c r="BU1710" s="9"/>
      <c r="BV1710" s="9"/>
      <c r="BW1710" s="9"/>
      <c r="BX1710" s="9"/>
      <c r="BY1710" s="9"/>
      <c r="BZ1710" s="9"/>
      <c r="CA1710" s="9"/>
      <c r="CB1710" s="9"/>
      <c r="CC1710" s="9"/>
      <c r="CD1710" s="9"/>
      <c r="CE1710" s="9"/>
      <c r="CF1710" s="9"/>
      <c r="CG1710" s="9"/>
      <c r="CH1710" s="9"/>
      <c r="CI1710" s="9"/>
      <c r="CJ1710" s="9"/>
      <c r="CK1710" s="9"/>
      <c r="CL1710" s="9"/>
      <c r="CM1710" s="9"/>
      <c r="CN1710" s="9"/>
      <c r="CO1710" s="9"/>
      <c r="CP1710" s="9"/>
    </row>
    <row r="1711" spans="1:94" ht="15.75" x14ac:dyDescent="0.25">
      <c r="A1711" s="126" t="s">
        <v>4713</v>
      </c>
      <c r="B1711" s="9" t="s">
        <v>4714</v>
      </c>
      <c r="C1711" s="9"/>
      <c r="D1711" s="9"/>
      <c r="E1711" s="9"/>
      <c r="F1711" s="9"/>
      <c r="G1711" s="9"/>
      <c r="H1711" s="9"/>
      <c r="I1711" s="9"/>
      <c r="J1711" s="9"/>
      <c r="K1711" s="9"/>
      <c r="L1711" s="9"/>
      <c r="M1711" s="9"/>
      <c r="N1711" s="9"/>
      <c r="O1711" s="9"/>
      <c r="P1711" s="9"/>
      <c r="Q1711" s="9"/>
      <c r="R1711" s="9"/>
      <c r="S1711" s="9"/>
      <c r="T1711" s="9"/>
      <c r="U1711" s="9"/>
      <c r="V1711" s="9"/>
      <c r="W1711" s="9"/>
      <c r="X1711" s="9"/>
      <c r="Y1711" s="9"/>
      <c r="Z1711" s="9"/>
      <c r="AA1711" s="9"/>
      <c r="AB1711" s="9"/>
      <c r="AC1711" s="9"/>
      <c r="AD1711" s="9"/>
      <c r="AE1711" s="9"/>
      <c r="AF1711" s="9"/>
      <c r="AG1711" s="9"/>
      <c r="AH1711" s="9"/>
      <c r="AI1711" s="9"/>
      <c r="AJ1711" s="9"/>
      <c r="AK1711" s="9"/>
      <c r="AL1711" s="9"/>
      <c r="AM1711" s="69"/>
      <c r="AN1711" s="9"/>
      <c r="AO1711" s="69" t="s">
        <v>4591</v>
      </c>
      <c r="AP1711" s="210"/>
      <c r="AQ1711" s="211"/>
      <c r="AR1711" s="211"/>
      <c r="AS1711" s="211"/>
      <c r="AT1711" s="211"/>
      <c r="AU1711" s="211"/>
      <c r="AV1711" s="211"/>
      <c r="AW1711" s="9"/>
      <c r="AX1711" s="9"/>
      <c r="AY1711" s="9"/>
      <c r="AZ1711" s="9"/>
      <c r="BA1711" s="120"/>
      <c r="BB1711" s="69"/>
      <c r="BC1711" s="9"/>
      <c r="BD1711" s="9"/>
      <c r="BE1711" s="9"/>
      <c r="BF1711" s="9"/>
      <c r="BG1711" s="9"/>
      <c r="BH1711" s="9"/>
      <c r="BI1711" s="9"/>
      <c r="BJ1711" s="9"/>
      <c r="BK1711" s="9"/>
      <c r="BL1711" s="9"/>
      <c r="BM1711" s="9"/>
      <c r="BN1711" s="9"/>
      <c r="BO1711" s="9"/>
      <c r="BP1711" s="9"/>
      <c r="BQ1711" s="9"/>
      <c r="BR1711" s="9"/>
      <c r="BS1711" s="9"/>
      <c r="BT1711" s="9"/>
      <c r="BU1711" s="9"/>
      <c r="BV1711" s="9"/>
      <c r="BW1711" s="9"/>
      <c r="BX1711" s="9"/>
      <c r="BY1711" s="9"/>
      <c r="BZ1711" s="9"/>
      <c r="CA1711" s="9"/>
      <c r="CB1711" s="9"/>
      <c r="CC1711" s="9"/>
      <c r="CD1711" s="9"/>
      <c r="CE1711" s="9"/>
      <c r="CF1711" s="9"/>
      <c r="CG1711" s="9"/>
      <c r="CH1711" s="9"/>
      <c r="CI1711" s="9"/>
      <c r="CJ1711" s="9"/>
      <c r="CK1711" s="9"/>
      <c r="CL1711" s="9"/>
      <c r="CM1711" s="9"/>
      <c r="CN1711" s="9"/>
      <c r="CO1711" s="9"/>
      <c r="CP1711" s="9"/>
    </row>
    <row r="1712" spans="1:94" ht="15.75" x14ac:dyDescent="0.25">
      <c r="A1712" s="126" t="s">
        <v>4715</v>
      </c>
      <c r="B1712" s="9" t="s">
        <v>4716</v>
      </c>
      <c r="C1712" s="9"/>
      <c r="D1712" s="9"/>
      <c r="E1712" s="9"/>
      <c r="F1712" s="9"/>
      <c r="G1712" s="9"/>
      <c r="H1712" s="9"/>
      <c r="I1712" s="9"/>
      <c r="J1712" s="9"/>
      <c r="K1712" s="9"/>
      <c r="L1712" s="9"/>
      <c r="M1712" s="9"/>
      <c r="N1712" s="9"/>
      <c r="O1712" s="9"/>
      <c r="P1712" s="9"/>
      <c r="Q1712" s="9"/>
      <c r="R1712" s="9"/>
      <c r="S1712" s="9"/>
      <c r="T1712" s="9"/>
      <c r="U1712" s="9"/>
      <c r="V1712" s="9"/>
      <c r="W1712" s="9"/>
      <c r="X1712" s="9"/>
      <c r="Y1712" s="9"/>
      <c r="Z1712" s="9"/>
      <c r="AA1712" s="9"/>
      <c r="AB1712" s="9"/>
      <c r="AC1712" s="9"/>
      <c r="AD1712" s="9"/>
      <c r="AE1712" s="9"/>
      <c r="AF1712" s="9"/>
      <c r="AG1712" s="9"/>
      <c r="AH1712" s="9"/>
      <c r="AI1712" s="9"/>
      <c r="AJ1712" s="9"/>
      <c r="AK1712" s="9"/>
      <c r="AL1712" s="9"/>
      <c r="AM1712" s="69"/>
      <c r="AN1712" s="9"/>
      <c r="AO1712" s="69" t="s">
        <v>4591</v>
      </c>
      <c r="AP1712" s="210"/>
      <c r="AQ1712" s="211"/>
      <c r="AR1712" s="211"/>
      <c r="AS1712" s="211"/>
      <c r="AT1712" s="211"/>
      <c r="AU1712" s="211"/>
      <c r="AV1712" s="211"/>
      <c r="AW1712" s="9"/>
      <c r="AX1712" s="9"/>
      <c r="AY1712" s="9"/>
      <c r="AZ1712" s="9"/>
      <c r="BA1712" s="120"/>
      <c r="BB1712" s="69"/>
      <c r="BC1712" s="9"/>
      <c r="BD1712" s="9"/>
      <c r="BE1712" s="9"/>
      <c r="BF1712" s="9"/>
      <c r="BG1712" s="9"/>
      <c r="BH1712" s="9"/>
      <c r="BI1712" s="9"/>
      <c r="BJ1712" s="9"/>
      <c r="BK1712" s="9"/>
      <c r="BL1712" s="9"/>
      <c r="BM1712" s="9"/>
      <c r="BN1712" s="9"/>
      <c r="BO1712" s="9"/>
      <c r="BP1712" s="9"/>
      <c r="BQ1712" s="9"/>
      <c r="BR1712" s="9"/>
      <c r="BS1712" s="9"/>
      <c r="BT1712" s="9"/>
      <c r="BU1712" s="9"/>
      <c r="BV1712" s="9"/>
      <c r="BW1712" s="9"/>
      <c r="BX1712" s="9"/>
      <c r="BY1712" s="9"/>
      <c r="BZ1712" s="9"/>
      <c r="CA1712" s="9"/>
      <c r="CB1712" s="9"/>
      <c r="CC1712" s="9"/>
      <c r="CD1712" s="9"/>
      <c r="CE1712" s="9"/>
      <c r="CF1712" s="9"/>
      <c r="CG1712" s="9"/>
      <c r="CH1712" s="9"/>
      <c r="CI1712" s="9"/>
      <c r="CJ1712" s="9"/>
      <c r="CK1712" s="9"/>
      <c r="CL1712" s="9"/>
      <c r="CM1712" s="9"/>
      <c r="CN1712" s="9"/>
      <c r="CO1712" s="9"/>
      <c r="CP1712" s="9"/>
    </row>
    <row r="1713" spans="1:94" ht="30" x14ac:dyDescent="0.25">
      <c r="A1713" s="126" t="s">
        <v>4717</v>
      </c>
      <c r="B1713" s="9" t="s">
        <v>4718</v>
      </c>
      <c r="C1713" s="9"/>
      <c r="D1713" s="9"/>
      <c r="E1713" s="9"/>
      <c r="F1713" s="9"/>
      <c r="G1713" s="9"/>
      <c r="H1713" s="9"/>
      <c r="I1713" s="9"/>
      <c r="J1713" s="9"/>
      <c r="K1713" s="9"/>
      <c r="L1713" s="9"/>
      <c r="M1713" s="9"/>
      <c r="N1713" s="9"/>
      <c r="O1713" s="9"/>
      <c r="P1713" s="9"/>
      <c r="Q1713" s="9"/>
      <c r="R1713" s="9"/>
      <c r="S1713" s="9"/>
      <c r="T1713" s="9"/>
      <c r="U1713" s="9"/>
      <c r="V1713" s="9"/>
      <c r="W1713" s="9"/>
      <c r="X1713" s="9"/>
      <c r="Y1713" s="9"/>
      <c r="Z1713" s="9"/>
      <c r="AA1713" s="9"/>
      <c r="AB1713" s="9"/>
      <c r="AC1713" s="9"/>
      <c r="AD1713" s="9"/>
      <c r="AE1713" s="9"/>
      <c r="AF1713" s="9"/>
      <c r="AG1713" s="9"/>
      <c r="AH1713" s="9"/>
      <c r="AI1713" s="9"/>
      <c r="AJ1713" s="9"/>
      <c r="AK1713" s="9"/>
      <c r="AL1713" s="9"/>
      <c r="AM1713" s="69"/>
      <c r="AN1713" s="9"/>
      <c r="AO1713" s="69" t="s">
        <v>4700</v>
      </c>
      <c r="AP1713" s="210"/>
      <c r="AQ1713" s="211"/>
      <c r="AR1713" s="211"/>
      <c r="AS1713" s="211"/>
      <c r="AT1713" s="211"/>
      <c r="AU1713" s="211"/>
      <c r="AV1713" s="211"/>
      <c r="AW1713" s="9"/>
      <c r="AX1713" s="9"/>
      <c r="AY1713" s="9"/>
      <c r="AZ1713" s="9"/>
      <c r="BA1713" s="120"/>
      <c r="BB1713" s="69"/>
      <c r="BC1713" s="9"/>
      <c r="BD1713" s="9"/>
      <c r="BE1713" s="9"/>
      <c r="BF1713" s="9"/>
      <c r="BG1713" s="9"/>
      <c r="BH1713" s="9"/>
      <c r="BI1713" s="9"/>
      <c r="BJ1713" s="9"/>
      <c r="BK1713" s="9"/>
      <c r="BL1713" s="9"/>
      <c r="BM1713" s="9"/>
      <c r="BN1713" s="9"/>
      <c r="BO1713" s="9"/>
      <c r="BP1713" s="9"/>
      <c r="BQ1713" s="9"/>
      <c r="BR1713" s="9"/>
      <c r="BS1713" s="9"/>
      <c r="BT1713" s="9"/>
      <c r="BU1713" s="9"/>
      <c r="BV1713" s="9"/>
      <c r="BW1713" s="9"/>
      <c r="BX1713" s="9"/>
      <c r="BY1713" s="9"/>
      <c r="BZ1713" s="9"/>
      <c r="CA1713" s="9"/>
      <c r="CB1713" s="9"/>
      <c r="CC1713" s="9"/>
      <c r="CD1713" s="9"/>
      <c r="CE1713" s="9"/>
      <c r="CF1713" s="9"/>
      <c r="CG1713" s="9"/>
      <c r="CH1713" s="9"/>
      <c r="CI1713" s="9"/>
      <c r="CJ1713" s="9"/>
      <c r="CK1713" s="9"/>
      <c r="CL1713" s="9"/>
      <c r="CM1713" s="9"/>
      <c r="CN1713" s="9"/>
      <c r="CO1713" s="9"/>
      <c r="CP1713" s="9"/>
    </row>
    <row r="1714" spans="1:94" ht="30" x14ac:dyDescent="0.25">
      <c r="A1714" s="126" t="s">
        <v>4719</v>
      </c>
      <c r="B1714" s="9" t="s">
        <v>4720</v>
      </c>
      <c r="C1714" s="9"/>
      <c r="D1714" s="9"/>
      <c r="E1714" s="9"/>
      <c r="F1714" s="9"/>
      <c r="G1714" s="9"/>
      <c r="H1714" s="9"/>
      <c r="I1714" s="9"/>
      <c r="J1714" s="9"/>
      <c r="K1714" s="9"/>
      <c r="L1714" s="9"/>
      <c r="M1714" s="9"/>
      <c r="N1714" s="9"/>
      <c r="O1714" s="9"/>
      <c r="P1714" s="9"/>
      <c r="Q1714" s="9"/>
      <c r="R1714" s="9"/>
      <c r="S1714" s="9"/>
      <c r="T1714" s="9"/>
      <c r="U1714" s="9"/>
      <c r="V1714" s="9"/>
      <c r="W1714" s="9"/>
      <c r="X1714" s="9"/>
      <c r="Y1714" s="9"/>
      <c r="Z1714" s="9"/>
      <c r="AA1714" s="9"/>
      <c r="AB1714" s="9"/>
      <c r="AC1714" s="9"/>
      <c r="AD1714" s="9"/>
      <c r="AE1714" s="9"/>
      <c r="AF1714" s="9"/>
      <c r="AG1714" s="9"/>
      <c r="AH1714" s="9"/>
      <c r="AI1714" s="9"/>
      <c r="AJ1714" s="9"/>
      <c r="AK1714" s="9"/>
      <c r="AL1714" s="9"/>
      <c r="AM1714" s="69"/>
      <c r="AN1714" s="9"/>
      <c r="AO1714" s="69" t="s">
        <v>4700</v>
      </c>
      <c r="AP1714" s="210"/>
      <c r="AQ1714" s="211"/>
      <c r="AR1714" s="211"/>
      <c r="AS1714" s="211"/>
      <c r="AT1714" s="211"/>
      <c r="AU1714" s="211"/>
      <c r="AV1714" s="211"/>
      <c r="AW1714" s="9"/>
      <c r="AX1714" s="9"/>
      <c r="AY1714" s="9"/>
      <c r="AZ1714" s="9"/>
      <c r="BA1714" s="120"/>
      <c r="BB1714" s="69"/>
      <c r="BC1714" s="9"/>
      <c r="BD1714" s="9"/>
      <c r="BE1714" s="9"/>
      <c r="BF1714" s="9"/>
      <c r="BG1714" s="9"/>
      <c r="BH1714" s="9"/>
      <c r="BI1714" s="9"/>
      <c r="BJ1714" s="9"/>
      <c r="BK1714" s="9"/>
      <c r="BL1714" s="9"/>
      <c r="BM1714" s="9"/>
      <c r="BN1714" s="9"/>
      <c r="BO1714" s="9"/>
      <c r="BP1714" s="9"/>
      <c r="BQ1714" s="9"/>
      <c r="BR1714" s="9"/>
      <c r="BS1714" s="9"/>
      <c r="BT1714" s="9"/>
      <c r="BU1714" s="9"/>
      <c r="BV1714" s="9"/>
      <c r="BW1714" s="9"/>
      <c r="BX1714" s="9"/>
      <c r="BY1714" s="9"/>
      <c r="BZ1714" s="9"/>
      <c r="CA1714" s="9"/>
      <c r="CB1714" s="9"/>
      <c r="CC1714" s="9"/>
      <c r="CD1714" s="9"/>
      <c r="CE1714" s="9"/>
      <c r="CF1714" s="9"/>
      <c r="CG1714" s="9"/>
      <c r="CH1714" s="9"/>
      <c r="CI1714" s="9"/>
      <c r="CJ1714" s="9"/>
      <c r="CK1714" s="9"/>
      <c r="CL1714" s="9"/>
      <c r="CM1714" s="9"/>
      <c r="CN1714" s="9"/>
      <c r="CO1714" s="9"/>
      <c r="CP1714" s="9"/>
    </row>
    <row r="1715" spans="1:94" ht="15.75" x14ac:dyDescent="0.25">
      <c r="A1715" s="126" t="s">
        <v>4721</v>
      </c>
      <c r="B1715" s="9" t="s">
        <v>4722</v>
      </c>
      <c r="C1715" s="9"/>
      <c r="D1715" s="9"/>
      <c r="E1715" s="9"/>
      <c r="F1715" s="9"/>
      <c r="G1715" s="9"/>
      <c r="H1715" s="9"/>
      <c r="I1715" s="9"/>
      <c r="J1715" s="9"/>
      <c r="K1715" s="9"/>
      <c r="L1715" s="9"/>
      <c r="M1715" s="9"/>
      <c r="N1715" s="9"/>
      <c r="O1715" s="9"/>
      <c r="P1715" s="9"/>
      <c r="Q1715" s="9"/>
      <c r="R1715" s="9"/>
      <c r="S1715" s="9"/>
      <c r="T1715" s="9"/>
      <c r="U1715" s="9"/>
      <c r="V1715" s="9"/>
      <c r="W1715" s="9"/>
      <c r="X1715" s="9"/>
      <c r="Y1715" s="9"/>
      <c r="Z1715" s="9"/>
      <c r="AA1715" s="9"/>
      <c r="AB1715" s="9"/>
      <c r="AC1715" s="9"/>
      <c r="AD1715" s="9"/>
      <c r="AE1715" s="9"/>
      <c r="AF1715" s="9"/>
      <c r="AG1715" s="9"/>
      <c r="AH1715" s="9"/>
      <c r="AI1715" s="9"/>
      <c r="AJ1715" s="9"/>
      <c r="AK1715" s="9"/>
      <c r="AL1715" s="9"/>
      <c r="AM1715" s="69"/>
      <c r="AN1715" s="9"/>
      <c r="AO1715" s="69"/>
      <c r="AP1715" s="210"/>
      <c r="AQ1715" s="211"/>
      <c r="AR1715" s="211"/>
      <c r="AS1715" s="211"/>
      <c r="AT1715" s="211"/>
      <c r="AU1715" s="211"/>
      <c r="AV1715" s="211"/>
      <c r="AW1715" s="9"/>
      <c r="AX1715" s="9"/>
      <c r="AY1715" s="9"/>
      <c r="AZ1715" s="9"/>
      <c r="BA1715" s="120"/>
      <c r="BB1715" s="69"/>
      <c r="BC1715" s="9"/>
      <c r="BD1715" s="9"/>
      <c r="BE1715" s="9"/>
      <c r="BF1715" s="9"/>
      <c r="BG1715" s="9"/>
      <c r="BH1715" s="9"/>
      <c r="BI1715" s="9"/>
      <c r="BJ1715" s="9"/>
      <c r="BK1715" s="9"/>
      <c r="BL1715" s="9"/>
      <c r="BM1715" s="9"/>
      <c r="BN1715" s="9"/>
      <c r="BO1715" s="9"/>
      <c r="BP1715" s="9"/>
      <c r="BQ1715" s="9"/>
      <c r="BR1715" s="9"/>
      <c r="BS1715" s="9"/>
      <c r="BT1715" s="9"/>
      <c r="BU1715" s="9"/>
      <c r="BV1715" s="9"/>
      <c r="BW1715" s="9"/>
      <c r="BX1715" s="9"/>
      <c r="BY1715" s="9"/>
      <c r="BZ1715" s="9"/>
      <c r="CA1715" s="9"/>
      <c r="CB1715" s="9"/>
      <c r="CC1715" s="9"/>
      <c r="CD1715" s="9"/>
      <c r="CE1715" s="9"/>
      <c r="CF1715" s="9"/>
      <c r="CG1715" s="9"/>
      <c r="CH1715" s="9"/>
      <c r="CI1715" s="9"/>
      <c r="CJ1715" s="9"/>
      <c r="CK1715" s="9"/>
      <c r="CL1715" s="9"/>
      <c r="CM1715" s="9"/>
      <c r="CN1715" s="9"/>
      <c r="CO1715" s="9"/>
      <c r="CP1715" s="9"/>
    </row>
    <row r="1716" spans="1:94" ht="15.75" x14ac:dyDescent="0.25">
      <c r="A1716" s="270" t="s">
        <v>4723</v>
      </c>
      <c r="B1716" s="9" t="s">
        <v>4724</v>
      </c>
      <c r="C1716" s="9"/>
      <c r="D1716" s="9"/>
      <c r="E1716" s="9"/>
      <c r="F1716" s="9"/>
      <c r="G1716" s="9"/>
      <c r="H1716" s="9"/>
      <c r="I1716" s="9"/>
      <c r="J1716" s="9"/>
      <c r="K1716" s="9"/>
      <c r="L1716" s="9"/>
      <c r="M1716" s="9"/>
      <c r="N1716" s="9"/>
      <c r="O1716" s="9"/>
      <c r="P1716" s="9"/>
      <c r="Q1716" s="9"/>
      <c r="R1716" s="9"/>
      <c r="S1716" s="9"/>
      <c r="T1716" s="9"/>
      <c r="U1716" s="9"/>
      <c r="V1716" s="9"/>
      <c r="W1716" s="9"/>
      <c r="X1716" s="9"/>
      <c r="Y1716" s="9"/>
      <c r="Z1716" s="9"/>
      <c r="AA1716" s="9"/>
      <c r="AB1716" s="9"/>
      <c r="AC1716" s="9"/>
      <c r="AD1716" s="9"/>
      <c r="AE1716" s="9"/>
      <c r="AF1716" s="9"/>
      <c r="AG1716" s="9"/>
      <c r="AH1716" s="9"/>
      <c r="AI1716" s="9"/>
      <c r="AJ1716" s="9"/>
      <c r="AK1716" s="9"/>
      <c r="AL1716" s="9"/>
      <c r="AM1716" s="69"/>
      <c r="AN1716" s="9"/>
      <c r="AO1716" s="69"/>
      <c r="AP1716" s="210"/>
      <c r="AQ1716" s="211"/>
      <c r="AR1716" s="211"/>
      <c r="AS1716" s="211"/>
      <c r="AT1716" s="211"/>
      <c r="AU1716" s="211"/>
      <c r="AV1716" s="211"/>
      <c r="AW1716" s="9"/>
      <c r="AX1716" s="9"/>
      <c r="AY1716" s="9"/>
      <c r="AZ1716" s="9"/>
      <c r="BA1716" s="120"/>
      <c r="BB1716" s="69"/>
      <c r="BC1716" s="9"/>
      <c r="BD1716" s="9"/>
      <c r="BE1716" s="9"/>
      <c r="BF1716" s="9"/>
      <c r="BG1716" s="9"/>
      <c r="BH1716" s="9"/>
      <c r="BI1716" s="9"/>
      <c r="BJ1716" s="9"/>
      <c r="BK1716" s="9"/>
      <c r="BL1716" s="9"/>
      <c r="BM1716" s="9"/>
      <c r="BN1716" s="9"/>
      <c r="BO1716" s="9"/>
      <c r="BP1716" s="9"/>
      <c r="BQ1716" s="9"/>
      <c r="BR1716" s="9"/>
      <c r="BS1716" s="9"/>
      <c r="BT1716" s="9"/>
      <c r="BU1716" s="9"/>
      <c r="BV1716" s="9"/>
      <c r="BW1716" s="9"/>
      <c r="BX1716" s="9"/>
      <c r="BY1716" s="9"/>
      <c r="BZ1716" s="9"/>
      <c r="CA1716" s="9"/>
      <c r="CB1716" s="9"/>
      <c r="CC1716" s="9"/>
      <c r="CD1716" s="9"/>
      <c r="CE1716" s="9"/>
      <c r="CF1716" s="9"/>
      <c r="CG1716" s="9"/>
      <c r="CH1716" s="9"/>
      <c r="CI1716" s="9"/>
      <c r="CJ1716" s="9"/>
      <c r="CK1716" s="9"/>
      <c r="CL1716" s="9"/>
      <c r="CM1716" s="9"/>
      <c r="CN1716" s="9"/>
      <c r="CO1716" s="9"/>
      <c r="CP1716" s="9"/>
    </row>
    <row r="1717" spans="1:94" ht="15.75" x14ac:dyDescent="0.25">
      <c r="A1717" s="126" t="s">
        <v>4725</v>
      </c>
      <c r="B1717" s="62" t="s">
        <v>4726</v>
      </c>
      <c r="C1717" s="9"/>
      <c r="D1717" s="9"/>
      <c r="E1717" s="9"/>
      <c r="F1717" s="9"/>
      <c r="G1717" s="9"/>
      <c r="H1717" s="9"/>
      <c r="I1717" s="9"/>
      <c r="J1717" s="9"/>
      <c r="K1717" s="9"/>
      <c r="L1717" s="9"/>
      <c r="M1717" s="9"/>
      <c r="N1717" s="9"/>
      <c r="O1717" s="9"/>
      <c r="P1717" s="9"/>
      <c r="Q1717" s="9"/>
      <c r="R1717" s="9"/>
      <c r="S1717" s="9"/>
      <c r="T1717" s="9"/>
      <c r="U1717" s="9"/>
      <c r="V1717" s="9"/>
      <c r="W1717" s="9"/>
      <c r="X1717" s="9"/>
      <c r="Y1717" s="9"/>
      <c r="Z1717" s="9"/>
      <c r="AA1717" s="9"/>
      <c r="AB1717" s="9"/>
      <c r="AC1717" s="9"/>
      <c r="AD1717" s="9"/>
      <c r="AE1717" s="9"/>
      <c r="AF1717" s="9"/>
      <c r="AG1717" s="9"/>
      <c r="AH1717" s="9"/>
      <c r="AI1717" s="9"/>
      <c r="AJ1717" s="9"/>
      <c r="AK1717" s="9"/>
      <c r="AL1717" s="9"/>
      <c r="AM1717" s="69"/>
      <c r="AN1717" s="9"/>
      <c r="AO1717" s="69" t="s">
        <v>1977</v>
      </c>
      <c r="AP1717" s="210"/>
      <c r="AQ1717" s="211"/>
      <c r="AR1717" s="211"/>
      <c r="AS1717" s="211"/>
      <c r="AT1717" s="211"/>
      <c r="AU1717" s="211"/>
      <c r="AV1717" s="211"/>
      <c r="AW1717" s="9"/>
      <c r="AX1717" s="9"/>
      <c r="AY1717" s="9"/>
      <c r="AZ1717" s="9"/>
      <c r="BA1717" s="120"/>
      <c r="BB1717" s="69"/>
      <c r="BC1717" s="9"/>
      <c r="BD1717" s="9"/>
      <c r="BE1717" s="9"/>
      <c r="BF1717" s="9"/>
      <c r="BG1717" s="9"/>
      <c r="BH1717" s="9"/>
      <c r="BI1717" s="9"/>
      <c r="BJ1717" s="9"/>
      <c r="BK1717" s="9"/>
      <c r="BL1717" s="9"/>
      <c r="BM1717" s="9"/>
      <c r="BN1717" s="9"/>
      <c r="BO1717" s="9"/>
      <c r="BP1717" s="9"/>
      <c r="BQ1717" s="9"/>
      <c r="BR1717" s="9"/>
      <c r="BS1717" s="9"/>
      <c r="BT1717" s="9"/>
      <c r="BU1717" s="9"/>
      <c r="BV1717" s="9"/>
      <c r="BW1717" s="9"/>
      <c r="BX1717" s="9"/>
      <c r="BY1717" s="9"/>
      <c r="BZ1717" s="9"/>
      <c r="CA1717" s="9"/>
      <c r="CB1717" s="9"/>
      <c r="CC1717" s="9"/>
      <c r="CD1717" s="9"/>
      <c r="CE1717" s="9"/>
      <c r="CF1717" s="9"/>
      <c r="CG1717" s="9"/>
      <c r="CH1717" s="9"/>
      <c r="CI1717" s="9"/>
      <c r="CJ1717" s="9"/>
      <c r="CK1717" s="9"/>
      <c r="CL1717" s="9"/>
      <c r="CM1717" s="9"/>
      <c r="CN1717" s="9"/>
      <c r="CO1717" s="9"/>
      <c r="CP1717" s="9"/>
    </row>
    <row r="1718" spans="1:94" ht="15.75" x14ac:dyDescent="0.25">
      <c r="A1718" s="271" t="s">
        <v>4727</v>
      </c>
      <c r="B1718" s="9" t="s">
        <v>4728</v>
      </c>
      <c r="C1718" s="9"/>
      <c r="D1718" s="9"/>
      <c r="E1718" s="9"/>
      <c r="F1718" s="9"/>
      <c r="G1718" s="9"/>
      <c r="H1718" s="9"/>
      <c r="I1718" s="9"/>
      <c r="J1718" s="9"/>
      <c r="K1718" s="9"/>
      <c r="L1718" s="9"/>
      <c r="M1718" s="9"/>
      <c r="N1718" s="9"/>
      <c r="O1718" s="9"/>
      <c r="P1718" s="9"/>
      <c r="Q1718" s="9"/>
      <c r="R1718" s="9"/>
      <c r="S1718" s="9"/>
      <c r="T1718" s="9"/>
      <c r="U1718" s="9"/>
      <c r="V1718" s="9"/>
      <c r="W1718" s="9"/>
      <c r="X1718" s="9"/>
      <c r="Y1718" s="9"/>
      <c r="Z1718" s="9"/>
      <c r="AA1718" s="9"/>
      <c r="AB1718" s="9"/>
      <c r="AC1718" s="9"/>
      <c r="AD1718" s="9"/>
      <c r="AE1718" s="9"/>
      <c r="AF1718" s="9"/>
      <c r="AG1718" s="9"/>
      <c r="AH1718" s="9"/>
      <c r="AI1718" s="9"/>
      <c r="AJ1718" s="9"/>
      <c r="AK1718" s="9"/>
      <c r="AL1718" s="9"/>
      <c r="AM1718" s="69"/>
      <c r="AN1718" s="9"/>
      <c r="AO1718" s="69" t="s">
        <v>4591</v>
      </c>
      <c r="AP1718" s="210"/>
      <c r="AQ1718" s="211"/>
      <c r="AR1718" s="211"/>
      <c r="AS1718" s="211"/>
      <c r="AT1718" s="211"/>
      <c r="AU1718" s="211"/>
      <c r="AV1718" s="211"/>
      <c r="AW1718" s="9"/>
      <c r="AX1718" s="9"/>
      <c r="AY1718" s="9"/>
      <c r="AZ1718" s="9"/>
      <c r="BA1718" s="120"/>
      <c r="BB1718" s="69"/>
      <c r="BC1718" s="9"/>
      <c r="BD1718" s="9"/>
      <c r="BE1718" s="9"/>
      <c r="BF1718" s="9"/>
      <c r="BG1718" s="9"/>
      <c r="BH1718" s="9"/>
      <c r="BI1718" s="9"/>
      <c r="BJ1718" s="9"/>
      <c r="BK1718" s="9"/>
      <c r="BL1718" s="9"/>
      <c r="BM1718" s="9"/>
      <c r="BN1718" s="9"/>
      <c r="BO1718" s="9"/>
      <c r="BP1718" s="9"/>
      <c r="BQ1718" s="9"/>
      <c r="BR1718" s="9"/>
      <c r="BS1718" s="9"/>
      <c r="BT1718" s="9"/>
      <c r="BU1718" s="9"/>
      <c r="BV1718" s="9"/>
      <c r="BW1718" s="9"/>
      <c r="BX1718" s="9"/>
      <c r="BY1718" s="9"/>
      <c r="BZ1718" s="9"/>
      <c r="CA1718" s="9"/>
      <c r="CB1718" s="9"/>
      <c r="CC1718" s="9"/>
      <c r="CD1718" s="9"/>
      <c r="CE1718" s="9"/>
      <c r="CF1718" s="9"/>
      <c r="CG1718" s="9"/>
      <c r="CH1718" s="9"/>
      <c r="CI1718" s="9"/>
      <c r="CJ1718" s="9"/>
      <c r="CK1718" s="9"/>
      <c r="CL1718" s="9"/>
      <c r="CM1718" s="9"/>
      <c r="CN1718" s="9"/>
      <c r="CO1718" s="9"/>
      <c r="CP1718" s="9"/>
    </row>
    <row r="1719" spans="1:94" ht="15.75" x14ac:dyDescent="0.25">
      <c r="A1719" s="126" t="s">
        <v>4729</v>
      </c>
      <c r="B1719" s="9" t="s">
        <v>4730</v>
      </c>
      <c r="C1719" s="9"/>
      <c r="D1719" s="9"/>
      <c r="E1719" s="9"/>
      <c r="F1719" s="9"/>
      <c r="G1719" s="9"/>
      <c r="H1719" s="9"/>
      <c r="I1719" s="9"/>
      <c r="J1719" s="9"/>
      <c r="K1719" s="9"/>
      <c r="L1719" s="9"/>
      <c r="M1719" s="9"/>
      <c r="N1719" s="9"/>
      <c r="O1719" s="9"/>
      <c r="P1719" s="9"/>
      <c r="Q1719" s="9"/>
      <c r="R1719" s="9"/>
      <c r="S1719" s="9"/>
      <c r="T1719" s="9"/>
      <c r="U1719" s="9"/>
      <c r="V1719" s="9"/>
      <c r="W1719" s="9"/>
      <c r="X1719" s="9"/>
      <c r="Y1719" s="9"/>
      <c r="Z1719" s="9"/>
      <c r="AA1719" s="9"/>
      <c r="AB1719" s="9"/>
      <c r="AC1719" s="9"/>
      <c r="AD1719" s="9"/>
      <c r="AE1719" s="9"/>
      <c r="AF1719" s="9"/>
      <c r="AG1719" s="9"/>
      <c r="AH1719" s="9"/>
      <c r="AI1719" s="9"/>
      <c r="AJ1719" s="9"/>
      <c r="AK1719" s="9"/>
      <c r="AL1719" s="9"/>
      <c r="AM1719" s="69"/>
      <c r="AN1719" s="9"/>
      <c r="AO1719" s="69" t="s">
        <v>4591</v>
      </c>
      <c r="AP1719" s="210"/>
      <c r="AQ1719" s="211"/>
      <c r="AR1719" s="211"/>
      <c r="AS1719" s="211"/>
      <c r="AT1719" s="211"/>
      <c r="AU1719" s="211"/>
      <c r="AV1719" s="211"/>
      <c r="AW1719" s="9"/>
      <c r="AX1719" s="9"/>
      <c r="AY1719" s="9"/>
      <c r="AZ1719" s="9"/>
      <c r="BA1719" s="120"/>
      <c r="BB1719" s="69"/>
      <c r="BC1719" s="9"/>
      <c r="BD1719" s="9"/>
      <c r="BE1719" s="9"/>
      <c r="BF1719" s="9"/>
      <c r="BG1719" s="9"/>
      <c r="BH1719" s="9"/>
      <c r="BI1719" s="9"/>
      <c r="BJ1719" s="9"/>
      <c r="BK1719" s="9"/>
      <c r="BL1719" s="9"/>
      <c r="BM1719" s="9"/>
      <c r="BN1719" s="9"/>
      <c r="BO1719" s="9"/>
      <c r="BP1719" s="9"/>
      <c r="BQ1719" s="9"/>
      <c r="BR1719" s="9"/>
      <c r="BS1719" s="9"/>
      <c r="BT1719" s="9"/>
      <c r="BU1719" s="9"/>
      <c r="BV1719" s="9"/>
      <c r="BW1719" s="9"/>
      <c r="BX1719" s="9"/>
      <c r="BY1719" s="9"/>
      <c r="BZ1719" s="9"/>
      <c r="CA1719" s="9"/>
      <c r="CB1719" s="9"/>
      <c r="CC1719" s="9"/>
      <c r="CD1719" s="9"/>
      <c r="CE1719" s="9"/>
      <c r="CF1719" s="9"/>
      <c r="CG1719" s="9"/>
      <c r="CH1719" s="9"/>
      <c r="CI1719" s="9"/>
      <c r="CJ1719" s="9"/>
      <c r="CK1719" s="9"/>
      <c r="CL1719" s="9"/>
      <c r="CM1719" s="9"/>
      <c r="CN1719" s="9"/>
      <c r="CO1719" s="9"/>
      <c r="CP1719" s="9"/>
    </row>
    <row r="1720" spans="1:94" ht="15.75" x14ac:dyDescent="0.25">
      <c r="A1720" s="126" t="s">
        <v>4731</v>
      </c>
      <c r="B1720" s="9" t="s">
        <v>4732</v>
      </c>
      <c r="C1720" s="9"/>
      <c r="D1720" s="9"/>
      <c r="E1720" s="9"/>
      <c r="F1720" s="9"/>
      <c r="G1720" s="9"/>
      <c r="H1720" s="9"/>
      <c r="I1720" s="9"/>
      <c r="J1720" s="9"/>
      <c r="K1720" s="9"/>
      <c r="L1720" s="9"/>
      <c r="M1720" s="9"/>
      <c r="N1720" s="9"/>
      <c r="O1720" s="9"/>
      <c r="P1720" s="9"/>
      <c r="Q1720" s="9"/>
      <c r="R1720" s="9"/>
      <c r="S1720" s="9"/>
      <c r="T1720" s="9"/>
      <c r="U1720" s="9"/>
      <c r="V1720" s="9"/>
      <c r="W1720" s="9"/>
      <c r="X1720" s="9"/>
      <c r="Y1720" s="9"/>
      <c r="Z1720" s="9"/>
      <c r="AA1720" s="9"/>
      <c r="AB1720" s="9"/>
      <c r="AC1720" s="9"/>
      <c r="AD1720" s="9"/>
      <c r="AE1720" s="9"/>
      <c r="AF1720" s="9"/>
      <c r="AG1720" s="9"/>
      <c r="AH1720" s="9"/>
      <c r="AI1720" s="9"/>
      <c r="AJ1720" s="9"/>
      <c r="AK1720" s="9"/>
      <c r="AL1720" s="9"/>
      <c r="AM1720" s="69"/>
      <c r="AN1720" s="9"/>
      <c r="AO1720" s="69" t="s">
        <v>4591</v>
      </c>
      <c r="AP1720" s="210"/>
      <c r="AQ1720" s="211"/>
      <c r="AR1720" s="211"/>
      <c r="AS1720" s="211"/>
      <c r="AT1720" s="211"/>
      <c r="AU1720" s="211"/>
      <c r="AV1720" s="211"/>
      <c r="AW1720" s="9"/>
      <c r="AX1720" s="9"/>
      <c r="AY1720" s="9"/>
      <c r="AZ1720" s="9"/>
      <c r="BA1720" s="120"/>
      <c r="BB1720" s="69"/>
      <c r="BC1720" s="9"/>
      <c r="BD1720" s="9"/>
      <c r="BE1720" s="9"/>
      <c r="BF1720" s="9"/>
      <c r="BG1720" s="9"/>
      <c r="BH1720" s="9"/>
      <c r="BI1720" s="9"/>
      <c r="BJ1720" s="9"/>
      <c r="BK1720" s="9"/>
      <c r="BL1720" s="9"/>
      <c r="BM1720" s="9"/>
      <c r="BN1720" s="9"/>
      <c r="BO1720" s="9"/>
      <c r="BP1720" s="9"/>
      <c r="BQ1720" s="9"/>
      <c r="BR1720" s="9"/>
      <c r="BS1720" s="9"/>
      <c r="BT1720" s="9"/>
      <c r="BU1720" s="9"/>
      <c r="BV1720" s="9"/>
      <c r="BW1720" s="9"/>
      <c r="BX1720" s="9"/>
      <c r="BY1720" s="9"/>
      <c r="BZ1720" s="9"/>
      <c r="CA1720" s="9"/>
      <c r="CB1720" s="9"/>
      <c r="CC1720" s="9"/>
      <c r="CD1720" s="9"/>
      <c r="CE1720" s="9"/>
      <c r="CF1720" s="9"/>
      <c r="CG1720" s="9"/>
      <c r="CH1720" s="9"/>
      <c r="CI1720" s="9"/>
      <c r="CJ1720" s="9"/>
      <c r="CK1720" s="9"/>
      <c r="CL1720" s="9"/>
      <c r="CM1720" s="9"/>
      <c r="CN1720" s="9"/>
      <c r="CO1720" s="9"/>
      <c r="CP1720" s="9"/>
    </row>
    <row r="1721" spans="1:94" ht="15.75" x14ac:dyDescent="0.25">
      <c r="A1721" s="126" t="s">
        <v>4733</v>
      </c>
      <c r="B1721" s="9" t="s">
        <v>4734</v>
      </c>
      <c r="C1721" s="9"/>
      <c r="D1721" s="9"/>
      <c r="E1721" s="9"/>
      <c r="F1721" s="9"/>
      <c r="G1721" s="9"/>
      <c r="H1721" s="9"/>
      <c r="I1721" s="9"/>
      <c r="J1721" s="9"/>
      <c r="K1721" s="9"/>
      <c r="L1721" s="9"/>
      <c r="M1721" s="9"/>
      <c r="N1721" s="9"/>
      <c r="O1721" s="9"/>
      <c r="P1721" s="9"/>
      <c r="Q1721" s="9"/>
      <c r="R1721" s="9"/>
      <c r="S1721" s="9"/>
      <c r="T1721" s="9"/>
      <c r="U1721" s="9"/>
      <c r="V1721" s="9"/>
      <c r="W1721" s="9"/>
      <c r="X1721" s="9"/>
      <c r="Y1721" s="9"/>
      <c r="Z1721" s="9"/>
      <c r="AA1721" s="9"/>
      <c r="AB1721" s="9"/>
      <c r="AC1721" s="9"/>
      <c r="AD1721" s="9"/>
      <c r="AE1721" s="9"/>
      <c r="AF1721" s="9"/>
      <c r="AG1721" s="9"/>
      <c r="AH1721" s="9"/>
      <c r="AI1721" s="9"/>
      <c r="AJ1721" s="9"/>
      <c r="AK1721" s="9"/>
      <c r="AL1721" s="9"/>
      <c r="AM1721" s="69"/>
      <c r="AN1721" s="9"/>
      <c r="AO1721" s="69" t="s">
        <v>4591</v>
      </c>
      <c r="AP1721" s="210"/>
      <c r="AQ1721" s="211"/>
      <c r="AR1721" s="211"/>
      <c r="AS1721" s="211"/>
      <c r="AT1721" s="211"/>
      <c r="AU1721" s="211"/>
      <c r="AV1721" s="211"/>
      <c r="AW1721" s="9"/>
      <c r="AX1721" s="9"/>
      <c r="AY1721" s="9"/>
      <c r="AZ1721" s="9"/>
      <c r="BA1721" s="120"/>
      <c r="BB1721" s="69"/>
      <c r="BC1721" s="9"/>
      <c r="BD1721" s="9"/>
      <c r="BE1721" s="9"/>
      <c r="BF1721" s="9"/>
      <c r="BG1721" s="9"/>
      <c r="BH1721" s="9"/>
      <c r="BI1721" s="9"/>
      <c r="BJ1721" s="9"/>
      <c r="BK1721" s="9"/>
      <c r="BL1721" s="9"/>
      <c r="BM1721" s="9"/>
      <c r="BN1721" s="9"/>
      <c r="BO1721" s="9"/>
      <c r="BP1721" s="9"/>
      <c r="BQ1721" s="9"/>
      <c r="BR1721" s="9"/>
      <c r="BS1721" s="9"/>
      <c r="BT1721" s="9"/>
      <c r="BU1721" s="9"/>
      <c r="BV1721" s="9"/>
      <c r="BW1721" s="9"/>
      <c r="BX1721" s="9"/>
      <c r="BY1721" s="9"/>
      <c r="BZ1721" s="9"/>
      <c r="CA1721" s="9"/>
      <c r="CB1721" s="9"/>
      <c r="CC1721" s="9"/>
      <c r="CD1721" s="9"/>
      <c r="CE1721" s="9"/>
      <c r="CF1721" s="9"/>
      <c r="CG1721" s="9"/>
      <c r="CH1721" s="9"/>
      <c r="CI1721" s="9"/>
      <c r="CJ1721" s="9"/>
      <c r="CK1721" s="9"/>
      <c r="CL1721" s="9"/>
      <c r="CM1721" s="9"/>
      <c r="CN1721" s="9"/>
      <c r="CO1721" s="9"/>
      <c r="CP1721" s="9"/>
    </row>
    <row r="1722" spans="1:94" ht="15.75" x14ac:dyDescent="0.25">
      <c r="A1722" s="126" t="s">
        <v>4735</v>
      </c>
      <c r="B1722" s="9" t="s">
        <v>4736</v>
      </c>
      <c r="C1722" s="9"/>
      <c r="D1722" s="9"/>
      <c r="E1722" s="9"/>
      <c r="F1722" s="9"/>
      <c r="G1722" s="9"/>
      <c r="H1722" s="9"/>
      <c r="I1722" s="9"/>
      <c r="J1722" s="9"/>
      <c r="K1722" s="9"/>
      <c r="L1722" s="9"/>
      <c r="M1722" s="9"/>
      <c r="N1722" s="9"/>
      <c r="O1722" s="9"/>
      <c r="P1722" s="9"/>
      <c r="Q1722" s="9"/>
      <c r="R1722" s="9"/>
      <c r="S1722" s="9"/>
      <c r="T1722" s="9"/>
      <c r="U1722" s="9"/>
      <c r="V1722" s="9"/>
      <c r="W1722" s="9"/>
      <c r="X1722" s="9"/>
      <c r="Y1722" s="9"/>
      <c r="Z1722" s="9"/>
      <c r="AA1722" s="9"/>
      <c r="AB1722" s="9"/>
      <c r="AC1722" s="9"/>
      <c r="AD1722" s="9"/>
      <c r="AE1722" s="9"/>
      <c r="AF1722" s="9"/>
      <c r="AG1722" s="9"/>
      <c r="AH1722" s="9"/>
      <c r="AI1722" s="9"/>
      <c r="AJ1722" s="9"/>
      <c r="AK1722" s="9"/>
      <c r="AL1722" s="9"/>
      <c r="AM1722" s="69"/>
      <c r="AN1722" s="9"/>
      <c r="AO1722" s="69" t="s">
        <v>4591</v>
      </c>
      <c r="AP1722" s="210"/>
      <c r="AQ1722" s="211"/>
      <c r="AR1722" s="211"/>
      <c r="AS1722" s="211"/>
      <c r="AT1722" s="211"/>
      <c r="AU1722" s="211"/>
      <c r="AV1722" s="211"/>
      <c r="AW1722" s="9"/>
      <c r="AX1722" s="9"/>
      <c r="AY1722" s="9"/>
      <c r="AZ1722" s="9"/>
      <c r="BA1722" s="120"/>
      <c r="BB1722" s="69"/>
      <c r="BC1722" s="9"/>
      <c r="BD1722" s="9"/>
      <c r="BE1722" s="9"/>
      <c r="BF1722" s="9"/>
      <c r="BG1722" s="9"/>
      <c r="BH1722" s="9"/>
      <c r="BI1722" s="9"/>
      <c r="BJ1722" s="9"/>
      <c r="BK1722" s="9"/>
      <c r="BL1722" s="9"/>
      <c r="BM1722" s="9"/>
      <c r="BN1722" s="9"/>
      <c r="BO1722" s="9"/>
      <c r="BP1722" s="9"/>
      <c r="BQ1722" s="9"/>
      <c r="BR1722" s="9"/>
      <c r="BS1722" s="9"/>
      <c r="BT1722" s="9"/>
      <c r="BU1722" s="9"/>
      <c r="BV1722" s="9"/>
      <c r="BW1722" s="9"/>
      <c r="BX1722" s="9"/>
      <c r="BY1722" s="9"/>
      <c r="BZ1722" s="9"/>
      <c r="CA1722" s="9"/>
      <c r="CB1722" s="9"/>
      <c r="CC1722" s="9"/>
      <c r="CD1722" s="9"/>
      <c r="CE1722" s="9"/>
      <c r="CF1722" s="9"/>
      <c r="CG1722" s="9"/>
      <c r="CH1722" s="9"/>
      <c r="CI1722" s="9"/>
      <c r="CJ1722" s="9"/>
      <c r="CK1722" s="9"/>
      <c r="CL1722" s="9"/>
      <c r="CM1722" s="9"/>
      <c r="CN1722" s="9"/>
      <c r="CO1722" s="9"/>
      <c r="CP1722" s="9"/>
    </row>
    <row r="1723" spans="1:94" ht="15.75" x14ac:dyDescent="0.25">
      <c r="A1723" s="126" t="s">
        <v>4737</v>
      </c>
      <c r="B1723" s="9" t="s">
        <v>4738</v>
      </c>
      <c r="C1723" s="9"/>
      <c r="D1723" s="9"/>
      <c r="E1723" s="9"/>
      <c r="F1723" s="9"/>
      <c r="G1723" s="9"/>
      <c r="H1723" s="9"/>
      <c r="I1723" s="9"/>
      <c r="J1723" s="9"/>
      <c r="K1723" s="9"/>
      <c r="L1723" s="9"/>
      <c r="M1723" s="9"/>
      <c r="N1723" s="9"/>
      <c r="O1723" s="9"/>
      <c r="P1723" s="9"/>
      <c r="Q1723" s="9"/>
      <c r="R1723" s="9"/>
      <c r="S1723" s="9"/>
      <c r="T1723" s="9"/>
      <c r="U1723" s="9"/>
      <c r="V1723" s="9"/>
      <c r="W1723" s="9"/>
      <c r="X1723" s="9"/>
      <c r="Y1723" s="9"/>
      <c r="Z1723" s="9"/>
      <c r="AA1723" s="9"/>
      <c r="AB1723" s="9"/>
      <c r="AC1723" s="9"/>
      <c r="AD1723" s="9"/>
      <c r="AE1723" s="9"/>
      <c r="AF1723" s="9"/>
      <c r="AG1723" s="9"/>
      <c r="AH1723" s="9"/>
      <c r="AI1723" s="9"/>
      <c r="AJ1723" s="9"/>
      <c r="AK1723" s="9"/>
      <c r="AL1723" s="9"/>
      <c r="AM1723" s="69"/>
      <c r="AN1723" s="9"/>
      <c r="AO1723" s="69" t="s">
        <v>4591</v>
      </c>
      <c r="AP1723" s="210"/>
      <c r="AQ1723" s="211"/>
      <c r="AR1723" s="211"/>
      <c r="AS1723" s="211"/>
      <c r="AT1723" s="211"/>
      <c r="AU1723" s="211"/>
      <c r="AV1723" s="211"/>
      <c r="AW1723" s="9"/>
      <c r="AX1723" s="9"/>
      <c r="AY1723" s="9"/>
      <c r="AZ1723" s="9"/>
      <c r="BA1723" s="120"/>
      <c r="BB1723" s="69"/>
      <c r="BC1723" s="9"/>
      <c r="BD1723" s="9"/>
      <c r="BE1723" s="9"/>
      <c r="BF1723" s="9"/>
      <c r="BG1723" s="9"/>
      <c r="BH1723" s="9"/>
      <c r="BI1723" s="9"/>
      <c r="BJ1723" s="9"/>
      <c r="BK1723" s="9"/>
      <c r="BL1723" s="9"/>
      <c r="BM1723" s="9"/>
      <c r="BN1723" s="9"/>
      <c r="BO1723" s="9"/>
      <c r="BP1723" s="9"/>
      <c r="BQ1723" s="9"/>
      <c r="BR1723" s="9"/>
      <c r="BS1723" s="9"/>
      <c r="BT1723" s="9"/>
      <c r="BU1723" s="9"/>
      <c r="BV1723" s="9"/>
      <c r="BW1723" s="9"/>
      <c r="BX1723" s="9"/>
      <c r="BY1723" s="9"/>
      <c r="BZ1723" s="9"/>
      <c r="CA1723" s="9"/>
      <c r="CB1723" s="9"/>
      <c r="CC1723" s="9"/>
      <c r="CD1723" s="9"/>
      <c r="CE1723" s="9"/>
      <c r="CF1723" s="9"/>
      <c r="CG1723" s="9"/>
      <c r="CH1723" s="9"/>
      <c r="CI1723" s="9"/>
      <c r="CJ1723" s="9"/>
      <c r="CK1723" s="9"/>
      <c r="CL1723" s="9"/>
      <c r="CM1723" s="9"/>
      <c r="CN1723" s="9"/>
      <c r="CO1723" s="9"/>
      <c r="CP1723" s="9"/>
    </row>
    <row r="1724" spans="1:94" ht="15.75" x14ac:dyDescent="0.25">
      <c r="A1724" s="126" t="s">
        <v>4739</v>
      </c>
      <c r="B1724" s="9" t="s">
        <v>4740</v>
      </c>
      <c r="C1724" s="9"/>
      <c r="D1724" s="9"/>
      <c r="E1724" s="9"/>
      <c r="F1724" s="9"/>
      <c r="G1724" s="9"/>
      <c r="H1724" s="9"/>
      <c r="I1724" s="9"/>
      <c r="J1724" s="9"/>
      <c r="K1724" s="9"/>
      <c r="L1724" s="9"/>
      <c r="M1724" s="9"/>
      <c r="N1724" s="9"/>
      <c r="O1724" s="9"/>
      <c r="P1724" s="9"/>
      <c r="Q1724" s="9"/>
      <c r="R1724" s="9"/>
      <c r="S1724" s="9"/>
      <c r="T1724" s="9"/>
      <c r="U1724" s="9"/>
      <c r="V1724" s="9"/>
      <c r="W1724" s="9"/>
      <c r="X1724" s="9"/>
      <c r="Y1724" s="9"/>
      <c r="Z1724" s="9"/>
      <c r="AA1724" s="9"/>
      <c r="AB1724" s="9"/>
      <c r="AC1724" s="9"/>
      <c r="AD1724" s="9"/>
      <c r="AE1724" s="9"/>
      <c r="AF1724" s="9"/>
      <c r="AG1724" s="9"/>
      <c r="AH1724" s="9"/>
      <c r="AI1724" s="9"/>
      <c r="AJ1724" s="9"/>
      <c r="AK1724" s="9"/>
      <c r="AL1724" s="9"/>
      <c r="AM1724" s="69"/>
      <c r="AN1724" s="9"/>
      <c r="AO1724" s="69" t="s">
        <v>4591</v>
      </c>
      <c r="AP1724" s="210"/>
      <c r="AQ1724" s="211"/>
      <c r="AR1724" s="211"/>
      <c r="AS1724" s="211"/>
      <c r="AT1724" s="211"/>
      <c r="AU1724" s="211"/>
      <c r="AV1724" s="211"/>
      <c r="AW1724" s="9"/>
      <c r="AX1724" s="9"/>
      <c r="AY1724" s="9"/>
      <c r="AZ1724" s="9"/>
      <c r="BA1724" s="120"/>
      <c r="BB1724" s="69"/>
      <c r="BC1724" s="9"/>
      <c r="BD1724" s="9"/>
      <c r="BE1724" s="9"/>
      <c r="BF1724" s="9"/>
      <c r="BG1724" s="9"/>
      <c r="BH1724" s="9"/>
      <c r="BI1724" s="9"/>
      <c r="BJ1724" s="9"/>
      <c r="BK1724" s="9"/>
      <c r="BL1724" s="9"/>
      <c r="BM1724" s="9"/>
      <c r="BN1724" s="9"/>
      <c r="BO1724" s="9"/>
      <c r="BP1724" s="9"/>
      <c r="BQ1724" s="9"/>
      <c r="BR1724" s="9"/>
      <c r="BS1724" s="9"/>
      <c r="BT1724" s="9"/>
      <c r="BU1724" s="9"/>
      <c r="BV1724" s="9"/>
      <c r="BW1724" s="9"/>
      <c r="BX1724" s="9"/>
      <c r="BY1724" s="9"/>
      <c r="BZ1724" s="9"/>
      <c r="CA1724" s="9"/>
      <c r="CB1724" s="9"/>
      <c r="CC1724" s="9"/>
      <c r="CD1724" s="9"/>
      <c r="CE1724" s="9"/>
      <c r="CF1724" s="9"/>
      <c r="CG1724" s="9"/>
      <c r="CH1724" s="9"/>
      <c r="CI1724" s="9"/>
      <c r="CJ1724" s="9"/>
      <c r="CK1724" s="9"/>
      <c r="CL1724" s="9"/>
      <c r="CM1724" s="9"/>
      <c r="CN1724" s="9"/>
      <c r="CO1724" s="9"/>
      <c r="CP1724" s="9"/>
    </row>
    <row r="1725" spans="1:94" ht="15.75" x14ac:dyDescent="0.25">
      <c r="A1725" s="126" t="s">
        <v>4741</v>
      </c>
      <c r="B1725" s="9" t="s">
        <v>4742</v>
      </c>
      <c r="C1725" s="9"/>
      <c r="D1725" s="9"/>
      <c r="E1725" s="9"/>
      <c r="F1725" s="9"/>
      <c r="G1725" s="9"/>
      <c r="H1725" s="9"/>
      <c r="I1725" s="9"/>
      <c r="J1725" s="9"/>
      <c r="K1725" s="9"/>
      <c r="L1725" s="9"/>
      <c r="M1725" s="9"/>
      <c r="N1725" s="9"/>
      <c r="O1725" s="9"/>
      <c r="P1725" s="9"/>
      <c r="Q1725" s="9"/>
      <c r="R1725" s="9"/>
      <c r="S1725" s="9"/>
      <c r="T1725" s="9"/>
      <c r="U1725" s="9"/>
      <c r="V1725" s="9"/>
      <c r="W1725" s="9"/>
      <c r="X1725" s="9"/>
      <c r="Y1725" s="9"/>
      <c r="Z1725" s="9"/>
      <c r="AA1725" s="9"/>
      <c r="AB1725" s="9"/>
      <c r="AC1725" s="9"/>
      <c r="AD1725" s="9"/>
      <c r="AE1725" s="9"/>
      <c r="AF1725" s="9"/>
      <c r="AG1725" s="9"/>
      <c r="AH1725" s="9"/>
      <c r="AI1725" s="9"/>
      <c r="AJ1725" s="9"/>
      <c r="AK1725" s="9"/>
      <c r="AL1725" s="9"/>
      <c r="AM1725" s="69"/>
      <c r="AN1725" s="9"/>
      <c r="AO1725" s="69" t="s">
        <v>4591</v>
      </c>
      <c r="AP1725" s="210"/>
      <c r="AQ1725" s="211"/>
      <c r="AR1725" s="211"/>
      <c r="AS1725" s="211"/>
      <c r="AT1725" s="211"/>
      <c r="AU1725" s="211"/>
      <c r="AV1725" s="211"/>
      <c r="AW1725" s="9"/>
      <c r="AX1725" s="9"/>
      <c r="AY1725" s="9"/>
      <c r="AZ1725" s="9"/>
      <c r="BA1725" s="120"/>
      <c r="BB1725" s="69"/>
      <c r="BC1725" s="9"/>
      <c r="BD1725" s="9"/>
      <c r="BE1725" s="9"/>
      <c r="BF1725" s="9"/>
      <c r="BG1725" s="9"/>
      <c r="BH1725" s="9"/>
      <c r="BI1725" s="9"/>
      <c r="BJ1725" s="9"/>
      <c r="BK1725" s="9"/>
      <c r="BL1725" s="9"/>
      <c r="BM1725" s="9"/>
      <c r="BN1725" s="9"/>
      <c r="BO1725" s="9"/>
      <c r="BP1725" s="9"/>
      <c r="BQ1725" s="9"/>
      <c r="BR1725" s="9"/>
      <c r="BS1725" s="9"/>
      <c r="BT1725" s="9"/>
      <c r="BU1725" s="9"/>
      <c r="BV1725" s="9"/>
      <c r="BW1725" s="9"/>
      <c r="BX1725" s="9"/>
      <c r="BY1725" s="9"/>
      <c r="BZ1725" s="9"/>
      <c r="CA1725" s="9"/>
      <c r="CB1725" s="9"/>
      <c r="CC1725" s="9"/>
      <c r="CD1725" s="9"/>
      <c r="CE1725" s="9"/>
      <c r="CF1725" s="9"/>
      <c r="CG1725" s="9"/>
      <c r="CH1725" s="9"/>
      <c r="CI1725" s="9"/>
      <c r="CJ1725" s="9"/>
      <c r="CK1725" s="9"/>
      <c r="CL1725" s="9"/>
      <c r="CM1725" s="9"/>
      <c r="CN1725" s="9"/>
      <c r="CO1725" s="9"/>
      <c r="CP1725" s="9"/>
    </row>
    <row r="1726" spans="1:94" ht="15.75" x14ac:dyDescent="0.25">
      <c r="A1726" s="126" t="s">
        <v>4743</v>
      </c>
      <c r="B1726" s="9" t="s">
        <v>4744</v>
      </c>
      <c r="C1726" s="9"/>
      <c r="D1726" s="9"/>
      <c r="E1726" s="9"/>
      <c r="F1726" s="9"/>
      <c r="G1726" s="9"/>
      <c r="H1726" s="9"/>
      <c r="I1726" s="9"/>
      <c r="J1726" s="9"/>
      <c r="K1726" s="9"/>
      <c r="L1726" s="9"/>
      <c r="M1726" s="9"/>
      <c r="N1726" s="9"/>
      <c r="O1726" s="9"/>
      <c r="P1726" s="9"/>
      <c r="Q1726" s="9"/>
      <c r="R1726" s="9"/>
      <c r="S1726" s="9"/>
      <c r="T1726" s="9"/>
      <c r="U1726" s="9"/>
      <c r="V1726" s="9"/>
      <c r="W1726" s="9"/>
      <c r="X1726" s="9"/>
      <c r="Y1726" s="9"/>
      <c r="Z1726" s="9"/>
      <c r="AA1726" s="9"/>
      <c r="AB1726" s="9"/>
      <c r="AC1726" s="9"/>
      <c r="AD1726" s="9"/>
      <c r="AE1726" s="9"/>
      <c r="AF1726" s="9"/>
      <c r="AG1726" s="9"/>
      <c r="AH1726" s="9"/>
      <c r="AI1726" s="9"/>
      <c r="AJ1726" s="9"/>
      <c r="AK1726" s="9"/>
      <c r="AL1726" s="9"/>
      <c r="AM1726" s="69"/>
      <c r="AN1726" s="9"/>
      <c r="AO1726" s="69" t="s">
        <v>4591</v>
      </c>
      <c r="AP1726" s="210"/>
      <c r="AQ1726" s="211"/>
      <c r="AR1726" s="211"/>
      <c r="AS1726" s="211"/>
      <c r="AT1726" s="211"/>
      <c r="AU1726" s="211"/>
      <c r="AV1726" s="211"/>
      <c r="AW1726" s="9"/>
      <c r="AX1726" s="9"/>
      <c r="AY1726" s="9"/>
      <c r="AZ1726" s="9"/>
      <c r="BA1726" s="120"/>
      <c r="BB1726" s="69"/>
      <c r="BC1726" s="9"/>
      <c r="BD1726" s="9"/>
      <c r="BE1726" s="9"/>
      <c r="BF1726" s="9"/>
      <c r="BG1726" s="9"/>
      <c r="BH1726" s="9"/>
      <c r="BI1726" s="9"/>
      <c r="BJ1726" s="9"/>
      <c r="BK1726" s="9"/>
      <c r="BL1726" s="9"/>
      <c r="BM1726" s="9"/>
      <c r="BN1726" s="9"/>
      <c r="BO1726" s="9"/>
      <c r="BP1726" s="9"/>
      <c r="BQ1726" s="9"/>
      <c r="BR1726" s="9"/>
      <c r="BS1726" s="9"/>
      <c r="BT1726" s="9"/>
      <c r="BU1726" s="9"/>
      <c r="BV1726" s="9"/>
      <c r="BW1726" s="9"/>
      <c r="BX1726" s="9"/>
      <c r="BY1726" s="9"/>
      <c r="BZ1726" s="9"/>
      <c r="CA1726" s="9"/>
      <c r="CB1726" s="9"/>
      <c r="CC1726" s="9"/>
      <c r="CD1726" s="9"/>
      <c r="CE1726" s="9"/>
      <c r="CF1726" s="9"/>
      <c r="CG1726" s="9"/>
      <c r="CH1726" s="9"/>
      <c r="CI1726" s="9"/>
      <c r="CJ1726" s="9"/>
      <c r="CK1726" s="9"/>
      <c r="CL1726" s="9"/>
      <c r="CM1726" s="9"/>
      <c r="CN1726" s="9"/>
      <c r="CO1726" s="9"/>
      <c r="CP1726" s="9"/>
    </row>
    <row r="1727" spans="1:94" ht="30" x14ac:dyDescent="0.25">
      <c r="A1727" s="126" t="s">
        <v>4745</v>
      </c>
      <c r="B1727" s="9" t="s">
        <v>4746</v>
      </c>
      <c r="C1727" s="9"/>
      <c r="D1727" s="9"/>
      <c r="E1727" s="9"/>
      <c r="F1727" s="9"/>
      <c r="G1727" s="9"/>
      <c r="H1727" s="9"/>
      <c r="I1727" s="9"/>
      <c r="J1727" s="9"/>
      <c r="K1727" s="9"/>
      <c r="L1727" s="9"/>
      <c r="M1727" s="9"/>
      <c r="N1727" s="9"/>
      <c r="O1727" s="9"/>
      <c r="P1727" s="9"/>
      <c r="Q1727" s="9"/>
      <c r="R1727" s="9"/>
      <c r="S1727" s="9"/>
      <c r="T1727" s="9"/>
      <c r="U1727" s="9"/>
      <c r="V1727" s="9"/>
      <c r="W1727" s="9"/>
      <c r="X1727" s="9"/>
      <c r="Y1727" s="9"/>
      <c r="Z1727" s="9"/>
      <c r="AA1727" s="9"/>
      <c r="AB1727" s="9"/>
      <c r="AC1727" s="9"/>
      <c r="AD1727" s="9"/>
      <c r="AE1727" s="9"/>
      <c r="AF1727" s="9"/>
      <c r="AG1727" s="9"/>
      <c r="AH1727" s="9"/>
      <c r="AI1727" s="9"/>
      <c r="AJ1727" s="9"/>
      <c r="AK1727" s="9"/>
      <c r="AL1727" s="9"/>
      <c r="AM1727" s="69"/>
      <c r="AN1727" s="9"/>
      <c r="AO1727" s="69" t="s">
        <v>4700</v>
      </c>
      <c r="AP1727" s="210"/>
      <c r="AQ1727" s="211"/>
      <c r="AR1727" s="211"/>
      <c r="AS1727" s="211"/>
      <c r="AT1727" s="211"/>
      <c r="AU1727" s="211"/>
      <c r="AV1727" s="211"/>
      <c r="AW1727" s="9"/>
      <c r="AX1727" s="9"/>
      <c r="AY1727" s="9"/>
      <c r="AZ1727" s="9"/>
      <c r="BA1727" s="120"/>
      <c r="BB1727" s="69"/>
      <c r="BC1727" s="9"/>
      <c r="BD1727" s="9"/>
      <c r="BE1727" s="9"/>
      <c r="BF1727" s="9"/>
      <c r="BG1727" s="9"/>
      <c r="BH1727" s="9"/>
      <c r="BI1727" s="9"/>
      <c r="BJ1727" s="9"/>
      <c r="BK1727" s="9"/>
      <c r="BL1727" s="9"/>
      <c r="BM1727" s="9"/>
      <c r="BN1727" s="9"/>
      <c r="BO1727" s="9"/>
      <c r="BP1727" s="9"/>
      <c r="BQ1727" s="9"/>
      <c r="BR1727" s="9"/>
      <c r="BS1727" s="9"/>
      <c r="BT1727" s="9"/>
      <c r="BU1727" s="9"/>
      <c r="BV1727" s="9"/>
      <c r="BW1727" s="9"/>
      <c r="BX1727" s="9"/>
      <c r="BY1727" s="9"/>
      <c r="BZ1727" s="9"/>
      <c r="CA1727" s="9"/>
      <c r="CB1727" s="9"/>
      <c r="CC1727" s="9"/>
      <c r="CD1727" s="9"/>
      <c r="CE1727" s="9"/>
      <c r="CF1727" s="9"/>
      <c r="CG1727" s="9"/>
      <c r="CH1727" s="9"/>
      <c r="CI1727" s="9"/>
      <c r="CJ1727" s="9"/>
      <c r="CK1727" s="9"/>
      <c r="CL1727" s="9"/>
      <c r="CM1727" s="9"/>
      <c r="CN1727" s="9"/>
      <c r="CO1727" s="9"/>
      <c r="CP1727" s="9"/>
    </row>
    <row r="1728" spans="1:94" x14ac:dyDescent="0.25">
      <c r="A1728" s="9" t="s">
        <v>4747</v>
      </c>
      <c r="B1728" s="9" t="s">
        <v>4748</v>
      </c>
      <c r="C1728" s="9"/>
      <c r="D1728" s="9"/>
      <c r="E1728" s="9"/>
      <c r="F1728" s="9"/>
      <c r="G1728" s="9"/>
      <c r="H1728" s="9"/>
      <c r="I1728" s="9"/>
      <c r="J1728" s="9"/>
      <c r="K1728" s="9"/>
      <c r="L1728" s="9"/>
      <c r="M1728" s="9"/>
      <c r="N1728" s="9"/>
      <c r="O1728" s="9"/>
      <c r="P1728" s="9"/>
      <c r="Q1728" s="9"/>
      <c r="R1728" s="9"/>
      <c r="S1728" s="9"/>
      <c r="T1728" s="9"/>
      <c r="U1728" s="9"/>
      <c r="V1728" s="9"/>
      <c r="W1728" s="9"/>
      <c r="X1728" s="9"/>
      <c r="Y1728" s="9"/>
      <c r="Z1728" s="9"/>
      <c r="AA1728" s="9"/>
      <c r="AB1728" s="9"/>
      <c r="AC1728" s="9"/>
      <c r="AD1728" s="9"/>
      <c r="AE1728" s="9"/>
      <c r="AF1728" s="9"/>
      <c r="AG1728" s="9"/>
      <c r="AH1728" s="9"/>
      <c r="AI1728" s="9"/>
      <c r="AJ1728" s="9"/>
      <c r="AK1728" s="9"/>
      <c r="AL1728" s="9"/>
      <c r="AM1728" s="69"/>
      <c r="AN1728" s="9"/>
      <c r="AO1728" s="69" t="s">
        <v>4591</v>
      </c>
      <c r="AP1728" s="210"/>
      <c r="AQ1728" s="211"/>
      <c r="AR1728" s="211"/>
      <c r="AS1728" s="211"/>
      <c r="AT1728" s="211"/>
      <c r="AU1728" s="211"/>
      <c r="AV1728" s="211"/>
      <c r="AW1728" s="9"/>
      <c r="AX1728" s="9"/>
      <c r="AY1728" s="9"/>
      <c r="AZ1728" s="9"/>
      <c r="BA1728" s="120"/>
      <c r="BB1728" s="69"/>
      <c r="BC1728" s="9"/>
      <c r="BD1728" s="9"/>
      <c r="BE1728" s="9"/>
      <c r="BF1728" s="9"/>
      <c r="BG1728" s="9"/>
      <c r="BH1728" s="9"/>
      <c r="BI1728" s="9"/>
      <c r="BJ1728" s="9"/>
      <c r="BK1728" s="9"/>
      <c r="BL1728" s="9"/>
      <c r="BM1728" s="9"/>
      <c r="BN1728" s="9"/>
      <c r="BO1728" s="9"/>
      <c r="BP1728" s="9"/>
      <c r="BQ1728" s="9"/>
      <c r="BR1728" s="9"/>
      <c r="BS1728" s="9"/>
      <c r="BT1728" s="9"/>
      <c r="BU1728" s="9"/>
      <c r="BV1728" s="9"/>
      <c r="BW1728" s="9"/>
      <c r="BX1728" s="9"/>
      <c r="BY1728" s="9"/>
      <c r="BZ1728" s="9"/>
      <c r="CA1728" s="9"/>
      <c r="CB1728" s="9"/>
      <c r="CC1728" s="9"/>
      <c r="CD1728" s="9"/>
      <c r="CE1728" s="9"/>
      <c r="CF1728" s="9"/>
      <c r="CG1728" s="9"/>
      <c r="CH1728" s="9"/>
      <c r="CI1728" s="9"/>
      <c r="CJ1728" s="9"/>
      <c r="CK1728" s="9"/>
      <c r="CL1728" s="9"/>
      <c r="CM1728" s="9"/>
      <c r="CN1728" s="9"/>
      <c r="CO1728" s="9"/>
      <c r="CP1728" s="9"/>
    </row>
    <row r="1729" spans="1:94" ht="30" x14ac:dyDescent="0.25">
      <c r="A1729" s="9" t="s">
        <v>4749</v>
      </c>
      <c r="B1729" s="9" t="s">
        <v>4750</v>
      </c>
      <c r="C1729" s="9"/>
      <c r="D1729" s="9"/>
      <c r="E1729" s="9"/>
      <c r="F1729" s="9"/>
      <c r="G1729" s="9"/>
      <c r="H1729" s="9"/>
      <c r="I1729" s="9"/>
      <c r="J1729" s="9"/>
      <c r="K1729" s="9"/>
      <c r="L1729" s="9"/>
      <c r="M1729" s="9"/>
      <c r="N1729" s="9"/>
      <c r="O1729" s="9"/>
      <c r="P1729" s="9"/>
      <c r="Q1729" s="9"/>
      <c r="R1729" s="9"/>
      <c r="S1729" s="9"/>
      <c r="T1729" s="9"/>
      <c r="U1729" s="9"/>
      <c r="V1729" s="9"/>
      <c r="W1729" s="9"/>
      <c r="X1729" s="9"/>
      <c r="Y1729" s="9"/>
      <c r="Z1729" s="9"/>
      <c r="AA1729" s="9"/>
      <c r="AB1729" s="9"/>
      <c r="AC1729" s="9"/>
      <c r="AD1729" s="9"/>
      <c r="AE1729" s="9"/>
      <c r="AF1729" s="9"/>
      <c r="AG1729" s="9"/>
      <c r="AH1729" s="9"/>
      <c r="AI1729" s="9"/>
      <c r="AJ1729" s="9"/>
      <c r="AK1729" s="9"/>
      <c r="AL1729" s="9"/>
      <c r="AM1729" s="69"/>
      <c r="AN1729" s="9"/>
      <c r="AO1729" s="69" t="s">
        <v>4700</v>
      </c>
      <c r="AP1729" s="210"/>
      <c r="AQ1729" s="211"/>
      <c r="AR1729" s="211"/>
      <c r="AS1729" s="211"/>
      <c r="AT1729" s="211"/>
      <c r="AU1729" s="211"/>
      <c r="AV1729" s="211"/>
      <c r="AW1729" s="9"/>
      <c r="AX1729" s="9"/>
      <c r="AY1729" s="9"/>
      <c r="AZ1729" s="9"/>
      <c r="BA1729" s="120"/>
      <c r="BB1729" s="69"/>
      <c r="BC1729" s="9"/>
      <c r="BD1729" s="9"/>
      <c r="BE1729" s="9"/>
      <c r="BF1729" s="9"/>
      <c r="BG1729" s="9"/>
      <c r="BH1729" s="9"/>
      <c r="BI1729" s="9"/>
      <c r="BJ1729" s="9"/>
      <c r="BK1729" s="9"/>
      <c r="BL1729" s="9"/>
      <c r="BM1729" s="9"/>
      <c r="BN1729" s="9"/>
      <c r="BO1729" s="9"/>
      <c r="BP1729" s="9"/>
      <c r="BQ1729" s="9"/>
      <c r="BR1729" s="9"/>
      <c r="BS1729" s="9"/>
      <c r="BT1729" s="9"/>
      <c r="BU1729" s="9"/>
      <c r="BV1729" s="9"/>
      <c r="BW1729" s="9"/>
      <c r="BX1729" s="9"/>
      <c r="BY1729" s="9"/>
      <c r="BZ1729" s="9"/>
      <c r="CA1729" s="9"/>
      <c r="CB1729" s="9"/>
      <c r="CC1729" s="9"/>
      <c r="CD1729" s="9"/>
      <c r="CE1729" s="9"/>
      <c r="CF1729" s="9"/>
      <c r="CG1729" s="9"/>
      <c r="CH1729" s="9"/>
      <c r="CI1729" s="9"/>
      <c r="CJ1729" s="9"/>
      <c r="CK1729" s="9"/>
      <c r="CL1729" s="9"/>
      <c r="CM1729" s="9"/>
      <c r="CN1729" s="9"/>
      <c r="CO1729" s="9"/>
      <c r="CP1729" s="9"/>
    </row>
    <row r="1730" spans="1:94" ht="30" x14ac:dyDescent="0.25">
      <c r="A1730" s="9" t="s">
        <v>4751</v>
      </c>
      <c r="B1730" s="9" t="s">
        <v>4752</v>
      </c>
      <c r="C1730" s="9"/>
      <c r="D1730" s="9"/>
      <c r="E1730" s="9"/>
      <c r="F1730" s="9"/>
      <c r="G1730" s="9"/>
      <c r="H1730" s="9"/>
      <c r="I1730" s="9"/>
      <c r="J1730" s="9"/>
      <c r="K1730" s="9"/>
      <c r="L1730" s="9"/>
      <c r="M1730" s="9"/>
      <c r="N1730" s="9"/>
      <c r="O1730" s="9"/>
      <c r="P1730" s="9"/>
      <c r="Q1730" s="9"/>
      <c r="R1730" s="9"/>
      <c r="S1730" s="9"/>
      <c r="T1730" s="9"/>
      <c r="U1730" s="9"/>
      <c r="V1730" s="9"/>
      <c r="W1730" s="9"/>
      <c r="X1730" s="9"/>
      <c r="Y1730" s="9"/>
      <c r="Z1730" s="9"/>
      <c r="AA1730" s="9"/>
      <c r="AB1730" s="9"/>
      <c r="AC1730" s="9"/>
      <c r="AD1730" s="9"/>
      <c r="AE1730" s="9"/>
      <c r="AF1730" s="9"/>
      <c r="AG1730" s="9"/>
      <c r="AH1730" s="9"/>
      <c r="AI1730" s="9"/>
      <c r="AJ1730" s="9"/>
      <c r="AK1730" s="9"/>
      <c r="AL1730" s="9"/>
      <c r="AM1730" s="69"/>
      <c r="AN1730" s="9"/>
      <c r="AO1730" s="69" t="s">
        <v>612</v>
      </c>
      <c r="AP1730" s="210"/>
      <c r="AQ1730" s="211"/>
      <c r="AR1730" s="211"/>
      <c r="AS1730" s="211"/>
      <c r="AT1730" s="211"/>
      <c r="AU1730" s="211"/>
      <c r="AV1730" s="211"/>
      <c r="AW1730" s="9"/>
      <c r="AX1730" s="9"/>
      <c r="AY1730" s="9"/>
      <c r="AZ1730" s="9"/>
      <c r="BA1730" s="120"/>
      <c r="BB1730" s="69"/>
      <c r="BC1730" s="9"/>
      <c r="BD1730" s="9"/>
      <c r="BE1730" s="9"/>
      <c r="BF1730" s="9"/>
      <c r="BG1730" s="9"/>
      <c r="BH1730" s="9"/>
      <c r="BI1730" s="9"/>
      <c r="BJ1730" s="9"/>
      <c r="BK1730" s="9"/>
      <c r="BL1730" s="9"/>
      <c r="BM1730" s="9"/>
      <c r="BN1730" s="9"/>
      <c r="BO1730" s="9"/>
      <c r="BP1730" s="9"/>
      <c r="BQ1730" s="9"/>
      <c r="BR1730" s="9"/>
      <c r="BS1730" s="9"/>
      <c r="BT1730" s="9"/>
      <c r="BU1730" s="9"/>
      <c r="BV1730" s="9"/>
      <c r="BW1730" s="9"/>
      <c r="BX1730" s="9"/>
      <c r="BY1730" s="9"/>
      <c r="BZ1730" s="9"/>
      <c r="CA1730" s="9"/>
      <c r="CB1730" s="9"/>
      <c r="CC1730" s="9"/>
      <c r="CD1730" s="9"/>
      <c r="CE1730" s="9"/>
      <c r="CF1730" s="9"/>
      <c r="CG1730" s="9"/>
      <c r="CH1730" s="9"/>
      <c r="CI1730" s="9"/>
      <c r="CJ1730" s="9"/>
      <c r="CK1730" s="9"/>
      <c r="CL1730" s="9"/>
      <c r="CM1730" s="9"/>
      <c r="CN1730" s="9"/>
      <c r="CO1730" s="9"/>
      <c r="CP1730" s="9"/>
    </row>
    <row r="1731" spans="1:94" ht="30" x14ac:dyDescent="0.25">
      <c r="A1731" s="9" t="s">
        <v>4753</v>
      </c>
      <c r="B1731" s="9" t="s">
        <v>4754</v>
      </c>
      <c r="C1731" s="9"/>
      <c r="D1731" s="9"/>
      <c r="E1731" s="9"/>
      <c r="F1731" s="9"/>
      <c r="G1731" s="9"/>
      <c r="H1731" s="9"/>
      <c r="I1731" s="9"/>
      <c r="J1731" s="9"/>
      <c r="K1731" s="9"/>
      <c r="L1731" s="9"/>
      <c r="M1731" s="9"/>
      <c r="N1731" s="9"/>
      <c r="O1731" s="9"/>
      <c r="P1731" s="9"/>
      <c r="Q1731" s="9"/>
      <c r="R1731" s="9"/>
      <c r="S1731" s="9"/>
      <c r="T1731" s="9"/>
      <c r="U1731" s="9"/>
      <c r="V1731" s="9"/>
      <c r="W1731" s="9"/>
      <c r="X1731" s="9"/>
      <c r="Y1731" s="9"/>
      <c r="Z1731" s="9"/>
      <c r="AA1731" s="9"/>
      <c r="AB1731" s="9"/>
      <c r="AC1731" s="9"/>
      <c r="AD1731" s="9"/>
      <c r="AE1731" s="9"/>
      <c r="AF1731" s="9"/>
      <c r="AG1731" s="9"/>
      <c r="AH1731" s="9"/>
      <c r="AI1731" s="9"/>
      <c r="AJ1731" s="9"/>
      <c r="AK1731" s="9"/>
      <c r="AL1731" s="9"/>
      <c r="AM1731" s="69"/>
      <c r="AN1731" s="9"/>
      <c r="AO1731" s="69" t="s">
        <v>4643</v>
      </c>
      <c r="AP1731" s="210"/>
      <c r="AQ1731" s="211"/>
      <c r="AR1731" s="211"/>
      <c r="AS1731" s="211"/>
      <c r="AT1731" s="211"/>
      <c r="AU1731" s="211"/>
      <c r="AV1731" s="211"/>
      <c r="AW1731" s="9"/>
      <c r="AX1731" s="9"/>
      <c r="AY1731" s="9"/>
      <c r="AZ1731" s="9"/>
      <c r="BA1731" s="120"/>
      <c r="BB1731" s="69"/>
      <c r="BC1731" s="9"/>
      <c r="BD1731" s="9"/>
      <c r="BE1731" s="9"/>
      <c r="BF1731" s="9"/>
      <c r="BG1731" s="9"/>
      <c r="BH1731" s="9"/>
      <c r="BI1731" s="9"/>
      <c r="BJ1731" s="9"/>
      <c r="BK1731" s="9"/>
      <c r="BL1731" s="9"/>
      <c r="BM1731" s="9"/>
      <c r="BN1731" s="9"/>
      <c r="BO1731" s="9"/>
      <c r="BP1731" s="9"/>
      <c r="BQ1731" s="9"/>
      <c r="BR1731" s="9"/>
      <c r="BS1731" s="9"/>
      <c r="BT1731" s="9"/>
      <c r="BU1731" s="9"/>
      <c r="BV1731" s="9"/>
      <c r="BW1731" s="9"/>
      <c r="BX1731" s="9"/>
      <c r="BY1731" s="9"/>
      <c r="BZ1731" s="9"/>
      <c r="CA1731" s="9"/>
      <c r="CB1731" s="9"/>
      <c r="CC1731" s="9"/>
      <c r="CD1731" s="9"/>
      <c r="CE1731" s="9"/>
      <c r="CF1731" s="9"/>
      <c r="CG1731" s="9"/>
      <c r="CH1731" s="9"/>
      <c r="CI1731" s="9"/>
      <c r="CJ1731" s="9"/>
      <c r="CK1731" s="9"/>
      <c r="CL1731" s="9"/>
      <c r="CM1731" s="9"/>
      <c r="CN1731" s="9"/>
      <c r="CO1731" s="9"/>
      <c r="CP1731" s="9"/>
    </row>
    <row r="1732" spans="1:94" ht="30" x14ac:dyDescent="0.25">
      <c r="A1732" s="9" t="s">
        <v>4755</v>
      </c>
      <c r="B1732" s="9" t="s">
        <v>4756</v>
      </c>
      <c r="C1732" s="9"/>
      <c r="D1732" s="9"/>
      <c r="E1732" s="9"/>
      <c r="F1732" s="9"/>
      <c r="G1732" s="9"/>
      <c r="H1732" s="9"/>
      <c r="I1732" s="9"/>
      <c r="J1732" s="9"/>
      <c r="K1732" s="9"/>
      <c r="L1732" s="9"/>
      <c r="M1732" s="9"/>
      <c r="N1732" s="9"/>
      <c r="O1732" s="9"/>
      <c r="P1732" s="9"/>
      <c r="Q1732" s="9"/>
      <c r="R1732" s="9"/>
      <c r="S1732" s="9"/>
      <c r="T1732" s="9"/>
      <c r="U1732" s="9"/>
      <c r="V1732" s="9"/>
      <c r="W1732" s="9"/>
      <c r="X1732" s="9"/>
      <c r="Y1732" s="9"/>
      <c r="Z1732" s="9"/>
      <c r="AA1732" s="9"/>
      <c r="AB1732" s="9"/>
      <c r="AC1732" s="9"/>
      <c r="AD1732" s="9"/>
      <c r="AE1732" s="9"/>
      <c r="AF1732" s="9"/>
      <c r="AG1732" s="9"/>
      <c r="AH1732" s="9"/>
      <c r="AI1732" s="9"/>
      <c r="AJ1732" s="9"/>
      <c r="AK1732" s="9"/>
      <c r="AL1732" s="9"/>
      <c r="AM1732" s="69"/>
      <c r="AN1732" s="9"/>
      <c r="AO1732" s="69" t="s">
        <v>4643</v>
      </c>
      <c r="AP1732" s="210"/>
      <c r="AQ1732" s="211"/>
      <c r="AR1732" s="211"/>
      <c r="AS1732" s="211"/>
      <c r="AT1732" s="211"/>
      <c r="AU1732" s="211"/>
      <c r="AV1732" s="211"/>
      <c r="AW1732" s="9"/>
      <c r="AX1732" s="9"/>
      <c r="AY1732" s="9"/>
      <c r="AZ1732" s="9"/>
      <c r="BA1732" s="120"/>
      <c r="BB1732" s="69"/>
      <c r="BC1732" s="9"/>
      <c r="BD1732" s="9"/>
      <c r="BE1732" s="9"/>
      <c r="BF1732" s="9"/>
      <c r="BG1732" s="9"/>
      <c r="BH1732" s="9"/>
      <c r="BI1732" s="9"/>
      <c r="BJ1732" s="9"/>
      <c r="BK1732" s="9"/>
      <c r="BL1732" s="9"/>
      <c r="BM1732" s="9"/>
      <c r="BN1732" s="9"/>
      <c r="BO1732" s="9"/>
      <c r="BP1732" s="9"/>
      <c r="BQ1732" s="9"/>
      <c r="BR1732" s="9"/>
      <c r="BS1732" s="9"/>
      <c r="BT1732" s="9"/>
      <c r="BU1732" s="9"/>
      <c r="BV1732" s="9"/>
      <c r="BW1732" s="9"/>
      <c r="BX1732" s="9"/>
      <c r="BY1732" s="9"/>
      <c r="BZ1732" s="9"/>
      <c r="CA1732" s="9"/>
      <c r="CB1732" s="9"/>
      <c r="CC1732" s="9"/>
      <c r="CD1732" s="9"/>
      <c r="CE1732" s="9"/>
      <c r="CF1732" s="9"/>
      <c r="CG1732" s="9"/>
      <c r="CH1732" s="9"/>
      <c r="CI1732" s="9"/>
      <c r="CJ1732" s="9"/>
      <c r="CK1732" s="9"/>
      <c r="CL1732" s="9"/>
      <c r="CM1732" s="9"/>
      <c r="CN1732" s="9"/>
      <c r="CO1732" s="9"/>
      <c r="CP1732" s="9"/>
    </row>
    <row r="1733" spans="1:94" ht="30" x14ac:dyDescent="0.25">
      <c r="A1733" s="9" t="s">
        <v>4757</v>
      </c>
      <c r="B1733" s="9" t="s">
        <v>4758</v>
      </c>
      <c r="C1733" s="9"/>
      <c r="D1733" s="9"/>
      <c r="E1733" s="9"/>
      <c r="F1733" s="9"/>
      <c r="G1733" s="9"/>
      <c r="H1733" s="9"/>
      <c r="I1733" s="9"/>
      <c r="J1733" s="9"/>
      <c r="K1733" s="9"/>
      <c r="L1733" s="9"/>
      <c r="M1733" s="9"/>
      <c r="N1733" s="9"/>
      <c r="O1733" s="9"/>
      <c r="P1733" s="9"/>
      <c r="Q1733" s="9"/>
      <c r="R1733" s="9"/>
      <c r="S1733" s="9"/>
      <c r="T1733" s="9"/>
      <c r="U1733" s="9"/>
      <c r="V1733" s="9"/>
      <c r="W1733" s="9"/>
      <c r="X1733" s="9"/>
      <c r="Y1733" s="9"/>
      <c r="Z1733" s="9"/>
      <c r="AA1733" s="9"/>
      <c r="AB1733" s="9"/>
      <c r="AC1733" s="9"/>
      <c r="AD1733" s="9"/>
      <c r="AE1733" s="9"/>
      <c r="AF1733" s="9"/>
      <c r="AG1733" s="9"/>
      <c r="AH1733" s="9"/>
      <c r="AI1733" s="9"/>
      <c r="AJ1733" s="9"/>
      <c r="AK1733" s="9"/>
      <c r="AL1733" s="9"/>
      <c r="AM1733" s="69"/>
      <c r="AN1733" s="9"/>
      <c r="AO1733" s="69" t="s">
        <v>4643</v>
      </c>
      <c r="AP1733" s="210"/>
      <c r="AQ1733" s="211"/>
      <c r="AR1733" s="211"/>
      <c r="AS1733" s="211"/>
      <c r="AT1733" s="211"/>
      <c r="AU1733" s="211"/>
      <c r="AV1733" s="211"/>
      <c r="AW1733" s="9"/>
      <c r="AX1733" s="9"/>
      <c r="AY1733" s="9"/>
      <c r="AZ1733" s="9"/>
      <c r="BA1733" s="120"/>
      <c r="BB1733" s="69"/>
      <c r="BC1733" s="9"/>
      <c r="BD1733" s="9"/>
      <c r="BE1733" s="9"/>
      <c r="BF1733" s="9"/>
      <c r="BG1733" s="9"/>
      <c r="BH1733" s="9"/>
      <c r="BI1733" s="9"/>
      <c r="BJ1733" s="9"/>
      <c r="BK1733" s="9"/>
      <c r="BL1733" s="9"/>
      <c r="BM1733" s="9"/>
      <c r="BN1733" s="9"/>
      <c r="BO1733" s="9"/>
      <c r="BP1733" s="9"/>
      <c r="BQ1733" s="9"/>
      <c r="BR1733" s="9"/>
      <c r="BS1733" s="9"/>
      <c r="BT1733" s="9"/>
      <c r="BU1733" s="9"/>
      <c r="BV1733" s="9"/>
      <c r="BW1733" s="9"/>
      <c r="BX1733" s="9"/>
      <c r="BY1733" s="9"/>
      <c r="BZ1733" s="9"/>
      <c r="CA1733" s="9"/>
      <c r="CB1733" s="9"/>
      <c r="CC1733" s="9"/>
      <c r="CD1733" s="9"/>
      <c r="CE1733" s="9"/>
      <c r="CF1733" s="9"/>
      <c r="CG1733" s="9"/>
      <c r="CH1733" s="9"/>
      <c r="CI1733" s="9"/>
      <c r="CJ1733" s="9"/>
      <c r="CK1733" s="9"/>
      <c r="CL1733" s="9"/>
      <c r="CM1733" s="9"/>
      <c r="CN1733" s="9"/>
      <c r="CO1733" s="9"/>
      <c r="CP1733" s="9"/>
    </row>
    <row r="1734" spans="1:94" ht="30" x14ac:dyDescent="0.25">
      <c r="A1734" s="126" t="s">
        <v>4759</v>
      </c>
      <c r="B1734" s="9" t="s">
        <v>4760</v>
      </c>
      <c r="C1734" s="9"/>
      <c r="D1734" s="9"/>
      <c r="E1734" s="9"/>
      <c r="F1734" s="9"/>
      <c r="G1734" s="9"/>
      <c r="H1734" s="9"/>
      <c r="I1734" s="9"/>
      <c r="J1734" s="9"/>
      <c r="K1734" s="9"/>
      <c r="L1734" s="9"/>
      <c r="M1734" s="9"/>
      <c r="N1734" s="9"/>
      <c r="O1734" s="9"/>
      <c r="P1734" s="9"/>
      <c r="Q1734" s="9"/>
      <c r="R1734" s="9"/>
      <c r="S1734" s="9"/>
      <c r="T1734" s="9"/>
      <c r="U1734" s="9"/>
      <c r="V1734" s="9"/>
      <c r="W1734" s="9"/>
      <c r="X1734" s="9"/>
      <c r="Y1734" s="9"/>
      <c r="Z1734" s="9"/>
      <c r="AA1734" s="9"/>
      <c r="AB1734" s="9"/>
      <c r="AC1734" s="9"/>
      <c r="AD1734" s="9"/>
      <c r="AE1734" s="58"/>
      <c r="AF1734" s="9"/>
      <c r="AG1734" s="9"/>
      <c r="AH1734" s="9"/>
      <c r="AI1734" s="9"/>
      <c r="AJ1734" s="9"/>
      <c r="AK1734" s="9"/>
      <c r="AL1734" s="9"/>
      <c r="AM1734" s="69"/>
      <c r="AN1734" s="9"/>
      <c r="AO1734" s="69" t="s">
        <v>4643</v>
      </c>
      <c r="AP1734" s="210"/>
      <c r="AQ1734" s="211"/>
      <c r="AR1734" s="211"/>
      <c r="AS1734" s="211"/>
      <c r="AT1734" s="211"/>
      <c r="AU1734" s="211"/>
      <c r="AV1734" s="211"/>
      <c r="AW1734" s="9"/>
      <c r="AX1734" s="9"/>
      <c r="AY1734" s="9"/>
      <c r="AZ1734" s="9"/>
      <c r="BA1734" s="120"/>
      <c r="BB1734" s="69"/>
      <c r="BC1734" s="9"/>
      <c r="BD1734" s="9"/>
      <c r="BE1734" s="9"/>
      <c r="BF1734" s="9"/>
      <c r="BG1734" s="9"/>
      <c r="BH1734" s="9"/>
      <c r="BI1734" s="9"/>
      <c r="BJ1734" s="9"/>
      <c r="BK1734" s="9"/>
      <c r="BL1734" s="9"/>
      <c r="BM1734" s="9"/>
      <c r="BN1734" s="9"/>
      <c r="BO1734" s="9"/>
      <c r="BP1734" s="9"/>
      <c r="BQ1734" s="9"/>
      <c r="BR1734" s="9"/>
      <c r="BS1734" s="9"/>
      <c r="BT1734" s="9"/>
      <c r="BU1734" s="9"/>
      <c r="BV1734" s="9"/>
      <c r="BW1734" s="9"/>
      <c r="BX1734" s="9"/>
      <c r="BY1734" s="9"/>
      <c r="BZ1734" s="9"/>
      <c r="CA1734" s="9"/>
      <c r="CB1734" s="9"/>
      <c r="CC1734" s="9"/>
      <c r="CD1734" s="9"/>
      <c r="CE1734" s="9"/>
      <c r="CF1734" s="9"/>
      <c r="CG1734" s="9"/>
      <c r="CH1734" s="9"/>
      <c r="CI1734" s="9"/>
      <c r="CJ1734" s="9"/>
      <c r="CK1734" s="9"/>
      <c r="CL1734" s="9"/>
      <c r="CM1734" s="9"/>
      <c r="CN1734" s="9"/>
      <c r="CO1734" s="9"/>
      <c r="CP1734" s="9"/>
    </row>
    <row r="1735" spans="1:94" ht="30" x14ac:dyDescent="0.25">
      <c r="A1735" s="126" t="s">
        <v>4761</v>
      </c>
      <c r="B1735" s="9" t="s">
        <v>4762</v>
      </c>
      <c r="C1735" s="9"/>
      <c r="D1735" s="9"/>
      <c r="E1735" s="9"/>
      <c r="F1735" s="9"/>
      <c r="G1735" s="9"/>
      <c r="H1735" s="9"/>
      <c r="I1735" s="9"/>
      <c r="J1735" s="9"/>
      <c r="K1735" s="9"/>
      <c r="L1735" s="9"/>
      <c r="M1735" s="9"/>
      <c r="N1735" s="9"/>
      <c r="O1735" s="9"/>
      <c r="P1735" s="9"/>
      <c r="Q1735" s="9"/>
      <c r="R1735" s="9"/>
      <c r="S1735" s="9"/>
      <c r="T1735" s="9"/>
      <c r="U1735" s="9"/>
      <c r="V1735" s="9"/>
      <c r="W1735" s="9"/>
      <c r="X1735" s="9"/>
      <c r="Y1735" s="9"/>
      <c r="Z1735" s="9"/>
      <c r="AA1735" s="9"/>
      <c r="AB1735" s="9"/>
      <c r="AC1735" s="9"/>
      <c r="AD1735" s="9"/>
      <c r="AE1735" s="9"/>
      <c r="AF1735" s="9"/>
      <c r="AG1735" s="9"/>
      <c r="AH1735" s="9"/>
      <c r="AI1735" s="9"/>
      <c r="AJ1735" s="9"/>
      <c r="AK1735" s="9"/>
      <c r="AL1735" s="9"/>
      <c r="AM1735" s="69"/>
      <c r="AN1735" s="9"/>
      <c r="AO1735" s="69" t="s">
        <v>4643</v>
      </c>
      <c r="AP1735" s="210"/>
      <c r="AQ1735" s="211"/>
      <c r="AR1735" s="211"/>
      <c r="AS1735" s="211"/>
      <c r="AT1735" s="211"/>
      <c r="AU1735" s="211"/>
      <c r="AV1735" s="211"/>
      <c r="AW1735" s="9"/>
      <c r="AX1735" s="9"/>
      <c r="AY1735" s="9"/>
      <c r="AZ1735" s="9"/>
      <c r="BA1735" s="120"/>
      <c r="BB1735" s="69"/>
      <c r="BC1735" s="9"/>
      <c r="BD1735" s="9"/>
      <c r="BE1735" s="9"/>
      <c r="BF1735" s="9"/>
      <c r="BG1735" s="9"/>
      <c r="BH1735" s="9"/>
      <c r="BI1735" s="9"/>
      <c r="BJ1735" s="9"/>
      <c r="BK1735" s="9"/>
      <c r="BL1735" s="9"/>
      <c r="BM1735" s="9"/>
      <c r="BN1735" s="9"/>
      <c r="BO1735" s="9"/>
      <c r="BP1735" s="9"/>
      <c r="BQ1735" s="9"/>
      <c r="BR1735" s="9"/>
      <c r="BS1735" s="9"/>
      <c r="BT1735" s="9"/>
      <c r="BU1735" s="9"/>
      <c r="BV1735" s="9"/>
      <c r="BW1735" s="9"/>
      <c r="BX1735" s="9"/>
      <c r="BY1735" s="9"/>
      <c r="BZ1735" s="9"/>
      <c r="CA1735" s="9"/>
      <c r="CB1735" s="9"/>
      <c r="CC1735" s="9"/>
      <c r="CD1735" s="9"/>
      <c r="CE1735" s="9"/>
      <c r="CF1735" s="9"/>
      <c r="CG1735" s="9"/>
      <c r="CH1735" s="9"/>
      <c r="CI1735" s="9"/>
      <c r="CJ1735" s="9"/>
      <c r="CK1735" s="9"/>
      <c r="CL1735" s="9"/>
      <c r="CM1735" s="9"/>
      <c r="CN1735" s="9"/>
      <c r="CO1735" s="9"/>
      <c r="CP1735" s="9"/>
    </row>
    <row r="1736" spans="1:94" ht="30" x14ac:dyDescent="0.25">
      <c r="A1736" s="126" t="s">
        <v>4650</v>
      </c>
      <c r="B1736" s="9" t="s">
        <v>4651</v>
      </c>
      <c r="C1736" s="9"/>
      <c r="D1736" s="9"/>
      <c r="E1736" s="9"/>
      <c r="F1736" s="9"/>
      <c r="G1736" s="9"/>
      <c r="H1736" s="9"/>
      <c r="I1736" s="9"/>
      <c r="J1736" s="9"/>
      <c r="K1736" s="9"/>
      <c r="L1736" s="9"/>
      <c r="M1736" s="9"/>
      <c r="N1736" s="9"/>
      <c r="O1736" s="9"/>
      <c r="P1736" s="9"/>
      <c r="Q1736" s="9"/>
      <c r="R1736" s="9"/>
      <c r="S1736" s="9"/>
      <c r="T1736" s="9"/>
      <c r="U1736" s="9"/>
      <c r="V1736" s="9"/>
      <c r="W1736" s="9"/>
      <c r="X1736" s="9"/>
      <c r="Y1736" s="9"/>
      <c r="Z1736" s="9"/>
      <c r="AA1736" s="9"/>
      <c r="AB1736" s="9"/>
      <c r="AC1736" s="9"/>
      <c r="AD1736" s="9"/>
      <c r="AE1736" s="9"/>
      <c r="AF1736" s="9"/>
      <c r="AG1736" s="9"/>
      <c r="AH1736" s="9"/>
      <c r="AI1736" s="9"/>
      <c r="AJ1736" s="9"/>
      <c r="AK1736" s="9"/>
      <c r="AL1736" s="9"/>
      <c r="AM1736" s="69"/>
      <c r="AN1736" s="9"/>
      <c r="AO1736" s="69" t="s">
        <v>4643</v>
      </c>
      <c r="AP1736" s="210"/>
      <c r="AQ1736" s="211"/>
      <c r="AR1736" s="211"/>
      <c r="AS1736" s="211"/>
      <c r="AT1736" s="211"/>
      <c r="AU1736" s="211"/>
      <c r="AV1736" s="211"/>
      <c r="AW1736" s="9"/>
      <c r="AX1736" s="9"/>
      <c r="AY1736" s="9"/>
      <c r="AZ1736" s="9"/>
      <c r="BA1736" s="120"/>
      <c r="BB1736" s="69"/>
      <c r="BC1736" s="9"/>
      <c r="BD1736" s="9"/>
      <c r="BE1736" s="9"/>
      <c r="BF1736" s="9"/>
      <c r="BG1736" s="9"/>
      <c r="BH1736" s="9"/>
      <c r="BI1736" s="9"/>
      <c r="BJ1736" s="9"/>
      <c r="BK1736" s="9"/>
      <c r="BL1736" s="9"/>
      <c r="BM1736" s="9"/>
      <c r="BN1736" s="9"/>
      <c r="BO1736" s="9"/>
      <c r="BP1736" s="9"/>
      <c r="BQ1736" s="9"/>
      <c r="BR1736" s="9"/>
      <c r="BS1736" s="9"/>
      <c r="BT1736" s="9"/>
      <c r="BU1736" s="9"/>
      <c r="BV1736" s="9"/>
      <c r="BW1736" s="9"/>
      <c r="BX1736" s="9"/>
      <c r="BY1736" s="9"/>
      <c r="BZ1736" s="9"/>
      <c r="CA1736" s="9"/>
      <c r="CB1736" s="9"/>
      <c r="CC1736" s="9"/>
      <c r="CD1736" s="9"/>
      <c r="CE1736" s="9"/>
      <c r="CF1736" s="9"/>
      <c r="CG1736" s="9"/>
      <c r="CH1736" s="9"/>
      <c r="CI1736" s="9"/>
      <c r="CJ1736" s="9"/>
      <c r="CK1736" s="9"/>
      <c r="CL1736" s="9"/>
      <c r="CM1736" s="9"/>
      <c r="CN1736" s="9"/>
      <c r="CO1736" s="9"/>
      <c r="CP1736" s="9"/>
    </row>
    <row r="1737" spans="1:94" ht="30" x14ac:dyDescent="0.25">
      <c r="A1737" s="126" t="s">
        <v>4763</v>
      </c>
      <c r="B1737" s="9" t="s">
        <v>4764</v>
      </c>
      <c r="C1737" s="9"/>
      <c r="D1737" s="9"/>
      <c r="E1737" s="9"/>
      <c r="F1737" s="9"/>
      <c r="G1737" s="9"/>
      <c r="H1737" s="9"/>
      <c r="I1737" s="9"/>
      <c r="J1737" s="9"/>
      <c r="K1737" s="9"/>
      <c r="L1737" s="9"/>
      <c r="M1737" s="9"/>
      <c r="N1737" s="9"/>
      <c r="O1737" s="9"/>
      <c r="P1737" s="9"/>
      <c r="Q1737" s="9"/>
      <c r="R1737" s="9"/>
      <c r="S1737" s="9"/>
      <c r="T1737" s="9"/>
      <c r="U1737" s="9"/>
      <c r="V1737" s="9"/>
      <c r="W1737" s="9"/>
      <c r="X1737" s="9"/>
      <c r="Y1737" s="9"/>
      <c r="Z1737" s="9"/>
      <c r="AA1737" s="9"/>
      <c r="AB1737" s="9"/>
      <c r="AC1737" s="9"/>
      <c r="AD1737" s="9"/>
      <c r="AE1737" s="9"/>
      <c r="AF1737" s="9"/>
      <c r="AG1737" s="9"/>
      <c r="AH1737" s="9"/>
      <c r="AI1737" s="9"/>
      <c r="AJ1737" s="9"/>
      <c r="AK1737" s="9"/>
      <c r="AL1737" s="9"/>
      <c r="AM1737" s="69"/>
      <c r="AN1737" s="9"/>
      <c r="AO1737" s="69" t="s">
        <v>4643</v>
      </c>
      <c r="AP1737" s="210"/>
      <c r="AQ1737" s="211"/>
      <c r="AR1737" s="211"/>
      <c r="AS1737" s="211"/>
      <c r="AT1737" s="211"/>
      <c r="AU1737" s="211"/>
      <c r="AV1737" s="211"/>
      <c r="AW1737" s="9"/>
      <c r="AX1737" s="9"/>
      <c r="AY1737" s="9"/>
      <c r="AZ1737" s="9"/>
      <c r="BA1737" s="120"/>
      <c r="BB1737" s="69"/>
      <c r="BC1737" s="9"/>
      <c r="BD1737" s="9"/>
      <c r="BE1737" s="9"/>
      <c r="BF1737" s="9"/>
      <c r="BG1737" s="9"/>
      <c r="BH1737" s="9"/>
      <c r="BI1737" s="9"/>
      <c r="BJ1737" s="9"/>
      <c r="BK1737" s="9"/>
      <c r="BL1737" s="9"/>
      <c r="BM1737" s="9"/>
      <c r="BN1737" s="9"/>
      <c r="BO1737" s="9"/>
      <c r="BP1737" s="9"/>
      <c r="BQ1737" s="9"/>
      <c r="BR1737" s="9"/>
      <c r="BS1737" s="9"/>
      <c r="BT1737" s="9"/>
      <c r="BU1737" s="9"/>
      <c r="BV1737" s="9"/>
      <c r="BW1737" s="9"/>
      <c r="BX1737" s="9"/>
      <c r="BY1737" s="9"/>
      <c r="BZ1737" s="9"/>
      <c r="CA1737" s="9"/>
      <c r="CB1737" s="9"/>
      <c r="CC1737" s="9"/>
      <c r="CD1737" s="9"/>
      <c r="CE1737" s="9"/>
      <c r="CF1737" s="9"/>
      <c r="CG1737" s="9"/>
      <c r="CH1737" s="9"/>
      <c r="CI1737" s="9"/>
      <c r="CJ1737" s="9"/>
      <c r="CK1737" s="9"/>
      <c r="CL1737" s="9"/>
      <c r="CM1737" s="9"/>
      <c r="CN1737" s="9"/>
      <c r="CO1737" s="9"/>
      <c r="CP1737" s="9"/>
    </row>
    <row r="1738" spans="1:94" ht="30" x14ac:dyDescent="0.25">
      <c r="A1738" s="126" t="s">
        <v>4765</v>
      </c>
      <c r="B1738" s="9" t="s">
        <v>4766</v>
      </c>
      <c r="C1738" s="9"/>
      <c r="D1738" s="9"/>
      <c r="E1738" s="9"/>
      <c r="F1738" s="9"/>
      <c r="G1738" s="9"/>
      <c r="H1738" s="9"/>
      <c r="I1738" s="9"/>
      <c r="J1738" s="9"/>
      <c r="K1738" s="9"/>
      <c r="L1738" s="9"/>
      <c r="M1738" s="9"/>
      <c r="N1738" s="9"/>
      <c r="O1738" s="9"/>
      <c r="P1738" s="9"/>
      <c r="Q1738" s="9"/>
      <c r="R1738" s="9"/>
      <c r="S1738" s="9"/>
      <c r="T1738" s="9"/>
      <c r="U1738" s="9"/>
      <c r="V1738" s="9"/>
      <c r="W1738" s="9"/>
      <c r="X1738" s="9"/>
      <c r="Y1738" s="9"/>
      <c r="Z1738" s="9"/>
      <c r="AA1738" s="9"/>
      <c r="AB1738" s="9"/>
      <c r="AC1738" s="9"/>
      <c r="AD1738" s="9"/>
      <c r="AE1738" s="9"/>
      <c r="AF1738" s="9"/>
      <c r="AG1738" s="9"/>
      <c r="AH1738" s="9"/>
      <c r="AI1738" s="9"/>
      <c r="AJ1738" s="9"/>
      <c r="AK1738" s="9"/>
      <c r="AL1738" s="9"/>
      <c r="AM1738" s="69"/>
      <c r="AN1738" s="9"/>
      <c r="AO1738" s="69" t="s">
        <v>612</v>
      </c>
      <c r="AP1738" s="210"/>
      <c r="AQ1738" s="211"/>
      <c r="AR1738" s="211"/>
      <c r="AS1738" s="211"/>
      <c r="AT1738" s="211"/>
      <c r="AU1738" s="211"/>
      <c r="AV1738" s="211"/>
      <c r="AW1738" s="9"/>
      <c r="AX1738" s="9"/>
      <c r="AY1738" s="9"/>
      <c r="AZ1738" s="9"/>
      <c r="BA1738" s="120"/>
      <c r="BB1738" s="69"/>
      <c r="BC1738" s="9"/>
      <c r="BD1738" s="9"/>
      <c r="BE1738" s="9"/>
      <c r="BF1738" s="9"/>
      <c r="BG1738" s="9"/>
      <c r="BH1738" s="9"/>
      <c r="BI1738" s="9"/>
      <c r="BJ1738" s="9"/>
      <c r="BK1738" s="9"/>
      <c r="BL1738" s="9"/>
      <c r="BM1738" s="9"/>
      <c r="BN1738" s="9"/>
      <c r="BO1738" s="9"/>
      <c r="BP1738" s="9"/>
      <c r="BQ1738" s="9"/>
      <c r="BR1738" s="9"/>
      <c r="BS1738" s="9"/>
      <c r="BT1738" s="9"/>
      <c r="BU1738" s="9"/>
      <c r="BV1738" s="9"/>
      <c r="BW1738" s="9"/>
      <c r="BX1738" s="9"/>
      <c r="BY1738" s="9"/>
      <c r="BZ1738" s="9"/>
      <c r="CA1738" s="9"/>
      <c r="CB1738" s="9"/>
      <c r="CC1738" s="9"/>
      <c r="CD1738" s="9"/>
      <c r="CE1738" s="9"/>
      <c r="CF1738" s="9"/>
      <c r="CG1738" s="9"/>
      <c r="CH1738" s="9"/>
      <c r="CI1738" s="9"/>
      <c r="CJ1738" s="9"/>
      <c r="CK1738" s="9"/>
      <c r="CL1738" s="9"/>
      <c r="CM1738" s="9"/>
      <c r="CN1738" s="9"/>
      <c r="CO1738" s="9"/>
      <c r="CP1738" s="9"/>
    </row>
    <row r="1739" spans="1:94" ht="30" x14ac:dyDescent="0.25">
      <c r="A1739" s="9" t="s">
        <v>4767</v>
      </c>
      <c r="B1739" s="9" t="s">
        <v>4768</v>
      </c>
      <c r="C1739" s="9"/>
      <c r="D1739" s="9"/>
      <c r="E1739" s="9"/>
      <c r="F1739" s="9"/>
      <c r="G1739" s="9"/>
      <c r="H1739" s="9"/>
      <c r="I1739" s="9"/>
      <c r="J1739" s="9"/>
      <c r="K1739" s="9"/>
      <c r="L1739" s="9"/>
      <c r="M1739" s="9"/>
      <c r="N1739" s="9"/>
      <c r="O1739" s="9"/>
      <c r="P1739" s="9"/>
      <c r="Q1739" s="9"/>
      <c r="R1739" s="9"/>
      <c r="S1739" s="9"/>
      <c r="T1739" s="9"/>
      <c r="U1739" s="9"/>
      <c r="V1739" s="9"/>
      <c r="W1739" s="9"/>
      <c r="X1739" s="9"/>
      <c r="Y1739" s="9"/>
      <c r="Z1739" s="9"/>
      <c r="AA1739" s="9"/>
      <c r="AB1739" s="9"/>
      <c r="AC1739" s="9"/>
      <c r="AD1739" s="9"/>
      <c r="AE1739" s="9"/>
      <c r="AF1739" s="9"/>
      <c r="AG1739" s="9"/>
      <c r="AH1739" s="9"/>
      <c r="AI1739" s="9"/>
      <c r="AJ1739" s="9"/>
      <c r="AK1739" s="9"/>
      <c r="AL1739" s="9"/>
      <c r="AM1739" s="69"/>
      <c r="AN1739" s="9"/>
      <c r="AO1739" s="69" t="s">
        <v>612</v>
      </c>
      <c r="AP1739" s="210"/>
      <c r="AQ1739" s="211"/>
      <c r="AR1739" s="211"/>
      <c r="AS1739" s="211"/>
      <c r="AT1739" s="211"/>
      <c r="AU1739" s="211"/>
      <c r="AV1739" s="211"/>
      <c r="AW1739" s="9"/>
      <c r="AX1739" s="9"/>
      <c r="AY1739" s="9"/>
      <c r="AZ1739" s="9"/>
      <c r="BA1739" s="120"/>
      <c r="BB1739" s="69"/>
      <c r="BC1739" s="9"/>
      <c r="BD1739" s="9"/>
      <c r="BE1739" s="9"/>
      <c r="BF1739" s="9"/>
      <c r="BG1739" s="9"/>
      <c r="BH1739" s="9"/>
      <c r="BI1739" s="9"/>
      <c r="BJ1739" s="9"/>
      <c r="BK1739" s="9"/>
      <c r="BL1739" s="9"/>
      <c r="BM1739" s="9"/>
      <c r="BN1739" s="9"/>
      <c r="BO1739" s="9"/>
      <c r="BP1739" s="9"/>
      <c r="BQ1739" s="9"/>
      <c r="BR1739" s="9"/>
      <c r="BS1739" s="9"/>
      <c r="BT1739" s="9"/>
      <c r="BU1739" s="9"/>
      <c r="BV1739" s="9"/>
      <c r="BW1739" s="9"/>
      <c r="BX1739" s="9"/>
      <c r="BY1739" s="9"/>
      <c r="BZ1739" s="9"/>
      <c r="CA1739" s="9"/>
      <c r="CB1739" s="9"/>
      <c r="CC1739" s="9"/>
      <c r="CD1739" s="9"/>
      <c r="CE1739" s="9"/>
      <c r="CF1739" s="9"/>
      <c r="CG1739" s="9"/>
      <c r="CH1739" s="9"/>
      <c r="CI1739" s="9"/>
      <c r="CJ1739" s="9"/>
      <c r="CK1739" s="9"/>
      <c r="CL1739" s="9"/>
      <c r="CM1739" s="9"/>
      <c r="CN1739" s="9"/>
      <c r="CO1739" s="9"/>
      <c r="CP1739" s="9"/>
    </row>
    <row r="1740" spans="1:94" ht="30" x14ac:dyDescent="0.25">
      <c r="A1740" s="126" t="s">
        <v>4769</v>
      </c>
      <c r="B1740" s="9" t="s">
        <v>4770</v>
      </c>
      <c r="C1740" s="9"/>
      <c r="D1740" s="9"/>
      <c r="E1740" s="9"/>
      <c r="F1740" s="9"/>
      <c r="G1740" s="9"/>
      <c r="H1740" s="9"/>
      <c r="I1740" s="9"/>
      <c r="J1740" s="9"/>
      <c r="K1740" s="9"/>
      <c r="L1740" s="9"/>
      <c r="M1740" s="9"/>
      <c r="N1740" s="9"/>
      <c r="O1740" s="9"/>
      <c r="P1740" s="9"/>
      <c r="Q1740" s="9"/>
      <c r="R1740" s="9"/>
      <c r="S1740" s="9"/>
      <c r="T1740" s="9"/>
      <c r="U1740" s="9"/>
      <c r="V1740" s="9"/>
      <c r="W1740" s="9"/>
      <c r="X1740" s="9"/>
      <c r="Y1740" s="9"/>
      <c r="Z1740" s="9"/>
      <c r="AA1740" s="9"/>
      <c r="AB1740" s="9"/>
      <c r="AC1740" s="9"/>
      <c r="AD1740" s="9"/>
      <c r="AE1740" s="9"/>
      <c r="AF1740" s="9"/>
      <c r="AG1740" s="9"/>
      <c r="AH1740" s="9"/>
      <c r="AI1740" s="9"/>
      <c r="AJ1740" s="9"/>
      <c r="AK1740" s="9"/>
      <c r="AL1740" s="9"/>
      <c r="AM1740" s="69"/>
      <c r="AN1740" s="9"/>
      <c r="AO1740" s="69" t="s">
        <v>4643</v>
      </c>
      <c r="AP1740" s="210"/>
      <c r="AQ1740" s="211"/>
      <c r="AR1740" s="211"/>
      <c r="AS1740" s="211"/>
      <c r="AT1740" s="211"/>
      <c r="AU1740" s="211"/>
      <c r="AV1740" s="211"/>
      <c r="AW1740" s="9"/>
      <c r="AX1740" s="9"/>
      <c r="AY1740" s="9"/>
      <c r="AZ1740" s="9"/>
      <c r="BA1740" s="120"/>
      <c r="BB1740" s="69"/>
      <c r="BC1740" s="9"/>
      <c r="BD1740" s="9"/>
      <c r="BE1740" s="9"/>
      <c r="BF1740" s="9"/>
      <c r="BG1740" s="9"/>
      <c r="BH1740" s="9"/>
      <c r="BI1740" s="9"/>
      <c r="BJ1740" s="9"/>
      <c r="BK1740" s="9"/>
      <c r="BL1740" s="9"/>
      <c r="BM1740" s="9"/>
      <c r="BN1740" s="9"/>
      <c r="BO1740" s="9"/>
      <c r="BP1740" s="9"/>
      <c r="BQ1740" s="9"/>
      <c r="BR1740" s="9"/>
      <c r="BS1740" s="9"/>
      <c r="BT1740" s="9"/>
      <c r="BU1740" s="9"/>
      <c r="BV1740" s="9"/>
      <c r="BW1740" s="9"/>
      <c r="BX1740" s="9"/>
      <c r="BY1740" s="9"/>
      <c r="BZ1740" s="9"/>
      <c r="CA1740" s="9"/>
      <c r="CB1740" s="9"/>
      <c r="CC1740" s="9"/>
      <c r="CD1740" s="9"/>
      <c r="CE1740" s="9"/>
      <c r="CF1740" s="9"/>
      <c r="CG1740" s="9"/>
      <c r="CH1740" s="9"/>
      <c r="CI1740" s="9"/>
      <c r="CJ1740" s="9"/>
      <c r="CK1740" s="9"/>
      <c r="CL1740" s="9"/>
      <c r="CM1740" s="9"/>
      <c r="CN1740" s="9"/>
      <c r="CO1740" s="9"/>
      <c r="CP1740" s="9"/>
    </row>
    <row r="1741" spans="1:94" ht="30" x14ac:dyDescent="0.25">
      <c r="A1741" s="9" t="s">
        <v>4771</v>
      </c>
      <c r="B1741" s="9" t="s">
        <v>4752</v>
      </c>
      <c r="C1741" s="9"/>
      <c r="D1741" s="9"/>
      <c r="E1741" s="9"/>
      <c r="F1741" s="9"/>
      <c r="G1741" s="9"/>
      <c r="H1741" s="9"/>
      <c r="I1741" s="9"/>
      <c r="J1741" s="9"/>
      <c r="K1741" s="9"/>
      <c r="L1741" s="9"/>
      <c r="M1741" s="9"/>
      <c r="N1741" s="9"/>
      <c r="O1741" s="9"/>
      <c r="P1741" s="9"/>
      <c r="Q1741" s="9"/>
      <c r="R1741" s="9"/>
      <c r="S1741" s="9"/>
      <c r="T1741" s="9"/>
      <c r="U1741" s="9"/>
      <c r="V1741" s="9"/>
      <c r="W1741" s="9"/>
      <c r="X1741" s="9"/>
      <c r="Y1741" s="9"/>
      <c r="Z1741" s="9"/>
      <c r="AA1741" s="9"/>
      <c r="AB1741" s="9"/>
      <c r="AC1741" s="9"/>
      <c r="AD1741" s="9"/>
      <c r="AE1741" s="9"/>
      <c r="AF1741" s="9"/>
      <c r="AG1741" s="9"/>
      <c r="AH1741" s="9"/>
      <c r="AI1741" s="9"/>
      <c r="AJ1741" s="9"/>
      <c r="AK1741" s="9"/>
      <c r="AL1741" s="9"/>
      <c r="AM1741" s="69"/>
      <c r="AN1741" s="9"/>
      <c r="AO1741" s="69" t="s">
        <v>612</v>
      </c>
      <c r="AP1741" s="210"/>
      <c r="AQ1741" s="211"/>
      <c r="AR1741" s="211"/>
      <c r="AS1741" s="211"/>
      <c r="AT1741" s="211"/>
      <c r="AU1741" s="211"/>
      <c r="AV1741" s="211"/>
      <c r="AW1741" s="9"/>
      <c r="AX1741" s="9"/>
      <c r="AY1741" s="9"/>
      <c r="AZ1741" s="9"/>
      <c r="BA1741" s="120"/>
      <c r="BB1741" s="69"/>
      <c r="BC1741" s="9"/>
      <c r="BD1741" s="9"/>
      <c r="BE1741" s="9"/>
      <c r="BF1741" s="9"/>
      <c r="BG1741" s="9"/>
      <c r="BH1741" s="9"/>
      <c r="BI1741" s="9"/>
      <c r="BJ1741" s="9"/>
      <c r="BK1741" s="9"/>
      <c r="BL1741" s="9"/>
      <c r="BM1741" s="9"/>
      <c r="BN1741" s="9"/>
      <c r="BO1741" s="9"/>
      <c r="BP1741" s="9"/>
      <c r="BQ1741" s="9"/>
      <c r="BR1741" s="9"/>
      <c r="BS1741" s="9"/>
      <c r="BT1741" s="9"/>
      <c r="BU1741" s="9"/>
      <c r="BV1741" s="9"/>
      <c r="BW1741" s="9"/>
      <c r="BX1741" s="9"/>
      <c r="BY1741" s="9"/>
      <c r="BZ1741" s="9"/>
      <c r="CA1741" s="9"/>
      <c r="CB1741" s="9"/>
      <c r="CC1741" s="9"/>
      <c r="CD1741" s="9"/>
      <c r="CE1741" s="9"/>
      <c r="CF1741" s="9"/>
      <c r="CG1741" s="9"/>
      <c r="CH1741" s="9"/>
      <c r="CI1741" s="9"/>
      <c r="CJ1741" s="9"/>
      <c r="CK1741" s="9"/>
      <c r="CL1741" s="9"/>
      <c r="CM1741" s="9"/>
      <c r="CN1741" s="9"/>
      <c r="CO1741" s="9"/>
      <c r="CP1741" s="9"/>
    </row>
    <row r="1742" spans="1:94" ht="30" x14ac:dyDescent="0.25">
      <c r="A1742" s="9" t="s">
        <v>4772</v>
      </c>
      <c r="B1742" s="9" t="s">
        <v>4773</v>
      </c>
      <c r="C1742" s="9"/>
      <c r="D1742" s="9"/>
      <c r="E1742" s="9"/>
      <c r="F1742" s="9"/>
      <c r="G1742" s="9"/>
      <c r="H1742" s="9"/>
      <c r="I1742" s="9"/>
      <c r="J1742" s="9"/>
      <c r="K1742" s="9"/>
      <c r="L1742" s="9"/>
      <c r="M1742" s="9"/>
      <c r="N1742" s="9"/>
      <c r="O1742" s="9"/>
      <c r="P1742" s="9"/>
      <c r="Q1742" s="9"/>
      <c r="R1742" s="9"/>
      <c r="S1742" s="9"/>
      <c r="T1742" s="9"/>
      <c r="U1742" s="9"/>
      <c r="V1742" s="9"/>
      <c r="W1742" s="9"/>
      <c r="X1742" s="9"/>
      <c r="Y1742" s="9"/>
      <c r="Z1742" s="9"/>
      <c r="AA1742" s="9"/>
      <c r="AB1742" s="9"/>
      <c r="AC1742" s="9"/>
      <c r="AD1742" s="9"/>
      <c r="AE1742" s="9"/>
      <c r="AF1742" s="9"/>
      <c r="AG1742" s="9"/>
      <c r="AH1742" s="9"/>
      <c r="AI1742" s="9"/>
      <c r="AJ1742" s="9"/>
      <c r="AK1742" s="9"/>
      <c r="AL1742" s="9"/>
      <c r="AM1742" s="69"/>
      <c r="AN1742" s="9"/>
      <c r="AO1742" s="69" t="s">
        <v>612</v>
      </c>
      <c r="AP1742" s="210"/>
      <c r="AQ1742" s="211"/>
      <c r="AR1742" s="211"/>
      <c r="AS1742" s="211"/>
      <c r="AT1742" s="211"/>
      <c r="AU1742" s="211"/>
      <c r="AV1742" s="211"/>
      <c r="AW1742" s="9"/>
      <c r="AX1742" s="9"/>
      <c r="AY1742" s="9"/>
      <c r="AZ1742" s="9"/>
      <c r="BA1742" s="120"/>
      <c r="BB1742" s="69"/>
      <c r="BC1742" s="9"/>
      <c r="BD1742" s="9"/>
      <c r="BE1742" s="9"/>
      <c r="BF1742" s="9"/>
      <c r="BG1742" s="9"/>
      <c r="BH1742" s="9"/>
      <c r="BI1742" s="9"/>
      <c r="BJ1742" s="9"/>
      <c r="BK1742" s="9"/>
      <c r="BL1742" s="9"/>
      <c r="BM1742" s="9"/>
      <c r="BN1742" s="9"/>
      <c r="BO1742" s="9"/>
      <c r="BP1742" s="9"/>
      <c r="BQ1742" s="9"/>
      <c r="BR1742" s="9"/>
      <c r="BS1742" s="9"/>
      <c r="BT1742" s="9"/>
      <c r="BU1742" s="9"/>
      <c r="BV1742" s="9"/>
      <c r="BW1742" s="9"/>
      <c r="BX1742" s="9"/>
      <c r="BY1742" s="9"/>
      <c r="BZ1742" s="9"/>
      <c r="CA1742" s="9"/>
      <c r="CB1742" s="9"/>
      <c r="CC1742" s="9"/>
      <c r="CD1742" s="9"/>
      <c r="CE1742" s="9"/>
      <c r="CF1742" s="9"/>
      <c r="CG1742" s="9"/>
      <c r="CH1742" s="9"/>
      <c r="CI1742" s="9"/>
      <c r="CJ1742" s="9"/>
      <c r="CK1742" s="9"/>
      <c r="CL1742" s="9"/>
      <c r="CM1742" s="9"/>
      <c r="CN1742" s="9"/>
      <c r="CO1742" s="9"/>
      <c r="CP1742" s="9"/>
    </row>
    <row r="1743" spans="1:94" ht="30" x14ac:dyDescent="0.25">
      <c r="A1743" s="126" t="s">
        <v>4774</v>
      </c>
      <c r="B1743" s="9" t="s">
        <v>4775</v>
      </c>
      <c r="C1743" s="9"/>
      <c r="D1743" s="9"/>
      <c r="E1743" s="9"/>
      <c r="F1743" s="9"/>
      <c r="G1743" s="9"/>
      <c r="H1743" s="9"/>
      <c r="I1743" s="9"/>
      <c r="J1743" s="9"/>
      <c r="K1743" s="9"/>
      <c r="L1743" s="9"/>
      <c r="M1743" s="9"/>
      <c r="N1743" s="9"/>
      <c r="O1743" s="9"/>
      <c r="P1743" s="9"/>
      <c r="Q1743" s="9"/>
      <c r="R1743" s="9"/>
      <c r="S1743" s="9"/>
      <c r="T1743" s="9"/>
      <c r="U1743" s="9"/>
      <c r="V1743" s="9"/>
      <c r="W1743" s="9"/>
      <c r="X1743" s="9"/>
      <c r="Y1743" s="9"/>
      <c r="Z1743" s="9"/>
      <c r="AA1743" s="9"/>
      <c r="AB1743" s="9"/>
      <c r="AC1743" s="9"/>
      <c r="AD1743" s="9"/>
      <c r="AE1743" s="9"/>
      <c r="AF1743" s="9"/>
      <c r="AG1743" s="9"/>
      <c r="AH1743" s="9"/>
      <c r="AI1743" s="9"/>
      <c r="AJ1743" s="9"/>
      <c r="AK1743" s="9"/>
      <c r="AL1743" s="9"/>
      <c r="AM1743" s="69"/>
      <c r="AN1743" s="9"/>
      <c r="AO1743" s="69" t="s">
        <v>612</v>
      </c>
      <c r="AP1743" s="210"/>
      <c r="AQ1743" s="211"/>
      <c r="AR1743" s="211"/>
      <c r="AS1743" s="211"/>
      <c r="AT1743" s="211"/>
      <c r="AU1743" s="211"/>
      <c r="AV1743" s="211"/>
      <c r="AW1743" s="9"/>
      <c r="AX1743" s="9"/>
      <c r="AY1743" s="9"/>
      <c r="AZ1743" s="9"/>
      <c r="BA1743" s="120"/>
      <c r="BB1743" s="69"/>
      <c r="BC1743" s="9"/>
      <c r="BD1743" s="9"/>
      <c r="BE1743" s="9"/>
      <c r="BF1743" s="9"/>
      <c r="BG1743" s="9"/>
      <c r="BH1743" s="9"/>
      <c r="BI1743" s="9"/>
      <c r="BJ1743" s="9"/>
      <c r="BK1743" s="9"/>
      <c r="BL1743" s="9"/>
      <c r="BM1743" s="9"/>
      <c r="BN1743" s="9"/>
      <c r="BO1743" s="9"/>
      <c r="BP1743" s="9"/>
      <c r="BQ1743" s="9"/>
      <c r="BR1743" s="9"/>
      <c r="BS1743" s="9"/>
      <c r="BT1743" s="9"/>
      <c r="BU1743" s="9"/>
      <c r="BV1743" s="9"/>
      <c r="BW1743" s="9"/>
      <c r="BX1743" s="9"/>
      <c r="BY1743" s="9"/>
      <c r="BZ1743" s="9"/>
      <c r="CA1743" s="9"/>
      <c r="CB1743" s="9"/>
      <c r="CC1743" s="9"/>
      <c r="CD1743" s="9"/>
      <c r="CE1743" s="9"/>
      <c r="CF1743" s="9"/>
      <c r="CG1743" s="9"/>
      <c r="CH1743" s="9"/>
      <c r="CI1743" s="9"/>
      <c r="CJ1743" s="9"/>
      <c r="CK1743" s="9"/>
      <c r="CL1743" s="9"/>
      <c r="CM1743" s="9"/>
      <c r="CN1743" s="9"/>
      <c r="CO1743" s="9"/>
      <c r="CP1743" s="9"/>
    </row>
    <row r="1744" spans="1:94" ht="30" x14ac:dyDescent="0.25">
      <c r="A1744" s="126" t="s">
        <v>4776</v>
      </c>
      <c r="B1744" s="9" t="s">
        <v>4777</v>
      </c>
      <c r="C1744" s="9"/>
      <c r="D1744" s="9"/>
      <c r="E1744" s="9"/>
      <c r="F1744" s="9"/>
      <c r="G1744" s="9"/>
      <c r="H1744" s="9"/>
      <c r="I1744" s="9"/>
      <c r="J1744" s="9"/>
      <c r="K1744" s="9"/>
      <c r="L1744" s="9"/>
      <c r="M1744" s="9"/>
      <c r="N1744" s="9"/>
      <c r="O1744" s="9"/>
      <c r="P1744" s="9"/>
      <c r="Q1744" s="9"/>
      <c r="R1744" s="9"/>
      <c r="S1744" s="9"/>
      <c r="T1744" s="9"/>
      <c r="U1744" s="9"/>
      <c r="V1744" s="9"/>
      <c r="W1744" s="9"/>
      <c r="X1744" s="9"/>
      <c r="Y1744" s="9"/>
      <c r="Z1744" s="9"/>
      <c r="AA1744" s="9"/>
      <c r="AB1744" s="9"/>
      <c r="AC1744" s="9"/>
      <c r="AD1744" s="9"/>
      <c r="AE1744" s="9"/>
      <c r="AF1744" s="9"/>
      <c r="AG1744" s="9"/>
      <c r="AH1744" s="9"/>
      <c r="AI1744" s="9"/>
      <c r="AJ1744" s="9"/>
      <c r="AK1744" s="9"/>
      <c r="AL1744" s="9"/>
      <c r="AM1744" s="69"/>
      <c r="AN1744" s="9"/>
      <c r="AO1744" s="69" t="s">
        <v>612</v>
      </c>
      <c r="AP1744" s="210"/>
      <c r="AQ1744" s="211"/>
      <c r="AR1744" s="211"/>
      <c r="AS1744" s="211"/>
      <c r="AT1744" s="211"/>
      <c r="AU1744" s="211"/>
      <c r="AV1744" s="211"/>
      <c r="AW1744" s="9"/>
      <c r="AX1744" s="9"/>
      <c r="AY1744" s="9"/>
      <c r="AZ1744" s="9"/>
      <c r="BA1744" s="120"/>
      <c r="BB1744" s="69"/>
      <c r="BC1744" s="9"/>
      <c r="BD1744" s="9"/>
      <c r="BE1744" s="9"/>
      <c r="BF1744" s="9"/>
      <c r="BG1744" s="9"/>
      <c r="BH1744" s="9"/>
      <c r="BI1744" s="9"/>
      <c r="BJ1744" s="9"/>
      <c r="BK1744" s="9"/>
      <c r="BL1744" s="9"/>
      <c r="BM1744" s="9"/>
      <c r="BN1744" s="9"/>
      <c r="BO1744" s="9"/>
      <c r="BP1744" s="9"/>
      <c r="BQ1744" s="9"/>
      <c r="BR1744" s="9"/>
      <c r="BS1744" s="9"/>
      <c r="BT1744" s="9"/>
      <c r="BU1744" s="9"/>
      <c r="BV1744" s="9"/>
      <c r="BW1744" s="9"/>
      <c r="BX1744" s="9"/>
      <c r="BY1744" s="9"/>
      <c r="BZ1744" s="9"/>
      <c r="CA1744" s="9"/>
      <c r="CB1744" s="9"/>
      <c r="CC1744" s="9"/>
      <c r="CD1744" s="9"/>
      <c r="CE1744" s="9"/>
      <c r="CF1744" s="9"/>
      <c r="CG1744" s="9"/>
      <c r="CH1744" s="9"/>
      <c r="CI1744" s="9"/>
      <c r="CJ1744" s="9"/>
      <c r="CK1744" s="9"/>
      <c r="CL1744" s="9"/>
      <c r="CM1744" s="9"/>
      <c r="CN1744" s="9"/>
      <c r="CO1744" s="9"/>
      <c r="CP1744" s="9"/>
    </row>
    <row r="1745" spans="1:94" ht="30" x14ac:dyDescent="0.25">
      <c r="A1745" s="126" t="s">
        <v>4778</v>
      </c>
      <c r="B1745" s="9" t="s">
        <v>4779</v>
      </c>
      <c r="C1745" s="9"/>
      <c r="D1745" s="9"/>
      <c r="E1745" s="9"/>
      <c r="F1745" s="9"/>
      <c r="G1745" s="9"/>
      <c r="H1745" s="9"/>
      <c r="I1745" s="9"/>
      <c r="J1745" s="9"/>
      <c r="K1745" s="9"/>
      <c r="L1745" s="9"/>
      <c r="M1745" s="9"/>
      <c r="N1745" s="9"/>
      <c r="O1745" s="9"/>
      <c r="P1745" s="9"/>
      <c r="Q1745" s="9"/>
      <c r="R1745" s="9"/>
      <c r="S1745" s="9"/>
      <c r="T1745" s="9"/>
      <c r="U1745" s="9"/>
      <c r="V1745" s="9"/>
      <c r="W1745" s="9"/>
      <c r="X1745" s="9"/>
      <c r="Y1745" s="9"/>
      <c r="Z1745" s="9"/>
      <c r="AA1745" s="9"/>
      <c r="AB1745" s="9"/>
      <c r="AC1745" s="9"/>
      <c r="AD1745" s="9"/>
      <c r="AE1745" s="9"/>
      <c r="AF1745" s="9"/>
      <c r="AG1745" s="9"/>
      <c r="AH1745" s="9"/>
      <c r="AI1745" s="9"/>
      <c r="AJ1745" s="9"/>
      <c r="AK1745" s="9"/>
      <c r="AL1745" s="9"/>
      <c r="AM1745" s="69"/>
      <c r="AN1745" s="9"/>
      <c r="AO1745" s="69" t="s">
        <v>612</v>
      </c>
      <c r="AP1745" s="210"/>
      <c r="AQ1745" s="211"/>
      <c r="AR1745" s="211"/>
      <c r="AS1745" s="211"/>
      <c r="AT1745" s="211"/>
      <c r="AU1745" s="211"/>
      <c r="AV1745" s="211"/>
      <c r="AW1745" s="9"/>
      <c r="AX1745" s="9"/>
      <c r="AY1745" s="9"/>
      <c r="AZ1745" s="9"/>
      <c r="BA1745" s="120"/>
      <c r="BB1745" s="69"/>
      <c r="BC1745" s="9"/>
      <c r="BD1745" s="9"/>
      <c r="BE1745" s="9"/>
      <c r="BF1745" s="9"/>
      <c r="BG1745" s="9"/>
      <c r="BH1745" s="9"/>
      <c r="BI1745" s="9"/>
      <c r="BJ1745" s="9"/>
      <c r="BK1745" s="9"/>
      <c r="BL1745" s="9"/>
      <c r="BM1745" s="9"/>
      <c r="BN1745" s="9"/>
      <c r="BO1745" s="9"/>
      <c r="BP1745" s="9"/>
      <c r="BQ1745" s="9"/>
      <c r="BR1745" s="9"/>
      <c r="BS1745" s="9"/>
      <c r="BT1745" s="9"/>
      <c r="BU1745" s="9"/>
      <c r="BV1745" s="9"/>
      <c r="BW1745" s="9"/>
      <c r="BX1745" s="9"/>
      <c r="BY1745" s="9"/>
      <c r="BZ1745" s="9"/>
      <c r="CA1745" s="9"/>
      <c r="CB1745" s="9"/>
      <c r="CC1745" s="9"/>
      <c r="CD1745" s="9"/>
      <c r="CE1745" s="9"/>
      <c r="CF1745" s="9"/>
      <c r="CG1745" s="9"/>
      <c r="CH1745" s="9"/>
      <c r="CI1745" s="9"/>
      <c r="CJ1745" s="9"/>
      <c r="CK1745" s="9"/>
      <c r="CL1745" s="9"/>
      <c r="CM1745" s="9"/>
      <c r="CN1745" s="9"/>
      <c r="CO1745" s="9"/>
      <c r="CP1745" s="9"/>
    </row>
    <row r="1746" spans="1:94" ht="30" x14ac:dyDescent="0.25">
      <c r="A1746" s="126" t="s">
        <v>4780</v>
      </c>
      <c r="B1746" s="9" t="s">
        <v>4781</v>
      </c>
      <c r="C1746" s="9"/>
      <c r="D1746" s="9"/>
      <c r="E1746" s="9"/>
      <c r="F1746" s="9"/>
      <c r="G1746" s="9"/>
      <c r="H1746" s="9"/>
      <c r="I1746" s="9"/>
      <c r="J1746" s="9"/>
      <c r="K1746" s="9"/>
      <c r="L1746" s="9"/>
      <c r="M1746" s="9"/>
      <c r="N1746" s="9"/>
      <c r="O1746" s="9"/>
      <c r="P1746" s="9"/>
      <c r="Q1746" s="9"/>
      <c r="R1746" s="9"/>
      <c r="S1746" s="9"/>
      <c r="T1746" s="9"/>
      <c r="U1746" s="9"/>
      <c r="V1746" s="9"/>
      <c r="W1746" s="9"/>
      <c r="X1746" s="9"/>
      <c r="Y1746" s="9"/>
      <c r="Z1746" s="9"/>
      <c r="AA1746" s="9"/>
      <c r="AB1746" s="9"/>
      <c r="AC1746" s="9"/>
      <c r="AD1746" s="9"/>
      <c r="AE1746" s="9"/>
      <c r="AF1746" s="9"/>
      <c r="AG1746" s="9"/>
      <c r="AH1746" s="9"/>
      <c r="AI1746" s="9"/>
      <c r="AJ1746" s="9"/>
      <c r="AK1746" s="9"/>
      <c r="AL1746" s="9"/>
      <c r="AM1746" s="69"/>
      <c r="AN1746" s="9"/>
      <c r="AO1746" s="69" t="s">
        <v>612</v>
      </c>
      <c r="AP1746" s="210"/>
      <c r="AQ1746" s="211"/>
      <c r="AR1746" s="211"/>
      <c r="AS1746" s="211"/>
      <c r="AT1746" s="211"/>
      <c r="AU1746" s="211"/>
      <c r="AV1746" s="211"/>
      <c r="AW1746" s="9"/>
      <c r="AX1746" s="9"/>
      <c r="AY1746" s="9"/>
      <c r="AZ1746" s="9"/>
      <c r="BA1746" s="120"/>
      <c r="BB1746" s="69"/>
      <c r="BC1746" s="9"/>
      <c r="BD1746" s="9"/>
      <c r="BE1746" s="9"/>
      <c r="BF1746" s="9"/>
      <c r="BG1746" s="9"/>
      <c r="BH1746" s="9"/>
      <c r="BI1746" s="9"/>
      <c r="BJ1746" s="9"/>
      <c r="BK1746" s="9"/>
      <c r="BL1746" s="9"/>
      <c r="BM1746" s="9"/>
      <c r="BN1746" s="9"/>
      <c r="BO1746" s="9"/>
      <c r="BP1746" s="9"/>
      <c r="BQ1746" s="9"/>
      <c r="BR1746" s="9"/>
      <c r="BS1746" s="9"/>
      <c r="BT1746" s="9"/>
      <c r="BU1746" s="9"/>
      <c r="BV1746" s="9"/>
      <c r="BW1746" s="9"/>
      <c r="BX1746" s="9"/>
      <c r="BY1746" s="9"/>
      <c r="BZ1746" s="9"/>
      <c r="CA1746" s="9"/>
      <c r="CB1746" s="9"/>
      <c r="CC1746" s="9"/>
      <c r="CD1746" s="9"/>
      <c r="CE1746" s="9"/>
      <c r="CF1746" s="9"/>
      <c r="CG1746" s="9"/>
      <c r="CH1746" s="9"/>
      <c r="CI1746" s="9"/>
      <c r="CJ1746" s="9"/>
      <c r="CK1746" s="9"/>
      <c r="CL1746" s="9"/>
      <c r="CM1746" s="9"/>
      <c r="CN1746" s="9"/>
      <c r="CO1746" s="9"/>
      <c r="CP1746" s="9"/>
    </row>
    <row r="1747" spans="1:94" ht="15.75" x14ac:dyDescent="0.25">
      <c r="A1747" s="270" t="s">
        <v>4782</v>
      </c>
      <c r="B1747" s="9" t="s">
        <v>4783</v>
      </c>
      <c r="C1747" s="9"/>
      <c r="D1747" s="9"/>
      <c r="E1747" s="9"/>
      <c r="F1747" s="9"/>
      <c r="G1747" s="9"/>
      <c r="H1747" s="9"/>
      <c r="I1747" s="9"/>
      <c r="J1747" s="9"/>
      <c r="K1747" s="9"/>
      <c r="L1747" s="9"/>
      <c r="M1747" s="9"/>
      <c r="N1747" s="9"/>
      <c r="O1747" s="9"/>
      <c r="P1747" s="9"/>
      <c r="Q1747" s="9"/>
      <c r="R1747" s="9"/>
      <c r="S1747" s="9"/>
      <c r="T1747" s="9"/>
      <c r="U1747" s="9"/>
      <c r="V1747" s="9"/>
      <c r="W1747" s="9"/>
      <c r="X1747" s="9"/>
      <c r="Y1747" s="9"/>
      <c r="Z1747" s="9"/>
      <c r="AA1747" s="9"/>
      <c r="AB1747" s="9"/>
      <c r="AC1747" s="9"/>
      <c r="AD1747" s="9"/>
      <c r="AE1747" s="9"/>
      <c r="AF1747" s="9"/>
      <c r="AG1747" s="9"/>
      <c r="AH1747" s="9"/>
      <c r="AI1747" s="9"/>
      <c r="AJ1747" s="9"/>
      <c r="AK1747" s="9"/>
      <c r="AL1747" s="9"/>
      <c r="AM1747" s="69"/>
      <c r="AN1747" s="9"/>
      <c r="AO1747" s="69" t="s">
        <v>4434</v>
      </c>
      <c r="AP1747" s="210"/>
      <c r="AQ1747" s="211"/>
      <c r="AR1747" s="211"/>
      <c r="AS1747" s="211"/>
      <c r="AT1747" s="211"/>
      <c r="AU1747" s="211"/>
      <c r="AV1747" s="211"/>
      <c r="AW1747" s="9"/>
      <c r="AX1747" s="9"/>
      <c r="AY1747" s="9"/>
      <c r="AZ1747" s="9"/>
      <c r="BA1747" s="120"/>
      <c r="BB1747" s="69"/>
      <c r="BC1747" s="9"/>
      <c r="BD1747" s="9"/>
      <c r="BE1747" s="9"/>
      <c r="BF1747" s="9"/>
      <c r="BG1747" s="9"/>
      <c r="BH1747" s="9"/>
      <c r="BI1747" s="9"/>
      <c r="BJ1747" s="9"/>
      <c r="BK1747" s="9"/>
      <c r="BL1747" s="9"/>
      <c r="BM1747" s="9"/>
      <c r="BN1747" s="9"/>
      <c r="BO1747" s="9"/>
      <c r="BP1747" s="9"/>
      <c r="BQ1747" s="9"/>
      <c r="BR1747" s="9"/>
      <c r="BS1747" s="9"/>
      <c r="BT1747" s="9"/>
      <c r="BU1747" s="9"/>
      <c r="BV1747" s="9"/>
      <c r="BW1747" s="9"/>
      <c r="BX1747" s="9"/>
      <c r="BY1747" s="9"/>
      <c r="BZ1747" s="9"/>
      <c r="CA1747" s="9"/>
      <c r="CB1747" s="9"/>
      <c r="CC1747" s="9"/>
      <c r="CD1747" s="9"/>
      <c r="CE1747" s="9"/>
      <c r="CF1747" s="9"/>
      <c r="CG1747" s="9"/>
      <c r="CH1747" s="9"/>
      <c r="CI1747" s="9"/>
      <c r="CJ1747" s="9"/>
      <c r="CK1747" s="9"/>
      <c r="CL1747" s="9"/>
      <c r="CM1747" s="9"/>
      <c r="CN1747" s="9"/>
      <c r="CO1747" s="9"/>
      <c r="CP1747" s="9"/>
    </row>
    <row r="1748" spans="1:94" ht="15.75" x14ac:dyDescent="0.25">
      <c r="A1748" s="126" t="s">
        <v>4784</v>
      </c>
      <c r="B1748" s="62" t="s">
        <v>4785</v>
      </c>
      <c r="C1748" s="9"/>
      <c r="D1748" s="9"/>
      <c r="E1748" s="9"/>
      <c r="F1748" s="9"/>
      <c r="G1748" s="9"/>
      <c r="H1748" s="9"/>
      <c r="I1748" s="9"/>
      <c r="J1748" s="9"/>
      <c r="K1748" s="9"/>
      <c r="L1748" s="9"/>
      <c r="M1748" s="9"/>
      <c r="N1748" s="9"/>
      <c r="O1748" s="9"/>
      <c r="P1748" s="9"/>
      <c r="Q1748" s="9"/>
      <c r="R1748" s="9"/>
      <c r="S1748" s="9"/>
      <c r="T1748" s="9"/>
      <c r="U1748" s="9"/>
      <c r="V1748" s="9"/>
      <c r="W1748" s="9"/>
      <c r="X1748" s="9"/>
      <c r="Y1748" s="9"/>
      <c r="Z1748" s="9"/>
      <c r="AA1748" s="9"/>
      <c r="AB1748" s="9"/>
      <c r="AC1748" s="9"/>
      <c r="AD1748" s="9"/>
      <c r="AE1748" s="9"/>
      <c r="AF1748" s="9"/>
      <c r="AG1748" s="9"/>
      <c r="AH1748" s="9"/>
      <c r="AI1748" s="9"/>
      <c r="AJ1748" s="9"/>
      <c r="AK1748" s="9"/>
      <c r="AL1748" s="9"/>
      <c r="AM1748" s="69"/>
      <c r="AN1748" s="9"/>
      <c r="AO1748" s="69" t="s">
        <v>1977</v>
      </c>
      <c r="AP1748" s="210"/>
      <c r="AQ1748" s="211"/>
      <c r="AR1748" s="211"/>
      <c r="AS1748" s="211"/>
      <c r="AT1748" s="211"/>
      <c r="AU1748" s="211"/>
      <c r="AV1748" s="211"/>
      <c r="AW1748" s="9"/>
      <c r="AX1748" s="9"/>
      <c r="AY1748" s="9"/>
      <c r="AZ1748" s="9"/>
      <c r="BA1748" s="120"/>
      <c r="BB1748" s="69"/>
      <c r="BC1748" s="9"/>
      <c r="BD1748" s="9"/>
      <c r="BE1748" s="9"/>
      <c r="BF1748" s="9"/>
      <c r="BG1748" s="9"/>
      <c r="BH1748" s="9"/>
      <c r="BI1748" s="9"/>
      <c r="BJ1748" s="9"/>
      <c r="BK1748" s="9"/>
      <c r="BL1748" s="9"/>
      <c r="BM1748" s="9"/>
      <c r="BN1748" s="9"/>
      <c r="BO1748" s="9"/>
      <c r="BP1748" s="9"/>
      <c r="BQ1748" s="9"/>
      <c r="BR1748" s="9"/>
      <c r="BS1748" s="9"/>
      <c r="BT1748" s="9"/>
      <c r="BU1748" s="9"/>
      <c r="BV1748" s="9"/>
      <c r="BW1748" s="9"/>
      <c r="BX1748" s="9"/>
      <c r="BY1748" s="9"/>
      <c r="BZ1748" s="9"/>
      <c r="CA1748" s="9"/>
      <c r="CB1748" s="9"/>
      <c r="CC1748" s="9"/>
      <c r="CD1748" s="9"/>
      <c r="CE1748" s="9"/>
      <c r="CF1748" s="9"/>
      <c r="CG1748" s="9"/>
      <c r="CH1748" s="9"/>
      <c r="CI1748" s="9"/>
      <c r="CJ1748" s="9"/>
      <c r="CK1748" s="9"/>
      <c r="CL1748" s="9"/>
      <c r="CM1748" s="9"/>
      <c r="CN1748" s="9"/>
      <c r="CO1748" s="9"/>
      <c r="CP1748" s="9"/>
    </row>
    <row r="1749" spans="1:94" ht="15.75" x14ac:dyDescent="0.25">
      <c r="A1749" s="126" t="s">
        <v>4786</v>
      </c>
      <c r="B1749" s="62" t="s">
        <v>4787</v>
      </c>
      <c r="C1749" s="9"/>
      <c r="D1749" s="9"/>
      <c r="E1749" s="9"/>
      <c r="F1749" s="9"/>
      <c r="G1749" s="9"/>
      <c r="H1749" s="9"/>
      <c r="I1749" s="9"/>
      <c r="J1749" s="9"/>
      <c r="K1749" s="9"/>
      <c r="L1749" s="9"/>
      <c r="M1749" s="9"/>
      <c r="N1749" s="9"/>
      <c r="O1749" s="9"/>
      <c r="P1749" s="9"/>
      <c r="Q1749" s="9"/>
      <c r="R1749" s="9"/>
      <c r="S1749" s="9"/>
      <c r="T1749" s="9"/>
      <c r="U1749" s="9"/>
      <c r="V1749" s="9"/>
      <c r="W1749" s="9"/>
      <c r="X1749" s="9"/>
      <c r="Y1749" s="9"/>
      <c r="Z1749" s="9"/>
      <c r="AA1749" s="9"/>
      <c r="AB1749" s="9"/>
      <c r="AC1749" s="9"/>
      <c r="AD1749" s="9"/>
      <c r="AE1749" s="9"/>
      <c r="AF1749" s="9"/>
      <c r="AG1749" s="9"/>
      <c r="AH1749" s="9"/>
      <c r="AI1749" s="9"/>
      <c r="AJ1749" s="9"/>
      <c r="AK1749" s="9"/>
      <c r="AL1749" s="9"/>
      <c r="AM1749" s="69"/>
      <c r="AN1749" s="9"/>
      <c r="AO1749" s="69" t="s">
        <v>1977</v>
      </c>
      <c r="AP1749" s="210"/>
      <c r="AQ1749" s="211"/>
      <c r="AR1749" s="211"/>
      <c r="AS1749" s="211"/>
      <c r="AT1749" s="211"/>
      <c r="AU1749" s="211"/>
      <c r="AV1749" s="211"/>
      <c r="AW1749" s="9"/>
      <c r="AX1749" s="9"/>
      <c r="AY1749" s="9"/>
      <c r="AZ1749" s="9"/>
      <c r="BA1749" s="120"/>
      <c r="BB1749" s="69"/>
      <c r="BC1749" s="9"/>
      <c r="BD1749" s="9"/>
      <c r="BE1749" s="9"/>
      <c r="BF1749" s="9"/>
      <c r="BG1749" s="9"/>
      <c r="BH1749" s="9"/>
      <c r="BI1749" s="9"/>
      <c r="BJ1749" s="9"/>
      <c r="BK1749" s="9"/>
      <c r="BL1749" s="9"/>
      <c r="BM1749" s="9"/>
      <c r="BN1749" s="9"/>
      <c r="BO1749" s="9"/>
      <c r="BP1749" s="9"/>
      <c r="BQ1749" s="9"/>
      <c r="BR1749" s="9"/>
      <c r="BS1749" s="9"/>
      <c r="BT1749" s="9"/>
      <c r="BU1749" s="9"/>
      <c r="BV1749" s="9"/>
      <c r="BW1749" s="9"/>
      <c r="BX1749" s="9"/>
      <c r="BY1749" s="9"/>
      <c r="BZ1749" s="9"/>
      <c r="CA1749" s="9"/>
      <c r="CB1749" s="9"/>
      <c r="CC1749" s="9"/>
      <c r="CD1749" s="9"/>
      <c r="CE1749" s="9"/>
      <c r="CF1749" s="9"/>
      <c r="CG1749" s="9"/>
      <c r="CH1749" s="9"/>
      <c r="CI1749" s="9"/>
      <c r="CJ1749" s="9"/>
      <c r="CK1749" s="9"/>
      <c r="CL1749" s="9"/>
      <c r="CM1749" s="9"/>
      <c r="CN1749" s="9"/>
      <c r="CO1749" s="9"/>
      <c r="CP1749" s="9"/>
    </row>
    <row r="1750" spans="1:94" ht="30" x14ac:dyDescent="0.25">
      <c r="A1750" s="271" t="s">
        <v>4788</v>
      </c>
      <c r="B1750" s="125" t="s">
        <v>4789</v>
      </c>
      <c r="C1750" s="9"/>
      <c r="D1750" s="9"/>
      <c r="E1750" s="9"/>
      <c r="F1750" s="9"/>
      <c r="G1750" s="9"/>
      <c r="H1750" s="9"/>
      <c r="I1750" s="9"/>
      <c r="J1750" s="9"/>
      <c r="K1750" s="9"/>
      <c r="L1750" s="9"/>
      <c r="M1750" s="9"/>
      <c r="N1750" s="9"/>
      <c r="O1750" s="9"/>
      <c r="P1750" s="9"/>
      <c r="Q1750" s="9"/>
      <c r="R1750" s="9"/>
      <c r="S1750" s="9"/>
      <c r="T1750" s="9"/>
      <c r="U1750" s="9"/>
      <c r="V1750" s="9"/>
      <c r="W1750" s="9"/>
      <c r="X1750" s="9"/>
      <c r="Y1750" s="9"/>
      <c r="Z1750" s="9"/>
      <c r="AA1750" s="9"/>
      <c r="AB1750" s="9"/>
      <c r="AC1750" s="9"/>
      <c r="AD1750" s="9"/>
      <c r="AE1750" s="9"/>
      <c r="AF1750" s="9"/>
      <c r="AG1750" s="9"/>
      <c r="AH1750" s="9"/>
      <c r="AI1750" s="9"/>
      <c r="AJ1750" s="9"/>
      <c r="AK1750" s="9"/>
      <c r="AL1750" s="9"/>
      <c r="AM1750" s="69"/>
      <c r="AN1750" s="9"/>
      <c r="AO1750" s="69" t="s">
        <v>4790</v>
      </c>
      <c r="AP1750" s="210"/>
      <c r="AQ1750" s="211"/>
      <c r="AR1750" s="211"/>
      <c r="AS1750" s="211"/>
      <c r="AT1750" s="211"/>
      <c r="AU1750" s="211"/>
      <c r="AV1750" s="211"/>
      <c r="AW1750" s="9"/>
      <c r="AX1750" s="9"/>
      <c r="AY1750" s="9"/>
      <c r="AZ1750" s="9"/>
      <c r="BA1750" s="120"/>
      <c r="BB1750" s="69"/>
      <c r="BC1750" s="9"/>
      <c r="BD1750" s="9"/>
      <c r="BE1750" s="9"/>
      <c r="BF1750" s="9"/>
      <c r="BG1750" s="9"/>
      <c r="BH1750" s="9"/>
      <c r="BI1750" s="9"/>
      <c r="BJ1750" s="9"/>
      <c r="BK1750" s="9"/>
      <c r="BL1750" s="9"/>
      <c r="BM1750" s="9"/>
      <c r="BN1750" s="9"/>
      <c r="BO1750" s="9"/>
      <c r="BP1750" s="9"/>
      <c r="BQ1750" s="9"/>
      <c r="BR1750" s="9"/>
      <c r="BS1750" s="9"/>
      <c r="BT1750" s="9"/>
      <c r="BU1750" s="9"/>
      <c r="BV1750" s="9"/>
      <c r="BW1750" s="9"/>
      <c r="BX1750" s="9"/>
      <c r="BY1750" s="9"/>
      <c r="BZ1750" s="9"/>
      <c r="CA1750" s="9"/>
      <c r="CB1750" s="9"/>
      <c r="CC1750" s="9"/>
      <c r="CD1750" s="9"/>
      <c r="CE1750" s="9"/>
      <c r="CF1750" s="9"/>
      <c r="CG1750" s="9"/>
      <c r="CH1750" s="9"/>
      <c r="CI1750" s="9"/>
      <c r="CJ1750" s="9"/>
      <c r="CK1750" s="9"/>
      <c r="CL1750" s="9"/>
      <c r="CM1750" s="9"/>
      <c r="CN1750" s="9"/>
      <c r="CO1750" s="9"/>
      <c r="CP1750" s="9"/>
    </row>
    <row r="1751" spans="1:94" x14ac:dyDescent="0.25">
      <c r="A1751" s="9" t="s">
        <v>4791</v>
      </c>
      <c r="B1751" s="9" t="s">
        <v>4792</v>
      </c>
      <c r="C1751" s="9"/>
      <c r="D1751" s="9"/>
      <c r="E1751" s="9"/>
      <c r="F1751" s="9"/>
      <c r="G1751" s="9"/>
      <c r="H1751" s="9"/>
      <c r="I1751" s="9"/>
      <c r="J1751" s="9"/>
      <c r="K1751" s="9"/>
      <c r="L1751" s="9"/>
      <c r="M1751" s="9"/>
      <c r="N1751" s="9"/>
      <c r="O1751" s="9"/>
      <c r="P1751" s="9"/>
      <c r="Q1751" s="9"/>
      <c r="R1751" s="9"/>
      <c r="S1751" s="9"/>
      <c r="T1751" s="9"/>
      <c r="U1751" s="9"/>
      <c r="V1751" s="9"/>
      <c r="W1751" s="9"/>
      <c r="X1751" s="9"/>
      <c r="Y1751" s="9"/>
      <c r="Z1751" s="9"/>
      <c r="AA1751" s="9"/>
      <c r="AB1751" s="9"/>
      <c r="AC1751" s="9"/>
      <c r="AD1751" s="9"/>
      <c r="AE1751" s="9"/>
      <c r="AF1751" s="9"/>
      <c r="AG1751" s="9"/>
      <c r="AH1751" s="9"/>
      <c r="AI1751" s="9"/>
      <c r="AJ1751" s="9"/>
      <c r="AK1751" s="9"/>
      <c r="AL1751" s="9"/>
      <c r="AM1751" s="69"/>
      <c r="AN1751" s="9"/>
      <c r="AO1751" s="69" t="s">
        <v>4434</v>
      </c>
      <c r="AP1751" s="210"/>
      <c r="AQ1751" s="211"/>
      <c r="AR1751" s="211"/>
      <c r="AS1751" s="211"/>
      <c r="AT1751" s="211"/>
      <c r="AU1751" s="211"/>
      <c r="AV1751" s="211"/>
      <c r="AW1751" s="9"/>
      <c r="AX1751" s="9"/>
      <c r="AY1751" s="9"/>
      <c r="AZ1751" s="9"/>
      <c r="BA1751" s="120"/>
      <c r="BB1751" s="69"/>
      <c r="BC1751" s="9"/>
      <c r="BD1751" s="9"/>
      <c r="BE1751" s="9"/>
      <c r="BF1751" s="9"/>
      <c r="BG1751" s="9"/>
      <c r="BH1751" s="9"/>
      <c r="BI1751" s="9"/>
      <c r="BJ1751" s="9"/>
      <c r="BK1751" s="9"/>
      <c r="BL1751" s="9"/>
      <c r="BM1751" s="9"/>
      <c r="BN1751" s="9"/>
      <c r="BO1751" s="9"/>
      <c r="BP1751" s="9"/>
      <c r="BQ1751" s="9"/>
      <c r="BR1751" s="9"/>
      <c r="BS1751" s="9"/>
      <c r="BT1751" s="9"/>
      <c r="BU1751" s="9"/>
      <c r="BV1751" s="9"/>
      <c r="BW1751" s="9"/>
      <c r="BX1751" s="9"/>
      <c r="BY1751" s="9"/>
      <c r="BZ1751" s="9"/>
      <c r="CA1751" s="9"/>
      <c r="CB1751" s="9"/>
      <c r="CC1751" s="9"/>
      <c r="CD1751" s="9"/>
      <c r="CE1751" s="9"/>
      <c r="CF1751" s="9"/>
      <c r="CG1751" s="9"/>
      <c r="CH1751" s="9"/>
      <c r="CI1751" s="9"/>
      <c r="CJ1751" s="9"/>
      <c r="CK1751" s="9"/>
      <c r="CL1751" s="9"/>
      <c r="CM1751" s="9"/>
      <c r="CN1751" s="9"/>
      <c r="CO1751" s="9"/>
      <c r="CP1751" s="9"/>
    </row>
    <row r="1752" spans="1:94" ht="30" x14ac:dyDescent="0.25">
      <c r="A1752" s="126" t="s">
        <v>4793</v>
      </c>
      <c r="B1752" s="9" t="s">
        <v>4794</v>
      </c>
      <c r="C1752" s="9"/>
      <c r="D1752" s="9"/>
      <c r="E1752" s="9"/>
      <c r="F1752" s="9"/>
      <c r="G1752" s="9"/>
      <c r="H1752" s="9"/>
      <c r="I1752" s="9"/>
      <c r="J1752" s="9"/>
      <c r="K1752" s="9"/>
      <c r="L1752" s="9"/>
      <c r="M1752" s="9"/>
      <c r="N1752" s="9"/>
      <c r="O1752" s="9"/>
      <c r="P1752" s="9"/>
      <c r="Q1752" s="9"/>
      <c r="R1752" s="9"/>
      <c r="S1752" s="9"/>
      <c r="T1752" s="9"/>
      <c r="U1752" s="9"/>
      <c r="V1752" s="9"/>
      <c r="W1752" s="9"/>
      <c r="X1752" s="9"/>
      <c r="Y1752" s="9"/>
      <c r="Z1752" s="9"/>
      <c r="AA1752" s="9"/>
      <c r="AB1752" s="9"/>
      <c r="AC1752" s="9"/>
      <c r="AD1752" s="9"/>
      <c r="AE1752" s="9"/>
      <c r="AF1752" s="9"/>
      <c r="AG1752" s="9"/>
      <c r="AH1752" s="9"/>
      <c r="AI1752" s="9"/>
      <c r="AJ1752" s="9"/>
      <c r="AK1752" s="9"/>
      <c r="AL1752" s="9"/>
      <c r="AM1752" s="69"/>
      <c r="AN1752" s="9"/>
      <c r="AO1752" s="69" t="s">
        <v>612</v>
      </c>
      <c r="AP1752" s="210"/>
      <c r="AQ1752" s="211"/>
      <c r="AR1752" s="211"/>
      <c r="AS1752" s="211"/>
      <c r="AT1752" s="211"/>
      <c r="AU1752" s="211"/>
      <c r="AV1752" s="211"/>
      <c r="AW1752" s="9"/>
      <c r="AX1752" s="9"/>
      <c r="AY1752" s="9"/>
      <c r="AZ1752" s="9"/>
      <c r="BA1752" s="120"/>
      <c r="BB1752" s="69"/>
      <c r="BC1752" s="9"/>
      <c r="BD1752" s="9"/>
      <c r="BE1752" s="9"/>
      <c r="BF1752" s="9"/>
      <c r="BG1752" s="9"/>
      <c r="BH1752" s="9"/>
      <c r="BI1752" s="9"/>
      <c r="BJ1752" s="9"/>
      <c r="BK1752" s="9"/>
      <c r="BL1752" s="9"/>
      <c r="BM1752" s="9"/>
      <c r="BN1752" s="9"/>
      <c r="BO1752" s="9"/>
      <c r="BP1752" s="9"/>
      <c r="BQ1752" s="9"/>
      <c r="BR1752" s="9"/>
      <c r="BS1752" s="9"/>
      <c r="BT1752" s="9"/>
      <c r="BU1752" s="9"/>
      <c r="BV1752" s="9"/>
      <c r="BW1752" s="9"/>
      <c r="BX1752" s="9"/>
      <c r="BY1752" s="9"/>
      <c r="BZ1752" s="9"/>
      <c r="CA1752" s="9"/>
      <c r="CB1752" s="9"/>
      <c r="CC1752" s="9"/>
      <c r="CD1752" s="9"/>
      <c r="CE1752" s="9"/>
      <c r="CF1752" s="9"/>
      <c r="CG1752" s="9"/>
      <c r="CH1752" s="9"/>
      <c r="CI1752" s="9"/>
      <c r="CJ1752" s="9"/>
      <c r="CK1752" s="9"/>
      <c r="CL1752" s="9"/>
      <c r="CM1752" s="9"/>
      <c r="CN1752" s="9"/>
      <c r="CO1752" s="9"/>
      <c r="CP1752" s="9"/>
    </row>
    <row r="1753" spans="1:94" ht="30" x14ac:dyDescent="0.25">
      <c r="A1753" s="126" t="s">
        <v>4795</v>
      </c>
      <c r="B1753" s="9" t="s">
        <v>4796</v>
      </c>
      <c r="C1753" s="9"/>
      <c r="D1753" s="9"/>
      <c r="E1753" s="9"/>
      <c r="F1753" s="9"/>
      <c r="G1753" s="9"/>
      <c r="H1753" s="9"/>
      <c r="I1753" s="9"/>
      <c r="J1753" s="9"/>
      <c r="K1753" s="9"/>
      <c r="L1753" s="9"/>
      <c r="M1753" s="9"/>
      <c r="N1753" s="9"/>
      <c r="O1753" s="9"/>
      <c r="P1753" s="9"/>
      <c r="Q1753" s="9"/>
      <c r="R1753" s="9"/>
      <c r="S1753" s="9"/>
      <c r="T1753" s="9"/>
      <c r="U1753" s="9"/>
      <c r="V1753" s="9"/>
      <c r="W1753" s="9"/>
      <c r="X1753" s="9"/>
      <c r="Y1753" s="9"/>
      <c r="Z1753" s="9"/>
      <c r="AA1753" s="9"/>
      <c r="AB1753" s="9"/>
      <c r="AC1753" s="9"/>
      <c r="AD1753" s="9"/>
      <c r="AE1753" s="9"/>
      <c r="AF1753" s="9"/>
      <c r="AG1753" s="9"/>
      <c r="AH1753" s="9"/>
      <c r="AI1753" s="9"/>
      <c r="AJ1753" s="9"/>
      <c r="AK1753" s="9"/>
      <c r="AL1753" s="9"/>
      <c r="AM1753" s="69"/>
      <c r="AN1753" s="9"/>
      <c r="AO1753" s="69" t="s">
        <v>612</v>
      </c>
      <c r="AP1753" s="210"/>
      <c r="AQ1753" s="211"/>
      <c r="AR1753" s="211"/>
      <c r="AS1753" s="211"/>
      <c r="AT1753" s="211"/>
      <c r="AU1753" s="211"/>
      <c r="AV1753" s="211"/>
      <c r="AW1753" s="9"/>
      <c r="AX1753" s="9"/>
      <c r="AY1753" s="9"/>
      <c r="AZ1753" s="9"/>
      <c r="BA1753" s="120"/>
      <c r="BB1753" s="69"/>
      <c r="BC1753" s="9"/>
      <c r="BD1753" s="9"/>
      <c r="BE1753" s="9"/>
      <c r="BF1753" s="9"/>
      <c r="BG1753" s="9"/>
      <c r="BH1753" s="9"/>
      <c r="BI1753" s="9"/>
      <c r="BJ1753" s="9"/>
      <c r="BK1753" s="9"/>
      <c r="BL1753" s="9"/>
      <c r="BM1753" s="9"/>
      <c r="BN1753" s="9"/>
      <c r="BO1753" s="9"/>
      <c r="BP1753" s="9"/>
      <c r="BQ1753" s="9"/>
      <c r="BR1753" s="9"/>
      <c r="BS1753" s="9"/>
      <c r="BT1753" s="9"/>
      <c r="BU1753" s="9"/>
      <c r="BV1753" s="9"/>
      <c r="BW1753" s="9"/>
      <c r="BX1753" s="9"/>
      <c r="BY1753" s="9"/>
      <c r="BZ1753" s="9"/>
      <c r="CA1753" s="9"/>
      <c r="CB1753" s="9"/>
      <c r="CC1753" s="9"/>
      <c r="CD1753" s="9"/>
      <c r="CE1753" s="9"/>
      <c r="CF1753" s="9"/>
      <c r="CG1753" s="9"/>
      <c r="CH1753" s="9"/>
      <c r="CI1753" s="9"/>
      <c r="CJ1753" s="9"/>
      <c r="CK1753" s="9"/>
      <c r="CL1753" s="9"/>
      <c r="CM1753" s="9"/>
      <c r="CN1753" s="9"/>
      <c r="CO1753" s="9"/>
      <c r="CP1753" s="9"/>
    </row>
    <row r="1754" spans="1:94" ht="30" x14ac:dyDescent="0.25">
      <c r="A1754" s="126" t="s">
        <v>4797</v>
      </c>
      <c r="B1754" s="9" t="s">
        <v>4798</v>
      </c>
      <c r="C1754" s="9"/>
      <c r="D1754" s="9"/>
      <c r="E1754" s="9"/>
      <c r="F1754" s="9"/>
      <c r="G1754" s="9"/>
      <c r="H1754" s="9"/>
      <c r="I1754" s="9"/>
      <c r="J1754" s="9"/>
      <c r="K1754" s="9"/>
      <c r="L1754" s="9"/>
      <c r="M1754" s="9"/>
      <c r="N1754" s="9"/>
      <c r="O1754" s="9"/>
      <c r="P1754" s="9"/>
      <c r="Q1754" s="9"/>
      <c r="R1754" s="9"/>
      <c r="S1754" s="9"/>
      <c r="T1754" s="9"/>
      <c r="U1754" s="9"/>
      <c r="V1754" s="9"/>
      <c r="W1754" s="9"/>
      <c r="X1754" s="9"/>
      <c r="Y1754" s="9"/>
      <c r="Z1754" s="9"/>
      <c r="AA1754" s="9"/>
      <c r="AB1754" s="9"/>
      <c r="AC1754" s="9"/>
      <c r="AD1754" s="9"/>
      <c r="AE1754" s="9"/>
      <c r="AF1754" s="9"/>
      <c r="AG1754" s="9"/>
      <c r="AH1754" s="9"/>
      <c r="AI1754" s="9"/>
      <c r="AJ1754" s="9"/>
      <c r="AK1754" s="9"/>
      <c r="AL1754" s="9"/>
      <c r="AM1754" s="69"/>
      <c r="AN1754" s="9"/>
      <c r="AO1754" s="69" t="s">
        <v>612</v>
      </c>
      <c r="AP1754" s="210"/>
      <c r="AQ1754" s="211"/>
      <c r="AR1754" s="211"/>
      <c r="AS1754" s="211"/>
      <c r="AT1754" s="211"/>
      <c r="AU1754" s="211"/>
      <c r="AV1754" s="211"/>
      <c r="AW1754" s="9"/>
      <c r="AX1754" s="9"/>
      <c r="AY1754" s="9"/>
      <c r="AZ1754" s="9"/>
      <c r="BA1754" s="120"/>
      <c r="BB1754" s="69"/>
      <c r="BC1754" s="9"/>
      <c r="BD1754" s="9"/>
      <c r="BE1754" s="9"/>
      <c r="BF1754" s="9"/>
      <c r="BG1754" s="9"/>
      <c r="BH1754" s="9"/>
      <c r="BI1754" s="9"/>
      <c r="BJ1754" s="9"/>
      <c r="BK1754" s="9"/>
      <c r="BL1754" s="9"/>
      <c r="BM1754" s="9"/>
      <c r="BN1754" s="9"/>
      <c r="BO1754" s="9"/>
      <c r="BP1754" s="9"/>
      <c r="BQ1754" s="9"/>
      <c r="BR1754" s="9"/>
      <c r="BS1754" s="9"/>
      <c r="BT1754" s="9"/>
      <c r="BU1754" s="9"/>
      <c r="BV1754" s="9"/>
      <c r="BW1754" s="9"/>
      <c r="BX1754" s="9"/>
      <c r="BY1754" s="9"/>
      <c r="BZ1754" s="9"/>
      <c r="CA1754" s="9"/>
      <c r="CB1754" s="9"/>
      <c r="CC1754" s="9"/>
      <c r="CD1754" s="9"/>
      <c r="CE1754" s="9"/>
      <c r="CF1754" s="9"/>
      <c r="CG1754" s="9"/>
      <c r="CH1754" s="9"/>
      <c r="CI1754" s="9"/>
      <c r="CJ1754" s="9"/>
      <c r="CK1754" s="9"/>
      <c r="CL1754" s="9"/>
      <c r="CM1754" s="9"/>
      <c r="CN1754" s="9"/>
      <c r="CO1754" s="9"/>
      <c r="CP1754" s="9"/>
    </row>
    <row r="1755" spans="1:94" ht="30" x14ac:dyDescent="0.25">
      <c r="A1755" s="126" t="s">
        <v>4799</v>
      </c>
      <c r="B1755" s="9" t="s">
        <v>4800</v>
      </c>
      <c r="C1755" s="9"/>
      <c r="D1755" s="9"/>
      <c r="E1755" s="9"/>
      <c r="F1755" s="9"/>
      <c r="G1755" s="9"/>
      <c r="H1755" s="9"/>
      <c r="I1755" s="9"/>
      <c r="J1755" s="9"/>
      <c r="K1755" s="9"/>
      <c r="L1755" s="9"/>
      <c r="M1755" s="9"/>
      <c r="N1755" s="9"/>
      <c r="O1755" s="9"/>
      <c r="P1755" s="9"/>
      <c r="Q1755" s="9"/>
      <c r="R1755" s="9"/>
      <c r="S1755" s="9"/>
      <c r="T1755" s="9"/>
      <c r="U1755" s="9"/>
      <c r="V1755" s="9"/>
      <c r="W1755" s="9"/>
      <c r="X1755" s="9"/>
      <c r="Y1755" s="9"/>
      <c r="Z1755" s="9"/>
      <c r="AA1755" s="9"/>
      <c r="AB1755" s="9"/>
      <c r="AC1755" s="9"/>
      <c r="AD1755" s="9"/>
      <c r="AE1755" s="9"/>
      <c r="AF1755" s="9"/>
      <c r="AG1755" s="9"/>
      <c r="AH1755" s="9"/>
      <c r="AI1755" s="9"/>
      <c r="AJ1755" s="9"/>
      <c r="AK1755" s="9"/>
      <c r="AL1755" s="9"/>
      <c r="AM1755" s="69"/>
      <c r="AN1755" s="9"/>
      <c r="AO1755" s="69" t="s">
        <v>612</v>
      </c>
      <c r="AP1755" s="210"/>
      <c r="AQ1755" s="211"/>
      <c r="AR1755" s="211"/>
      <c r="AS1755" s="211"/>
      <c r="AT1755" s="211"/>
      <c r="AU1755" s="211"/>
      <c r="AV1755" s="211"/>
      <c r="AW1755" s="9"/>
      <c r="AX1755" s="9"/>
      <c r="AY1755" s="9"/>
      <c r="AZ1755" s="9"/>
      <c r="BA1755" s="120"/>
      <c r="BB1755" s="69"/>
      <c r="BC1755" s="9"/>
      <c r="BD1755" s="9"/>
      <c r="BE1755" s="9"/>
      <c r="BF1755" s="9"/>
      <c r="BG1755" s="9"/>
      <c r="BH1755" s="9"/>
      <c r="BI1755" s="9"/>
      <c r="BJ1755" s="9"/>
      <c r="BK1755" s="9"/>
      <c r="BL1755" s="9"/>
      <c r="BM1755" s="9"/>
      <c r="BN1755" s="9"/>
      <c r="BO1755" s="9"/>
      <c r="BP1755" s="9"/>
      <c r="BQ1755" s="9"/>
      <c r="BR1755" s="9"/>
      <c r="BS1755" s="9"/>
      <c r="BT1755" s="9"/>
      <c r="BU1755" s="9"/>
      <c r="BV1755" s="9"/>
      <c r="BW1755" s="9"/>
      <c r="BX1755" s="9"/>
      <c r="BY1755" s="9"/>
      <c r="BZ1755" s="9"/>
      <c r="CA1755" s="9"/>
      <c r="CB1755" s="9"/>
      <c r="CC1755" s="9"/>
      <c r="CD1755" s="9"/>
      <c r="CE1755" s="9"/>
      <c r="CF1755" s="9"/>
      <c r="CG1755" s="9"/>
      <c r="CH1755" s="9"/>
      <c r="CI1755" s="9"/>
      <c r="CJ1755" s="9"/>
      <c r="CK1755" s="9"/>
      <c r="CL1755" s="9"/>
      <c r="CM1755" s="9"/>
      <c r="CN1755" s="9"/>
      <c r="CO1755" s="9"/>
      <c r="CP1755" s="9"/>
    </row>
    <row r="1756" spans="1:94" ht="30" x14ac:dyDescent="0.25">
      <c r="A1756" s="126" t="s">
        <v>4801</v>
      </c>
      <c r="B1756" s="9" t="s">
        <v>4768</v>
      </c>
      <c r="C1756" s="9"/>
      <c r="D1756" s="9"/>
      <c r="E1756" s="9"/>
      <c r="F1756" s="9"/>
      <c r="G1756" s="9"/>
      <c r="H1756" s="9"/>
      <c r="I1756" s="9"/>
      <c r="J1756" s="9"/>
      <c r="K1756" s="9"/>
      <c r="L1756" s="9"/>
      <c r="M1756" s="9"/>
      <c r="N1756" s="9"/>
      <c r="O1756" s="9"/>
      <c r="P1756" s="9"/>
      <c r="Q1756" s="9"/>
      <c r="R1756" s="9"/>
      <c r="S1756" s="9"/>
      <c r="T1756" s="9"/>
      <c r="U1756" s="9"/>
      <c r="V1756" s="9"/>
      <c r="W1756" s="9"/>
      <c r="X1756" s="9"/>
      <c r="Y1756" s="9"/>
      <c r="Z1756" s="9"/>
      <c r="AA1756" s="9"/>
      <c r="AB1756" s="9"/>
      <c r="AC1756" s="9"/>
      <c r="AD1756" s="9"/>
      <c r="AE1756" s="9"/>
      <c r="AF1756" s="9"/>
      <c r="AG1756" s="9"/>
      <c r="AH1756" s="9"/>
      <c r="AI1756" s="9"/>
      <c r="AJ1756" s="9"/>
      <c r="AK1756" s="9"/>
      <c r="AL1756" s="9"/>
      <c r="AM1756" s="69"/>
      <c r="AN1756" s="9"/>
      <c r="AO1756" s="69" t="s">
        <v>612</v>
      </c>
      <c r="AP1756" s="210"/>
      <c r="AQ1756" s="211"/>
      <c r="AR1756" s="211"/>
      <c r="AS1756" s="211"/>
      <c r="AT1756" s="211"/>
      <c r="AU1756" s="211"/>
      <c r="AV1756" s="211"/>
      <c r="AW1756" s="9"/>
      <c r="AX1756" s="9"/>
      <c r="AY1756" s="9"/>
      <c r="AZ1756" s="9"/>
      <c r="BA1756" s="120"/>
      <c r="BB1756" s="69"/>
      <c r="BC1756" s="9"/>
      <c r="BD1756" s="9"/>
      <c r="BE1756" s="9"/>
      <c r="BF1756" s="9"/>
      <c r="BG1756" s="9"/>
      <c r="BH1756" s="9"/>
      <c r="BI1756" s="9"/>
      <c r="BJ1756" s="9"/>
      <c r="BK1756" s="9"/>
      <c r="BL1756" s="9"/>
      <c r="BM1756" s="9"/>
      <c r="BN1756" s="9"/>
      <c r="BO1756" s="9"/>
      <c r="BP1756" s="9"/>
      <c r="BQ1756" s="9"/>
      <c r="BR1756" s="9"/>
      <c r="BS1756" s="9"/>
      <c r="BT1756" s="9"/>
      <c r="BU1756" s="9"/>
      <c r="BV1756" s="9"/>
      <c r="BW1756" s="9"/>
      <c r="BX1756" s="9"/>
      <c r="BY1756" s="9"/>
      <c r="BZ1756" s="9"/>
      <c r="CA1756" s="9"/>
      <c r="CB1756" s="9"/>
      <c r="CC1756" s="9"/>
      <c r="CD1756" s="9"/>
      <c r="CE1756" s="9"/>
      <c r="CF1756" s="9"/>
      <c r="CG1756" s="9"/>
      <c r="CH1756" s="9"/>
      <c r="CI1756" s="9"/>
      <c r="CJ1756" s="9"/>
      <c r="CK1756" s="9"/>
      <c r="CL1756" s="9"/>
      <c r="CM1756" s="9"/>
      <c r="CN1756" s="9"/>
      <c r="CO1756" s="9"/>
      <c r="CP1756" s="9"/>
    </row>
    <row r="1757" spans="1:94" ht="30" x14ac:dyDescent="0.25">
      <c r="A1757" s="126" t="s">
        <v>4802</v>
      </c>
      <c r="B1757" s="9" t="s">
        <v>4803</v>
      </c>
      <c r="C1757" s="9"/>
      <c r="D1757" s="9"/>
      <c r="E1757" s="9"/>
      <c r="F1757" s="9"/>
      <c r="G1757" s="9"/>
      <c r="H1757" s="9"/>
      <c r="I1757" s="9"/>
      <c r="J1757" s="9"/>
      <c r="K1757" s="9"/>
      <c r="L1757" s="9"/>
      <c r="M1757" s="9"/>
      <c r="N1757" s="9"/>
      <c r="O1757" s="9"/>
      <c r="P1757" s="9"/>
      <c r="Q1757" s="9"/>
      <c r="R1757" s="9"/>
      <c r="S1757" s="9"/>
      <c r="T1757" s="9"/>
      <c r="U1757" s="9"/>
      <c r="V1757" s="9"/>
      <c r="W1757" s="9"/>
      <c r="X1757" s="9"/>
      <c r="Y1757" s="9"/>
      <c r="Z1757" s="9"/>
      <c r="AA1757" s="9"/>
      <c r="AB1757" s="9"/>
      <c r="AC1757" s="9"/>
      <c r="AD1757" s="9"/>
      <c r="AE1757" s="9"/>
      <c r="AF1757" s="9"/>
      <c r="AG1757" s="9"/>
      <c r="AH1757" s="9"/>
      <c r="AI1757" s="9"/>
      <c r="AJ1757" s="9"/>
      <c r="AK1757" s="9"/>
      <c r="AL1757" s="9"/>
      <c r="AM1757" s="69"/>
      <c r="AN1757" s="9"/>
      <c r="AO1757" s="69" t="s">
        <v>612</v>
      </c>
      <c r="AP1757" s="210"/>
      <c r="AQ1757" s="211"/>
      <c r="AR1757" s="211"/>
      <c r="AS1757" s="211"/>
      <c r="AT1757" s="211"/>
      <c r="AU1757" s="211"/>
      <c r="AV1757" s="211"/>
      <c r="AW1757" s="9"/>
      <c r="AX1757" s="9"/>
      <c r="AY1757" s="9"/>
      <c r="AZ1757" s="9"/>
      <c r="BA1757" s="120"/>
      <c r="BB1757" s="69"/>
      <c r="BC1757" s="9"/>
      <c r="BD1757" s="9"/>
      <c r="BE1757" s="9"/>
      <c r="BF1757" s="9"/>
      <c r="BG1757" s="9"/>
      <c r="BH1757" s="9"/>
      <c r="BI1757" s="9"/>
      <c r="BJ1757" s="9"/>
      <c r="BK1757" s="9"/>
      <c r="BL1757" s="9"/>
      <c r="BM1757" s="9"/>
      <c r="BN1757" s="9"/>
      <c r="BO1757" s="9"/>
      <c r="BP1757" s="9"/>
      <c r="BQ1757" s="9"/>
      <c r="BR1757" s="9"/>
      <c r="BS1757" s="9"/>
      <c r="BT1757" s="9"/>
      <c r="BU1757" s="9"/>
      <c r="BV1757" s="9"/>
      <c r="BW1757" s="9"/>
      <c r="BX1757" s="9"/>
      <c r="BY1757" s="9"/>
      <c r="BZ1757" s="9"/>
      <c r="CA1757" s="9"/>
      <c r="CB1757" s="9"/>
      <c r="CC1757" s="9"/>
      <c r="CD1757" s="9"/>
      <c r="CE1757" s="9"/>
      <c r="CF1757" s="9"/>
      <c r="CG1757" s="9"/>
      <c r="CH1757" s="9"/>
      <c r="CI1757" s="9"/>
      <c r="CJ1757" s="9"/>
      <c r="CK1757" s="9"/>
      <c r="CL1757" s="9"/>
      <c r="CM1757" s="9"/>
      <c r="CN1757" s="9"/>
      <c r="CO1757" s="9"/>
      <c r="CP1757" s="9"/>
    </row>
    <row r="1758" spans="1:94" ht="15.75" x14ac:dyDescent="0.25">
      <c r="A1758" s="126" t="s">
        <v>4804</v>
      </c>
      <c r="B1758" s="9" t="s">
        <v>4805</v>
      </c>
      <c r="C1758" s="9"/>
      <c r="D1758" s="9"/>
      <c r="E1758" s="9"/>
      <c r="F1758" s="9"/>
      <c r="G1758" s="9"/>
      <c r="H1758" s="9"/>
      <c r="I1758" s="9"/>
      <c r="J1758" s="9"/>
      <c r="K1758" s="9"/>
      <c r="L1758" s="9"/>
      <c r="M1758" s="9"/>
      <c r="N1758" s="9"/>
      <c r="O1758" s="9"/>
      <c r="P1758" s="9"/>
      <c r="Q1758" s="9"/>
      <c r="R1758" s="9"/>
      <c r="S1758" s="9"/>
      <c r="T1758" s="9"/>
      <c r="U1758" s="9"/>
      <c r="V1758" s="9"/>
      <c r="W1758" s="9"/>
      <c r="X1758" s="9"/>
      <c r="Y1758" s="9"/>
      <c r="Z1758" s="9"/>
      <c r="AA1758" s="9"/>
      <c r="AB1758" s="9"/>
      <c r="AC1758" s="9"/>
      <c r="AD1758" s="9"/>
      <c r="AE1758" s="9"/>
      <c r="AF1758" s="9"/>
      <c r="AG1758" s="9"/>
      <c r="AH1758" s="9"/>
      <c r="AI1758" s="9"/>
      <c r="AJ1758" s="9"/>
      <c r="AK1758" s="9"/>
      <c r="AL1758" s="9"/>
      <c r="AM1758" s="69"/>
      <c r="AN1758" s="9"/>
      <c r="AO1758" s="69" t="s">
        <v>4591</v>
      </c>
      <c r="AP1758" s="210"/>
      <c r="AQ1758" s="211"/>
      <c r="AR1758" s="211"/>
      <c r="AS1758" s="211"/>
      <c r="AT1758" s="211"/>
      <c r="AU1758" s="211"/>
      <c r="AV1758" s="211"/>
      <c r="AW1758" s="9"/>
      <c r="AX1758" s="9"/>
      <c r="AY1758" s="9"/>
      <c r="AZ1758" s="9"/>
      <c r="BA1758" s="120"/>
      <c r="BB1758" s="69"/>
      <c r="BC1758" s="9"/>
      <c r="BD1758" s="9"/>
      <c r="BE1758" s="9"/>
      <c r="BF1758" s="9"/>
      <c r="BG1758" s="9"/>
      <c r="BH1758" s="9"/>
      <c r="BI1758" s="9"/>
      <c r="BJ1758" s="9"/>
      <c r="BK1758" s="9"/>
      <c r="BL1758" s="9"/>
      <c r="BM1758" s="9"/>
      <c r="BN1758" s="9"/>
      <c r="BO1758" s="9"/>
      <c r="BP1758" s="9"/>
      <c r="BQ1758" s="9"/>
      <c r="BR1758" s="9"/>
      <c r="BS1758" s="9"/>
      <c r="BT1758" s="9"/>
      <c r="BU1758" s="9"/>
      <c r="BV1758" s="9"/>
      <c r="BW1758" s="9"/>
      <c r="BX1758" s="9"/>
      <c r="BY1758" s="9"/>
      <c r="BZ1758" s="9"/>
      <c r="CA1758" s="9"/>
      <c r="CB1758" s="9"/>
      <c r="CC1758" s="9"/>
      <c r="CD1758" s="9"/>
      <c r="CE1758" s="9"/>
      <c r="CF1758" s="9"/>
      <c r="CG1758" s="9"/>
      <c r="CH1758" s="9"/>
      <c r="CI1758" s="9"/>
      <c r="CJ1758" s="9"/>
      <c r="CK1758" s="9"/>
      <c r="CL1758" s="9"/>
      <c r="CM1758" s="9"/>
      <c r="CN1758" s="9"/>
      <c r="CO1758" s="9"/>
      <c r="CP1758" s="9"/>
    </row>
    <row r="1759" spans="1:94" ht="15.75" x14ac:dyDescent="0.25">
      <c r="A1759" s="126" t="s">
        <v>4806</v>
      </c>
      <c r="B1759" s="9" t="s">
        <v>4807</v>
      </c>
      <c r="C1759" s="9"/>
      <c r="D1759" s="9"/>
      <c r="E1759" s="9"/>
      <c r="F1759" s="9"/>
      <c r="G1759" s="9"/>
      <c r="H1759" s="9"/>
      <c r="I1759" s="9"/>
      <c r="J1759" s="9"/>
      <c r="K1759" s="9"/>
      <c r="L1759" s="9"/>
      <c r="M1759" s="9"/>
      <c r="N1759" s="9"/>
      <c r="O1759" s="9"/>
      <c r="P1759" s="9"/>
      <c r="Q1759" s="9"/>
      <c r="R1759" s="9"/>
      <c r="S1759" s="9"/>
      <c r="T1759" s="9"/>
      <c r="U1759" s="9"/>
      <c r="V1759" s="9"/>
      <c r="W1759" s="9"/>
      <c r="X1759" s="9"/>
      <c r="Y1759" s="9"/>
      <c r="Z1759" s="9"/>
      <c r="AA1759" s="9"/>
      <c r="AB1759" s="9"/>
      <c r="AC1759" s="9"/>
      <c r="AD1759" s="9"/>
      <c r="AE1759" s="9"/>
      <c r="AF1759" s="9"/>
      <c r="AG1759" s="9"/>
      <c r="AH1759" s="9"/>
      <c r="AI1759" s="9"/>
      <c r="AJ1759" s="9"/>
      <c r="AK1759" s="9"/>
      <c r="AL1759" s="9"/>
      <c r="AM1759" s="69"/>
      <c r="AN1759" s="9"/>
      <c r="AO1759" s="69" t="s">
        <v>4591</v>
      </c>
      <c r="AP1759" s="210"/>
      <c r="AQ1759" s="211"/>
      <c r="AR1759" s="211"/>
      <c r="AS1759" s="211"/>
      <c r="AT1759" s="211"/>
      <c r="AU1759" s="211"/>
      <c r="AV1759" s="211"/>
      <c r="AW1759" s="9"/>
      <c r="AX1759" s="9"/>
      <c r="AY1759" s="9"/>
      <c r="AZ1759" s="9"/>
      <c r="BA1759" s="120"/>
      <c r="BB1759" s="69"/>
      <c r="BC1759" s="9"/>
      <c r="BD1759" s="9"/>
      <c r="BE1759" s="9"/>
      <c r="BF1759" s="9"/>
      <c r="BG1759" s="9"/>
      <c r="BH1759" s="9"/>
      <c r="BI1759" s="9"/>
      <c r="BJ1759" s="9"/>
      <c r="BK1759" s="9"/>
      <c r="BL1759" s="9"/>
      <c r="BM1759" s="9"/>
      <c r="BN1759" s="9"/>
      <c r="BO1759" s="9"/>
      <c r="BP1759" s="9"/>
      <c r="BQ1759" s="9"/>
      <c r="BR1759" s="9"/>
      <c r="BS1759" s="9"/>
      <c r="BT1759" s="9"/>
      <c r="BU1759" s="9"/>
      <c r="BV1759" s="9"/>
      <c r="BW1759" s="9"/>
      <c r="BX1759" s="9"/>
      <c r="BY1759" s="9"/>
      <c r="BZ1759" s="9"/>
      <c r="CA1759" s="9"/>
      <c r="CB1759" s="9"/>
      <c r="CC1759" s="9"/>
      <c r="CD1759" s="9"/>
      <c r="CE1759" s="9"/>
      <c r="CF1759" s="9"/>
      <c r="CG1759" s="9"/>
      <c r="CH1759" s="9"/>
      <c r="CI1759" s="9"/>
      <c r="CJ1759" s="9"/>
      <c r="CK1759" s="9"/>
      <c r="CL1759" s="9"/>
      <c r="CM1759" s="9"/>
      <c r="CN1759" s="9"/>
      <c r="CO1759" s="9"/>
      <c r="CP1759" s="9"/>
    </row>
    <row r="1760" spans="1:94" ht="15.75" x14ac:dyDescent="0.25">
      <c r="A1760" s="126" t="s">
        <v>4808</v>
      </c>
      <c r="B1760" s="9" t="s">
        <v>4728</v>
      </c>
      <c r="C1760" s="9"/>
      <c r="D1760" s="9"/>
      <c r="E1760" s="9"/>
      <c r="F1760" s="9"/>
      <c r="G1760" s="9"/>
      <c r="H1760" s="9"/>
      <c r="I1760" s="9"/>
      <c r="J1760" s="9"/>
      <c r="K1760" s="9"/>
      <c r="L1760" s="9"/>
      <c r="M1760" s="9"/>
      <c r="N1760" s="9"/>
      <c r="O1760" s="9"/>
      <c r="P1760" s="9"/>
      <c r="Q1760" s="9"/>
      <c r="R1760" s="9"/>
      <c r="S1760" s="9"/>
      <c r="T1760" s="9"/>
      <c r="U1760" s="9"/>
      <c r="V1760" s="9"/>
      <c r="W1760" s="9"/>
      <c r="X1760" s="9"/>
      <c r="Y1760" s="9"/>
      <c r="Z1760" s="9"/>
      <c r="AA1760" s="9"/>
      <c r="AB1760" s="9"/>
      <c r="AC1760" s="9"/>
      <c r="AD1760" s="9"/>
      <c r="AE1760" s="9"/>
      <c r="AF1760" s="9"/>
      <c r="AG1760" s="9"/>
      <c r="AH1760" s="9"/>
      <c r="AI1760" s="9"/>
      <c r="AJ1760" s="9"/>
      <c r="AK1760" s="9"/>
      <c r="AL1760" s="9"/>
      <c r="AM1760" s="69"/>
      <c r="AN1760" s="9"/>
      <c r="AO1760" s="69" t="s">
        <v>4591</v>
      </c>
      <c r="AP1760" s="210"/>
      <c r="AQ1760" s="211"/>
      <c r="AR1760" s="211"/>
      <c r="AS1760" s="211"/>
      <c r="AT1760" s="211"/>
      <c r="AU1760" s="211"/>
      <c r="AV1760" s="211"/>
      <c r="AW1760" s="9"/>
      <c r="AX1760" s="9"/>
      <c r="AY1760" s="9"/>
      <c r="AZ1760" s="9"/>
      <c r="BA1760" s="120"/>
      <c r="BB1760" s="69"/>
      <c r="BC1760" s="9"/>
      <c r="BD1760" s="9"/>
      <c r="BE1760" s="9"/>
      <c r="BF1760" s="9"/>
      <c r="BG1760" s="9"/>
      <c r="BH1760" s="9"/>
      <c r="BI1760" s="9"/>
      <c r="BJ1760" s="9"/>
      <c r="BK1760" s="9"/>
      <c r="BL1760" s="9"/>
      <c r="BM1760" s="9"/>
      <c r="BN1760" s="9"/>
      <c r="BO1760" s="9"/>
      <c r="BP1760" s="9"/>
      <c r="BQ1760" s="9"/>
      <c r="BR1760" s="9"/>
      <c r="BS1760" s="9"/>
      <c r="BT1760" s="9"/>
      <c r="BU1760" s="9"/>
      <c r="BV1760" s="9"/>
      <c r="BW1760" s="9"/>
      <c r="BX1760" s="9"/>
      <c r="BY1760" s="9"/>
      <c r="BZ1760" s="9"/>
      <c r="CA1760" s="9"/>
      <c r="CB1760" s="9"/>
      <c r="CC1760" s="9"/>
      <c r="CD1760" s="9"/>
      <c r="CE1760" s="9"/>
      <c r="CF1760" s="9"/>
      <c r="CG1760" s="9"/>
      <c r="CH1760" s="9"/>
      <c r="CI1760" s="9"/>
      <c r="CJ1760" s="9"/>
      <c r="CK1760" s="9"/>
      <c r="CL1760" s="9"/>
      <c r="CM1760" s="9"/>
      <c r="CN1760" s="9"/>
      <c r="CO1760" s="9"/>
      <c r="CP1760" s="9"/>
    </row>
    <row r="1761" spans="1:94" ht="30" x14ac:dyDescent="0.25">
      <c r="A1761" s="126" t="s">
        <v>4809</v>
      </c>
      <c r="B1761" s="9" t="s">
        <v>4810</v>
      </c>
      <c r="C1761" s="9"/>
      <c r="D1761" s="9"/>
      <c r="E1761" s="9"/>
      <c r="F1761" s="9"/>
      <c r="G1761" s="9"/>
      <c r="H1761" s="9"/>
      <c r="I1761" s="9"/>
      <c r="J1761" s="9"/>
      <c r="K1761" s="9"/>
      <c r="L1761" s="9"/>
      <c r="M1761" s="9"/>
      <c r="N1761" s="9"/>
      <c r="O1761" s="9"/>
      <c r="P1761" s="9"/>
      <c r="Q1761" s="9"/>
      <c r="R1761" s="9"/>
      <c r="S1761" s="9"/>
      <c r="T1761" s="9"/>
      <c r="U1761" s="9"/>
      <c r="V1761" s="9"/>
      <c r="W1761" s="9"/>
      <c r="X1761" s="9"/>
      <c r="Y1761" s="9"/>
      <c r="Z1761" s="9"/>
      <c r="AA1761" s="9"/>
      <c r="AB1761" s="9"/>
      <c r="AC1761" s="9"/>
      <c r="AD1761" s="9"/>
      <c r="AE1761" s="9"/>
      <c r="AF1761" s="9"/>
      <c r="AG1761" s="9"/>
      <c r="AH1761" s="9"/>
      <c r="AI1761" s="9"/>
      <c r="AJ1761" s="9"/>
      <c r="AK1761" s="9"/>
      <c r="AL1761" s="9"/>
      <c r="AM1761" s="69"/>
      <c r="AN1761" s="9"/>
      <c r="AO1761" s="69" t="s">
        <v>612</v>
      </c>
      <c r="AP1761" s="210"/>
      <c r="AQ1761" s="211"/>
      <c r="AR1761" s="211"/>
      <c r="AS1761" s="211"/>
      <c r="AT1761" s="211"/>
      <c r="AU1761" s="211"/>
      <c r="AV1761" s="211"/>
      <c r="AW1761" s="9"/>
      <c r="AX1761" s="9"/>
      <c r="AY1761" s="9"/>
      <c r="AZ1761" s="9"/>
      <c r="BA1761" s="120"/>
      <c r="BB1761" s="69"/>
      <c r="BC1761" s="9"/>
      <c r="BD1761" s="9"/>
      <c r="BE1761" s="9"/>
      <c r="BF1761" s="9"/>
      <c r="BG1761" s="9"/>
      <c r="BH1761" s="9"/>
      <c r="BI1761" s="9"/>
      <c r="BJ1761" s="9"/>
      <c r="BK1761" s="9"/>
      <c r="BL1761" s="9"/>
      <c r="BM1761" s="9"/>
      <c r="BN1761" s="9"/>
      <c r="BO1761" s="9"/>
      <c r="BP1761" s="9"/>
      <c r="BQ1761" s="9"/>
      <c r="BR1761" s="9"/>
      <c r="BS1761" s="9"/>
      <c r="BT1761" s="9"/>
      <c r="BU1761" s="9"/>
      <c r="BV1761" s="9"/>
      <c r="BW1761" s="9"/>
      <c r="BX1761" s="9"/>
      <c r="BY1761" s="9"/>
      <c r="BZ1761" s="9"/>
      <c r="CA1761" s="9"/>
      <c r="CB1761" s="9"/>
      <c r="CC1761" s="9"/>
      <c r="CD1761" s="9"/>
      <c r="CE1761" s="9"/>
      <c r="CF1761" s="9"/>
      <c r="CG1761" s="9"/>
      <c r="CH1761" s="9"/>
      <c r="CI1761" s="9"/>
      <c r="CJ1761" s="9"/>
      <c r="CK1761" s="9"/>
      <c r="CL1761" s="9"/>
      <c r="CM1761" s="9"/>
      <c r="CN1761" s="9"/>
      <c r="CO1761" s="9"/>
      <c r="CP1761" s="9"/>
    </row>
    <row r="1762" spans="1:94" ht="30" x14ac:dyDescent="0.25">
      <c r="A1762" s="126" t="s">
        <v>4811</v>
      </c>
      <c r="B1762" s="9" t="s">
        <v>4812</v>
      </c>
      <c r="C1762" s="9"/>
      <c r="D1762" s="9"/>
      <c r="E1762" s="9"/>
      <c r="F1762" s="9"/>
      <c r="G1762" s="9"/>
      <c r="H1762" s="9"/>
      <c r="I1762" s="9"/>
      <c r="J1762" s="9"/>
      <c r="K1762" s="9"/>
      <c r="L1762" s="9"/>
      <c r="M1762" s="9"/>
      <c r="N1762" s="9"/>
      <c r="O1762" s="9"/>
      <c r="P1762" s="9"/>
      <c r="Q1762" s="9"/>
      <c r="R1762" s="9"/>
      <c r="S1762" s="9"/>
      <c r="T1762" s="9"/>
      <c r="U1762" s="9"/>
      <c r="V1762" s="9"/>
      <c r="W1762" s="9"/>
      <c r="X1762" s="9"/>
      <c r="Y1762" s="9"/>
      <c r="Z1762" s="9"/>
      <c r="AA1762" s="9"/>
      <c r="AB1762" s="9"/>
      <c r="AC1762" s="9"/>
      <c r="AD1762" s="9"/>
      <c r="AE1762" s="9"/>
      <c r="AF1762" s="9"/>
      <c r="AG1762" s="9"/>
      <c r="AH1762" s="9"/>
      <c r="AI1762" s="9"/>
      <c r="AJ1762" s="9"/>
      <c r="AK1762" s="9"/>
      <c r="AL1762" s="9"/>
      <c r="AM1762" s="69"/>
      <c r="AN1762" s="9"/>
      <c r="AO1762" s="69" t="s">
        <v>612</v>
      </c>
      <c r="AP1762" s="210"/>
      <c r="AQ1762" s="211"/>
      <c r="AR1762" s="211"/>
      <c r="AS1762" s="211"/>
      <c r="AT1762" s="211"/>
      <c r="AU1762" s="211"/>
      <c r="AV1762" s="211"/>
      <c r="AW1762" s="9"/>
      <c r="AX1762" s="9"/>
      <c r="AY1762" s="9"/>
      <c r="AZ1762" s="9"/>
      <c r="BA1762" s="120"/>
      <c r="BB1762" s="69"/>
      <c r="BC1762" s="9"/>
      <c r="BD1762" s="9"/>
      <c r="BE1762" s="9"/>
      <c r="BF1762" s="9"/>
      <c r="BG1762" s="9"/>
      <c r="BH1762" s="9"/>
      <c r="BI1762" s="9"/>
      <c r="BJ1762" s="9"/>
      <c r="BK1762" s="9"/>
      <c r="BL1762" s="9"/>
      <c r="BM1762" s="9"/>
      <c r="BN1762" s="9"/>
      <c r="BO1762" s="9"/>
      <c r="BP1762" s="9"/>
      <c r="BQ1762" s="9"/>
      <c r="BR1762" s="9"/>
      <c r="BS1762" s="9"/>
      <c r="BT1762" s="9"/>
      <c r="BU1762" s="9"/>
      <c r="BV1762" s="9"/>
      <c r="BW1762" s="9"/>
      <c r="BX1762" s="9"/>
      <c r="BY1762" s="9"/>
      <c r="BZ1762" s="9"/>
      <c r="CA1762" s="9"/>
      <c r="CB1762" s="9"/>
      <c r="CC1762" s="9"/>
      <c r="CD1762" s="9"/>
      <c r="CE1762" s="9"/>
      <c r="CF1762" s="9"/>
      <c r="CG1762" s="9"/>
      <c r="CH1762" s="9"/>
      <c r="CI1762" s="9"/>
      <c r="CJ1762" s="9"/>
      <c r="CK1762" s="9"/>
      <c r="CL1762" s="9"/>
      <c r="CM1762" s="9"/>
      <c r="CN1762" s="9"/>
      <c r="CO1762" s="9"/>
      <c r="CP1762" s="9"/>
    </row>
    <row r="1763" spans="1:94" ht="30" x14ac:dyDescent="0.25">
      <c r="A1763" s="126" t="s">
        <v>4813</v>
      </c>
      <c r="B1763" s="9" t="s">
        <v>4814</v>
      </c>
      <c r="C1763" s="9"/>
      <c r="D1763" s="9"/>
      <c r="E1763" s="9"/>
      <c r="F1763" s="9"/>
      <c r="G1763" s="9"/>
      <c r="H1763" s="9"/>
      <c r="I1763" s="9"/>
      <c r="J1763" s="9"/>
      <c r="K1763" s="9"/>
      <c r="L1763" s="9"/>
      <c r="M1763" s="9"/>
      <c r="N1763" s="9"/>
      <c r="O1763" s="9"/>
      <c r="P1763" s="9"/>
      <c r="Q1763" s="9"/>
      <c r="R1763" s="9"/>
      <c r="S1763" s="9"/>
      <c r="T1763" s="9"/>
      <c r="U1763" s="9"/>
      <c r="V1763" s="9"/>
      <c r="W1763" s="9"/>
      <c r="X1763" s="9"/>
      <c r="Y1763" s="9"/>
      <c r="Z1763" s="9"/>
      <c r="AA1763" s="9"/>
      <c r="AB1763" s="9"/>
      <c r="AC1763" s="9"/>
      <c r="AD1763" s="9"/>
      <c r="AE1763" s="9"/>
      <c r="AF1763" s="9"/>
      <c r="AG1763" s="9"/>
      <c r="AH1763" s="9"/>
      <c r="AI1763" s="9"/>
      <c r="AJ1763" s="9"/>
      <c r="AK1763" s="9"/>
      <c r="AL1763" s="9"/>
      <c r="AM1763" s="69"/>
      <c r="AN1763" s="9"/>
      <c r="AO1763" s="69" t="s">
        <v>612</v>
      </c>
      <c r="AP1763" s="210"/>
      <c r="AQ1763" s="211"/>
      <c r="AR1763" s="211"/>
      <c r="AS1763" s="211"/>
      <c r="AT1763" s="211"/>
      <c r="AU1763" s="211"/>
      <c r="AV1763" s="211"/>
      <c r="AW1763" s="9"/>
      <c r="AX1763" s="9"/>
      <c r="AY1763" s="9"/>
      <c r="AZ1763" s="9"/>
      <c r="BA1763" s="120"/>
      <c r="BB1763" s="69"/>
      <c r="BC1763" s="9"/>
      <c r="BD1763" s="9"/>
      <c r="BE1763" s="9"/>
      <c r="BF1763" s="9"/>
      <c r="BG1763" s="9"/>
      <c r="BH1763" s="9"/>
      <c r="BI1763" s="9"/>
      <c r="BJ1763" s="9"/>
      <c r="BK1763" s="9"/>
      <c r="BL1763" s="9"/>
      <c r="BM1763" s="9"/>
      <c r="BN1763" s="9"/>
      <c r="BO1763" s="9"/>
      <c r="BP1763" s="9"/>
      <c r="BQ1763" s="9"/>
      <c r="BR1763" s="9"/>
      <c r="BS1763" s="9"/>
      <c r="BT1763" s="9"/>
      <c r="BU1763" s="9"/>
      <c r="BV1763" s="9"/>
      <c r="BW1763" s="9"/>
      <c r="BX1763" s="9"/>
      <c r="BY1763" s="9"/>
      <c r="BZ1763" s="9"/>
      <c r="CA1763" s="9"/>
      <c r="CB1763" s="9"/>
      <c r="CC1763" s="9"/>
      <c r="CD1763" s="9"/>
      <c r="CE1763" s="9"/>
      <c r="CF1763" s="9"/>
      <c r="CG1763" s="9"/>
      <c r="CH1763" s="9"/>
      <c r="CI1763" s="9"/>
      <c r="CJ1763" s="9"/>
      <c r="CK1763" s="9"/>
      <c r="CL1763" s="9"/>
      <c r="CM1763" s="9"/>
      <c r="CN1763" s="9"/>
      <c r="CO1763" s="9"/>
      <c r="CP1763" s="9"/>
    </row>
    <row r="1764" spans="1:94" ht="30" x14ac:dyDescent="0.25">
      <c r="A1764" s="126" t="s">
        <v>4815</v>
      </c>
      <c r="B1764" s="9" t="s">
        <v>4752</v>
      </c>
      <c r="C1764" s="9"/>
      <c r="D1764" s="9"/>
      <c r="E1764" s="9"/>
      <c r="F1764" s="9"/>
      <c r="G1764" s="9"/>
      <c r="H1764" s="9"/>
      <c r="I1764" s="9"/>
      <c r="J1764" s="9"/>
      <c r="K1764" s="9"/>
      <c r="L1764" s="9"/>
      <c r="M1764" s="9"/>
      <c r="N1764" s="9"/>
      <c r="O1764" s="9"/>
      <c r="P1764" s="9"/>
      <c r="Q1764" s="9"/>
      <c r="R1764" s="9"/>
      <c r="S1764" s="9"/>
      <c r="T1764" s="9"/>
      <c r="U1764" s="9"/>
      <c r="V1764" s="9"/>
      <c r="W1764" s="9"/>
      <c r="X1764" s="9"/>
      <c r="Y1764" s="9"/>
      <c r="Z1764" s="9"/>
      <c r="AA1764" s="9"/>
      <c r="AB1764" s="9"/>
      <c r="AC1764" s="9"/>
      <c r="AD1764" s="9"/>
      <c r="AE1764" s="9"/>
      <c r="AF1764" s="9"/>
      <c r="AG1764" s="9"/>
      <c r="AH1764" s="9"/>
      <c r="AI1764" s="9"/>
      <c r="AJ1764" s="9"/>
      <c r="AK1764" s="9"/>
      <c r="AL1764" s="9"/>
      <c r="AM1764" s="69"/>
      <c r="AN1764" s="9"/>
      <c r="AO1764" s="69" t="s">
        <v>612</v>
      </c>
      <c r="AP1764" s="210"/>
      <c r="AQ1764" s="211"/>
      <c r="AR1764" s="211"/>
      <c r="AS1764" s="211"/>
      <c r="AT1764" s="211"/>
      <c r="AU1764" s="211"/>
      <c r="AV1764" s="211"/>
      <c r="AW1764" s="9"/>
      <c r="AX1764" s="9"/>
      <c r="AY1764" s="9"/>
      <c r="AZ1764" s="9"/>
      <c r="BA1764" s="120"/>
      <c r="BB1764" s="69"/>
      <c r="BC1764" s="9"/>
      <c r="BD1764" s="9"/>
      <c r="BE1764" s="9"/>
      <c r="BF1764" s="9"/>
      <c r="BG1764" s="9"/>
      <c r="BH1764" s="9"/>
      <c r="BI1764" s="9"/>
      <c r="BJ1764" s="9"/>
      <c r="BK1764" s="9"/>
      <c r="BL1764" s="9"/>
      <c r="BM1764" s="9"/>
      <c r="BN1764" s="9"/>
      <c r="BO1764" s="9"/>
      <c r="BP1764" s="9"/>
      <c r="BQ1764" s="9"/>
      <c r="BR1764" s="9"/>
      <c r="BS1764" s="9"/>
      <c r="BT1764" s="9"/>
      <c r="BU1764" s="9"/>
      <c r="BV1764" s="9"/>
      <c r="BW1764" s="9"/>
      <c r="BX1764" s="9"/>
      <c r="BY1764" s="9"/>
      <c r="BZ1764" s="9"/>
      <c r="CA1764" s="9"/>
      <c r="CB1764" s="9"/>
      <c r="CC1764" s="9"/>
      <c r="CD1764" s="9"/>
      <c r="CE1764" s="9"/>
      <c r="CF1764" s="9"/>
      <c r="CG1764" s="9"/>
      <c r="CH1764" s="9"/>
      <c r="CI1764" s="9"/>
      <c r="CJ1764" s="9"/>
      <c r="CK1764" s="9"/>
      <c r="CL1764" s="9"/>
      <c r="CM1764" s="9"/>
      <c r="CN1764" s="9"/>
      <c r="CO1764" s="9"/>
      <c r="CP1764" s="9"/>
    </row>
    <row r="1765" spans="1:94" ht="30" x14ac:dyDescent="0.25">
      <c r="A1765" s="126" t="s">
        <v>4816</v>
      </c>
      <c r="B1765" s="9" t="s">
        <v>4817</v>
      </c>
      <c r="C1765" s="9"/>
      <c r="D1765" s="9"/>
      <c r="E1765" s="9"/>
      <c r="F1765" s="9"/>
      <c r="G1765" s="9"/>
      <c r="H1765" s="9"/>
      <c r="I1765" s="9"/>
      <c r="J1765" s="9"/>
      <c r="K1765" s="9"/>
      <c r="L1765" s="9"/>
      <c r="M1765" s="9"/>
      <c r="N1765" s="9"/>
      <c r="O1765" s="9"/>
      <c r="P1765" s="9"/>
      <c r="Q1765" s="9"/>
      <c r="R1765" s="9"/>
      <c r="S1765" s="9"/>
      <c r="T1765" s="9"/>
      <c r="U1765" s="9"/>
      <c r="V1765" s="9"/>
      <c r="W1765" s="9"/>
      <c r="X1765" s="9"/>
      <c r="Y1765" s="9"/>
      <c r="Z1765" s="9"/>
      <c r="AA1765" s="9"/>
      <c r="AB1765" s="9"/>
      <c r="AC1765" s="9"/>
      <c r="AD1765" s="9"/>
      <c r="AE1765" s="9"/>
      <c r="AF1765" s="9"/>
      <c r="AG1765" s="9"/>
      <c r="AH1765" s="9"/>
      <c r="AI1765" s="9"/>
      <c r="AJ1765" s="9"/>
      <c r="AK1765" s="9"/>
      <c r="AL1765" s="9"/>
      <c r="AM1765" s="69"/>
      <c r="AN1765" s="9"/>
      <c r="AO1765" s="69" t="s">
        <v>612</v>
      </c>
      <c r="AP1765" s="210"/>
      <c r="AQ1765" s="211"/>
      <c r="AR1765" s="211"/>
      <c r="AS1765" s="211"/>
      <c r="AT1765" s="211"/>
      <c r="AU1765" s="211"/>
      <c r="AV1765" s="211"/>
      <c r="AW1765" s="9"/>
      <c r="AX1765" s="9"/>
      <c r="AY1765" s="9"/>
      <c r="AZ1765" s="9"/>
      <c r="BA1765" s="120"/>
      <c r="BB1765" s="69"/>
      <c r="BC1765" s="9"/>
      <c r="BD1765" s="9"/>
      <c r="BE1765" s="9"/>
      <c r="BF1765" s="9"/>
      <c r="BG1765" s="9"/>
      <c r="BH1765" s="9"/>
      <c r="BI1765" s="9"/>
      <c r="BJ1765" s="9"/>
      <c r="BK1765" s="9"/>
      <c r="BL1765" s="9"/>
      <c r="BM1765" s="9"/>
      <c r="BN1765" s="9"/>
      <c r="BO1765" s="9"/>
      <c r="BP1765" s="9"/>
      <c r="BQ1765" s="9"/>
      <c r="BR1765" s="9"/>
      <c r="BS1765" s="9"/>
      <c r="BT1765" s="9"/>
      <c r="BU1765" s="9"/>
      <c r="BV1765" s="9"/>
      <c r="BW1765" s="9"/>
      <c r="BX1765" s="9"/>
      <c r="BY1765" s="9"/>
      <c r="BZ1765" s="9"/>
      <c r="CA1765" s="9"/>
      <c r="CB1765" s="9"/>
      <c r="CC1765" s="9"/>
      <c r="CD1765" s="9"/>
      <c r="CE1765" s="9"/>
      <c r="CF1765" s="9"/>
      <c r="CG1765" s="9"/>
      <c r="CH1765" s="9"/>
      <c r="CI1765" s="9"/>
      <c r="CJ1765" s="9"/>
      <c r="CK1765" s="9"/>
      <c r="CL1765" s="9"/>
      <c r="CM1765" s="9"/>
      <c r="CN1765" s="9"/>
      <c r="CO1765" s="9"/>
      <c r="CP1765" s="9"/>
    </row>
    <row r="1766" spans="1:94" ht="30" x14ac:dyDescent="0.25">
      <c r="A1766" s="126" t="s">
        <v>4818</v>
      </c>
      <c r="B1766" s="9" t="s">
        <v>4819</v>
      </c>
      <c r="C1766" s="9"/>
      <c r="D1766" s="9"/>
      <c r="E1766" s="9"/>
      <c r="F1766" s="9"/>
      <c r="G1766" s="9"/>
      <c r="H1766" s="9"/>
      <c r="I1766" s="9"/>
      <c r="J1766" s="9"/>
      <c r="K1766" s="9"/>
      <c r="L1766" s="9"/>
      <c r="M1766" s="9"/>
      <c r="N1766" s="9"/>
      <c r="O1766" s="9"/>
      <c r="P1766" s="9"/>
      <c r="Q1766" s="9"/>
      <c r="R1766" s="9"/>
      <c r="S1766" s="9"/>
      <c r="T1766" s="9"/>
      <c r="U1766" s="9"/>
      <c r="V1766" s="9"/>
      <c r="W1766" s="9"/>
      <c r="X1766" s="9"/>
      <c r="Y1766" s="9"/>
      <c r="Z1766" s="9"/>
      <c r="AA1766" s="9"/>
      <c r="AB1766" s="9"/>
      <c r="AC1766" s="9"/>
      <c r="AD1766" s="9"/>
      <c r="AE1766" s="9"/>
      <c r="AF1766" s="9"/>
      <c r="AG1766" s="9"/>
      <c r="AH1766" s="9"/>
      <c r="AI1766" s="9"/>
      <c r="AJ1766" s="9"/>
      <c r="AK1766" s="9"/>
      <c r="AL1766" s="9"/>
      <c r="AM1766" s="69"/>
      <c r="AN1766" s="9"/>
      <c r="AO1766" s="69" t="s">
        <v>612</v>
      </c>
      <c r="AP1766" s="210"/>
      <c r="AQ1766" s="211"/>
      <c r="AR1766" s="211"/>
      <c r="AS1766" s="211"/>
      <c r="AT1766" s="211"/>
      <c r="AU1766" s="211"/>
      <c r="AV1766" s="211"/>
      <c r="AW1766" s="9"/>
      <c r="AX1766" s="9"/>
      <c r="AY1766" s="9"/>
      <c r="AZ1766" s="9"/>
      <c r="BA1766" s="120"/>
      <c r="BB1766" s="69"/>
      <c r="BC1766" s="9"/>
      <c r="BD1766" s="9"/>
      <c r="BE1766" s="9"/>
      <c r="BF1766" s="9"/>
      <c r="BG1766" s="9"/>
      <c r="BH1766" s="9"/>
      <c r="BI1766" s="9"/>
      <c r="BJ1766" s="9"/>
      <c r="BK1766" s="9"/>
      <c r="BL1766" s="9"/>
      <c r="BM1766" s="9"/>
      <c r="BN1766" s="9"/>
      <c r="BO1766" s="9"/>
      <c r="BP1766" s="9"/>
      <c r="BQ1766" s="9"/>
      <c r="BR1766" s="9"/>
      <c r="BS1766" s="9"/>
      <c r="BT1766" s="9"/>
      <c r="BU1766" s="9"/>
      <c r="BV1766" s="9"/>
      <c r="BW1766" s="9"/>
      <c r="BX1766" s="9"/>
      <c r="BY1766" s="9"/>
      <c r="BZ1766" s="9"/>
      <c r="CA1766" s="9"/>
      <c r="CB1766" s="9"/>
      <c r="CC1766" s="9"/>
      <c r="CD1766" s="9"/>
      <c r="CE1766" s="9"/>
      <c r="CF1766" s="9"/>
      <c r="CG1766" s="9"/>
      <c r="CH1766" s="9"/>
      <c r="CI1766" s="9"/>
      <c r="CJ1766" s="9"/>
      <c r="CK1766" s="9"/>
      <c r="CL1766" s="9"/>
      <c r="CM1766" s="9"/>
      <c r="CN1766" s="9"/>
      <c r="CO1766" s="9"/>
      <c r="CP1766" s="9"/>
    </row>
    <row r="1767" spans="1:94" ht="30" x14ac:dyDescent="0.25">
      <c r="A1767" s="126" t="s">
        <v>4820</v>
      </c>
      <c r="B1767" s="9" t="s">
        <v>4821</v>
      </c>
      <c r="C1767" s="9"/>
      <c r="D1767" s="9"/>
      <c r="E1767" s="9"/>
      <c r="F1767" s="9"/>
      <c r="G1767" s="9"/>
      <c r="H1767" s="9"/>
      <c r="I1767" s="9"/>
      <c r="J1767" s="9"/>
      <c r="K1767" s="9"/>
      <c r="L1767" s="9"/>
      <c r="M1767" s="9"/>
      <c r="N1767" s="9"/>
      <c r="O1767" s="9"/>
      <c r="P1767" s="9"/>
      <c r="Q1767" s="9"/>
      <c r="R1767" s="9"/>
      <c r="S1767" s="9"/>
      <c r="T1767" s="9"/>
      <c r="U1767" s="9"/>
      <c r="V1767" s="9"/>
      <c r="W1767" s="9"/>
      <c r="X1767" s="9"/>
      <c r="Y1767" s="9"/>
      <c r="Z1767" s="9"/>
      <c r="AA1767" s="9"/>
      <c r="AB1767" s="9"/>
      <c r="AC1767" s="9"/>
      <c r="AD1767" s="9"/>
      <c r="AE1767" s="9"/>
      <c r="AF1767" s="9"/>
      <c r="AG1767" s="9"/>
      <c r="AH1767" s="9"/>
      <c r="AI1767" s="9"/>
      <c r="AJ1767" s="9"/>
      <c r="AK1767" s="9"/>
      <c r="AL1767" s="9"/>
      <c r="AM1767" s="69"/>
      <c r="AN1767" s="9"/>
      <c r="AO1767" s="69" t="s">
        <v>612</v>
      </c>
      <c r="AP1767" s="210"/>
      <c r="AQ1767" s="211"/>
      <c r="AR1767" s="211"/>
      <c r="AS1767" s="211"/>
      <c r="AT1767" s="211"/>
      <c r="AU1767" s="211"/>
      <c r="AV1767" s="211"/>
      <c r="AW1767" s="9"/>
      <c r="AX1767" s="9"/>
      <c r="AY1767" s="9"/>
      <c r="AZ1767" s="9"/>
      <c r="BA1767" s="120"/>
      <c r="BB1767" s="69"/>
      <c r="BC1767" s="9"/>
      <c r="BD1767" s="9"/>
      <c r="BE1767" s="9"/>
      <c r="BF1767" s="9"/>
      <c r="BG1767" s="9"/>
      <c r="BH1767" s="9"/>
      <c r="BI1767" s="9"/>
      <c r="BJ1767" s="9"/>
      <c r="BK1767" s="9"/>
      <c r="BL1767" s="9"/>
      <c r="BM1767" s="9"/>
      <c r="BN1767" s="9"/>
      <c r="BO1767" s="9"/>
      <c r="BP1767" s="9"/>
      <c r="BQ1767" s="9"/>
      <c r="BR1767" s="9"/>
      <c r="BS1767" s="9"/>
      <c r="BT1767" s="9"/>
      <c r="BU1767" s="9"/>
      <c r="BV1767" s="9"/>
      <c r="BW1767" s="9"/>
      <c r="BX1767" s="9"/>
      <c r="BY1767" s="9"/>
      <c r="BZ1767" s="9"/>
      <c r="CA1767" s="9"/>
      <c r="CB1767" s="9"/>
      <c r="CC1767" s="9"/>
      <c r="CD1767" s="9"/>
      <c r="CE1767" s="9"/>
      <c r="CF1767" s="9"/>
      <c r="CG1767" s="9"/>
      <c r="CH1767" s="9"/>
      <c r="CI1767" s="9"/>
      <c r="CJ1767" s="9"/>
      <c r="CK1767" s="9"/>
      <c r="CL1767" s="9"/>
      <c r="CM1767" s="9"/>
      <c r="CN1767" s="9"/>
      <c r="CO1767" s="9"/>
      <c r="CP1767" s="9"/>
    </row>
    <row r="1768" spans="1:94" ht="30" x14ac:dyDescent="0.25">
      <c r="A1768" s="126" t="s">
        <v>4822</v>
      </c>
      <c r="B1768" s="9" t="s">
        <v>4823</v>
      </c>
      <c r="C1768" s="9"/>
      <c r="D1768" s="9"/>
      <c r="E1768" s="9"/>
      <c r="F1768" s="9"/>
      <c r="G1768" s="9"/>
      <c r="H1768" s="9"/>
      <c r="I1768" s="9"/>
      <c r="J1768" s="9"/>
      <c r="K1768" s="9"/>
      <c r="L1768" s="9"/>
      <c r="M1768" s="9"/>
      <c r="N1768" s="9"/>
      <c r="O1768" s="9"/>
      <c r="P1768" s="9"/>
      <c r="Q1768" s="9"/>
      <c r="R1768" s="9"/>
      <c r="S1768" s="9"/>
      <c r="T1768" s="9"/>
      <c r="U1768" s="9"/>
      <c r="V1768" s="9"/>
      <c r="W1768" s="9"/>
      <c r="X1768" s="9"/>
      <c r="Y1768" s="9"/>
      <c r="Z1768" s="9"/>
      <c r="AA1768" s="9"/>
      <c r="AB1768" s="9"/>
      <c r="AC1768" s="9"/>
      <c r="AD1768" s="9"/>
      <c r="AE1768" s="9"/>
      <c r="AF1768" s="9"/>
      <c r="AG1768" s="9"/>
      <c r="AH1768" s="9"/>
      <c r="AI1768" s="9"/>
      <c r="AJ1768" s="9"/>
      <c r="AK1768" s="9"/>
      <c r="AL1768" s="9"/>
      <c r="AM1768" s="69"/>
      <c r="AN1768" s="9"/>
      <c r="AO1768" s="69" t="s">
        <v>3351</v>
      </c>
      <c r="AP1768" s="210"/>
      <c r="AQ1768" s="211"/>
      <c r="AR1768" s="211"/>
      <c r="AS1768" s="211"/>
      <c r="AT1768" s="211"/>
      <c r="AU1768" s="211"/>
      <c r="AV1768" s="211"/>
      <c r="AW1768" s="9"/>
      <c r="AX1768" s="9"/>
      <c r="AY1768" s="9"/>
      <c r="AZ1768" s="9"/>
      <c r="BA1768" s="120"/>
      <c r="BB1768" s="69"/>
      <c r="BC1768" s="9"/>
      <c r="BD1768" s="9"/>
      <c r="BE1768" s="9"/>
      <c r="BF1768" s="9"/>
      <c r="BG1768" s="9"/>
      <c r="BH1768" s="9"/>
      <c r="BI1768" s="9"/>
      <c r="BJ1768" s="9"/>
      <c r="BK1768" s="9"/>
      <c r="BL1768" s="9"/>
      <c r="BM1768" s="9"/>
      <c r="BN1768" s="9"/>
      <c r="BO1768" s="9"/>
      <c r="BP1768" s="9"/>
      <c r="BQ1768" s="9"/>
      <c r="BR1768" s="9"/>
      <c r="BS1768" s="9"/>
      <c r="BT1768" s="9"/>
      <c r="BU1768" s="9"/>
      <c r="BV1768" s="9"/>
      <c r="BW1768" s="9"/>
      <c r="BX1768" s="9"/>
      <c r="BY1768" s="9"/>
      <c r="BZ1768" s="9"/>
      <c r="CA1768" s="9"/>
      <c r="CB1768" s="9"/>
      <c r="CC1768" s="9"/>
      <c r="CD1768" s="9"/>
      <c r="CE1768" s="9"/>
      <c r="CF1768" s="9"/>
      <c r="CG1768" s="9"/>
      <c r="CH1768" s="9"/>
      <c r="CI1768" s="9"/>
      <c r="CJ1768" s="9"/>
      <c r="CK1768" s="9"/>
      <c r="CL1768" s="9"/>
      <c r="CM1768" s="9"/>
      <c r="CN1768" s="9"/>
      <c r="CO1768" s="9"/>
      <c r="CP1768" s="9"/>
    </row>
    <row r="1769" spans="1:94" ht="15.75" x14ac:dyDescent="0.25">
      <c r="A1769" s="126" t="s">
        <v>4824</v>
      </c>
      <c r="B1769" s="9" t="s">
        <v>4825</v>
      </c>
      <c r="C1769" s="9"/>
      <c r="D1769" s="9"/>
      <c r="E1769" s="9"/>
      <c r="F1769" s="9"/>
      <c r="G1769" s="9"/>
      <c r="H1769" s="9"/>
      <c r="I1769" s="9"/>
      <c r="J1769" s="9"/>
      <c r="K1769" s="9"/>
      <c r="L1769" s="9"/>
      <c r="M1769" s="9"/>
      <c r="N1769" s="9"/>
      <c r="O1769" s="9"/>
      <c r="P1769" s="9"/>
      <c r="Q1769" s="9"/>
      <c r="R1769" s="9"/>
      <c r="S1769" s="9"/>
      <c r="T1769" s="9"/>
      <c r="U1769" s="9"/>
      <c r="V1769" s="9"/>
      <c r="W1769" s="9"/>
      <c r="X1769" s="9"/>
      <c r="Y1769" s="9"/>
      <c r="Z1769" s="9"/>
      <c r="AA1769" s="9"/>
      <c r="AB1769" s="9"/>
      <c r="AC1769" s="9"/>
      <c r="AD1769" s="9"/>
      <c r="AE1769" s="9"/>
      <c r="AF1769" s="9"/>
      <c r="AG1769" s="9"/>
      <c r="AH1769" s="9"/>
      <c r="AI1769" s="9"/>
      <c r="AJ1769" s="9"/>
      <c r="AK1769" s="9"/>
      <c r="AL1769" s="9"/>
      <c r="AM1769" s="69"/>
      <c r="AN1769" s="9"/>
      <c r="AO1769" s="69" t="s">
        <v>4434</v>
      </c>
      <c r="AP1769" s="210"/>
      <c r="AQ1769" s="211"/>
      <c r="AR1769" s="211"/>
      <c r="AS1769" s="211"/>
      <c r="AT1769" s="211"/>
      <c r="AU1769" s="211"/>
      <c r="AV1769" s="211"/>
      <c r="AW1769" s="9"/>
      <c r="AX1769" s="9"/>
      <c r="AY1769" s="9"/>
      <c r="AZ1769" s="9"/>
      <c r="BA1769" s="120"/>
      <c r="BB1769" s="69"/>
      <c r="BC1769" s="9"/>
      <c r="BD1769" s="9"/>
      <c r="BE1769" s="9"/>
      <c r="BF1769" s="9"/>
      <c r="BG1769" s="9"/>
      <c r="BH1769" s="9"/>
      <c r="BI1769" s="9"/>
      <c r="BJ1769" s="9"/>
      <c r="BK1769" s="9"/>
      <c r="BL1769" s="9"/>
      <c r="BM1769" s="9"/>
      <c r="BN1769" s="9"/>
      <c r="BO1769" s="9"/>
      <c r="BP1769" s="9"/>
      <c r="BQ1769" s="9"/>
      <c r="BR1769" s="9"/>
      <c r="BS1769" s="9"/>
      <c r="BT1769" s="9"/>
      <c r="BU1769" s="9"/>
      <c r="BV1769" s="9"/>
      <c r="BW1769" s="9"/>
      <c r="BX1769" s="9"/>
      <c r="BY1769" s="9"/>
      <c r="BZ1769" s="9"/>
      <c r="CA1769" s="9"/>
      <c r="CB1769" s="9"/>
      <c r="CC1769" s="9"/>
      <c r="CD1769" s="9"/>
      <c r="CE1769" s="9"/>
      <c r="CF1769" s="9"/>
      <c r="CG1769" s="9"/>
      <c r="CH1769" s="9"/>
      <c r="CI1769" s="9"/>
      <c r="CJ1769" s="9"/>
      <c r="CK1769" s="9"/>
      <c r="CL1769" s="9"/>
      <c r="CM1769" s="9"/>
      <c r="CN1769" s="9"/>
      <c r="CO1769" s="9"/>
      <c r="CP1769" s="9"/>
    </row>
    <row r="1770" spans="1:94" x14ac:dyDescent="0.25">
      <c r="A1770" s="9" t="s">
        <v>4826</v>
      </c>
      <c r="B1770" s="9" t="s">
        <v>4827</v>
      </c>
      <c r="C1770" s="9"/>
      <c r="D1770" s="9"/>
      <c r="E1770" s="9"/>
      <c r="F1770" s="9"/>
      <c r="G1770" s="9"/>
      <c r="H1770" s="9"/>
      <c r="I1770" s="9"/>
      <c r="J1770" s="9"/>
      <c r="K1770" s="9"/>
      <c r="L1770" s="9"/>
      <c r="M1770" s="9"/>
      <c r="N1770" s="9"/>
      <c r="O1770" s="9"/>
      <c r="P1770" s="9"/>
      <c r="Q1770" s="9"/>
      <c r="R1770" s="9"/>
      <c r="S1770" s="9"/>
      <c r="T1770" s="9"/>
      <c r="U1770" s="9"/>
      <c r="V1770" s="9"/>
      <c r="W1770" s="9"/>
      <c r="X1770" s="9"/>
      <c r="Y1770" s="9"/>
      <c r="Z1770" s="9"/>
      <c r="AA1770" s="9"/>
      <c r="AB1770" s="9"/>
      <c r="AC1770" s="9"/>
      <c r="AD1770" s="9"/>
      <c r="AE1770" s="9"/>
      <c r="AF1770" s="9"/>
      <c r="AG1770" s="9"/>
      <c r="AH1770" s="9"/>
      <c r="AI1770" s="9"/>
      <c r="AJ1770" s="9"/>
      <c r="AK1770" s="9"/>
      <c r="AL1770" s="9"/>
      <c r="AM1770" s="69"/>
      <c r="AN1770" s="9"/>
      <c r="AO1770" s="69" t="s">
        <v>2150</v>
      </c>
      <c r="AP1770" s="210"/>
      <c r="AQ1770" s="211"/>
      <c r="AR1770" s="211"/>
      <c r="AS1770" s="211"/>
      <c r="AT1770" s="211"/>
      <c r="AU1770" s="211"/>
      <c r="AV1770" s="211"/>
      <c r="AW1770" s="9"/>
      <c r="AX1770" s="9"/>
      <c r="AY1770" s="9"/>
      <c r="AZ1770" s="9"/>
      <c r="BA1770" s="120"/>
      <c r="BB1770" s="69"/>
      <c r="BC1770" s="9"/>
      <c r="BD1770" s="9"/>
      <c r="BE1770" s="9"/>
      <c r="BF1770" s="9"/>
      <c r="BG1770" s="9"/>
      <c r="BH1770" s="9"/>
      <c r="BI1770" s="9"/>
      <c r="BJ1770" s="9"/>
      <c r="BK1770" s="9"/>
      <c r="BL1770" s="9"/>
      <c r="BM1770" s="9"/>
      <c r="BN1770" s="9"/>
      <c r="BO1770" s="9"/>
      <c r="BP1770" s="9"/>
      <c r="BQ1770" s="9"/>
      <c r="BR1770" s="9"/>
      <c r="BS1770" s="9"/>
      <c r="BT1770" s="9"/>
      <c r="BU1770" s="9"/>
      <c r="BV1770" s="9"/>
      <c r="BW1770" s="9"/>
      <c r="BX1770" s="9"/>
      <c r="BY1770" s="9"/>
      <c r="BZ1770" s="9"/>
      <c r="CA1770" s="9"/>
      <c r="CB1770" s="9"/>
      <c r="CC1770" s="9"/>
      <c r="CD1770" s="9"/>
      <c r="CE1770" s="9"/>
      <c r="CF1770" s="9"/>
      <c r="CG1770" s="9"/>
      <c r="CH1770" s="9"/>
      <c r="CI1770" s="9"/>
      <c r="CJ1770" s="9"/>
      <c r="CK1770" s="9"/>
      <c r="CL1770" s="9"/>
      <c r="CM1770" s="9"/>
      <c r="CN1770" s="9"/>
      <c r="CO1770" s="9"/>
      <c r="CP1770" s="9"/>
    </row>
    <row r="1771" spans="1:94" x14ac:dyDescent="0.25">
      <c r="A1771" s="9" t="s">
        <v>4828</v>
      </c>
      <c r="B1771" s="9" t="s">
        <v>4829</v>
      </c>
      <c r="C1771" s="9"/>
      <c r="D1771" s="9"/>
      <c r="E1771" s="9"/>
      <c r="F1771" s="9"/>
      <c r="G1771" s="9"/>
      <c r="H1771" s="9"/>
      <c r="I1771" s="9"/>
      <c r="J1771" s="9"/>
      <c r="K1771" s="9"/>
      <c r="L1771" s="9"/>
      <c r="M1771" s="9"/>
      <c r="N1771" s="9"/>
      <c r="O1771" s="9"/>
      <c r="P1771" s="9"/>
      <c r="Q1771" s="9"/>
      <c r="R1771" s="9"/>
      <c r="S1771" s="9"/>
      <c r="T1771" s="9"/>
      <c r="U1771" s="9"/>
      <c r="V1771" s="9"/>
      <c r="W1771" s="9"/>
      <c r="X1771" s="9"/>
      <c r="Y1771" s="9"/>
      <c r="Z1771" s="9"/>
      <c r="AA1771" s="9"/>
      <c r="AB1771" s="9"/>
      <c r="AC1771" s="9"/>
      <c r="AD1771" s="9"/>
      <c r="AE1771" s="9"/>
      <c r="AF1771" s="9"/>
      <c r="AG1771" s="9"/>
      <c r="AH1771" s="9"/>
      <c r="AI1771" s="9"/>
      <c r="AJ1771" s="9"/>
      <c r="AK1771" s="9"/>
      <c r="AL1771" s="9"/>
      <c r="AM1771" s="69"/>
      <c r="AN1771" s="9"/>
      <c r="AO1771" s="69" t="s">
        <v>2150</v>
      </c>
      <c r="AP1771" s="210"/>
      <c r="AQ1771" s="211"/>
      <c r="AR1771" s="211"/>
      <c r="AS1771" s="211"/>
      <c r="AT1771" s="211"/>
      <c r="AU1771" s="211"/>
      <c r="AV1771" s="211"/>
      <c r="AW1771" s="9"/>
      <c r="AX1771" s="9"/>
      <c r="AY1771" s="9"/>
      <c r="AZ1771" s="9"/>
      <c r="BA1771" s="120"/>
      <c r="BB1771" s="69"/>
      <c r="BC1771" s="9"/>
      <c r="BD1771" s="9"/>
      <c r="BE1771" s="9"/>
      <c r="BF1771" s="9"/>
      <c r="BG1771" s="9"/>
      <c r="BH1771" s="9"/>
      <c r="BI1771" s="9"/>
      <c r="BJ1771" s="9"/>
      <c r="BK1771" s="9"/>
      <c r="BL1771" s="9"/>
      <c r="BM1771" s="9"/>
      <c r="BN1771" s="9"/>
      <c r="BO1771" s="9"/>
      <c r="BP1771" s="9"/>
      <c r="BQ1771" s="9"/>
      <c r="BR1771" s="9"/>
      <c r="BS1771" s="9"/>
      <c r="BT1771" s="9"/>
      <c r="BU1771" s="9"/>
      <c r="BV1771" s="9"/>
      <c r="BW1771" s="9"/>
      <c r="BX1771" s="9"/>
      <c r="BY1771" s="9"/>
      <c r="BZ1771" s="9"/>
      <c r="CA1771" s="9"/>
      <c r="CB1771" s="9"/>
      <c r="CC1771" s="9"/>
      <c r="CD1771" s="9"/>
      <c r="CE1771" s="9"/>
      <c r="CF1771" s="9"/>
      <c r="CG1771" s="9"/>
      <c r="CH1771" s="9"/>
      <c r="CI1771" s="9"/>
      <c r="CJ1771" s="9"/>
      <c r="CK1771" s="9"/>
      <c r="CL1771" s="9"/>
      <c r="CM1771" s="9"/>
      <c r="CN1771" s="9"/>
      <c r="CO1771" s="9"/>
      <c r="CP1771" s="9"/>
    </row>
    <row r="1772" spans="1:94" ht="15.75" x14ac:dyDescent="0.25">
      <c r="A1772" s="126" t="s">
        <v>4830</v>
      </c>
      <c r="B1772" s="9" t="s">
        <v>4831</v>
      </c>
      <c r="C1772" s="9"/>
      <c r="D1772" s="9"/>
      <c r="E1772" s="9"/>
      <c r="F1772" s="9"/>
      <c r="G1772" s="9"/>
      <c r="H1772" s="9"/>
      <c r="I1772" s="9"/>
      <c r="J1772" s="9"/>
      <c r="K1772" s="9"/>
      <c r="L1772" s="9"/>
      <c r="M1772" s="9"/>
      <c r="N1772" s="9"/>
      <c r="O1772" s="9"/>
      <c r="P1772" s="9"/>
      <c r="Q1772" s="9"/>
      <c r="R1772" s="9"/>
      <c r="S1772" s="9"/>
      <c r="T1772" s="9"/>
      <c r="U1772" s="9"/>
      <c r="V1772" s="9"/>
      <c r="W1772" s="9"/>
      <c r="X1772" s="9"/>
      <c r="Y1772" s="9"/>
      <c r="Z1772" s="9"/>
      <c r="AA1772" s="9"/>
      <c r="AB1772" s="9"/>
      <c r="AC1772" s="9"/>
      <c r="AD1772" s="9"/>
      <c r="AE1772" s="9"/>
      <c r="AF1772" s="9"/>
      <c r="AG1772" s="9"/>
      <c r="AH1772" s="9"/>
      <c r="AI1772" s="9"/>
      <c r="AJ1772" s="9"/>
      <c r="AK1772" s="9"/>
      <c r="AL1772" s="9"/>
      <c r="AM1772" s="69"/>
      <c r="AN1772" s="9"/>
      <c r="AO1772" s="69" t="s">
        <v>2150</v>
      </c>
      <c r="AP1772" s="210"/>
      <c r="AQ1772" s="211"/>
      <c r="AR1772" s="211"/>
      <c r="AS1772" s="211"/>
      <c r="AT1772" s="211"/>
      <c r="AU1772" s="211"/>
      <c r="AV1772" s="211"/>
      <c r="AW1772" s="9"/>
      <c r="AX1772" s="9"/>
      <c r="AY1772" s="9"/>
      <c r="AZ1772" s="9"/>
      <c r="BA1772" s="120"/>
      <c r="BB1772" s="69"/>
      <c r="BC1772" s="9"/>
      <c r="BD1772" s="9"/>
      <c r="BE1772" s="9"/>
      <c r="BF1772" s="9"/>
      <c r="BG1772" s="9"/>
      <c r="BH1772" s="9"/>
      <c r="BI1772" s="9"/>
      <c r="BJ1772" s="9"/>
      <c r="BK1772" s="9"/>
      <c r="BL1772" s="9"/>
      <c r="BM1772" s="9"/>
      <c r="BN1772" s="9"/>
      <c r="BO1772" s="9"/>
      <c r="BP1772" s="9"/>
      <c r="BQ1772" s="9"/>
      <c r="BR1772" s="9"/>
      <c r="BS1772" s="9"/>
      <c r="BT1772" s="9"/>
      <c r="BU1772" s="9"/>
      <c r="BV1772" s="9"/>
      <c r="BW1772" s="9"/>
      <c r="BX1772" s="9"/>
      <c r="BY1772" s="9"/>
      <c r="BZ1772" s="9"/>
      <c r="CA1772" s="9"/>
      <c r="CB1772" s="9"/>
      <c r="CC1772" s="9"/>
      <c r="CD1772" s="9"/>
      <c r="CE1772" s="9"/>
      <c r="CF1772" s="9"/>
      <c r="CG1772" s="9"/>
      <c r="CH1772" s="9"/>
      <c r="CI1772" s="9"/>
      <c r="CJ1772" s="9"/>
      <c r="CK1772" s="9"/>
      <c r="CL1772" s="9"/>
      <c r="CM1772" s="9"/>
      <c r="CN1772" s="9"/>
      <c r="CO1772" s="9"/>
      <c r="CP1772" s="9"/>
    </row>
    <row r="1773" spans="1:94" ht="30" x14ac:dyDescent="0.25">
      <c r="A1773" s="126" t="s">
        <v>4832</v>
      </c>
      <c r="B1773" s="9" t="s">
        <v>4833</v>
      </c>
      <c r="C1773" s="9"/>
      <c r="D1773" s="9"/>
      <c r="E1773" s="9"/>
      <c r="F1773" s="9"/>
      <c r="G1773" s="9"/>
      <c r="H1773" s="9"/>
      <c r="I1773" s="9"/>
      <c r="J1773" s="9"/>
      <c r="K1773" s="9"/>
      <c r="L1773" s="9"/>
      <c r="M1773" s="9"/>
      <c r="N1773" s="9"/>
      <c r="O1773" s="9"/>
      <c r="P1773" s="9"/>
      <c r="Q1773" s="9"/>
      <c r="R1773" s="9"/>
      <c r="S1773" s="9"/>
      <c r="T1773" s="9"/>
      <c r="U1773" s="9"/>
      <c r="V1773" s="9"/>
      <c r="W1773" s="9"/>
      <c r="X1773" s="9"/>
      <c r="Y1773" s="9"/>
      <c r="Z1773" s="9"/>
      <c r="AA1773" s="9"/>
      <c r="AB1773" s="9"/>
      <c r="AC1773" s="9"/>
      <c r="AD1773" s="9"/>
      <c r="AE1773" s="9"/>
      <c r="AF1773" s="9"/>
      <c r="AG1773" s="9"/>
      <c r="AH1773" s="9"/>
      <c r="AI1773" s="9"/>
      <c r="AJ1773" s="9"/>
      <c r="AK1773" s="9"/>
      <c r="AL1773" s="9"/>
      <c r="AM1773" s="69"/>
      <c r="AN1773" s="9"/>
      <c r="AO1773" s="69" t="s">
        <v>959</v>
      </c>
      <c r="AP1773" s="210"/>
      <c r="AQ1773" s="211"/>
      <c r="AR1773" s="211"/>
      <c r="AS1773" s="211"/>
      <c r="AT1773" s="211"/>
      <c r="AU1773" s="211"/>
      <c r="AV1773" s="211"/>
      <c r="AW1773" s="9"/>
      <c r="AX1773" s="9"/>
      <c r="AY1773" s="9"/>
      <c r="AZ1773" s="9"/>
      <c r="BA1773" s="120"/>
      <c r="BB1773" s="69"/>
      <c r="BC1773" s="9"/>
      <c r="BD1773" s="9"/>
      <c r="BE1773" s="9"/>
      <c r="BF1773" s="9"/>
      <c r="BG1773" s="9"/>
      <c r="BH1773" s="9"/>
      <c r="BI1773" s="9"/>
      <c r="BJ1773" s="9"/>
      <c r="BK1773" s="9"/>
      <c r="BL1773" s="9"/>
      <c r="BM1773" s="9"/>
      <c r="BN1773" s="9"/>
      <c r="BO1773" s="9"/>
      <c r="BP1773" s="9"/>
      <c r="BQ1773" s="9"/>
      <c r="BR1773" s="9"/>
      <c r="BS1773" s="9"/>
      <c r="BT1773" s="9"/>
      <c r="BU1773" s="9"/>
      <c r="BV1773" s="9"/>
      <c r="BW1773" s="9"/>
      <c r="BX1773" s="9"/>
      <c r="BY1773" s="9"/>
      <c r="BZ1773" s="9"/>
      <c r="CA1773" s="9"/>
      <c r="CB1773" s="9"/>
      <c r="CC1773" s="9"/>
      <c r="CD1773" s="9"/>
      <c r="CE1773" s="9"/>
      <c r="CF1773" s="9"/>
      <c r="CG1773" s="9"/>
      <c r="CH1773" s="9"/>
      <c r="CI1773" s="9"/>
      <c r="CJ1773" s="9"/>
      <c r="CK1773" s="9"/>
      <c r="CL1773" s="9"/>
      <c r="CM1773" s="9"/>
      <c r="CN1773" s="9"/>
      <c r="CO1773" s="9"/>
      <c r="CP1773" s="9"/>
    </row>
    <row r="1774" spans="1:94" ht="30" x14ac:dyDescent="0.25">
      <c r="A1774" s="126" t="s">
        <v>4834</v>
      </c>
      <c r="B1774" s="9" t="s">
        <v>4835</v>
      </c>
      <c r="C1774" s="9"/>
      <c r="D1774" s="9"/>
      <c r="E1774" s="9"/>
      <c r="F1774" s="9"/>
      <c r="G1774" s="9"/>
      <c r="H1774" s="9"/>
      <c r="I1774" s="9"/>
      <c r="J1774" s="9"/>
      <c r="K1774" s="9"/>
      <c r="L1774" s="9"/>
      <c r="M1774" s="9"/>
      <c r="N1774" s="9"/>
      <c r="O1774" s="9"/>
      <c r="P1774" s="9"/>
      <c r="Q1774" s="9"/>
      <c r="R1774" s="9"/>
      <c r="S1774" s="9"/>
      <c r="T1774" s="9"/>
      <c r="U1774" s="9"/>
      <c r="V1774" s="9"/>
      <c r="W1774" s="9"/>
      <c r="X1774" s="9"/>
      <c r="Y1774" s="9"/>
      <c r="Z1774" s="9"/>
      <c r="AA1774" s="9"/>
      <c r="AB1774" s="9"/>
      <c r="AC1774" s="9"/>
      <c r="AD1774" s="9"/>
      <c r="AE1774" s="9"/>
      <c r="AF1774" s="9"/>
      <c r="AG1774" s="9"/>
      <c r="AH1774" s="9"/>
      <c r="AI1774" s="9"/>
      <c r="AJ1774" s="9"/>
      <c r="AK1774" s="9"/>
      <c r="AL1774" s="9"/>
      <c r="AM1774" s="69"/>
      <c r="AN1774" s="9"/>
      <c r="AO1774" s="69" t="s">
        <v>959</v>
      </c>
      <c r="AP1774" s="210"/>
      <c r="AQ1774" s="211"/>
      <c r="AR1774" s="211"/>
      <c r="AS1774" s="211"/>
      <c r="AT1774" s="211"/>
      <c r="AU1774" s="211"/>
      <c r="AV1774" s="211"/>
      <c r="AW1774" s="9"/>
      <c r="AX1774" s="9"/>
      <c r="AY1774" s="9"/>
      <c r="AZ1774" s="9"/>
      <c r="BA1774" s="120"/>
      <c r="BB1774" s="69"/>
      <c r="BC1774" s="9"/>
      <c r="BD1774" s="9"/>
      <c r="BE1774" s="9"/>
      <c r="BF1774" s="9"/>
      <c r="BG1774" s="9"/>
      <c r="BH1774" s="9"/>
      <c r="BI1774" s="9"/>
      <c r="BJ1774" s="9"/>
      <c r="BK1774" s="9"/>
      <c r="BL1774" s="9"/>
      <c r="BM1774" s="9"/>
      <c r="BN1774" s="9"/>
      <c r="BO1774" s="9"/>
      <c r="BP1774" s="9"/>
      <c r="BQ1774" s="9"/>
      <c r="BR1774" s="9"/>
      <c r="BS1774" s="9"/>
      <c r="BT1774" s="9"/>
      <c r="BU1774" s="9"/>
      <c r="BV1774" s="9"/>
      <c r="BW1774" s="9"/>
      <c r="BX1774" s="9"/>
      <c r="BY1774" s="9"/>
      <c r="BZ1774" s="9"/>
      <c r="CA1774" s="9"/>
      <c r="CB1774" s="9"/>
      <c r="CC1774" s="9"/>
      <c r="CD1774" s="9"/>
      <c r="CE1774" s="9"/>
      <c r="CF1774" s="9"/>
      <c r="CG1774" s="9"/>
      <c r="CH1774" s="9"/>
      <c r="CI1774" s="9"/>
      <c r="CJ1774" s="9"/>
      <c r="CK1774" s="9"/>
      <c r="CL1774" s="9"/>
      <c r="CM1774" s="9"/>
      <c r="CN1774" s="9"/>
      <c r="CO1774" s="9"/>
      <c r="CP1774" s="9"/>
    </row>
    <row r="1775" spans="1:94" ht="30" x14ac:dyDescent="0.25">
      <c r="A1775" s="126" t="s">
        <v>4836</v>
      </c>
      <c r="B1775" s="9" t="s">
        <v>4837</v>
      </c>
      <c r="C1775" s="9"/>
      <c r="D1775" s="9"/>
      <c r="E1775" s="9"/>
      <c r="F1775" s="9"/>
      <c r="G1775" s="9"/>
      <c r="H1775" s="9"/>
      <c r="I1775" s="9"/>
      <c r="J1775" s="9"/>
      <c r="K1775" s="9"/>
      <c r="L1775" s="9"/>
      <c r="M1775" s="9"/>
      <c r="N1775" s="9"/>
      <c r="O1775" s="9"/>
      <c r="P1775" s="9"/>
      <c r="Q1775" s="9"/>
      <c r="R1775" s="9"/>
      <c r="S1775" s="9"/>
      <c r="T1775" s="9"/>
      <c r="U1775" s="9"/>
      <c r="V1775" s="9"/>
      <c r="W1775" s="9"/>
      <c r="X1775" s="9"/>
      <c r="Y1775" s="9"/>
      <c r="Z1775" s="9"/>
      <c r="AA1775" s="9"/>
      <c r="AB1775" s="9"/>
      <c r="AC1775" s="9"/>
      <c r="AD1775" s="9"/>
      <c r="AE1775" s="9"/>
      <c r="AF1775" s="9"/>
      <c r="AG1775" s="9"/>
      <c r="AH1775" s="9"/>
      <c r="AI1775" s="9"/>
      <c r="AJ1775" s="9"/>
      <c r="AK1775" s="9"/>
      <c r="AL1775" s="9"/>
      <c r="AM1775" s="69"/>
      <c r="AN1775" s="9"/>
      <c r="AO1775" s="69" t="s">
        <v>612</v>
      </c>
      <c r="AP1775" s="210"/>
      <c r="AQ1775" s="211"/>
      <c r="AR1775" s="211"/>
      <c r="AS1775" s="211"/>
      <c r="AT1775" s="211"/>
      <c r="AU1775" s="211"/>
      <c r="AV1775" s="211"/>
      <c r="AW1775" s="9"/>
      <c r="AX1775" s="9"/>
      <c r="AY1775" s="9"/>
      <c r="AZ1775" s="9"/>
      <c r="BA1775" s="120"/>
      <c r="BB1775" s="69"/>
      <c r="BC1775" s="9"/>
      <c r="BD1775" s="9"/>
      <c r="BE1775" s="9"/>
      <c r="BF1775" s="9"/>
      <c r="BG1775" s="9"/>
      <c r="BH1775" s="9"/>
      <c r="BI1775" s="9"/>
      <c r="BJ1775" s="9"/>
      <c r="BK1775" s="9"/>
      <c r="BL1775" s="9"/>
      <c r="BM1775" s="9"/>
      <c r="BN1775" s="9"/>
      <c r="BO1775" s="9"/>
      <c r="BP1775" s="9"/>
      <c r="BQ1775" s="9"/>
      <c r="BR1775" s="9"/>
      <c r="BS1775" s="9"/>
      <c r="BT1775" s="9"/>
      <c r="BU1775" s="9"/>
      <c r="BV1775" s="9"/>
      <c r="BW1775" s="9"/>
      <c r="BX1775" s="9"/>
      <c r="BY1775" s="9"/>
      <c r="BZ1775" s="9"/>
      <c r="CA1775" s="9"/>
      <c r="CB1775" s="9"/>
      <c r="CC1775" s="9"/>
      <c r="CD1775" s="9"/>
      <c r="CE1775" s="9"/>
      <c r="CF1775" s="9"/>
      <c r="CG1775" s="9"/>
      <c r="CH1775" s="9"/>
      <c r="CI1775" s="9"/>
      <c r="CJ1775" s="9"/>
      <c r="CK1775" s="9"/>
      <c r="CL1775" s="9"/>
      <c r="CM1775" s="9"/>
      <c r="CN1775" s="9"/>
      <c r="CO1775" s="9"/>
      <c r="CP1775" s="9"/>
    </row>
    <row r="1776" spans="1:94" ht="30" x14ac:dyDescent="0.25">
      <c r="A1776" s="126" t="s">
        <v>4838</v>
      </c>
      <c r="B1776" s="9" t="s">
        <v>4839</v>
      </c>
      <c r="C1776" s="9"/>
      <c r="D1776" s="9"/>
      <c r="E1776" s="9"/>
      <c r="F1776" s="9"/>
      <c r="G1776" s="9"/>
      <c r="H1776" s="9"/>
      <c r="I1776" s="9"/>
      <c r="J1776" s="9"/>
      <c r="K1776" s="9"/>
      <c r="L1776" s="9"/>
      <c r="M1776" s="9"/>
      <c r="N1776" s="9"/>
      <c r="O1776" s="9"/>
      <c r="P1776" s="9"/>
      <c r="Q1776" s="9"/>
      <c r="R1776" s="9"/>
      <c r="S1776" s="9"/>
      <c r="T1776" s="9"/>
      <c r="U1776" s="9"/>
      <c r="V1776" s="9"/>
      <c r="W1776" s="9"/>
      <c r="X1776" s="9"/>
      <c r="Y1776" s="9"/>
      <c r="Z1776" s="9"/>
      <c r="AA1776" s="9"/>
      <c r="AB1776" s="9"/>
      <c r="AC1776" s="9"/>
      <c r="AD1776" s="9"/>
      <c r="AE1776" s="9"/>
      <c r="AF1776" s="9"/>
      <c r="AG1776" s="9"/>
      <c r="AH1776" s="9"/>
      <c r="AI1776" s="9"/>
      <c r="AJ1776" s="9"/>
      <c r="AK1776" s="9"/>
      <c r="AL1776" s="9"/>
      <c r="AM1776" s="69"/>
      <c r="AN1776" s="9"/>
      <c r="AO1776" s="69" t="s">
        <v>612</v>
      </c>
      <c r="AP1776" s="210"/>
      <c r="AQ1776" s="211"/>
      <c r="AR1776" s="211"/>
      <c r="AS1776" s="211"/>
      <c r="AT1776" s="211"/>
      <c r="AU1776" s="211"/>
      <c r="AV1776" s="211"/>
      <c r="AW1776" s="9"/>
      <c r="AX1776" s="9"/>
      <c r="AY1776" s="9"/>
      <c r="AZ1776" s="9"/>
      <c r="BA1776" s="120"/>
      <c r="BB1776" s="69"/>
      <c r="BC1776" s="9"/>
      <c r="BD1776" s="9"/>
      <c r="BE1776" s="9"/>
      <c r="BF1776" s="9"/>
      <c r="BG1776" s="9"/>
      <c r="BH1776" s="9"/>
      <c r="BI1776" s="9"/>
      <c r="BJ1776" s="9"/>
      <c r="BK1776" s="9"/>
      <c r="BL1776" s="9"/>
      <c r="BM1776" s="9"/>
      <c r="BN1776" s="9"/>
      <c r="BO1776" s="9"/>
      <c r="BP1776" s="9"/>
      <c r="BQ1776" s="9"/>
      <c r="BR1776" s="9"/>
      <c r="BS1776" s="9"/>
      <c r="BT1776" s="9"/>
      <c r="BU1776" s="9"/>
      <c r="BV1776" s="9"/>
      <c r="BW1776" s="9"/>
      <c r="BX1776" s="9"/>
      <c r="BY1776" s="9"/>
      <c r="BZ1776" s="9"/>
      <c r="CA1776" s="9"/>
      <c r="CB1776" s="9"/>
      <c r="CC1776" s="9"/>
      <c r="CD1776" s="9"/>
      <c r="CE1776" s="9"/>
      <c r="CF1776" s="9"/>
      <c r="CG1776" s="9"/>
      <c r="CH1776" s="9"/>
      <c r="CI1776" s="9"/>
      <c r="CJ1776" s="9"/>
      <c r="CK1776" s="9"/>
      <c r="CL1776" s="9"/>
      <c r="CM1776" s="9"/>
      <c r="CN1776" s="9"/>
      <c r="CO1776" s="9"/>
      <c r="CP1776" s="9"/>
    </row>
    <row r="1777" spans="1:94" ht="30" x14ac:dyDescent="0.25">
      <c r="A1777" s="126" t="s">
        <v>4840</v>
      </c>
      <c r="B1777" s="9" t="s">
        <v>4841</v>
      </c>
      <c r="C1777" s="9"/>
      <c r="D1777" s="9"/>
      <c r="E1777" s="9"/>
      <c r="F1777" s="9"/>
      <c r="G1777" s="9"/>
      <c r="H1777" s="9"/>
      <c r="I1777" s="9"/>
      <c r="J1777" s="9"/>
      <c r="K1777" s="9"/>
      <c r="L1777" s="9"/>
      <c r="M1777" s="9"/>
      <c r="N1777" s="9"/>
      <c r="O1777" s="9"/>
      <c r="P1777" s="9"/>
      <c r="Q1777" s="9"/>
      <c r="R1777" s="9"/>
      <c r="S1777" s="9"/>
      <c r="T1777" s="9"/>
      <c r="U1777" s="9"/>
      <c r="V1777" s="9"/>
      <c r="W1777" s="9"/>
      <c r="X1777" s="9"/>
      <c r="Y1777" s="9"/>
      <c r="Z1777" s="9"/>
      <c r="AA1777" s="9"/>
      <c r="AB1777" s="9"/>
      <c r="AC1777" s="9"/>
      <c r="AD1777" s="9"/>
      <c r="AE1777" s="9"/>
      <c r="AF1777" s="9"/>
      <c r="AG1777" s="9"/>
      <c r="AH1777" s="9"/>
      <c r="AI1777" s="9"/>
      <c r="AJ1777" s="9"/>
      <c r="AK1777" s="9"/>
      <c r="AL1777" s="9"/>
      <c r="AM1777" s="69"/>
      <c r="AN1777" s="9"/>
      <c r="AO1777" s="69" t="s">
        <v>3351</v>
      </c>
      <c r="AP1777" s="210"/>
      <c r="AQ1777" s="211"/>
      <c r="AR1777" s="211"/>
      <c r="AS1777" s="211"/>
      <c r="AT1777" s="211"/>
      <c r="AU1777" s="211"/>
      <c r="AV1777" s="211"/>
      <c r="AW1777" s="9"/>
      <c r="AX1777" s="9"/>
      <c r="AY1777" s="9"/>
      <c r="AZ1777" s="9"/>
      <c r="BA1777" s="120"/>
      <c r="BB1777" s="69"/>
      <c r="BC1777" s="9"/>
      <c r="BD1777" s="9"/>
      <c r="BE1777" s="9"/>
      <c r="BF1777" s="9"/>
      <c r="BG1777" s="9"/>
      <c r="BH1777" s="9"/>
      <c r="BI1777" s="9"/>
      <c r="BJ1777" s="9"/>
      <c r="BK1777" s="9"/>
      <c r="BL1777" s="9"/>
      <c r="BM1777" s="9"/>
      <c r="BN1777" s="9"/>
      <c r="BO1777" s="9"/>
      <c r="BP1777" s="9"/>
      <c r="BQ1777" s="9"/>
      <c r="BR1777" s="9"/>
      <c r="BS1777" s="9"/>
      <c r="BT1777" s="9"/>
      <c r="BU1777" s="9"/>
      <c r="BV1777" s="9"/>
      <c r="BW1777" s="9"/>
      <c r="BX1777" s="9"/>
      <c r="BY1777" s="9"/>
      <c r="BZ1777" s="9"/>
      <c r="CA1777" s="9"/>
      <c r="CB1777" s="9"/>
      <c r="CC1777" s="9"/>
      <c r="CD1777" s="9"/>
      <c r="CE1777" s="9"/>
      <c r="CF1777" s="9"/>
      <c r="CG1777" s="9"/>
      <c r="CH1777" s="9"/>
      <c r="CI1777" s="9"/>
      <c r="CJ1777" s="9"/>
      <c r="CK1777" s="9"/>
      <c r="CL1777" s="9"/>
      <c r="CM1777" s="9"/>
      <c r="CN1777" s="9"/>
      <c r="CO1777" s="9"/>
      <c r="CP1777" s="9"/>
    </row>
    <row r="1778" spans="1:94" ht="15.75" x14ac:dyDescent="0.25">
      <c r="A1778" s="126" t="s">
        <v>4842</v>
      </c>
      <c r="B1778" s="9" t="s">
        <v>4843</v>
      </c>
      <c r="C1778" s="9"/>
      <c r="D1778" s="9"/>
      <c r="E1778" s="9"/>
      <c r="F1778" s="9"/>
      <c r="G1778" s="9"/>
      <c r="H1778" s="9"/>
      <c r="I1778" s="9"/>
      <c r="J1778" s="9"/>
      <c r="K1778" s="9"/>
      <c r="L1778" s="9"/>
      <c r="M1778" s="9"/>
      <c r="N1778" s="9"/>
      <c r="O1778" s="9"/>
      <c r="P1778" s="9"/>
      <c r="Q1778" s="9"/>
      <c r="R1778" s="9"/>
      <c r="S1778" s="9"/>
      <c r="T1778" s="9"/>
      <c r="U1778" s="9"/>
      <c r="V1778" s="9"/>
      <c r="W1778" s="9"/>
      <c r="X1778" s="9"/>
      <c r="Y1778" s="9"/>
      <c r="Z1778" s="9"/>
      <c r="AA1778" s="9"/>
      <c r="AB1778" s="9"/>
      <c r="AC1778" s="9"/>
      <c r="AD1778" s="9"/>
      <c r="AE1778" s="9"/>
      <c r="AF1778" s="9"/>
      <c r="AG1778" s="9"/>
      <c r="AH1778" s="9"/>
      <c r="AI1778" s="9"/>
      <c r="AJ1778" s="9"/>
      <c r="AK1778" s="9"/>
      <c r="AL1778" s="9"/>
      <c r="AM1778" s="69"/>
      <c r="AN1778" s="9"/>
      <c r="AO1778" s="69" t="s">
        <v>2150</v>
      </c>
      <c r="AP1778" s="210"/>
      <c r="AQ1778" s="211"/>
      <c r="AR1778" s="211"/>
      <c r="AS1778" s="211"/>
      <c r="AT1778" s="211"/>
      <c r="AU1778" s="211"/>
      <c r="AV1778" s="211"/>
      <c r="AW1778" s="9"/>
      <c r="AX1778" s="9"/>
      <c r="AY1778" s="9"/>
      <c r="AZ1778" s="9"/>
      <c r="BA1778" s="120"/>
      <c r="BB1778" s="69"/>
      <c r="BC1778" s="9"/>
      <c r="BD1778" s="9"/>
      <c r="BE1778" s="9"/>
      <c r="BF1778" s="9"/>
      <c r="BG1778" s="9"/>
      <c r="BH1778" s="9"/>
      <c r="BI1778" s="9"/>
      <c r="BJ1778" s="9"/>
      <c r="BK1778" s="9"/>
      <c r="BL1778" s="9"/>
      <c r="BM1778" s="9"/>
      <c r="BN1778" s="9"/>
      <c r="BO1778" s="9"/>
      <c r="BP1778" s="9"/>
      <c r="BQ1778" s="9"/>
      <c r="BR1778" s="9"/>
      <c r="BS1778" s="9"/>
      <c r="BT1778" s="9"/>
      <c r="BU1778" s="9"/>
      <c r="BV1778" s="9"/>
      <c r="BW1778" s="9"/>
      <c r="BX1778" s="9"/>
      <c r="BY1778" s="9"/>
      <c r="BZ1778" s="9"/>
      <c r="CA1778" s="9"/>
      <c r="CB1778" s="9"/>
      <c r="CC1778" s="9"/>
      <c r="CD1778" s="9"/>
      <c r="CE1778" s="9"/>
      <c r="CF1778" s="9"/>
      <c r="CG1778" s="9"/>
      <c r="CH1778" s="9"/>
      <c r="CI1778" s="9"/>
      <c r="CJ1778" s="9"/>
      <c r="CK1778" s="9"/>
      <c r="CL1778" s="9"/>
      <c r="CM1778" s="9"/>
      <c r="CN1778" s="9"/>
      <c r="CO1778" s="9"/>
      <c r="CP1778" s="9"/>
    </row>
    <row r="1779" spans="1:94" ht="15.75" x14ac:dyDescent="0.25">
      <c r="A1779" s="126" t="s">
        <v>4844</v>
      </c>
      <c r="B1779" s="9" t="s">
        <v>4845</v>
      </c>
      <c r="C1779" s="9"/>
      <c r="D1779" s="9"/>
      <c r="E1779" s="9"/>
      <c r="F1779" s="9"/>
      <c r="G1779" s="9"/>
      <c r="H1779" s="9"/>
      <c r="I1779" s="9"/>
      <c r="J1779" s="9"/>
      <c r="K1779" s="9"/>
      <c r="L1779" s="9"/>
      <c r="M1779" s="9"/>
      <c r="N1779" s="9"/>
      <c r="O1779" s="9"/>
      <c r="P1779" s="9"/>
      <c r="Q1779" s="9"/>
      <c r="R1779" s="9"/>
      <c r="S1779" s="9"/>
      <c r="T1779" s="9"/>
      <c r="U1779" s="9"/>
      <c r="V1779" s="9"/>
      <c r="W1779" s="9"/>
      <c r="X1779" s="9"/>
      <c r="Y1779" s="9"/>
      <c r="Z1779" s="9"/>
      <c r="AA1779" s="9"/>
      <c r="AB1779" s="9"/>
      <c r="AC1779" s="9"/>
      <c r="AD1779" s="9"/>
      <c r="AE1779" s="9"/>
      <c r="AF1779" s="9"/>
      <c r="AG1779" s="9"/>
      <c r="AH1779" s="9"/>
      <c r="AI1779" s="9"/>
      <c r="AJ1779" s="9"/>
      <c r="AK1779" s="9"/>
      <c r="AL1779" s="9"/>
      <c r="AM1779" s="69"/>
      <c r="AN1779" s="9"/>
      <c r="AO1779" s="69" t="s">
        <v>2150</v>
      </c>
      <c r="AP1779" s="210"/>
      <c r="AQ1779" s="211"/>
      <c r="AR1779" s="211"/>
      <c r="AS1779" s="211"/>
      <c r="AT1779" s="211"/>
      <c r="AU1779" s="211"/>
      <c r="AV1779" s="211"/>
      <c r="AW1779" s="9"/>
      <c r="AX1779" s="9"/>
      <c r="AY1779" s="9"/>
      <c r="AZ1779" s="9"/>
      <c r="BA1779" s="120"/>
      <c r="BB1779" s="69"/>
      <c r="BC1779" s="9"/>
      <c r="BD1779" s="9"/>
      <c r="BE1779" s="9"/>
      <c r="BF1779" s="9"/>
      <c r="BG1779" s="9"/>
      <c r="BH1779" s="9"/>
      <c r="BI1779" s="9"/>
      <c r="BJ1779" s="9"/>
      <c r="BK1779" s="9"/>
      <c r="BL1779" s="9"/>
      <c r="BM1779" s="9"/>
      <c r="BN1779" s="9"/>
      <c r="BO1779" s="9"/>
      <c r="BP1779" s="9"/>
      <c r="BQ1779" s="9"/>
      <c r="BR1779" s="9"/>
      <c r="BS1779" s="9"/>
      <c r="BT1779" s="9"/>
      <c r="BU1779" s="9"/>
      <c r="BV1779" s="9"/>
      <c r="BW1779" s="9"/>
      <c r="BX1779" s="9"/>
      <c r="BY1779" s="9"/>
      <c r="BZ1779" s="9"/>
      <c r="CA1779" s="9"/>
      <c r="CB1779" s="9"/>
      <c r="CC1779" s="9"/>
      <c r="CD1779" s="9"/>
      <c r="CE1779" s="9"/>
      <c r="CF1779" s="9"/>
      <c r="CG1779" s="9"/>
      <c r="CH1779" s="9"/>
      <c r="CI1779" s="9"/>
      <c r="CJ1779" s="9"/>
      <c r="CK1779" s="9"/>
      <c r="CL1779" s="9"/>
      <c r="CM1779" s="9"/>
      <c r="CN1779" s="9"/>
      <c r="CO1779" s="9"/>
      <c r="CP1779" s="9"/>
    </row>
    <row r="1780" spans="1:94" ht="15.75" x14ac:dyDescent="0.25">
      <c r="A1780" s="126" t="s">
        <v>4846</v>
      </c>
      <c r="B1780" s="9" t="s">
        <v>4847</v>
      </c>
      <c r="C1780" s="9"/>
      <c r="D1780" s="9"/>
      <c r="E1780" s="9"/>
      <c r="F1780" s="9"/>
      <c r="G1780" s="9"/>
      <c r="H1780" s="9"/>
      <c r="I1780" s="9"/>
      <c r="J1780" s="9"/>
      <c r="K1780" s="9"/>
      <c r="L1780" s="9"/>
      <c r="M1780" s="9"/>
      <c r="N1780" s="9"/>
      <c r="O1780" s="9"/>
      <c r="P1780" s="9"/>
      <c r="Q1780" s="9"/>
      <c r="R1780" s="9"/>
      <c r="S1780" s="9"/>
      <c r="T1780" s="9"/>
      <c r="U1780" s="9"/>
      <c r="V1780" s="9"/>
      <c r="W1780" s="9"/>
      <c r="X1780" s="9"/>
      <c r="Y1780" s="9"/>
      <c r="Z1780" s="9"/>
      <c r="AA1780" s="9"/>
      <c r="AB1780" s="9"/>
      <c r="AC1780" s="9"/>
      <c r="AD1780" s="9"/>
      <c r="AE1780" s="9"/>
      <c r="AF1780" s="9"/>
      <c r="AG1780" s="9"/>
      <c r="AH1780" s="9"/>
      <c r="AI1780" s="9"/>
      <c r="AJ1780" s="9"/>
      <c r="AK1780" s="9"/>
      <c r="AL1780" s="9"/>
      <c r="AM1780" s="69"/>
      <c r="AN1780" s="9"/>
      <c r="AO1780" s="69" t="s">
        <v>2150</v>
      </c>
      <c r="AP1780" s="210"/>
      <c r="AQ1780" s="211"/>
      <c r="AR1780" s="211"/>
      <c r="AS1780" s="211"/>
      <c r="AT1780" s="211"/>
      <c r="AU1780" s="211"/>
      <c r="AV1780" s="211"/>
      <c r="AW1780" s="9"/>
      <c r="AX1780" s="9"/>
      <c r="AY1780" s="9"/>
      <c r="AZ1780" s="9"/>
      <c r="BA1780" s="120"/>
      <c r="BB1780" s="69"/>
      <c r="BC1780" s="9"/>
      <c r="BD1780" s="9"/>
      <c r="BE1780" s="9"/>
      <c r="BF1780" s="9"/>
      <c r="BG1780" s="9"/>
      <c r="BH1780" s="9"/>
      <c r="BI1780" s="9"/>
      <c r="BJ1780" s="9"/>
      <c r="BK1780" s="9"/>
      <c r="BL1780" s="9"/>
      <c r="BM1780" s="9"/>
      <c r="BN1780" s="9"/>
      <c r="BO1780" s="9"/>
      <c r="BP1780" s="9"/>
      <c r="BQ1780" s="9"/>
      <c r="BR1780" s="9"/>
      <c r="BS1780" s="9"/>
      <c r="BT1780" s="9"/>
      <c r="BU1780" s="9"/>
      <c r="BV1780" s="9"/>
      <c r="BW1780" s="9"/>
      <c r="BX1780" s="9"/>
      <c r="BY1780" s="9"/>
      <c r="BZ1780" s="9"/>
      <c r="CA1780" s="9"/>
      <c r="CB1780" s="9"/>
      <c r="CC1780" s="9"/>
      <c r="CD1780" s="9"/>
      <c r="CE1780" s="9"/>
      <c r="CF1780" s="9"/>
      <c r="CG1780" s="9"/>
      <c r="CH1780" s="9"/>
      <c r="CI1780" s="9"/>
      <c r="CJ1780" s="9"/>
      <c r="CK1780" s="9"/>
      <c r="CL1780" s="9"/>
      <c r="CM1780" s="9"/>
      <c r="CN1780" s="9"/>
      <c r="CO1780" s="9"/>
      <c r="CP1780" s="9"/>
    </row>
    <row r="1781" spans="1:94" ht="30" x14ac:dyDescent="0.25">
      <c r="A1781" s="126" t="s">
        <v>4848</v>
      </c>
      <c r="B1781" s="9" t="s">
        <v>4849</v>
      </c>
      <c r="C1781" s="9"/>
      <c r="D1781" s="9"/>
      <c r="E1781" s="9"/>
      <c r="F1781" s="9"/>
      <c r="G1781" s="9"/>
      <c r="H1781" s="9"/>
      <c r="I1781" s="9"/>
      <c r="J1781" s="9"/>
      <c r="K1781" s="9"/>
      <c r="L1781" s="9"/>
      <c r="M1781" s="9"/>
      <c r="N1781" s="9"/>
      <c r="O1781" s="9"/>
      <c r="P1781" s="9"/>
      <c r="Q1781" s="9"/>
      <c r="R1781" s="9"/>
      <c r="S1781" s="9"/>
      <c r="T1781" s="9"/>
      <c r="U1781" s="9"/>
      <c r="V1781" s="9"/>
      <c r="W1781" s="9"/>
      <c r="X1781" s="9"/>
      <c r="Y1781" s="9"/>
      <c r="Z1781" s="9"/>
      <c r="AA1781" s="9"/>
      <c r="AB1781" s="9"/>
      <c r="AC1781" s="9"/>
      <c r="AD1781" s="9"/>
      <c r="AE1781" s="9"/>
      <c r="AF1781" s="9"/>
      <c r="AG1781" s="9"/>
      <c r="AH1781" s="9"/>
      <c r="AI1781" s="9"/>
      <c r="AJ1781" s="9"/>
      <c r="AK1781" s="9"/>
      <c r="AL1781" s="9"/>
      <c r="AM1781" s="69"/>
      <c r="AN1781" s="9"/>
      <c r="AO1781" s="69" t="s">
        <v>612</v>
      </c>
      <c r="AP1781" s="210"/>
      <c r="AQ1781" s="211"/>
      <c r="AR1781" s="211"/>
      <c r="AS1781" s="211"/>
      <c r="AT1781" s="211"/>
      <c r="AU1781" s="211"/>
      <c r="AV1781" s="211"/>
      <c r="AW1781" s="9"/>
      <c r="AX1781" s="9"/>
      <c r="AY1781" s="9"/>
      <c r="AZ1781" s="9"/>
      <c r="BA1781" s="120"/>
      <c r="BB1781" s="69"/>
      <c r="BC1781" s="9"/>
      <c r="BD1781" s="9"/>
      <c r="BE1781" s="9"/>
      <c r="BF1781" s="9"/>
      <c r="BG1781" s="9"/>
      <c r="BH1781" s="9"/>
      <c r="BI1781" s="9"/>
      <c r="BJ1781" s="9"/>
      <c r="BK1781" s="9"/>
      <c r="BL1781" s="9"/>
      <c r="BM1781" s="9"/>
      <c r="BN1781" s="9"/>
      <c r="BO1781" s="9"/>
      <c r="BP1781" s="9"/>
      <c r="BQ1781" s="9"/>
      <c r="BR1781" s="9"/>
      <c r="BS1781" s="9"/>
      <c r="BT1781" s="9"/>
      <c r="BU1781" s="9"/>
      <c r="BV1781" s="9"/>
      <c r="BW1781" s="9"/>
      <c r="BX1781" s="9"/>
      <c r="BY1781" s="9"/>
      <c r="BZ1781" s="9"/>
      <c r="CA1781" s="9"/>
      <c r="CB1781" s="9"/>
      <c r="CC1781" s="9"/>
      <c r="CD1781" s="9"/>
      <c r="CE1781" s="9"/>
      <c r="CF1781" s="9"/>
      <c r="CG1781" s="9"/>
      <c r="CH1781" s="9"/>
      <c r="CI1781" s="9"/>
      <c r="CJ1781" s="9"/>
      <c r="CK1781" s="9"/>
      <c r="CL1781" s="9"/>
      <c r="CM1781" s="9"/>
      <c r="CN1781" s="9"/>
      <c r="CO1781" s="9"/>
      <c r="CP1781" s="9"/>
    </row>
    <row r="1782" spans="1:94" ht="30" x14ac:dyDescent="0.25">
      <c r="A1782" s="126" t="s">
        <v>4850</v>
      </c>
      <c r="B1782" s="9" t="s">
        <v>4851</v>
      </c>
      <c r="C1782" s="9"/>
      <c r="D1782" s="9"/>
      <c r="E1782" s="9"/>
      <c r="F1782" s="9"/>
      <c r="G1782" s="9"/>
      <c r="H1782" s="9"/>
      <c r="I1782" s="9"/>
      <c r="J1782" s="9"/>
      <c r="K1782" s="9"/>
      <c r="L1782" s="9"/>
      <c r="M1782" s="9"/>
      <c r="N1782" s="9"/>
      <c r="O1782" s="9"/>
      <c r="P1782" s="9"/>
      <c r="Q1782" s="9"/>
      <c r="R1782" s="9"/>
      <c r="S1782" s="9"/>
      <c r="T1782" s="9"/>
      <c r="U1782" s="9"/>
      <c r="V1782" s="9"/>
      <c r="W1782" s="9"/>
      <c r="X1782" s="9"/>
      <c r="Y1782" s="9"/>
      <c r="Z1782" s="9"/>
      <c r="AA1782" s="9"/>
      <c r="AB1782" s="9"/>
      <c r="AC1782" s="9"/>
      <c r="AD1782" s="9"/>
      <c r="AE1782" s="9"/>
      <c r="AF1782" s="9"/>
      <c r="AG1782" s="9"/>
      <c r="AH1782" s="9"/>
      <c r="AI1782" s="9"/>
      <c r="AJ1782" s="9"/>
      <c r="AK1782" s="9"/>
      <c r="AL1782" s="9"/>
      <c r="AM1782" s="69"/>
      <c r="AN1782" s="9"/>
      <c r="AO1782" s="69" t="s">
        <v>612</v>
      </c>
      <c r="AP1782" s="210"/>
      <c r="AQ1782" s="211"/>
      <c r="AR1782" s="211"/>
      <c r="AS1782" s="211"/>
      <c r="AT1782" s="211"/>
      <c r="AU1782" s="211"/>
      <c r="AV1782" s="211"/>
      <c r="AW1782" s="9"/>
      <c r="AX1782" s="9"/>
      <c r="AY1782" s="9"/>
      <c r="AZ1782" s="9"/>
      <c r="BA1782" s="120"/>
      <c r="BB1782" s="69"/>
      <c r="BC1782" s="9"/>
      <c r="BD1782" s="9"/>
      <c r="BE1782" s="9"/>
      <c r="BF1782" s="9"/>
      <c r="BG1782" s="9"/>
      <c r="BH1782" s="9"/>
      <c r="BI1782" s="9"/>
      <c r="BJ1782" s="9"/>
      <c r="BK1782" s="9"/>
      <c r="BL1782" s="9"/>
      <c r="BM1782" s="9"/>
      <c r="BN1782" s="9"/>
      <c r="BO1782" s="9"/>
      <c r="BP1782" s="9"/>
      <c r="BQ1782" s="9"/>
      <c r="BR1782" s="9"/>
      <c r="BS1782" s="9"/>
      <c r="BT1782" s="9"/>
      <c r="BU1782" s="9"/>
      <c r="BV1782" s="9"/>
      <c r="BW1782" s="9"/>
      <c r="BX1782" s="9"/>
      <c r="BY1782" s="9"/>
      <c r="BZ1782" s="9"/>
      <c r="CA1782" s="9"/>
      <c r="CB1782" s="9"/>
      <c r="CC1782" s="9"/>
      <c r="CD1782" s="9"/>
      <c r="CE1782" s="9"/>
      <c r="CF1782" s="9"/>
      <c r="CG1782" s="9"/>
      <c r="CH1782" s="9"/>
      <c r="CI1782" s="9"/>
      <c r="CJ1782" s="9"/>
      <c r="CK1782" s="9"/>
      <c r="CL1782" s="9"/>
      <c r="CM1782" s="9"/>
      <c r="CN1782" s="9"/>
      <c r="CO1782" s="9"/>
      <c r="CP1782" s="9"/>
    </row>
    <row r="1783" spans="1:94" ht="30" x14ac:dyDescent="0.25">
      <c r="A1783" s="9" t="s">
        <v>4852</v>
      </c>
      <c r="B1783" s="9" t="s">
        <v>4853</v>
      </c>
      <c r="C1783" s="9"/>
      <c r="D1783" s="9"/>
      <c r="E1783" s="9"/>
      <c r="F1783" s="9"/>
      <c r="G1783" s="9"/>
      <c r="H1783" s="9"/>
      <c r="I1783" s="9"/>
      <c r="J1783" s="9"/>
      <c r="K1783" s="9"/>
      <c r="L1783" s="9"/>
      <c r="M1783" s="9"/>
      <c r="N1783" s="9"/>
      <c r="O1783" s="9"/>
      <c r="P1783" s="9"/>
      <c r="Q1783" s="9"/>
      <c r="R1783" s="9"/>
      <c r="S1783" s="9"/>
      <c r="T1783" s="9"/>
      <c r="U1783" s="9"/>
      <c r="V1783" s="9"/>
      <c r="W1783" s="9"/>
      <c r="X1783" s="9"/>
      <c r="Y1783" s="9"/>
      <c r="Z1783" s="9"/>
      <c r="AA1783" s="9"/>
      <c r="AB1783" s="9"/>
      <c r="AC1783" s="9"/>
      <c r="AD1783" s="9"/>
      <c r="AE1783" s="9"/>
      <c r="AF1783" s="9"/>
      <c r="AG1783" s="9"/>
      <c r="AH1783" s="9"/>
      <c r="AI1783" s="9"/>
      <c r="AJ1783" s="9"/>
      <c r="AK1783" s="9"/>
      <c r="AL1783" s="9"/>
      <c r="AM1783" s="69"/>
      <c r="AN1783" s="9"/>
      <c r="AO1783" s="69" t="s">
        <v>959</v>
      </c>
      <c r="AP1783" s="210"/>
      <c r="AQ1783" s="211"/>
      <c r="AR1783" s="211"/>
      <c r="AS1783" s="211"/>
      <c r="AT1783" s="211"/>
      <c r="AU1783" s="211"/>
      <c r="AV1783" s="211"/>
      <c r="AW1783" s="9"/>
      <c r="AX1783" s="9"/>
      <c r="AY1783" s="9"/>
      <c r="AZ1783" s="9"/>
      <c r="BA1783" s="120"/>
      <c r="BB1783" s="69"/>
      <c r="BC1783" s="9"/>
      <c r="BD1783" s="9"/>
      <c r="BE1783" s="9"/>
      <c r="BF1783" s="9"/>
      <c r="BG1783" s="9"/>
      <c r="BH1783" s="9"/>
      <c r="BI1783" s="9"/>
      <c r="BJ1783" s="9"/>
      <c r="BK1783" s="9"/>
      <c r="BL1783" s="9"/>
      <c r="BM1783" s="9"/>
      <c r="BN1783" s="9"/>
      <c r="BO1783" s="9"/>
      <c r="BP1783" s="9"/>
      <c r="BQ1783" s="9"/>
      <c r="BR1783" s="9"/>
      <c r="BS1783" s="9"/>
      <c r="BT1783" s="9"/>
      <c r="BU1783" s="9"/>
      <c r="BV1783" s="9"/>
      <c r="BW1783" s="9"/>
      <c r="BX1783" s="9"/>
      <c r="BY1783" s="9"/>
      <c r="BZ1783" s="9"/>
      <c r="CA1783" s="9"/>
      <c r="CB1783" s="9"/>
      <c r="CC1783" s="9"/>
      <c r="CD1783" s="9"/>
      <c r="CE1783" s="9"/>
      <c r="CF1783" s="9"/>
      <c r="CG1783" s="9"/>
      <c r="CH1783" s="9"/>
      <c r="CI1783" s="9"/>
      <c r="CJ1783" s="9"/>
      <c r="CK1783" s="9"/>
      <c r="CL1783" s="9"/>
      <c r="CM1783" s="9"/>
      <c r="CN1783" s="9"/>
      <c r="CO1783" s="9"/>
      <c r="CP1783" s="9"/>
    </row>
    <row r="1784" spans="1:94" ht="30" x14ac:dyDescent="0.25">
      <c r="A1784" s="9" t="s">
        <v>4854</v>
      </c>
      <c r="B1784" s="9" t="s">
        <v>4855</v>
      </c>
      <c r="C1784" s="9"/>
      <c r="D1784" s="9"/>
      <c r="E1784" s="9"/>
      <c r="F1784" s="9"/>
      <c r="G1784" s="9"/>
      <c r="H1784" s="9"/>
      <c r="I1784" s="9"/>
      <c r="J1784" s="9"/>
      <c r="K1784" s="9"/>
      <c r="L1784" s="9"/>
      <c r="M1784" s="9"/>
      <c r="N1784" s="9"/>
      <c r="O1784" s="9"/>
      <c r="P1784" s="9"/>
      <c r="Q1784" s="9"/>
      <c r="R1784" s="9"/>
      <c r="S1784" s="9"/>
      <c r="T1784" s="9"/>
      <c r="U1784" s="9"/>
      <c r="V1784" s="9"/>
      <c r="W1784" s="9"/>
      <c r="X1784" s="9"/>
      <c r="Y1784" s="9"/>
      <c r="Z1784" s="9"/>
      <c r="AA1784" s="9"/>
      <c r="AB1784" s="9"/>
      <c r="AC1784" s="9"/>
      <c r="AD1784" s="9"/>
      <c r="AE1784" s="9"/>
      <c r="AF1784" s="9"/>
      <c r="AG1784" s="9"/>
      <c r="AH1784" s="9"/>
      <c r="AI1784" s="9"/>
      <c r="AJ1784" s="9"/>
      <c r="AK1784" s="9"/>
      <c r="AL1784" s="9"/>
      <c r="AM1784" s="69"/>
      <c r="AN1784" s="9"/>
      <c r="AO1784" s="69" t="s">
        <v>959</v>
      </c>
      <c r="AP1784" s="210"/>
      <c r="AQ1784" s="211"/>
      <c r="AR1784" s="211"/>
      <c r="AS1784" s="211"/>
      <c r="AT1784" s="211"/>
      <c r="AU1784" s="211"/>
      <c r="AV1784" s="211"/>
      <c r="AW1784" s="9"/>
      <c r="AX1784" s="9"/>
      <c r="AY1784" s="9"/>
      <c r="AZ1784" s="9"/>
      <c r="BA1784" s="120"/>
      <c r="BB1784" s="69"/>
      <c r="BC1784" s="9"/>
      <c r="BD1784" s="9"/>
      <c r="BE1784" s="9"/>
      <c r="BF1784" s="9"/>
      <c r="BG1784" s="9"/>
      <c r="BH1784" s="9"/>
      <c r="BI1784" s="9"/>
      <c r="BJ1784" s="9"/>
      <c r="BK1784" s="9"/>
      <c r="BL1784" s="9"/>
      <c r="BM1784" s="9"/>
      <c r="BN1784" s="9"/>
      <c r="BO1784" s="9"/>
      <c r="BP1784" s="9"/>
      <c r="BQ1784" s="9"/>
      <c r="BR1784" s="9"/>
      <c r="BS1784" s="9"/>
      <c r="BT1784" s="9"/>
      <c r="BU1784" s="9"/>
      <c r="BV1784" s="9"/>
      <c r="BW1784" s="9"/>
      <c r="BX1784" s="9"/>
      <c r="BY1784" s="9"/>
      <c r="BZ1784" s="9"/>
      <c r="CA1784" s="9"/>
      <c r="CB1784" s="9"/>
      <c r="CC1784" s="9"/>
      <c r="CD1784" s="9"/>
      <c r="CE1784" s="9"/>
      <c r="CF1784" s="9"/>
      <c r="CG1784" s="9"/>
      <c r="CH1784" s="9"/>
      <c r="CI1784" s="9"/>
      <c r="CJ1784" s="9"/>
      <c r="CK1784" s="9"/>
      <c r="CL1784" s="9"/>
      <c r="CM1784" s="9"/>
      <c r="CN1784" s="9"/>
      <c r="CO1784" s="9"/>
      <c r="CP1784" s="9"/>
    </row>
    <row r="1785" spans="1:94" ht="15.75" x14ac:dyDescent="0.25">
      <c r="A1785" s="126" t="s">
        <v>4856</v>
      </c>
      <c r="B1785" s="9" t="s">
        <v>4857</v>
      </c>
      <c r="C1785" s="9"/>
      <c r="D1785" s="9"/>
      <c r="E1785" s="9"/>
      <c r="F1785" s="9"/>
      <c r="G1785" s="9"/>
      <c r="H1785" s="9"/>
      <c r="I1785" s="9"/>
      <c r="J1785" s="9"/>
      <c r="K1785" s="9"/>
      <c r="L1785" s="9"/>
      <c r="M1785" s="9"/>
      <c r="N1785" s="9"/>
      <c r="O1785" s="9"/>
      <c r="P1785" s="9"/>
      <c r="Q1785" s="9"/>
      <c r="R1785" s="9"/>
      <c r="S1785" s="9"/>
      <c r="T1785" s="9"/>
      <c r="U1785" s="9"/>
      <c r="V1785" s="9"/>
      <c r="W1785" s="9"/>
      <c r="X1785" s="9"/>
      <c r="Y1785" s="9"/>
      <c r="Z1785" s="9"/>
      <c r="AA1785" s="9"/>
      <c r="AB1785" s="9"/>
      <c r="AC1785" s="9"/>
      <c r="AD1785" s="9"/>
      <c r="AE1785" s="9"/>
      <c r="AF1785" s="9"/>
      <c r="AG1785" s="9"/>
      <c r="AH1785" s="9"/>
      <c r="AI1785" s="9"/>
      <c r="AJ1785" s="9"/>
      <c r="AK1785" s="9"/>
      <c r="AL1785" s="9"/>
      <c r="AM1785" s="69"/>
      <c r="AN1785" s="9"/>
      <c r="AO1785" s="69" t="s">
        <v>2150</v>
      </c>
      <c r="AP1785" s="210"/>
      <c r="AQ1785" s="211"/>
      <c r="AR1785" s="211"/>
      <c r="AS1785" s="211"/>
      <c r="AT1785" s="211"/>
      <c r="AU1785" s="211"/>
      <c r="AV1785" s="211"/>
      <c r="AW1785" s="9"/>
      <c r="AX1785" s="9"/>
      <c r="AY1785" s="9"/>
      <c r="AZ1785" s="9"/>
      <c r="BA1785" s="120"/>
      <c r="BB1785" s="69"/>
      <c r="BC1785" s="9"/>
      <c r="BD1785" s="9"/>
      <c r="BE1785" s="9"/>
      <c r="BF1785" s="9"/>
      <c r="BG1785" s="9"/>
      <c r="BH1785" s="9"/>
      <c r="BI1785" s="9"/>
      <c r="BJ1785" s="9"/>
      <c r="BK1785" s="9"/>
      <c r="BL1785" s="9"/>
      <c r="BM1785" s="9"/>
      <c r="BN1785" s="9"/>
      <c r="BO1785" s="9"/>
      <c r="BP1785" s="9"/>
      <c r="BQ1785" s="9"/>
      <c r="BR1785" s="9"/>
      <c r="BS1785" s="9"/>
      <c r="BT1785" s="9"/>
      <c r="BU1785" s="9"/>
      <c r="BV1785" s="9"/>
      <c r="BW1785" s="9"/>
      <c r="BX1785" s="9"/>
      <c r="BY1785" s="9"/>
      <c r="BZ1785" s="9"/>
      <c r="CA1785" s="9"/>
      <c r="CB1785" s="9"/>
      <c r="CC1785" s="9"/>
      <c r="CD1785" s="9"/>
      <c r="CE1785" s="9"/>
      <c r="CF1785" s="9"/>
      <c r="CG1785" s="9"/>
      <c r="CH1785" s="9"/>
      <c r="CI1785" s="9"/>
      <c r="CJ1785" s="9"/>
      <c r="CK1785" s="9"/>
      <c r="CL1785" s="9"/>
      <c r="CM1785" s="9"/>
      <c r="CN1785" s="9"/>
      <c r="CO1785" s="9"/>
      <c r="CP1785" s="9"/>
    </row>
    <row r="1786" spans="1:94" ht="30" x14ac:dyDescent="0.25">
      <c r="A1786" s="126" t="s">
        <v>4858</v>
      </c>
      <c r="B1786" s="9" t="s">
        <v>4859</v>
      </c>
      <c r="C1786" s="9"/>
      <c r="D1786" s="9"/>
      <c r="E1786" s="9"/>
      <c r="F1786" s="9"/>
      <c r="G1786" s="9"/>
      <c r="H1786" s="9"/>
      <c r="I1786" s="9"/>
      <c r="J1786" s="9"/>
      <c r="K1786" s="9"/>
      <c r="L1786" s="9"/>
      <c r="M1786" s="9"/>
      <c r="N1786" s="9"/>
      <c r="O1786" s="9"/>
      <c r="P1786" s="9"/>
      <c r="Q1786" s="9"/>
      <c r="R1786" s="9"/>
      <c r="S1786" s="9"/>
      <c r="T1786" s="9"/>
      <c r="U1786" s="9"/>
      <c r="V1786" s="9"/>
      <c r="W1786" s="9"/>
      <c r="X1786" s="9"/>
      <c r="Y1786" s="9"/>
      <c r="Z1786" s="9"/>
      <c r="AA1786" s="9"/>
      <c r="AB1786" s="9"/>
      <c r="AC1786" s="9"/>
      <c r="AD1786" s="9"/>
      <c r="AE1786" s="9"/>
      <c r="AF1786" s="9"/>
      <c r="AG1786" s="9"/>
      <c r="AH1786" s="9"/>
      <c r="AI1786" s="9"/>
      <c r="AJ1786" s="9"/>
      <c r="AK1786" s="9"/>
      <c r="AL1786" s="9"/>
      <c r="AM1786" s="69"/>
      <c r="AN1786" s="9"/>
      <c r="AO1786" s="69" t="s">
        <v>959</v>
      </c>
      <c r="AP1786" s="210"/>
      <c r="AQ1786" s="211"/>
      <c r="AR1786" s="211"/>
      <c r="AS1786" s="211"/>
      <c r="AT1786" s="211"/>
      <c r="AU1786" s="211"/>
      <c r="AV1786" s="211"/>
      <c r="AW1786" s="9"/>
      <c r="AX1786" s="9"/>
      <c r="AY1786" s="9"/>
      <c r="AZ1786" s="9"/>
      <c r="BA1786" s="120"/>
      <c r="BB1786" s="69"/>
      <c r="BC1786" s="9"/>
      <c r="BD1786" s="9"/>
      <c r="BE1786" s="9"/>
      <c r="BF1786" s="9"/>
      <c r="BG1786" s="9"/>
      <c r="BH1786" s="9"/>
      <c r="BI1786" s="9"/>
      <c r="BJ1786" s="9"/>
      <c r="BK1786" s="9"/>
      <c r="BL1786" s="9"/>
      <c r="BM1786" s="9"/>
      <c r="BN1786" s="9"/>
      <c r="BO1786" s="9"/>
      <c r="BP1786" s="9"/>
      <c r="BQ1786" s="9"/>
      <c r="BR1786" s="9"/>
      <c r="BS1786" s="9"/>
      <c r="BT1786" s="9"/>
      <c r="BU1786" s="9"/>
      <c r="BV1786" s="9"/>
      <c r="BW1786" s="9"/>
      <c r="BX1786" s="9"/>
      <c r="BY1786" s="9"/>
      <c r="BZ1786" s="9"/>
      <c r="CA1786" s="9"/>
      <c r="CB1786" s="9"/>
      <c r="CC1786" s="9"/>
      <c r="CD1786" s="9"/>
      <c r="CE1786" s="9"/>
      <c r="CF1786" s="9"/>
      <c r="CG1786" s="9"/>
      <c r="CH1786" s="9"/>
      <c r="CI1786" s="9"/>
      <c r="CJ1786" s="9"/>
      <c r="CK1786" s="9"/>
      <c r="CL1786" s="9"/>
      <c r="CM1786" s="9"/>
      <c r="CN1786" s="9"/>
      <c r="CO1786" s="9"/>
      <c r="CP1786" s="9"/>
    </row>
    <row r="1787" spans="1:94" ht="30" x14ac:dyDescent="0.25">
      <c r="A1787" s="9" t="s">
        <v>4860</v>
      </c>
      <c r="B1787" s="9" t="s">
        <v>4861</v>
      </c>
      <c r="C1787" s="9"/>
      <c r="D1787" s="9"/>
      <c r="E1787" s="9"/>
      <c r="F1787" s="9"/>
      <c r="G1787" s="9"/>
      <c r="H1787" s="9"/>
      <c r="I1787" s="9"/>
      <c r="J1787" s="9"/>
      <c r="K1787" s="9"/>
      <c r="L1787" s="9"/>
      <c r="M1787" s="9"/>
      <c r="N1787" s="9"/>
      <c r="O1787" s="9"/>
      <c r="P1787" s="9"/>
      <c r="Q1787" s="9"/>
      <c r="R1787" s="9"/>
      <c r="S1787" s="9"/>
      <c r="T1787" s="9"/>
      <c r="U1787" s="9"/>
      <c r="V1787" s="9"/>
      <c r="W1787" s="9"/>
      <c r="X1787" s="9"/>
      <c r="Y1787" s="9"/>
      <c r="Z1787" s="9"/>
      <c r="AA1787" s="9"/>
      <c r="AB1787" s="9"/>
      <c r="AC1787" s="9"/>
      <c r="AD1787" s="9"/>
      <c r="AE1787" s="9"/>
      <c r="AF1787" s="9"/>
      <c r="AG1787" s="9"/>
      <c r="AH1787" s="9"/>
      <c r="AI1787" s="9"/>
      <c r="AJ1787" s="9"/>
      <c r="AK1787" s="9"/>
      <c r="AL1787" s="9"/>
      <c r="AM1787" s="69"/>
      <c r="AN1787" s="9"/>
      <c r="AO1787" s="69" t="s">
        <v>959</v>
      </c>
      <c r="AP1787" s="210"/>
      <c r="AQ1787" s="211"/>
      <c r="AR1787" s="211"/>
      <c r="AS1787" s="211"/>
      <c r="AT1787" s="211"/>
      <c r="AU1787" s="211"/>
      <c r="AV1787" s="211"/>
      <c r="AW1787" s="9"/>
      <c r="AX1787" s="9"/>
      <c r="AY1787" s="9"/>
      <c r="AZ1787" s="9"/>
      <c r="BA1787" s="120"/>
      <c r="BB1787" s="69"/>
      <c r="BC1787" s="9"/>
      <c r="BD1787" s="9"/>
      <c r="BE1787" s="9"/>
      <c r="BF1787" s="9"/>
      <c r="BG1787" s="9"/>
      <c r="BH1787" s="9"/>
      <c r="BI1787" s="9"/>
      <c r="BJ1787" s="9"/>
      <c r="BK1787" s="9"/>
      <c r="BL1787" s="9"/>
      <c r="BM1787" s="9"/>
      <c r="BN1787" s="9"/>
      <c r="BO1787" s="9"/>
      <c r="BP1787" s="9"/>
      <c r="BQ1787" s="9"/>
      <c r="BR1787" s="9"/>
      <c r="BS1787" s="9"/>
      <c r="BT1787" s="9"/>
      <c r="BU1787" s="9"/>
      <c r="BV1787" s="9"/>
      <c r="BW1787" s="9"/>
      <c r="BX1787" s="9"/>
      <c r="BY1787" s="9"/>
      <c r="BZ1787" s="9"/>
      <c r="CA1787" s="9"/>
      <c r="CB1787" s="9"/>
      <c r="CC1787" s="9"/>
      <c r="CD1787" s="9"/>
      <c r="CE1787" s="9"/>
      <c r="CF1787" s="9"/>
      <c r="CG1787" s="9"/>
      <c r="CH1787" s="9"/>
      <c r="CI1787" s="9"/>
      <c r="CJ1787" s="9"/>
      <c r="CK1787" s="9"/>
      <c r="CL1787" s="9"/>
      <c r="CM1787" s="9"/>
      <c r="CN1787" s="9"/>
      <c r="CO1787" s="9"/>
      <c r="CP1787" s="9"/>
    </row>
    <row r="1788" spans="1:94" ht="30" x14ac:dyDescent="0.25">
      <c r="A1788" s="9" t="s">
        <v>4862</v>
      </c>
      <c r="B1788" s="9" t="s">
        <v>4863</v>
      </c>
      <c r="C1788" s="9"/>
      <c r="D1788" s="9"/>
      <c r="E1788" s="9"/>
      <c r="F1788" s="9"/>
      <c r="G1788" s="9"/>
      <c r="H1788" s="9"/>
      <c r="I1788" s="9"/>
      <c r="J1788" s="9"/>
      <c r="K1788" s="9"/>
      <c r="L1788" s="9"/>
      <c r="M1788" s="9"/>
      <c r="N1788" s="9"/>
      <c r="O1788" s="9"/>
      <c r="P1788" s="9"/>
      <c r="Q1788" s="9"/>
      <c r="R1788" s="9"/>
      <c r="S1788" s="9"/>
      <c r="T1788" s="9"/>
      <c r="U1788" s="9"/>
      <c r="V1788" s="9"/>
      <c r="W1788" s="9"/>
      <c r="X1788" s="9"/>
      <c r="Y1788" s="9"/>
      <c r="Z1788" s="9"/>
      <c r="AA1788" s="9"/>
      <c r="AB1788" s="9"/>
      <c r="AC1788" s="9"/>
      <c r="AD1788" s="9"/>
      <c r="AE1788" s="9"/>
      <c r="AF1788" s="9"/>
      <c r="AG1788" s="9"/>
      <c r="AH1788" s="9"/>
      <c r="AI1788" s="9"/>
      <c r="AJ1788" s="9"/>
      <c r="AK1788" s="9"/>
      <c r="AL1788" s="9"/>
      <c r="AM1788" s="69"/>
      <c r="AN1788" s="9"/>
      <c r="AO1788" s="69" t="s">
        <v>959</v>
      </c>
      <c r="AP1788" s="210"/>
      <c r="AQ1788" s="211"/>
      <c r="AR1788" s="211"/>
      <c r="AS1788" s="211"/>
      <c r="AT1788" s="211"/>
      <c r="AU1788" s="211"/>
      <c r="AV1788" s="211"/>
      <c r="AW1788" s="9"/>
      <c r="AX1788" s="9"/>
      <c r="AY1788" s="9"/>
      <c r="AZ1788" s="9"/>
      <c r="BA1788" s="120"/>
      <c r="BB1788" s="69"/>
      <c r="BC1788" s="9"/>
      <c r="BD1788" s="9"/>
      <c r="BE1788" s="9"/>
      <c r="BF1788" s="9"/>
      <c r="BG1788" s="9"/>
      <c r="BH1788" s="9"/>
      <c r="BI1788" s="9"/>
      <c r="BJ1788" s="9"/>
      <c r="BK1788" s="9"/>
      <c r="BL1788" s="9"/>
      <c r="BM1788" s="9"/>
      <c r="BN1788" s="9"/>
      <c r="BO1788" s="9"/>
      <c r="BP1788" s="9"/>
      <c r="BQ1788" s="9"/>
      <c r="BR1788" s="9"/>
      <c r="BS1788" s="9"/>
      <c r="BT1788" s="9"/>
      <c r="BU1788" s="9"/>
      <c r="BV1788" s="9"/>
      <c r="BW1788" s="9"/>
      <c r="BX1788" s="9"/>
      <c r="BY1788" s="9"/>
      <c r="BZ1788" s="9"/>
      <c r="CA1788" s="9"/>
      <c r="CB1788" s="9"/>
      <c r="CC1788" s="9"/>
      <c r="CD1788" s="9"/>
      <c r="CE1788" s="9"/>
      <c r="CF1788" s="9"/>
      <c r="CG1788" s="9"/>
      <c r="CH1788" s="9"/>
      <c r="CI1788" s="9"/>
      <c r="CJ1788" s="9"/>
      <c r="CK1788" s="9"/>
      <c r="CL1788" s="9"/>
      <c r="CM1788" s="9"/>
      <c r="CN1788" s="9"/>
      <c r="CO1788" s="9"/>
      <c r="CP1788" s="9"/>
    </row>
    <row r="1789" spans="1:94" ht="30" x14ac:dyDescent="0.25">
      <c r="A1789" s="9" t="s">
        <v>4864</v>
      </c>
      <c r="B1789" s="9" t="s">
        <v>4865</v>
      </c>
      <c r="C1789" s="9"/>
      <c r="D1789" s="9"/>
      <c r="E1789" s="9"/>
      <c r="F1789" s="9"/>
      <c r="G1789" s="9"/>
      <c r="H1789" s="9"/>
      <c r="I1789" s="9"/>
      <c r="J1789" s="9"/>
      <c r="K1789" s="9"/>
      <c r="L1789" s="9"/>
      <c r="M1789" s="9"/>
      <c r="N1789" s="9"/>
      <c r="O1789" s="9"/>
      <c r="P1789" s="9"/>
      <c r="Q1789" s="9"/>
      <c r="R1789" s="9"/>
      <c r="S1789" s="9"/>
      <c r="T1789" s="9"/>
      <c r="U1789" s="9"/>
      <c r="V1789" s="9"/>
      <c r="W1789" s="9"/>
      <c r="X1789" s="9"/>
      <c r="Y1789" s="9"/>
      <c r="Z1789" s="9"/>
      <c r="AA1789" s="9"/>
      <c r="AB1789" s="9"/>
      <c r="AC1789" s="9"/>
      <c r="AD1789" s="9"/>
      <c r="AE1789" s="9"/>
      <c r="AF1789" s="9"/>
      <c r="AG1789" s="9"/>
      <c r="AH1789" s="9"/>
      <c r="AI1789" s="9"/>
      <c r="AJ1789" s="9"/>
      <c r="AK1789" s="9"/>
      <c r="AL1789" s="9"/>
      <c r="AM1789" s="69"/>
      <c r="AN1789" s="9"/>
      <c r="AO1789" s="69" t="s">
        <v>959</v>
      </c>
      <c r="AP1789" s="210"/>
      <c r="AQ1789" s="211"/>
      <c r="AR1789" s="211"/>
      <c r="AS1789" s="211"/>
      <c r="AT1789" s="211"/>
      <c r="AU1789" s="211"/>
      <c r="AV1789" s="211"/>
      <c r="AW1789" s="9"/>
      <c r="AX1789" s="9"/>
      <c r="AY1789" s="9"/>
      <c r="AZ1789" s="9"/>
      <c r="BA1789" s="120"/>
      <c r="BB1789" s="69"/>
      <c r="BC1789" s="9"/>
      <c r="BD1789" s="9"/>
      <c r="BE1789" s="9"/>
      <c r="BF1789" s="9"/>
      <c r="BG1789" s="9"/>
      <c r="BH1789" s="9"/>
      <c r="BI1789" s="9"/>
      <c r="BJ1789" s="9"/>
      <c r="BK1789" s="9"/>
      <c r="BL1789" s="9"/>
      <c r="BM1789" s="9"/>
      <c r="BN1789" s="9"/>
      <c r="BO1789" s="9"/>
      <c r="BP1789" s="9"/>
      <c r="BQ1789" s="9"/>
      <c r="BR1789" s="9"/>
      <c r="BS1789" s="9"/>
      <c r="BT1789" s="9"/>
      <c r="BU1789" s="9"/>
      <c r="BV1789" s="9"/>
      <c r="BW1789" s="9"/>
      <c r="BX1789" s="9"/>
      <c r="BY1789" s="9"/>
      <c r="BZ1789" s="9"/>
      <c r="CA1789" s="9"/>
      <c r="CB1789" s="9"/>
      <c r="CC1789" s="9"/>
      <c r="CD1789" s="9"/>
      <c r="CE1789" s="9"/>
      <c r="CF1789" s="9"/>
      <c r="CG1789" s="9"/>
      <c r="CH1789" s="9"/>
      <c r="CI1789" s="9"/>
      <c r="CJ1789" s="9"/>
      <c r="CK1789" s="9"/>
      <c r="CL1789" s="9"/>
      <c r="CM1789" s="9"/>
      <c r="CN1789" s="9"/>
      <c r="CO1789" s="9"/>
      <c r="CP1789" s="9"/>
    </row>
    <row r="1790" spans="1:94" ht="15.75" x14ac:dyDescent="0.25">
      <c r="A1790" s="126" t="s">
        <v>4866</v>
      </c>
      <c r="B1790" s="9" t="s">
        <v>4867</v>
      </c>
      <c r="C1790" s="9"/>
      <c r="D1790" s="9"/>
      <c r="E1790" s="9"/>
      <c r="F1790" s="9"/>
      <c r="G1790" s="9"/>
      <c r="H1790" s="9"/>
      <c r="I1790" s="9"/>
      <c r="J1790" s="9"/>
      <c r="K1790" s="9"/>
      <c r="L1790" s="9"/>
      <c r="M1790" s="9"/>
      <c r="N1790" s="9"/>
      <c r="O1790" s="9"/>
      <c r="P1790" s="9"/>
      <c r="Q1790" s="9"/>
      <c r="R1790" s="9"/>
      <c r="S1790" s="9"/>
      <c r="T1790" s="9"/>
      <c r="U1790" s="9"/>
      <c r="V1790" s="9"/>
      <c r="W1790" s="9"/>
      <c r="X1790" s="9"/>
      <c r="Y1790" s="9"/>
      <c r="Z1790" s="9"/>
      <c r="AA1790" s="9"/>
      <c r="AB1790" s="9"/>
      <c r="AC1790" s="9"/>
      <c r="AD1790" s="9"/>
      <c r="AE1790" s="9"/>
      <c r="AF1790" s="9"/>
      <c r="AG1790" s="9"/>
      <c r="AH1790" s="9"/>
      <c r="AI1790" s="9"/>
      <c r="AJ1790" s="9"/>
      <c r="AK1790" s="9"/>
      <c r="AL1790" s="9"/>
      <c r="AM1790" s="69"/>
      <c r="AN1790" s="9"/>
      <c r="AO1790" s="69" t="s">
        <v>2150</v>
      </c>
      <c r="AP1790" s="210"/>
      <c r="AQ1790" s="211"/>
      <c r="AR1790" s="211"/>
      <c r="AS1790" s="211"/>
      <c r="AT1790" s="211"/>
      <c r="AU1790" s="211"/>
      <c r="AV1790" s="211"/>
      <c r="AW1790" s="9"/>
      <c r="AX1790" s="9"/>
      <c r="AY1790" s="9"/>
      <c r="AZ1790" s="9"/>
      <c r="BA1790" s="120"/>
      <c r="BB1790" s="69"/>
      <c r="BC1790" s="9"/>
      <c r="BD1790" s="9"/>
      <c r="BE1790" s="9"/>
      <c r="BF1790" s="9"/>
      <c r="BG1790" s="9"/>
      <c r="BH1790" s="9"/>
      <c r="BI1790" s="9"/>
      <c r="BJ1790" s="9"/>
      <c r="BK1790" s="9"/>
      <c r="BL1790" s="9"/>
      <c r="BM1790" s="9"/>
      <c r="BN1790" s="9"/>
      <c r="BO1790" s="9"/>
      <c r="BP1790" s="9"/>
      <c r="BQ1790" s="9"/>
      <c r="BR1790" s="9"/>
      <c r="BS1790" s="9"/>
      <c r="BT1790" s="9"/>
      <c r="BU1790" s="9"/>
      <c r="BV1790" s="9"/>
      <c r="BW1790" s="9"/>
      <c r="BX1790" s="9"/>
      <c r="BY1790" s="9"/>
      <c r="BZ1790" s="9"/>
      <c r="CA1790" s="9"/>
      <c r="CB1790" s="9"/>
      <c r="CC1790" s="9"/>
      <c r="CD1790" s="9"/>
      <c r="CE1790" s="9"/>
      <c r="CF1790" s="9"/>
      <c r="CG1790" s="9"/>
      <c r="CH1790" s="9"/>
      <c r="CI1790" s="9"/>
      <c r="CJ1790" s="9"/>
      <c r="CK1790" s="9"/>
      <c r="CL1790" s="9"/>
      <c r="CM1790" s="9"/>
      <c r="CN1790" s="9"/>
      <c r="CO1790" s="9"/>
      <c r="CP1790" s="9"/>
    </row>
    <row r="1791" spans="1:94" ht="15.75" x14ac:dyDescent="0.25">
      <c r="A1791" s="126" t="s">
        <v>4868</v>
      </c>
      <c r="B1791" s="9" t="s">
        <v>4869</v>
      </c>
      <c r="C1791" s="9"/>
      <c r="D1791" s="9"/>
      <c r="E1791" s="9"/>
      <c r="F1791" s="9"/>
      <c r="G1791" s="9"/>
      <c r="H1791" s="9"/>
      <c r="I1791" s="9"/>
      <c r="J1791" s="9"/>
      <c r="K1791" s="9"/>
      <c r="L1791" s="9"/>
      <c r="M1791" s="9"/>
      <c r="N1791" s="9"/>
      <c r="O1791" s="9"/>
      <c r="P1791" s="9"/>
      <c r="Q1791" s="9"/>
      <c r="R1791" s="9"/>
      <c r="S1791" s="9"/>
      <c r="T1791" s="9"/>
      <c r="U1791" s="9"/>
      <c r="V1791" s="9"/>
      <c r="W1791" s="9"/>
      <c r="X1791" s="9"/>
      <c r="Y1791" s="9"/>
      <c r="Z1791" s="9"/>
      <c r="AA1791" s="9"/>
      <c r="AB1791" s="9"/>
      <c r="AC1791" s="9"/>
      <c r="AD1791" s="9"/>
      <c r="AE1791" s="9"/>
      <c r="AF1791" s="9"/>
      <c r="AG1791" s="9"/>
      <c r="AH1791" s="9"/>
      <c r="AI1791" s="9"/>
      <c r="AJ1791" s="9"/>
      <c r="AK1791" s="9"/>
      <c r="AL1791" s="9"/>
      <c r="AM1791" s="69"/>
      <c r="AN1791" s="9"/>
      <c r="AO1791" s="69" t="s">
        <v>2150</v>
      </c>
      <c r="AP1791" s="210"/>
      <c r="AQ1791" s="211"/>
      <c r="AR1791" s="211"/>
      <c r="AS1791" s="211"/>
      <c r="AT1791" s="211"/>
      <c r="AU1791" s="211"/>
      <c r="AV1791" s="211"/>
      <c r="AW1791" s="9"/>
      <c r="AX1791" s="9"/>
      <c r="AY1791" s="9"/>
      <c r="AZ1791" s="9"/>
      <c r="BA1791" s="120"/>
      <c r="BB1791" s="69"/>
      <c r="BC1791" s="9"/>
      <c r="BD1791" s="9"/>
      <c r="BE1791" s="9"/>
      <c r="BF1791" s="9"/>
      <c r="BG1791" s="9"/>
      <c r="BH1791" s="9"/>
      <c r="BI1791" s="9"/>
      <c r="BJ1791" s="9"/>
      <c r="BK1791" s="9"/>
      <c r="BL1791" s="9"/>
      <c r="BM1791" s="9"/>
      <c r="BN1791" s="9"/>
      <c r="BO1791" s="9"/>
      <c r="BP1791" s="9"/>
      <c r="BQ1791" s="9"/>
      <c r="BR1791" s="9"/>
      <c r="BS1791" s="9"/>
      <c r="BT1791" s="9"/>
      <c r="BU1791" s="9"/>
      <c r="BV1791" s="9"/>
      <c r="BW1791" s="9"/>
      <c r="BX1791" s="9"/>
      <c r="BY1791" s="9"/>
      <c r="BZ1791" s="9"/>
      <c r="CA1791" s="9"/>
      <c r="CB1791" s="9"/>
      <c r="CC1791" s="9"/>
      <c r="CD1791" s="9"/>
      <c r="CE1791" s="9"/>
      <c r="CF1791" s="9"/>
      <c r="CG1791" s="9"/>
      <c r="CH1791" s="9"/>
      <c r="CI1791" s="9"/>
      <c r="CJ1791" s="9"/>
      <c r="CK1791" s="9"/>
      <c r="CL1791" s="9"/>
      <c r="CM1791" s="9"/>
      <c r="CN1791" s="9"/>
      <c r="CO1791" s="9"/>
      <c r="CP1791" s="9"/>
    </row>
    <row r="1792" spans="1:94" ht="30" x14ac:dyDescent="0.25">
      <c r="A1792" s="126" t="s">
        <v>4870</v>
      </c>
      <c r="B1792" s="9" t="s">
        <v>4871</v>
      </c>
      <c r="C1792" s="9"/>
      <c r="D1792" s="9"/>
      <c r="E1792" s="9"/>
      <c r="F1792" s="9"/>
      <c r="G1792" s="9"/>
      <c r="H1792" s="9"/>
      <c r="I1792" s="9"/>
      <c r="J1792" s="9"/>
      <c r="K1792" s="9"/>
      <c r="L1792" s="9"/>
      <c r="M1792" s="9"/>
      <c r="N1792" s="9"/>
      <c r="O1792" s="9"/>
      <c r="P1792" s="9"/>
      <c r="Q1792" s="9"/>
      <c r="R1792" s="9"/>
      <c r="S1792" s="9"/>
      <c r="T1792" s="9"/>
      <c r="U1792" s="9"/>
      <c r="V1792" s="9"/>
      <c r="W1792" s="9"/>
      <c r="X1792" s="9"/>
      <c r="Y1792" s="9"/>
      <c r="Z1792" s="9"/>
      <c r="AA1792" s="9"/>
      <c r="AB1792" s="9"/>
      <c r="AC1792" s="9"/>
      <c r="AD1792" s="9"/>
      <c r="AE1792" s="9"/>
      <c r="AF1792" s="9"/>
      <c r="AG1792" s="9"/>
      <c r="AH1792" s="9"/>
      <c r="AI1792" s="9"/>
      <c r="AJ1792" s="9"/>
      <c r="AK1792" s="9"/>
      <c r="AL1792" s="9"/>
      <c r="AM1792" s="69"/>
      <c r="AN1792" s="9"/>
      <c r="AO1792" s="69" t="s">
        <v>959</v>
      </c>
      <c r="AP1792" s="210"/>
      <c r="AQ1792" s="211"/>
      <c r="AR1792" s="211"/>
      <c r="AS1792" s="211"/>
      <c r="AT1792" s="211"/>
      <c r="AU1792" s="211"/>
      <c r="AV1792" s="211"/>
      <c r="AW1792" s="9"/>
      <c r="AX1792" s="9"/>
      <c r="AY1792" s="9"/>
      <c r="AZ1792" s="9"/>
      <c r="BA1792" s="120"/>
      <c r="BB1792" s="69"/>
      <c r="BC1792" s="9"/>
      <c r="BD1792" s="9"/>
      <c r="BE1792" s="9"/>
      <c r="BF1792" s="9"/>
      <c r="BG1792" s="9"/>
      <c r="BH1792" s="9"/>
      <c r="BI1792" s="9"/>
      <c r="BJ1792" s="9"/>
      <c r="BK1792" s="9"/>
      <c r="BL1792" s="9"/>
      <c r="BM1792" s="9"/>
      <c r="BN1792" s="9"/>
      <c r="BO1792" s="9"/>
      <c r="BP1792" s="9"/>
      <c r="BQ1792" s="9"/>
      <c r="BR1792" s="9"/>
      <c r="BS1792" s="9"/>
      <c r="BT1792" s="9"/>
      <c r="BU1792" s="9"/>
      <c r="BV1792" s="9"/>
      <c r="BW1792" s="9"/>
      <c r="BX1792" s="9"/>
      <c r="BY1792" s="9"/>
      <c r="BZ1792" s="9"/>
      <c r="CA1792" s="9"/>
      <c r="CB1792" s="9"/>
      <c r="CC1792" s="9"/>
      <c r="CD1792" s="9"/>
      <c r="CE1792" s="9"/>
      <c r="CF1792" s="9"/>
      <c r="CG1792" s="9"/>
      <c r="CH1792" s="9"/>
      <c r="CI1792" s="9"/>
      <c r="CJ1792" s="9"/>
      <c r="CK1792" s="9"/>
      <c r="CL1792" s="9"/>
      <c r="CM1792" s="9"/>
      <c r="CN1792" s="9"/>
      <c r="CO1792" s="9"/>
      <c r="CP1792" s="9"/>
    </row>
    <row r="1793" spans="1:94" ht="30" x14ac:dyDescent="0.25">
      <c r="A1793" s="126" t="s">
        <v>4872</v>
      </c>
      <c r="B1793" s="9" t="s">
        <v>4873</v>
      </c>
      <c r="C1793" s="9"/>
      <c r="D1793" s="9"/>
      <c r="E1793" s="9"/>
      <c r="F1793" s="9"/>
      <c r="G1793" s="9"/>
      <c r="H1793" s="9"/>
      <c r="I1793" s="9"/>
      <c r="J1793" s="9"/>
      <c r="K1793" s="9"/>
      <c r="L1793" s="9"/>
      <c r="M1793" s="9"/>
      <c r="N1793" s="9"/>
      <c r="O1793" s="9"/>
      <c r="P1793" s="9"/>
      <c r="Q1793" s="9"/>
      <c r="R1793" s="9"/>
      <c r="S1793" s="9"/>
      <c r="T1793" s="9"/>
      <c r="U1793" s="9"/>
      <c r="V1793" s="9"/>
      <c r="W1793" s="9"/>
      <c r="X1793" s="9"/>
      <c r="Y1793" s="9"/>
      <c r="Z1793" s="9"/>
      <c r="AA1793" s="9"/>
      <c r="AB1793" s="9"/>
      <c r="AC1793" s="9"/>
      <c r="AD1793" s="9"/>
      <c r="AE1793" s="9"/>
      <c r="AF1793" s="9"/>
      <c r="AG1793" s="9"/>
      <c r="AH1793" s="9"/>
      <c r="AI1793" s="9"/>
      <c r="AJ1793" s="9"/>
      <c r="AK1793" s="9"/>
      <c r="AL1793" s="9"/>
      <c r="AM1793" s="69"/>
      <c r="AN1793" s="9"/>
      <c r="AO1793" s="69" t="s">
        <v>4700</v>
      </c>
      <c r="AP1793" s="210"/>
      <c r="AQ1793" s="211"/>
      <c r="AR1793" s="211"/>
      <c r="AS1793" s="211"/>
      <c r="AT1793" s="211"/>
      <c r="AU1793" s="211"/>
      <c r="AV1793" s="211"/>
      <c r="AW1793" s="9"/>
      <c r="AX1793" s="9"/>
      <c r="AY1793" s="9"/>
      <c r="AZ1793" s="9"/>
      <c r="BA1793" s="120"/>
      <c r="BB1793" s="69"/>
      <c r="BC1793" s="9"/>
      <c r="BD1793" s="9"/>
      <c r="BE1793" s="9"/>
      <c r="BF1793" s="9"/>
      <c r="BG1793" s="9"/>
      <c r="BH1793" s="9"/>
      <c r="BI1793" s="9"/>
      <c r="BJ1793" s="9"/>
      <c r="BK1793" s="9"/>
      <c r="BL1793" s="9"/>
      <c r="BM1793" s="9"/>
      <c r="BN1793" s="9"/>
      <c r="BO1793" s="9"/>
      <c r="BP1793" s="9"/>
      <c r="BQ1793" s="9"/>
      <c r="BR1793" s="9"/>
      <c r="BS1793" s="9"/>
      <c r="BT1793" s="9"/>
      <c r="BU1793" s="9"/>
      <c r="BV1793" s="9"/>
      <c r="BW1793" s="9"/>
      <c r="BX1793" s="9"/>
      <c r="BY1793" s="9"/>
      <c r="BZ1793" s="9"/>
      <c r="CA1793" s="9"/>
      <c r="CB1793" s="9"/>
      <c r="CC1793" s="9"/>
      <c r="CD1793" s="9"/>
      <c r="CE1793" s="9"/>
      <c r="CF1793" s="9"/>
      <c r="CG1793" s="9"/>
      <c r="CH1793" s="9"/>
      <c r="CI1793" s="9"/>
      <c r="CJ1793" s="9"/>
      <c r="CK1793" s="9"/>
      <c r="CL1793" s="9"/>
      <c r="CM1793" s="9"/>
      <c r="CN1793" s="9"/>
      <c r="CO1793" s="9"/>
      <c r="CP1793" s="9"/>
    </row>
    <row r="1794" spans="1:94" ht="30" x14ac:dyDescent="0.25">
      <c r="A1794" s="270" t="s">
        <v>4874</v>
      </c>
      <c r="B1794" s="9" t="s">
        <v>4875</v>
      </c>
      <c r="C1794" s="9"/>
      <c r="D1794" s="9"/>
      <c r="E1794" s="9"/>
      <c r="F1794" s="9"/>
      <c r="G1794" s="9"/>
      <c r="H1794" s="9"/>
      <c r="I1794" s="9"/>
      <c r="J1794" s="9"/>
      <c r="K1794" s="9"/>
      <c r="L1794" s="9"/>
      <c r="M1794" s="9"/>
      <c r="N1794" s="9"/>
      <c r="O1794" s="9"/>
      <c r="P1794" s="9"/>
      <c r="Q1794" s="9"/>
      <c r="R1794" s="9"/>
      <c r="S1794" s="9"/>
      <c r="T1794" s="9"/>
      <c r="U1794" s="9"/>
      <c r="V1794" s="9"/>
      <c r="W1794" s="9"/>
      <c r="X1794" s="9"/>
      <c r="Y1794" s="9"/>
      <c r="Z1794" s="9"/>
      <c r="AA1794" s="9"/>
      <c r="AB1794" s="9"/>
      <c r="AC1794" s="9"/>
      <c r="AD1794" s="9"/>
      <c r="AE1794" s="9"/>
      <c r="AF1794" s="9"/>
      <c r="AG1794" s="9"/>
      <c r="AH1794" s="9"/>
      <c r="AI1794" s="9"/>
      <c r="AJ1794" s="9"/>
      <c r="AK1794" s="9"/>
      <c r="AL1794" s="9"/>
      <c r="AM1794" s="69"/>
      <c r="AN1794" s="9"/>
      <c r="AO1794" s="69" t="s">
        <v>4700</v>
      </c>
      <c r="AP1794" s="210"/>
      <c r="AQ1794" s="211"/>
      <c r="AR1794" s="211"/>
      <c r="AS1794" s="211"/>
      <c r="AT1794" s="211"/>
      <c r="AU1794" s="211"/>
      <c r="AV1794" s="211"/>
      <c r="AW1794" s="9"/>
      <c r="AX1794" s="9"/>
      <c r="AY1794" s="9"/>
      <c r="AZ1794" s="9"/>
      <c r="BA1794" s="120"/>
      <c r="BB1794" s="69"/>
      <c r="BC1794" s="9"/>
      <c r="BD1794" s="9"/>
      <c r="BE1794" s="9"/>
      <c r="BF1794" s="9"/>
      <c r="BG1794" s="9"/>
      <c r="BH1794" s="9"/>
      <c r="BI1794" s="9"/>
      <c r="BJ1794" s="9"/>
      <c r="BK1794" s="9"/>
      <c r="BL1794" s="9"/>
      <c r="BM1794" s="9"/>
      <c r="BN1794" s="9"/>
      <c r="BO1794" s="9"/>
      <c r="BP1794" s="9"/>
      <c r="BQ1794" s="9"/>
      <c r="BR1794" s="9"/>
      <c r="BS1794" s="9"/>
      <c r="BT1794" s="9"/>
      <c r="BU1794" s="9"/>
      <c r="BV1794" s="9"/>
      <c r="BW1794" s="9"/>
      <c r="BX1794" s="9"/>
      <c r="BY1794" s="9"/>
      <c r="BZ1794" s="9"/>
      <c r="CA1794" s="9"/>
      <c r="CB1794" s="9"/>
      <c r="CC1794" s="9"/>
      <c r="CD1794" s="9"/>
      <c r="CE1794" s="9"/>
      <c r="CF1794" s="9"/>
      <c r="CG1794" s="9"/>
      <c r="CH1794" s="9"/>
      <c r="CI1794" s="9"/>
      <c r="CJ1794" s="9"/>
      <c r="CK1794" s="9"/>
      <c r="CL1794" s="9"/>
      <c r="CM1794" s="9"/>
      <c r="CN1794" s="9"/>
      <c r="CO1794" s="9"/>
      <c r="CP1794" s="9"/>
    </row>
    <row r="1795" spans="1:94" ht="15.75" x14ac:dyDescent="0.25">
      <c r="A1795" s="126" t="s">
        <v>4876</v>
      </c>
      <c r="B1795" s="62" t="s">
        <v>4785</v>
      </c>
      <c r="C1795" s="9"/>
      <c r="D1795" s="9"/>
      <c r="E1795" s="9"/>
      <c r="F1795" s="9"/>
      <c r="G1795" s="9"/>
      <c r="H1795" s="9"/>
      <c r="I1795" s="9"/>
      <c r="J1795" s="9"/>
      <c r="K1795" s="9"/>
      <c r="L1795" s="9"/>
      <c r="M1795" s="9"/>
      <c r="N1795" s="9"/>
      <c r="O1795" s="9"/>
      <c r="P1795" s="9"/>
      <c r="Q1795" s="9"/>
      <c r="R1795" s="9"/>
      <c r="S1795" s="9"/>
      <c r="T1795" s="9"/>
      <c r="U1795" s="9"/>
      <c r="V1795" s="9"/>
      <c r="W1795" s="9"/>
      <c r="X1795" s="9"/>
      <c r="Y1795" s="9"/>
      <c r="Z1795" s="9"/>
      <c r="AA1795" s="9"/>
      <c r="AB1795" s="9"/>
      <c r="AC1795" s="9"/>
      <c r="AD1795" s="9"/>
      <c r="AE1795" s="9"/>
      <c r="AF1795" s="9"/>
      <c r="AG1795" s="9"/>
      <c r="AH1795" s="9"/>
      <c r="AI1795" s="9"/>
      <c r="AJ1795" s="9"/>
      <c r="AK1795" s="9"/>
      <c r="AL1795" s="9"/>
      <c r="AM1795" s="69"/>
      <c r="AN1795" s="9"/>
      <c r="AO1795" s="69" t="s">
        <v>1977</v>
      </c>
      <c r="AP1795" s="210"/>
      <c r="AQ1795" s="211"/>
      <c r="AR1795" s="211"/>
      <c r="AS1795" s="211"/>
      <c r="AT1795" s="211"/>
      <c r="AU1795" s="211"/>
      <c r="AV1795" s="211"/>
      <c r="AW1795" s="9"/>
      <c r="AX1795" s="9"/>
      <c r="AY1795" s="9"/>
      <c r="AZ1795" s="9"/>
      <c r="BA1795" s="120"/>
      <c r="BB1795" s="69"/>
      <c r="BC1795" s="9"/>
      <c r="BD1795" s="9"/>
      <c r="BE1795" s="9"/>
      <c r="BF1795" s="9"/>
      <c r="BG1795" s="9"/>
      <c r="BH1795" s="9"/>
      <c r="BI1795" s="9"/>
      <c r="BJ1795" s="9"/>
      <c r="BK1795" s="9"/>
      <c r="BL1795" s="9"/>
      <c r="BM1795" s="9"/>
      <c r="BN1795" s="9"/>
      <c r="BO1795" s="9"/>
      <c r="BP1795" s="9"/>
      <c r="BQ1795" s="9"/>
      <c r="BR1795" s="9"/>
      <c r="BS1795" s="9"/>
      <c r="BT1795" s="9"/>
      <c r="BU1795" s="9"/>
      <c r="BV1795" s="9"/>
      <c r="BW1795" s="9"/>
      <c r="BX1795" s="9"/>
      <c r="BY1795" s="9"/>
      <c r="BZ1795" s="9"/>
      <c r="CA1795" s="9"/>
      <c r="CB1795" s="9"/>
      <c r="CC1795" s="9"/>
      <c r="CD1795" s="9"/>
      <c r="CE1795" s="9"/>
      <c r="CF1795" s="9"/>
      <c r="CG1795" s="9"/>
      <c r="CH1795" s="9"/>
      <c r="CI1795" s="9"/>
      <c r="CJ1795" s="9"/>
      <c r="CK1795" s="9"/>
      <c r="CL1795" s="9"/>
      <c r="CM1795" s="9"/>
      <c r="CN1795" s="9"/>
      <c r="CO1795" s="9"/>
      <c r="CP1795" s="9"/>
    </row>
    <row r="1796" spans="1:94" ht="15.75" x14ac:dyDescent="0.25">
      <c r="A1796" s="271" t="s">
        <v>4877</v>
      </c>
      <c r="B1796" s="9" t="s">
        <v>4878</v>
      </c>
      <c r="C1796" s="9"/>
      <c r="D1796" s="9"/>
      <c r="E1796" s="9"/>
      <c r="F1796" s="9"/>
      <c r="G1796" s="9"/>
      <c r="H1796" s="9"/>
      <c r="I1796" s="9"/>
      <c r="J1796" s="9"/>
      <c r="K1796" s="9"/>
      <c r="L1796" s="9"/>
      <c r="M1796" s="9"/>
      <c r="N1796" s="9"/>
      <c r="O1796" s="9"/>
      <c r="P1796" s="9"/>
      <c r="Q1796" s="9"/>
      <c r="R1796" s="9"/>
      <c r="S1796" s="9"/>
      <c r="T1796" s="9"/>
      <c r="U1796" s="9"/>
      <c r="V1796" s="9"/>
      <c r="W1796" s="9"/>
      <c r="X1796" s="9"/>
      <c r="Y1796" s="9"/>
      <c r="Z1796" s="9"/>
      <c r="AA1796" s="9"/>
      <c r="AB1796" s="9"/>
      <c r="AC1796" s="9"/>
      <c r="AD1796" s="9"/>
      <c r="AE1796" s="9"/>
      <c r="AF1796" s="9"/>
      <c r="AG1796" s="9"/>
      <c r="AH1796" s="9"/>
      <c r="AI1796" s="9"/>
      <c r="AJ1796" s="9"/>
      <c r="AK1796" s="9"/>
      <c r="AL1796" s="9"/>
      <c r="AM1796" s="69"/>
      <c r="AN1796" s="9"/>
      <c r="AO1796" s="69" t="s">
        <v>4591</v>
      </c>
      <c r="AP1796" s="210"/>
      <c r="AQ1796" s="211"/>
      <c r="AR1796" s="211"/>
      <c r="AS1796" s="211"/>
      <c r="AT1796" s="211"/>
      <c r="AU1796" s="211"/>
      <c r="AV1796" s="211"/>
      <c r="AW1796" s="9"/>
      <c r="AX1796" s="9"/>
      <c r="AY1796" s="9"/>
      <c r="AZ1796" s="9"/>
      <c r="BA1796" s="120"/>
      <c r="BB1796" s="69"/>
      <c r="BC1796" s="9"/>
      <c r="BD1796" s="9"/>
      <c r="BE1796" s="9"/>
      <c r="BF1796" s="9"/>
      <c r="BG1796" s="9"/>
      <c r="BH1796" s="9"/>
      <c r="BI1796" s="9"/>
      <c r="BJ1796" s="9"/>
      <c r="BK1796" s="9"/>
      <c r="BL1796" s="9"/>
      <c r="BM1796" s="9"/>
      <c r="BN1796" s="9"/>
      <c r="BO1796" s="9"/>
      <c r="BP1796" s="9"/>
      <c r="BQ1796" s="9"/>
      <c r="BR1796" s="9"/>
      <c r="BS1796" s="9"/>
      <c r="BT1796" s="9"/>
      <c r="BU1796" s="9"/>
      <c r="BV1796" s="9"/>
      <c r="BW1796" s="9"/>
      <c r="BX1796" s="9"/>
      <c r="BY1796" s="9"/>
      <c r="BZ1796" s="9"/>
      <c r="CA1796" s="9"/>
      <c r="CB1796" s="9"/>
      <c r="CC1796" s="9"/>
      <c r="CD1796" s="9"/>
      <c r="CE1796" s="9"/>
      <c r="CF1796" s="9"/>
      <c r="CG1796" s="9"/>
      <c r="CH1796" s="9"/>
      <c r="CI1796" s="9"/>
      <c r="CJ1796" s="9"/>
      <c r="CK1796" s="9"/>
      <c r="CL1796" s="9"/>
      <c r="CM1796" s="9"/>
      <c r="CN1796" s="9"/>
      <c r="CO1796" s="9"/>
      <c r="CP1796" s="9"/>
    </row>
    <row r="1797" spans="1:94" ht="15.75" x14ac:dyDescent="0.25">
      <c r="A1797" s="126" t="s">
        <v>4879</v>
      </c>
      <c r="B1797" s="9" t="s">
        <v>4738</v>
      </c>
      <c r="C1797" s="9"/>
      <c r="D1797" s="9"/>
      <c r="E1797" s="9"/>
      <c r="F1797" s="9"/>
      <c r="G1797" s="9"/>
      <c r="H1797" s="9"/>
      <c r="I1797" s="9"/>
      <c r="J1797" s="9"/>
      <c r="K1797" s="9"/>
      <c r="L1797" s="9"/>
      <c r="M1797" s="9"/>
      <c r="N1797" s="9"/>
      <c r="O1797" s="9"/>
      <c r="P1797" s="9"/>
      <c r="Q1797" s="9"/>
      <c r="R1797" s="9"/>
      <c r="S1797" s="9"/>
      <c r="T1797" s="9"/>
      <c r="U1797" s="9"/>
      <c r="V1797" s="9"/>
      <c r="W1797" s="9"/>
      <c r="X1797" s="9"/>
      <c r="Y1797" s="9"/>
      <c r="Z1797" s="9"/>
      <c r="AA1797" s="9"/>
      <c r="AB1797" s="9"/>
      <c r="AC1797" s="9"/>
      <c r="AD1797" s="9"/>
      <c r="AE1797" s="9"/>
      <c r="AF1797" s="9"/>
      <c r="AG1797" s="9"/>
      <c r="AH1797" s="9"/>
      <c r="AI1797" s="9"/>
      <c r="AJ1797" s="9"/>
      <c r="AK1797" s="9"/>
      <c r="AL1797" s="9"/>
      <c r="AM1797" s="69"/>
      <c r="AN1797" s="9"/>
      <c r="AO1797" s="69" t="s">
        <v>4591</v>
      </c>
      <c r="AP1797" s="210"/>
      <c r="AQ1797" s="211"/>
      <c r="AR1797" s="211"/>
      <c r="AS1797" s="211"/>
      <c r="AT1797" s="211"/>
      <c r="AU1797" s="211"/>
      <c r="AV1797" s="211"/>
      <c r="AW1797" s="9"/>
      <c r="AX1797" s="9"/>
      <c r="AY1797" s="9"/>
      <c r="AZ1797" s="9"/>
      <c r="BA1797" s="120"/>
      <c r="BB1797" s="69"/>
      <c r="BC1797" s="9"/>
      <c r="BD1797" s="9"/>
      <c r="BE1797" s="9"/>
      <c r="BF1797" s="9"/>
      <c r="BG1797" s="9"/>
      <c r="BH1797" s="9"/>
      <c r="BI1797" s="9"/>
      <c r="BJ1797" s="9"/>
      <c r="BK1797" s="9"/>
      <c r="BL1797" s="9"/>
      <c r="BM1797" s="9"/>
      <c r="BN1797" s="9"/>
      <c r="BO1797" s="9"/>
      <c r="BP1797" s="9"/>
      <c r="BQ1797" s="9"/>
      <c r="BR1797" s="9"/>
      <c r="BS1797" s="9"/>
      <c r="BT1797" s="9"/>
      <c r="BU1797" s="9"/>
      <c r="BV1797" s="9"/>
      <c r="BW1797" s="9"/>
      <c r="BX1797" s="9"/>
      <c r="BY1797" s="9"/>
      <c r="BZ1797" s="9"/>
      <c r="CA1797" s="9"/>
      <c r="CB1797" s="9"/>
      <c r="CC1797" s="9"/>
      <c r="CD1797" s="9"/>
      <c r="CE1797" s="9"/>
      <c r="CF1797" s="9"/>
      <c r="CG1797" s="9"/>
      <c r="CH1797" s="9"/>
      <c r="CI1797" s="9"/>
      <c r="CJ1797" s="9"/>
      <c r="CK1797" s="9"/>
      <c r="CL1797" s="9"/>
      <c r="CM1797" s="9"/>
      <c r="CN1797" s="9"/>
      <c r="CO1797" s="9"/>
      <c r="CP1797" s="9"/>
    </row>
    <row r="1798" spans="1:94" ht="15.75" x14ac:dyDescent="0.25">
      <c r="A1798" s="126" t="s">
        <v>4880</v>
      </c>
      <c r="B1798" s="9" t="s">
        <v>4881</v>
      </c>
      <c r="C1798" s="9"/>
      <c r="D1798" s="9"/>
      <c r="E1798" s="9"/>
      <c r="F1798" s="9"/>
      <c r="G1798" s="9"/>
      <c r="H1798" s="9"/>
      <c r="I1798" s="9"/>
      <c r="J1798" s="9"/>
      <c r="K1798" s="9"/>
      <c r="L1798" s="9"/>
      <c r="M1798" s="9"/>
      <c r="N1798" s="9"/>
      <c r="O1798" s="9"/>
      <c r="P1798" s="9"/>
      <c r="Q1798" s="9"/>
      <c r="R1798" s="9"/>
      <c r="S1798" s="9"/>
      <c r="T1798" s="9"/>
      <c r="U1798" s="9"/>
      <c r="V1798" s="9"/>
      <c r="W1798" s="9"/>
      <c r="X1798" s="9"/>
      <c r="Y1798" s="9"/>
      <c r="Z1798" s="9"/>
      <c r="AA1798" s="9"/>
      <c r="AB1798" s="9"/>
      <c r="AC1798" s="9"/>
      <c r="AD1798" s="9"/>
      <c r="AE1798" s="9"/>
      <c r="AF1798" s="9"/>
      <c r="AG1798" s="9"/>
      <c r="AH1798" s="9"/>
      <c r="AI1798" s="9"/>
      <c r="AJ1798" s="9"/>
      <c r="AK1798" s="9"/>
      <c r="AL1798" s="9"/>
      <c r="AM1798" s="69"/>
      <c r="AN1798" s="9"/>
      <c r="AO1798" s="69" t="s">
        <v>4591</v>
      </c>
      <c r="AP1798" s="210"/>
      <c r="AQ1798" s="211"/>
      <c r="AR1798" s="211"/>
      <c r="AS1798" s="211"/>
      <c r="AT1798" s="211"/>
      <c r="AU1798" s="211"/>
      <c r="AV1798" s="211"/>
      <c r="AW1798" s="9"/>
      <c r="AX1798" s="9"/>
      <c r="AY1798" s="9"/>
      <c r="AZ1798" s="9"/>
      <c r="BA1798" s="120"/>
      <c r="BB1798" s="69"/>
      <c r="BC1798" s="9"/>
      <c r="BD1798" s="9"/>
      <c r="BE1798" s="9"/>
      <c r="BF1798" s="9"/>
      <c r="BG1798" s="9"/>
      <c r="BH1798" s="9"/>
      <c r="BI1798" s="9"/>
      <c r="BJ1798" s="9"/>
      <c r="BK1798" s="9"/>
      <c r="BL1798" s="9"/>
      <c r="BM1798" s="9"/>
      <c r="BN1798" s="9"/>
      <c r="BO1798" s="9"/>
      <c r="BP1798" s="9"/>
      <c r="BQ1798" s="9"/>
      <c r="BR1798" s="9"/>
      <c r="BS1798" s="9"/>
      <c r="BT1798" s="9"/>
      <c r="BU1798" s="9"/>
      <c r="BV1798" s="9"/>
      <c r="BW1798" s="9"/>
      <c r="BX1798" s="9"/>
      <c r="BY1798" s="9"/>
      <c r="BZ1798" s="9"/>
      <c r="CA1798" s="9"/>
      <c r="CB1798" s="9"/>
      <c r="CC1798" s="9"/>
      <c r="CD1798" s="9"/>
      <c r="CE1798" s="9"/>
      <c r="CF1798" s="9"/>
      <c r="CG1798" s="9"/>
      <c r="CH1798" s="9"/>
      <c r="CI1798" s="9"/>
      <c r="CJ1798" s="9"/>
      <c r="CK1798" s="9"/>
      <c r="CL1798" s="9"/>
      <c r="CM1798" s="9"/>
      <c r="CN1798" s="9"/>
      <c r="CO1798" s="9"/>
      <c r="CP1798" s="9"/>
    </row>
    <row r="1799" spans="1:94" ht="15.75" x14ac:dyDescent="0.25">
      <c r="A1799" s="126" t="s">
        <v>4882</v>
      </c>
      <c r="B1799" s="9" t="s">
        <v>4883</v>
      </c>
      <c r="C1799" s="9"/>
      <c r="D1799" s="9"/>
      <c r="E1799" s="9"/>
      <c r="F1799" s="9"/>
      <c r="G1799" s="9"/>
      <c r="H1799" s="9"/>
      <c r="I1799" s="9"/>
      <c r="J1799" s="9"/>
      <c r="K1799" s="9"/>
      <c r="L1799" s="9"/>
      <c r="M1799" s="9"/>
      <c r="N1799" s="9"/>
      <c r="O1799" s="9"/>
      <c r="P1799" s="9"/>
      <c r="Q1799" s="9"/>
      <c r="R1799" s="9"/>
      <c r="S1799" s="9"/>
      <c r="T1799" s="9"/>
      <c r="U1799" s="9"/>
      <c r="V1799" s="9"/>
      <c r="W1799" s="9"/>
      <c r="X1799" s="9"/>
      <c r="Y1799" s="9"/>
      <c r="Z1799" s="9"/>
      <c r="AA1799" s="9"/>
      <c r="AB1799" s="9"/>
      <c r="AC1799" s="9"/>
      <c r="AD1799" s="9"/>
      <c r="AE1799" s="9"/>
      <c r="AF1799" s="9"/>
      <c r="AG1799" s="9"/>
      <c r="AH1799" s="9"/>
      <c r="AI1799" s="9"/>
      <c r="AJ1799" s="9"/>
      <c r="AK1799" s="9"/>
      <c r="AL1799" s="9"/>
      <c r="AM1799" s="69"/>
      <c r="AN1799" s="9"/>
      <c r="AO1799" s="69" t="s">
        <v>4591</v>
      </c>
      <c r="AP1799" s="210"/>
      <c r="AQ1799" s="211"/>
      <c r="AR1799" s="211"/>
      <c r="AS1799" s="211"/>
      <c r="AT1799" s="211"/>
      <c r="AU1799" s="211"/>
      <c r="AV1799" s="211"/>
      <c r="AW1799" s="9"/>
      <c r="AX1799" s="9"/>
      <c r="AY1799" s="9"/>
      <c r="AZ1799" s="9"/>
      <c r="BA1799" s="120"/>
      <c r="BB1799" s="69"/>
      <c r="BC1799" s="9"/>
      <c r="BD1799" s="9"/>
      <c r="BE1799" s="9"/>
      <c r="BF1799" s="9"/>
      <c r="BG1799" s="9"/>
      <c r="BH1799" s="9"/>
      <c r="BI1799" s="9"/>
      <c r="BJ1799" s="9"/>
      <c r="BK1799" s="9"/>
      <c r="BL1799" s="9"/>
      <c r="BM1799" s="9"/>
      <c r="BN1799" s="9"/>
      <c r="BO1799" s="9"/>
      <c r="BP1799" s="9"/>
      <c r="BQ1799" s="9"/>
      <c r="BR1799" s="9"/>
      <c r="BS1799" s="9"/>
      <c r="BT1799" s="9"/>
      <c r="BU1799" s="9"/>
      <c r="BV1799" s="9"/>
      <c r="BW1799" s="9"/>
      <c r="BX1799" s="9"/>
      <c r="BY1799" s="9"/>
      <c r="BZ1799" s="9"/>
      <c r="CA1799" s="9"/>
      <c r="CB1799" s="9"/>
      <c r="CC1799" s="9"/>
      <c r="CD1799" s="9"/>
      <c r="CE1799" s="9"/>
      <c r="CF1799" s="9"/>
      <c r="CG1799" s="9"/>
      <c r="CH1799" s="9"/>
      <c r="CI1799" s="9"/>
      <c r="CJ1799" s="9"/>
      <c r="CK1799" s="9"/>
      <c r="CL1799" s="9"/>
      <c r="CM1799" s="9"/>
      <c r="CN1799" s="9"/>
      <c r="CO1799" s="9"/>
      <c r="CP1799" s="9"/>
    </row>
    <row r="1800" spans="1:94" ht="15.75" x14ac:dyDescent="0.25">
      <c r="A1800" s="126" t="s">
        <v>4884</v>
      </c>
      <c r="B1800" s="9" t="s">
        <v>4885</v>
      </c>
      <c r="C1800" s="9"/>
      <c r="D1800" s="9"/>
      <c r="E1800" s="9"/>
      <c r="F1800" s="9"/>
      <c r="G1800" s="9"/>
      <c r="H1800" s="9"/>
      <c r="I1800" s="9"/>
      <c r="J1800" s="9"/>
      <c r="K1800" s="9"/>
      <c r="L1800" s="9"/>
      <c r="M1800" s="9"/>
      <c r="N1800" s="9"/>
      <c r="O1800" s="9"/>
      <c r="P1800" s="9"/>
      <c r="Q1800" s="9"/>
      <c r="R1800" s="9"/>
      <c r="S1800" s="9"/>
      <c r="T1800" s="9"/>
      <c r="U1800" s="9"/>
      <c r="V1800" s="9"/>
      <c r="W1800" s="9"/>
      <c r="X1800" s="9"/>
      <c r="Y1800" s="9"/>
      <c r="Z1800" s="9"/>
      <c r="AA1800" s="9"/>
      <c r="AB1800" s="9"/>
      <c r="AC1800" s="9"/>
      <c r="AD1800" s="9"/>
      <c r="AE1800" s="9"/>
      <c r="AF1800" s="9"/>
      <c r="AG1800" s="9"/>
      <c r="AH1800" s="9"/>
      <c r="AI1800" s="9"/>
      <c r="AJ1800" s="9"/>
      <c r="AK1800" s="9"/>
      <c r="AL1800" s="9"/>
      <c r="AM1800" s="69"/>
      <c r="AN1800" s="9"/>
      <c r="AO1800" s="69" t="s">
        <v>4591</v>
      </c>
      <c r="AP1800" s="210"/>
      <c r="AQ1800" s="211"/>
      <c r="AR1800" s="211"/>
      <c r="AS1800" s="211"/>
      <c r="AT1800" s="211"/>
      <c r="AU1800" s="211"/>
      <c r="AV1800" s="211"/>
      <c r="AW1800" s="9"/>
      <c r="AX1800" s="9"/>
      <c r="AY1800" s="9"/>
      <c r="AZ1800" s="9"/>
      <c r="BA1800" s="120"/>
      <c r="BB1800" s="69"/>
      <c r="BC1800" s="9"/>
      <c r="BD1800" s="9"/>
      <c r="BE1800" s="9"/>
      <c r="BF1800" s="9"/>
      <c r="BG1800" s="9"/>
      <c r="BH1800" s="9"/>
      <c r="BI1800" s="9"/>
      <c r="BJ1800" s="9"/>
      <c r="BK1800" s="9"/>
      <c r="BL1800" s="9"/>
      <c r="BM1800" s="9"/>
      <c r="BN1800" s="9"/>
      <c r="BO1800" s="9"/>
      <c r="BP1800" s="9"/>
      <c r="BQ1800" s="9"/>
      <c r="BR1800" s="9"/>
      <c r="BS1800" s="9"/>
      <c r="BT1800" s="9"/>
      <c r="BU1800" s="9"/>
      <c r="BV1800" s="9"/>
      <c r="BW1800" s="9"/>
      <c r="BX1800" s="9"/>
      <c r="BY1800" s="9"/>
      <c r="BZ1800" s="9"/>
      <c r="CA1800" s="9"/>
      <c r="CB1800" s="9"/>
      <c r="CC1800" s="9"/>
      <c r="CD1800" s="9"/>
      <c r="CE1800" s="9"/>
      <c r="CF1800" s="9"/>
      <c r="CG1800" s="9"/>
      <c r="CH1800" s="9"/>
      <c r="CI1800" s="9"/>
      <c r="CJ1800" s="9"/>
      <c r="CK1800" s="9"/>
      <c r="CL1800" s="9"/>
      <c r="CM1800" s="9"/>
      <c r="CN1800" s="9"/>
      <c r="CO1800" s="9"/>
      <c r="CP1800" s="9"/>
    </row>
    <row r="1801" spans="1:94" ht="30" x14ac:dyDescent="0.25">
      <c r="A1801" s="126" t="s">
        <v>4886</v>
      </c>
      <c r="B1801" s="9" t="s">
        <v>4887</v>
      </c>
      <c r="C1801" s="9"/>
      <c r="D1801" s="9"/>
      <c r="E1801" s="9"/>
      <c r="F1801" s="9"/>
      <c r="G1801" s="9"/>
      <c r="H1801" s="9"/>
      <c r="I1801" s="9"/>
      <c r="J1801" s="9"/>
      <c r="K1801" s="9"/>
      <c r="L1801" s="9"/>
      <c r="M1801" s="9"/>
      <c r="N1801" s="9"/>
      <c r="O1801" s="9"/>
      <c r="P1801" s="9"/>
      <c r="Q1801" s="9"/>
      <c r="R1801" s="9"/>
      <c r="S1801" s="9"/>
      <c r="T1801" s="9"/>
      <c r="U1801" s="9"/>
      <c r="V1801" s="9"/>
      <c r="W1801" s="9"/>
      <c r="X1801" s="9"/>
      <c r="Y1801" s="9"/>
      <c r="Z1801" s="9"/>
      <c r="AA1801" s="9"/>
      <c r="AB1801" s="9"/>
      <c r="AC1801" s="9"/>
      <c r="AD1801" s="9"/>
      <c r="AE1801" s="9"/>
      <c r="AF1801" s="9"/>
      <c r="AG1801" s="9"/>
      <c r="AH1801" s="9"/>
      <c r="AI1801" s="9"/>
      <c r="AJ1801" s="9"/>
      <c r="AK1801" s="9"/>
      <c r="AL1801" s="9"/>
      <c r="AM1801" s="69"/>
      <c r="AN1801" s="9"/>
      <c r="AO1801" s="69" t="s">
        <v>4700</v>
      </c>
      <c r="AP1801" s="210"/>
      <c r="AQ1801" s="211"/>
      <c r="AR1801" s="211"/>
      <c r="AS1801" s="211"/>
      <c r="AT1801" s="211"/>
      <c r="AU1801" s="211"/>
      <c r="AV1801" s="211"/>
      <c r="AW1801" s="9"/>
      <c r="AX1801" s="9"/>
      <c r="AY1801" s="9"/>
      <c r="AZ1801" s="9"/>
      <c r="BA1801" s="120"/>
      <c r="BB1801" s="69"/>
      <c r="BC1801" s="9"/>
      <c r="BD1801" s="9"/>
      <c r="BE1801" s="9"/>
      <c r="BF1801" s="9"/>
      <c r="BG1801" s="9"/>
      <c r="BH1801" s="9"/>
      <c r="BI1801" s="9"/>
      <c r="BJ1801" s="9"/>
      <c r="BK1801" s="9"/>
      <c r="BL1801" s="9"/>
      <c r="BM1801" s="9"/>
      <c r="BN1801" s="9"/>
      <c r="BO1801" s="9"/>
      <c r="BP1801" s="9"/>
      <c r="BQ1801" s="9"/>
      <c r="BR1801" s="9"/>
      <c r="BS1801" s="9"/>
      <c r="BT1801" s="9"/>
      <c r="BU1801" s="9"/>
      <c r="BV1801" s="9"/>
      <c r="BW1801" s="9"/>
      <c r="BX1801" s="9"/>
      <c r="BY1801" s="9"/>
      <c r="BZ1801" s="9"/>
      <c r="CA1801" s="9"/>
      <c r="CB1801" s="9"/>
      <c r="CC1801" s="9"/>
      <c r="CD1801" s="9"/>
      <c r="CE1801" s="9"/>
      <c r="CF1801" s="9"/>
      <c r="CG1801" s="9"/>
      <c r="CH1801" s="9"/>
      <c r="CI1801" s="9"/>
      <c r="CJ1801" s="9"/>
      <c r="CK1801" s="9"/>
      <c r="CL1801" s="9"/>
      <c r="CM1801" s="9"/>
      <c r="CN1801" s="9"/>
      <c r="CO1801" s="9"/>
      <c r="CP1801" s="9"/>
    </row>
    <row r="1802" spans="1:94" ht="15.75" x14ac:dyDescent="0.25">
      <c r="A1802" s="126" t="s">
        <v>4888</v>
      </c>
      <c r="B1802" s="9" t="s">
        <v>4507</v>
      </c>
      <c r="C1802" s="9"/>
      <c r="D1802" s="9"/>
      <c r="E1802" s="9"/>
      <c r="F1802" s="9"/>
      <c r="G1802" s="9"/>
      <c r="H1802" s="9"/>
      <c r="I1802" s="9"/>
      <c r="J1802" s="9"/>
      <c r="K1802" s="9"/>
      <c r="L1802" s="9"/>
      <c r="M1802" s="9"/>
      <c r="N1802" s="9"/>
      <c r="O1802" s="9"/>
      <c r="P1802" s="9"/>
      <c r="Q1802" s="9"/>
      <c r="R1802" s="9"/>
      <c r="S1802" s="9"/>
      <c r="T1802" s="9"/>
      <c r="U1802" s="9"/>
      <c r="V1802" s="9"/>
      <c r="W1802" s="9"/>
      <c r="X1802" s="9"/>
      <c r="Y1802" s="9"/>
      <c r="Z1802" s="9"/>
      <c r="AA1802" s="9"/>
      <c r="AB1802" s="9"/>
      <c r="AC1802" s="9"/>
      <c r="AD1802" s="9"/>
      <c r="AE1802" s="9"/>
      <c r="AF1802" s="9"/>
      <c r="AG1802" s="9"/>
      <c r="AH1802" s="9"/>
      <c r="AI1802" s="9"/>
      <c r="AJ1802" s="9"/>
      <c r="AK1802" s="9"/>
      <c r="AL1802" s="9"/>
      <c r="AM1802" s="69"/>
      <c r="AN1802" s="9"/>
      <c r="AO1802" s="69" t="s">
        <v>2150</v>
      </c>
      <c r="AP1802" s="210"/>
      <c r="AQ1802" s="211"/>
      <c r="AR1802" s="211"/>
      <c r="AS1802" s="211"/>
      <c r="AT1802" s="211"/>
      <c r="AU1802" s="211"/>
      <c r="AV1802" s="211"/>
      <c r="AW1802" s="9"/>
      <c r="AX1802" s="9"/>
      <c r="AY1802" s="9"/>
      <c r="AZ1802" s="9"/>
      <c r="BA1802" s="120"/>
      <c r="BB1802" s="69"/>
      <c r="BC1802" s="9"/>
      <c r="BD1802" s="9"/>
      <c r="BE1802" s="9"/>
      <c r="BF1802" s="9"/>
      <c r="BG1802" s="9"/>
      <c r="BH1802" s="9"/>
      <c r="BI1802" s="9"/>
      <c r="BJ1802" s="9"/>
      <c r="BK1802" s="9"/>
      <c r="BL1802" s="9"/>
      <c r="BM1802" s="9"/>
      <c r="BN1802" s="9"/>
      <c r="BO1802" s="9"/>
      <c r="BP1802" s="9"/>
      <c r="BQ1802" s="9"/>
      <c r="BR1802" s="9"/>
      <c r="BS1802" s="9"/>
      <c r="BT1802" s="9"/>
      <c r="BU1802" s="9"/>
      <c r="BV1802" s="9"/>
      <c r="BW1802" s="9"/>
      <c r="BX1802" s="9"/>
      <c r="BY1802" s="9"/>
      <c r="BZ1802" s="9"/>
      <c r="CA1802" s="9"/>
      <c r="CB1802" s="9"/>
      <c r="CC1802" s="9"/>
      <c r="CD1802" s="9"/>
      <c r="CE1802" s="9"/>
      <c r="CF1802" s="9"/>
      <c r="CG1802" s="9"/>
      <c r="CH1802" s="9"/>
      <c r="CI1802" s="9"/>
      <c r="CJ1802" s="9"/>
      <c r="CK1802" s="9"/>
      <c r="CL1802" s="9"/>
      <c r="CM1802" s="9"/>
      <c r="CN1802" s="9"/>
      <c r="CO1802" s="9"/>
      <c r="CP1802" s="9"/>
    </row>
    <row r="1803" spans="1:94" ht="30" x14ac:dyDescent="0.25">
      <c r="A1803" s="126" t="s">
        <v>4889</v>
      </c>
      <c r="B1803" s="9" t="s">
        <v>4890</v>
      </c>
      <c r="C1803" s="9"/>
      <c r="D1803" s="9"/>
      <c r="E1803" s="9"/>
      <c r="F1803" s="9"/>
      <c r="G1803" s="9"/>
      <c r="H1803" s="9"/>
      <c r="I1803" s="9"/>
      <c r="J1803" s="9"/>
      <c r="K1803" s="9"/>
      <c r="L1803" s="9"/>
      <c r="M1803" s="9"/>
      <c r="N1803" s="9"/>
      <c r="O1803" s="9"/>
      <c r="P1803" s="9"/>
      <c r="Q1803" s="9"/>
      <c r="R1803" s="9"/>
      <c r="S1803" s="9"/>
      <c r="T1803" s="9"/>
      <c r="U1803" s="9"/>
      <c r="V1803" s="9"/>
      <c r="W1803" s="9"/>
      <c r="X1803" s="9"/>
      <c r="Y1803" s="9"/>
      <c r="Z1803" s="9"/>
      <c r="AA1803" s="9"/>
      <c r="AB1803" s="9"/>
      <c r="AC1803" s="9"/>
      <c r="AD1803" s="9"/>
      <c r="AE1803" s="9"/>
      <c r="AF1803" s="9"/>
      <c r="AG1803" s="9"/>
      <c r="AH1803" s="9"/>
      <c r="AI1803" s="9"/>
      <c r="AJ1803" s="9"/>
      <c r="AK1803" s="9"/>
      <c r="AL1803" s="9"/>
      <c r="AM1803" s="69"/>
      <c r="AN1803" s="9"/>
      <c r="AO1803" s="69" t="s">
        <v>3351</v>
      </c>
      <c r="AP1803" s="210"/>
      <c r="AQ1803" s="211"/>
      <c r="AR1803" s="211"/>
      <c r="AS1803" s="211"/>
      <c r="AT1803" s="211"/>
      <c r="AU1803" s="211"/>
      <c r="AV1803" s="211"/>
      <c r="AW1803" s="9"/>
      <c r="AX1803" s="9"/>
      <c r="AY1803" s="9"/>
      <c r="AZ1803" s="9"/>
      <c r="BA1803" s="120"/>
      <c r="BB1803" s="69"/>
      <c r="BC1803" s="9"/>
      <c r="BD1803" s="9"/>
      <c r="BE1803" s="9"/>
      <c r="BF1803" s="9"/>
      <c r="BG1803" s="9"/>
      <c r="BH1803" s="9"/>
      <c r="BI1803" s="9"/>
      <c r="BJ1803" s="9"/>
      <c r="BK1803" s="9"/>
      <c r="BL1803" s="9"/>
      <c r="BM1803" s="9"/>
      <c r="BN1803" s="9"/>
      <c r="BO1803" s="9"/>
      <c r="BP1803" s="9"/>
      <c r="BQ1803" s="9"/>
      <c r="BR1803" s="9"/>
      <c r="BS1803" s="9"/>
      <c r="BT1803" s="9"/>
      <c r="BU1803" s="9"/>
      <c r="BV1803" s="9"/>
      <c r="BW1803" s="9"/>
      <c r="BX1803" s="9"/>
      <c r="BY1803" s="9"/>
      <c r="BZ1803" s="9"/>
      <c r="CA1803" s="9"/>
      <c r="CB1803" s="9"/>
      <c r="CC1803" s="9"/>
      <c r="CD1803" s="9"/>
      <c r="CE1803" s="9"/>
      <c r="CF1803" s="9"/>
      <c r="CG1803" s="9"/>
      <c r="CH1803" s="9"/>
      <c r="CI1803" s="9"/>
      <c r="CJ1803" s="9"/>
      <c r="CK1803" s="9"/>
      <c r="CL1803" s="9"/>
      <c r="CM1803" s="9"/>
      <c r="CN1803" s="9"/>
      <c r="CO1803" s="9"/>
      <c r="CP1803" s="9"/>
    </row>
    <row r="1804" spans="1:94" ht="15.75" x14ac:dyDescent="0.25">
      <c r="A1804" s="126" t="s">
        <v>4891</v>
      </c>
      <c r="B1804" s="9" t="s">
        <v>4892</v>
      </c>
      <c r="C1804" s="9"/>
      <c r="D1804" s="9"/>
      <c r="E1804" s="9"/>
      <c r="F1804" s="9"/>
      <c r="G1804" s="9"/>
      <c r="H1804" s="9"/>
      <c r="I1804" s="9"/>
      <c r="J1804" s="9"/>
      <c r="K1804" s="9"/>
      <c r="L1804" s="9"/>
      <c r="M1804" s="9"/>
      <c r="N1804" s="9"/>
      <c r="O1804" s="9"/>
      <c r="P1804" s="9"/>
      <c r="Q1804" s="9"/>
      <c r="R1804" s="9"/>
      <c r="S1804" s="9"/>
      <c r="T1804" s="9"/>
      <c r="U1804" s="9"/>
      <c r="V1804" s="9"/>
      <c r="W1804" s="9"/>
      <c r="X1804" s="9"/>
      <c r="Y1804" s="9"/>
      <c r="Z1804" s="9"/>
      <c r="AA1804" s="9"/>
      <c r="AB1804" s="9"/>
      <c r="AC1804" s="9"/>
      <c r="AD1804" s="9"/>
      <c r="AE1804" s="9"/>
      <c r="AF1804" s="9"/>
      <c r="AG1804" s="9"/>
      <c r="AH1804" s="9"/>
      <c r="AI1804" s="9"/>
      <c r="AJ1804" s="9"/>
      <c r="AK1804" s="9"/>
      <c r="AL1804" s="9"/>
      <c r="AM1804" s="69"/>
      <c r="AN1804" s="9"/>
      <c r="AO1804" s="69" t="s">
        <v>4893</v>
      </c>
      <c r="AP1804" s="210"/>
      <c r="AQ1804" s="211"/>
      <c r="AR1804" s="211"/>
      <c r="AS1804" s="211"/>
      <c r="AT1804" s="211"/>
      <c r="AU1804" s="211"/>
      <c r="AV1804" s="211"/>
      <c r="AW1804" s="9"/>
      <c r="AX1804" s="9"/>
      <c r="AY1804" s="9"/>
      <c r="AZ1804" s="9"/>
      <c r="BA1804" s="120"/>
      <c r="BB1804" s="69"/>
      <c r="BC1804" s="9"/>
      <c r="BD1804" s="9"/>
      <c r="BE1804" s="9"/>
      <c r="BF1804" s="9"/>
      <c r="BG1804" s="9"/>
      <c r="BH1804" s="9"/>
      <c r="BI1804" s="9"/>
      <c r="BJ1804" s="9"/>
      <c r="BK1804" s="9"/>
      <c r="BL1804" s="9"/>
      <c r="BM1804" s="9"/>
      <c r="BN1804" s="9"/>
      <c r="BO1804" s="9"/>
      <c r="BP1804" s="9"/>
      <c r="BQ1804" s="9"/>
      <c r="BR1804" s="9"/>
      <c r="BS1804" s="9"/>
      <c r="BT1804" s="9"/>
      <c r="BU1804" s="9"/>
      <c r="BV1804" s="9"/>
      <c r="BW1804" s="9"/>
      <c r="BX1804" s="9"/>
      <c r="BY1804" s="9"/>
      <c r="BZ1804" s="9"/>
      <c r="CA1804" s="9"/>
      <c r="CB1804" s="9"/>
      <c r="CC1804" s="9"/>
      <c r="CD1804" s="9"/>
      <c r="CE1804" s="9"/>
      <c r="CF1804" s="9"/>
      <c r="CG1804" s="9"/>
      <c r="CH1804" s="9"/>
      <c r="CI1804" s="9"/>
      <c r="CJ1804" s="9"/>
      <c r="CK1804" s="9"/>
      <c r="CL1804" s="9"/>
      <c r="CM1804" s="9"/>
      <c r="CN1804" s="9"/>
      <c r="CO1804" s="9"/>
      <c r="CP1804" s="9"/>
    </row>
    <row r="1805" spans="1:94" x14ac:dyDescent="0.25">
      <c r="A1805" s="9" t="s">
        <v>4894</v>
      </c>
      <c r="B1805" s="9" t="s">
        <v>4895</v>
      </c>
      <c r="C1805" s="9"/>
      <c r="D1805" s="9"/>
      <c r="E1805" s="9"/>
      <c r="F1805" s="9"/>
      <c r="G1805" s="9"/>
      <c r="H1805" s="9"/>
      <c r="I1805" s="9"/>
      <c r="J1805" s="9"/>
      <c r="K1805" s="9"/>
      <c r="L1805" s="9"/>
      <c r="M1805" s="9"/>
      <c r="N1805" s="9"/>
      <c r="O1805" s="9"/>
      <c r="P1805" s="9"/>
      <c r="Q1805" s="9"/>
      <c r="R1805" s="9"/>
      <c r="S1805" s="9"/>
      <c r="T1805" s="9"/>
      <c r="U1805" s="9"/>
      <c r="V1805" s="9"/>
      <c r="W1805" s="9"/>
      <c r="X1805" s="9"/>
      <c r="Y1805" s="9"/>
      <c r="Z1805" s="9"/>
      <c r="AA1805" s="9"/>
      <c r="AB1805" s="9"/>
      <c r="AC1805" s="9"/>
      <c r="AD1805" s="9"/>
      <c r="AE1805" s="9"/>
      <c r="AF1805" s="9"/>
      <c r="AG1805" s="9"/>
      <c r="AH1805" s="9"/>
      <c r="AI1805" s="9"/>
      <c r="AJ1805" s="9"/>
      <c r="AK1805" s="9"/>
      <c r="AL1805" s="9"/>
      <c r="AM1805" s="69"/>
      <c r="AN1805" s="9"/>
      <c r="AO1805" s="69" t="s">
        <v>4896</v>
      </c>
      <c r="AP1805" s="210"/>
      <c r="AQ1805" s="211"/>
      <c r="AR1805" s="211"/>
      <c r="AS1805" s="211"/>
      <c r="AT1805" s="211"/>
      <c r="AU1805" s="211"/>
      <c r="AV1805" s="211"/>
      <c r="AW1805" s="9"/>
      <c r="AX1805" s="9"/>
      <c r="AY1805" s="9"/>
      <c r="AZ1805" s="9"/>
      <c r="BA1805" s="120"/>
      <c r="BB1805" s="69"/>
      <c r="BC1805" s="9"/>
      <c r="BD1805" s="9"/>
      <c r="BE1805" s="9"/>
      <c r="BF1805" s="9"/>
      <c r="BG1805" s="9"/>
      <c r="BH1805" s="9"/>
      <c r="BI1805" s="9"/>
      <c r="BJ1805" s="9"/>
      <c r="BK1805" s="9"/>
      <c r="BL1805" s="9"/>
      <c r="BM1805" s="9"/>
      <c r="BN1805" s="9"/>
      <c r="BO1805" s="9"/>
      <c r="BP1805" s="9"/>
      <c r="BQ1805" s="9"/>
      <c r="BR1805" s="9"/>
      <c r="BS1805" s="9"/>
      <c r="BT1805" s="9"/>
      <c r="BU1805" s="9"/>
      <c r="BV1805" s="9"/>
      <c r="BW1805" s="9"/>
      <c r="BX1805" s="9"/>
      <c r="BY1805" s="9"/>
      <c r="BZ1805" s="9"/>
      <c r="CA1805" s="9"/>
      <c r="CB1805" s="9"/>
      <c r="CC1805" s="9"/>
      <c r="CD1805" s="9"/>
      <c r="CE1805" s="9"/>
      <c r="CF1805" s="9"/>
      <c r="CG1805" s="9"/>
      <c r="CH1805" s="9"/>
      <c r="CI1805" s="9"/>
      <c r="CJ1805" s="9"/>
      <c r="CK1805" s="9"/>
      <c r="CL1805" s="9"/>
      <c r="CM1805" s="9"/>
      <c r="CN1805" s="9"/>
      <c r="CO1805" s="9"/>
      <c r="CP1805" s="9"/>
    </row>
    <row r="1806" spans="1:94" x14ac:dyDescent="0.25">
      <c r="A1806" s="9" t="s">
        <v>4897</v>
      </c>
      <c r="B1806" s="9" t="s">
        <v>4898</v>
      </c>
      <c r="C1806" s="9"/>
      <c r="D1806" s="9"/>
      <c r="E1806" s="9"/>
      <c r="F1806" s="9"/>
      <c r="G1806" s="9"/>
      <c r="H1806" s="9"/>
      <c r="I1806" s="9"/>
      <c r="J1806" s="9"/>
      <c r="K1806" s="9"/>
      <c r="L1806" s="9"/>
      <c r="M1806" s="9"/>
      <c r="N1806" s="9"/>
      <c r="O1806" s="9"/>
      <c r="P1806" s="9"/>
      <c r="Q1806" s="9"/>
      <c r="R1806" s="9"/>
      <c r="S1806" s="9"/>
      <c r="T1806" s="9"/>
      <c r="U1806" s="9"/>
      <c r="V1806" s="9"/>
      <c r="W1806" s="9"/>
      <c r="X1806" s="9"/>
      <c r="Y1806" s="9"/>
      <c r="Z1806" s="9"/>
      <c r="AA1806" s="9"/>
      <c r="AB1806" s="9"/>
      <c r="AC1806" s="9"/>
      <c r="AD1806" s="9"/>
      <c r="AE1806" s="9"/>
      <c r="AF1806" s="9"/>
      <c r="AG1806" s="9"/>
      <c r="AH1806" s="9"/>
      <c r="AI1806" s="9"/>
      <c r="AJ1806" s="9"/>
      <c r="AK1806" s="9"/>
      <c r="AL1806" s="9"/>
      <c r="AM1806" s="69"/>
      <c r="AN1806" s="9"/>
      <c r="AO1806" s="69" t="s">
        <v>4896</v>
      </c>
      <c r="AP1806" s="210"/>
      <c r="AQ1806" s="211"/>
      <c r="AR1806" s="211"/>
      <c r="AS1806" s="211"/>
      <c r="AT1806" s="211"/>
      <c r="AU1806" s="211"/>
      <c r="AV1806" s="211"/>
      <c r="AW1806" s="9"/>
      <c r="AX1806" s="9"/>
      <c r="AY1806" s="9"/>
      <c r="AZ1806" s="9"/>
      <c r="BA1806" s="120"/>
      <c r="BB1806" s="69"/>
      <c r="BC1806" s="9"/>
      <c r="BD1806" s="9"/>
      <c r="BE1806" s="9"/>
      <c r="BF1806" s="9"/>
      <c r="BG1806" s="9"/>
      <c r="BH1806" s="9"/>
      <c r="BI1806" s="9"/>
      <c r="BJ1806" s="9"/>
      <c r="BK1806" s="9"/>
      <c r="BL1806" s="9"/>
      <c r="BM1806" s="9"/>
      <c r="BN1806" s="9"/>
      <c r="BO1806" s="9"/>
      <c r="BP1806" s="9"/>
      <c r="BQ1806" s="9"/>
      <c r="BR1806" s="9"/>
      <c r="BS1806" s="9"/>
      <c r="BT1806" s="9"/>
      <c r="BU1806" s="9"/>
      <c r="BV1806" s="9"/>
      <c r="BW1806" s="9"/>
      <c r="BX1806" s="9"/>
      <c r="BY1806" s="9"/>
      <c r="BZ1806" s="9"/>
      <c r="CA1806" s="9"/>
      <c r="CB1806" s="9"/>
      <c r="CC1806" s="9"/>
      <c r="CD1806" s="9"/>
      <c r="CE1806" s="9"/>
      <c r="CF1806" s="9"/>
      <c r="CG1806" s="9"/>
      <c r="CH1806" s="9"/>
      <c r="CI1806" s="9"/>
      <c r="CJ1806" s="9"/>
      <c r="CK1806" s="9"/>
      <c r="CL1806" s="9"/>
      <c r="CM1806" s="9"/>
      <c r="CN1806" s="9"/>
      <c r="CO1806" s="9"/>
      <c r="CP1806" s="9"/>
    </row>
    <row r="1807" spans="1:94" x14ac:dyDescent="0.25">
      <c r="A1807" s="9" t="s">
        <v>4899</v>
      </c>
      <c r="B1807" s="9" t="s">
        <v>4900</v>
      </c>
      <c r="C1807" s="9"/>
      <c r="D1807" s="9"/>
      <c r="E1807" s="9"/>
      <c r="F1807" s="9"/>
      <c r="G1807" s="9"/>
      <c r="H1807" s="9"/>
      <c r="I1807" s="9"/>
      <c r="J1807" s="9"/>
      <c r="K1807" s="9"/>
      <c r="L1807" s="9"/>
      <c r="M1807" s="9"/>
      <c r="N1807" s="9"/>
      <c r="O1807" s="9"/>
      <c r="P1807" s="9"/>
      <c r="Q1807" s="9"/>
      <c r="R1807" s="9"/>
      <c r="S1807" s="9"/>
      <c r="T1807" s="9"/>
      <c r="U1807" s="9"/>
      <c r="V1807" s="9"/>
      <c r="W1807" s="9"/>
      <c r="X1807" s="9"/>
      <c r="Y1807" s="9"/>
      <c r="Z1807" s="9"/>
      <c r="AA1807" s="9"/>
      <c r="AB1807" s="9"/>
      <c r="AC1807" s="9"/>
      <c r="AD1807" s="9"/>
      <c r="AE1807" s="9"/>
      <c r="AF1807" s="9"/>
      <c r="AG1807" s="9"/>
      <c r="AH1807" s="9"/>
      <c r="AI1807" s="9"/>
      <c r="AJ1807" s="9"/>
      <c r="AK1807" s="9"/>
      <c r="AL1807" s="9"/>
      <c r="AM1807" s="69"/>
      <c r="AN1807" s="9"/>
      <c r="AO1807" s="69" t="s">
        <v>4896</v>
      </c>
      <c r="AP1807" s="210"/>
      <c r="AQ1807" s="211"/>
      <c r="AR1807" s="211"/>
      <c r="AS1807" s="211"/>
      <c r="AT1807" s="211"/>
      <c r="AU1807" s="211"/>
      <c r="AV1807" s="211"/>
      <c r="AW1807" s="9"/>
      <c r="AX1807" s="9"/>
      <c r="AY1807" s="9"/>
      <c r="AZ1807" s="9"/>
      <c r="BA1807" s="120"/>
      <c r="BB1807" s="69"/>
      <c r="BC1807" s="9"/>
      <c r="BD1807" s="9"/>
      <c r="BE1807" s="9"/>
      <c r="BF1807" s="9"/>
      <c r="BG1807" s="9"/>
      <c r="BH1807" s="9"/>
      <c r="BI1807" s="9"/>
      <c r="BJ1807" s="9"/>
      <c r="BK1807" s="9"/>
      <c r="BL1807" s="9"/>
      <c r="BM1807" s="9"/>
      <c r="BN1807" s="9"/>
      <c r="BO1807" s="9"/>
      <c r="BP1807" s="9"/>
      <c r="BQ1807" s="9"/>
      <c r="BR1807" s="9"/>
      <c r="BS1807" s="9"/>
      <c r="BT1807" s="9"/>
      <c r="BU1807" s="9"/>
      <c r="BV1807" s="9"/>
      <c r="BW1807" s="9"/>
      <c r="BX1807" s="9"/>
      <c r="BY1807" s="9"/>
      <c r="BZ1807" s="9"/>
      <c r="CA1807" s="9"/>
      <c r="CB1807" s="9"/>
      <c r="CC1807" s="9"/>
      <c r="CD1807" s="9"/>
      <c r="CE1807" s="9"/>
      <c r="CF1807" s="9"/>
      <c r="CG1807" s="9"/>
      <c r="CH1807" s="9"/>
      <c r="CI1807" s="9"/>
      <c r="CJ1807" s="9"/>
      <c r="CK1807" s="9"/>
      <c r="CL1807" s="9"/>
      <c r="CM1807" s="9"/>
      <c r="CN1807" s="9"/>
      <c r="CO1807" s="9"/>
      <c r="CP1807" s="9"/>
    </row>
    <row r="1808" spans="1:94" x14ac:dyDescent="0.25">
      <c r="A1808" s="9" t="s">
        <v>4901</v>
      </c>
      <c r="B1808" s="9" t="s">
        <v>4902</v>
      </c>
      <c r="C1808" s="9"/>
      <c r="D1808" s="9"/>
      <c r="E1808" s="9"/>
      <c r="F1808" s="9"/>
      <c r="G1808" s="9"/>
      <c r="H1808" s="9"/>
      <c r="I1808" s="9"/>
      <c r="J1808" s="9"/>
      <c r="K1808" s="9"/>
      <c r="L1808" s="9"/>
      <c r="M1808" s="9"/>
      <c r="N1808" s="9"/>
      <c r="O1808" s="9"/>
      <c r="P1808" s="9"/>
      <c r="Q1808" s="9"/>
      <c r="R1808" s="9"/>
      <c r="S1808" s="9"/>
      <c r="T1808" s="9"/>
      <c r="U1808" s="9"/>
      <c r="V1808" s="9"/>
      <c r="W1808" s="9"/>
      <c r="X1808" s="9"/>
      <c r="Y1808" s="9"/>
      <c r="Z1808" s="9"/>
      <c r="AA1808" s="9"/>
      <c r="AB1808" s="9"/>
      <c r="AC1808" s="9"/>
      <c r="AD1808" s="9"/>
      <c r="AE1808" s="9"/>
      <c r="AF1808" s="9"/>
      <c r="AG1808" s="9"/>
      <c r="AH1808" s="9"/>
      <c r="AI1808" s="9"/>
      <c r="AJ1808" s="9"/>
      <c r="AK1808" s="9"/>
      <c r="AL1808" s="9"/>
      <c r="AM1808" s="69"/>
      <c r="AN1808" s="9"/>
      <c r="AO1808" s="69" t="s">
        <v>4896</v>
      </c>
      <c r="AP1808" s="210"/>
      <c r="AQ1808" s="211"/>
      <c r="AR1808" s="211"/>
      <c r="AS1808" s="211"/>
      <c r="AT1808" s="211"/>
      <c r="AU1808" s="211"/>
      <c r="AV1808" s="211"/>
      <c r="AW1808" s="9"/>
      <c r="AX1808" s="9"/>
      <c r="AY1808" s="9"/>
      <c r="AZ1808" s="9"/>
      <c r="BA1808" s="120"/>
      <c r="BB1808" s="69"/>
      <c r="BC1808" s="9"/>
      <c r="BD1808" s="9"/>
      <c r="BE1808" s="9"/>
      <c r="BF1808" s="9"/>
      <c r="BG1808" s="9"/>
      <c r="BH1808" s="9"/>
      <c r="BI1808" s="9"/>
      <c r="BJ1808" s="9"/>
      <c r="BK1808" s="9"/>
      <c r="BL1808" s="9"/>
      <c r="BM1808" s="9"/>
      <c r="BN1808" s="9"/>
      <c r="BO1808" s="9"/>
      <c r="BP1808" s="9"/>
      <c r="BQ1808" s="9"/>
      <c r="BR1808" s="9"/>
      <c r="BS1808" s="9"/>
      <c r="BT1808" s="9"/>
      <c r="BU1808" s="9"/>
      <c r="BV1808" s="9"/>
      <c r="BW1808" s="9"/>
      <c r="BX1808" s="9"/>
      <c r="BY1808" s="9"/>
      <c r="BZ1808" s="9"/>
      <c r="CA1808" s="9"/>
      <c r="CB1808" s="9"/>
      <c r="CC1808" s="9"/>
      <c r="CD1808" s="9"/>
      <c r="CE1808" s="9"/>
      <c r="CF1808" s="9"/>
      <c r="CG1808" s="9"/>
      <c r="CH1808" s="9"/>
      <c r="CI1808" s="9"/>
      <c r="CJ1808" s="9"/>
      <c r="CK1808" s="9"/>
      <c r="CL1808" s="9"/>
      <c r="CM1808" s="9"/>
      <c r="CN1808" s="9"/>
      <c r="CO1808" s="9"/>
      <c r="CP1808" s="9"/>
    </row>
    <row r="1809" spans="1:94" x14ac:dyDescent="0.25">
      <c r="A1809" s="9" t="s">
        <v>4903</v>
      </c>
      <c r="B1809" s="9" t="s">
        <v>4904</v>
      </c>
      <c r="C1809" s="9"/>
      <c r="D1809" s="9"/>
      <c r="E1809" s="9"/>
      <c r="F1809" s="9"/>
      <c r="G1809" s="9"/>
      <c r="H1809" s="9"/>
      <c r="I1809" s="9"/>
      <c r="J1809" s="9"/>
      <c r="K1809" s="9"/>
      <c r="L1809" s="9"/>
      <c r="M1809" s="9"/>
      <c r="N1809" s="9"/>
      <c r="O1809" s="9"/>
      <c r="P1809" s="9"/>
      <c r="Q1809" s="9"/>
      <c r="R1809" s="9"/>
      <c r="S1809" s="9"/>
      <c r="T1809" s="9"/>
      <c r="U1809" s="9"/>
      <c r="V1809" s="9"/>
      <c r="W1809" s="9"/>
      <c r="X1809" s="9"/>
      <c r="Y1809" s="9"/>
      <c r="Z1809" s="9"/>
      <c r="AA1809" s="9"/>
      <c r="AB1809" s="9"/>
      <c r="AC1809" s="9"/>
      <c r="AD1809" s="9"/>
      <c r="AE1809" s="9"/>
      <c r="AF1809" s="9"/>
      <c r="AG1809" s="9"/>
      <c r="AH1809" s="9"/>
      <c r="AI1809" s="9"/>
      <c r="AJ1809" s="9"/>
      <c r="AK1809" s="9"/>
      <c r="AL1809" s="9"/>
      <c r="AM1809" s="69"/>
      <c r="AN1809" s="9"/>
      <c r="AO1809" s="69" t="s">
        <v>4896</v>
      </c>
      <c r="AP1809" s="210"/>
      <c r="AQ1809" s="211"/>
      <c r="AR1809" s="211"/>
      <c r="AS1809" s="211"/>
      <c r="AT1809" s="211"/>
      <c r="AU1809" s="211"/>
      <c r="AV1809" s="211"/>
      <c r="AW1809" s="9"/>
      <c r="AX1809" s="9"/>
      <c r="AY1809" s="9"/>
      <c r="AZ1809" s="9"/>
      <c r="BA1809" s="120"/>
      <c r="BB1809" s="69"/>
      <c r="BC1809" s="9"/>
      <c r="BD1809" s="9"/>
      <c r="BE1809" s="9"/>
      <c r="BF1809" s="9"/>
      <c r="BG1809" s="9"/>
      <c r="BH1809" s="9"/>
      <c r="BI1809" s="9"/>
      <c r="BJ1809" s="9"/>
      <c r="BK1809" s="9"/>
      <c r="BL1809" s="9"/>
      <c r="BM1809" s="9"/>
      <c r="BN1809" s="9"/>
      <c r="BO1809" s="9"/>
      <c r="BP1809" s="9"/>
      <c r="BQ1809" s="9"/>
      <c r="BR1809" s="9"/>
      <c r="BS1809" s="9"/>
      <c r="BT1809" s="9"/>
      <c r="BU1809" s="9"/>
      <c r="BV1809" s="9"/>
      <c r="BW1809" s="9"/>
      <c r="BX1809" s="9"/>
      <c r="BY1809" s="9"/>
      <c r="BZ1809" s="9"/>
      <c r="CA1809" s="9"/>
      <c r="CB1809" s="9"/>
      <c r="CC1809" s="9"/>
      <c r="CD1809" s="9"/>
      <c r="CE1809" s="9"/>
      <c r="CF1809" s="9"/>
      <c r="CG1809" s="9"/>
      <c r="CH1809" s="9"/>
      <c r="CI1809" s="9"/>
      <c r="CJ1809" s="9"/>
      <c r="CK1809" s="9"/>
      <c r="CL1809" s="9"/>
      <c r="CM1809" s="9"/>
      <c r="CN1809" s="9"/>
      <c r="CO1809" s="9"/>
      <c r="CP1809" s="9"/>
    </row>
    <row r="1810" spans="1:94" ht="15.75" x14ac:dyDescent="0.25">
      <c r="A1810" s="126" t="s">
        <v>4905</v>
      </c>
      <c r="B1810" s="9" t="s">
        <v>4906</v>
      </c>
      <c r="C1810" s="9"/>
      <c r="D1810" s="9"/>
      <c r="E1810" s="9"/>
      <c r="F1810" s="9"/>
      <c r="G1810" s="9"/>
      <c r="H1810" s="9"/>
      <c r="I1810" s="9"/>
      <c r="J1810" s="9"/>
      <c r="K1810" s="9"/>
      <c r="L1810" s="9"/>
      <c r="M1810" s="9"/>
      <c r="N1810" s="9"/>
      <c r="O1810" s="9"/>
      <c r="P1810" s="9"/>
      <c r="Q1810" s="9"/>
      <c r="R1810" s="9"/>
      <c r="S1810" s="9"/>
      <c r="T1810" s="9"/>
      <c r="U1810" s="9"/>
      <c r="V1810" s="9"/>
      <c r="W1810" s="9"/>
      <c r="X1810" s="9"/>
      <c r="Y1810" s="9"/>
      <c r="Z1810" s="9"/>
      <c r="AA1810" s="9"/>
      <c r="AB1810" s="9"/>
      <c r="AC1810" s="9"/>
      <c r="AD1810" s="9"/>
      <c r="AE1810" s="9"/>
      <c r="AF1810" s="9"/>
      <c r="AG1810" s="9"/>
      <c r="AH1810" s="9"/>
      <c r="AI1810" s="9"/>
      <c r="AJ1810" s="9"/>
      <c r="AK1810" s="9"/>
      <c r="AL1810" s="9"/>
      <c r="AM1810" s="69"/>
      <c r="AN1810" s="9"/>
      <c r="AO1810" s="69" t="s">
        <v>4896</v>
      </c>
      <c r="AP1810" s="210"/>
      <c r="AQ1810" s="211"/>
      <c r="AR1810" s="211"/>
      <c r="AS1810" s="211"/>
      <c r="AT1810" s="211"/>
      <c r="AU1810" s="211"/>
      <c r="AV1810" s="211"/>
      <c r="AW1810" s="9"/>
      <c r="AX1810" s="9"/>
      <c r="AY1810" s="9"/>
      <c r="AZ1810" s="9"/>
      <c r="BA1810" s="120"/>
      <c r="BB1810" s="69"/>
      <c r="BC1810" s="9"/>
      <c r="BD1810" s="9"/>
      <c r="BE1810" s="9"/>
      <c r="BF1810" s="9"/>
      <c r="BG1810" s="9"/>
      <c r="BH1810" s="9"/>
      <c r="BI1810" s="9"/>
      <c r="BJ1810" s="9"/>
      <c r="BK1810" s="9"/>
      <c r="BL1810" s="9"/>
      <c r="BM1810" s="9"/>
      <c r="BN1810" s="9"/>
      <c r="BO1810" s="9"/>
      <c r="BP1810" s="9"/>
      <c r="BQ1810" s="9"/>
      <c r="BR1810" s="9"/>
      <c r="BS1810" s="9"/>
      <c r="BT1810" s="9"/>
      <c r="BU1810" s="9"/>
      <c r="BV1810" s="9"/>
      <c r="BW1810" s="9"/>
      <c r="BX1810" s="9"/>
      <c r="BY1810" s="9"/>
      <c r="BZ1810" s="9"/>
      <c r="CA1810" s="9"/>
      <c r="CB1810" s="9"/>
      <c r="CC1810" s="9"/>
      <c r="CD1810" s="9"/>
      <c r="CE1810" s="9"/>
      <c r="CF1810" s="9"/>
      <c r="CG1810" s="9"/>
      <c r="CH1810" s="9"/>
      <c r="CI1810" s="9"/>
      <c r="CJ1810" s="9"/>
      <c r="CK1810" s="9"/>
      <c r="CL1810" s="9"/>
      <c r="CM1810" s="9"/>
      <c r="CN1810" s="9"/>
      <c r="CO1810" s="9"/>
      <c r="CP1810" s="9"/>
    </row>
    <row r="1811" spans="1:94" ht="15.75" x14ac:dyDescent="0.25">
      <c r="A1811" s="126" t="s">
        <v>4907</v>
      </c>
      <c r="B1811" s="9" t="s">
        <v>4908</v>
      </c>
      <c r="C1811" s="9"/>
      <c r="D1811" s="9"/>
      <c r="E1811" s="9"/>
      <c r="F1811" s="9"/>
      <c r="G1811" s="9"/>
      <c r="H1811" s="9"/>
      <c r="I1811" s="9"/>
      <c r="J1811" s="9"/>
      <c r="K1811" s="9"/>
      <c r="L1811" s="9"/>
      <c r="M1811" s="9"/>
      <c r="N1811" s="9"/>
      <c r="O1811" s="9"/>
      <c r="P1811" s="9"/>
      <c r="Q1811" s="9"/>
      <c r="R1811" s="9"/>
      <c r="S1811" s="9"/>
      <c r="T1811" s="9"/>
      <c r="U1811" s="9"/>
      <c r="V1811" s="9"/>
      <c r="W1811" s="9"/>
      <c r="X1811" s="9"/>
      <c r="Y1811" s="9"/>
      <c r="Z1811" s="9"/>
      <c r="AA1811" s="9"/>
      <c r="AB1811" s="9"/>
      <c r="AC1811" s="9"/>
      <c r="AD1811" s="9"/>
      <c r="AE1811" s="9"/>
      <c r="AF1811" s="9"/>
      <c r="AG1811" s="9"/>
      <c r="AH1811" s="9"/>
      <c r="AI1811" s="9"/>
      <c r="AJ1811" s="9"/>
      <c r="AK1811" s="9"/>
      <c r="AL1811" s="9"/>
      <c r="AM1811" s="69"/>
      <c r="AN1811" s="9"/>
      <c r="AO1811" s="69" t="s">
        <v>4893</v>
      </c>
      <c r="AP1811" s="210"/>
      <c r="AQ1811" s="211"/>
      <c r="AR1811" s="211"/>
      <c r="AS1811" s="211"/>
      <c r="AT1811" s="211"/>
      <c r="AU1811" s="211"/>
      <c r="AV1811" s="211"/>
      <c r="AW1811" s="9"/>
      <c r="AX1811" s="9"/>
      <c r="AY1811" s="9"/>
      <c r="AZ1811" s="9"/>
      <c r="BA1811" s="120"/>
      <c r="BB1811" s="69"/>
      <c r="BC1811" s="9"/>
      <c r="BD1811" s="9"/>
      <c r="BE1811" s="9"/>
      <c r="BF1811" s="9"/>
      <c r="BG1811" s="9"/>
      <c r="BH1811" s="9"/>
      <c r="BI1811" s="9"/>
      <c r="BJ1811" s="9"/>
      <c r="BK1811" s="9"/>
      <c r="BL1811" s="9"/>
      <c r="BM1811" s="9"/>
      <c r="BN1811" s="9"/>
      <c r="BO1811" s="9"/>
      <c r="BP1811" s="9"/>
      <c r="BQ1811" s="9"/>
      <c r="BR1811" s="9"/>
      <c r="BS1811" s="9"/>
      <c r="BT1811" s="9"/>
      <c r="BU1811" s="9"/>
      <c r="BV1811" s="9"/>
      <c r="BW1811" s="9"/>
      <c r="BX1811" s="9"/>
      <c r="BY1811" s="9"/>
      <c r="BZ1811" s="9"/>
      <c r="CA1811" s="9"/>
      <c r="CB1811" s="9"/>
      <c r="CC1811" s="9"/>
      <c r="CD1811" s="9"/>
      <c r="CE1811" s="9"/>
      <c r="CF1811" s="9"/>
      <c r="CG1811" s="9"/>
      <c r="CH1811" s="9"/>
      <c r="CI1811" s="9"/>
      <c r="CJ1811" s="9"/>
      <c r="CK1811" s="9"/>
      <c r="CL1811" s="9"/>
      <c r="CM1811" s="9"/>
      <c r="CN1811" s="9"/>
      <c r="CO1811" s="9"/>
      <c r="CP1811" s="9"/>
    </row>
    <row r="1812" spans="1:94" ht="15.75" x14ac:dyDescent="0.25">
      <c r="A1812" s="126" t="s">
        <v>4909</v>
      </c>
      <c r="B1812" s="9" t="s">
        <v>4910</v>
      </c>
      <c r="C1812" s="9"/>
      <c r="D1812" s="9"/>
      <c r="E1812" s="9"/>
      <c r="F1812" s="9"/>
      <c r="G1812" s="9"/>
      <c r="H1812" s="9"/>
      <c r="I1812" s="9"/>
      <c r="J1812" s="9"/>
      <c r="K1812" s="9"/>
      <c r="L1812" s="9"/>
      <c r="M1812" s="9"/>
      <c r="N1812" s="9"/>
      <c r="O1812" s="9"/>
      <c r="P1812" s="9"/>
      <c r="Q1812" s="9"/>
      <c r="R1812" s="9"/>
      <c r="S1812" s="9"/>
      <c r="T1812" s="9"/>
      <c r="U1812" s="9"/>
      <c r="V1812" s="9"/>
      <c r="W1812" s="9"/>
      <c r="X1812" s="9"/>
      <c r="Y1812" s="9"/>
      <c r="Z1812" s="9"/>
      <c r="AA1812" s="9"/>
      <c r="AB1812" s="9"/>
      <c r="AC1812" s="9"/>
      <c r="AD1812" s="9"/>
      <c r="AE1812" s="9"/>
      <c r="AF1812" s="9"/>
      <c r="AG1812" s="9"/>
      <c r="AH1812" s="9"/>
      <c r="AI1812" s="9"/>
      <c r="AJ1812" s="9"/>
      <c r="AK1812" s="9"/>
      <c r="AL1812" s="9"/>
      <c r="AM1812" s="69"/>
      <c r="AN1812" s="9"/>
      <c r="AO1812" s="69" t="s">
        <v>4893</v>
      </c>
      <c r="AP1812" s="210"/>
      <c r="AQ1812" s="211"/>
      <c r="AR1812" s="211"/>
      <c r="AS1812" s="211"/>
      <c r="AT1812" s="211"/>
      <c r="AU1812" s="211"/>
      <c r="AV1812" s="211"/>
      <c r="AW1812" s="9"/>
      <c r="AX1812" s="9"/>
      <c r="AY1812" s="9"/>
      <c r="AZ1812" s="9"/>
      <c r="BA1812" s="120"/>
      <c r="BB1812" s="69"/>
      <c r="BC1812" s="9"/>
      <c r="BD1812" s="9"/>
      <c r="BE1812" s="9"/>
      <c r="BF1812" s="9"/>
      <c r="BG1812" s="9"/>
      <c r="BH1812" s="9"/>
      <c r="BI1812" s="9"/>
      <c r="BJ1812" s="9"/>
      <c r="BK1812" s="9"/>
      <c r="BL1812" s="9"/>
      <c r="BM1812" s="9"/>
      <c r="BN1812" s="9"/>
      <c r="BO1812" s="9"/>
      <c r="BP1812" s="9"/>
      <c r="BQ1812" s="9"/>
      <c r="BR1812" s="9"/>
      <c r="BS1812" s="9"/>
      <c r="BT1812" s="9"/>
      <c r="BU1812" s="9"/>
      <c r="BV1812" s="9"/>
      <c r="BW1812" s="9"/>
      <c r="BX1812" s="9"/>
      <c r="BY1812" s="9"/>
      <c r="BZ1812" s="9"/>
      <c r="CA1812" s="9"/>
      <c r="CB1812" s="9"/>
      <c r="CC1812" s="9"/>
      <c r="CD1812" s="9"/>
      <c r="CE1812" s="9"/>
      <c r="CF1812" s="9"/>
      <c r="CG1812" s="9"/>
      <c r="CH1812" s="9"/>
      <c r="CI1812" s="9"/>
      <c r="CJ1812" s="9"/>
      <c r="CK1812" s="9"/>
      <c r="CL1812" s="9"/>
      <c r="CM1812" s="9"/>
      <c r="CN1812" s="9"/>
      <c r="CO1812" s="9"/>
      <c r="CP1812" s="9"/>
    </row>
    <row r="1813" spans="1:94" ht="15.75" x14ac:dyDescent="0.25">
      <c r="A1813" s="126" t="s">
        <v>4911</v>
      </c>
      <c r="B1813" s="9" t="s">
        <v>4912</v>
      </c>
      <c r="C1813" s="9"/>
      <c r="D1813" s="9"/>
      <c r="E1813" s="9"/>
      <c r="F1813" s="9"/>
      <c r="G1813" s="9"/>
      <c r="H1813" s="9"/>
      <c r="I1813" s="9"/>
      <c r="J1813" s="9"/>
      <c r="K1813" s="9"/>
      <c r="L1813" s="9"/>
      <c r="M1813" s="9"/>
      <c r="N1813" s="9"/>
      <c r="O1813" s="9"/>
      <c r="P1813" s="9"/>
      <c r="Q1813" s="9"/>
      <c r="R1813" s="9"/>
      <c r="S1813" s="9"/>
      <c r="T1813" s="9"/>
      <c r="U1813" s="9"/>
      <c r="V1813" s="9"/>
      <c r="W1813" s="9"/>
      <c r="X1813" s="9"/>
      <c r="Y1813" s="9"/>
      <c r="Z1813" s="9"/>
      <c r="AA1813" s="9"/>
      <c r="AB1813" s="9"/>
      <c r="AC1813" s="9"/>
      <c r="AD1813" s="9"/>
      <c r="AE1813" s="9"/>
      <c r="AF1813" s="9"/>
      <c r="AG1813" s="9"/>
      <c r="AH1813" s="9"/>
      <c r="AI1813" s="9"/>
      <c r="AJ1813" s="9"/>
      <c r="AK1813" s="9"/>
      <c r="AL1813" s="9"/>
      <c r="AM1813" s="69"/>
      <c r="AN1813" s="9"/>
      <c r="AO1813" s="69" t="s">
        <v>4893</v>
      </c>
      <c r="AP1813" s="210"/>
      <c r="AQ1813" s="211"/>
      <c r="AR1813" s="211"/>
      <c r="AS1813" s="211"/>
      <c r="AT1813" s="211"/>
      <c r="AU1813" s="211"/>
      <c r="AV1813" s="211"/>
      <c r="AW1813" s="9"/>
      <c r="AX1813" s="9"/>
      <c r="AY1813" s="9"/>
      <c r="AZ1813" s="9"/>
      <c r="BA1813" s="120"/>
      <c r="BB1813" s="69"/>
      <c r="BC1813" s="9"/>
      <c r="BD1813" s="9"/>
      <c r="BE1813" s="9"/>
      <c r="BF1813" s="9"/>
      <c r="BG1813" s="9"/>
      <c r="BH1813" s="9"/>
      <c r="BI1813" s="9"/>
      <c r="BJ1813" s="9"/>
      <c r="BK1813" s="9"/>
      <c r="BL1813" s="9"/>
      <c r="BM1813" s="9"/>
      <c r="BN1813" s="9"/>
      <c r="BO1813" s="9"/>
      <c r="BP1813" s="9"/>
      <c r="BQ1813" s="9"/>
      <c r="BR1813" s="9"/>
      <c r="BS1813" s="9"/>
      <c r="BT1813" s="9"/>
      <c r="BU1813" s="9"/>
      <c r="BV1813" s="9"/>
      <c r="BW1813" s="9"/>
      <c r="BX1813" s="9"/>
      <c r="BY1813" s="9"/>
      <c r="BZ1813" s="9"/>
      <c r="CA1813" s="9"/>
      <c r="CB1813" s="9"/>
      <c r="CC1813" s="9"/>
      <c r="CD1813" s="9"/>
      <c r="CE1813" s="9"/>
      <c r="CF1813" s="9"/>
      <c r="CG1813" s="9"/>
      <c r="CH1813" s="9"/>
      <c r="CI1813" s="9"/>
      <c r="CJ1813" s="9"/>
      <c r="CK1813" s="9"/>
      <c r="CL1813" s="9"/>
      <c r="CM1813" s="9"/>
      <c r="CN1813" s="9"/>
      <c r="CO1813" s="9"/>
      <c r="CP1813" s="9"/>
    </row>
    <row r="1814" spans="1:94" ht="30" x14ac:dyDescent="0.25">
      <c r="A1814" s="126" t="s">
        <v>4913</v>
      </c>
      <c r="B1814" s="9" t="s">
        <v>4914</v>
      </c>
      <c r="C1814" s="9"/>
      <c r="D1814" s="9"/>
      <c r="E1814" s="9"/>
      <c r="F1814" s="9"/>
      <c r="G1814" s="9"/>
      <c r="H1814" s="9"/>
      <c r="I1814" s="9"/>
      <c r="J1814" s="9"/>
      <c r="K1814" s="9"/>
      <c r="L1814" s="9"/>
      <c r="M1814" s="9"/>
      <c r="N1814" s="9"/>
      <c r="O1814" s="9"/>
      <c r="P1814" s="9"/>
      <c r="Q1814" s="9"/>
      <c r="R1814" s="9"/>
      <c r="S1814" s="9"/>
      <c r="T1814" s="9"/>
      <c r="U1814" s="9"/>
      <c r="V1814" s="9"/>
      <c r="W1814" s="9"/>
      <c r="X1814" s="9"/>
      <c r="Y1814" s="9"/>
      <c r="Z1814" s="9"/>
      <c r="AA1814" s="9"/>
      <c r="AB1814" s="9"/>
      <c r="AC1814" s="9"/>
      <c r="AD1814" s="9"/>
      <c r="AE1814" s="9"/>
      <c r="AF1814" s="9"/>
      <c r="AG1814" s="9"/>
      <c r="AH1814" s="9"/>
      <c r="AI1814" s="9"/>
      <c r="AJ1814" s="9"/>
      <c r="AK1814" s="9"/>
      <c r="AL1814" s="9"/>
      <c r="AM1814" s="69"/>
      <c r="AN1814" s="9"/>
      <c r="AO1814" s="69" t="s">
        <v>612</v>
      </c>
      <c r="AP1814" s="210"/>
      <c r="AQ1814" s="211"/>
      <c r="AR1814" s="211"/>
      <c r="AS1814" s="211"/>
      <c r="AT1814" s="211"/>
      <c r="AU1814" s="211"/>
      <c r="AV1814" s="211"/>
      <c r="AW1814" s="9"/>
      <c r="AX1814" s="9"/>
      <c r="AY1814" s="9"/>
      <c r="AZ1814" s="9"/>
      <c r="BA1814" s="120"/>
      <c r="BB1814" s="69"/>
      <c r="BC1814" s="9"/>
      <c r="BD1814" s="9"/>
      <c r="BE1814" s="9"/>
      <c r="BF1814" s="9"/>
      <c r="BG1814" s="9"/>
      <c r="BH1814" s="9"/>
      <c r="BI1814" s="9"/>
      <c r="BJ1814" s="9"/>
      <c r="BK1814" s="9"/>
      <c r="BL1814" s="9"/>
      <c r="BM1814" s="9"/>
      <c r="BN1814" s="9"/>
      <c r="BO1814" s="9"/>
      <c r="BP1814" s="9"/>
      <c r="BQ1814" s="9"/>
      <c r="BR1814" s="9"/>
      <c r="BS1814" s="9"/>
      <c r="BT1814" s="9"/>
      <c r="BU1814" s="9"/>
      <c r="BV1814" s="9"/>
      <c r="BW1814" s="9"/>
      <c r="BX1814" s="9"/>
      <c r="BY1814" s="9"/>
      <c r="BZ1814" s="9"/>
      <c r="CA1814" s="9"/>
      <c r="CB1814" s="9"/>
      <c r="CC1814" s="9"/>
      <c r="CD1814" s="9"/>
      <c r="CE1814" s="9"/>
      <c r="CF1814" s="9"/>
      <c r="CG1814" s="9"/>
      <c r="CH1814" s="9"/>
      <c r="CI1814" s="9"/>
      <c r="CJ1814" s="9"/>
      <c r="CK1814" s="9"/>
      <c r="CL1814" s="9"/>
      <c r="CM1814" s="9"/>
      <c r="CN1814" s="9"/>
      <c r="CO1814" s="9"/>
      <c r="CP1814" s="9"/>
    </row>
    <row r="1815" spans="1:94" ht="30" x14ac:dyDescent="0.25">
      <c r="A1815" s="126" t="s">
        <v>4915</v>
      </c>
      <c r="B1815" s="9" t="s">
        <v>4916</v>
      </c>
      <c r="C1815" s="9"/>
      <c r="D1815" s="9"/>
      <c r="E1815" s="9"/>
      <c r="F1815" s="9"/>
      <c r="G1815" s="9"/>
      <c r="H1815" s="9"/>
      <c r="I1815" s="9"/>
      <c r="J1815" s="9"/>
      <c r="K1815" s="9"/>
      <c r="L1815" s="9"/>
      <c r="M1815" s="9"/>
      <c r="N1815" s="9"/>
      <c r="O1815" s="9"/>
      <c r="P1815" s="9"/>
      <c r="Q1815" s="9"/>
      <c r="R1815" s="9"/>
      <c r="S1815" s="9"/>
      <c r="T1815" s="9"/>
      <c r="U1815" s="9"/>
      <c r="V1815" s="9"/>
      <c r="W1815" s="9"/>
      <c r="X1815" s="9"/>
      <c r="Y1815" s="9"/>
      <c r="Z1815" s="9"/>
      <c r="AA1815" s="9"/>
      <c r="AB1815" s="9"/>
      <c r="AC1815" s="9"/>
      <c r="AD1815" s="9"/>
      <c r="AE1815" s="9"/>
      <c r="AF1815" s="9"/>
      <c r="AG1815" s="9"/>
      <c r="AH1815" s="9"/>
      <c r="AI1815" s="9"/>
      <c r="AJ1815" s="9"/>
      <c r="AK1815" s="9"/>
      <c r="AL1815" s="9"/>
      <c r="AM1815" s="69"/>
      <c r="AN1815" s="9"/>
      <c r="AO1815" s="69" t="s">
        <v>612</v>
      </c>
      <c r="AP1815" s="210"/>
      <c r="AQ1815" s="211"/>
      <c r="AR1815" s="211"/>
      <c r="AS1815" s="211"/>
      <c r="AT1815" s="211"/>
      <c r="AU1815" s="211"/>
      <c r="AV1815" s="211"/>
      <c r="AW1815" s="9"/>
      <c r="AX1815" s="9"/>
      <c r="AY1815" s="9"/>
      <c r="AZ1815" s="9"/>
      <c r="BA1815" s="120"/>
      <c r="BB1815" s="69"/>
      <c r="BC1815" s="9"/>
      <c r="BD1815" s="9"/>
      <c r="BE1815" s="9"/>
      <c r="BF1815" s="9"/>
      <c r="BG1815" s="9"/>
      <c r="BH1815" s="9"/>
      <c r="BI1815" s="9"/>
      <c r="BJ1815" s="9"/>
      <c r="BK1815" s="9"/>
      <c r="BL1815" s="9"/>
      <c r="BM1815" s="9"/>
      <c r="BN1815" s="9"/>
      <c r="BO1815" s="9"/>
      <c r="BP1815" s="9"/>
      <c r="BQ1815" s="9"/>
      <c r="BR1815" s="9"/>
      <c r="BS1815" s="9"/>
      <c r="BT1815" s="9"/>
      <c r="BU1815" s="9"/>
      <c r="BV1815" s="9"/>
      <c r="BW1815" s="9"/>
      <c r="BX1815" s="9"/>
      <c r="BY1815" s="9"/>
      <c r="BZ1815" s="9"/>
      <c r="CA1815" s="9"/>
      <c r="CB1815" s="9"/>
      <c r="CC1815" s="9"/>
      <c r="CD1815" s="9"/>
      <c r="CE1815" s="9"/>
      <c r="CF1815" s="9"/>
      <c r="CG1815" s="9"/>
      <c r="CH1815" s="9"/>
      <c r="CI1815" s="9"/>
      <c r="CJ1815" s="9"/>
      <c r="CK1815" s="9"/>
      <c r="CL1815" s="9"/>
      <c r="CM1815" s="9"/>
      <c r="CN1815" s="9"/>
      <c r="CO1815" s="9"/>
      <c r="CP1815" s="9"/>
    </row>
    <row r="1816" spans="1:94" ht="15.75" x14ac:dyDescent="0.25">
      <c r="A1816" s="126" t="s">
        <v>4917</v>
      </c>
      <c r="B1816" s="9" t="s">
        <v>4918</v>
      </c>
      <c r="C1816" s="9"/>
      <c r="D1816" s="9"/>
      <c r="E1816" s="9"/>
      <c r="F1816" s="9"/>
      <c r="G1816" s="9"/>
      <c r="H1816" s="9"/>
      <c r="I1816" s="9"/>
      <c r="J1816" s="9"/>
      <c r="K1816" s="9"/>
      <c r="L1816" s="9"/>
      <c r="M1816" s="9"/>
      <c r="N1816" s="9"/>
      <c r="O1816" s="9"/>
      <c r="P1816" s="9"/>
      <c r="Q1816" s="9"/>
      <c r="R1816" s="9"/>
      <c r="S1816" s="9"/>
      <c r="T1816" s="9"/>
      <c r="U1816" s="9"/>
      <c r="V1816" s="9"/>
      <c r="W1816" s="9"/>
      <c r="X1816" s="9"/>
      <c r="Y1816" s="9"/>
      <c r="Z1816" s="9"/>
      <c r="AA1816" s="9"/>
      <c r="AB1816" s="9"/>
      <c r="AC1816" s="9"/>
      <c r="AD1816" s="9"/>
      <c r="AE1816" s="9"/>
      <c r="AF1816" s="9"/>
      <c r="AG1816" s="9"/>
      <c r="AH1816" s="9"/>
      <c r="AI1816" s="9"/>
      <c r="AJ1816" s="9"/>
      <c r="AK1816" s="9"/>
      <c r="AL1816" s="9"/>
      <c r="AM1816" s="69"/>
      <c r="AN1816" s="9"/>
      <c r="AO1816" s="69" t="s">
        <v>4893</v>
      </c>
      <c r="AP1816" s="210"/>
      <c r="AQ1816" s="211"/>
      <c r="AR1816" s="211"/>
      <c r="AS1816" s="211"/>
      <c r="AT1816" s="211"/>
      <c r="AU1816" s="211"/>
      <c r="AV1816" s="211"/>
      <c r="AW1816" s="9"/>
      <c r="AX1816" s="9"/>
      <c r="AY1816" s="9"/>
      <c r="AZ1816" s="9"/>
      <c r="BA1816" s="120"/>
      <c r="BB1816" s="69"/>
      <c r="BC1816" s="9"/>
      <c r="BD1816" s="9"/>
      <c r="BE1816" s="9"/>
      <c r="BF1816" s="9"/>
      <c r="BG1816" s="9"/>
      <c r="BH1816" s="9"/>
      <c r="BI1816" s="9"/>
      <c r="BJ1816" s="9"/>
      <c r="BK1816" s="9"/>
      <c r="BL1816" s="9"/>
      <c r="BM1816" s="9"/>
      <c r="BN1816" s="9"/>
      <c r="BO1816" s="9"/>
      <c r="BP1816" s="9"/>
      <c r="BQ1816" s="9"/>
      <c r="BR1816" s="9"/>
      <c r="BS1816" s="9"/>
      <c r="BT1816" s="9"/>
      <c r="BU1816" s="9"/>
      <c r="BV1816" s="9"/>
      <c r="BW1816" s="9"/>
      <c r="BX1816" s="9"/>
      <c r="BY1816" s="9"/>
      <c r="BZ1816" s="9"/>
      <c r="CA1816" s="9"/>
      <c r="CB1816" s="9"/>
      <c r="CC1816" s="9"/>
      <c r="CD1816" s="9"/>
      <c r="CE1816" s="9"/>
      <c r="CF1816" s="9"/>
      <c r="CG1816" s="9"/>
      <c r="CH1816" s="9"/>
      <c r="CI1816" s="9"/>
      <c r="CJ1816" s="9"/>
      <c r="CK1816" s="9"/>
      <c r="CL1816" s="9"/>
      <c r="CM1816" s="9"/>
      <c r="CN1816" s="9"/>
      <c r="CO1816" s="9"/>
      <c r="CP1816" s="9"/>
    </row>
    <row r="1817" spans="1:94" ht="15.75" x14ac:dyDescent="0.25">
      <c r="A1817" s="126" t="s">
        <v>4919</v>
      </c>
      <c r="B1817" s="9" t="s">
        <v>4920</v>
      </c>
      <c r="C1817" s="9"/>
      <c r="D1817" s="9"/>
      <c r="E1817" s="9"/>
      <c r="F1817" s="9"/>
      <c r="G1817" s="9"/>
      <c r="H1817" s="9"/>
      <c r="I1817" s="9"/>
      <c r="J1817" s="9"/>
      <c r="K1817" s="9"/>
      <c r="L1817" s="9"/>
      <c r="M1817" s="9"/>
      <c r="N1817" s="9"/>
      <c r="O1817" s="9"/>
      <c r="P1817" s="9"/>
      <c r="Q1817" s="9"/>
      <c r="R1817" s="9"/>
      <c r="S1817" s="9"/>
      <c r="T1817" s="9"/>
      <c r="U1817" s="9"/>
      <c r="V1817" s="9"/>
      <c r="W1817" s="9"/>
      <c r="X1817" s="9"/>
      <c r="Y1817" s="9"/>
      <c r="Z1817" s="9"/>
      <c r="AA1817" s="9"/>
      <c r="AB1817" s="9"/>
      <c r="AC1817" s="9"/>
      <c r="AD1817" s="9"/>
      <c r="AE1817" s="9"/>
      <c r="AF1817" s="9"/>
      <c r="AG1817" s="9"/>
      <c r="AH1817" s="9"/>
      <c r="AI1817" s="9"/>
      <c r="AJ1817" s="9"/>
      <c r="AK1817" s="9"/>
      <c r="AL1817" s="9"/>
      <c r="AM1817" s="69"/>
      <c r="AN1817" s="9"/>
      <c r="AO1817" s="69" t="s">
        <v>4434</v>
      </c>
      <c r="AP1817" s="210"/>
      <c r="AQ1817" s="211"/>
      <c r="AR1817" s="211"/>
      <c r="AS1817" s="211"/>
      <c r="AT1817" s="211"/>
      <c r="AU1817" s="211"/>
      <c r="AV1817" s="211"/>
      <c r="AW1817" s="9"/>
      <c r="AX1817" s="9"/>
      <c r="AY1817" s="9"/>
      <c r="AZ1817" s="9"/>
      <c r="BA1817" s="120"/>
      <c r="BB1817" s="69"/>
      <c r="BC1817" s="9"/>
      <c r="BD1817" s="9"/>
      <c r="BE1817" s="9"/>
      <c r="BF1817" s="9"/>
      <c r="BG1817" s="9"/>
      <c r="BH1817" s="9"/>
      <c r="BI1817" s="9"/>
      <c r="BJ1817" s="9"/>
      <c r="BK1817" s="9"/>
      <c r="BL1817" s="9"/>
      <c r="BM1817" s="9"/>
      <c r="BN1817" s="9"/>
      <c r="BO1817" s="9"/>
      <c r="BP1817" s="9"/>
      <c r="BQ1817" s="9"/>
      <c r="BR1817" s="9"/>
      <c r="BS1817" s="9"/>
      <c r="BT1817" s="9"/>
      <c r="BU1817" s="9"/>
      <c r="BV1817" s="9"/>
      <c r="BW1817" s="9"/>
      <c r="BX1817" s="9"/>
      <c r="BY1817" s="9"/>
      <c r="BZ1817" s="9"/>
      <c r="CA1817" s="9"/>
      <c r="CB1817" s="9"/>
      <c r="CC1817" s="9"/>
      <c r="CD1817" s="9"/>
      <c r="CE1817" s="9"/>
      <c r="CF1817" s="9"/>
      <c r="CG1817" s="9"/>
      <c r="CH1817" s="9"/>
      <c r="CI1817" s="9"/>
      <c r="CJ1817" s="9"/>
      <c r="CK1817" s="9"/>
      <c r="CL1817" s="9"/>
      <c r="CM1817" s="9"/>
      <c r="CN1817" s="9"/>
      <c r="CO1817" s="9"/>
      <c r="CP1817" s="9"/>
    </row>
    <row r="1818" spans="1:94" ht="15.75" x14ac:dyDescent="0.25">
      <c r="A1818" s="126" t="s">
        <v>4921</v>
      </c>
      <c r="B1818" s="9" t="s">
        <v>4922</v>
      </c>
      <c r="C1818" s="9"/>
      <c r="D1818" s="9"/>
      <c r="E1818" s="9"/>
      <c r="F1818" s="9"/>
      <c r="G1818" s="9"/>
      <c r="H1818" s="9"/>
      <c r="I1818" s="9"/>
      <c r="J1818" s="9"/>
      <c r="K1818" s="9"/>
      <c r="L1818" s="9"/>
      <c r="M1818" s="9"/>
      <c r="N1818" s="9"/>
      <c r="O1818" s="9"/>
      <c r="P1818" s="9"/>
      <c r="Q1818" s="9"/>
      <c r="R1818" s="9"/>
      <c r="S1818" s="9"/>
      <c r="T1818" s="9"/>
      <c r="U1818" s="9"/>
      <c r="V1818" s="9"/>
      <c r="W1818" s="9"/>
      <c r="X1818" s="9"/>
      <c r="Y1818" s="9"/>
      <c r="Z1818" s="9"/>
      <c r="AA1818" s="9"/>
      <c r="AB1818" s="9"/>
      <c r="AC1818" s="9"/>
      <c r="AD1818" s="9"/>
      <c r="AE1818" s="9"/>
      <c r="AF1818" s="9"/>
      <c r="AG1818" s="9"/>
      <c r="AH1818" s="9"/>
      <c r="AI1818" s="9"/>
      <c r="AJ1818" s="9"/>
      <c r="AK1818" s="9"/>
      <c r="AL1818" s="9"/>
      <c r="AM1818" s="69"/>
      <c r="AN1818" s="9"/>
      <c r="AO1818" s="69" t="s">
        <v>4434</v>
      </c>
      <c r="AP1818" s="210"/>
      <c r="AQ1818" s="211"/>
      <c r="AR1818" s="211"/>
      <c r="AS1818" s="211"/>
      <c r="AT1818" s="211"/>
      <c r="AU1818" s="211"/>
      <c r="AV1818" s="211"/>
      <c r="AW1818" s="9"/>
      <c r="AX1818" s="9"/>
      <c r="AY1818" s="9"/>
      <c r="AZ1818" s="9"/>
      <c r="BA1818" s="120"/>
      <c r="BB1818" s="69"/>
      <c r="BC1818" s="9"/>
      <c r="BD1818" s="9"/>
      <c r="BE1818" s="9"/>
      <c r="BF1818" s="9"/>
      <c r="BG1818" s="9"/>
      <c r="BH1818" s="9"/>
      <c r="BI1818" s="9"/>
      <c r="BJ1818" s="9"/>
      <c r="BK1818" s="9"/>
      <c r="BL1818" s="9"/>
      <c r="BM1818" s="9"/>
      <c r="BN1818" s="9"/>
      <c r="BO1818" s="9"/>
      <c r="BP1818" s="9"/>
      <c r="BQ1818" s="9"/>
      <c r="BR1818" s="9"/>
      <c r="BS1818" s="9"/>
      <c r="BT1818" s="9"/>
      <c r="BU1818" s="9"/>
      <c r="BV1818" s="9"/>
      <c r="BW1818" s="9"/>
      <c r="BX1818" s="9"/>
      <c r="BY1818" s="9"/>
      <c r="BZ1818" s="9"/>
      <c r="CA1818" s="9"/>
      <c r="CB1818" s="9"/>
      <c r="CC1818" s="9"/>
      <c r="CD1818" s="9"/>
      <c r="CE1818" s="9"/>
      <c r="CF1818" s="9"/>
      <c r="CG1818" s="9"/>
      <c r="CH1818" s="9"/>
      <c r="CI1818" s="9"/>
      <c r="CJ1818" s="9"/>
      <c r="CK1818" s="9"/>
      <c r="CL1818" s="9"/>
      <c r="CM1818" s="9"/>
      <c r="CN1818" s="9"/>
      <c r="CO1818" s="9"/>
      <c r="CP1818" s="9"/>
    </row>
    <row r="1819" spans="1:94" ht="15.75" x14ac:dyDescent="0.25">
      <c r="A1819" s="126" t="s">
        <v>4923</v>
      </c>
      <c r="B1819" s="9" t="s">
        <v>4924</v>
      </c>
      <c r="C1819" s="9"/>
      <c r="D1819" s="9"/>
      <c r="E1819" s="9"/>
      <c r="F1819" s="9"/>
      <c r="G1819" s="9"/>
      <c r="H1819" s="9"/>
      <c r="I1819" s="9"/>
      <c r="J1819" s="9"/>
      <c r="K1819" s="9"/>
      <c r="L1819" s="9"/>
      <c r="M1819" s="9"/>
      <c r="N1819" s="9"/>
      <c r="O1819" s="9"/>
      <c r="P1819" s="9"/>
      <c r="Q1819" s="9"/>
      <c r="R1819" s="9"/>
      <c r="S1819" s="9"/>
      <c r="T1819" s="9"/>
      <c r="U1819" s="9"/>
      <c r="V1819" s="9"/>
      <c r="W1819" s="9"/>
      <c r="X1819" s="9"/>
      <c r="Y1819" s="9"/>
      <c r="Z1819" s="9"/>
      <c r="AA1819" s="9"/>
      <c r="AB1819" s="9"/>
      <c r="AC1819" s="9"/>
      <c r="AD1819" s="9"/>
      <c r="AE1819" s="9"/>
      <c r="AF1819" s="9"/>
      <c r="AG1819" s="9"/>
      <c r="AH1819" s="9"/>
      <c r="AI1819" s="9"/>
      <c r="AJ1819" s="9"/>
      <c r="AK1819" s="9"/>
      <c r="AL1819" s="9"/>
      <c r="AM1819" s="69"/>
      <c r="AN1819" s="9"/>
      <c r="AO1819" s="69" t="s">
        <v>4893</v>
      </c>
      <c r="AP1819" s="210"/>
      <c r="AQ1819" s="211"/>
      <c r="AR1819" s="211"/>
      <c r="AS1819" s="211"/>
      <c r="AT1819" s="211"/>
      <c r="AU1819" s="211"/>
      <c r="AV1819" s="211"/>
      <c r="AW1819" s="9"/>
      <c r="AX1819" s="9"/>
      <c r="AY1819" s="9"/>
      <c r="AZ1819" s="9"/>
      <c r="BA1819" s="120"/>
      <c r="BB1819" s="69"/>
      <c r="BC1819" s="9"/>
      <c r="BD1819" s="9"/>
      <c r="BE1819" s="9"/>
      <c r="BF1819" s="9"/>
      <c r="BG1819" s="9"/>
      <c r="BH1819" s="9"/>
      <c r="BI1819" s="9"/>
      <c r="BJ1819" s="9"/>
      <c r="BK1819" s="9"/>
      <c r="BL1819" s="9"/>
      <c r="BM1819" s="9"/>
      <c r="BN1819" s="9"/>
      <c r="BO1819" s="9"/>
      <c r="BP1819" s="9"/>
      <c r="BQ1819" s="9"/>
      <c r="BR1819" s="9"/>
      <c r="BS1819" s="9"/>
      <c r="BT1819" s="9"/>
      <c r="BU1819" s="9"/>
      <c r="BV1819" s="9"/>
      <c r="BW1819" s="9"/>
      <c r="BX1819" s="9"/>
      <c r="BY1819" s="9"/>
      <c r="BZ1819" s="9"/>
      <c r="CA1819" s="9"/>
      <c r="CB1819" s="9"/>
      <c r="CC1819" s="9"/>
      <c r="CD1819" s="9"/>
      <c r="CE1819" s="9"/>
      <c r="CF1819" s="9"/>
      <c r="CG1819" s="9"/>
      <c r="CH1819" s="9"/>
      <c r="CI1819" s="9"/>
      <c r="CJ1819" s="9"/>
      <c r="CK1819" s="9"/>
      <c r="CL1819" s="9"/>
      <c r="CM1819" s="9"/>
      <c r="CN1819" s="9"/>
      <c r="CO1819" s="9"/>
      <c r="CP1819" s="9"/>
    </row>
    <row r="1820" spans="1:94" ht="15.75" x14ac:dyDescent="0.25">
      <c r="A1820" s="126" t="s">
        <v>4925</v>
      </c>
      <c r="B1820" s="9" t="s">
        <v>4926</v>
      </c>
      <c r="C1820" s="9"/>
      <c r="D1820" s="9"/>
      <c r="E1820" s="9"/>
      <c r="F1820" s="9"/>
      <c r="G1820" s="9"/>
      <c r="H1820" s="9"/>
      <c r="I1820" s="9"/>
      <c r="J1820" s="9"/>
      <c r="K1820" s="9"/>
      <c r="L1820" s="9"/>
      <c r="M1820" s="9"/>
      <c r="N1820" s="9"/>
      <c r="O1820" s="9"/>
      <c r="P1820" s="9"/>
      <c r="Q1820" s="9"/>
      <c r="R1820" s="9"/>
      <c r="S1820" s="9"/>
      <c r="T1820" s="9"/>
      <c r="U1820" s="9"/>
      <c r="V1820" s="9"/>
      <c r="W1820" s="9"/>
      <c r="X1820" s="9"/>
      <c r="Y1820" s="9"/>
      <c r="Z1820" s="9"/>
      <c r="AA1820" s="9"/>
      <c r="AB1820" s="9"/>
      <c r="AC1820" s="9"/>
      <c r="AD1820" s="9"/>
      <c r="AE1820" s="9"/>
      <c r="AF1820" s="9"/>
      <c r="AG1820" s="9"/>
      <c r="AH1820" s="9"/>
      <c r="AI1820" s="9"/>
      <c r="AJ1820" s="9"/>
      <c r="AK1820" s="9"/>
      <c r="AL1820" s="9"/>
      <c r="AM1820" s="69"/>
      <c r="AN1820" s="9"/>
      <c r="AO1820" s="69" t="s">
        <v>4434</v>
      </c>
      <c r="AP1820" s="210"/>
      <c r="AQ1820" s="211"/>
      <c r="AR1820" s="211"/>
      <c r="AS1820" s="211"/>
      <c r="AT1820" s="211"/>
      <c r="AU1820" s="211"/>
      <c r="AV1820" s="211"/>
      <c r="AW1820" s="9"/>
      <c r="AX1820" s="9"/>
      <c r="AY1820" s="9"/>
      <c r="AZ1820" s="9"/>
      <c r="BA1820" s="120"/>
      <c r="BB1820" s="69"/>
      <c r="BC1820" s="9"/>
      <c r="BD1820" s="9"/>
      <c r="BE1820" s="9"/>
      <c r="BF1820" s="9"/>
      <c r="BG1820" s="9"/>
      <c r="BH1820" s="9"/>
      <c r="BI1820" s="9"/>
      <c r="BJ1820" s="9"/>
      <c r="BK1820" s="9"/>
      <c r="BL1820" s="9"/>
      <c r="BM1820" s="9"/>
      <c r="BN1820" s="9"/>
      <c r="BO1820" s="9"/>
      <c r="BP1820" s="9"/>
      <c r="BQ1820" s="9"/>
      <c r="BR1820" s="9"/>
      <c r="BS1820" s="9"/>
      <c r="BT1820" s="9"/>
      <c r="BU1820" s="9"/>
      <c r="BV1820" s="9"/>
      <c r="BW1820" s="9"/>
      <c r="BX1820" s="9"/>
      <c r="BY1820" s="9"/>
      <c r="BZ1820" s="9"/>
      <c r="CA1820" s="9"/>
      <c r="CB1820" s="9"/>
      <c r="CC1820" s="9"/>
      <c r="CD1820" s="9"/>
      <c r="CE1820" s="9"/>
      <c r="CF1820" s="9"/>
      <c r="CG1820" s="9"/>
      <c r="CH1820" s="9"/>
      <c r="CI1820" s="9"/>
      <c r="CJ1820" s="9"/>
      <c r="CK1820" s="9"/>
      <c r="CL1820" s="9"/>
      <c r="CM1820" s="9"/>
      <c r="CN1820" s="9"/>
      <c r="CO1820" s="9"/>
      <c r="CP1820" s="9"/>
    </row>
    <row r="1821" spans="1:94" ht="30" x14ac:dyDescent="0.25">
      <c r="A1821" s="126" t="s">
        <v>4927</v>
      </c>
      <c r="B1821" s="9" t="s">
        <v>4928</v>
      </c>
      <c r="C1821" s="9"/>
      <c r="D1821" s="9"/>
      <c r="E1821" s="9"/>
      <c r="F1821" s="9"/>
      <c r="G1821" s="9"/>
      <c r="H1821" s="9"/>
      <c r="I1821" s="9"/>
      <c r="J1821" s="9"/>
      <c r="K1821" s="9"/>
      <c r="L1821" s="9"/>
      <c r="M1821" s="9"/>
      <c r="N1821" s="9"/>
      <c r="O1821" s="9"/>
      <c r="P1821" s="9"/>
      <c r="Q1821" s="9"/>
      <c r="R1821" s="9"/>
      <c r="S1821" s="9"/>
      <c r="T1821" s="9"/>
      <c r="U1821" s="9"/>
      <c r="V1821" s="9"/>
      <c r="W1821" s="9"/>
      <c r="X1821" s="9"/>
      <c r="Y1821" s="9"/>
      <c r="Z1821" s="9"/>
      <c r="AA1821" s="9"/>
      <c r="AB1821" s="9"/>
      <c r="AC1821" s="9"/>
      <c r="AD1821" s="9"/>
      <c r="AE1821" s="9"/>
      <c r="AF1821" s="9"/>
      <c r="AG1821" s="9"/>
      <c r="AH1821" s="9"/>
      <c r="AI1821" s="9"/>
      <c r="AJ1821" s="9"/>
      <c r="AK1821" s="9"/>
      <c r="AL1821" s="9"/>
      <c r="AM1821" s="69"/>
      <c r="AN1821" s="9"/>
      <c r="AO1821" s="69" t="s">
        <v>4700</v>
      </c>
      <c r="AP1821" s="210"/>
      <c r="AQ1821" s="211"/>
      <c r="AR1821" s="211"/>
      <c r="AS1821" s="211"/>
      <c r="AT1821" s="211"/>
      <c r="AU1821" s="211"/>
      <c r="AV1821" s="211"/>
      <c r="AW1821" s="9"/>
      <c r="AX1821" s="9"/>
      <c r="AY1821" s="9"/>
      <c r="AZ1821" s="9"/>
      <c r="BA1821" s="120"/>
      <c r="BB1821" s="69"/>
      <c r="BC1821" s="9"/>
      <c r="BD1821" s="9"/>
      <c r="BE1821" s="9"/>
      <c r="BF1821" s="9"/>
      <c r="BG1821" s="9"/>
      <c r="BH1821" s="9"/>
      <c r="BI1821" s="9"/>
      <c r="BJ1821" s="9"/>
      <c r="BK1821" s="9"/>
      <c r="BL1821" s="9"/>
      <c r="BM1821" s="9"/>
      <c r="BN1821" s="9"/>
      <c r="BO1821" s="9"/>
      <c r="BP1821" s="9"/>
      <c r="BQ1821" s="9"/>
      <c r="BR1821" s="9"/>
      <c r="BS1821" s="9"/>
      <c r="BT1821" s="9"/>
      <c r="BU1821" s="9"/>
      <c r="BV1821" s="9"/>
      <c r="BW1821" s="9"/>
      <c r="BX1821" s="9"/>
      <c r="BY1821" s="9"/>
      <c r="BZ1821" s="9"/>
      <c r="CA1821" s="9"/>
      <c r="CB1821" s="9"/>
      <c r="CC1821" s="9"/>
      <c r="CD1821" s="9"/>
      <c r="CE1821" s="9"/>
      <c r="CF1821" s="9"/>
      <c r="CG1821" s="9"/>
      <c r="CH1821" s="9"/>
      <c r="CI1821" s="9"/>
      <c r="CJ1821" s="9"/>
      <c r="CK1821" s="9"/>
      <c r="CL1821" s="9"/>
      <c r="CM1821" s="9"/>
      <c r="CN1821" s="9"/>
      <c r="CO1821" s="9"/>
      <c r="CP1821" s="9"/>
    </row>
    <row r="1822" spans="1:94" ht="15.75" x14ac:dyDescent="0.25">
      <c r="A1822" s="126" t="s">
        <v>4929</v>
      </c>
      <c r="B1822" s="9" t="s">
        <v>4930</v>
      </c>
      <c r="C1822" s="9"/>
      <c r="D1822" s="9"/>
      <c r="E1822" s="9"/>
      <c r="F1822" s="9"/>
      <c r="G1822" s="9"/>
      <c r="H1822" s="9"/>
      <c r="I1822" s="9"/>
      <c r="J1822" s="9"/>
      <c r="K1822" s="9"/>
      <c r="L1822" s="9"/>
      <c r="M1822" s="9"/>
      <c r="N1822" s="9"/>
      <c r="O1822" s="9"/>
      <c r="P1822" s="9"/>
      <c r="Q1822" s="9"/>
      <c r="R1822" s="9"/>
      <c r="S1822" s="9"/>
      <c r="T1822" s="9"/>
      <c r="U1822" s="9"/>
      <c r="V1822" s="9"/>
      <c r="W1822" s="9"/>
      <c r="X1822" s="9"/>
      <c r="Y1822" s="9"/>
      <c r="Z1822" s="9"/>
      <c r="AA1822" s="9"/>
      <c r="AB1822" s="9"/>
      <c r="AC1822" s="9"/>
      <c r="AD1822" s="9"/>
      <c r="AE1822" s="9"/>
      <c r="AF1822" s="9"/>
      <c r="AG1822" s="9"/>
      <c r="AH1822" s="9"/>
      <c r="AI1822" s="9"/>
      <c r="AJ1822" s="9"/>
      <c r="AK1822" s="9"/>
      <c r="AL1822" s="9"/>
      <c r="AM1822" s="69"/>
      <c r="AN1822" s="9"/>
      <c r="AO1822" s="69" t="s">
        <v>4893</v>
      </c>
      <c r="AP1822" s="210"/>
      <c r="AQ1822" s="211"/>
      <c r="AR1822" s="211"/>
      <c r="AS1822" s="211"/>
      <c r="AT1822" s="211"/>
      <c r="AU1822" s="211"/>
      <c r="AV1822" s="211"/>
      <c r="AW1822" s="9"/>
      <c r="AX1822" s="9"/>
      <c r="AY1822" s="9"/>
      <c r="AZ1822" s="9"/>
      <c r="BA1822" s="120"/>
      <c r="BB1822" s="69"/>
      <c r="BC1822" s="9"/>
      <c r="BD1822" s="9"/>
      <c r="BE1822" s="9"/>
      <c r="BF1822" s="9"/>
      <c r="BG1822" s="9"/>
      <c r="BH1822" s="9"/>
      <c r="BI1822" s="9"/>
      <c r="BJ1822" s="9"/>
      <c r="BK1822" s="9"/>
      <c r="BL1822" s="9"/>
      <c r="BM1822" s="9"/>
      <c r="BN1822" s="9"/>
      <c r="BO1822" s="9"/>
      <c r="BP1822" s="9"/>
      <c r="BQ1822" s="9"/>
      <c r="BR1822" s="9"/>
      <c r="BS1822" s="9"/>
      <c r="BT1822" s="9"/>
      <c r="BU1822" s="9"/>
      <c r="BV1822" s="9"/>
      <c r="BW1822" s="9"/>
      <c r="BX1822" s="9"/>
      <c r="BY1822" s="9"/>
      <c r="BZ1822" s="9"/>
      <c r="CA1822" s="9"/>
      <c r="CB1822" s="9"/>
      <c r="CC1822" s="9"/>
      <c r="CD1822" s="9"/>
      <c r="CE1822" s="9"/>
      <c r="CF1822" s="9"/>
      <c r="CG1822" s="9"/>
      <c r="CH1822" s="9"/>
      <c r="CI1822" s="9"/>
      <c r="CJ1822" s="9"/>
      <c r="CK1822" s="9"/>
      <c r="CL1822" s="9"/>
      <c r="CM1822" s="9"/>
      <c r="CN1822" s="9"/>
      <c r="CO1822" s="9"/>
      <c r="CP1822" s="9"/>
    </row>
    <row r="1823" spans="1:94" ht="15.75" x14ac:dyDescent="0.25">
      <c r="A1823" s="126" t="s">
        <v>4931</v>
      </c>
      <c r="B1823" s="9" t="s">
        <v>4932</v>
      </c>
      <c r="C1823" s="9"/>
      <c r="D1823" s="9"/>
      <c r="E1823" s="9"/>
      <c r="F1823" s="9"/>
      <c r="G1823" s="9"/>
      <c r="H1823" s="9"/>
      <c r="I1823" s="9"/>
      <c r="J1823" s="9"/>
      <c r="K1823" s="9"/>
      <c r="L1823" s="9"/>
      <c r="M1823" s="9"/>
      <c r="N1823" s="9"/>
      <c r="O1823" s="9"/>
      <c r="P1823" s="9"/>
      <c r="Q1823" s="9"/>
      <c r="R1823" s="9"/>
      <c r="S1823" s="9"/>
      <c r="T1823" s="9"/>
      <c r="U1823" s="9"/>
      <c r="V1823" s="9"/>
      <c r="W1823" s="9"/>
      <c r="X1823" s="9"/>
      <c r="Y1823" s="9"/>
      <c r="Z1823" s="9"/>
      <c r="AA1823" s="9"/>
      <c r="AB1823" s="9"/>
      <c r="AC1823" s="9"/>
      <c r="AD1823" s="9"/>
      <c r="AE1823" s="9"/>
      <c r="AF1823" s="9"/>
      <c r="AG1823" s="9"/>
      <c r="AH1823" s="9"/>
      <c r="AI1823" s="9"/>
      <c r="AJ1823" s="9"/>
      <c r="AK1823" s="9"/>
      <c r="AL1823" s="9"/>
      <c r="AM1823" s="69"/>
      <c r="AN1823" s="9"/>
      <c r="AO1823" s="69" t="s">
        <v>4893</v>
      </c>
      <c r="AP1823" s="210"/>
      <c r="AQ1823" s="211"/>
      <c r="AR1823" s="211"/>
      <c r="AS1823" s="211"/>
      <c r="AT1823" s="211"/>
      <c r="AU1823" s="211"/>
      <c r="AV1823" s="211"/>
      <c r="AW1823" s="9"/>
      <c r="AX1823" s="9"/>
      <c r="AY1823" s="9"/>
      <c r="AZ1823" s="9"/>
      <c r="BA1823" s="120"/>
      <c r="BB1823" s="69"/>
      <c r="BC1823" s="9"/>
      <c r="BD1823" s="9"/>
      <c r="BE1823" s="9"/>
      <c r="BF1823" s="9"/>
      <c r="BG1823" s="9"/>
      <c r="BH1823" s="9"/>
      <c r="BI1823" s="9"/>
      <c r="BJ1823" s="9"/>
      <c r="BK1823" s="9"/>
      <c r="BL1823" s="9"/>
      <c r="BM1823" s="9"/>
      <c r="BN1823" s="9"/>
      <c r="BO1823" s="9"/>
      <c r="BP1823" s="9"/>
      <c r="BQ1823" s="9"/>
      <c r="BR1823" s="9"/>
      <c r="BS1823" s="9"/>
      <c r="BT1823" s="9"/>
      <c r="BU1823" s="9"/>
      <c r="BV1823" s="9"/>
      <c r="BW1823" s="9"/>
      <c r="BX1823" s="9"/>
      <c r="BY1823" s="9"/>
      <c r="BZ1823" s="9"/>
      <c r="CA1823" s="9"/>
      <c r="CB1823" s="9"/>
      <c r="CC1823" s="9"/>
      <c r="CD1823" s="9"/>
      <c r="CE1823" s="9"/>
      <c r="CF1823" s="9"/>
      <c r="CG1823" s="9"/>
      <c r="CH1823" s="9"/>
      <c r="CI1823" s="9"/>
      <c r="CJ1823" s="9"/>
      <c r="CK1823" s="9"/>
      <c r="CL1823" s="9"/>
      <c r="CM1823" s="9"/>
      <c r="CN1823" s="9"/>
      <c r="CO1823" s="9"/>
      <c r="CP1823" s="9"/>
    </row>
    <row r="1824" spans="1:94" ht="15.75" x14ac:dyDescent="0.25">
      <c r="A1824" s="126" t="s">
        <v>4933</v>
      </c>
      <c r="B1824" s="9" t="s">
        <v>4934</v>
      </c>
      <c r="C1824" s="9"/>
      <c r="D1824" s="9"/>
      <c r="E1824" s="9"/>
      <c r="F1824" s="9"/>
      <c r="G1824" s="9"/>
      <c r="H1824" s="9"/>
      <c r="I1824" s="9"/>
      <c r="J1824" s="9"/>
      <c r="K1824" s="9"/>
      <c r="L1824" s="9"/>
      <c r="M1824" s="9"/>
      <c r="N1824" s="9"/>
      <c r="O1824" s="9"/>
      <c r="P1824" s="9"/>
      <c r="Q1824" s="9"/>
      <c r="R1824" s="9"/>
      <c r="S1824" s="9"/>
      <c r="T1824" s="9"/>
      <c r="U1824" s="9"/>
      <c r="V1824" s="9"/>
      <c r="W1824" s="9"/>
      <c r="X1824" s="9"/>
      <c r="Y1824" s="9"/>
      <c r="Z1824" s="9"/>
      <c r="AA1824" s="9"/>
      <c r="AB1824" s="9"/>
      <c r="AC1824" s="9"/>
      <c r="AD1824" s="9"/>
      <c r="AE1824" s="9"/>
      <c r="AF1824" s="9"/>
      <c r="AG1824" s="9"/>
      <c r="AH1824" s="9"/>
      <c r="AI1824" s="9"/>
      <c r="AJ1824" s="9"/>
      <c r="AK1824" s="9"/>
      <c r="AL1824" s="9"/>
      <c r="AM1824" s="69"/>
      <c r="AN1824" s="9"/>
      <c r="AO1824" s="69" t="s">
        <v>4893</v>
      </c>
      <c r="AP1824" s="210"/>
      <c r="AQ1824" s="211"/>
      <c r="AR1824" s="211"/>
      <c r="AS1824" s="211"/>
      <c r="AT1824" s="211"/>
      <c r="AU1824" s="211"/>
      <c r="AV1824" s="211"/>
      <c r="AW1824" s="9"/>
      <c r="AX1824" s="9"/>
      <c r="AY1824" s="9"/>
      <c r="AZ1824" s="9"/>
      <c r="BA1824" s="120"/>
      <c r="BB1824" s="69"/>
      <c r="BC1824" s="9"/>
      <c r="BD1824" s="9"/>
      <c r="BE1824" s="9"/>
      <c r="BF1824" s="9"/>
      <c r="BG1824" s="9"/>
      <c r="BH1824" s="9"/>
      <c r="BI1824" s="9"/>
      <c r="BJ1824" s="9"/>
      <c r="BK1824" s="9"/>
      <c r="BL1824" s="9"/>
      <c r="BM1824" s="9"/>
      <c r="BN1824" s="9"/>
      <c r="BO1824" s="9"/>
      <c r="BP1824" s="9"/>
      <c r="BQ1824" s="9"/>
      <c r="BR1824" s="9"/>
      <c r="BS1824" s="9"/>
      <c r="BT1824" s="9"/>
      <c r="BU1824" s="9"/>
      <c r="BV1824" s="9"/>
      <c r="BW1824" s="9"/>
      <c r="BX1824" s="9"/>
      <c r="BY1824" s="9"/>
      <c r="BZ1824" s="9"/>
      <c r="CA1824" s="9"/>
      <c r="CB1824" s="9"/>
      <c r="CC1824" s="9"/>
      <c r="CD1824" s="9"/>
      <c r="CE1824" s="9"/>
      <c r="CF1824" s="9"/>
      <c r="CG1824" s="9"/>
      <c r="CH1824" s="9"/>
      <c r="CI1824" s="9"/>
      <c r="CJ1824" s="9"/>
      <c r="CK1824" s="9"/>
      <c r="CL1824" s="9"/>
      <c r="CM1824" s="9"/>
      <c r="CN1824" s="9"/>
      <c r="CO1824" s="9"/>
      <c r="CP1824" s="9"/>
    </row>
    <row r="1825" spans="1:94" ht="15.75" x14ac:dyDescent="0.25">
      <c r="A1825" s="126" t="s">
        <v>4935</v>
      </c>
      <c r="B1825" s="9" t="s">
        <v>4936</v>
      </c>
      <c r="C1825" s="9"/>
      <c r="D1825" s="9"/>
      <c r="E1825" s="9"/>
      <c r="F1825" s="9"/>
      <c r="G1825" s="9"/>
      <c r="H1825" s="9"/>
      <c r="I1825" s="9"/>
      <c r="J1825" s="9"/>
      <c r="K1825" s="9"/>
      <c r="L1825" s="9"/>
      <c r="M1825" s="9"/>
      <c r="N1825" s="9"/>
      <c r="O1825" s="9"/>
      <c r="P1825" s="9"/>
      <c r="Q1825" s="9"/>
      <c r="R1825" s="9"/>
      <c r="S1825" s="9"/>
      <c r="T1825" s="9"/>
      <c r="U1825" s="9"/>
      <c r="V1825" s="9"/>
      <c r="W1825" s="9"/>
      <c r="X1825" s="9"/>
      <c r="Y1825" s="9"/>
      <c r="Z1825" s="9"/>
      <c r="AA1825" s="9"/>
      <c r="AB1825" s="9"/>
      <c r="AC1825" s="9"/>
      <c r="AD1825" s="9"/>
      <c r="AE1825" s="9"/>
      <c r="AF1825" s="9"/>
      <c r="AG1825" s="9"/>
      <c r="AH1825" s="9"/>
      <c r="AI1825" s="9"/>
      <c r="AJ1825" s="9"/>
      <c r="AK1825" s="9"/>
      <c r="AL1825" s="9"/>
      <c r="AM1825" s="69"/>
      <c r="AN1825" s="9"/>
      <c r="AO1825" s="69" t="s">
        <v>4893</v>
      </c>
      <c r="AP1825" s="210"/>
      <c r="AQ1825" s="211"/>
      <c r="AR1825" s="211"/>
      <c r="AS1825" s="211"/>
      <c r="AT1825" s="211"/>
      <c r="AU1825" s="211"/>
      <c r="AV1825" s="211"/>
      <c r="AW1825" s="9"/>
      <c r="AX1825" s="9"/>
      <c r="AY1825" s="9"/>
      <c r="AZ1825" s="9"/>
      <c r="BA1825" s="120"/>
      <c r="BB1825" s="69"/>
      <c r="BC1825" s="9"/>
      <c r="BD1825" s="9"/>
      <c r="BE1825" s="9"/>
      <c r="BF1825" s="9"/>
      <c r="BG1825" s="9"/>
      <c r="BH1825" s="9"/>
      <c r="BI1825" s="9"/>
      <c r="BJ1825" s="9"/>
      <c r="BK1825" s="9"/>
      <c r="BL1825" s="9"/>
      <c r="BM1825" s="9"/>
      <c r="BN1825" s="9"/>
      <c r="BO1825" s="9"/>
      <c r="BP1825" s="9"/>
      <c r="BQ1825" s="9"/>
      <c r="BR1825" s="9"/>
      <c r="BS1825" s="9"/>
      <c r="BT1825" s="9"/>
      <c r="BU1825" s="9"/>
      <c r="BV1825" s="9"/>
      <c r="BW1825" s="9"/>
      <c r="BX1825" s="9"/>
      <c r="BY1825" s="9"/>
      <c r="BZ1825" s="9"/>
      <c r="CA1825" s="9"/>
      <c r="CB1825" s="9"/>
      <c r="CC1825" s="9"/>
      <c r="CD1825" s="9"/>
      <c r="CE1825" s="9"/>
      <c r="CF1825" s="9"/>
      <c r="CG1825" s="9"/>
      <c r="CH1825" s="9"/>
      <c r="CI1825" s="9"/>
      <c r="CJ1825" s="9"/>
      <c r="CK1825" s="9"/>
      <c r="CL1825" s="9"/>
      <c r="CM1825" s="9"/>
      <c r="CN1825" s="9"/>
      <c r="CO1825" s="9"/>
      <c r="CP1825" s="9"/>
    </row>
    <row r="1826" spans="1:94" ht="30" x14ac:dyDescent="0.25">
      <c r="A1826" s="126" t="s">
        <v>4937</v>
      </c>
      <c r="B1826" s="9" t="s">
        <v>4938</v>
      </c>
      <c r="C1826" s="9"/>
      <c r="D1826" s="9"/>
      <c r="E1826" s="9"/>
      <c r="F1826" s="9"/>
      <c r="G1826" s="9"/>
      <c r="H1826" s="9"/>
      <c r="I1826" s="9"/>
      <c r="J1826" s="9"/>
      <c r="K1826" s="9"/>
      <c r="L1826" s="9"/>
      <c r="M1826" s="9"/>
      <c r="N1826" s="9"/>
      <c r="O1826" s="9"/>
      <c r="P1826" s="9"/>
      <c r="Q1826" s="9"/>
      <c r="R1826" s="9"/>
      <c r="S1826" s="9"/>
      <c r="T1826" s="9"/>
      <c r="U1826" s="9"/>
      <c r="V1826" s="9"/>
      <c r="W1826" s="9"/>
      <c r="X1826" s="9"/>
      <c r="Y1826" s="9"/>
      <c r="Z1826" s="9"/>
      <c r="AA1826" s="9"/>
      <c r="AB1826" s="9"/>
      <c r="AC1826" s="9"/>
      <c r="AD1826" s="9"/>
      <c r="AE1826" s="9"/>
      <c r="AF1826" s="9"/>
      <c r="AG1826" s="9"/>
      <c r="AH1826" s="9"/>
      <c r="AI1826" s="9"/>
      <c r="AJ1826" s="9"/>
      <c r="AK1826" s="9"/>
      <c r="AL1826" s="9"/>
      <c r="AM1826" s="69"/>
      <c r="AN1826" s="9"/>
      <c r="AO1826" s="69" t="s">
        <v>612</v>
      </c>
      <c r="AP1826" s="210"/>
      <c r="AQ1826" s="211"/>
      <c r="AR1826" s="211"/>
      <c r="AS1826" s="211"/>
      <c r="AT1826" s="211"/>
      <c r="AU1826" s="211"/>
      <c r="AV1826" s="211"/>
      <c r="AW1826" s="9"/>
      <c r="AX1826" s="9"/>
      <c r="AY1826" s="9"/>
      <c r="AZ1826" s="9"/>
      <c r="BA1826" s="120"/>
      <c r="BB1826" s="69"/>
      <c r="BC1826" s="9"/>
      <c r="BD1826" s="9"/>
      <c r="BE1826" s="9"/>
      <c r="BF1826" s="9"/>
      <c r="BG1826" s="9"/>
      <c r="BH1826" s="9"/>
      <c r="BI1826" s="9"/>
      <c r="BJ1826" s="9"/>
      <c r="BK1826" s="9"/>
      <c r="BL1826" s="9"/>
      <c r="BM1826" s="9"/>
      <c r="BN1826" s="9"/>
      <c r="BO1826" s="9"/>
      <c r="BP1826" s="9"/>
      <c r="BQ1826" s="9"/>
      <c r="BR1826" s="9"/>
      <c r="BS1826" s="9"/>
      <c r="BT1826" s="9"/>
      <c r="BU1826" s="9"/>
      <c r="BV1826" s="9"/>
      <c r="BW1826" s="9"/>
      <c r="BX1826" s="9"/>
      <c r="BY1826" s="9"/>
      <c r="BZ1826" s="9"/>
      <c r="CA1826" s="9"/>
      <c r="CB1826" s="9"/>
      <c r="CC1826" s="9"/>
      <c r="CD1826" s="9"/>
      <c r="CE1826" s="9"/>
      <c r="CF1826" s="9"/>
      <c r="CG1826" s="9"/>
      <c r="CH1826" s="9"/>
      <c r="CI1826" s="9"/>
      <c r="CJ1826" s="9"/>
      <c r="CK1826" s="9"/>
      <c r="CL1826" s="9"/>
      <c r="CM1826" s="9"/>
      <c r="CN1826" s="9"/>
      <c r="CO1826" s="9"/>
      <c r="CP1826" s="9"/>
    </row>
    <row r="1827" spans="1:94" ht="30" x14ac:dyDescent="0.25">
      <c r="A1827" s="126" t="s">
        <v>4939</v>
      </c>
      <c r="B1827" s="9" t="s">
        <v>4940</v>
      </c>
      <c r="C1827" s="9"/>
      <c r="D1827" s="9"/>
      <c r="E1827" s="9"/>
      <c r="F1827" s="9"/>
      <c r="G1827" s="9"/>
      <c r="H1827" s="9"/>
      <c r="I1827" s="9"/>
      <c r="J1827" s="9"/>
      <c r="K1827" s="9"/>
      <c r="L1827" s="9"/>
      <c r="M1827" s="9"/>
      <c r="N1827" s="9"/>
      <c r="O1827" s="9"/>
      <c r="P1827" s="9"/>
      <c r="Q1827" s="9"/>
      <c r="R1827" s="9"/>
      <c r="S1827" s="9"/>
      <c r="T1827" s="9"/>
      <c r="U1827" s="9"/>
      <c r="V1827" s="9"/>
      <c r="W1827" s="9"/>
      <c r="X1827" s="9"/>
      <c r="Y1827" s="9"/>
      <c r="Z1827" s="9"/>
      <c r="AA1827" s="9"/>
      <c r="AB1827" s="9"/>
      <c r="AC1827" s="9"/>
      <c r="AD1827" s="9"/>
      <c r="AE1827" s="9"/>
      <c r="AF1827" s="9"/>
      <c r="AG1827" s="9"/>
      <c r="AH1827" s="9"/>
      <c r="AI1827" s="9"/>
      <c r="AJ1827" s="9"/>
      <c r="AK1827" s="9"/>
      <c r="AL1827" s="9"/>
      <c r="AM1827" s="69"/>
      <c r="AN1827" s="9"/>
      <c r="AO1827" s="69" t="s">
        <v>612</v>
      </c>
      <c r="AP1827" s="210"/>
      <c r="AQ1827" s="211"/>
      <c r="AR1827" s="211"/>
      <c r="AS1827" s="211"/>
      <c r="AT1827" s="211"/>
      <c r="AU1827" s="211"/>
      <c r="AV1827" s="211"/>
      <c r="AW1827" s="9"/>
      <c r="AX1827" s="9"/>
      <c r="AY1827" s="9"/>
      <c r="AZ1827" s="9"/>
      <c r="BA1827" s="120"/>
      <c r="BB1827" s="69"/>
      <c r="BC1827" s="9"/>
      <c r="BD1827" s="9"/>
      <c r="BE1827" s="9"/>
      <c r="BF1827" s="9"/>
      <c r="BG1827" s="9"/>
      <c r="BH1827" s="9"/>
      <c r="BI1827" s="9"/>
      <c r="BJ1827" s="9"/>
      <c r="BK1827" s="9"/>
      <c r="BL1827" s="9"/>
      <c r="BM1827" s="9"/>
      <c r="BN1827" s="9"/>
      <c r="BO1827" s="9"/>
      <c r="BP1827" s="9"/>
      <c r="BQ1827" s="9"/>
      <c r="BR1827" s="9"/>
      <c r="BS1827" s="9"/>
      <c r="BT1827" s="9"/>
      <c r="BU1827" s="9"/>
      <c r="BV1827" s="9"/>
      <c r="BW1827" s="9"/>
      <c r="BX1827" s="9"/>
      <c r="BY1827" s="9"/>
      <c r="BZ1827" s="9"/>
      <c r="CA1827" s="9"/>
      <c r="CB1827" s="9"/>
      <c r="CC1827" s="9"/>
      <c r="CD1827" s="9"/>
      <c r="CE1827" s="9"/>
      <c r="CF1827" s="9"/>
      <c r="CG1827" s="9"/>
      <c r="CH1827" s="9"/>
      <c r="CI1827" s="9"/>
      <c r="CJ1827" s="9"/>
      <c r="CK1827" s="9"/>
      <c r="CL1827" s="9"/>
      <c r="CM1827" s="9"/>
      <c r="CN1827" s="9"/>
      <c r="CO1827" s="9"/>
      <c r="CP1827" s="9"/>
    </row>
    <row r="1828" spans="1:94" x14ac:dyDescent="0.25">
      <c r="A1828" s="9" t="s">
        <v>4917</v>
      </c>
      <c r="B1828" s="9" t="s">
        <v>4918</v>
      </c>
      <c r="C1828" s="9"/>
      <c r="D1828" s="9"/>
      <c r="E1828" s="9"/>
      <c r="F1828" s="9"/>
      <c r="G1828" s="9"/>
      <c r="H1828" s="9"/>
      <c r="I1828" s="9"/>
      <c r="J1828" s="9"/>
      <c r="K1828" s="9"/>
      <c r="L1828" s="9"/>
      <c r="M1828" s="9"/>
      <c r="N1828" s="9"/>
      <c r="O1828" s="9"/>
      <c r="P1828" s="9"/>
      <c r="Q1828" s="9"/>
      <c r="R1828" s="9"/>
      <c r="S1828" s="9"/>
      <c r="T1828" s="9"/>
      <c r="U1828" s="9"/>
      <c r="V1828" s="9"/>
      <c r="W1828" s="9"/>
      <c r="X1828" s="9"/>
      <c r="Y1828" s="9"/>
      <c r="Z1828" s="9"/>
      <c r="AA1828" s="9"/>
      <c r="AB1828" s="9"/>
      <c r="AC1828" s="9"/>
      <c r="AD1828" s="9"/>
      <c r="AE1828" s="9"/>
      <c r="AF1828" s="9"/>
      <c r="AG1828" s="9"/>
      <c r="AH1828" s="9"/>
      <c r="AI1828" s="9"/>
      <c r="AJ1828" s="9"/>
      <c r="AK1828" s="9"/>
      <c r="AL1828" s="9"/>
      <c r="AM1828" s="69"/>
      <c r="AN1828" s="9"/>
      <c r="AO1828" s="69" t="s">
        <v>4893</v>
      </c>
      <c r="AP1828" s="210"/>
      <c r="AQ1828" s="211"/>
      <c r="AR1828" s="211"/>
      <c r="AS1828" s="211"/>
      <c r="AT1828" s="211"/>
      <c r="AU1828" s="211"/>
      <c r="AV1828" s="211"/>
      <c r="AW1828" s="9"/>
      <c r="AX1828" s="9"/>
      <c r="AY1828" s="9"/>
      <c r="AZ1828" s="9"/>
      <c r="BA1828" s="120"/>
      <c r="BB1828" s="69"/>
      <c r="BC1828" s="9"/>
      <c r="BD1828" s="9"/>
      <c r="BE1828" s="9"/>
      <c r="BF1828" s="9"/>
      <c r="BG1828" s="9"/>
      <c r="BH1828" s="9"/>
      <c r="BI1828" s="9"/>
      <c r="BJ1828" s="9"/>
      <c r="BK1828" s="9"/>
      <c r="BL1828" s="9"/>
      <c r="BM1828" s="9"/>
      <c r="BN1828" s="9"/>
      <c r="BO1828" s="9"/>
      <c r="BP1828" s="9"/>
      <c r="BQ1828" s="9"/>
      <c r="BR1828" s="9"/>
      <c r="BS1828" s="9"/>
      <c r="BT1828" s="9"/>
      <c r="BU1828" s="9"/>
      <c r="BV1828" s="9"/>
      <c r="BW1828" s="9"/>
      <c r="BX1828" s="9"/>
      <c r="BY1828" s="9"/>
      <c r="BZ1828" s="9"/>
      <c r="CA1828" s="9"/>
      <c r="CB1828" s="9"/>
      <c r="CC1828" s="9"/>
      <c r="CD1828" s="9"/>
      <c r="CE1828" s="9"/>
      <c r="CF1828" s="9"/>
      <c r="CG1828" s="9"/>
      <c r="CH1828" s="9"/>
      <c r="CI1828" s="9"/>
      <c r="CJ1828" s="9"/>
      <c r="CK1828" s="9"/>
      <c r="CL1828" s="9"/>
      <c r="CM1828" s="9"/>
      <c r="CN1828" s="9"/>
      <c r="CO1828" s="9"/>
      <c r="CP1828" s="9"/>
    </row>
    <row r="1829" spans="1:94" x14ac:dyDescent="0.25">
      <c r="A1829" s="9" t="s">
        <v>4941</v>
      </c>
      <c r="B1829" s="9" t="s">
        <v>4942</v>
      </c>
      <c r="C1829" s="9"/>
      <c r="D1829" s="9"/>
      <c r="E1829" s="9"/>
      <c r="F1829" s="9"/>
      <c r="G1829" s="9"/>
      <c r="H1829" s="9"/>
      <c r="I1829" s="9"/>
      <c r="J1829" s="9"/>
      <c r="K1829" s="9"/>
      <c r="L1829" s="9"/>
      <c r="M1829" s="9"/>
      <c r="N1829" s="9"/>
      <c r="O1829" s="9"/>
      <c r="P1829" s="9"/>
      <c r="Q1829" s="9"/>
      <c r="R1829" s="9"/>
      <c r="S1829" s="9"/>
      <c r="T1829" s="9"/>
      <c r="U1829" s="9"/>
      <c r="V1829" s="9"/>
      <c r="W1829" s="9"/>
      <c r="X1829" s="9"/>
      <c r="Y1829" s="9"/>
      <c r="Z1829" s="9"/>
      <c r="AA1829" s="9"/>
      <c r="AB1829" s="9"/>
      <c r="AC1829" s="9"/>
      <c r="AD1829" s="9"/>
      <c r="AE1829" s="9"/>
      <c r="AF1829" s="9"/>
      <c r="AG1829" s="9"/>
      <c r="AH1829" s="9"/>
      <c r="AI1829" s="9"/>
      <c r="AJ1829" s="9"/>
      <c r="AK1829" s="9"/>
      <c r="AL1829" s="9"/>
      <c r="AM1829" s="69"/>
      <c r="AN1829" s="9"/>
      <c r="AO1829" s="69" t="s">
        <v>4893</v>
      </c>
      <c r="AP1829" s="210"/>
      <c r="AQ1829" s="211"/>
      <c r="AR1829" s="211"/>
      <c r="AS1829" s="211"/>
      <c r="AT1829" s="211"/>
      <c r="AU1829" s="211"/>
      <c r="AV1829" s="211"/>
      <c r="AW1829" s="9"/>
      <c r="AX1829" s="9"/>
      <c r="AY1829" s="9"/>
      <c r="AZ1829" s="9"/>
      <c r="BA1829" s="120"/>
      <c r="BB1829" s="69"/>
      <c r="BC1829" s="9"/>
      <c r="BD1829" s="9"/>
      <c r="BE1829" s="9"/>
      <c r="BF1829" s="9"/>
      <c r="BG1829" s="9"/>
      <c r="BH1829" s="9"/>
      <c r="BI1829" s="9"/>
      <c r="BJ1829" s="9"/>
      <c r="BK1829" s="9"/>
      <c r="BL1829" s="9"/>
      <c r="BM1829" s="9"/>
      <c r="BN1829" s="9"/>
      <c r="BO1829" s="9"/>
      <c r="BP1829" s="9"/>
      <c r="BQ1829" s="9"/>
      <c r="BR1829" s="9"/>
      <c r="BS1829" s="9"/>
      <c r="BT1829" s="9"/>
      <c r="BU1829" s="9"/>
      <c r="BV1829" s="9"/>
      <c r="BW1829" s="9"/>
      <c r="BX1829" s="9"/>
      <c r="BY1829" s="9"/>
      <c r="BZ1829" s="9"/>
      <c r="CA1829" s="9"/>
      <c r="CB1829" s="9"/>
      <c r="CC1829" s="9"/>
      <c r="CD1829" s="9"/>
      <c r="CE1829" s="9"/>
      <c r="CF1829" s="9"/>
      <c r="CG1829" s="9"/>
      <c r="CH1829" s="9"/>
      <c r="CI1829" s="9"/>
      <c r="CJ1829" s="9"/>
      <c r="CK1829" s="9"/>
      <c r="CL1829" s="9"/>
      <c r="CM1829" s="9"/>
      <c r="CN1829" s="9"/>
      <c r="CO1829" s="9"/>
      <c r="CP1829" s="9"/>
    </row>
    <row r="1830" spans="1:94" ht="15.75" x14ac:dyDescent="0.25">
      <c r="A1830" s="126" t="s">
        <v>4943</v>
      </c>
      <c r="B1830" s="9" t="s">
        <v>4944</v>
      </c>
      <c r="C1830" s="9"/>
      <c r="D1830" s="9"/>
      <c r="E1830" s="9"/>
      <c r="F1830" s="9"/>
      <c r="G1830" s="9"/>
      <c r="H1830" s="9"/>
      <c r="I1830" s="9"/>
      <c r="J1830" s="9"/>
      <c r="K1830" s="9"/>
      <c r="L1830" s="9"/>
      <c r="M1830" s="9"/>
      <c r="N1830" s="9"/>
      <c r="O1830" s="9"/>
      <c r="P1830" s="9"/>
      <c r="Q1830" s="9"/>
      <c r="R1830" s="9"/>
      <c r="S1830" s="9"/>
      <c r="T1830" s="9"/>
      <c r="U1830" s="9"/>
      <c r="V1830" s="9"/>
      <c r="W1830" s="9"/>
      <c r="X1830" s="9"/>
      <c r="Y1830" s="9"/>
      <c r="Z1830" s="9"/>
      <c r="AA1830" s="9"/>
      <c r="AB1830" s="9"/>
      <c r="AC1830" s="9"/>
      <c r="AD1830" s="9"/>
      <c r="AE1830" s="9"/>
      <c r="AF1830" s="9"/>
      <c r="AG1830" s="9"/>
      <c r="AH1830" s="9"/>
      <c r="AI1830" s="9"/>
      <c r="AJ1830" s="9"/>
      <c r="AK1830" s="9"/>
      <c r="AL1830" s="9"/>
      <c r="AM1830" s="69"/>
      <c r="AN1830" s="9"/>
      <c r="AO1830" s="69" t="s">
        <v>4896</v>
      </c>
      <c r="AP1830" s="210"/>
      <c r="AQ1830" s="211"/>
      <c r="AR1830" s="211"/>
      <c r="AS1830" s="211"/>
      <c r="AT1830" s="211"/>
      <c r="AU1830" s="211"/>
      <c r="AV1830" s="211"/>
      <c r="AW1830" s="9"/>
      <c r="AX1830" s="9"/>
      <c r="AY1830" s="9"/>
      <c r="AZ1830" s="9"/>
      <c r="BA1830" s="120"/>
      <c r="BB1830" s="69"/>
      <c r="BC1830" s="9"/>
      <c r="BD1830" s="9"/>
      <c r="BE1830" s="9"/>
      <c r="BF1830" s="9"/>
      <c r="BG1830" s="9"/>
      <c r="BH1830" s="9"/>
      <c r="BI1830" s="9"/>
      <c r="BJ1830" s="9"/>
      <c r="BK1830" s="9"/>
      <c r="BL1830" s="9"/>
      <c r="BM1830" s="9"/>
      <c r="BN1830" s="9"/>
      <c r="BO1830" s="9"/>
      <c r="BP1830" s="9"/>
      <c r="BQ1830" s="9"/>
      <c r="BR1830" s="9"/>
      <c r="BS1830" s="9"/>
      <c r="BT1830" s="9"/>
      <c r="BU1830" s="9"/>
      <c r="BV1830" s="9"/>
      <c r="BW1830" s="9"/>
      <c r="BX1830" s="9"/>
      <c r="BY1830" s="9"/>
      <c r="BZ1830" s="9"/>
      <c r="CA1830" s="9"/>
      <c r="CB1830" s="9"/>
      <c r="CC1830" s="9"/>
      <c r="CD1830" s="9"/>
      <c r="CE1830" s="9"/>
      <c r="CF1830" s="9"/>
      <c r="CG1830" s="9"/>
      <c r="CH1830" s="9"/>
      <c r="CI1830" s="9"/>
      <c r="CJ1830" s="9"/>
      <c r="CK1830" s="9"/>
      <c r="CL1830" s="9"/>
      <c r="CM1830" s="9"/>
      <c r="CN1830" s="9"/>
      <c r="CO1830" s="9"/>
      <c r="CP1830" s="9"/>
    </row>
    <row r="1831" spans="1:94" ht="15.75" x14ac:dyDescent="0.25">
      <c r="A1831" s="126" t="s">
        <v>4945</v>
      </c>
      <c r="B1831" s="9" t="s">
        <v>4946</v>
      </c>
      <c r="C1831" s="9"/>
      <c r="D1831" s="9"/>
      <c r="E1831" s="9"/>
      <c r="F1831" s="9"/>
      <c r="G1831" s="9"/>
      <c r="H1831" s="9"/>
      <c r="I1831" s="9"/>
      <c r="J1831" s="9"/>
      <c r="K1831" s="9"/>
      <c r="L1831" s="9"/>
      <c r="M1831" s="9"/>
      <c r="N1831" s="9"/>
      <c r="O1831" s="9"/>
      <c r="P1831" s="9"/>
      <c r="Q1831" s="9"/>
      <c r="R1831" s="9"/>
      <c r="S1831" s="9"/>
      <c r="T1831" s="9"/>
      <c r="U1831" s="9"/>
      <c r="V1831" s="9"/>
      <c r="W1831" s="9"/>
      <c r="X1831" s="9"/>
      <c r="Y1831" s="9"/>
      <c r="Z1831" s="9"/>
      <c r="AA1831" s="9"/>
      <c r="AB1831" s="9"/>
      <c r="AC1831" s="9"/>
      <c r="AD1831" s="9"/>
      <c r="AE1831" s="9"/>
      <c r="AF1831" s="9"/>
      <c r="AG1831" s="9"/>
      <c r="AH1831" s="9"/>
      <c r="AI1831" s="9"/>
      <c r="AJ1831" s="9"/>
      <c r="AK1831" s="9"/>
      <c r="AL1831" s="9"/>
      <c r="AM1831" s="69"/>
      <c r="AN1831" s="9"/>
      <c r="AO1831" s="69" t="s">
        <v>4896</v>
      </c>
      <c r="AP1831" s="210"/>
      <c r="AQ1831" s="211"/>
      <c r="AR1831" s="211"/>
      <c r="AS1831" s="211"/>
      <c r="AT1831" s="211"/>
      <c r="AU1831" s="211"/>
      <c r="AV1831" s="211"/>
      <c r="AW1831" s="9"/>
      <c r="AX1831" s="9"/>
      <c r="AY1831" s="9"/>
      <c r="AZ1831" s="9"/>
      <c r="BA1831" s="120"/>
      <c r="BB1831" s="69"/>
      <c r="BC1831" s="9"/>
      <c r="BD1831" s="9"/>
      <c r="BE1831" s="9"/>
      <c r="BF1831" s="9"/>
      <c r="BG1831" s="9"/>
      <c r="BH1831" s="9"/>
      <c r="BI1831" s="9"/>
      <c r="BJ1831" s="9"/>
      <c r="BK1831" s="9"/>
      <c r="BL1831" s="9"/>
      <c r="BM1831" s="9"/>
      <c r="BN1831" s="9"/>
      <c r="BO1831" s="9"/>
      <c r="BP1831" s="9"/>
      <c r="BQ1831" s="9"/>
      <c r="BR1831" s="9"/>
      <c r="BS1831" s="9"/>
      <c r="BT1831" s="9"/>
      <c r="BU1831" s="9"/>
      <c r="BV1831" s="9"/>
      <c r="BW1831" s="9"/>
      <c r="BX1831" s="9"/>
      <c r="BY1831" s="9"/>
      <c r="BZ1831" s="9"/>
      <c r="CA1831" s="9"/>
      <c r="CB1831" s="9"/>
      <c r="CC1831" s="9"/>
      <c r="CD1831" s="9"/>
      <c r="CE1831" s="9"/>
      <c r="CF1831" s="9"/>
      <c r="CG1831" s="9"/>
      <c r="CH1831" s="9"/>
      <c r="CI1831" s="9"/>
      <c r="CJ1831" s="9"/>
      <c r="CK1831" s="9"/>
      <c r="CL1831" s="9"/>
      <c r="CM1831" s="9"/>
      <c r="CN1831" s="9"/>
      <c r="CO1831" s="9"/>
      <c r="CP1831" s="9"/>
    </row>
    <row r="1832" spans="1:94" ht="30" x14ac:dyDescent="0.25">
      <c r="A1832" s="126" t="s">
        <v>4947</v>
      </c>
      <c r="B1832" s="9" t="s">
        <v>4948</v>
      </c>
      <c r="C1832" s="9"/>
      <c r="D1832" s="9"/>
      <c r="E1832" s="9"/>
      <c r="F1832" s="9"/>
      <c r="G1832" s="9"/>
      <c r="H1832" s="9"/>
      <c r="I1832" s="9"/>
      <c r="J1832" s="9"/>
      <c r="K1832" s="9"/>
      <c r="L1832" s="9"/>
      <c r="M1832" s="9"/>
      <c r="N1832" s="9"/>
      <c r="O1832" s="9"/>
      <c r="P1832" s="9"/>
      <c r="Q1832" s="9"/>
      <c r="R1832" s="9"/>
      <c r="S1832" s="9"/>
      <c r="T1832" s="9"/>
      <c r="U1832" s="9"/>
      <c r="V1832" s="9"/>
      <c r="W1832" s="9"/>
      <c r="X1832" s="9"/>
      <c r="Y1832" s="9"/>
      <c r="Z1832" s="9"/>
      <c r="AA1832" s="9"/>
      <c r="AB1832" s="9"/>
      <c r="AC1832" s="9"/>
      <c r="AD1832" s="9"/>
      <c r="AE1832" s="9"/>
      <c r="AF1832" s="9"/>
      <c r="AG1832" s="9"/>
      <c r="AH1832" s="9"/>
      <c r="AI1832" s="9"/>
      <c r="AJ1832" s="9"/>
      <c r="AK1832" s="9"/>
      <c r="AL1832" s="9"/>
      <c r="AM1832" s="69"/>
      <c r="AN1832" s="9"/>
      <c r="AO1832" s="69" t="s">
        <v>612</v>
      </c>
      <c r="AP1832" s="210"/>
      <c r="AQ1832" s="211"/>
      <c r="AR1832" s="211"/>
      <c r="AS1832" s="211"/>
      <c r="AT1832" s="211"/>
      <c r="AU1832" s="211"/>
      <c r="AV1832" s="211"/>
      <c r="AW1832" s="9"/>
      <c r="AX1832" s="9"/>
      <c r="AY1832" s="9"/>
      <c r="AZ1832" s="9"/>
      <c r="BA1832" s="120"/>
      <c r="BB1832" s="69"/>
      <c r="BC1832" s="9"/>
      <c r="BD1832" s="9"/>
      <c r="BE1832" s="9"/>
      <c r="BF1832" s="9"/>
      <c r="BG1832" s="9"/>
      <c r="BH1832" s="9"/>
      <c r="BI1832" s="9"/>
      <c r="BJ1832" s="9"/>
      <c r="BK1832" s="9"/>
      <c r="BL1832" s="9"/>
      <c r="BM1832" s="9"/>
      <c r="BN1832" s="9"/>
      <c r="BO1832" s="9"/>
      <c r="BP1832" s="9"/>
      <c r="BQ1832" s="9"/>
      <c r="BR1832" s="9"/>
      <c r="BS1832" s="9"/>
      <c r="BT1832" s="9"/>
      <c r="BU1832" s="9"/>
      <c r="BV1832" s="9"/>
      <c r="BW1832" s="9"/>
      <c r="BX1832" s="9"/>
      <c r="BY1832" s="9"/>
      <c r="BZ1832" s="9"/>
      <c r="CA1832" s="9"/>
      <c r="CB1832" s="9"/>
      <c r="CC1832" s="9"/>
      <c r="CD1832" s="9"/>
      <c r="CE1832" s="9"/>
      <c r="CF1832" s="9"/>
      <c r="CG1832" s="9"/>
      <c r="CH1832" s="9"/>
      <c r="CI1832" s="9"/>
      <c r="CJ1832" s="9"/>
      <c r="CK1832" s="9"/>
      <c r="CL1832" s="9"/>
      <c r="CM1832" s="9"/>
      <c r="CN1832" s="9"/>
      <c r="CO1832" s="9"/>
      <c r="CP1832" s="9"/>
    </row>
    <row r="1833" spans="1:94" ht="15.75" x14ac:dyDescent="0.25">
      <c r="A1833" s="126" t="s">
        <v>4949</v>
      </c>
      <c r="B1833" s="9" t="s">
        <v>4950</v>
      </c>
      <c r="C1833" s="9"/>
      <c r="D1833" s="9"/>
      <c r="E1833" s="9"/>
      <c r="F1833" s="9"/>
      <c r="G1833" s="9"/>
      <c r="H1833" s="9"/>
      <c r="I1833" s="9"/>
      <c r="J1833" s="9"/>
      <c r="K1833" s="9"/>
      <c r="L1833" s="9"/>
      <c r="M1833" s="9"/>
      <c r="N1833" s="9"/>
      <c r="O1833" s="9"/>
      <c r="P1833" s="9"/>
      <c r="Q1833" s="9"/>
      <c r="R1833" s="9"/>
      <c r="S1833" s="9"/>
      <c r="T1833" s="9"/>
      <c r="U1833" s="9"/>
      <c r="V1833" s="9"/>
      <c r="W1833" s="9"/>
      <c r="X1833" s="9"/>
      <c r="Y1833" s="9"/>
      <c r="Z1833" s="9"/>
      <c r="AA1833" s="9"/>
      <c r="AB1833" s="9"/>
      <c r="AC1833" s="9"/>
      <c r="AD1833" s="9"/>
      <c r="AE1833" s="9"/>
      <c r="AF1833" s="9"/>
      <c r="AG1833" s="9"/>
      <c r="AH1833" s="9"/>
      <c r="AI1833" s="9"/>
      <c r="AJ1833" s="9"/>
      <c r="AK1833" s="9"/>
      <c r="AL1833" s="9"/>
      <c r="AM1833" s="69"/>
      <c r="AN1833" s="9"/>
      <c r="AO1833" s="69" t="s">
        <v>4893</v>
      </c>
      <c r="AP1833" s="210"/>
      <c r="AQ1833" s="211"/>
      <c r="AR1833" s="211"/>
      <c r="AS1833" s="211"/>
      <c r="AT1833" s="211"/>
      <c r="AU1833" s="211"/>
      <c r="AV1833" s="211"/>
      <c r="AW1833" s="9"/>
      <c r="AX1833" s="9"/>
      <c r="AY1833" s="9"/>
      <c r="AZ1833" s="9"/>
      <c r="BA1833" s="120"/>
      <c r="BB1833" s="69"/>
      <c r="BC1833" s="9"/>
      <c r="BD1833" s="9"/>
      <c r="BE1833" s="9"/>
      <c r="BF1833" s="9"/>
      <c r="BG1833" s="9"/>
      <c r="BH1833" s="9"/>
      <c r="BI1833" s="9"/>
      <c r="BJ1833" s="9"/>
      <c r="BK1833" s="9"/>
      <c r="BL1833" s="9"/>
      <c r="BM1833" s="9"/>
      <c r="BN1833" s="9"/>
      <c r="BO1833" s="9"/>
      <c r="BP1833" s="9"/>
      <c r="BQ1833" s="9"/>
      <c r="BR1833" s="9"/>
      <c r="BS1833" s="9"/>
      <c r="BT1833" s="9"/>
      <c r="BU1833" s="9"/>
      <c r="BV1833" s="9"/>
      <c r="BW1833" s="9"/>
      <c r="BX1833" s="9"/>
      <c r="BY1833" s="9"/>
      <c r="BZ1833" s="9"/>
      <c r="CA1833" s="9"/>
      <c r="CB1833" s="9"/>
      <c r="CC1833" s="9"/>
      <c r="CD1833" s="9"/>
      <c r="CE1833" s="9"/>
      <c r="CF1833" s="9"/>
      <c r="CG1833" s="9"/>
      <c r="CH1833" s="9"/>
      <c r="CI1833" s="9"/>
      <c r="CJ1833" s="9"/>
      <c r="CK1833" s="9"/>
      <c r="CL1833" s="9"/>
      <c r="CM1833" s="9"/>
      <c r="CN1833" s="9"/>
      <c r="CO1833" s="9"/>
      <c r="CP1833" s="9"/>
    </row>
    <row r="1834" spans="1:94" ht="30" x14ac:dyDescent="0.25">
      <c r="A1834" s="126" t="s">
        <v>4951</v>
      </c>
      <c r="B1834" s="9" t="s">
        <v>4952</v>
      </c>
      <c r="C1834" s="9"/>
      <c r="D1834" s="9"/>
      <c r="E1834" s="9"/>
      <c r="F1834" s="9"/>
      <c r="G1834" s="9"/>
      <c r="H1834" s="9"/>
      <c r="I1834" s="9"/>
      <c r="J1834" s="9"/>
      <c r="K1834" s="9"/>
      <c r="L1834" s="9"/>
      <c r="M1834" s="9"/>
      <c r="N1834" s="9"/>
      <c r="O1834" s="9"/>
      <c r="P1834" s="9"/>
      <c r="Q1834" s="9"/>
      <c r="R1834" s="9"/>
      <c r="S1834" s="9"/>
      <c r="T1834" s="9"/>
      <c r="U1834" s="9"/>
      <c r="V1834" s="9"/>
      <c r="W1834" s="9"/>
      <c r="X1834" s="9"/>
      <c r="Y1834" s="9"/>
      <c r="Z1834" s="9"/>
      <c r="AA1834" s="9"/>
      <c r="AB1834" s="9"/>
      <c r="AC1834" s="9"/>
      <c r="AD1834" s="9"/>
      <c r="AE1834" s="9"/>
      <c r="AF1834" s="9"/>
      <c r="AG1834" s="9"/>
      <c r="AH1834" s="9"/>
      <c r="AI1834" s="9"/>
      <c r="AJ1834" s="9"/>
      <c r="AK1834" s="9"/>
      <c r="AL1834" s="9"/>
      <c r="AM1834" s="69"/>
      <c r="AN1834" s="9"/>
      <c r="AO1834" s="69" t="s">
        <v>612</v>
      </c>
      <c r="AP1834" s="210"/>
      <c r="AQ1834" s="211"/>
      <c r="AR1834" s="211"/>
      <c r="AS1834" s="211"/>
      <c r="AT1834" s="211"/>
      <c r="AU1834" s="211"/>
      <c r="AV1834" s="211"/>
      <c r="AW1834" s="9"/>
      <c r="AX1834" s="9"/>
      <c r="AY1834" s="9"/>
      <c r="AZ1834" s="9"/>
      <c r="BA1834" s="120"/>
      <c r="BB1834" s="69"/>
      <c r="BC1834" s="9"/>
      <c r="BD1834" s="9"/>
      <c r="BE1834" s="9"/>
      <c r="BF1834" s="9"/>
      <c r="BG1834" s="9"/>
      <c r="BH1834" s="9"/>
      <c r="BI1834" s="9"/>
      <c r="BJ1834" s="9"/>
      <c r="BK1834" s="9"/>
      <c r="BL1834" s="9"/>
      <c r="BM1834" s="9"/>
      <c r="BN1834" s="9"/>
      <c r="BO1834" s="9"/>
      <c r="BP1834" s="9"/>
      <c r="BQ1834" s="9"/>
      <c r="BR1834" s="9"/>
      <c r="BS1834" s="9"/>
      <c r="BT1834" s="9"/>
      <c r="BU1834" s="9"/>
      <c r="BV1834" s="9"/>
      <c r="BW1834" s="9"/>
      <c r="BX1834" s="9"/>
      <c r="BY1834" s="9"/>
      <c r="BZ1834" s="9"/>
      <c r="CA1834" s="9"/>
      <c r="CB1834" s="9"/>
      <c r="CC1834" s="9"/>
      <c r="CD1834" s="9"/>
      <c r="CE1834" s="9"/>
      <c r="CF1834" s="9"/>
      <c r="CG1834" s="9"/>
      <c r="CH1834" s="9"/>
      <c r="CI1834" s="9"/>
      <c r="CJ1834" s="9"/>
      <c r="CK1834" s="9"/>
      <c r="CL1834" s="9"/>
      <c r="CM1834" s="9"/>
      <c r="CN1834" s="9"/>
      <c r="CO1834" s="9"/>
      <c r="CP1834" s="9"/>
    </row>
    <row r="1835" spans="1:94" ht="15.75" x14ac:dyDescent="0.25">
      <c r="A1835" s="126" t="s">
        <v>4953</v>
      </c>
      <c r="B1835" s="9" t="s">
        <v>4954</v>
      </c>
      <c r="C1835" s="9"/>
      <c r="D1835" s="9"/>
      <c r="E1835" s="9"/>
      <c r="F1835" s="9"/>
      <c r="G1835" s="9"/>
      <c r="H1835" s="9"/>
      <c r="I1835" s="9"/>
      <c r="J1835" s="9"/>
      <c r="K1835" s="9"/>
      <c r="L1835" s="9"/>
      <c r="M1835" s="9"/>
      <c r="N1835" s="9"/>
      <c r="O1835" s="9"/>
      <c r="P1835" s="9"/>
      <c r="Q1835" s="9"/>
      <c r="R1835" s="9"/>
      <c r="S1835" s="9"/>
      <c r="T1835" s="9"/>
      <c r="U1835" s="9"/>
      <c r="V1835" s="9"/>
      <c r="W1835" s="9"/>
      <c r="X1835" s="9"/>
      <c r="Y1835" s="9"/>
      <c r="Z1835" s="9"/>
      <c r="AA1835" s="9"/>
      <c r="AB1835" s="9"/>
      <c r="AC1835" s="9"/>
      <c r="AD1835" s="9"/>
      <c r="AE1835" s="9"/>
      <c r="AF1835" s="9"/>
      <c r="AG1835" s="9"/>
      <c r="AH1835" s="9"/>
      <c r="AI1835" s="9"/>
      <c r="AJ1835" s="9"/>
      <c r="AK1835" s="9"/>
      <c r="AL1835" s="9"/>
      <c r="AM1835" s="69"/>
      <c r="AN1835" s="9"/>
      <c r="AO1835" s="69" t="s">
        <v>4893</v>
      </c>
      <c r="AP1835" s="210"/>
      <c r="AQ1835" s="211"/>
      <c r="AR1835" s="211"/>
      <c r="AS1835" s="211"/>
      <c r="AT1835" s="211"/>
      <c r="AU1835" s="211"/>
      <c r="AV1835" s="211"/>
      <c r="AW1835" s="9"/>
      <c r="AX1835" s="9"/>
      <c r="AY1835" s="9"/>
      <c r="AZ1835" s="9"/>
      <c r="BA1835" s="120"/>
      <c r="BB1835" s="69"/>
      <c r="BC1835" s="9"/>
      <c r="BD1835" s="9"/>
      <c r="BE1835" s="9"/>
      <c r="BF1835" s="9"/>
      <c r="BG1835" s="9"/>
      <c r="BH1835" s="9"/>
      <c r="BI1835" s="9"/>
      <c r="BJ1835" s="9"/>
      <c r="BK1835" s="9"/>
      <c r="BL1835" s="9"/>
      <c r="BM1835" s="9"/>
      <c r="BN1835" s="9"/>
      <c r="BO1835" s="9"/>
      <c r="BP1835" s="9"/>
      <c r="BQ1835" s="9"/>
      <c r="BR1835" s="9"/>
      <c r="BS1835" s="9"/>
      <c r="BT1835" s="9"/>
      <c r="BU1835" s="9"/>
      <c r="BV1835" s="9"/>
      <c r="BW1835" s="9"/>
      <c r="BX1835" s="9"/>
      <c r="BY1835" s="9"/>
      <c r="BZ1835" s="9"/>
      <c r="CA1835" s="9"/>
      <c r="CB1835" s="9"/>
      <c r="CC1835" s="9"/>
      <c r="CD1835" s="9"/>
      <c r="CE1835" s="9"/>
      <c r="CF1835" s="9"/>
      <c r="CG1835" s="9"/>
      <c r="CH1835" s="9"/>
      <c r="CI1835" s="9"/>
      <c r="CJ1835" s="9"/>
      <c r="CK1835" s="9"/>
      <c r="CL1835" s="9"/>
      <c r="CM1835" s="9"/>
      <c r="CN1835" s="9"/>
      <c r="CO1835" s="9"/>
      <c r="CP1835" s="9"/>
    </row>
    <row r="1836" spans="1:94" ht="15.75" x14ac:dyDescent="0.25">
      <c r="A1836" s="126" t="s">
        <v>4955</v>
      </c>
      <c r="B1836" s="9" t="s">
        <v>4956</v>
      </c>
      <c r="C1836" s="9"/>
      <c r="D1836" s="9"/>
      <c r="E1836" s="9"/>
      <c r="F1836" s="9"/>
      <c r="G1836" s="9"/>
      <c r="H1836" s="9"/>
      <c r="I1836" s="9"/>
      <c r="J1836" s="9"/>
      <c r="K1836" s="9"/>
      <c r="L1836" s="9"/>
      <c r="M1836" s="9"/>
      <c r="N1836" s="9"/>
      <c r="O1836" s="9"/>
      <c r="P1836" s="9"/>
      <c r="Q1836" s="9"/>
      <c r="R1836" s="9"/>
      <c r="S1836" s="9"/>
      <c r="T1836" s="9"/>
      <c r="U1836" s="9"/>
      <c r="V1836" s="9"/>
      <c r="W1836" s="9"/>
      <c r="X1836" s="9"/>
      <c r="Y1836" s="9"/>
      <c r="Z1836" s="9"/>
      <c r="AA1836" s="9"/>
      <c r="AB1836" s="9"/>
      <c r="AC1836" s="9"/>
      <c r="AD1836" s="9"/>
      <c r="AE1836" s="9"/>
      <c r="AF1836" s="9"/>
      <c r="AG1836" s="9"/>
      <c r="AH1836" s="9"/>
      <c r="AI1836" s="9"/>
      <c r="AJ1836" s="9"/>
      <c r="AK1836" s="9"/>
      <c r="AL1836" s="9"/>
      <c r="AM1836" s="69"/>
      <c r="AN1836" s="9"/>
      <c r="AO1836" s="69" t="s">
        <v>4893</v>
      </c>
      <c r="AP1836" s="210"/>
      <c r="AQ1836" s="211"/>
      <c r="AR1836" s="211"/>
      <c r="AS1836" s="211"/>
      <c r="AT1836" s="211"/>
      <c r="AU1836" s="211"/>
      <c r="AV1836" s="211"/>
      <c r="AW1836" s="9"/>
      <c r="AX1836" s="9"/>
      <c r="AY1836" s="9"/>
      <c r="AZ1836" s="9"/>
      <c r="BA1836" s="120"/>
      <c r="BB1836" s="69"/>
      <c r="BC1836" s="9"/>
      <c r="BD1836" s="9"/>
      <c r="BE1836" s="9"/>
      <c r="BF1836" s="9"/>
      <c r="BG1836" s="9"/>
      <c r="BH1836" s="9"/>
      <c r="BI1836" s="9"/>
      <c r="BJ1836" s="9"/>
      <c r="BK1836" s="9"/>
      <c r="BL1836" s="9"/>
      <c r="BM1836" s="9"/>
      <c r="BN1836" s="9"/>
      <c r="BO1836" s="9"/>
      <c r="BP1836" s="9"/>
      <c r="BQ1836" s="9"/>
      <c r="BR1836" s="9"/>
      <c r="BS1836" s="9"/>
      <c r="BT1836" s="9"/>
      <c r="BU1836" s="9"/>
      <c r="BV1836" s="9"/>
      <c r="BW1836" s="9"/>
      <c r="BX1836" s="9"/>
      <c r="BY1836" s="9"/>
      <c r="BZ1836" s="9"/>
      <c r="CA1836" s="9"/>
      <c r="CB1836" s="9"/>
      <c r="CC1836" s="9"/>
      <c r="CD1836" s="9"/>
      <c r="CE1836" s="9"/>
      <c r="CF1836" s="9"/>
      <c r="CG1836" s="9"/>
      <c r="CH1836" s="9"/>
      <c r="CI1836" s="9"/>
      <c r="CJ1836" s="9"/>
      <c r="CK1836" s="9"/>
      <c r="CL1836" s="9"/>
      <c r="CM1836" s="9"/>
      <c r="CN1836" s="9"/>
      <c r="CO1836" s="9"/>
      <c r="CP1836" s="9"/>
    </row>
    <row r="1837" spans="1:94" ht="15.75" x14ac:dyDescent="0.25">
      <c r="A1837" s="126" t="s">
        <v>4957</v>
      </c>
      <c r="B1837" s="9" t="s">
        <v>4958</v>
      </c>
      <c r="C1837" s="9"/>
      <c r="D1837" s="9"/>
      <c r="E1837" s="9"/>
      <c r="F1837" s="9"/>
      <c r="G1837" s="9"/>
      <c r="H1837" s="9"/>
      <c r="I1837" s="9"/>
      <c r="J1837" s="9"/>
      <c r="K1837" s="9"/>
      <c r="L1837" s="9"/>
      <c r="M1837" s="9"/>
      <c r="N1837" s="9"/>
      <c r="O1837" s="9"/>
      <c r="P1837" s="9"/>
      <c r="Q1837" s="9"/>
      <c r="R1837" s="9"/>
      <c r="S1837" s="9"/>
      <c r="T1837" s="9"/>
      <c r="U1837" s="9"/>
      <c r="V1837" s="9"/>
      <c r="W1837" s="9"/>
      <c r="X1837" s="9"/>
      <c r="Y1837" s="9"/>
      <c r="Z1837" s="9"/>
      <c r="AA1837" s="9"/>
      <c r="AB1837" s="9"/>
      <c r="AC1837" s="9"/>
      <c r="AD1837" s="9"/>
      <c r="AE1837" s="9"/>
      <c r="AF1837" s="9"/>
      <c r="AG1837" s="9"/>
      <c r="AH1837" s="9"/>
      <c r="AI1837" s="9"/>
      <c r="AJ1837" s="9"/>
      <c r="AK1837" s="9"/>
      <c r="AL1837" s="9"/>
      <c r="AM1837" s="69"/>
      <c r="AN1837" s="9"/>
      <c r="AO1837" s="69" t="s">
        <v>4893</v>
      </c>
      <c r="AP1837" s="210"/>
      <c r="AQ1837" s="211"/>
      <c r="AR1837" s="211"/>
      <c r="AS1837" s="211"/>
      <c r="AT1837" s="211"/>
      <c r="AU1837" s="211"/>
      <c r="AV1837" s="211"/>
      <c r="AW1837" s="9"/>
      <c r="AX1837" s="9"/>
      <c r="AY1837" s="9"/>
      <c r="AZ1837" s="9"/>
      <c r="BA1837" s="120"/>
      <c r="BB1837" s="69"/>
      <c r="BC1837" s="9"/>
      <c r="BD1837" s="9"/>
      <c r="BE1837" s="9"/>
      <c r="BF1837" s="9"/>
      <c r="BG1837" s="9"/>
      <c r="BH1837" s="9"/>
      <c r="BI1837" s="9"/>
      <c r="BJ1837" s="9"/>
      <c r="BK1837" s="9"/>
      <c r="BL1837" s="9"/>
      <c r="BM1837" s="9"/>
      <c r="BN1837" s="9"/>
      <c r="BO1837" s="9"/>
      <c r="BP1837" s="9"/>
      <c r="BQ1837" s="9"/>
      <c r="BR1837" s="9"/>
      <c r="BS1837" s="9"/>
      <c r="BT1837" s="9"/>
      <c r="BU1837" s="9"/>
      <c r="BV1837" s="9"/>
      <c r="BW1837" s="9"/>
      <c r="BX1837" s="9"/>
      <c r="BY1837" s="9"/>
      <c r="BZ1837" s="9"/>
      <c r="CA1837" s="9"/>
      <c r="CB1837" s="9"/>
      <c r="CC1837" s="9"/>
      <c r="CD1837" s="9"/>
      <c r="CE1837" s="9"/>
      <c r="CF1837" s="9"/>
      <c r="CG1837" s="9"/>
      <c r="CH1837" s="9"/>
      <c r="CI1837" s="9"/>
      <c r="CJ1837" s="9"/>
      <c r="CK1837" s="9"/>
      <c r="CL1837" s="9"/>
      <c r="CM1837" s="9"/>
      <c r="CN1837" s="9"/>
      <c r="CO1837" s="9"/>
      <c r="CP1837" s="9"/>
    </row>
    <row r="1838" spans="1:94" ht="15.75" x14ac:dyDescent="0.25">
      <c r="A1838" s="126" t="s">
        <v>4959</v>
      </c>
      <c r="B1838" s="9" t="s">
        <v>4960</v>
      </c>
      <c r="C1838" s="9"/>
      <c r="D1838" s="9"/>
      <c r="E1838" s="9"/>
      <c r="F1838" s="9"/>
      <c r="G1838" s="9"/>
      <c r="H1838" s="9"/>
      <c r="I1838" s="9"/>
      <c r="J1838" s="9"/>
      <c r="K1838" s="9"/>
      <c r="L1838" s="9"/>
      <c r="M1838" s="9"/>
      <c r="N1838" s="9"/>
      <c r="O1838" s="9"/>
      <c r="P1838" s="9"/>
      <c r="Q1838" s="9"/>
      <c r="R1838" s="9"/>
      <c r="S1838" s="9"/>
      <c r="T1838" s="9"/>
      <c r="U1838" s="9"/>
      <c r="V1838" s="9"/>
      <c r="W1838" s="9"/>
      <c r="X1838" s="9"/>
      <c r="Y1838" s="9"/>
      <c r="Z1838" s="9"/>
      <c r="AA1838" s="9"/>
      <c r="AB1838" s="9"/>
      <c r="AC1838" s="9"/>
      <c r="AD1838" s="9"/>
      <c r="AE1838" s="9"/>
      <c r="AF1838" s="9"/>
      <c r="AG1838" s="9"/>
      <c r="AH1838" s="9"/>
      <c r="AI1838" s="9"/>
      <c r="AJ1838" s="9"/>
      <c r="AK1838" s="9"/>
      <c r="AL1838" s="9"/>
      <c r="AM1838" s="69"/>
      <c r="AN1838" s="9"/>
      <c r="AO1838" s="69" t="s">
        <v>4893</v>
      </c>
      <c r="AP1838" s="210"/>
      <c r="AQ1838" s="211"/>
      <c r="AR1838" s="211"/>
      <c r="AS1838" s="211"/>
      <c r="AT1838" s="211"/>
      <c r="AU1838" s="211"/>
      <c r="AV1838" s="211"/>
      <c r="AW1838" s="9"/>
      <c r="AX1838" s="9"/>
      <c r="AY1838" s="9"/>
      <c r="AZ1838" s="9"/>
      <c r="BA1838" s="120"/>
      <c r="BB1838" s="69"/>
      <c r="BC1838" s="9"/>
      <c r="BD1838" s="9"/>
      <c r="BE1838" s="9"/>
      <c r="BF1838" s="9"/>
      <c r="BG1838" s="9"/>
      <c r="BH1838" s="9"/>
      <c r="BI1838" s="9"/>
      <c r="BJ1838" s="9"/>
      <c r="BK1838" s="9"/>
      <c r="BL1838" s="9"/>
      <c r="BM1838" s="9"/>
      <c r="BN1838" s="9"/>
      <c r="BO1838" s="9"/>
      <c r="BP1838" s="9"/>
      <c r="BQ1838" s="9"/>
      <c r="BR1838" s="9"/>
      <c r="BS1838" s="9"/>
      <c r="BT1838" s="9"/>
      <c r="BU1838" s="9"/>
      <c r="BV1838" s="9"/>
      <c r="BW1838" s="9"/>
      <c r="BX1838" s="9"/>
      <c r="BY1838" s="9"/>
      <c r="BZ1838" s="9"/>
      <c r="CA1838" s="9"/>
      <c r="CB1838" s="9"/>
      <c r="CC1838" s="9"/>
      <c r="CD1838" s="9"/>
      <c r="CE1838" s="9"/>
      <c r="CF1838" s="9"/>
      <c r="CG1838" s="9"/>
      <c r="CH1838" s="9"/>
      <c r="CI1838" s="9"/>
      <c r="CJ1838" s="9"/>
      <c r="CK1838" s="9"/>
      <c r="CL1838" s="9"/>
      <c r="CM1838" s="9"/>
      <c r="CN1838" s="9"/>
      <c r="CO1838" s="9"/>
      <c r="CP1838" s="9"/>
    </row>
    <row r="1839" spans="1:94" ht="30" x14ac:dyDescent="0.25">
      <c r="A1839" s="270" t="s">
        <v>4961</v>
      </c>
      <c r="B1839" s="9" t="s">
        <v>4962</v>
      </c>
      <c r="C1839" s="9"/>
      <c r="D1839" s="9"/>
      <c r="E1839" s="9"/>
      <c r="F1839" s="9"/>
      <c r="G1839" s="9"/>
      <c r="H1839" s="9"/>
      <c r="I1839" s="9"/>
      <c r="J1839" s="9"/>
      <c r="K1839" s="9"/>
      <c r="L1839" s="9"/>
      <c r="M1839" s="9"/>
      <c r="N1839" s="9"/>
      <c r="O1839" s="9"/>
      <c r="P1839" s="9"/>
      <c r="Q1839" s="9"/>
      <c r="R1839" s="9"/>
      <c r="S1839" s="9"/>
      <c r="T1839" s="9"/>
      <c r="U1839" s="9"/>
      <c r="V1839" s="9"/>
      <c r="W1839" s="9"/>
      <c r="X1839" s="9"/>
      <c r="Y1839" s="9"/>
      <c r="Z1839" s="9"/>
      <c r="AA1839" s="9"/>
      <c r="AB1839" s="9"/>
      <c r="AC1839" s="9"/>
      <c r="AD1839" s="9"/>
      <c r="AE1839" s="9"/>
      <c r="AF1839" s="9"/>
      <c r="AG1839" s="9"/>
      <c r="AH1839" s="9"/>
      <c r="AI1839" s="9"/>
      <c r="AJ1839" s="9"/>
      <c r="AK1839" s="9"/>
      <c r="AL1839" s="9"/>
      <c r="AM1839" s="69"/>
      <c r="AN1839" s="9"/>
      <c r="AO1839" s="69" t="s">
        <v>4700</v>
      </c>
      <c r="AP1839" s="210"/>
      <c r="AQ1839" s="211"/>
      <c r="AR1839" s="211"/>
      <c r="AS1839" s="211"/>
      <c r="AT1839" s="211"/>
      <c r="AU1839" s="211"/>
      <c r="AV1839" s="211"/>
      <c r="AW1839" s="9"/>
      <c r="AX1839" s="9"/>
      <c r="AY1839" s="9"/>
      <c r="AZ1839" s="9"/>
      <c r="BA1839" s="120"/>
      <c r="BB1839" s="69"/>
      <c r="BC1839" s="9"/>
      <c r="BD1839" s="9"/>
      <c r="BE1839" s="9"/>
      <c r="BF1839" s="9"/>
      <c r="BG1839" s="9"/>
      <c r="BH1839" s="9"/>
      <c r="BI1839" s="9"/>
      <c r="BJ1839" s="9"/>
      <c r="BK1839" s="9"/>
      <c r="BL1839" s="9"/>
      <c r="BM1839" s="9"/>
      <c r="BN1839" s="9"/>
      <c r="BO1839" s="9"/>
      <c r="BP1839" s="9"/>
      <c r="BQ1839" s="9"/>
      <c r="BR1839" s="9"/>
      <c r="BS1839" s="9"/>
      <c r="BT1839" s="9"/>
      <c r="BU1839" s="9"/>
      <c r="BV1839" s="9"/>
      <c r="BW1839" s="9"/>
      <c r="BX1839" s="9"/>
      <c r="BY1839" s="9"/>
      <c r="BZ1839" s="9"/>
      <c r="CA1839" s="9"/>
      <c r="CB1839" s="9"/>
      <c r="CC1839" s="9"/>
      <c r="CD1839" s="9"/>
      <c r="CE1839" s="9"/>
      <c r="CF1839" s="9"/>
      <c r="CG1839" s="9"/>
      <c r="CH1839" s="9"/>
      <c r="CI1839" s="9"/>
      <c r="CJ1839" s="9"/>
      <c r="CK1839" s="9"/>
      <c r="CL1839" s="9"/>
      <c r="CM1839" s="9"/>
      <c r="CN1839" s="9"/>
      <c r="CO1839" s="9"/>
      <c r="CP1839" s="9"/>
    </row>
    <row r="1840" spans="1:94" ht="30" x14ac:dyDescent="0.25">
      <c r="A1840" s="126" t="s">
        <v>4963</v>
      </c>
      <c r="B1840" s="62" t="s">
        <v>4964</v>
      </c>
      <c r="C1840" s="9"/>
      <c r="D1840" s="9"/>
      <c r="E1840" s="9"/>
      <c r="F1840" s="9"/>
      <c r="G1840" s="9"/>
      <c r="H1840" s="9"/>
      <c r="I1840" s="9"/>
      <c r="J1840" s="9"/>
      <c r="K1840" s="9"/>
      <c r="L1840" s="9"/>
      <c r="M1840" s="9"/>
      <c r="N1840" s="9"/>
      <c r="O1840" s="9"/>
      <c r="P1840" s="9"/>
      <c r="Q1840" s="9"/>
      <c r="R1840" s="9"/>
      <c r="S1840" s="9"/>
      <c r="T1840" s="9"/>
      <c r="U1840" s="9"/>
      <c r="V1840" s="9"/>
      <c r="W1840" s="9"/>
      <c r="X1840" s="9"/>
      <c r="Y1840" s="9"/>
      <c r="Z1840" s="9"/>
      <c r="AA1840" s="9"/>
      <c r="AB1840" s="9"/>
      <c r="AC1840" s="9"/>
      <c r="AD1840" s="9"/>
      <c r="AE1840" s="9"/>
      <c r="AF1840" s="9"/>
      <c r="AG1840" s="9"/>
      <c r="AH1840" s="9"/>
      <c r="AI1840" s="9"/>
      <c r="AJ1840" s="9"/>
      <c r="AK1840" s="9"/>
      <c r="AL1840" s="9"/>
      <c r="AM1840" s="69"/>
      <c r="AN1840" s="9"/>
      <c r="AO1840" s="69" t="s">
        <v>4790</v>
      </c>
      <c r="AP1840" s="210"/>
      <c r="AQ1840" s="211"/>
      <c r="AR1840" s="211"/>
      <c r="AS1840" s="211"/>
      <c r="AT1840" s="211"/>
      <c r="AU1840" s="211"/>
      <c r="AV1840" s="211"/>
      <c r="AW1840" s="9"/>
      <c r="AX1840" s="9"/>
      <c r="AY1840" s="9"/>
      <c r="AZ1840" s="9"/>
      <c r="BA1840" s="120"/>
      <c r="BB1840" s="69"/>
      <c r="BC1840" s="9"/>
      <c r="BD1840" s="9"/>
      <c r="BE1840" s="9"/>
      <c r="BF1840" s="9"/>
      <c r="BG1840" s="9"/>
      <c r="BH1840" s="9"/>
      <c r="BI1840" s="9"/>
      <c r="BJ1840" s="9"/>
      <c r="BK1840" s="9"/>
      <c r="BL1840" s="9"/>
      <c r="BM1840" s="9"/>
      <c r="BN1840" s="9"/>
      <c r="BO1840" s="9"/>
      <c r="BP1840" s="9"/>
      <c r="BQ1840" s="9"/>
      <c r="BR1840" s="9"/>
      <c r="BS1840" s="9"/>
      <c r="BT1840" s="9"/>
      <c r="BU1840" s="9"/>
      <c r="BV1840" s="9"/>
      <c r="BW1840" s="9"/>
      <c r="BX1840" s="9"/>
      <c r="BY1840" s="9"/>
      <c r="BZ1840" s="9"/>
      <c r="CA1840" s="9"/>
      <c r="CB1840" s="9"/>
      <c r="CC1840" s="9"/>
      <c r="CD1840" s="9"/>
      <c r="CE1840" s="9"/>
      <c r="CF1840" s="9"/>
      <c r="CG1840" s="9"/>
      <c r="CH1840" s="9"/>
      <c r="CI1840" s="9"/>
      <c r="CJ1840" s="9"/>
      <c r="CK1840" s="9"/>
      <c r="CL1840" s="9"/>
      <c r="CM1840" s="9"/>
      <c r="CN1840" s="9"/>
      <c r="CO1840" s="9"/>
      <c r="CP1840" s="9"/>
    </row>
    <row r="1841" spans="1:94" ht="30" x14ac:dyDescent="0.25">
      <c r="A1841" s="126" t="s">
        <v>4965</v>
      </c>
      <c r="B1841" s="62" t="s">
        <v>4966</v>
      </c>
      <c r="C1841" s="9"/>
      <c r="D1841" s="9"/>
      <c r="E1841" s="9"/>
      <c r="F1841" s="9"/>
      <c r="G1841" s="9"/>
      <c r="H1841" s="9"/>
      <c r="I1841" s="9"/>
      <c r="J1841" s="9"/>
      <c r="K1841" s="9"/>
      <c r="L1841" s="9"/>
      <c r="M1841" s="9"/>
      <c r="N1841" s="9"/>
      <c r="O1841" s="9"/>
      <c r="P1841" s="9"/>
      <c r="Q1841" s="9"/>
      <c r="R1841" s="9"/>
      <c r="S1841" s="9"/>
      <c r="T1841" s="9"/>
      <c r="U1841" s="9"/>
      <c r="V1841" s="9"/>
      <c r="W1841" s="9"/>
      <c r="X1841" s="9"/>
      <c r="Y1841" s="9"/>
      <c r="Z1841" s="9"/>
      <c r="AA1841" s="9"/>
      <c r="AB1841" s="9"/>
      <c r="AC1841" s="9"/>
      <c r="AD1841" s="9"/>
      <c r="AE1841" s="9"/>
      <c r="AF1841" s="9"/>
      <c r="AG1841" s="9"/>
      <c r="AH1841" s="9"/>
      <c r="AI1841" s="9"/>
      <c r="AJ1841" s="9"/>
      <c r="AK1841" s="9"/>
      <c r="AL1841" s="9"/>
      <c r="AM1841" s="69"/>
      <c r="AN1841" s="9"/>
      <c r="AO1841" s="69" t="s">
        <v>4790</v>
      </c>
      <c r="AP1841" s="210"/>
      <c r="AQ1841" s="211"/>
      <c r="AR1841" s="211"/>
      <c r="AS1841" s="211"/>
      <c r="AT1841" s="211"/>
      <c r="AU1841" s="211"/>
      <c r="AV1841" s="211"/>
      <c r="AW1841" s="9"/>
      <c r="AX1841" s="9"/>
      <c r="AY1841" s="9"/>
      <c r="AZ1841" s="9"/>
      <c r="BA1841" s="120"/>
      <c r="BB1841" s="69"/>
      <c r="BC1841" s="9"/>
      <c r="BD1841" s="9"/>
      <c r="BE1841" s="9"/>
      <c r="BF1841" s="9"/>
      <c r="BG1841" s="9"/>
      <c r="BH1841" s="9"/>
      <c r="BI1841" s="9"/>
      <c r="BJ1841" s="9"/>
      <c r="BK1841" s="9"/>
      <c r="BL1841" s="9"/>
      <c r="BM1841" s="9"/>
      <c r="BN1841" s="9"/>
      <c r="BO1841" s="9"/>
      <c r="BP1841" s="9"/>
      <c r="BQ1841" s="9"/>
      <c r="BR1841" s="9"/>
      <c r="BS1841" s="9"/>
      <c r="BT1841" s="9"/>
      <c r="BU1841" s="9"/>
      <c r="BV1841" s="9"/>
      <c r="BW1841" s="9"/>
      <c r="BX1841" s="9"/>
      <c r="BY1841" s="9"/>
      <c r="BZ1841" s="9"/>
      <c r="CA1841" s="9"/>
      <c r="CB1841" s="9"/>
      <c r="CC1841" s="9"/>
      <c r="CD1841" s="9"/>
      <c r="CE1841" s="9"/>
      <c r="CF1841" s="9"/>
      <c r="CG1841" s="9"/>
      <c r="CH1841" s="9"/>
      <c r="CI1841" s="9"/>
      <c r="CJ1841" s="9"/>
      <c r="CK1841" s="9"/>
      <c r="CL1841" s="9"/>
      <c r="CM1841" s="9"/>
      <c r="CN1841" s="9"/>
      <c r="CO1841" s="9"/>
      <c r="CP1841" s="9"/>
    </row>
    <row r="1842" spans="1:94" ht="30" x14ac:dyDescent="0.25">
      <c r="A1842" s="271" t="s">
        <v>4967</v>
      </c>
      <c r="B1842" s="125" t="s">
        <v>4968</v>
      </c>
      <c r="C1842" s="9"/>
      <c r="D1842" s="9"/>
      <c r="E1842" s="9"/>
      <c r="F1842" s="9"/>
      <c r="G1842" s="9"/>
      <c r="H1842" s="9"/>
      <c r="I1842" s="9"/>
      <c r="J1842" s="9"/>
      <c r="K1842" s="9"/>
      <c r="L1842" s="9"/>
      <c r="M1842" s="9"/>
      <c r="N1842" s="9"/>
      <c r="O1842" s="9"/>
      <c r="P1842" s="9"/>
      <c r="Q1842" s="9"/>
      <c r="R1842" s="9"/>
      <c r="S1842" s="9"/>
      <c r="T1842" s="9"/>
      <c r="U1842" s="9"/>
      <c r="V1842" s="9"/>
      <c r="W1842" s="9"/>
      <c r="X1842" s="9"/>
      <c r="Y1842" s="9"/>
      <c r="Z1842" s="9"/>
      <c r="AA1842" s="9"/>
      <c r="AB1842" s="9"/>
      <c r="AC1842" s="9"/>
      <c r="AD1842" s="9"/>
      <c r="AE1842" s="9"/>
      <c r="AF1842" s="9"/>
      <c r="AG1842" s="9"/>
      <c r="AH1842" s="9"/>
      <c r="AI1842" s="9"/>
      <c r="AJ1842" s="9"/>
      <c r="AK1842" s="9"/>
      <c r="AL1842" s="9"/>
      <c r="AM1842" s="69"/>
      <c r="AN1842" s="9"/>
      <c r="AO1842" s="69" t="s">
        <v>3351</v>
      </c>
      <c r="AP1842" s="210"/>
      <c r="AQ1842" s="211"/>
      <c r="AR1842" s="211"/>
      <c r="AS1842" s="211"/>
      <c r="AT1842" s="211"/>
      <c r="AU1842" s="211"/>
      <c r="AV1842" s="211"/>
      <c r="AW1842" s="9"/>
      <c r="AX1842" s="9"/>
      <c r="AY1842" s="9"/>
      <c r="AZ1842" s="9"/>
      <c r="BA1842" s="120"/>
      <c r="BB1842" s="69"/>
      <c r="BC1842" s="9"/>
      <c r="BD1842" s="9"/>
      <c r="BE1842" s="9"/>
      <c r="BF1842" s="9"/>
      <c r="BG1842" s="9"/>
      <c r="BH1842" s="9"/>
      <c r="BI1842" s="9"/>
      <c r="BJ1842" s="9"/>
      <c r="BK1842" s="9"/>
      <c r="BL1842" s="9"/>
      <c r="BM1842" s="9"/>
      <c r="BN1842" s="9"/>
      <c r="BO1842" s="9"/>
      <c r="BP1842" s="9"/>
      <c r="BQ1842" s="9"/>
      <c r="BR1842" s="9"/>
      <c r="BS1842" s="9"/>
      <c r="BT1842" s="9"/>
      <c r="BU1842" s="9"/>
      <c r="BV1842" s="9"/>
      <c r="BW1842" s="9"/>
      <c r="BX1842" s="9"/>
      <c r="BY1842" s="9"/>
      <c r="BZ1842" s="9"/>
      <c r="CA1842" s="9"/>
      <c r="CB1842" s="9"/>
      <c r="CC1842" s="9"/>
      <c r="CD1842" s="9"/>
      <c r="CE1842" s="9"/>
      <c r="CF1842" s="9"/>
      <c r="CG1842" s="9"/>
      <c r="CH1842" s="9"/>
      <c r="CI1842" s="9"/>
      <c r="CJ1842" s="9"/>
      <c r="CK1842" s="9"/>
      <c r="CL1842" s="9"/>
      <c r="CM1842" s="9"/>
      <c r="CN1842" s="9"/>
      <c r="CO1842" s="9"/>
      <c r="CP1842" s="9"/>
    </row>
    <row r="1843" spans="1:94" ht="45" x14ac:dyDescent="0.25">
      <c r="A1843" s="62" t="s">
        <v>4969</v>
      </c>
      <c r="B1843" s="62" t="s">
        <v>4970</v>
      </c>
      <c r="C1843" s="9"/>
      <c r="D1843" s="9"/>
      <c r="E1843" s="9"/>
      <c r="F1843" s="9"/>
      <c r="G1843" s="9"/>
      <c r="H1843" s="9"/>
      <c r="I1843" s="9"/>
      <c r="J1843" s="9"/>
      <c r="K1843" s="9"/>
      <c r="L1843" s="9"/>
      <c r="M1843" s="9"/>
      <c r="N1843" s="9"/>
      <c r="O1843" s="9"/>
      <c r="P1843" s="9"/>
      <c r="Q1843" s="9"/>
      <c r="R1843" s="9"/>
      <c r="S1843" s="9"/>
      <c r="T1843" s="9"/>
      <c r="U1843" s="9"/>
      <c r="V1843" s="9"/>
      <c r="W1843" s="9"/>
      <c r="X1843" s="9"/>
      <c r="Y1843" s="9"/>
      <c r="Z1843" s="9"/>
      <c r="AA1843" s="9"/>
      <c r="AB1843" s="9"/>
      <c r="AC1843" s="9"/>
      <c r="AD1843" s="9"/>
      <c r="AE1843" s="9"/>
      <c r="AF1843" s="9"/>
      <c r="AG1843" s="9"/>
      <c r="AH1843" s="9"/>
      <c r="AI1843" s="9"/>
      <c r="AJ1843" s="9"/>
      <c r="AK1843" s="9"/>
      <c r="AL1843" s="9"/>
      <c r="AM1843" s="69"/>
      <c r="AN1843" s="9"/>
      <c r="AO1843" s="69" t="s">
        <v>4971</v>
      </c>
      <c r="AP1843" s="210"/>
      <c r="AQ1843" s="211"/>
      <c r="AR1843" s="211"/>
      <c r="AS1843" s="211"/>
      <c r="AT1843" s="211"/>
      <c r="AU1843" s="211"/>
      <c r="AV1843" s="211"/>
      <c r="AW1843" s="9"/>
      <c r="AX1843" s="9"/>
      <c r="AY1843" s="9"/>
      <c r="AZ1843" s="9"/>
      <c r="BA1843" s="120"/>
      <c r="BB1843" s="69"/>
      <c r="BC1843" s="9"/>
      <c r="BD1843" s="9"/>
      <c r="BE1843" s="9"/>
      <c r="BF1843" s="9"/>
      <c r="BG1843" s="9"/>
      <c r="BH1843" s="9"/>
      <c r="BI1843" s="9"/>
      <c r="BJ1843" s="9"/>
      <c r="BK1843" s="9"/>
      <c r="BL1843" s="9"/>
      <c r="BM1843" s="9"/>
      <c r="BN1843" s="9"/>
      <c r="BO1843" s="9"/>
      <c r="BP1843" s="9"/>
      <c r="BQ1843" s="9"/>
      <c r="BR1843" s="9"/>
      <c r="BS1843" s="9"/>
      <c r="BT1843" s="9"/>
      <c r="BU1843" s="9"/>
      <c r="BV1843" s="9"/>
      <c r="BW1843" s="9"/>
      <c r="BX1843" s="9"/>
      <c r="BY1843" s="9"/>
      <c r="BZ1843" s="9"/>
      <c r="CA1843" s="9"/>
      <c r="CB1843" s="9"/>
      <c r="CC1843" s="9"/>
      <c r="CD1843" s="9"/>
      <c r="CE1843" s="9"/>
      <c r="CF1843" s="9"/>
      <c r="CG1843" s="9"/>
      <c r="CH1843" s="9"/>
      <c r="CI1843" s="9"/>
      <c r="CJ1843" s="9"/>
      <c r="CK1843" s="9"/>
      <c r="CL1843" s="9"/>
      <c r="CM1843" s="9"/>
      <c r="CN1843" s="9"/>
      <c r="CO1843" s="9"/>
      <c r="CP1843" s="9"/>
    </row>
    <row r="1844" spans="1:94" ht="45" x14ac:dyDescent="0.25">
      <c r="A1844" s="62" t="s">
        <v>4972</v>
      </c>
      <c r="B1844" s="62" t="s">
        <v>4973</v>
      </c>
      <c r="C1844" s="9"/>
      <c r="D1844" s="9"/>
      <c r="E1844" s="9"/>
      <c r="F1844" s="9"/>
      <c r="G1844" s="9"/>
      <c r="H1844" s="9"/>
      <c r="I1844" s="9"/>
      <c r="J1844" s="9"/>
      <c r="K1844" s="9"/>
      <c r="L1844" s="9"/>
      <c r="M1844" s="9"/>
      <c r="N1844" s="9"/>
      <c r="O1844" s="9"/>
      <c r="P1844" s="9"/>
      <c r="Q1844" s="9"/>
      <c r="R1844" s="9"/>
      <c r="S1844" s="9"/>
      <c r="T1844" s="9"/>
      <c r="U1844" s="9"/>
      <c r="V1844" s="9"/>
      <c r="W1844" s="9"/>
      <c r="X1844" s="9"/>
      <c r="Y1844" s="9"/>
      <c r="Z1844" s="9"/>
      <c r="AA1844" s="9"/>
      <c r="AB1844" s="9"/>
      <c r="AC1844" s="9"/>
      <c r="AD1844" s="9"/>
      <c r="AE1844" s="9"/>
      <c r="AF1844" s="9"/>
      <c r="AG1844" s="9"/>
      <c r="AH1844" s="9"/>
      <c r="AI1844" s="9"/>
      <c r="AJ1844" s="9"/>
      <c r="AK1844" s="9"/>
      <c r="AL1844" s="9"/>
      <c r="AM1844" s="69"/>
      <c r="AN1844" s="9"/>
      <c r="AO1844" s="69" t="s">
        <v>4971</v>
      </c>
      <c r="AP1844" s="210"/>
      <c r="AQ1844" s="211"/>
      <c r="AR1844" s="211"/>
      <c r="AS1844" s="211"/>
      <c r="AT1844" s="211"/>
      <c r="AU1844" s="211"/>
      <c r="AV1844" s="211"/>
      <c r="AW1844" s="9"/>
      <c r="AX1844" s="9"/>
      <c r="AY1844" s="9"/>
      <c r="AZ1844" s="9"/>
      <c r="BA1844" s="120"/>
      <c r="BB1844" s="69"/>
      <c r="BC1844" s="9"/>
      <c r="BD1844" s="9"/>
      <c r="BE1844" s="9"/>
      <c r="BF1844" s="9"/>
      <c r="BG1844" s="9"/>
      <c r="BH1844" s="9"/>
      <c r="BI1844" s="9"/>
      <c r="BJ1844" s="9"/>
      <c r="BK1844" s="9"/>
      <c r="BL1844" s="9"/>
      <c r="BM1844" s="9"/>
      <c r="BN1844" s="9"/>
      <c r="BO1844" s="9"/>
      <c r="BP1844" s="9"/>
      <c r="BQ1844" s="9"/>
      <c r="BR1844" s="9"/>
      <c r="BS1844" s="9"/>
      <c r="BT1844" s="9"/>
      <c r="BU1844" s="9"/>
      <c r="BV1844" s="9"/>
      <c r="BW1844" s="9"/>
      <c r="BX1844" s="9"/>
      <c r="BY1844" s="9"/>
      <c r="BZ1844" s="9"/>
      <c r="CA1844" s="9"/>
      <c r="CB1844" s="9"/>
      <c r="CC1844" s="9"/>
      <c r="CD1844" s="9"/>
      <c r="CE1844" s="9"/>
      <c r="CF1844" s="9"/>
      <c r="CG1844" s="9"/>
      <c r="CH1844" s="9"/>
      <c r="CI1844" s="9"/>
      <c r="CJ1844" s="9"/>
      <c r="CK1844" s="9"/>
      <c r="CL1844" s="9"/>
      <c r="CM1844" s="9"/>
      <c r="CN1844" s="9"/>
      <c r="CO1844" s="9"/>
      <c r="CP1844" s="9"/>
    </row>
    <row r="1845" spans="1:94" ht="15.75" x14ac:dyDescent="0.25">
      <c r="A1845" s="271" t="s">
        <v>4974</v>
      </c>
      <c r="B1845" s="9" t="s">
        <v>4975</v>
      </c>
      <c r="C1845" s="9"/>
      <c r="D1845" s="9"/>
      <c r="E1845" s="9"/>
      <c r="F1845" s="9"/>
      <c r="G1845" s="9"/>
      <c r="H1845" s="9"/>
      <c r="I1845" s="9"/>
      <c r="J1845" s="9"/>
      <c r="K1845" s="9"/>
      <c r="L1845" s="9"/>
      <c r="M1845" s="9"/>
      <c r="N1845" s="9"/>
      <c r="O1845" s="9"/>
      <c r="P1845" s="9"/>
      <c r="Q1845" s="9"/>
      <c r="R1845" s="9"/>
      <c r="S1845" s="9"/>
      <c r="T1845" s="9"/>
      <c r="U1845" s="9"/>
      <c r="V1845" s="9"/>
      <c r="W1845" s="9"/>
      <c r="X1845" s="9"/>
      <c r="Y1845" s="9"/>
      <c r="Z1845" s="9"/>
      <c r="AA1845" s="9"/>
      <c r="AB1845" s="9"/>
      <c r="AC1845" s="9"/>
      <c r="AD1845" s="9"/>
      <c r="AE1845" s="9"/>
      <c r="AF1845" s="9"/>
      <c r="AG1845" s="9"/>
      <c r="AH1845" s="9"/>
      <c r="AI1845" s="9"/>
      <c r="AJ1845" s="9"/>
      <c r="AK1845" s="9"/>
      <c r="AL1845" s="9"/>
      <c r="AM1845" s="69"/>
      <c r="AN1845" s="9"/>
      <c r="AO1845" s="69" t="s">
        <v>4893</v>
      </c>
      <c r="AP1845" s="210"/>
      <c r="AQ1845" s="211"/>
      <c r="AR1845" s="211"/>
      <c r="AS1845" s="211"/>
      <c r="AT1845" s="211"/>
      <c r="AU1845" s="211"/>
      <c r="AV1845" s="211"/>
      <c r="AW1845" s="9"/>
      <c r="AX1845" s="9"/>
      <c r="AY1845" s="9"/>
      <c r="AZ1845" s="9"/>
      <c r="BA1845" s="120"/>
      <c r="BB1845" s="69"/>
      <c r="BC1845" s="9"/>
      <c r="BD1845" s="9"/>
      <c r="BE1845" s="9"/>
      <c r="BF1845" s="9"/>
      <c r="BG1845" s="9"/>
      <c r="BH1845" s="9"/>
      <c r="BI1845" s="9"/>
      <c r="BJ1845" s="9"/>
      <c r="BK1845" s="9"/>
      <c r="BL1845" s="9"/>
      <c r="BM1845" s="9"/>
      <c r="BN1845" s="9"/>
      <c r="BO1845" s="9"/>
      <c r="BP1845" s="9"/>
      <c r="BQ1845" s="9"/>
      <c r="BR1845" s="9"/>
      <c r="BS1845" s="9"/>
      <c r="BT1845" s="9"/>
      <c r="BU1845" s="9"/>
      <c r="BV1845" s="9"/>
      <c r="BW1845" s="9"/>
      <c r="BX1845" s="9"/>
      <c r="BY1845" s="9"/>
      <c r="BZ1845" s="9"/>
      <c r="CA1845" s="9"/>
      <c r="CB1845" s="9"/>
      <c r="CC1845" s="9"/>
      <c r="CD1845" s="9"/>
      <c r="CE1845" s="9"/>
      <c r="CF1845" s="9"/>
      <c r="CG1845" s="9"/>
      <c r="CH1845" s="9"/>
      <c r="CI1845" s="9"/>
      <c r="CJ1845" s="9"/>
      <c r="CK1845" s="9"/>
      <c r="CL1845" s="9"/>
      <c r="CM1845" s="9"/>
      <c r="CN1845" s="9"/>
      <c r="CO1845" s="9"/>
      <c r="CP1845" s="9"/>
    </row>
    <row r="1846" spans="1:94" ht="15.75" x14ac:dyDescent="0.25">
      <c r="A1846" s="126" t="s">
        <v>4976</v>
      </c>
      <c r="B1846" s="9" t="s">
        <v>4977</v>
      </c>
      <c r="C1846" s="9"/>
      <c r="D1846" s="9"/>
      <c r="E1846" s="9"/>
      <c r="F1846" s="9"/>
      <c r="G1846" s="9"/>
      <c r="H1846" s="9"/>
      <c r="I1846" s="9"/>
      <c r="J1846" s="9"/>
      <c r="K1846" s="9"/>
      <c r="L1846" s="9"/>
      <c r="M1846" s="9"/>
      <c r="N1846" s="9"/>
      <c r="O1846" s="9"/>
      <c r="P1846" s="9"/>
      <c r="Q1846" s="9"/>
      <c r="R1846" s="9"/>
      <c r="S1846" s="9"/>
      <c r="T1846" s="9"/>
      <c r="U1846" s="9"/>
      <c r="V1846" s="9"/>
      <c r="W1846" s="9"/>
      <c r="X1846" s="9"/>
      <c r="Y1846" s="9"/>
      <c r="Z1846" s="9"/>
      <c r="AA1846" s="9"/>
      <c r="AB1846" s="9"/>
      <c r="AC1846" s="9"/>
      <c r="AD1846" s="9"/>
      <c r="AE1846" s="9"/>
      <c r="AF1846" s="9"/>
      <c r="AG1846" s="9"/>
      <c r="AH1846" s="9"/>
      <c r="AI1846" s="9"/>
      <c r="AJ1846" s="9"/>
      <c r="AK1846" s="9"/>
      <c r="AL1846" s="9"/>
      <c r="AM1846" s="69"/>
      <c r="AN1846" s="9"/>
      <c r="AO1846" s="69" t="s">
        <v>4893</v>
      </c>
      <c r="AP1846" s="210"/>
      <c r="AQ1846" s="211"/>
      <c r="AR1846" s="211"/>
      <c r="AS1846" s="211"/>
      <c r="AT1846" s="211"/>
      <c r="AU1846" s="211"/>
      <c r="AV1846" s="211"/>
      <c r="AW1846" s="9"/>
      <c r="AX1846" s="9"/>
      <c r="AY1846" s="9"/>
      <c r="AZ1846" s="9"/>
      <c r="BA1846" s="120"/>
      <c r="BB1846" s="69"/>
      <c r="BC1846" s="9"/>
      <c r="BD1846" s="9"/>
      <c r="BE1846" s="9"/>
      <c r="BF1846" s="9"/>
      <c r="BG1846" s="9"/>
      <c r="BH1846" s="9"/>
      <c r="BI1846" s="9"/>
      <c r="BJ1846" s="9"/>
      <c r="BK1846" s="9"/>
      <c r="BL1846" s="9"/>
      <c r="BM1846" s="9"/>
      <c r="BN1846" s="9"/>
      <c r="BO1846" s="9"/>
      <c r="BP1846" s="9"/>
      <c r="BQ1846" s="9"/>
      <c r="BR1846" s="9"/>
      <c r="BS1846" s="9"/>
      <c r="BT1846" s="9"/>
      <c r="BU1846" s="9"/>
      <c r="BV1846" s="9"/>
      <c r="BW1846" s="9"/>
      <c r="BX1846" s="9"/>
      <c r="BY1846" s="9"/>
      <c r="BZ1846" s="9"/>
      <c r="CA1846" s="9"/>
      <c r="CB1846" s="9"/>
      <c r="CC1846" s="9"/>
      <c r="CD1846" s="9"/>
      <c r="CE1846" s="9"/>
      <c r="CF1846" s="9"/>
      <c r="CG1846" s="9"/>
      <c r="CH1846" s="9"/>
      <c r="CI1846" s="9"/>
      <c r="CJ1846" s="9"/>
      <c r="CK1846" s="9"/>
      <c r="CL1846" s="9"/>
      <c r="CM1846" s="9"/>
      <c r="CN1846" s="9"/>
      <c r="CO1846" s="9"/>
      <c r="CP1846" s="9"/>
    </row>
    <row r="1847" spans="1:94" ht="15.75" x14ac:dyDescent="0.25">
      <c r="A1847" s="126" t="s">
        <v>4978</v>
      </c>
      <c r="B1847" s="9" t="s">
        <v>4979</v>
      </c>
      <c r="C1847" s="9"/>
      <c r="D1847" s="9"/>
      <c r="E1847" s="9"/>
      <c r="F1847" s="9"/>
      <c r="G1847" s="9"/>
      <c r="H1847" s="9"/>
      <c r="I1847" s="9"/>
      <c r="J1847" s="9"/>
      <c r="K1847" s="9"/>
      <c r="L1847" s="9"/>
      <c r="M1847" s="9"/>
      <c r="N1847" s="9"/>
      <c r="O1847" s="9"/>
      <c r="P1847" s="9"/>
      <c r="Q1847" s="9"/>
      <c r="R1847" s="9"/>
      <c r="S1847" s="9"/>
      <c r="T1847" s="9"/>
      <c r="U1847" s="9"/>
      <c r="V1847" s="9"/>
      <c r="W1847" s="9"/>
      <c r="X1847" s="9"/>
      <c r="Y1847" s="9"/>
      <c r="Z1847" s="9"/>
      <c r="AA1847" s="9"/>
      <c r="AB1847" s="9"/>
      <c r="AC1847" s="9"/>
      <c r="AD1847" s="9"/>
      <c r="AE1847" s="9"/>
      <c r="AF1847" s="9"/>
      <c r="AG1847" s="9"/>
      <c r="AH1847" s="9"/>
      <c r="AI1847" s="9"/>
      <c r="AJ1847" s="9"/>
      <c r="AK1847" s="9"/>
      <c r="AL1847" s="9"/>
      <c r="AM1847" s="69"/>
      <c r="AN1847" s="9"/>
      <c r="AO1847" s="69" t="s">
        <v>4893</v>
      </c>
      <c r="AP1847" s="210"/>
      <c r="AQ1847" s="211"/>
      <c r="AR1847" s="211"/>
      <c r="AS1847" s="211"/>
      <c r="AT1847" s="211"/>
      <c r="AU1847" s="211"/>
      <c r="AV1847" s="211"/>
      <c r="AW1847" s="9"/>
      <c r="AX1847" s="9"/>
      <c r="AY1847" s="9"/>
      <c r="AZ1847" s="9"/>
      <c r="BA1847" s="120"/>
      <c r="BB1847" s="69"/>
      <c r="BC1847" s="9"/>
      <c r="BD1847" s="9"/>
      <c r="BE1847" s="9"/>
      <c r="BF1847" s="9"/>
      <c r="BG1847" s="9"/>
      <c r="BH1847" s="9"/>
      <c r="BI1847" s="9"/>
      <c r="BJ1847" s="9"/>
      <c r="BK1847" s="9"/>
      <c r="BL1847" s="9"/>
      <c r="BM1847" s="9"/>
      <c r="BN1847" s="9"/>
      <c r="BO1847" s="9"/>
      <c r="BP1847" s="9"/>
      <c r="BQ1847" s="9"/>
      <c r="BR1847" s="9"/>
      <c r="BS1847" s="9"/>
      <c r="BT1847" s="9"/>
      <c r="BU1847" s="9"/>
      <c r="BV1847" s="9"/>
      <c r="BW1847" s="9"/>
      <c r="BX1847" s="9"/>
      <c r="BY1847" s="9"/>
      <c r="BZ1847" s="9"/>
      <c r="CA1847" s="9"/>
      <c r="CB1847" s="9"/>
      <c r="CC1847" s="9"/>
      <c r="CD1847" s="9"/>
      <c r="CE1847" s="9"/>
      <c r="CF1847" s="9"/>
      <c r="CG1847" s="9"/>
      <c r="CH1847" s="9"/>
      <c r="CI1847" s="9"/>
      <c r="CJ1847" s="9"/>
      <c r="CK1847" s="9"/>
      <c r="CL1847" s="9"/>
      <c r="CM1847" s="9"/>
      <c r="CN1847" s="9"/>
      <c r="CO1847" s="9"/>
      <c r="CP1847" s="9"/>
    </row>
    <row r="1848" spans="1:94" ht="15.75" x14ac:dyDescent="0.25">
      <c r="A1848" s="270" t="s">
        <v>4980</v>
      </c>
      <c r="B1848" s="9" t="s">
        <v>4981</v>
      </c>
      <c r="C1848" s="9"/>
      <c r="D1848" s="9"/>
      <c r="E1848" s="9"/>
      <c r="F1848" s="9"/>
      <c r="G1848" s="9"/>
      <c r="H1848" s="9"/>
      <c r="I1848" s="9"/>
      <c r="J1848" s="9"/>
      <c r="K1848" s="9"/>
      <c r="L1848" s="9"/>
      <c r="M1848" s="9"/>
      <c r="N1848" s="9"/>
      <c r="O1848" s="9"/>
      <c r="P1848" s="9"/>
      <c r="Q1848" s="9"/>
      <c r="R1848" s="9"/>
      <c r="S1848" s="9"/>
      <c r="T1848" s="9"/>
      <c r="U1848" s="9"/>
      <c r="V1848" s="9"/>
      <c r="W1848" s="9"/>
      <c r="X1848" s="9"/>
      <c r="Y1848" s="9"/>
      <c r="Z1848" s="9"/>
      <c r="AA1848" s="9"/>
      <c r="AB1848" s="9"/>
      <c r="AC1848" s="9"/>
      <c r="AD1848" s="9"/>
      <c r="AE1848" s="9"/>
      <c r="AF1848" s="9"/>
      <c r="AG1848" s="9"/>
      <c r="AH1848" s="9"/>
      <c r="AI1848" s="9"/>
      <c r="AJ1848" s="9"/>
      <c r="AK1848" s="9"/>
      <c r="AL1848" s="9"/>
      <c r="AM1848" s="69"/>
      <c r="AN1848" s="9"/>
      <c r="AO1848" s="69" t="s">
        <v>4893</v>
      </c>
      <c r="AP1848" s="210"/>
      <c r="AQ1848" s="211"/>
      <c r="AR1848" s="211"/>
      <c r="AS1848" s="211"/>
      <c r="AT1848" s="211"/>
      <c r="AU1848" s="211"/>
      <c r="AV1848" s="211"/>
      <c r="AW1848" s="9"/>
      <c r="AX1848" s="9"/>
      <c r="AY1848" s="9"/>
      <c r="AZ1848" s="9"/>
      <c r="BA1848" s="120"/>
      <c r="BB1848" s="69"/>
      <c r="BC1848" s="9"/>
      <c r="BD1848" s="9"/>
      <c r="BE1848" s="9"/>
      <c r="BF1848" s="9"/>
      <c r="BG1848" s="9"/>
      <c r="BH1848" s="9"/>
      <c r="BI1848" s="9"/>
      <c r="BJ1848" s="9"/>
      <c r="BK1848" s="9"/>
      <c r="BL1848" s="9"/>
      <c r="BM1848" s="9"/>
      <c r="BN1848" s="9"/>
      <c r="BO1848" s="9"/>
      <c r="BP1848" s="9"/>
      <c r="BQ1848" s="9"/>
      <c r="BR1848" s="9"/>
      <c r="BS1848" s="9"/>
      <c r="BT1848" s="9"/>
      <c r="BU1848" s="9"/>
      <c r="BV1848" s="9"/>
      <c r="BW1848" s="9"/>
      <c r="BX1848" s="9"/>
      <c r="BY1848" s="9"/>
      <c r="BZ1848" s="9"/>
      <c r="CA1848" s="9"/>
      <c r="CB1848" s="9"/>
      <c r="CC1848" s="9"/>
      <c r="CD1848" s="9"/>
      <c r="CE1848" s="9"/>
      <c r="CF1848" s="9"/>
      <c r="CG1848" s="9"/>
      <c r="CH1848" s="9"/>
      <c r="CI1848" s="9"/>
      <c r="CJ1848" s="9"/>
      <c r="CK1848" s="9"/>
      <c r="CL1848" s="9"/>
      <c r="CM1848" s="9"/>
      <c r="CN1848" s="9"/>
      <c r="CO1848" s="9"/>
      <c r="CP1848" s="9"/>
    </row>
    <row r="1849" spans="1:94" ht="30" x14ac:dyDescent="0.25">
      <c r="A1849" s="126" t="s">
        <v>4982</v>
      </c>
      <c r="B1849" s="62" t="s">
        <v>4983</v>
      </c>
      <c r="C1849" s="9"/>
      <c r="D1849" s="9"/>
      <c r="E1849" s="9"/>
      <c r="F1849" s="9"/>
      <c r="G1849" s="9"/>
      <c r="H1849" s="9"/>
      <c r="I1849" s="9"/>
      <c r="J1849" s="9"/>
      <c r="K1849" s="9"/>
      <c r="L1849" s="9"/>
      <c r="M1849" s="9"/>
      <c r="N1849" s="9"/>
      <c r="O1849" s="9"/>
      <c r="P1849" s="9"/>
      <c r="Q1849" s="9"/>
      <c r="R1849" s="9"/>
      <c r="S1849" s="9"/>
      <c r="T1849" s="9"/>
      <c r="U1849" s="9"/>
      <c r="V1849" s="9"/>
      <c r="W1849" s="9"/>
      <c r="X1849" s="9"/>
      <c r="Y1849" s="9"/>
      <c r="Z1849" s="9"/>
      <c r="AA1849" s="9"/>
      <c r="AB1849" s="9"/>
      <c r="AC1849" s="9"/>
      <c r="AD1849" s="9"/>
      <c r="AE1849" s="9"/>
      <c r="AF1849" s="9"/>
      <c r="AG1849" s="9"/>
      <c r="AH1849" s="9"/>
      <c r="AI1849" s="9"/>
      <c r="AJ1849" s="9"/>
      <c r="AK1849" s="9"/>
      <c r="AL1849" s="9"/>
      <c r="AM1849" s="69"/>
      <c r="AN1849" s="9"/>
      <c r="AO1849" s="69" t="s">
        <v>4790</v>
      </c>
      <c r="AP1849" s="210"/>
      <c r="AQ1849" s="211"/>
      <c r="AR1849" s="211"/>
      <c r="AS1849" s="211"/>
      <c r="AT1849" s="211"/>
      <c r="AU1849" s="211"/>
      <c r="AV1849" s="211"/>
      <c r="AW1849" s="9"/>
      <c r="AX1849" s="9"/>
      <c r="AY1849" s="9"/>
      <c r="AZ1849" s="9"/>
      <c r="BA1849" s="120"/>
      <c r="BB1849" s="69"/>
      <c r="BC1849" s="9"/>
      <c r="BD1849" s="9"/>
      <c r="BE1849" s="9"/>
      <c r="BF1849" s="9"/>
      <c r="BG1849" s="9"/>
      <c r="BH1849" s="9"/>
      <c r="BI1849" s="9"/>
      <c r="BJ1849" s="9"/>
      <c r="BK1849" s="9"/>
      <c r="BL1849" s="9"/>
      <c r="BM1849" s="9"/>
      <c r="BN1849" s="9"/>
      <c r="BO1849" s="9"/>
      <c r="BP1849" s="9"/>
      <c r="BQ1849" s="9"/>
      <c r="BR1849" s="9"/>
      <c r="BS1849" s="9"/>
      <c r="BT1849" s="9"/>
      <c r="BU1849" s="9"/>
      <c r="BV1849" s="9"/>
      <c r="BW1849" s="9"/>
      <c r="BX1849" s="9"/>
      <c r="BY1849" s="9"/>
      <c r="BZ1849" s="9"/>
      <c r="CA1849" s="9"/>
      <c r="CB1849" s="9"/>
      <c r="CC1849" s="9"/>
      <c r="CD1849" s="9"/>
      <c r="CE1849" s="9"/>
      <c r="CF1849" s="9"/>
      <c r="CG1849" s="9"/>
      <c r="CH1849" s="9"/>
      <c r="CI1849" s="9"/>
      <c r="CJ1849" s="9"/>
      <c r="CK1849" s="9"/>
      <c r="CL1849" s="9"/>
      <c r="CM1849" s="9"/>
      <c r="CN1849" s="9"/>
      <c r="CO1849" s="9"/>
      <c r="CP1849" s="9"/>
    </row>
    <row r="1850" spans="1:94" ht="30" x14ac:dyDescent="0.25">
      <c r="A1850" s="271" t="s">
        <v>4984</v>
      </c>
      <c r="B1850" s="9" t="s">
        <v>4985</v>
      </c>
      <c r="C1850" s="9"/>
      <c r="D1850" s="9"/>
      <c r="E1850" s="9"/>
      <c r="F1850" s="9"/>
      <c r="G1850" s="9"/>
      <c r="H1850" s="9"/>
      <c r="I1850" s="9"/>
      <c r="J1850" s="9"/>
      <c r="K1850" s="9"/>
      <c r="L1850" s="9"/>
      <c r="M1850" s="9"/>
      <c r="N1850" s="9"/>
      <c r="O1850" s="9"/>
      <c r="P1850" s="9"/>
      <c r="Q1850" s="9"/>
      <c r="R1850" s="9"/>
      <c r="S1850" s="9"/>
      <c r="T1850" s="9"/>
      <c r="U1850" s="9"/>
      <c r="V1850" s="9"/>
      <c r="W1850" s="9"/>
      <c r="X1850" s="9"/>
      <c r="Y1850" s="9"/>
      <c r="Z1850" s="9"/>
      <c r="AA1850" s="9"/>
      <c r="AB1850" s="9"/>
      <c r="AC1850" s="9"/>
      <c r="AD1850" s="9"/>
      <c r="AE1850" s="9"/>
      <c r="AF1850" s="9"/>
      <c r="AG1850" s="9"/>
      <c r="AH1850" s="9"/>
      <c r="AI1850" s="9"/>
      <c r="AJ1850" s="9"/>
      <c r="AK1850" s="9"/>
      <c r="AL1850" s="9"/>
      <c r="AM1850" s="69"/>
      <c r="AN1850" s="9"/>
      <c r="AO1850" s="69" t="s">
        <v>612</v>
      </c>
      <c r="AP1850" s="210"/>
      <c r="AQ1850" s="211"/>
      <c r="AR1850" s="211"/>
      <c r="AS1850" s="211"/>
      <c r="AT1850" s="211"/>
      <c r="AU1850" s="211"/>
      <c r="AV1850" s="211"/>
      <c r="AW1850" s="9"/>
      <c r="AX1850" s="9"/>
      <c r="AY1850" s="9"/>
      <c r="AZ1850" s="9"/>
      <c r="BA1850" s="120"/>
      <c r="BB1850" s="69"/>
      <c r="BC1850" s="9"/>
      <c r="BD1850" s="9"/>
      <c r="BE1850" s="9"/>
      <c r="BF1850" s="9"/>
      <c r="BG1850" s="9"/>
      <c r="BH1850" s="9"/>
      <c r="BI1850" s="9"/>
      <c r="BJ1850" s="9"/>
      <c r="BK1850" s="9"/>
      <c r="BL1850" s="9"/>
      <c r="BM1850" s="9"/>
      <c r="BN1850" s="9"/>
      <c r="BO1850" s="9"/>
      <c r="BP1850" s="9"/>
      <c r="BQ1850" s="9"/>
      <c r="BR1850" s="9"/>
      <c r="BS1850" s="9"/>
      <c r="BT1850" s="9"/>
      <c r="BU1850" s="9"/>
      <c r="BV1850" s="9"/>
      <c r="BW1850" s="9"/>
      <c r="BX1850" s="9"/>
      <c r="BY1850" s="9"/>
      <c r="BZ1850" s="9"/>
      <c r="CA1850" s="9"/>
      <c r="CB1850" s="9"/>
      <c r="CC1850" s="9"/>
      <c r="CD1850" s="9"/>
      <c r="CE1850" s="9"/>
      <c r="CF1850" s="9"/>
      <c r="CG1850" s="9"/>
      <c r="CH1850" s="9"/>
      <c r="CI1850" s="9"/>
      <c r="CJ1850" s="9"/>
      <c r="CK1850" s="9"/>
      <c r="CL1850" s="9"/>
      <c r="CM1850" s="9"/>
      <c r="CN1850" s="9"/>
      <c r="CO1850" s="9"/>
      <c r="CP1850" s="9"/>
    </row>
    <row r="1851" spans="1:94" ht="30" x14ac:dyDescent="0.25">
      <c r="A1851" s="126" t="s">
        <v>4986</v>
      </c>
      <c r="B1851" s="9" t="s">
        <v>4987</v>
      </c>
      <c r="C1851" s="9"/>
      <c r="D1851" s="9"/>
      <c r="E1851" s="9"/>
      <c r="F1851" s="9"/>
      <c r="G1851" s="9"/>
      <c r="H1851" s="9"/>
      <c r="I1851" s="9"/>
      <c r="J1851" s="9"/>
      <c r="K1851" s="9"/>
      <c r="L1851" s="9"/>
      <c r="M1851" s="9"/>
      <c r="N1851" s="9"/>
      <c r="O1851" s="9"/>
      <c r="P1851" s="9"/>
      <c r="Q1851" s="9"/>
      <c r="R1851" s="9"/>
      <c r="S1851" s="9"/>
      <c r="T1851" s="9"/>
      <c r="U1851" s="9"/>
      <c r="V1851" s="9"/>
      <c r="W1851" s="9"/>
      <c r="X1851" s="9"/>
      <c r="Y1851" s="9"/>
      <c r="Z1851" s="9"/>
      <c r="AA1851" s="9"/>
      <c r="AB1851" s="9"/>
      <c r="AC1851" s="9"/>
      <c r="AD1851" s="9"/>
      <c r="AE1851" s="9"/>
      <c r="AF1851" s="9"/>
      <c r="AG1851" s="9"/>
      <c r="AH1851" s="9"/>
      <c r="AI1851" s="9"/>
      <c r="AJ1851" s="9"/>
      <c r="AK1851" s="9"/>
      <c r="AL1851" s="9"/>
      <c r="AM1851" s="69"/>
      <c r="AN1851" s="9"/>
      <c r="AO1851" s="69" t="s">
        <v>612</v>
      </c>
      <c r="AP1851" s="210"/>
      <c r="AQ1851" s="211"/>
      <c r="AR1851" s="211"/>
      <c r="AS1851" s="211"/>
      <c r="AT1851" s="211"/>
      <c r="AU1851" s="211"/>
      <c r="AV1851" s="211"/>
      <c r="AW1851" s="9"/>
      <c r="AX1851" s="9"/>
      <c r="AY1851" s="9"/>
      <c r="AZ1851" s="9"/>
      <c r="BA1851" s="120"/>
      <c r="BB1851" s="69"/>
      <c r="BC1851" s="9"/>
      <c r="BD1851" s="9"/>
      <c r="BE1851" s="9"/>
      <c r="BF1851" s="9"/>
      <c r="BG1851" s="9"/>
      <c r="BH1851" s="9"/>
      <c r="BI1851" s="9"/>
      <c r="BJ1851" s="9"/>
      <c r="BK1851" s="9"/>
      <c r="BL1851" s="9"/>
      <c r="BM1851" s="9"/>
      <c r="BN1851" s="9"/>
      <c r="BO1851" s="9"/>
      <c r="BP1851" s="9"/>
      <c r="BQ1851" s="9"/>
      <c r="BR1851" s="9"/>
      <c r="BS1851" s="9"/>
      <c r="BT1851" s="9"/>
      <c r="BU1851" s="9"/>
      <c r="BV1851" s="9"/>
      <c r="BW1851" s="9"/>
      <c r="BX1851" s="9"/>
      <c r="BY1851" s="9"/>
      <c r="BZ1851" s="9"/>
      <c r="CA1851" s="9"/>
      <c r="CB1851" s="9"/>
      <c r="CC1851" s="9"/>
      <c r="CD1851" s="9"/>
      <c r="CE1851" s="9"/>
      <c r="CF1851" s="9"/>
      <c r="CG1851" s="9"/>
      <c r="CH1851" s="9"/>
      <c r="CI1851" s="9"/>
      <c r="CJ1851" s="9"/>
      <c r="CK1851" s="9"/>
      <c r="CL1851" s="9"/>
      <c r="CM1851" s="9"/>
      <c r="CN1851" s="9"/>
      <c r="CO1851" s="9"/>
      <c r="CP1851" s="9"/>
    </row>
    <row r="1852" spans="1:94" ht="15.75" x14ac:dyDescent="0.25">
      <c r="A1852" s="126" t="s">
        <v>4988</v>
      </c>
      <c r="B1852" s="9" t="s">
        <v>4989</v>
      </c>
      <c r="C1852" s="9"/>
      <c r="D1852" s="9"/>
      <c r="E1852" s="9"/>
      <c r="F1852" s="9"/>
      <c r="G1852" s="9"/>
      <c r="H1852" s="9"/>
      <c r="I1852" s="9"/>
      <c r="J1852" s="9"/>
      <c r="K1852" s="9"/>
      <c r="L1852" s="9"/>
      <c r="M1852" s="9"/>
      <c r="N1852" s="9"/>
      <c r="O1852" s="9"/>
      <c r="P1852" s="9"/>
      <c r="Q1852" s="9"/>
      <c r="R1852" s="9"/>
      <c r="S1852" s="9"/>
      <c r="T1852" s="9"/>
      <c r="U1852" s="9"/>
      <c r="V1852" s="9"/>
      <c r="W1852" s="9"/>
      <c r="X1852" s="9"/>
      <c r="Y1852" s="9"/>
      <c r="Z1852" s="9"/>
      <c r="AA1852" s="9"/>
      <c r="AB1852" s="9"/>
      <c r="AC1852" s="9"/>
      <c r="AD1852" s="9"/>
      <c r="AE1852" s="9"/>
      <c r="AF1852" s="9"/>
      <c r="AG1852" s="9"/>
      <c r="AH1852" s="9"/>
      <c r="AI1852" s="9"/>
      <c r="AJ1852" s="9"/>
      <c r="AK1852" s="9"/>
      <c r="AL1852" s="9"/>
      <c r="AM1852" s="69"/>
      <c r="AN1852" s="9"/>
      <c r="AO1852" s="69" t="s">
        <v>4893</v>
      </c>
      <c r="AP1852" s="210"/>
      <c r="AQ1852" s="211"/>
      <c r="AR1852" s="211"/>
      <c r="AS1852" s="211"/>
      <c r="AT1852" s="211"/>
      <c r="AU1852" s="211"/>
      <c r="AV1852" s="211"/>
      <c r="AW1852" s="9"/>
      <c r="AX1852" s="9"/>
      <c r="AY1852" s="9"/>
      <c r="AZ1852" s="9"/>
      <c r="BA1852" s="120"/>
      <c r="BB1852" s="69"/>
      <c r="BC1852" s="9"/>
      <c r="BD1852" s="9"/>
      <c r="BE1852" s="9"/>
      <c r="BF1852" s="9"/>
      <c r="BG1852" s="9"/>
      <c r="BH1852" s="9"/>
      <c r="BI1852" s="9"/>
      <c r="BJ1852" s="9"/>
      <c r="BK1852" s="9"/>
      <c r="BL1852" s="9"/>
      <c r="BM1852" s="9"/>
      <c r="BN1852" s="9"/>
      <c r="BO1852" s="9"/>
      <c r="BP1852" s="9"/>
      <c r="BQ1852" s="9"/>
      <c r="BR1852" s="9"/>
      <c r="BS1852" s="9"/>
      <c r="BT1852" s="9"/>
      <c r="BU1852" s="9"/>
      <c r="BV1852" s="9"/>
      <c r="BW1852" s="9"/>
      <c r="BX1852" s="9"/>
      <c r="BY1852" s="9"/>
      <c r="BZ1852" s="9"/>
      <c r="CA1852" s="9"/>
      <c r="CB1852" s="9"/>
      <c r="CC1852" s="9"/>
      <c r="CD1852" s="9"/>
      <c r="CE1852" s="9"/>
      <c r="CF1852" s="9"/>
      <c r="CG1852" s="9"/>
      <c r="CH1852" s="9"/>
      <c r="CI1852" s="9"/>
      <c r="CJ1852" s="9"/>
      <c r="CK1852" s="9"/>
      <c r="CL1852" s="9"/>
      <c r="CM1852" s="9"/>
      <c r="CN1852" s="9"/>
      <c r="CO1852" s="9"/>
      <c r="CP1852" s="9"/>
    </row>
    <row r="1853" spans="1:94" ht="15.75" x14ac:dyDescent="0.25">
      <c r="A1853" s="126" t="s">
        <v>4990</v>
      </c>
      <c r="B1853" s="9" t="s">
        <v>4991</v>
      </c>
      <c r="C1853" s="9"/>
      <c r="D1853" s="9"/>
      <c r="E1853" s="9"/>
      <c r="F1853" s="9"/>
      <c r="G1853" s="9"/>
      <c r="H1853" s="9"/>
      <c r="I1853" s="9"/>
      <c r="J1853" s="9"/>
      <c r="K1853" s="9"/>
      <c r="L1853" s="9"/>
      <c r="M1853" s="9"/>
      <c r="N1853" s="9"/>
      <c r="O1853" s="9"/>
      <c r="P1853" s="9"/>
      <c r="Q1853" s="9"/>
      <c r="R1853" s="9"/>
      <c r="S1853" s="9"/>
      <c r="T1853" s="9"/>
      <c r="U1853" s="9"/>
      <c r="V1853" s="9"/>
      <c r="W1853" s="9"/>
      <c r="X1853" s="9"/>
      <c r="Y1853" s="9"/>
      <c r="Z1853" s="9"/>
      <c r="AA1853" s="9"/>
      <c r="AB1853" s="9"/>
      <c r="AC1853" s="9"/>
      <c r="AD1853" s="9"/>
      <c r="AE1853" s="9"/>
      <c r="AF1853" s="9"/>
      <c r="AG1853" s="9"/>
      <c r="AH1853" s="9"/>
      <c r="AI1853" s="9"/>
      <c r="AJ1853" s="9"/>
      <c r="AK1853" s="9"/>
      <c r="AL1853" s="9"/>
      <c r="AM1853" s="69"/>
      <c r="AN1853" s="9"/>
      <c r="AO1853" s="69" t="s">
        <v>4893</v>
      </c>
      <c r="AP1853" s="210"/>
      <c r="AQ1853" s="211"/>
      <c r="AR1853" s="211"/>
      <c r="AS1853" s="211"/>
      <c r="AT1853" s="211"/>
      <c r="AU1853" s="211"/>
      <c r="AV1853" s="211"/>
      <c r="AW1853" s="9"/>
      <c r="AX1853" s="9"/>
      <c r="AY1853" s="9"/>
      <c r="AZ1853" s="9"/>
      <c r="BA1853" s="120"/>
      <c r="BB1853" s="69"/>
      <c r="BC1853" s="9"/>
      <c r="BD1853" s="9"/>
      <c r="BE1853" s="9"/>
      <c r="BF1853" s="9"/>
      <c r="BG1853" s="9"/>
      <c r="BH1853" s="9"/>
      <c r="BI1853" s="9"/>
      <c r="BJ1853" s="9"/>
      <c r="BK1853" s="9"/>
      <c r="BL1853" s="9"/>
      <c r="BM1853" s="9"/>
      <c r="BN1853" s="9"/>
      <c r="BO1853" s="9"/>
      <c r="BP1853" s="9"/>
      <c r="BQ1853" s="9"/>
      <c r="BR1853" s="9"/>
      <c r="BS1853" s="9"/>
      <c r="BT1853" s="9"/>
      <c r="BU1853" s="9"/>
      <c r="BV1853" s="9"/>
      <c r="BW1853" s="9"/>
      <c r="BX1853" s="9"/>
      <c r="BY1853" s="9"/>
      <c r="BZ1853" s="9"/>
      <c r="CA1853" s="9"/>
      <c r="CB1853" s="9"/>
      <c r="CC1853" s="9"/>
      <c r="CD1853" s="9"/>
      <c r="CE1853" s="9"/>
      <c r="CF1853" s="9"/>
      <c r="CG1853" s="9"/>
      <c r="CH1853" s="9"/>
      <c r="CI1853" s="9"/>
      <c r="CJ1853" s="9"/>
      <c r="CK1853" s="9"/>
      <c r="CL1853" s="9"/>
      <c r="CM1853" s="9"/>
      <c r="CN1853" s="9"/>
      <c r="CO1853" s="9"/>
      <c r="CP1853" s="9"/>
    </row>
    <row r="1854" spans="1:94" ht="30" x14ac:dyDescent="0.25">
      <c r="A1854" s="126" t="s">
        <v>4992</v>
      </c>
      <c r="B1854" s="9" t="s">
        <v>4746</v>
      </c>
      <c r="C1854" s="9"/>
      <c r="D1854" s="9"/>
      <c r="E1854" s="9"/>
      <c r="F1854" s="9"/>
      <c r="G1854" s="9"/>
      <c r="H1854" s="9"/>
      <c r="I1854" s="9"/>
      <c r="J1854" s="9"/>
      <c r="K1854" s="9"/>
      <c r="L1854" s="9"/>
      <c r="M1854" s="9"/>
      <c r="N1854" s="9"/>
      <c r="O1854" s="9"/>
      <c r="P1854" s="9"/>
      <c r="Q1854" s="9"/>
      <c r="R1854" s="9"/>
      <c r="S1854" s="9"/>
      <c r="T1854" s="9"/>
      <c r="U1854" s="9"/>
      <c r="V1854" s="9"/>
      <c r="W1854" s="9"/>
      <c r="X1854" s="9"/>
      <c r="Y1854" s="9"/>
      <c r="Z1854" s="9"/>
      <c r="AA1854" s="9"/>
      <c r="AB1854" s="9"/>
      <c r="AC1854" s="9"/>
      <c r="AD1854" s="9"/>
      <c r="AE1854" s="9"/>
      <c r="AF1854" s="9"/>
      <c r="AG1854" s="9"/>
      <c r="AH1854" s="9"/>
      <c r="AI1854" s="9"/>
      <c r="AJ1854" s="9"/>
      <c r="AK1854" s="9"/>
      <c r="AL1854" s="9"/>
      <c r="AM1854" s="69"/>
      <c r="AN1854" s="9"/>
      <c r="AO1854" s="69" t="s">
        <v>4700</v>
      </c>
      <c r="AP1854" s="210"/>
      <c r="AQ1854" s="211"/>
      <c r="AR1854" s="211"/>
      <c r="AS1854" s="211"/>
      <c r="AT1854" s="211"/>
      <c r="AU1854" s="211"/>
      <c r="AV1854" s="211"/>
      <c r="AW1854" s="9"/>
      <c r="AX1854" s="9"/>
      <c r="AY1854" s="9"/>
      <c r="AZ1854" s="9"/>
      <c r="BA1854" s="120"/>
      <c r="BB1854" s="69"/>
      <c r="BC1854" s="9"/>
      <c r="BD1854" s="9"/>
      <c r="BE1854" s="9"/>
      <c r="BF1854" s="9"/>
      <c r="BG1854" s="9"/>
      <c r="BH1854" s="9"/>
      <c r="BI1854" s="9"/>
      <c r="BJ1854" s="9"/>
      <c r="BK1854" s="9"/>
      <c r="BL1854" s="9"/>
      <c r="BM1854" s="9"/>
      <c r="BN1854" s="9"/>
      <c r="BO1854" s="9"/>
      <c r="BP1854" s="9"/>
      <c r="BQ1854" s="9"/>
      <c r="BR1854" s="9"/>
      <c r="BS1854" s="9"/>
      <c r="BT1854" s="9"/>
      <c r="BU1854" s="9"/>
      <c r="BV1854" s="9"/>
      <c r="BW1854" s="9"/>
      <c r="BX1854" s="9"/>
      <c r="BY1854" s="9"/>
      <c r="BZ1854" s="9"/>
      <c r="CA1854" s="9"/>
      <c r="CB1854" s="9"/>
      <c r="CC1854" s="9"/>
      <c r="CD1854" s="9"/>
      <c r="CE1854" s="9"/>
      <c r="CF1854" s="9"/>
      <c r="CG1854" s="9"/>
      <c r="CH1854" s="9"/>
      <c r="CI1854" s="9"/>
      <c r="CJ1854" s="9"/>
      <c r="CK1854" s="9"/>
      <c r="CL1854" s="9"/>
      <c r="CM1854" s="9"/>
      <c r="CN1854" s="9"/>
      <c r="CO1854" s="9"/>
      <c r="CP1854" s="9"/>
    </row>
    <row r="1855" spans="1:94" ht="15.75" x14ac:dyDescent="0.25">
      <c r="A1855" s="126" t="s">
        <v>4993</v>
      </c>
      <c r="B1855" s="9" t="s">
        <v>4994</v>
      </c>
      <c r="C1855" s="9"/>
      <c r="D1855" s="9"/>
      <c r="E1855" s="9"/>
      <c r="F1855" s="9"/>
      <c r="G1855" s="9"/>
      <c r="H1855" s="9"/>
      <c r="I1855" s="9"/>
      <c r="J1855" s="9"/>
      <c r="K1855" s="9"/>
      <c r="L1855" s="9"/>
      <c r="M1855" s="9"/>
      <c r="N1855" s="9"/>
      <c r="O1855" s="9"/>
      <c r="P1855" s="9"/>
      <c r="Q1855" s="9"/>
      <c r="R1855" s="9"/>
      <c r="S1855" s="9"/>
      <c r="T1855" s="9"/>
      <c r="U1855" s="9"/>
      <c r="V1855" s="9"/>
      <c r="W1855" s="9"/>
      <c r="X1855" s="9"/>
      <c r="Y1855" s="9"/>
      <c r="Z1855" s="9"/>
      <c r="AA1855" s="9"/>
      <c r="AB1855" s="9"/>
      <c r="AC1855" s="9"/>
      <c r="AD1855" s="9"/>
      <c r="AE1855" s="9"/>
      <c r="AF1855" s="9"/>
      <c r="AG1855" s="9"/>
      <c r="AH1855" s="9"/>
      <c r="AI1855" s="9"/>
      <c r="AJ1855" s="9"/>
      <c r="AK1855" s="9"/>
      <c r="AL1855" s="9"/>
      <c r="AM1855" s="69"/>
      <c r="AN1855" s="9"/>
      <c r="AO1855" s="69" t="s">
        <v>4893</v>
      </c>
      <c r="AP1855" s="210"/>
      <c r="AQ1855" s="211"/>
      <c r="AR1855" s="211"/>
      <c r="AS1855" s="211"/>
      <c r="AT1855" s="211"/>
      <c r="AU1855" s="211"/>
      <c r="AV1855" s="211"/>
      <c r="AW1855" s="9"/>
      <c r="AX1855" s="9"/>
      <c r="AY1855" s="9"/>
      <c r="AZ1855" s="9"/>
      <c r="BA1855" s="120"/>
      <c r="BB1855" s="69"/>
      <c r="BC1855" s="9"/>
      <c r="BD1855" s="9"/>
      <c r="BE1855" s="9"/>
      <c r="BF1855" s="9"/>
      <c r="BG1855" s="9"/>
      <c r="BH1855" s="9"/>
      <c r="BI1855" s="9"/>
      <c r="BJ1855" s="9"/>
      <c r="BK1855" s="9"/>
      <c r="BL1855" s="9"/>
      <c r="BM1855" s="9"/>
      <c r="BN1855" s="9"/>
      <c r="BO1855" s="9"/>
      <c r="BP1855" s="9"/>
      <c r="BQ1855" s="9"/>
      <c r="BR1855" s="9"/>
      <c r="BS1855" s="9"/>
      <c r="BT1855" s="9"/>
      <c r="BU1855" s="9"/>
      <c r="BV1855" s="9"/>
      <c r="BW1855" s="9"/>
      <c r="BX1855" s="9"/>
      <c r="BY1855" s="9"/>
      <c r="BZ1855" s="9"/>
      <c r="CA1855" s="9"/>
      <c r="CB1855" s="9"/>
      <c r="CC1855" s="9"/>
      <c r="CD1855" s="9"/>
      <c r="CE1855" s="9"/>
      <c r="CF1855" s="9"/>
      <c r="CG1855" s="9"/>
      <c r="CH1855" s="9"/>
      <c r="CI1855" s="9"/>
      <c r="CJ1855" s="9"/>
      <c r="CK1855" s="9"/>
      <c r="CL1855" s="9"/>
      <c r="CM1855" s="9"/>
      <c r="CN1855" s="9"/>
      <c r="CO1855" s="9"/>
      <c r="CP1855" s="9"/>
    </row>
    <row r="1856" spans="1:94" x14ac:dyDescent="0.25">
      <c r="A1856" s="9" t="s">
        <v>4995</v>
      </c>
      <c r="B1856" s="9" t="s">
        <v>4996</v>
      </c>
      <c r="C1856" s="9"/>
      <c r="D1856" s="9"/>
      <c r="E1856" s="9"/>
      <c r="F1856" s="9"/>
      <c r="G1856" s="9"/>
      <c r="H1856" s="9"/>
      <c r="I1856" s="9"/>
      <c r="J1856" s="9"/>
      <c r="K1856" s="9"/>
      <c r="L1856" s="9"/>
      <c r="M1856" s="9"/>
      <c r="N1856" s="9"/>
      <c r="O1856" s="9"/>
      <c r="P1856" s="9"/>
      <c r="Q1856" s="9"/>
      <c r="R1856" s="9"/>
      <c r="S1856" s="9"/>
      <c r="T1856" s="9"/>
      <c r="U1856" s="9"/>
      <c r="V1856" s="9"/>
      <c r="W1856" s="9"/>
      <c r="X1856" s="9"/>
      <c r="Y1856" s="9"/>
      <c r="Z1856" s="9"/>
      <c r="AA1856" s="9"/>
      <c r="AB1856" s="9"/>
      <c r="AC1856" s="9"/>
      <c r="AD1856" s="9"/>
      <c r="AE1856" s="9"/>
      <c r="AF1856" s="9"/>
      <c r="AG1856" s="9"/>
      <c r="AH1856" s="9"/>
      <c r="AI1856" s="9"/>
      <c r="AJ1856" s="9"/>
      <c r="AK1856" s="9"/>
      <c r="AL1856" s="9"/>
      <c r="AM1856" s="69"/>
      <c r="AN1856" s="9"/>
      <c r="AO1856" s="69" t="s">
        <v>4893</v>
      </c>
      <c r="AP1856" s="210"/>
      <c r="AQ1856" s="211"/>
      <c r="AR1856" s="211"/>
      <c r="AS1856" s="211"/>
      <c r="AT1856" s="211"/>
      <c r="AU1856" s="211"/>
      <c r="AV1856" s="211"/>
      <c r="AW1856" s="9"/>
      <c r="AX1856" s="9"/>
      <c r="AY1856" s="9"/>
      <c r="AZ1856" s="9"/>
      <c r="BA1856" s="120"/>
      <c r="BB1856" s="69"/>
      <c r="BC1856" s="9"/>
      <c r="BD1856" s="9"/>
      <c r="BE1856" s="9"/>
      <c r="BF1856" s="9"/>
      <c r="BG1856" s="9"/>
      <c r="BH1856" s="9"/>
      <c r="BI1856" s="9"/>
      <c r="BJ1856" s="9"/>
      <c r="BK1856" s="9"/>
      <c r="BL1856" s="9"/>
      <c r="BM1856" s="9"/>
      <c r="BN1856" s="9"/>
      <c r="BO1856" s="9"/>
      <c r="BP1856" s="9"/>
      <c r="BQ1856" s="9"/>
      <c r="BR1856" s="9"/>
      <c r="BS1856" s="9"/>
      <c r="BT1856" s="9"/>
      <c r="BU1856" s="9"/>
      <c r="BV1856" s="9"/>
      <c r="BW1856" s="9"/>
      <c r="BX1856" s="9"/>
      <c r="BY1856" s="9"/>
      <c r="BZ1856" s="9"/>
      <c r="CA1856" s="9"/>
      <c r="CB1856" s="9"/>
      <c r="CC1856" s="9"/>
      <c r="CD1856" s="9"/>
      <c r="CE1856" s="9"/>
      <c r="CF1856" s="9"/>
      <c r="CG1856" s="9"/>
      <c r="CH1856" s="9"/>
      <c r="CI1856" s="9"/>
      <c r="CJ1856" s="9"/>
      <c r="CK1856" s="9"/>
      <c r="CL1856" s="9"/>
      <c r="CM1856" s="9"/>
      <c r="CN1856" s="9"/>
      <c r="CO1856" s="9"/>
      <c r="CP1856" s="9"/>
    </row>
    <row r="1857" spans="1:94" ht="30" x14ac:dyDescent="0.25">
      <c r="A1857" s="62" t="s">
        <v>4997</v>
      </c>
      <c r="B1857" s="62" t="s">
        <v>4998</v>
      </c>
      <c r="C1857" s="9"/>
      <c r="D1857" s="9"/>
      <c r="E1857" s="9"/>
      <c r="F1857" s="9"/>
      <c r="G1857" s="9"/>
      <c r="H1857" s="9"/>
      <c r="I1857" s="9"/>
      <c r="J1857" s="9"/>
      <c r="K1857" s="9"/>
      <c r="L1857" s="9"/>
      <c r="M1857" s="9"/>
      <c r="N1857" s="9"/>
      <c r="O1857" s="9"/>
      <c r="P1857" s="9"/>
      <c r="Q1857" s="9"/>
      <c r="R1857" s="9"/>
      <c r="S1857" s="9"/>
      <c r="T1857" s="9"/>
      <c r="U1857" s="9"/>
      <c r="V1857" s="9"/>
      <c r="W1857" s="9"/>
      <c r="X1857" s="9"/>
      <c r="Y1857" s="9"/>
      <c r="Z1857" s="9"/>
      <c r="AA1857" s="9"/>
      <c r="AB1857" s="9"/>
      <c r="AC1857" s="9"/>
      <c r="AD1857" s="9"/>
      <c r="AE1857" s="9"/>
      <c r="AF1857" s="9"/>
      <c r="AG1857" s="9"/>
      <c r="AH1857" s="9"/>
      <c r="AI1857" s="9"/>
      <c r="AJ1857" s="9"/>
      <c r="AK1857" s="9"/>
      <c r="AL1857" s="9"/>
      <c r="AM1857" s="69"/>
      <c r="AN1857" s="9"/>
      <c r="AO1857" s="69" t="s">
        <v>4790</v>
      </c>
      <c r="AP1857" s="210"/>
      <c r="AQ1857" s="211"/>
      <c r="AR1857" s="211"/>
      <c r="AS1857" s="211"/>
      <c r="AT1857" s="211"/>
      <c r="AU1857" s="211"/>
      <c r="AV1857" s="211"/>
      <c r="AW1857" s="9"/>
      <c r="AX1857" s="9"/>
      <c r="AY1857" s="9"/>
      <c r="AZ1857" s="9"/>
      <c r="BA1857" s="120"/>
      <c r="BB1857" s="69"/>
      <c r="BC1857" s="9"/>
      <c r="BD1857" s="9"/>
      <c r="BE1857" s="9"/>
      <c r="BF1857" s="9"/>
      <c r="BG1857" s="9"/>
      <c r="BH1857" s="9"/>
      <c r="BI1857" s="9"/>
      <c r="BJ1857" s="9"/>
      <c r="BK1857" s="9"/>
      <c r="BL1857" s="9"/>
      <c r="BM1857" s="9"/>
      <c r="BN1857" s="9"/>
      <c r="BO1857" s="9"/>
      <c r="BP1857" s="9"/>
      <c r="BQ1857" s="9"/>
      <c r="BR1857" s="9"/>
      <c r="BS1857" s="9"/>
      <c r="BT1857" s="9"/>
      <c r="BU1857" s="9"/>
      <c r="BV1857" s="9"/>
      <c r="BW1857" s="9"/>
      <c r="BX1857" s="9"/>
      <c r="BY1857" s="9"/>
      <c r="BZ1857" s="9"/>
      <c r="CA1857" s="9"/>
      <c r="CB1857" s="9"/>
      <c r="CC1857" s="9"/>
      <c r="CD1857" s="9"/>
      <c r="CE1857" s="9"/>
      <c r="CF1857" s="9"/>
      <c r="CG1857" s="9"/>
      <c r="CH1857" s="9"/>
      <c r="CI1857" s="9"/>
      <c r="CJ1857" s="9"/>
      <c r="CK1857" s="9"/>
      <c r="CL1857" s="9"/>
      <c r="CM1857" s="9"/>
      <c r="CN1857" s="9"/>
      <c r="CO1857" s="9"/>
      <c r="CP1857" s="9"/>
    </row>
    <row r="1858" spans="1:94" ht="30" x14ac:dyDescent="0.25">
      <c r="A1858" s="271" t="s">
        <v>4999</v>
      </c>
      <c r="B1858" s="9" t="s">
        <v>5000</v>
      </c>
      <c r="C1858" s="9"/>
      <c r="D1858" s="9"/>
      <c r="E1858" s="9"/>
      <c r="F1858" s="9"/>
      <c r="G1858" s="9"/>
      <c r="H1858" s="9"/>
      <c r="I1858" s="9"/>
      <c r="J1858" s="9"/>
      <c r="K1858" s="9"/>
      <c r="L1858" s="9"/>
      <c r="M1858" s="9"/>
      <c r="N1858" s="9"/>
      <c r="O1858" s="9"/>
      <c r="P1858" s="9"/>
      <c r="Q1858" s="9"/>
      <c r="R1858" s="9"/>
      <c r="S1858" s="9"/>
      <c r="T1858" s="9"/>
      <c r="U1858" s="9"/>
      <c r="V1858" s="9"/>
      <c r="W1858" s="9"/>
      <c r="X1858" s="9"/>
      <c r="Y1858" s="9"/>
      <c r="Z1858" s="9"/>
      <c r="AA1858" s="9"/>
      <c r="AB1858" s="9"/>
      <c r="AC1858" s="9"/>
      <c r="AD1858" s="9"/>
      <c r="AE1858" s="9"/>
      <c r="AF1858" s="9"/>
      <c r="AG1858" s="9"/>
      <c r="AH1858" s="9"/>
      <c r="AI1858" s="9"/>
      <c r="AJ1858" s="9"/>
      <c r="AK1858" s="9"/>
      <c r="AL1858" s="9"/>
      <c r="AM1858" s="69"/>
      <c r="AN1858" s="9"/>
      <c r="AO1858" s="69" t="s">
        <v>612</v>
      </c>
      <c r="AP1858" s="210"/>
      <c r="AQ1858" s="211"/>
      <c r="AR1858" s="211"/>
      <c r="AS1858" s="211"/>
      <c r="AT1858" s="211"/>
      <c r="AU1858" s="211"/>
      <c r="AV1858" s="211"/>
      <c r="AW1858" s="9"/>
      <c r="AX1858" s="9"/>
      <c r="AY1858" s="9"/>
      <c r="AZ1858" s="9"/>
      <c r="BA1858" s="120"/>
      <c r="BB1858" s="69"/>
      <c r="BC1858" s="9"/>
      <c r="BD1858" s="9"/>
      <c r="BE1858" s="9"/>
      <c r="BF1858" s="9"/>
      <c r="BG1858" s="9"/>
      <c r="BH1858" s="9"/>
      <c r="BI1858" s="9"/>
      <c r="BJ1858" s="9"/>
      <c r="BK1858" s="9"/>
      <c r="BL1858" s="9"/>
      <c r="BM1858" s="9"/>
      <c r="BN1858" s="9"/>
      <c r="BO1858" s="9"/>
      <c r="BP1858" s="9"/>
      <c r="BQ1858" s="9"/>
      <c r="BR1858" s="9"/>
      <c r="BS1858" s="9"/>
      <c r="BT1858" s="9"/>
      <c r="BU1858" s="9"/>
      <c r="BV1858" s="9"/>
      <c r="BW1858" s="9"/>
      <c r="BX1858" s="9"/>
      <c r="BY1858" s="9"/>
      <c r="BZ1858" s="9"/>
      <c r="CA1858" s="9"/>
      <c r="CB1858" s="9"/>
      <c r="CC1858" s="9"/>
      <c r="CD1858" s="9"/>
      <c r="CE1858" s="9"/>
      <c r="CF1858" s="9"/>
      <c r="CG1858" s="9"/>
      <c r="CH1858" s="9"/>
      <c r="CI1858" s="9"/>
      <c r="CJ1858" s="9"/>
      <c r="CK1858" s="9"/>
      <c r="CL1858" s="9"/>
      <c r="CM1858" s="9"/>
      <c r="CN1858" s="9"/>
      <c r="CO1858" s="9"/>
      <c r="CP1858" s="9"/>
    </row>
    <row r="1859" spans="1:94" ht="30" x14ac:dyDescent="0.25">
      <c r="A1859" s="270" t="s">
        <v>5001</v>
      </c>
      <c r="B1859" s="9" t="s">
        <v>5002</v>
      </c>
      <c r="C1859" s="9"/>
      <c r="D1859" s="9"/>
      <c r="E1859" s="9"/>
      <c r="F1859" s="9"/>
      <c r="G1859" s="9"/>
      <c r="H1859" s="9"/>
      <c r="I1859" s="9"/>
      <c r="J1859" s="9"/>
      <c r="K1859" s="9"/>
      <c r="L1859" s="9"/>
      <c r="M1859" s="9"/>
      <c r="N1859" s="9"/>
      <c r="O1859" s="9"/>
      <c r="P1859" s="9"/>
      <c r="Q1859" s="9"/>
      <c r="R1859" s="9"/>
      <c r="S1859" s="9"/>
      <c r="T1859" s="9"/>
      <c r="U1859" s="9"/>
      <c r="V1859" s="9"/>
      <c r="W1859" s="9"/>
      <c r="X1859" s="9"/>
      <c r="Y1859" s="9"/>
      <c r="Z1859" s="9"/>
      <c r="AA1859" s="9"/>
      <c r="AB1859" s="9"/>
      <c r="AC1859" s="9"/>
      <c r="AD1859" s="9"/>
      <c r="AE1859" s="9"/>
      <c r="AF1859" s="9"/>
      <c r="AG1859" s="9"/>
      <c r="AH1859" s="9"/>
      <c r="AI1859" s="9"/>
      <c r="AJ1859" s="9"/>
      <c r="AK1859" s="9"/>
      <c r="AL1859" s="9"/>
      <c r="AM1859" s="69"/>
      <c r="AN1859" s="9"/>
      <c r="AO1859" s="69" t="s">
        <v>612</v>
      </c>
      <c r="AP1859" s="210"/>
      <c r="AQ1859" s="211"/>
      <c r="AR1859" s="211"/>
      <c r="AS1859" s="211"/>
      <c r="AT1859" s="211"/>
      <c r="AU1859" s="211"/>
      <c r="AV1859" s="211"/>
      <c r="AW1859" s="9"/>
      <c r="AX1859" s="9"/>
      <c r="AY1859" s="9"/>
      <c r="AZ1859" s="9"/>
      <c r="BA1859" s="120"/>
      <c r="BB1859" s="69"/>
      <c r="BC1859" s="9"/>
      <c r="BD1859" s="9"/>
      <c r="BE1859" s="9"/>
      <c r="BF1859" s="9"/>
      <c r="BG1859" s="9"/>
      <c r="BH1859" s="9"/>
      <c r="BI1859" s="9"/>
      <c r="BJ1859" s="9"/>
      <c r="BK1859" s="9"/>
      <c r="BL1859" s="9"/>
      <c r="BM1859" s="9"/>
      <c r="BN1859" s="9"/>
      <c r="BO1859" s="9"/>
      <c r="BP1859" s="9"/>
      <c r="BQ1859" s="9"/>
      <c r="BR1859" s="9"/>
      <c r="BS1859" s="9"/>
      <c r="BT1859" s="9"/>
      <c r="BU1859" s="9"/>
      <c r="BV1859" s="9"/>
      <c r="BW1859" s="9"/>
      <c r="BX1859" s="9"/>
      <c r="BY1859" s="9"/>
      <c r="BZ1859" s="9"/>
      <c r="CA1859" s="9"/>
      <c r="CB1859" s="9"/>
      <c r="CC1859" s="9"/>
      <c r="CD1859" s="9"/>
      <c r="CE1859" s="9"/>
      <c r="CF1859" s="9"/>
      <c r="CG1859" s="9"/>
      <c r="CH1859" s="9"/>
      <c r="CI1859" s="9"/>
      <c r="CJ1859" s="9"/>
      <c r="CK1859" s="9"/>
      <c r="CL1859" s="9"/>
      <c r="CM1859" s="9"/>
      <c r="CN1859" s="9"/>
      <c r="CO1859" s="9"/>
      <c r="CP1859" s="9"/>
    </row>
    <row r="1860" spans="1:94" x14ac:dyDescent="0.25">
      <c r="A1860" s="62" t="s">
        <v>5003</v>
      </c>
      <c r="B1860" s="62" t="s">
        <v>5004</v>
      </c>
      <c r="C1860" s="9"/>
      <c r="D1860" s="9"/>
      <c r="E1860" s="9"/>
      <c r="F1860" s="9"/>
      <c r="G1860" s="9"/>
      <c r="H1860" s="9"/>
      <c r="I1860" s="9"/>
      <c r="J1860" s="9"/>
      <c r="K1860" s="9"/>
      <c r="L1860" s="9"/>
      <c r="M1860" s="9"/>
      <c r="N1860" s="9"/>
      <c r="O1860" s="9"/>
      <c r="P1860" s="9"/>
      <c r="Q1860" s="9"/>
      <c r="R1860" s="9"/>
      <c r="S1860" s="9"/>
      <c r="T1860" s="9"/>
      <c r="U1860" s="9"/>
      <c r="V1860" s="9"/>
      <c r="W1860" s="9"/>
      <c r="X1860" s="9"/>
      <c r="Y1860" s="9"/>
      <c r="Z1860" s="9"/>
      <c r="AA1860" s="9"/>
      <c r="AB1860" s="9"/>
      <c r="AC1860" s="9"/>
      <c r="AD1860" s="9"/>
      <c r="AE1860" s="9"/>
      <c r="AF1860" s="9"/>
      <c r="AG1860" s="9"/>
      <c r="AH1860" s="9"/>
      <c r="AI1860" s="9"/>
      <c r="AJ1860" s="9"/>
      <c r="AK1860" s="9"/>
      <c r="AL1860" s="9"/>
      <c r="AM1860" s="69"/>
      <c r="AN1860" s="9"/>
      <c r="AO1860" s="69" t="s">
        <v>1977</v>
      </c>
      <c r="AP1860" s="210"/>
      <c r="AQ1860" s="211"/>
      <c r="AR1860" s="211"/>
      <c r="AS1860" s="211"/>
      <c r="AT1860" s="211"/>
      <c r="AU1860" s="211"/>
      <c r="AV1860" s="211"/>
      <c r="AW1860" s="9"/>
      <c r="AX1860" s="9"/>
      <c r="AY1860" s="9"/>
      <c r="AZ1860" s="9"/>
      <c r="BA1860" s="120"/>
      <c r="BB1860" s="69"/>
      <c r="BC1860" s="9"/>
      <c r="BD1860" s="9"/>
      <c r="BE1860" s="9"/>
      <c r="BF1860" s="9"/>
      <c r="BG1860" s="9"/>
      <c r="BH1860" s="9"/>
      <c r="BI1860" s="9"/>
      <c r="BJ1860" s="9"/>
      <c r="BK1860" s="9"/>
      <c r="BL1860" s="9"/>
      <c r="BM1860" s="9"/>
      <c r="BN1860" s="9"/>
      <c r="BO1860" s="9"/>
      <c r="BP1860" s="9"/>
      <c r="BQ1860" s="9"/>
      <c r="BR1860" s="9"/>
      <c r="BS1860" s="9"/>
      <c r="BT1860" s="9"/>
      <c r="BU1860" s="9"/>
      <c r="BV1860" s="9"/>
      <c r="BW1860" s="9"/>
      <c r="BX1860" s="9"/>
      <c r="BY1860" s="9"/>
      <c r="BZ1860" s="9"/>
      <c r="CA1860" s="9"/>
      <c r="CB1860" s="9"/>
      <c r="CC1860" s="9"/>
      <c r="CD1860" s="9"/>
      <c r="CE1860" s="9"/>
      <c r="CF1860" s="9"/>
      <c r="CG1860" s="9"/>
      <c r="CH1860" s="9"/>
      <c r="CI1860" s="9"/>
      <c r="CJ1860" s="9"/>
      <c r="CK1860" s="9"/>
      <c r="CL1860" s="9"/>
      <c r="CM1860" s="9"/>
      <c r="CN1860" s="9"/>
      <c r="CO1860" s="9"/>
      <c r="CP1860" s="9"/>
    </row>
    <row r="1861" spans="1:94" ht="15.75" x14ac:dyDescent="0.25">
      <c r="A1861" s="271" t="s">
        <v>5005</v>
      </c>
      <c r="B1861" s="9" t="s">
        <v>5006</v>
      </c>
      <c r="C1861" s="9"/>
      <c r="D1861" s="9"/>
      <c r="E1861" s="9"/>
      <c r="F1861" s="9"/>
      <c r="G1861" s="9"/>
      <c r="H1861" s="9"/>
      <c r="I1861" s="9"/>
      <c r="J1861" s="9"/>
      <c r="K1861" s="9"/>
      <c r="L1861" s="9"/>
      <c r="M1861" s="9"/>
      <c r="N1861" s="9"/>
      <c r="O1861" s="9"/>
      <c r="P1861" s="9"/>
      <c r="Q1861" s="9"/>
      <c r="R1861" s="9"/>
      <c r="S1861" s="9"/>
      <c r="T1861" s="9"/>
      <c r="U1861" s="9"/>
      <c r="V1861" s="9"/>
      <c r="W1861" s="9"/>
      <c r="X1861" s="9"/>
      <c r="Y1861" s="9"/>
      <c r="Z1861" s="9"/>
      <c r="AA1861" s="9"/>
      <c r="AB1861" s="9"/>
      <c r="AC1861" s="9"/>
      <c r="AD1861" s="9"/>
      <c r="AE1861" s="9"/>
      <c r="AF1861" s="9"/>
      <c r="AG1861" s="9"/>
      <c r="AH1861" s="9"/>
      <c r="AI1861" s="9"/>
      <c r="AJ1861" s="9"/>
      <c r="AK1861" s="9"/>
      <c r="AL1861" s="9"/>
      <c r="AM1861" s="69"/>
      <c r="AN1861" s="9"/>
      <c r="AO1861" s="69" t="s">
        <v>4893</v>
      </c>
      <c r="AP1861" s="210"/>
      <c r="AQ1861" s="211"/>
      <c r="AR1861" s="211"/>
      <c r="AS1861" s="211"/>
      <c r="AT1861" s="211"/>
      <c r="AU1861" s="211"/>
      <c r="AV1861" s="211"/>
      <c r="AW1861" s="9"/>
      <c r="AX1861" s="9"/>
      <c r="AY1861" s="9"/>
      <c r="AZ1861" s="9"/>
      <c r="BA1861" s="120"/>
      <c r="BB1861" s="69"/>
      <c r="BC1861" s="9"/>
      <c r="BD1861" s="9"/>
      <c r="BE1861" s="9"/>
      <c r="BF1861" s="9"/>
      <c r="BG1861" s="9"/>
      <c r="BH1861" s="9"/>
      <c r="BI1861" s="9"/>
      <c r="BJ1861" s="9"/>
      <c r="BK1861" s="9"/>
      <c r="BL1861" s="9"/>
      <c r="BM1861" s="9"/>
      <c r="BN1861" s="9"/>
      <c r="BO1861" s="9"/>
      <c r="BP1861" s="9"/>
      <c r="BQ1861" s="9"/>
      <c r="BR1861" s="9"/>
      <c r="BS1861" s="9"/>
      <c r="BT1861" s="9"/>
      <c r="BU1861" s="9"/>
      <c r="BV1861" s="9"/>
      <c r="BW1861" s="9"/>
      <c r="BX1861" s="9"/>
      <c r="BY1861" s="9"/>
      <c r="BZ1861" s="9"/>
      <c r="CA1861" s="9"/>
      <c r="CB1861" s="9"/>
      <c r="CC1861" s="9"/>
      <c r="CD1861" s="9"/>
      <c r="CE1861" s="9"/>
      <c r="CF1861" s="9"/>
      <c r="CG1861" s="9"/>
      <c r="CH1861" s="9"/>
      <c r="CI1861" s="9"/>
      <c r="CJ1861" s="9"/>
      <c r="CK1861" s="9"/>
      <c r="CL1861" s="9"/>
      <c r="CM1861" s="9"/>
      <c r="CN1861" s="9"/>
      <c r="CO1861" s="9"/>
      <c r="CP1861" s="9"/>
    </row>
    <row r="1862" spans="1:94" ht="15.75" x14ac:dyDescent="0.25">
      <c r="A1862" s="126" t="s">
        <v>5007</v>
      </c>
      <c r="B1862" s="9" t="s">
        <v>5008</v>
      </c>
      <c r="C1862" s="9"/>
      <c r="D1862" s="9"/>
      <c r="E1862" s="9"/>
      <c r="F1862" s="9"/>
      <c r="G1862" s="9"/>
      <c r="H1862" s="9"/>
      <c r="I1862" s="9"/>
      <c r="J1862" s="9"/>
      <c r="K1862" s="9"/>
      <c r="L1862" s="9"/>
      <c r="M1862" s="9"/>
      <c r="N1862" s="9"/>
      <c r="O1862" s="9"/>
      <c r="P1862" s="9"/>
      <c r="Q1862" s="9"/>
      <c r="R1862" s="9"/>
      <c r="S1862" s="9"/>
      <c r="T1862" s="9"/>
      <c r="U1862" s="9"/>
      <c r="V1862" s="9"/>
      <c r="W1862" s="9"/>
      <c r="X1862" s="9"/>
      <c r="Y1862" s="9"/>
      <c r="Z1862" s="9"/>
      <c r="AA1862" s="9"/>
      <c r="AB1862" s="9"/>
      <c r="AC1862" s="9"/>
      <c r="AD1862" s="9"/>
      <c r="AE1862" s="9"/>
      <c r="AF1862" s="9"/>
      <c r="AG1862" s="9"/>
      <c r="AH1862" s="9"/>
      <c r="AI1862" s="9"/>
      <c r="AJ1862" s="9"/>
      <c r="AK1862" s="9"/>
      <c r="AL1862" s="9"/>
      <c r="AM1862" s="69"/>
      <c r="AN1862" s="9"/>
      <c r="AO1862" s="69" t="s">
        <v>4893</v>
      </c>
      <c r="AP1862" s="210"/>
      <c r="AQ1862" s="211"/>
      <c r="AR1862" s="211"/>
      <c r="AS1862" s="211"/>
      <c r="AT1862" s="211"/>
      <c r="AU1862" s="211"/>
      <c r="AV1862" s="211"/>
      <c r="AW1862" s="9"/>
      <c r="AX1862" s="9"/>
      <c r="AY1862" s="9"/>
      <c r="AZ1862" s="9"/>
      <c r="BA1862" s="120"/>
      <c r="BB1862" s="69"/>
      <c r="BC1862" s="9"/>
      <c r="BD1862" s="9"/>
      <c r="BE1862" s="9"/>
      <c r="BF1862" s="9"/>
      <c r="BG1862" s="9"/>
      <c r="BH1862" s="9"/>
      <c r="BI1862" s="9"/>
      <c r="BJ1862" s="9"/>
      <c r="BK1862" s="9"/>
      <c r="BL1862" s="9"/>
      <c r="BM1862" s="9"/>
      <c r="BN1862" s="9"/>
      <c r="BO1862" s="9"/>
      <c r="BP1862" s="9"/>
      <c r="BQ1862" s="9"/>
      <c r="BR1862" s="9"/>
      <c r="BS1862" s="9"/>
      <c r="BT1862" s="9"/>
      <c r="BU1862" s="9"/>
      <c r="BV1862" s="9"/>
      <c r="BW1862" s="9"/>
      <c r="BX1862" s="9"/>
      <c r="BY1862" s="9"/>
      <c r="BZ1862" s="9"/>
      <c r="CA1862" s="9"/>
      <c r="CB1862" s="9"/>
      <c r="CC1862" s="9"/>
      <c r="CD1862" s="9"/>
      <c r="CE1862" s="9"/>
      <c r="CF1862" s="9"/>
      <c r="CG1862" s="9"/>
      <c r="CH1862" s="9"/>
      <c r="CI1862" s="9"/>
      <c r="CJ1862" s="9"/>
      <c r="CK1862" s="9"/>
      <c r="CL1862" s="9"/>
      <c r="CM1862" s="9"/>
      <c r="CN1862" s="9"/>
      <c r="CO1862" s="9"/>
      <c r="CP1862" s="9"/>
    </row>
    <row r="1863" spans="1:94" ht="15.75" x14ac:dyDescent="0.25">
      <c r="A1863" s="126" t="s">
        <v>5009</v>
      </c>
      <c r="B1863" s="9" t="s">
        <v>5010</v>
      </c>
      <c r="C1863" s="9"/>
      <c r="D1863" s="9"/>
      <c r="E1863" s="9"/>
      <c r="F1863" s="9"/>
      <c r="G1863" s="9"/>
      <c r="H1863" s="9"/>
      <c r="I1863" s="9"/>
      <c r="J1863" s="9"/>
      <c r="K1863" s="9"/>
      <c r="L1863" s="9"/>
      <c r="M1863" s="9"/>
      <c r="N1863" s="9"/>
      <c r="O1863" s="9"/>
      <c r="P1863" s="9"/>
      <c r="Q1863" s="9"/>
      <c r="R1863" s="9"/>
      <c r="S1863" s="9"/>
      <c r="T1863" s="9"/>
      <c r="U1863" s="9"/>
      <c r="V1863" s="9"/>
      <c r="W1863" s="9"/>
      <c r="X1863" s="9"/>
      <c r="Y1863" s="9"/>
      <c r="Z1863" s="9"/>
      <c r="AA1863" s="9"/>
      <c r="AB1863" s="9"/>
      <c r="AC1863" s="9"/>
      <c r="AD1863" s="9"/>
      <c r="AE1863" s="9"/>
      <c r="AF1863" s="9"/>
      <c r="AG1863" s="9"/>
      <c r="AH1863" s="9"/>
      <c r="AI1863" s="9"/>
      <c r="AJ1863" s="9"/>
      <c r="AK1863" s="9"/>
      <c r="AL1863" s="9"/>
      <c r="AM1863" s="69"/>
      <c r="AN1863" s="9"/>
      <c r="AO1863" s="69" t="s">
        <v>4893</v>
      </c>
      <c r="AP1863" s="210"/>
      <c r="AQ1863" s="211"/>
      <c r="AR1863" s="211"/>
      <c r="AS1863" s="211"/>
      <c r="AT1863" s="211"/>
      <c r="AU1863" s="211"/>
      <c r="AV1863" s="211"/>
      <c r="AW1863" s="9"/>
      <c r="AX1863" s="9"/>
      <c r="AY1863" s="9"/>
      <c r="AZ1863" s="9"/>
      <c r="BA1863" s="120"/>
      <c r="BB1863" s="69"/>
      <c r="BC1863" s="9"/>
      <c r="BD1863" s="9"/>
      <c r="BE1863" s="9"/>
      <c r="BF1863" s="9"/>
      <c r="BG1863" s="9"/>
      <c r="BH1863" s="9"/>
      <c r="BI1863" s="9"/>
      <c r="BJ1863" s="9"/>
      <c r="BK1863" s="9"/>
      <c r="BL1863" s="9"/>
      <c r="BM1863" s="9"/>
      <c r="BN1863" s="9"/>
      <c r="BO1863" s="9"/>
      <c r="BP1863" s="9"/>
      <c r="BQ1863" s="9"/>
      <c r="BR1863" s="9"/>
      <c r="BS1863" s="9"/>
      <c r="BT1863" s="9"/>
      <c r="BU1863" s="9"/>
      <c r="BV1863" s="9"/>
      <c r="BW1863" s="9"/>
      <c r="BX1863" s="9"/>
      <c r="BY1863" s="9"/>
      <c r="BZ1863" s="9"/>
      <c r="CA1863" s="9"/>
      <c r="CB1863" s="9"/>
      <c r="CC1863" s="9"/>
      <c r="CD1863" s="9"/>
      <c r="CE1863" s="9"/>
      <c r="CF1863" s="9"/>
      <c r="CG1863" s="9"/>
      <c r="CH1863" s="9"/>
      <c r="CI1863" s="9"/>
      <c r="CJ1863" s="9"/>
      <c r="CK1863" s="9"/>
      <c r="CL1863" s="9"/>
      <c r="CM1863" s="9"/>
      <c r="CN1863" s="9"/>
      <c r="CO1863" s="9"/>
      <c r="CP1863" s="9"/>
    </row>
    <row r="1864" spans="1:94" ht="15.75" x14ac:dyDescent="0.25">
      <c r="A1864" s="126" t="s">
        <v>5011</v>
      </c>
      <c r="B1864" s="9" t="s">
        <v>5012</v>
      </c>
      <c r="C1864" s="9"/>
      <c r="D1864" s="9"/>
      <c r="E1864" s="9"/>
      <c r="F1864" s="9"/>
      <c r="G1864" s="9"/>
      <c r="H1864" s="9"/>
      <c r="I1864" s="9"/>
      <c r="J1864" s="9"/>
      <c r="K1864" s="9"/>
      <c r="L1864" s="9"/>
      <c r="M1864" s="9"/>
      <c r="N1864" s="9"/>
      <c r="O1864" s="9"/>
      <c r="P1864" s="9"/>
      <c r="Q1864" s="9"/>
      <c r="R1864" s="9"/>
      <c r="S1864" s="9"/>
      <c r="T1864" s="9"/>
      <c r="U1864" s="9"/>
      <c r="V1864" s="9"/>
      <c r="W1864" s="9"/>
      <c r="X1864" s="9"/>
      <c r="Y1864" s="9"/>
      <c r="Z1864" s="9"/>
      <c r="AA1864" s="9"/>
      <c r="AB1864" s="9"/>
      <c r="AC1864" s="9"/>
      <c r="AD1864" s="9"/>
      <c r="AE1864" s="9"/>
      <c r="AF1864" s="9"/>
      <c r="AG1864" s="9"/>
      <c r="AH1864" s="9"/>
      <c r="AI1864" s="9"/>
      <c r="AJ1864" s="9"/>
      <c r="AK1864" s="9"/>
      <c r="AL1864" s="9"/>
      <c r="AM1864" s="69"/>
      <c r="AN1864" s="9"/>
      <c r="AO1864" s="69" t="s">
        <v>4893</v>
      </c>
      <c r="AP1864" s="210"/>
      <c r="AQ1864" s="211"/>
      <c r="AR1864" s="211"/>
      <c r="AS1864" s="211"/>
      <c r="AT1864" s="211"/>
      <c r="AU1864" s="211"/>
      <c r="AV1864" s="211"/>
      <c r="AW1864" s="9"/>
      <c r="AX1864" s="9"/>
      <c r="AY1864" s="9"/>
      <c r="AZ1864" s="9"/>
      <c r="BA1864" s="120"/>
      <c r="BB1864" s="69"/>
      <c r="BC1864" s="9"/>
      <c r="BD1864" s="9"/>
      <c r="BE1864" s="9"/>
      <c r="BF1864" s="9"/>
      <c r="BG1864" s="9"/>
      <c r="BH1864" s="9"/>
      <c r="BI1864" s="9"/>
      <c r="BJ1864" s="9"/>
      <c r="BK1864" s="9"/>
      <c r="BL1864" s="9"/>
      <c r="BM1864" s="9"/>
      <c r="BN1864" s="9"/>
      <c r="BO1864" s="9"/>
      <c r="BP1864" s="9"/>
      <c r="BQ1864" s="9"/>
      <c r="BR1864" s="9"/>
      <c r="BS1864" s="9"/>
      <c r="BT1864" s="9"/>
      <c r="BU1864" s="9"/>
      <c r="BV1864" s="9"/>
      <c r="BW1864" s="9"/>
      <c r="BX1864" s="9"/>
      <c r="BY1864" s="9"/>
      <c r="BZ1864" s="9"/>
      <c r="CA1864" s="9"/>
      <c r="CB1864" s="9"/>
      <c r="CC1864" s="9"/>
      <c r="CD1864" s="9"/>
      <c r="CE1864" s="9"/>
      <c r="CF1864" s="9"/>
      <c r="CG1864" s="9"/>
      <c r="CH1864" s="9"/>
      <c r="CI1864" s="9"/>
      <c r="CJ1864" s="9"/>
      <c r="CK1864" s="9"/>
      <c r="CL1864" s="9"/>
      <c r="CM1864" s="9"/>
      <c r="CN1864" s="9"/>
      <c r="CO1864" s="9"/>
      <c r="CP1864" s="9"/>
    </row>
    <row r="1865" spans="1:94" ht="30" x14ac:dyDescent="0.25">
      <c r="A1865" s="126" t="s">
        <v>5013</v>
      </c>
      <c r="B1865" s="9" t="s">
        <v>5014</v>
      </c>
      <c r="C1865" s="9"/>
      <c r="D1865" s="9"/>
      <c r="E1865" s="9"/>
      <c r="F1865" s="9"/>
      <c r="G1865" s="9"/>
      <c r="H1865" s="9"/>
      <c r="I1865" s="9"/>
      <c r="J1865" s="9"/>
      <c r="K1865" s="9"/>
      <c r="L1865" s="9"/>
      <c r="M1865" s="9"/>
      <c r="N1865" s="9"/>
      <c r="O1865" s="9"/>
      <c r="P1865" s="9"/>
      <c r="Q1865" s="9"/>
      <c r="R1865" s="9"/>
      <c r="S1865" s="9"/>
      <c r="T1865" s="9"/>
      <c r="U1865" s="9"/>
      <c r="V1865" s="9"/>
      <c r="W1865" s="9"/>
      <c r="X1865" s="9"/>
      <c r="Y1865" s="9"/>
      <c r="Z1865" s="9"/>
      <c r="AA1865" s="9"/>
      <c r="AB1865" s="9"/>
      <c r="AC1865" s="9"/>
      <c r="AD1865" s="9"/>
      <c r="AE1865" s="9"/>
      <c r="AF1865" s="9"/>
      <c r="AG1865" s="9"/>
      <c r="AH1865" s="9"/>
      <c r="AI1865" s="9"/>
      <c r="AJ1865" s="9"/>
      <c r="AK1865" s="9"/>
      <c r="AL1865" s="9"/>
      <c r="AM1865" s="69"/>
      <c r="AN1865" s="9"/>
      <c r="AO1865" s="69" t="s">
        <v>612</v>
      </c>
      <c r="AP1865" s="210"/>
      <c r="AQ1865" s="211"/>
      <c r="AR1865" s="211"/>
      <c r="AS1865" s="211"/>
      <c r="AT1865" s="211"/>
      <c r="AU1865" s="211"/>
      <c r="AV1865" s="211"/>
      <c r="AW1865" s="9"/>
      <c r="AX1865" s="9"/>
      <c r="AY1865" s="9"/>
      <c r="AZ1865" s="9"/>
      <c r="BA1865" s="120"/>
      <c r="BB1865" s="69"/>
      <c r="BC1865" s="9"/>
      <c r="BD1865" s="9"/>
      <c r="BE1865" s="9"/>
      <c r="BF1865" s="9"/>
      <c r="BG1865" s="9"/>
      <c r="BH1865" s="9"/>
      <c r="BI1865" s="9"/>
      <c r="BJ1865" s="9"/>
      <c r="BK1865" s="9"/>
      <c r="BL1865" s="9"/>
      <c r="BM1865" s="9"/>
      <c r="BN1865" s="9"/>
      <c r="BO1865" s="9"/>
      <c r="BP1865" s="9"/>
      <c r="BQ1865" s="9"/>
      <c r="BR1865" s="9"/>
      <c r="BS1865" s="9"/>
      <c r="BT1865" s="9"/>
      <c r="BU1865" s="9"/>
      <c r="BV1865" s="9"/>
      <c r="BW1865" s="9"/>
      <c r="BX1865" s="9"/>
      <c r="BY1865" s="9"/>
      <c r="BZ1865" s="9"/>
      <c r="CA1865" s="9"/>
      <c r="CB1865" s="9"/>
      <c r="CC1865" s="9"/>
      <c r="CD1865" s="9"/>
      <c r="CE1865" s="9"/>
      <c r="CF1865" s="9"/>
      <c r="CG1865" s="9"/>
      <c r="CH1865" s="9"/>
      <c r="CI1865" s="9"/>
      <c r="CJ1865" s="9"/>
      <c r="CK1865" s="9"/>
      <c r="CL1865" s="9"/>
      <c r="CM1865" s="9"/>
      <c r="CN1865" s="9"/>
      <c r="CO1865" s="9"/>
      <c r="CP1865" s="9"/>
    </row>
    <row r="1866" spans="1:94" ht="30" x14ac:dyDescent="0.25">
      <c r="A1866" s="126" t="s">
        <v>5015</v>
      </c>
      <c r="B1866" s="9" t="s">
        <v>5016</v>
      </c>
      <c r="C1866" s="9"/>
      <c r="D1866" s="9"/>
      <c r="E1866" s="9"/>
      <c r="F1866" s="9"/>
      <c r="G1866" s="9"/>
      <c r="H1866" s="9"/>
      <c r="I1866" s="9"/>
      <c r="J1866" s="9"/>
      <c r="K1866" s="9"/>
      <c r="L1866" s="9"/>
      <c r="M1866" s="9"/>
      <c r="N1866" s="9"/>
      <c r="O1866" s="9"/>
      <c r="P1866" s="9"/>
      <c r="Q1866" s="9"/>
      <c r="R1866" s="9"/>
      <c r="S1866" s="9"/>
      <c r="T1866" s="9"/>
      <c r="U1866" s="9"/>
      <c r="V1866" s="9"/>
      <c r="W1866" s="9"/>
      <c r="X1866" s="9"/>
      <c r="Y1866" s="9"/>
      <c r="Z1866" s="9"/>
      <c r="AA1866" s="9"/>
      <c r="AB1866" s="9"/>
      <c r="AC1866" s="9"/>
      <c r="AD1866" s="9"/>
      <c r="AE1866" s="9"/>
      <c r="AF1866" s="9"/>
      <c r="AG1866" s="9"/>
      <c r="AH1866" s="9"/>
      <c r="AI1866" s="9"/>
      <c r="AJ1866" s="9"/>
      <c r="AK1866" s="9"/>
      <c r="AL1866" s="9"/>
      <c r="AM1866" s="69"/>
      <c r="AN1866" s="9"/>
      <c r="AO1866" s="69" t="s">
        <v>612</v>
      </c>
      <c r="AP1866" s="210"/>
      <c r="AQ1866" s="211"/>
      <c r="AR1866" s="211"/>
      <c r="AS1866" s="211"/>
      <c r="AT1866" s="211"/>
      <c r="AU1866" s="211"/>
      <c r="AV1866" s="211"/>
      <c r="AW1866" s="9"/>
      <c r="AX1866" s="9"/>
      <c r="AY1866" s="9"/>
      <c r="AZ1866" s="9"/>
      <c r="BA1866" s="120"/>
      <c r="BB1866" s="69"/>
      <c r="BC1866" s="9"/>
      <c r="BD1866" s="9"/>
      <c r="BE1866" s="9"/>
      <c r="BF1866" s="9"/>
      <c r="BG1866" s="9"/>
      <c r="BH1866" s="9"/>
      <c r="BI1866" s="9"/>
      <c r="BJ1866" s="9"/>
      <c r="BK1866" s="9"/>
      <c r="BL1866" s="9"/>
      <c r="BM1866" s="9"/>
      <c r="BN1866" s="9"/>
      <c r="BO1866" s="9"/>
      <c r="BP1866" s="9"/>
      <c r="BQ1866" s="9"/>
      <c r="BR1866" s="9"/>
      <c r="BS1866" s="9"/>
      <c r="BT1866" s="9"/>
      <c r="BU1866" s="9"/>
      <c r="BV1866" s="9"/>
      <c r="BW1866" s="9"/>
      <c r="BX1866" s="9"/>
      <c r="BY1866" s="9"/>
      <c r="BZ1866" s="9"/>
      <c r="CA1866" s="9"/>
      <c r="CB1866" s="9"/>
      <c r="CC1866" s="9"/>
      <c r="CD1866" s="9"/>
      <c r="CE1866" s="9"/>
      <c r="CF1866" s="9"/>
      <c r="CG1866" s="9"/>
      <c r="CH1866" s="9"/>
      <c r="CI1866" s="9"/>
      <c r="CJ1866" s="9"/>
      <c r="CK1866" s="9"/>
      <c r="CL1866" s="9"/>
      <c r="CM1866" s="9"/>
      <c r="CN1866" s="9"/>
      <c r="CO1866" s="9"/>
      <c r="CP1866" s="9"/>
    </row>
    <row r="1867" spans="1:94" ht="30" x14ac:dyDescent="0.25">
      <c r="A1867" s="126" t="s">
        <v>5017</v>
      </c>
      <c r="B1867" s="9" t="s">
        <v>5018</v>
      </c>
      <c r="C1867" s="9"/>
      <c r="D1867" s="9"/>
      <c r="E1867" s="9"/>
      <c r="F1867" s="9"/>
      <c r="G1867" s="9"/>
      <c r="H1867" s="9"/>
      <c r="I1867" s="9"/>
      <c r="J1867" s="9"/>
      <c r="K1867" s="9"/>
      <c r="L1867" s="9"/>
      <c r="M1867" s="9"/>
      <c r="N1867" s="9"/>
      <c r="O1867" s="9"/>
      <c r="P1867" s="9"/>
      <c r="Q1867" s="9"/>
      <c r="R1867" s="9"/>
      <c r="S1867" s="9"/>
      <c r="T1867" s="9"/>
      <c r="U1867" s="9"/>
      <c r="V1867" s="9"/>
      <c r="W1867" s="9"/>
      <c r="X1867" s="9"/>
      <c r="Y1867" s="9"/>
      <c r="Z1867" s="9"/>
      <c r="AA1867" s="9"/>
      <c r="AB1867" s="9"/>
      <c r="AC1867" s="9"/>
      <c r="AD1867" s="9"/>
      <c r="AE1867" s="9"/>
      <c r="AF1867" s="9"/>
      <c r="AG1867" s="9"/>
      <c r="AH1867" s="9"/>
      <c r="AI1867" s="9"/>
      <c r="AJ1867" s="9"/>
      <c r="AK1867" s="9"/>
      <c r="AL1867" s="9"/>
      <c r="AM1867" s="69"/>
      <c r="AN1867" s="9"/>
      <c r="AO1867" s="69" t="s">
        <v>612</v>
      </c>
      <c r="AP1867" s="210"/>
      <c r="AQ1867" s="211"/>
      <c r="AR1867" s="211"/>
      <c r="AS1867" s="211"/>
      <c r="AT1867" s="211"/>
      <c r="AU1867" s="211"/>
      <c r="AV1867" s="211"/>
      <c r="AW1867" s="9"/>
      <c r="AX1867" s="9"/>
      <c r="AY1867" s="9"/>
      <c r="AZ1867" s="9"/>
      <c r="BA1867" s="120"/>
      <c r="BB1867" s="69"/>
      <c r="BC1867" s="9"/>
      <c r="BD1867" s="9"/>
      <c r="BE1867" s="9"/>
      <c r="BF1867" s="9"/>
      <c r="BG1867" s="9"/>
      <c r="BH1867" s="9"/>
      <c r="BI1867" s="9"/>
      <c r="BJ1867" s="9"/>
      <c r="BK1867" s="9"/>
      <c r="BL1867" s="9"/>
      <c r="BM1867" s="9"/>
      <c r="BN1867" s="9"/>
      <c r="BO1867" s="9"/>
      <c r="BP1867" s="9"/>
      <c r="BQ1867" s="9"/>
      <c r="BR1867" s="9"/>
      <c r="BS1867" s="9"/>
      <c r="BT1867" s="9"/>
      <c r="BU1867" s="9"/>
      <c r="BV1867" s="9"/>
      <c r="BW1867" s="9"/>
      <c r="BX1867" s="9"/>
      <c r="BY1867" s="9"/>
      <c r="BZ1867" s="9"/>
      <c r="CA1867" s="9"/>
      <c r="CB1867" s="9"/>
      <c r="CC1867" s="9"/>
      <c r="CD1867" s="9"/>
      <c r="CE1867" s="9"/>
      <c r="CF1867" s="9"/>
      <c r="CG1867" s="9"/>
      <c r="CH1867" s="9"/>
      <c r="CI1867" s="9"/>
      <c r="CJ1867" s="9"/>
      <c r="CK1867" s="9"/>
      <c r="CL1867" s="9"/>
      <c r="CM1867" s="9"/>
      <c r="CN1867" s="9"/>
      <c r="CO1867" s="9"/>
      <c r="CP1867" s="9"/>
    </row>
    <row r="1868" spans="1:94" x14ac:dyDescent="0.25">
      <c r="A1868" s="9" t="s">
        <v>5019</v>
      </c>
      <c r="B1868" s="9" t="s">
        <v>4827</v>
      </c>
      <c r="C1868" s="9"/>
      <c r="D1868" s="9"/>
      <c r="E1868" s="9"/>
      <c r="F1868" s="9"/>
      <c r="G1868" s="9"/>
      <c r="H1868" s="9"/>
      <c r="I1868" s="9"/>
      <c r="J1868" s="9"/>
      <c r="K1868" s="9"/>
      <c r="L1868" s="9"/>
      <c r="M1868" s="9"/>
      <c r="N1868" s="9"/>
      <c r="O1868" s="9"/>
      <c r="P1868" s="9"/>
      <c r="Q1868" s="9"/>
      <c r="R1868" s="9"/>
      <c r="S1868" s="9"/>
      <c r="T1868" s="9"/>
      <c r="U1868" s="9"/>
      <c r="V1868" s="9"/>
      <c r="W1868" s="9"/>
      <c r="X1868" s="9"/>
      <c r="Y1868" s="9"/>
      <c r="Z1868" s="9"/>
      <c r="AA1868" s="9"/>
      <c r="AB1868" s="9"/>
      <c r="AC1868" s="9"/>
      <c r="AD1868" s="9"/>
      <c r="AE1868" s="9"/>
      <c r="AF1868" s="9"/>
      <c r="AG1868" s="9"/>
      <c r="AH1868" s="9"/>
      <c r="AI1868" s="9"/>
      <c r="AJ1868" s="9"/>
      <c r="AK1868" s="9"/>
      <c r="AL1868" s="9"/>
      <c r="AM1868" s="69"/>
      <c r="AN1868" s="9"/>
      <c r="AO1868" s="69" t="s">
        <v>2150</v>
      </c>
      <c r="AP1868" s="210"/>
      <c r="AQ1868" s="211"/>
      <c r="AR1868" s="211"/>
      <c r="AS1868" s="211"/>
      <c r="AT1868" s="211"/>
      <c r="AU1868" s="211"/>
      <c r="AV1868" s="211"/>
      <c r="AW1868" s="9"/>
      <c r="AX1868" s="9"/>
      <c r="AY1868" s="9"/>
      <c r="AZ1868" s="9"/>
      <c r="BA1868" s="120"/>
      <c r="BB1868" s="69"/>
      <c r="BC1868" s="9"/>
      <c r="BD1868" s="9"/>
      <c r="BE1868" s="9"/>
      <c r="BF1868" s="9"/>
      <c r="BG1868" s="9"/>
      <c r="BH1868" s="9"/>
      <c r="BI1868" s="9"/>
      <c r="BJ1868" s="9"/>
      <c r="BK1868" s="9"/>
      <c r="BL1868" s="9"/>
      <c r="BM1868" s="9"/>
      <c r="BN1868" s="9"/>
      <c r="BO1868" s="9"/>
      <c r="BP1868" s="9"/>
      <c r="BQ1868" s="9"/>
      <c r="BR1868" s="9"/>
      <c r="BS1868" s="9"/>
      <c r="BT1868" s="9"/>
      <c r="BU1868" s="9"/>
      <c r="BV1868" s="9"/>
      <c r="BW1868" s="9"/>
      <c r="BX1868" s="9"/>
      <c r="BY1868" s="9"/>
      <c r="BZ1868" s="9"/>
      <c r="CA1868" s="9"/>
      <c r="CB1868" s="9"/>
      <c r="CC1868" s="9"/>
      <c r="CD1868" s="9"/>
      <c r="CE1868" s="9"/>
      <c r="CF1868" s="9"/>
      <c r="CG1868" s="9"/>
      <c r="CH1868" s="9"/>
      <c r="CI1868" s="9"/>
      <c r="CJ1868" s="9"/>
      <c r="CK1868" s="9"/>
      <c r="CL1868" s="9"/>
      <c r="CM1868" s="9"/>
      <c r="CN1868" s="9"/>
      <c r="CO1868" s="9"/>
      <c r="CP1868" s="9"/>
    </row>
    <row r="1869" spans="1:94" ht="15.75" x14ac:dyDescent="0.25">
      <c r="A1869" s="126" t="s">
        <v>5020</v>
      </c>
      <c r="B1869" s="9" t="s">
        <v>5021</v>
      </c>
      <c r="C1869" s="9"/>
      <c r="D1869" s="9"/>
      <c r="E1869" s="9"/>
      <c r="F1869" s="9"/>
      <c r="G1869" s="9"/>
      <c r="H1869" s="9"/>
      <c r="I1869" s="9"/>
      <c r="J1869" s="9"/>
      <c r="K1869" s="9"/>
      <c r="L1869" s="9"/>
      <c r="M1869" s="9"/>
      <c r="N1869" s="9"/>
      <c r="O1869" s="9"/>
      <c r="P1869" s="9"/>
      <c r="Q1869" s="9"/>
      <c r="R1869" s="9"/>
      <c r="S1869" s="9"/>
      <c r="T1869" s="9"/>
      <c r="U1869" s="9"/>
      <c r="V1869" s="9"/>
      <c r="W1869" s="9"/>
      <c r="X1869" s="9"/>
      <c r="Y1869" s="9"/>
      <c r="Z1869" s="9"/>
      <c r="AA1869" s="9"/>
      <c r="AB1869" s="9"/>
      <c r="AC1869" s="9"/>
      <c r="AD1869" s="9"/>
      <c r="AE1869" s="9"/>
      <c r="AF1869" s="9"/>
      <c r="AG1869" s="9"/>
      <c r="AH1869" s="9"/>
      <c r="AI1869" s="9"/>
      <c r="AJ1869" s="9"/>
      <c r="AK1869" s="9"/>
      <c r="AL1869" s="9"/>
      <c r="AM1869" s="69"/>
      <c r="AN1869" s="9"/>
      <c r="AO1869" s="69" t="s">
        <v>2150</v>
      </c>
      <c r="AP1869" s="210"/>
      <c r="AQ1869" s="211"/>
      <c r="AR1869" s="211"/>
      <c r="AS1869" s="211"/>
      <c r="AT1869" s="211"/>
      <c r="AU1869" s="211"/>
      <c r="AV1869" s="211"/>
      <c r="AW1869" s="9"/>
      <c r="AX1869" s="9"/>
      <c r="AY1869" s="9"/>
      <c r="AZ1869" s="9"/>
      <c r="BA1869" s="120"/>
      <c r="BB1869" s="69"/>
      <c r="BC1869" s="9"/>
      <c r="BD1869" s="9"/>
      <c r="BE1869" s="9"/>
      <c r="BF1869" s="9"/>
      <c r="BG1869" s="9"/>
      <c r="BH1869" s="9"/>
      <c r="BI1869" s="9"/>
      <c r="BJ1869" s="9"/>
      <c r="BK1869" s="9"/>
      <c r="BL1869" s="9"/>
      <c r="BM1869" s="9"/>
      <c r="BN1869" s="9"/>
      <c r="BO1869" s="9"/>
      <c r="BP1869" s="9"/>
      <c r="BQ1869" s="9"/>
      <c r="BR1869" s="9"/>
      <c r="BS1869" s="9"/>
      <c r="BT1869" s="9"/>
      <c r="BU1869" s="9"/>
      <c r="BV1869" s="9"/>
      <c r="BW1869" s="9"/>
      <c r="BX1869" s="9"/>
      <c r="BY1869" s="9"/>
      <c r="BZ1869" s="9"/>
      <c r="CA1869" s="9"/>
      <c r="CB1869" s="9"/>
      <c r="CC1869" s="9"/>
      <c r="CD1869" s="9"/>
      <c r="CE1869" s="9"/>
      <c r="CF1869" s="9"/>
      <c r="CG1869" s="9"/>
      <c r="CH1869" s="9"/>
      <c r="CI1869" s="9"/>
      <c r="CJ1869" s="9"/>
      <c r="CK1869" s="9"/>
      <c r="CL1869" s="9"/>
      <c r="CM1869" s="9"/>
      <c r="CN1869" s="9"/>
      <c r="CO1869" s="9"/>
      <c r="CP1869" s="9"/>
    </row>
    <row r="1870" spans="1:94" ht="15.75" x14ac:dyDescent="0.25">
      <c r="A1870" s="126" t="s">
        <v>5022</v>
      </c>
      <c r="B1870" s="9" t="s">
        <v>5023</v>
      </c>
      <c r="C1870" s="9"/>
      <c r="D1870" s="9"/>
      <c r="E1870" s="9"/>
      <c r="F1870" s="9"/>
      <c r="G1870" s="9"/>
      <c r="H1870" s="9"/>
      <c r="I1870" s="9"/>
      <c r="J1870" s="9"/>
      <c r="K1870" s="9"/>
      <c r="L1870" s="9"/>
      <c r="M1870" s="9"/>
      <c r="N1870" s="9"/>
      <c r="O1870" s="9"/>
      <c r="P1870" s="9"/>
      <c r="Q1870" s="9"/>
      <c r="R1870" s="9"/>
      <c r="S1870" s="9"/>
      <c r="T1870" s="9"/>
      <c r="U1870" s="9"/>
      <c r="V1870" s="9"/>
      <c r="W1870" s="9"/>
      <c r="X1870" s="9"/>
      <c r="Y1870" s="9"/>
      <c r="Z1870" s="9"/>
      <c r="AA1870" s="9"/>
      <c r="AB1870" s="9"/>
      <c r="AC1870" s="9"/>
      <c r="AD1870" s="9"/>
      <c r="AE1870" s="9"/>
      <c r="AF1870" s="9"/>
      <c r="AG1870" s="9"/>
      <c r="AH1870" s="9"/>
      <c r="AI1870" s="9"/>
      <c r="AJ1870" s="9"/>
      <c r="AK1870" s="9"/>
      <c r="AL1870" s="9"/>
      <c r="AM1870" s="69"/>
      <c r="AN1870" s="9"/>
      <c r="AO1870" s="69" t="s">
        <v>2150</v>
      </c>
      <c r="AP1870" s="210"/>
      <c r="AQ1870" s="211"/>
      <c r="AR1870" s="211"/>
      <c r="AS1870" s="211"/>
      <c r="AT1870" s="211"/>
      <c r="AU1870" s="211"/>
      <c r="AV1870" s="211"/>
      <c r="AW1870" s="9"/>
      <c r="AX1870" s="9"/>
      <c r="AY1870" s="9"/>
      <c r="AZ1870" s="9"/>
      <c r="BA1870" s="120"/>
      <c r="BB1870" s="69"/>
      <c r="BC1870" s="9"/>
      <c r="BD1870" s="9"/>
      <c r="BE1870" s="9"/>
      <c r="BF1870" s="9"/>
      <c r="BG1870" s="9"/>
      <c r="BH1870" s="9"/>
      <c r="BI1870" s="9"/>
      <c r="BJ1870" s="9"/>
      <c r="BK1870" s="9"/>
      <c r="BL1870" s="9"/>
      <c r="BM1870" s="9"/>
      <c r="BN1870" s="9"/>
      <c r="BO1870" s="9"/>
      <c r="BP1870" s="9"/>
      <c r="BQ1870" s="9"/>
      <c r="BR1870" s="9"/>
      <c r="BS1870" s="9"/>
      <c r="BT1870" s="9"/>
      <c r="BU1870" s="9"/>
      <c r="BV1870" s="9"/>
      <c r="BW1870" s="9"/>
      <c r="BX1870" s="9"/>
      <c r="BY1870" s="9"/>
      <c r="BZ1870" s="9"/>
      <c r="CA1870" s="9"/>
      <c r="CB1870" s="9"/>
      <c r="CC1870" s="9"/>
      <c r="CD1870" s="9"/>
      <c r="CE1870" s="9"/>
      <c r="CF1870" s="9"/>
      <c r="CG1870" s="9"/>
      <c r="CH1870" s="9"/>
      <c r="CI1870" s="9"/>
      <c r="CJ1870" s="9"/>
      <c r="CK1870" s="9"/>
      <c r="CL1870" s="9"/>
      <c r="CM1870" s="9"/>
      <c r="CN1870" s="9"/>
      <c r="CO1870" s="9"/>
      <c r="CP1870" s="9"/>
    </row>
    <row r="1871" spans="1:94" x14ac:dyDescent="0.25">
      <c r="A1871" s="9" t="s">
        <v>5024</v>
      </c>
      <c r="B1871" s="9" t="s">
        <v>5025</v>
      </c>
      <c r="C1871" s="9"/>
      <c r="D1871" s="9"/>
      <c r="E1871" s="9"/>
      <c r="F1871" s="9"/>
      <c r="G1871" s="9"/>
      <c r="H1871" s="9"/>
      <c r="I1871" s="9"/>
      <c r="J1871" s="9"/>
      <c r="K1871" s="9"/>
      <c r="L1871" s="9"/>
      <c r="M1871" s="9"/>
      <c r="N1871" s="9"/>
      <c r="O1871" s="9"/>
      <c r="P1871" s="9"/>
      <c r="Q1871" s="9"/>
      <c r="R1871" s="9"/>
      <c r="S1871" s="9"/>
      <c r="T1871" s="9"/>
      <c r="U1871" s="9"/>
      <c r="V1871" s="9"/>
      <c r="W1871" s="9"/>
      <c r="X1871" s="9"/>
      <c r="Y1871" s="9"/>
      <c r="Z1871" s="9"/>
      <c r="AA1871" s="9"/>
      <c r="AB1871" s="9"/>
      <c r="AC1871" s="9"/>
      <c r="AD1871" s="9"/>
      <c r="AE1871" s="9"/>
      <c r="AF1871" s="9"/>
      <c r="AG1871" s="9"/>
      <c r="AH1871" s="9"/>
      <c r="AI1871" s="9"/>
      <c r="AJ1871" s="9"/>
      <c r="AK1871" s="9"/>
      <c r="AL1871" s="9"/>
      <c r="AM1871" s="69"/>
      <c r="AN1871" s="9"/>
      <c r="AO1871" s="69" t="s">
        <v>4410</v>
      </c>
      <c r="AP1871" s="210"/>
      <c r="AQ1871" s="211"/>
      <c r="AR1871" s="211"/>
      <c r="AS1871" s="211"/>
      <c r="AT1871" s="211"/>
      <c r="AU1871" s="211"/>
      <c r="AV1871" s="211"/>
      <c r="AW1871" s="9"/>
      <c r="AX1871" s="9"/>
      <c r="AY1871" s="9"/>
      <c r="AZ1871" s="9"/>
      <c r="BA1871" s="120"/>
      <c r="BB1871" s="69"/>
      <c r="BC1871" s="9"/>
      <c r="BD1871" s="9"/>
      <c r="BE1871" s="9"/>
      <c r="BF1871" s="9"/>
      <c r="BG1871" s="9"/>
      <c r="BH1871" s="9"/>
      <c r="BI1871" s="9"/>
      <c r="BJ1871" s="9"/>
      <c r="BK1871" s="9"/>
      <c r="BL1871" s="9"/>
      <c r="BM1871" s="9"/>
      <c r="BN1871" s="9"/>
      <c r="BO1871" s="9"/>
      <c r="BP1871" s="9"/>
      <c r="BQ1871" s="9"/>
      <c r="BR1871" s="9"/>
      <c r="BS1871" s="9"/>
      <c r="BT1871" s="9"/>
      <c r="BU1871" s="9"/>
      <c r="BV1871" s="9"/>
      <c r="BW1871" s="9"/>
      <c r="BX1871" s="9"/>
      <c r="BY1871" s="9"/>
      <c r="BZ1871" s="9"/>
      <c r="CA1871" s="9"/>
      <c r="CB1871" s="9"/>
      <c r="CC1871" s="9"/>
      <c r="CD1871" s="9"/>
      <c r="CE1871" s="9"/>
      <c r="CF1871" s="9"/>
      <c r="CG1871" s="9"/>
      <c r="CH1871" s="9"/>
      <c r="CI1871" s="9"/>
      <c r="CJ1871" s="9"/>
      <c r="CK1871" s="9"/>
      <c r="CL1871" s="9"/>
      <c r="CM1871" s="9"/>
      <c r="CN1871" s="9"/>
      <c r="CO1871" s="9"/>
      <c r="CP1871" s="9"/>
    </row>
    <row r="1872" spans="1:94" ht="15.75" x14ac:dyDescent="0.25">
      <c r="A1872" s="126" t="s">
        <v>5026</v>
      </c>
      <c r="B1872" s="9" t="s">
        <v>5027</v>
      </c>
      <c r="C1872" s="9"/>
      <c r="D1872" s="9"/>
      <c r="E1872" s="9"/>
      <c r="F1872" s="9"/>
      <c r="G1872" s="9"/>
      <c r="H1872" s="9"/>
      <c r="I1872" s="9"/>
      <c r="J1872" s="9"/>
      <c r="K1872" s="9"/>
      <c r="L1872" s="9"/>
      <c r="M1872" s="9"/>
      <c r="N1872" s="9"/>
      <c r="O1872" s="9"/>
      <c r="P1872" s="9"/>
      <c r="Q1872" s="9"/>
      <c r="R1872" s="9"/>
      <c r="S1872" s="9"/>
      <c r="T1872" s="9"/>
      <c r="U1872" s="9"/>
      <c r="V1872" s="9"/>
      <c r="W1872" s="9"/>
      <c r="X1872" s="9"/>
      <c r="Y1872" s="9"/>
      <c r="Z1872" s="9"/>
      <c r="AA1872" s="9"/>
      <c r="AB1872" s="9"/>
      <c r="AC1872" s="9"/>
      <c r="AD1872" s="9"/>
      <c r="AE1872" s="9"/>
      <c r="AF1872" s="9"/>
      <c r="AG1872" s="9"/>
      <c r="AH1872" s="9"/>
      <c r="AI1872" s="9"/>
      <c r="AJ1872" s="9"/>
      <c r="AK1872" s="9"/>
      <c r="AL1872" s="9"/>
      <c r="AM1872" s="69"/>
      <c r="AN1872" s="9"/>
      <c r="AO1872" s="69" t="s">
        <v>4893</v>
      </c>
      <c r="AP1872" s="210"/>
      <c r="AQ1872" s="211"/>
      <c r="AR1872" s="211"/>
      <c r="AS1872" s="211"/>
      <c r="AT1872" s="211"/>
      <c r="AU1872" s="211"/>
      <c r="AV1872" s="211"/>
      <c r="AW1872" s="9"/>
      <c r="AX1872" s="9"/>
      <c r="AY1872" s="9"/>
      <c r="AZ1872" s="9"/>
      <c r="BA1872" s="120"/>
      <c r="BB1872" s="69"/>
      <c r="BC1872" s="9"/>
      <c r="BD1872" s="9"/>
      <c r="BE1872" s="9"/>
      <c r="BF1872" s="9"/>
      <c r="BG1872" s="9"/>
      <c r="BH1872" s="9"/>
      <c r="BI1872" s="9"/>
      <c r="BJ1872" s="9"/>
      <c r="BK1872" s="9"/>
      <c r="BL1872" s="9"/>
      <c r="BM1872" s="9"/>
      <c r="BN1872" s="9"/>
      <c r="BO1872" s="9"/>
      <c r="BP1872" s="9"/>
      <c r="BQ1872" s="9"/>
      <c r="BR1872" s="9"/>
      <c r="BS1872" s="9"/>
      <c r="BT1872" s="9"/>
      <c r="BU1872" s="9"/>
      <c r="BV1872" s="9"/>
      <c r="BW1872" s="9"/>
      <c r="BX1872" s="9"/>
      <c r="BY1872" s="9"/>
      <c r="BZ1872" s="9"/>
      <c r="CA1872" s="9"/>
      <c r="CB1872" s="9"/>
      <c r="CC1872" s="9"/>
      <c r="CD1872" s="9"/>
      <c r="CE1872" s="9"/>
      <c r="CF1872" s="9"/>
      <c r="CG1872" s="9"/>
      <c r="CH1872" s="9"/>
      <c r="CI1872" s="9"/>
      <c r="CJ1872" s="9"/>
      <c r="CK1872" s="9"/>
      <c r="CL1872" s="9"/>
      <c r="CM1872" s="9"/>
      <c r="CN1872" s="9"/>
      <c r="CO1872" s="9"/>
      <c r="CP1872" s="9"/>
    </row>
    <row r="1873" spans="1:94" ht="30" x14ac:dyDescent="0.25">
      <c r="A1873" s="126" t="s">
        <v>5028</v>
      </c>
      <c r="B1873" s="9" t="s">
        <v>5029</v>
      </c>
      <c r="C1873" s="9"/>
      <c r="D1873" s="9"/>
      <c r="E1873" s="9"/>
      <c r="F1873" s="9"/>
      <c r="G1873" s="9"/>
      <c r="H1873" s="9"/>
      <c r="I1873" s="9"/>
      <c r="J1873" s="9"/>
      <c r="K1873" s="9"/>
      <c r="L1873" s="9"/>
      <c r="M1873" s="9"/>
      <c r="N1873" s="9"/>
      <c r="O1873" s="9"/>
      <c r="P1873" s="9"/>
      <c r="Q1873" s="9"/>
      <c r="R1873" s="9"/>
      <c r="S1873" s="9"/>
      <c r="T1873" s="9"/>
      <c r="U1873" s="9"/>
      <c r="V1873" s="9"/>
      <c r="W1873" s="9"/>
      <c r="X1873" s="9"/>
      <c r="Y1873" s="9"/>
      <c r="Z1873" s="9"/>
      <c r="AA1873" s="9"/>
      <c r="AB1873" s="9"/>
      <c r="AC1873" s="9"/>
      <c r="AD1873" s="9"/>
      <c r="AE1873" s="9"/>
      <c r="AF1873" s="9"/>
      <c r="AG1873" s="9"/>
      <c r="AH1873" s="9"/>
      <c r="AI1873" s="9"/>
      <c r="AJ1873" s="9"/>
      <c r="AK1873" s="9"/>
      <c r="AL1873" s="9"/>
      <c r="AM1873" s="69"/>
      <c r="AN1873" s="9"/>
      <c r="AO1873" s="69" t="s">
        <v>612</v>
      </c>
      <c r="AP1873" s="210"/>
      <c r="AQ1873" s="211"/>
      <c r="AR1873" s="211"/>
      <c r="AS1873" s="211"/>
      <c r="AT1873" s="211"/>
      <c r="AU1873" s="211"/>
      <c r="AV1873" s="211"/>
      <c r="AW1873" s="9"/>
      <c r="AX1873" s="9"/>
      <c r="AY1873" s="9"/>
      <c r="AZ1873" s="9"/>
      <c r="BA1873" s="120"/>
      <c r="BB1873" s="69"/>
      <c r="BC1873" s="9"/>
      <c r="BD1873" s="9"/>
      <c r="BE1873" s="9"/>
      <c r="BF1873" s="9"/>
      <c r="BG1873" s="9"/>
      <c r="BH1873" s="9"/>
      <c r="BI1873" s="9"/>
      <c r="BJ1873" s="9"/>
      <c r="BK1873" s="9"/>
      <c r="BL1873" s="9"/>
      <c r="BM1873" s="9"/>
      <c r="BN1873" s="9"/>
      <c r="BO1873" s="9"/>
      <c r="BP1873" s="9"/>
      <c r="BQ1873" s="9"/>
      <c r="BR1873" s="9"/>
      <c r="BS1873" s="9"/>
      <c r="BT1873" s="9"/>
      <c r="BU1873" s="9"/>
      <c r="BV1873" s="9"/>
      <c r="BW1873" s="9"/>
      <c r="BX1873" s="9"/>
      <c r="BY1873" s="9"/>
      <c r="BZ1873" s="9"/>
      <c r="CA1873" s="9"/>
      <c r="CB1873" s="9"/>
      <c r="CC1873" s="9"/>
      <c r="CD1873" s="9"/>
      <c r="CE1873" s="9"/>
      <c r="CF1873" s="9"/>
      <c r="CG1873" s="9"/>
      <c r="CH1873" s="9"/>
      <c r="CI1873" s="9"/>
      <c r="CJ1873" s="9"/>
      <c r="CK1873" s="9"/>
      <c r="CL1873" s="9"/>
      <c r="CM1873" s="9"/>
      <c r="CN1873" s="9"/>
      <c r="CO1873" s="9"/>
      <c r="CP1873" s="9"/>
    </row>
    <row r="1874" spans="1:94" ht="30" x14ac:dyDescent="0.25">
      <c r="A1874" s="126" t="s">
        <v>5030</v>
      </c>
      <c r="B1874" s="9" t="s">
        <v>5031</v>
      </c>
      <c r="C1874" s="9"/>
      <c r="D1874" s="9"/>
      <c r="E1874" s="9"/>
      <c r="F1874" s="9"/>
      <c r="G1874" s="9"/>
      <c r="H1874" s="9"/>
      <c r="I1874" s="9"/>
      <c r="J1874" s="9"/>
      <c r="K1874" s="9"/>
      <c r="L1874" s="9"/>
      <c r="M1874" s="9"/>
      <c r="N1874" s="9"/>
      <c r="O1874" s="9"/>
      <c r="P1874" s="9"/>
      <c r="Q1874" s="9"/>
      <c r="R1874" s="9"/>
      <c r="S1874" s="9"/>
      <c r="T1874" s="9"/>
      <c r="U1874" s="9"/>
      <c r="V1874" s="9"/>
      <c r="W1874" s="9"/>
      <c r="X1874" s="9"/>
      <c r="Y1874" s="9"/>
      <c r="Z1874" s="9"/>
      <c r="AA1874" s="9"/>
      <c r="AB1874" s="9"/>
      <c r="AC1874" s="9"/>
      <c r="AD1874" s="9"/>
      <c r="AE1874" s="9"/>
      <c r="AF1874" s="9"/>
      <c r="AG1874" s="9"/>
      <c r="AH1874" s="9"/>
      <c r="AI1874" s="9"/>
      <c r="AJ1874" s="9"/>
      <c r="AK1874" s="9"/>
      <c r="AL1874" s="9"/>
      <c r="AM1874" s="69"/>
      <c r="AN1874" s="9"/>
      <c r="AO1874" s="69" t="s">
        <v>612</v>
      </c>
      <c r="AP1874" s="210"/>
      <c r="AQ1874" s="211"/>
      <c r="AR1874" s="211"/>
      <c r="AS1874" s="211"/>
      <c r="AT1874" s="211"/>
      <c r="AU1874" s="211"/>
      <c r="AV1874" s="211"/>
      <c r="AW1874" s="9"/>
      <c r="AX1874" s="9"/>
      <c r="AY1874" s="9"/>
      <c r="AZ1874" s="9"/>
      <c r="BA1874" s="120"/>
      <c r="BB1874" s="69"/>
      <c r="BC1874" s="9"/>
      <c r="BD1874" s="9"/>
      <c r="BE1874" s="9"/>
      <c r="BF1874" s="9"/>
      <c r="BG1874" s="9"/>
      <c r="BH1874" s="9"/>
      <c r="BI1874" s="9"/>
      <c r="BJ1874" s="9"/>
      <c r="BK1874" s="9"/>
      <c r="BL1874" s="9"/>
      <c r="BM1874" s="9"/>
      <c r="BN1874" s="9"/>
      <c r="BO1874" s="9"/>
      <c r="BP1874" s="9"/>
      <c r="BQ1874" s="9"/>
      <c r="BR1874" s="9"/>
      <c r="BS1874" s="9"/>
      <c r="BT1874" s="9"/>
      <c r="BU1874" s="9"/>
      <c r="BV1874" s="9"/>
      <c r="BW1874" s="9"/>
      <c r="BX1874" s="9"/>
      <c r="BY1874" s="9"/>
      <c r="BZ1874" s="9"/>
      <c r="CA1874" s="9"/>
      <c r="CB1874" s="9"/>
      <c r="CC1874" s="9"/>
      <c r="CD1874" s="9"/>
      <c r="CE1874" s="9"/>
      <c r="CF1874" s="9"/>
      <c r="CG1874" s="9"/>
      <c r="CH1874" s="9"/>
      <c r="CI1874" s="9"/>
      <c r="CJ1874" s="9"/>
      <c r="CK1874" s="9"/>
      <c r="CL1874" s="9"/>
      <c r="CM1874" s="9"/>
      <c r="CN1874" s="9"/>
      <c r="CO1874" s="9"/>
      <c r="CP1874" s="9"/>
    </row>
    <row r="1875" spans="1:94" ht="30" x14ac:dyDescent="0.25">
      <c r="A1875" s="126" t="s">
        <v>5032</v>
      </c>
      <c r="B1875" s="9" t="s">
        <v>5033</v>
      </c>
      <c r="C1875" s="9"/>
      <c r="D1875" s="9"/>
      <c r="E1875" s="9"/>
      <c r="F1875" s="9"/>
      <c r="G1875" s="9"/>
      <c r="H1875" s="9"/>
      <c r="I1875" s="9"/>
      <c r="J1875" s="9"/>
      <c r="K1875" s="9"/>
      <c r="L1875" s="9"/>
      <c r="M1875" s="9"/>
      <c r="N1875" s="9"/>
      <c r="O1875" s="9"/>
      <c r="P1875" s="9"/>
      <c r="Q1875" s="9"/>
      <c r="R1875" s="9"/>
      <c r="S1875" s="9"/>
      <c r="T1875" s="9"/>
      <c r="U1875" s="9"/>
      <c r="V1875" s="9"/>
      <c r="W1875" s="9"/>
      <c r="X1875" s="9"/>
      <c r="Y1875" s="9"/>
      <c r="Z1875" s="9"/>
      <c r="AA1875" s="9"/>
      <c r="AB1875" s="9"/>
      <c r="AC1875" s="9"/>
      <c r="AD1875" s="9"/>
      <c r="AE1875" s="9"/>
      <c r="AF1875" s="9"/>
      <c r="AG1875" s="9"/>
      <c r="AH1875" s="9"/>
      <c r="AI1875" s="9"/>
      <c r="AJ1875" s="9"/>
      <c r="AK1875" s="9"/>
      <c r="AL1875" s="9"/>
      <c r="AM1875" s="69"/>
      <c r="AN1875" s="9"/>
      <c r="AO1875" s="69" t="s">
        <v>612</v>
      </c>
      <c r="AP1875" s="210"/>
      <c r="AQ1875" s="211"/>
      <c r="AR1875" s="211"/>
      <c r="AS1875" s="211"/>
      <c r="AT1875" s="211"/>
      <c r="AU1875" s="211"/>
      <c r="AV1875" s="211"/>
      <c r="AW1875" s="9"/>
      <c r="AX1875" s="9"/>
      <c r="AY1875" s="9"/>
      <c r="AZ1875" s="9"/>
      <c r="BA1875" s="120"/>
      <c r="BB1875" s="69"/>
      <c r="BC1875" s="9"/>
      <c r="BD1875" s="9"/>
      <c r="BE1875" s="9"/>
      <c r="BF1875" s="9"/>
      <c r="BG1875" s="9"/>
      <c r="BH1875" s="9"/>
      <c r="BI1875" s="9"/>
      <c r="BJ1875" s="9"/>
      <c r="BK1875" s="9"/>
      <c r="BL1875" s="9"/>
      <c r="BM1875" s="9"/>
      <c r="BN1875" s="9"/>
      <c r="BO1875" s="9"/>
      <c r="BP1875" s="9"/>
      <c r="BQ1875" s="9"/>
      <c r="BR1875" s="9"/>
      <c r="BS1875" s="9"/>
      <c r="BT1875" s="9"/>
      <c r="BU1875" s="9"/>
      <c r="BV1875" s="9"/>
      <c r="BW1875" s="9"/>
      <c r="BX1875" s="9"/>
      <c r="BY1875" s="9"/>
      <c r="BZ1875" s="9"/>
      <c r="CA1875" s="9"/>
      <c r="CB1875" s="9"/>
      <c r="CC1875" s="9"/>
      <c r="CD1875" s="9"/>
      <c r="CE1875" s="9"/>
      <c r="CF1875" s="9"/>
      <c r="CG1875" s="9"/>
      <c r="CH1875" s="9"/>
      <c r="CI1875" s="9"/>
      <c r="CJ1875" s="9"/>
      <c r="CK1875" s="9"/>
      <c r="CL1875" s="9"/>
      <c r="CM1875" s="9"/>
      <c r="CN1875" s="9"/>
      <c r="CO1875" s="9"/>
      <c r="CP1875" s="9"/>
    </row>
    <row r="1876" spans="1:94" ht="15.75" x14ac:dyDescent="0.25">
      <c r="A1876" s="126" t="s">
        <v>5034</v>
      </c>
      <c r="B1876" s="9" t="s">
        <v>5035</v>
      </c>
      <c r="C1876" s="9"/>
      <c r="D1876" s="9"/>
      <c r="E1876" s="9"/>
      <c r="F1876" s="9"/>
      <c r="G1876" s="9"/>
      <c r="H1876" s="9"/>
      <c r="I1876" s="9"/>
      <c r="J1876" s="9"/>
      <c r="K1876" s="9"/>
      <c r="L1876" s="9"/>
      <c r="M1876" s="9"/>
      <c r="N1876" s="9"/>
      <c r="O1876" s="9"/>
      <c r="P1876" s="9"/>
      <c r="Q1876" s="9"/>
      <c r="R1876" s="9"/>
      <c r="S1876" s="9"/>
      <c r="T1876" s="9"/>
      <c r="U1876" s="9"/>
      <c r="V1876" s="9"/>
      <c r="W1876" s="9"/>
      <c r="X1876" s="9"/>
      <c r="Y1876" s="9"/>
      <c r="Z1876" s="9"/>
      <c r="AA1876" s="9"/>
      <c r="AB1876" s="9"/>
      <c r="AC1876" s="9"/>
      <c r="AD1876" s="9"/>
      <c r="AE1876" s="9"/>
      <c r="AF1876" s="9"/>
      <c r="AG1876" s="9"/>
      <c r="AH1876" s="9"/>
      <c r="AI1876" s="9"/>
      <c r="AJ1876" s="9"/>
      <c r="AK1876" s="9"/>
      <c r="AL1876" s="9"/>
      <c r="AM1876" s="69"/>
      <c r="AN1876" s="9"/>
      <c r="AO1876" s="69" t="s">
        <v>4893</v>
      </c>
      <c r="AP1876" s="210"/>
      <c r="AQ1876" s="211"/>
      <c r="AR1876" s="211"/>
      <c r="AS1876" s="211"/>
      <c r="AT1876" s="211"/>
      <c r="AU1876" s="211"/>
      <c r="AV1876" s="211"/>
      <c r="AW1876" s="9"/>
      <c r="AX1876" s="9"/>
      <c r="AY1876" s="9"/>
      <c r="AZ1876" s="9"/>
      <c r="BA1876" s="120"/>
      <c r="BB1876" s="69"/>
      <c r="BC1876" s="9"/>
      <c r="BD1876" s="9"/>
      <c r="BE1876" s="9"/>
      <c r="BF1876" s="9"/>
      <c r="BG1876" s="9"/>
      <c r="BH1876" s="9"/>
      <c r="BI1876" s="9"/>
      <c r="BJ1876" s="9"/>
      <c r="BK1876" s="9"/>
      <c r="BL1876" s="9"/>
      <c r="BM1876" s="9"/>
      <c r="BN1876" s="9"/>
      <c r="BO1876" s="9"/>
      <c r="BP1876" s="9"/>
      <c r="BQ1876" s="9"/>
      <c r="BR1876" s="9"/>
      <c r="BS1876" s="9"/>
      <c r="BT1876" s="9"/>
      <c r="BU1876" s="9"/>
      <c r="BV1876" s="9"/>
      <c r="BW1876" s="9"/>
      <c r="BX1876" s="9"/>
      <c r="BY1876" s="9"/>
      <c r="BZ1876" s="9"/>
      <c r="CA1876" s="9"/>
      <c r="CB1876" s="9"/>
      <c r="CC1876" s="9"/>
      <c r="CD1876" s="9"/>
      <c r="CE1876" s="9"/>
      <c r="CF1876" s="9"/>
      <c r="CG1876" s="9"/>
      <c r="CH1876" s="9"/>
      <c r="CI1876" s="9"/>
      <c r="CJ1876" s="9"/>
      <c r="CK1876" s="9"/>
      <c r="CL1876" s="9"/>
      <c r="CM1876" s="9"/>
      <c r="CN1876" s="9"/>
      <c r="CO1876" s="9"/>
      <c r="CP1876" s="9"/>
    </row>
    <row r="1877" spans="1:94" ht="15.75" x14ac:dyDescent="0.25">
      <c r="A1877" s="126" t="s">
        <v>5036</v>
      </c>
      <c r="B1877" s="9" t="s">
        <v>5037</v>
      </c>
      <c r="C1877" s="9"/>
      <c r="D1877" s="9"/>
      <c r="E1877" s="9"/>
      <c r="F1877" s="9"/>
      <c r="G1877" s="9"/>
      <c r="H1877" s="9"/>
      <c r="I1877" s="9"/>
      <c r="J1877" s="9"/>
      <c r="K1877" s="9"/>
      <c r="L1877" s="9"/>
      <c r="M1877" s="9"/>
      <c r="N1877" s="9"/>
      <c r="O1877" s="9"/>
      <c r="P1877" s="9"/>
      <c r="Q1877" s="9"/>
      <c r="R1877" s="9"/>
      <c r="S1877" s="9"/>
      <c r="T1877" s="9"/>
      <c r="U1877" s="9"/>
      <c r="V1877" s="9"/>
      <c r="W1877" s="9"/>
      <c r="X1877" s="9"/>
      <c r="Y1877" s="9"/>
      <c r="Z1877" s="9"/>
      <c r="AA1877" s="9"/>
      <c r="AB1877" s="9"/>
      <c r="AC1877" s="9"/>
      <c r="AD1877" s="9"/>
      <c r="AE1877" s="9"/>
      <c r="AF1877" s="9"/>
      <c r="AG1877" s="9"/>
      <c r="AH1877" s="9"/>
      <c r="AI1877" s="9"/>
      <c r="AJ1877" s="9"/>
      <c r="AK1877" s="9"/>
      <c r="AL1877" s="9"/>
      <c r="AM1877" s="69"/>
      <c r="AN1877" s="9"/>
      <c r="AO1877" s="69" t="s">
        <v>4893</v>
      </c>
      <c r="AP1877" s="210"/>
      <c r="AQ1877" s="211"/>
      <c r="AR1877" s="211"/>
      <c r="AS1877" s="211"/>
      <c r="AT1877" s="211"/>
      <c r="AU1877" s="211"/>
      <c r="AV1877" s="211"/>
      <c r="AW1877" s="9"/>
      <c r="AX1877" s="9"/>
      <c r="AY1877" s="9"/>
      <c r="AZ1877" s="9"/>
      <c r="BA1877" s="120"/>
      <c r="BB1877" s="69"/>
      <c r="BC1877" s="9"/>
      <c r="BD1877" s="9"/>
      <c r="BE1877" s="9"/>
      <c r="BF1877" s="9"/>
      <c r="BG1877" s="9"/>
      <c r="BH1877" s="9"/>
      <c r="BI1877" s="9"/>
      <c r="BJ1877" s="9"/>
      <c r="BK1877" s="9"/>
      <c r="BL1877" s="9"/>
      <c r="BM1877" s="9"/>
      <c r="BN1877" s="9"/>
      <c r="BO1877" s="9"/>
      <c r="BP1877" s="9"/>
      <c r="BQ1877" s="9"/>
      <c r="BR1877" s="9"/>
      <c r="BS1877" s="9"/>
      <c r="BT1877" s="9"/>
      <c r="BU1877" s="9"/>
      <c r="BV1877" s="9"/>
      <c r="BW1877" s="9"/>
      <c r="BX1877" s="9"/>
      <c r="BY1877" s="9"/>
      <c r="BZ1877" s="9"/>
      <c r="CA1877" s="9"/>
      <c r="CB1877" s="9"/>
      <c r="CC1877" s="9"/>
      <c r="CD1877" s="9"/>
      <c r="CE1877" s="9"/>
      <c r="CF1877" s="9"/>
      <c r="CG1877" s="9"/>
      <c r="CH1877" s="9"/>
      <c r="CI1877" s="9"/>
      <c r="CJ1877" s="9"/>
      <c r="CK1877" s="9"/>
      <c r="CL1877" s="9"/>
      <c r="CM1877" s="9"/>
      <c r="CN1877" s="9"/>
      <c r="CO1877" s="9"/>
      <c r="CP1877" s="9"/>
    </row>
    <row r="1878" spans="1:94" ht="15.75" x14ac:dyDescent="0.25">
      <c r="A1878" s="126" t="s">
        <v>5038</v>
      </c>
      <c r="B1878" s="9" t="s">
        <v>5039</v>
      </c>
      <c r="C1878" s="9"/>
      <c r="D1878" s="9"/>
      <c r="E1878" s="9"/>
      <c r="F1878" s="9"/>
      <c r="G1878" s="9"/>
      <c r="H1878" s="9"/>
      <c r="I1878" s="9"/>
      <c r="J1878" s="9"/>
      <c r="K1878" s="9"/>
      <c r="L1878" s="9"/>
      <c r="M1878" s="9"/>
      <c r="N1878" s="9"/>
      <c r="O1878" s="9"/>
      <c r="P1878" s="9"/>
      <c r="Q1878" s="9"/>
      <c r="R1878" s="9"/>
      <c r="S1878" s="9"/>
      <c r="T1878" s="9"/>
      <c r="U1878" s="9"/>
      <c r="V1878" s="9"/>
      <c r="W1878" s="9"/>
      <c r="X1878" s="9"/>
      <c r="Y1878" s="9"/>
      <c r="Z1878" s="9"/>
      <c r="AA1878" s="9"/>
      <c r="AB1878" s="9"/>
      <c r="AC1878" s="9"/>
      <c r="AD1878" s="9"/>
      <c r="AE1878" s="9"/>
      <c r="AF1878" s="9"/>
      <c r="AG1878" s="9"/>
      <c r="AH1878" s="9"/>
      <c r="AI1878" s="9"/>
      <c r="AJ1878" s="9"/>
      <c r="AK1878" s="9"/>
      <c r="AL1878" s="9"/>
      <c r="AM1878" s="69"/>
      <c r="AN1878" s="9"/>
      <c r="AO1878" s="69" t="s">
        <v>4893</v>
      </c>
      <c r="AP1878" s="210"/>
      <c r="AQ1878" s="211"/>
      <c r="AR1878" s="211"/>
      <c r="AS1878" s="211"/>
      <c r="AT1878" s="211"/>
      <c r="AU1878" s="211"/>
      <c r="AV1878" s="211"/>
      <c r="AW1878" s="9"/>
      <c r="AX1878" s="9"/>
      <c r="AY1878" s="9"/>
      <c r="AZ1878" s="9"/>
      <c r="BA1878" s="120"/>
      <c r="BB1878" s="69"/>
      <c r="BC1878" s="9"/>
      <c r="BD1878" s="9"/>
      <c r="BE1878" s="9"/>
      <c r="BF1878" s="9"/>
      <c r="BG1878" s="9"/>
      <c r="BH1878" s="9"/>
      <c r="BI1878" s="9"/>
      <c r="BJ1878" s="9"/>
      <c r="BK1878" s="9"/>
      <c r="BL1878" s="9"/>
      <c r="BM1878" s="9"/>
      <c r="BN1878" s="9"/>
      <c r="BO1878" s="9"/>
      <c r="BP1878" s="9"/>
      <c r="BQ1878" s="9"/>
      <c r="BR1878" s="9"/>
      <c r="BS1878" s="9"/>
      <c r="BT1878" s="9"/>
      <c r="BU1878" s="9"/>
      <c r="BV1878" s="9"/>
      <c r="BW1878" s="9"/>
      <c r="BX1878" s="9"/>
      <c r="BY1878" s="9"/>
      <c r="BZ1878" s="9"/>
      <c r="CA1878" s="9"/>
      <c r="CB1878" s="9"/>
      <c r="CC1878" s="9"/>
      <c r="CD1878" s="9"/>
      <c r="CE1878" s="9"/>
      <c r="CF1878" s="9"/>
      <c r="CG1878" s="9"/>
      <c r="CH1878" s="9"/>
      <c r="CI1878" s="9"/>
      <c r="CJ1878" s="9"/>
      <c r="CK1878" s="9"/>
      <c r="CL1878" s="9"/>
      <c r="CM1878" s="9"/>
      <c r="CN1878" s="9"/>
      <c r="CO1878" s="9"/>
      <c r="CP1878" s="9"/>
    </row>
    <row r="1879" spans="1:94" ht="15.75" x14ac:dyDescent="0.25">
      <c r="A1879" s="126" t="s">
        <v>5040</v>
      </c>
      <c r="B1879" s="9" t="s">
        <v>5041</v>
      </c>
      <c r="C1879" s="9"/>
      <c r="D1879" s="9"/>
      <c r="E1879" s="9"/>
      <c r="F1879" s="9"/>
      <c r="G1879" s="9"/>
      <c r="H1879" s="9"/>
      <c r="I1879" s="9"/>
      <c r="J1879" s="9"/>
      <c r="K1879" s="9"/>
      <c r="L1879" s="9"/>
      <c r="M1879" s="9"/>
      <c r="N1879" s="9"/>
      <c r="O1879" s="9"/>
      <c r="P1879" s="9"/>
      <c r="Q1879" s="9"/>
      <c r="R1879" s="9"/>
      <c r="S1879" s="9"/>
      <c r="T1879" s="9"/>
      <c r="U1879" s="9"/>
      <c r="V1879" s="9"/>
      <c r="W1879" s="9"/>
      <c r="X1879" s="9"/>
      <c r="Y1879" s="9"/>
      <c r="Z1879" s="9"/>
      <c r="AA1879" s="9"/>
      <c r="AB1879" s="9"/>
      <c r="AC1879" s="9"/>
      <c r="AD1879" s="9"/>
      <c r="AE1879" s="9"/>
      <c r="AF1879" s="9"/>
      <c r="AG1879" s="9"/>
      <c r="AH1879" s="9"/>
      <c r="AI1879" s="9"/>
      <c r="AJ1879" s="9"/>
      <c r="AK1879" s="9"/>
      <c r="AL1879" s="9"/>
      <c r="AM1879" s="69"/>
      <c r="AN1879" s="9"/>
      <c r="AO1879" s="69" t="s">
        <v>4893</v>
      </c>
      <c r="AP1879" s="210"/>
      <c r="AQ1879" s="211"/>
      <c r="AR1879" s="211"/>
      <c r="AS1879" s="211"/>
      <c r="AT1879" s="211"/>
      <c r="AU1879" s="211"/>
      <c r="AV1879" s="211"/>
      <c r="AW1879" s="9"/>
      <c r="AX1879" s="9"/>
      <c r="AY1879" s="9"/>
      <c r="AZ1879" s="9"/>
      <c r="BA1879" s="120"/>
      <c r="BB1879" s="69"/>
      <c r="BC1879" s="9"/>
      <c r="BD1879" s="9"/>
      <c r="BE1879" s="9"/>
      <c r="BF1879" s="9"/>
      <c r="BG1879" s="9"/>
      <c r="BH1879" s="9"/>
      <c r="BI1879" s="9"/>
      <c r="BJ1879" s="9"/>
      <c r="BK1879" s="9"/>
      <c r="BL1879" s="9"/>
      <c r="BM1879" s="9"/>
      <c r="BN1879" s="9"/>
      <c r="BO1879" s="9"/>
      <c r="BP1879" s="9"/>
      <c r="BQ1879" s="9"/>
      <c r="BR1879" s="9"/>
      <c r="BS1879" s="9"/>
      <c r="BT1879" s="9"/>
      <c r="BU1879" s="9"/>
      <c r="BV1879" s="9"/>
      <c r="BW1879" s="9"/>
      <c r="BX1879" s="9"/>
      <c r="BY1879" s="9"/>
      <c r="BZ1879" s="9"/>
      <c r="CA1879" s="9"/>
      <c r="CB1879" s="9"/>
      <c r="CC1879" s="9"/>
      <c r="CD1879" s="9"/>
      <c r="CE1879" s="9"/>
      <c r="CF1879" s="9"/>
      <c r="CG1879" s="9"/>
      <c r="CH1879" s="9"/>
      <c r="CI1879" s="9"/>
      <c r="CJ1879" s="9"/>
      <c r="CK1879" s="9"/>
      <c r="CL1879" s="9"/>
      <c r="CM1879" s="9"/>
      <c r="CN1879" s="9"/>
      <c r="CO1879" s="9"/>
      <c r="CP1879" s="9"/>
    </row>
    <row r="1880" spans="1:94" ht="15.75" x14ac:dyDescent="0.25">
      <c r="A1880" s="126" t="s">
        <v>5042</v>
      </c>
      <c r="B1880" s="9" t="s">
        <v>5043</v>
      </c>
      <c r="C1880" s="9"/>
      <c r="D1880" s="9"/>
      <c r="E1880" s="9"/>
      <c r="F1880" s="9"/>
      <c r="G1880" s="9"/>
      <c r="H1880" s="9"/>
      <c r="I1880" s="9"/>
      <c r="J1880" s="9"/>
      <c r="K1880" s="9"/>
      <c r="L1880" s="9"/>
      <c r="M1880" s="9"/>
      <c r="N1880" s="9"/>
      <c r="O1880" s="9"/>
      <c r="P1880" s="9"/>
      <c r="Q1880" s="9"/>
      <c r="R1880" s="9"/>
      <c r="S1880" s="9"/>
      <c r="T1880" s="9"/>
      <c r="U1880" s="9"/>
      <c r="V1880" s="9"/>
      <c r="W1880" s="9"/>
      <c r="X1880" s="9"/>
      <c r="Y1880" s="9"/>
      <c r="Z1880" s="9"/>
      <c r="AA1880" s="9"/>
      <c r="AB1880" s="9"/>
      <c r="AC1880" s="9"/>
      <c r="AD1880" s="9"/>
      <c r="AE1880" s="9"/>
      <c r="AF1880" s="9"/>
      <c r="AG1880" s="9"/>
      <c r="AH1880" s="9"/>
      <c r="AI1880" s="9"/>
      <c r="AJ1880" s="9"/>
      <c r="AK1880" s="9"/>
      <c r="AL1880" s="9"/>
      <c r="AM1880" s="69"/>
      <c r="AN1880" s="9"/>
      <c r="AO1880" s="69" t="s">
        <v>4893</v>
      </c>
      <c r="AP1880" s="210"/>
      <c r="AQ1880" s="211"/>
      <c r="AR1880" s="211"/>
      <c r="AS1880" s="211"/>
      <c r="AT1880" s="211"/>
      <c r="AU1880" s="211"/>
      <c r="AV1880" s="211"/>
      <c r="AW1880" s="9"/>
      <c r="AX1880" s="9"/>
      <c r="AY1880" s="9"/>
      <c r="AZ1880" s="9"/>
      <c r="BA1880" s="120"/>
      <c r="BB1880" s="69"/>
      <c r="BC1880" s="9"/>
      <c r="BD1880" s="9"/>
      <c r="BE1880" s="9"/>
      <c r="BF1880" s="9"/>
      <c r="BG1880" s="9"/>
      <c r="BH1880" s="9"/>
      <c r="BI1880" s="9"/>
      <c r="BJ1880" s="9"/>
      <c r="BK1880" s="9"/>
      <c r="BL1880" s="9"/>
      <c r="BM1880" s="9"/>
      <c r="BN1880" s="9"/>
      <c r="BO1880" s="9"/>
      <c r="BP1880" s="9"/>
      <c r="BQ1880" s="9"/>
      <c r="BR1880" s="9"/>
      <c r="BS1880" s="9"/>
      <c r="BT1880" s="9"/>
      <c r="BU1880" s="9"/>
      <c r="BV1880" s="9"/>
      <c r="BW1880" s="9"/>
      <c r="BX1880" s="9"/>
      <c r="BY1880" s="9"/>
      <c r="BZ1880" s="9"/>
      <c r="CA1880" s="9"/>
      <c r="CB1880" s="9"/>
      <c r="CC1880" s="9"/>
      <c r="CD1880" s="9"/>
      <c r="CE1880" s="9"/>
      <c r="CF1880" s="9"/>
      <c r="CG1880" s="9"/>
      <c r="CH1880" s="9"/>
      <c r="CI1880" s="9"/>
      <c r="CJ1880" s="9"/>
      <c r="CK1880" s="9"/>
      <c r="CL1880" s="9"/>
      <c r="CM1880" s="9"/>
      <c r="CN1880" s="9"/>
      <c r="CO1880" s="9"/>
      <c r="CP1880" s="9"/>
    </row>
    <row r="1881" spans="1:94" ht="15.75" x14ac:dyDescent="0.25">
      <c r="A1881" s="126" t="s">
        <v>5044</v>
      </c>
      <c r="B1881" s="9" t="s">
        <v>5045</v>
      </c>
      <c r="C1881" s="9"/>
      <c r="D1881" s="9"/>
      <c r="E1881" s="9"/>
      <c r="F1881" s="9"/>
      <c r="G1881" s="9"/>
      <c r="H1881" s="9"/>
      <c r="I1881" s="9"/>
      <c r="J1881" s="9"/>
      <c r="K1881" s="9"/>
      <c r="L1881" s="9"/>
      <c r="M1881" s="9"/>
      <c r="N1881" s="9"/>
      <c r="O1881" s="9"/>
      <c r="P1881" s="9"/>
      <c r="Q1881" s="9"/>
      <c r="R1881" s="9"/>
      <c r="S1881" s="9"/>
      <c r="T1881" s="9"/>
      <c r="U1881" s="9"/>
      <c r="V1881" s="9"/>
      <c r="W1881" s="9"/>
      <c r="X1881" s="9"/>
      <c r="Y1881" s="9"/>
      <c r="Z1881" s="9"/>
      <c r="AA1881" s="9"/>
      <c r="AB1881" s="9"/>
      <c r="AC1881" s="9"/>
      <c r="AD1881" s="9"/>
      <c r="AE1881" s="9"/>
      <c r="AF1881" s="9"/>
      <c r="AG1881" s="9"/>
      <c r="AH1881" s="9"/>
      <c r="AI1881" s="9"/>
      <c r="AJ1881" s="9"/>
      <c r="AK1881" s="9"/>
      <c r="AL1881" s="9"/>
      <c r="AM1881" s="69"/>
      <c r="AN1881" s="9"/>
      <c r="AO1881" s="69" t="s">
        <v>4893</v>
      </c>
      <c r="AP1881" s="210"/>
      <c r="AQ1881" s="211"/>
      <c r="AR1881" s="211"/>
      <c r="AS1881" s="211"/>
      <c r="AT1881" s="211"/>
      <c r="AU1881" s="211"/>
      <c r="AV1881" s="211"/>
      <c r="AW1881" s="9"/>
      <c r="AX1881" s="9"/>
      <c r="AY1881" s="9"/>
      <c r="AZ1881" s="9"/>
      <c r="BA1881" s="120"/>
      <c r="BB1881" s="69"/>
      <c r="BC1881" s="9"/>
      <c r="BD1881" s="9"/>
      <c r="BE1881" s="9"/>
      <c r="BF1881" s="9"/>
      <c r="BG1881" s="9"/>
      <c r="BH1881" s="9"/>
      <c r="BI1881" s="9"/>
      <c r="BJ1881" s="9"/>
      <c r="BK1881" s="9"/>
      <c r="BL1881" s="9"/>
      <c r="BM1881" s="9"/>
      <c r="BN1881" s="9"/>
      <c r="BO1881" s="9"/>
      <c r="BP1881" s="9"/>
      <c r="BQ1881" s="9"/>
      <c r="BR1881" s="9"/>
      <c r="BS1881" s="9"/>
      <c r="BT1881" s="9"/>
      <c r="BU1881" s="9"/>
      <c r="BV1881" s="9"/>
      <c r="BW1881" s="9"/>
      <c r="BX1881" s="9"/>
      <c r="BY1881" s="9"/>
      <c r="BZ1881" s="9"/>
      <c r="CA1881" s="9"/>
      <c r="CB1881" s="9"/>
      <c r="CC1881" s="9"/>
      <c r="CD1881" s="9"/>
      <c r="CE1881" s="9"/>
      <c r="CF1881" s="9"/>
      <c r="CG1881" s="9"/>
      <c r="CH1881" s="9"/>
      <c r="CI1881" s="9"/>
      <c r="CJ1881" s="9"/>
      <c r="CK1881" s="9"/>
      <c r="CL1881" s="9"/>
      <c r="CM1881" s="9"/>
      <c r="CN1881" s="9"/>
      <c r="CO1881" s="9"/>
      <c r="CP1881" s="9"/>
    </row>
    <row r="1882" spans="1:94" ht="15.75" x14ac:dyDescent="0.25">
      <c r="A1882" s="126" t="s">
        <v>5046</v>
      </c>
      <c r="B1882" s="9" t="s">
        <v>5047</v>
      </c>
      <c r="C1882" s="9"/>
      <c r="D1882" s="9"/>
      <c r="E1882" s="9"/>
      <c r="F1882" s="9"/>
      <c r="G1882" s="9"/>
      <c r="H1882" s="9"/>
      <c r="I1882" s="9"/>
      <c r="J1882" s="9"/>
      <c r="K1882" s="9"/>
      <c r="L1882" s="9"/>
      <c r="M1882" s="9"/>
      <c r="N1882" s="9"/>
      <c r="O1882" s="9"/>
      <c r="P1882" s="9"/>
      <c r="Q1882" s="9"/>
      <c r="R1882" s="9"/>
      <c r="S1882" s="9"/>
      <c r="T1882" s="9"/>
      <c r="U1882" s="9"/>
      <c r="V1882" s="9"/>
      <c r="W1882" s="9"/>
      <c r="X1882" s="9"/>
      <c r="Y1882" s="9"/>
      <c r="Z1882" s="9"/>
      <c r="AA1882" s="9"/>
      <c r="AB1882" s="9"/>
      <c r="AC1882" s="9"/>
      <c r="AD1882" s="9"/>
      <c r="AE1882" s="9"/>
      <c r="AF1882" s="9"/>
      <c r="AG1882" s="9"/>
      <c r="AH1882" s="9"/>
      <c r="AI1882" s="9"/>
      <c r="AJ1882" s="9"/>
      <c r="AK1882" s="9"/>
      <c r="AL1882" s="9"/>
      <c r="AM1882" s="69"/>
      <c r="AN1882" s="9"/>
      <c r="AO1882" s="69" t="s">
        <v>4893</v>
      </c>
      <c r="AP1882" s="210"/>
      <c r="AQ1882" s="211"/>
      <c r="AR1882" s="211"/>
      <c r="AS1882" s="211"/>
      <c r="AT1882" s="211"/>
      <c r="AU1882" s="211"/>
      <c r="AV1882" s="211"/>
      <c r="AW1882" s="9"/>
      <c r="AX1882" s="9"/>
      <c r="AY1882" s="9"/>
      <c r="AZ1882" s="9"/>
      <c r="BA1882" s="120"/>
      <c r="BB1882" s="69"/>
      <c r="BC1882" s="9"/>
      <c r="BD1882" s="9"/>
      <c r="BE1882" s="9"/>
      <c r="BF1882" s="9"/>
      <c r="BG1882" s="9"/>
      <c r="BH1882" s="9"/>
      <c r="BI1882" s="9"/>
      <c r="BJ1882" s="9"/>
      <c r="BK1882" s="9"/>
      <c r="BL1882" s="9"/>
      <c r="BM1882" s="9"/>
      <c r="BN1882" s="9"/>
      <c r="BO1882" s="9"/>
      <c r="BP1882" s="9"/>
      <c r="BQ1882" s="9"/>
      <c r="BR1882" s="9"/>
      <c r="BS1882" s="9"/>
      <c r="BT1882" s="9"/>
      <c r="BU1882" s="9"/>
      <c r="BV1882" s="9"/>
      <c r="BW1882" s="9"/>
      <c r="BX1882" s="9"/>
      <c r="BY1882" s="9"/>
      <c r="BZ1882" s="9"/>
      <c r="CA1882" s="9"/>
      <c r="CB1882" s="9"/>
      <c r="CC1882" s="9"/>
      <c r="CD1882" s="9"/>
      <c r="CE1882" s="9"/>
      <c r="CF1882" s="9"/>
      <c r="CG1882" s="9"/>
      <c r="CH1882" s="9"/>
      <c r="CI1882" s="9"/>
      <c r="CJ1882" s="9"/>
      <c r="CK1882" s="9"/>
      <c r="CL1882" s="9"/>
      <c r="CM1882" s="9"/>
      <c r="CN1882" s="9"/>
      <c r="CO1882" s="9"/>
      <c r="CP1882" s="9"/>
    </row>
    <row r="1883" spans="1:94" ht="15.75" x14ac:dyDescent="0.25">
      <c r="A1883" s="126" t="s">
        <v>5048</v>
      </c>
      <c r="B1883" s="9" t="s">
        <v>5049</v>
      </c>
      <c r="C1883" s="9"/>
      <c r="D1883" s="9"/>
      <c r="E1883" s="9"/>
      <c r="F1883" s="9"/>
      <c r="G1883" s="9"/>
      <c r="H1883" s="9"/>
      <c r="I1883" s="9"/>
      <c r="J1883" s="9"/>
      <c r="K1883" s="9"/>
      <c r="L1883" s="9"/>
      <c r="M1883" s="9"/>
      <c r="N1883" s="9"/>
      <c r="O1883" s="9"/>
      <c r="P1883" s="9"/>
      <c r="Q1883" s="9"/>
      <c r="R1883" s="9"/>
      <c r="S1883" s="9"/>
      <c r="T1883" s="9"/>
      <c r="U1883" s="9"/>
      <c r="V1883" s="9"/>
      <c r="W1883" s="9"/>
      <c r="X1883" s="9"/>
      <c r="Y1883" s="9"/>
      <c r="Z1883" s="9"/>
      <c r="AA1883" s="9"/>
      <c r="AB1883" s="9"/>
      <c r="AC1883" s="9"/>
      <c r="AD1883" s="9"/>
      <c r="AE1883" s="9"/>
      <c r="AF1883" s="9"/>
      <c r="AG1883" s="9"/>
      <c r="AH1883" s="9"/>
      <c r="AI1883" s="9"/>
      <c r="AJ1883" s="9"/>
      <c r="AK1883" s="9"/>
      <c r="AL1883" s="9"/>
      <c r="AM1883" s="69"/>
      <c r="AN1883" s="9"/>
      <c r="AO1883" s="69" t="s">
        <v>4893</v>
      </c>
      <c r="AP1883" s="210"/>
      <c r="AQ1883" s="211"/>
      <c r="AR1883" s="211"/>
      <c r="AS1883" s="211"/>
      <c r="AT1883" s="211"/>
      <c r="AU1883" s="211"/>
      <c r="AV1883" s="211"/>
      <c r="AW1883" s="9"/>
      <c r="AX1883" s="9"/>
      <c r="AY1883" s="9"/>
      <c r="AZ1883" s="9"/>
      <c r="BA1883" s="120"/>
      <c r="BB1883" s="69"/>
      <c r="BC1883" s="9"/>
      <c r="BD1883" s="9"/>
      <c r="BE1883" s="9"/>
      <c r="BF1883" s="9"/>
      <c r="BG1883" s="9"/>
      <c r="BH1883" s="9"/>
      <c r="BI1883" s="9"/>
      <c r="BJ1883" s="9"/>
      <c r="BK1883" s="9"/>
      <c r="BL1883" s="9"/>
      <c r="BM1883" s="9"/>
      <c r="BN1883" s="9"/>
      <c r="BO1883" s="9"/>
      <c r="BP1883" s="9"/>
      <c r="BQ1883" s="9"/>
      <c r="BR1883" s="9"/>
      <c r="BS1883" s="9"/>
      <c r="BT1883" s="9"/>
      <c r="BU1883" s="9"/>
      <c r="BV1883" s="9"/>
      <c r="BW1883" s="9"/>
      <c r="BX1883" s="9"/>
      <c r="BY1883" s="9"/>
      <c r="BZ1883" s="9"/>
      <c r="CA1883" s="9"/>
      <c r="CB1883" s="9"/>
      <c r="CC1883" s="9"/>
      <c r="CD1883" s="9"/>
      <c r="CE1883" s="9"/>
      <c r="CF1883" s="9"/>
      <c r="CG1883" s="9"/>
      <c r="CH1883" s="9"/>
      <c r="CI1883" s="9"/>
      <c r="CJ1883" s="9"/>
      <c r="CK1883" s="9"/>
      <c r="CL1883" s="9"/>
      <c r="CM1883" s="9"/>
      <c r="CN1883" s="9"/>
      <c r="CO1883" s="9"/>
      <c r="CP1883" s="9"/>
    </row>
    <row r="1884" spans="1:94" ht="15.75" x14ac:dyDescent="0.25">
      <c r="A1884" s="126" t="s">
        <v>5050</v>
      </c>
      <c r="B1884" s="9" t="s">
        <v>5051</v>
      </c>
      <c r="C1884" s="9"/>
      <c r="D1884" s="9"/>
      <c r="E1884" s="9"/>
      <c r="F1884" s="9"/>
      <c r="G1884" s="9"/>
      <c r="H1884" s="9"/>
      <c r="I1884" s="9"/>
      <c r="J1884" s="9"/>
      <c r="K1884" s="9"/>
      <c r="L1884" s="9"/>
      <c r="M1884" s="9"/>
      <c r="N1884" s="9"/>
      <c r="O1884" s="9"/>
      <c r="P1884" s="9"/>
      <c r="Q1884" s="9"/>
      <c r="R1884" s="9"/>
      <c r="S1884" s="9"/>
      <c r="T1884" s="9"/>
      <c r="U1884" s="9"/>
      <c r="V1884" s="9"/>
      <c r="W1884" s="9"/>
      <c r="X1884" s="9"/>
      <c r="Y1884" s="9"/>
      <c r="Z1884" s="9"/>
      <c r="AA1884" s="9"/>
      <c r="AB1884" s="9"/>
      <c r="AC1884" s="9"/>
      <c r="AD1884" s="9"/>
      <c r="AE1884" s="9"/>
      <c r="AF1884" s="9"/>
      <c r="AG1884" s="9"/>
      <c r="AH1884" s="9"/>
      <c r="AI1884" s="9"/>
      <c r="AJ1884" s="9"/>
      <c r="AK1884" s="9"/>
      <c r="AL1884" s="9"/>
      <c r="AM1884" s="69"/>
      <c r="AN1884" s="9"/>
      <c r="AO1884" s="69" t="s">
        <v>4893</v>
      </c>
      <c r="AP1884" s="210"/>
      <c r="AQ1884" s="211"/>
      <c r="AR1884" s="211"/>
      <c r="AS1884" s="211"/>
      <c r="AT1884" s="211"/>
      <c r="AU1884" s="211"/>
      <c r="AV1884" s="211"/>
      <c r="AW1884" s="9"/>
      <c r="AX1884" s="9"/>
      <c r="AY1884" s="9"/>
      <c r="AZ1884" s="9"/>
      <c r="BA1884" s="120"/>
      <c r="BB1884" s="69"/>
      <c r="BC1884" s="9"/>
      <c r="BD1884" s="9"/>
      <c r="BE1884" s="9"/>
      <c r="BF1884" s="9"/>
      <c r="BG1884" s="9"/>
      <c r="BH1884" s="9"/>
      <c r="BI1884" s="9"/>
      <c r="BJ1884" s="9"/>
      <c r="BK1884" s="9"/>
      <c r="BL1884" s="9"/>
      <c r="BM1884" s="9"/>
      <c r="BN1884" s="9"/>
      <c r="BO1884" s="9"/>
      <c r="BP1884" s="9"/>
      <c r="BQ1884" s="9"/>
      <c r="BR1884" s="9"/>
      <c r="BS1884" s="9"/>
      <c r="BT1884" s="9"/>
      <c r="BU1884" s="9"/>
      <c r="BV1884" s="9"/>
      <c r="BW1884" s="9"/>
      <c r="BX1884" s="9"/>
      <c r="BY1884" s="9"/>
      <c r="BZ1884" s="9"/>
      <c r="CA1884" s="9"/>
      <c r="CB1884" s="9"/>
      <c r="CC1884" s="9"/>
      <c r="CD1884" s="9"/>
      <c r="CE1884" s="9"/>
      <c r="CF1884" s="9"/>
      <c r="CG1884" s="9"/>
      <c r="CH1884" s="9"/>
      <c r="CI1884" s="9"/>
      <c r="CJ1884" s="9"/>
      <c r="CK1884" s="9"/>
      <c r="CL1884" s="9"/>
      <c r="CM1884" s="9"/>
      <c r="CN1884" s="9"/>
      <c r="CO1884" s="9"/>
      <c r="CP1884" s="9"/>
    </row>
    <row r="1885" spans="1:94" x14ac:dyDescent="0.25">
      <c r="A1885" s="9" t="s">
        <v>5052</v>
      </c>
      <c r="B1885" s="9" t="s">
        <v>5053</v>
      </c>
      <c r="C1885" s="9"/>
      <c r="D1885" s="9"/>
      <c r="E1885" s="9"/>
      <c r="F1885" s="9"/>
      <c r="G1885" s="9"/>
      <c r="H1885" s="9"/>
      <c r="I1885" s="9"/>
      <c r="J1885" s="9"/>
      <c r="K1885" s="9"/>
      <c r="L1885" s="9"/>
      <c r="M1885" s="9"/>
      <c r="N1885" s="9"/>
      <c r="O1885" s="9"/>
      <c r="P1885" s="9"/>
      <c r="Q1885" s="9"/>
      <c r="R1885" s="9"/>
      <c r="S1885" s="9"/>
      <c r="T1885" s="9"/>
      <c r="U1885" s="9"/>
      <c r="V1885" s="9"/>
      <c r="W1885" s="9"/>
      <c r="X1885" s="9"/>
      <c r="Y1885" s="9"/>
      <c r="Z1885" s="9"/>
      <c r="AA1885" s="9"/>
      <c r="AB1885" s="9"/>
      <c r="AC1885" s="9"/>
      <c r="AD1885" s="9"/>
      <c r="AE1885" s="9"/>
      <c r="AF1885" s="9"/>
      <c r="AG1885" s="9"/>
      <c r="AH1885" s="9"/>
      <c r="AI1885" s="9"/>
      <c r="AJ1885" s="9"/>
      <c r="AK1885" s="9"/>
      <c r="AL1885" s="9"/>
      <c r="AM1885" s="69"/>
      <c r="AN1885" s="9"/>
      <c r="AO1885" s="69" t="s">
        <v>4591</v>
      </c>
      <c r="AP1885" s="210"/>
      <c r="AQ1885" s="211"/>
      <c r="AR1885" s="211"/>
      <c r="AS1885" s="211"/>
      <c r="AT1885" s="211"/>
      <c r="AU1885" s="211"/>
      <c r="AV1885" s="211"/>
      <c r="AW1885" s="9"/>
      <c r="AX1885" s="9"/>
      <c r="AY1885" s="9"/>
      <c r="AZ1885" s="9"/>
      <c r="BA1885" s="120"/>
      <c r="BB1885" s="69"/>
      <c r="BC1885" s="9"/>
      <c r="BD1885" s="9"/>
      <c r="BE1885" s="9"/>
      <c r="BF1885" s="9"/>
      <c r="BG1885" s="9"/>
      <c r="BH1885" s="9"/>
      <c r="BI1885" s="9"/>
      <c r="BJ1885" s="9"/>
      <c r="BK1885" s="9"/>
      <c r="BL1885" s="9"/>
      <c r="BM1885" s="9"/>
      <c r="BN1885" s="9"/>
      <c r="BO1885" s="9"/>
      <c r="BP1885" s="9"/>
      <c r="BQ1885" s="9"/>
      <c r="BR1885" s="9"/>
      <c r="BS1885" s="9"/>
      <c r="BT1885" s="9"/>
      <c r="BU1885" s="9"/>
      <c r="BV1885" s="9"/>
      <c r="BW1885" s="9"/>
      <c r="BX1885" s="9"/>
      <c r="BY1885" s="9"/>
      <c r="BZ1885" s="9"/>
      <c r="CA1885" s="9"/>
      <c r="CB1885" s="9"/>
      <c r="CC1885" s="9"/>
      <c r="CD1885" s="9"/>
      <c r="CE1885" s="9"/>
      <c r="CF1885" s="9"/>
      <c r="CG1885" s="9"/>
      <c r="CH1885" s="9"/>
      <c r="CI1885" s="9"/>
      <c r="CJ1885" s="9"/>
      <c r="CK1885" s="9"/>
      <c r="CL1885" s="9"/>
      <c r="CM1885" s="9"/>
      <c r="CN1885" s="9"/>
      <c r="CO1885" s="9"/>
      <c r="CP1885" s="9"/>
    </row>
    <row r="1886" spans="1:94" ht="15.75" x14ac:dyDescent="0.25">
      <c r="A1886" s="126" t="s">
        <v>5054</v>
      </c>
      <c r="B1886" s="9" t="s">
        <v>5055</v>
      </c>
      <c r="C1886" s="9"/>
      <c r="D1886" s="9"/>
      <c r="E1886" s="9"/>
      <c r="F1886" s="9"/>
      <c r="G1886" s="9"/>
      <c r="H1886" s="9"/>
      <c r="I1886" s="9"/>
      <c r="J1886" s="9"/>
      <c r="K1886" s="9"/>
      <c r="L1886" s="9"/>
      <c r="M1886" s="9"/>
      <c r="N1886" s="9"/>
      <c r="O1886" s="9"/>
      <c r="P1886" s="9"/>
      <c r="Q1886" s="9"/>
      <c r="R1886" s="9"/>
      <c r="S1886" s="9"/>
      <c r="T1886" s="9"/>
      <c r="U1886" s="9"/>
      <c r="V1886" s="9"/>
      <c r="W1886" s="9"/>
      <c r="X1886" s="9"/>
      <c r="Y1886" s="9"/>
      <c r="Z1886" s="9"/>
      <c r="AA1886" s="9"/>
      <c r="AB1886" s="9"/>
      <c r="AC1886" s="9"/>
      <c r="AD1886" s="9"/>
      <c r="AE1886" s="9"/>
      <c r="AF1886" s="9"/>
      <c r="AG1886" s="9"/>
      <c r="AH1886" s="9"/>
      <c r="AI1886" s="9"/>
      <c r="AJ1886" s="9"/>
      <c r="AK1886" s="9"/>
      <c r="AL1886" s="9"/>
      <c r="AM1886" s="69"/>
      <c r="AN1886" s="9"/>
      <c r="AO1886" s="69" t="s">
        <v>4434</v>
      </c>
      <c r="AP1886" s="210"/>
      <c r="AQ1886" s="211"/>
      <c r="AR1886" s="211"/>
      <c r="AS1886" s="211"/>
      <c r="AT1886" s="211"/>
      <c r="AU1886" s="211"/>
      <c r="AV1886" s="211"/>
      <c r="AW1886" s="9"/>
      <c r="AX1886" s="9"/>
      <c r="AY1886" s="9"/>
      <c r="AZ1886" s="9"/>
      <c r="BA1886" s="120"/>
      <c r="BB1886" s="69"/>
      <c r="BC1886" s="9"/>
      <c r="BD1886" s="9"/>
      <c r="BE1886" s="9"/>
      <c r="BF1886" s="9"/>
      <c r="BG1886" s="9"/>
      <c r="BH1886" s="9"/>
      <c r="BI1886" s="9"/>
      <c r="BJ1886" s="9"/>
      <c r="BK1886" s="9"/>
      <c r="BL1886" s="9"/>
      <c r="BM1886" s="9"/>
      <c r="BN1886" s="9"/>
      <c r="BO1886" s="9"/>
      <c r="BP1886" s="9"/>
      <c r="BQ1886" s="9"/>
      <c r="BR1886" s="9"/>
      <c r="BS1886" s="9"/>
      <c r="BT1886" s="9"/>
      <c r="BU1886" s="9"/>
      <c r="BV1886" s="9"/>
      <c r="BW1886" s="9"/>
      <c r="BX1886" s="9"/>
      <c r="BY1886" s="9"/>
      <c r="BZ1886" s="9"/>
      <c r="CA1886" s="9"/>
      <c r="CB1886" s="9"/>
      <c r="CC1886" s="9"/>
      <c r="CD1886" s="9"/>
      <c r="CE1886" s="9"/>
      <c r="CF1886" s="9"/>
      <c r="CG1886" s="9"/>
      <c r="CH1886" s="9"/>
      <c r="CI1886" s="9"/>
      <c r="CJ1886" s="9"/>
      <c r="CK1886" s="9"/>
      <c r="CL1886" s="9"/>
      <c r="CM1886" s="9"/>
      <c r="CN1886" s="9"/>
      <c r="CO1886" s="9"/>
      <c r="CP1886" s="9"/>
    </row>
    <row r="1887" spans="1:94" ht="15.75" x14ac:dyDescent="0.25">
      <c r="A1887" s="126" t="s">
        <v>5056</v>
      </c>
      <c r="B1887" s="9" t="s">
        <v>5057</v>
      </c>
      <c r="C1887" s="9"/>
      <c r="D1887" s="9"/>
      <c r="E1887" s="9"/>
      <c r="F1887" s="9"/>
      <c r="G1887" s="9"/>
      <c r="H1887" s="9"/>
      <c r="I1887" s="9"/>
      <c r="J1887" s="9"/>
      <c r="K1887" s="9"/>
      <c r="L1887" s="9"/>
      <c r="M1887" s="9"/>
      <c r="N1887" s="9"/>
      <c r="O1887" s="9"/>
      <c r="P1887" s="9"/>
      <c r="Q1887" s="9"/>
      <c r="R1887" s="9"/>
      <c r="S1887" s="9"/>
      <c r="T1887" s="9"/>
      <c r="U1887" s="9"/>
      <c r="V1887" s="9"/>
      <c r="W1887" s="9"/>
      <c r="X1887" s="9"/>
      <c r="Y1887" s="9"/>
      <c r="Z1887" s="9"/>
      <c r="AA1887" s="9"/>
      <c r="AB1887" s="9"/>
      <c r="AC1887" s="9"/>
      <c r="AD1887" s="9"/>
      <c r="AE1887" s="9"/>
      <c r="AF1887" s="9"/>
      <c r="AG1887" s="9"/>
      <c r="AH1887" s="9"/>
      <c r="AI1887" s="9"/>
      <c r="AJ1887" s="9"/>
      <c r="AK1887" s="9"/>
      <c r="AL1887" s="9"/>
      <c r="AM1887" s="69"/>
      <c r="AN1887" s="9"/>
      <c r="AO1887" s="69" t="s">
        <v>2150</v>
      </c>
      <c r="AP1887" s="210"/>
      <c r="AQ1887" s="211"/>
      <c r="AR1887" s="211"/>
      <c r="AS1887" s="211"/>
      <c r="AT1887" s="211"/>
      <c r="AU1887" s="211"/>
      <c r="AV1887" s="211"/>
      <c r="AW1887" s="9"/>
      <c r="AX1887" s="9"/>
      <c r="AY1887" s="9"/>
      <c r="AZ1887" s="9"/>
      <c r="BA1887" s="120"/>
      <c r="BB1887" s="69"/>
      <c r="BC1887" s="9"/>
      <c r="BD1887" s="9"/>
      <c r="BE1887" s="9"/>
      <c r="BF1887" s="9"/>
      <c r="BG1887" s="9"/>
      <c r="BH1887" s="9"/>
      <c r="BI1887" s="9"/>
      <c r="BJ1887" s="9"/>
      <c r="BK1887" s="9"/>
      <c r="BL1887" s="9"/>
      <c r="BM1887" s="9"/>
      <c r="BN1887" s="9"/>
      <c r="BO1887" s="9"/>
      <c r="BP1887" s="9"/>
      <c r="BQ1887" s="9"/>
      <c r="BR1887" s="9"/>
      <c r="BS1887" s="9"/>
      <c r="BT1887" s="9"/>
      <c r="BU1887" s="9"/>
      <c r="BV1887" s="9"/>
      <c r="BW1887" s="9"/>
      <c r="BX1887" s="9"/>
      <c r="BY1887" s="9"/>
      <c r="BZ1887" s="9"/>
      <c r="CA1887" s="9"/>
      <c r="CB1887" s="9"/>
      <c r="CC1887" s="9"/>
      <c r="CD1887" s="9"/>
      <c r="CE1887" s="9"/>
      <c r="CF1887" s="9"/>
      <c r="CG1887" s="9"/>
      <c r="CH1887" s="9"/>
      <c r="CI1887" s="9"/>
      <c r="CJ1887" s="9"/>
      <c r="CK1887" s="9"/>
      <c r="CL1887" s="9"/>
      <c r="CM1887" s="9"/>
      <c r="CN1887" s="9"/>
      <c r="CO1887" s="9"/>
      <c r="CP1887" s="9"/>
    </row>
    <row r="1888" spans="1:94" ht="15.75" x14ac:dyDescent="0.25">
      <c r="A1888" s="126" t="s">
        <v>5058</v>
      </c>
      <c r="B1888" s="9" t="s">
        <v>5059</v>
      </c>
      <c r="C1888" s="9"/>
      <c r="D1888" s="9"/>
      <c r="E1888" s="9"/>
      <c r="F1888" s="9"/>
      <c r="G1888" s="9"/>
      <c r="H1888" s="9"/>
      <c r="I1888" s="9"/>
      <c r="J1888" s="9"/>
      <c r="K1888" s="9"/>
      <c r="L1888" s="9"/>
      <c r="M1888" s="9"/>
      <c r="N1888" s="9"/>
      <c r="O1888" s="9"/>
      <c r="P1888" s="9"/>
      <c r="Q1888" s="9"/>
      <c r="R1888" s="9"/>
      <c r="S1888" s="9"/>
      <c r="T1888" s="9"/>
      <c r="U1888" s="9"/>
      <c r="V1888" s="9"/>
      <c r="W1888" s="9"/>
      <c r="X1888" s="9"/>
      <c r="Y1888" s="9"/>
      <c r="Z1888" s="9"/>
      <c r="AA1888" s="9"/>
      <c r="AB1888" s="9"/>
      <c r="AC1888" s="9"/>
      <c r="AD1888" s="9"/>
      <c r="AE1888" s="9"/>
      <c r="AF1888" s="9"/>
      <c r="AG1888" s="9"/>
      <c r="AH1888" s="9"/>
      <c r="AI1888" s="9"/>
      <c r="AJ1888" s="9"/>
      <c r="AK1888" s="9"/>
      <c r="AL1888" s="9"/>
      <c r="AM1888" s="69"/>
      <c r="AN1888" s="9"/>
      <c r="AO1888" s="69" t="s">
        <v>2150</v>
      </c>
      <c r="AP1888" s="210"/>
      <c r="AQ1888" s="211"/>
      <c r="AR1888" s="211"/>
      <c r="AS1888" s="211"/>
      <c r="AT1888" s="211"/>
      <c r="AU1888" s="211"/>
      <c r="AV1888" s="211"/>
      <c r="AW1888" s="9"/>
      <c r="AX1888" s="9"/>
      <c r="AY1888" s="9"/>
      <c r="AZ1888" s="9"/>
      <c r="BA1888" s="120"/>
      <c r="BB1888" s="69"/>
      <c r="BC1888" s="9"/>
      <c r="BD1888" s="9"/>
      <c r="BE1888" s="9"/>
      <c r="BF1888" s="9"/>
      <c r="BG1888" s="9"/>
      <c r="BH1888" s="9"/>
      <c r="BI1888" s="9"/>
      <c r="BJ1888" s="9"/>
      <c r="BK1888" s="9"/>
      <c r="BL1888" s="9"/>
      <c r="BM1888" s="9"/>
      <c r="BN1888" s="9"/>
      <c r="BO1888" s="9"/>
      <c r="BP1888" s="9"/>
      <c r="BQ1888" s="9"/>
      <c r="BR1888" s="9"/>
      <c r="BS1888" s="9"/>
      <c r="BT1888" s="9"/>
      <c r="BU1888" s="9"/>
      <c r="BV1888" s="9"/>
      <c r="BW1888" s="9"/>
      <c r="BX1888" s="9"/>
      <c r="BY1888" s="9"/>
      <c r="BZ1888" s="9"/>
      <c r="CA1888" s="9"/>
      <c r="CB1888" s="9"/>
      <c r="CC1888" s="9"/>
      <c r="CD1888" s="9"/>
      <c r="CE1888" s="9"/>
      <c r="CF1888" s="9"/>
      <c r="CG1888" s="9"/>
      <c r="CH1888" s="9"/>
      <c r="CI1888" s="9"/>
      <c r="CJ1888" s="9"/>
      <c r="CK1888" s="9"/>
      <c r="CL1888" s="9"/>
      <c r="CM1888" s="9"/>
      <c r="CN1888" s="9"/>
      <c r="CO1888" s="9"/>
      <c r="CP1888" s="9"/>
    </row>
    <row r="1889" spans="1:94" ht="15.75" x14ac:dyDescent="0.25">
      <c r="A1889" s="126" t="s">
        <v>5060</v>
      </c>
      <c r="B1889" s="9" t="s">
        <v>5061</v>
      </c>
      <c r="C1889" s="9"/>
      <c r="D1889" s="9"/>
      <c r="E1889" s="9"/>
      <c r="F1889" s="9"/>
      <c r="G1889" s="9"/>
      <c r="H1889" s="9"/>
      <c r="I1889" s="9"/>
      <c r="J1889" s="9"/>
      <c r="K1889" s="9"/>
      <c r="L1889" s="9"/>
      <c r="M1889" s="9"/>
      <c r="N1889" s="9"/>
      <c r="O1889" s="9"/>
      <c r="P1889" s="9"/>
      <c r="Q1889" s="9"/>
      <c r="R1889" s="9"/>
      <c r="S1889" s="9"/>
      <c r="T1889" s="9"/>
      <c r="U1889" s="9"/>
      <c r="V1889" s="9"/>
      <c r="W1889" s="9"/>
      <c r="X1889" s="9"/>
      <c r="Y1889" s="9"/>
      <c r="Z1889" s="9"/>
      <c r="AA1889" s="9"/>
      <c r="AB1889" s="9"/>
      <c r="AC1889" s="9"/>
      <c r="AD1889" s="9"/>
      <c r="AE1889" s="9"/>
      <c r="AF1889" s="9"/>
      <c r="AG1889" s="9"/>
      <c r="AH1889" s="9"/>
      <c r="AI1889" s="9"/>
      <c r="AJ1889" s="9"/>
      <c r="AK1889" s="9"/>
      <c r="AL1889" s="9"/>
      <c r="AM1889" s="69"/>
      <c r="AN1889" s="9"/>
      <c r="AO1889" s="69" t="s">
        <v>2150</v>
      </c>
      <c r="AP1889" s="210"/>
      <c r="AQ1889" s="211"/>
      <c r="AR1889" s="211"/>
      <c r="AS1889" s="211"/>
      <c r="AT1889" s="211"/>
      <c r="AU1889" s="211"/>
      <c r="AV1889" s="211"/>
      <c r="AW1889" s="9"/>
      <c r="AX1889" s="9"/>
      <c r="AY1889" s="9"/>
      <c r="AZ1889" s="9"/>
      <c r="BA1889" s="120"/>
      <c r="BB1889" s="69"/>
      <c r="BC1889" s="9"/>
      <c r="BD1889" s="9"/>
      <c r="BE1889" s="9"/>
      <c r="BF1889" s="9"/>
      <c r="BG1889" s="9"/>
      <c r="BH1889" s="9"/>
      <c r="BI1889" s="9"/>
      <c r="BJ1889" s="9"/>
      <c r="BK1889" s="9"/>
      <c r="BL1889" s="9"/>
      <c r="BM1889" s="9"/>
      <c r="BN1889" s="9"/>
      <c r="BO1889" s="9"/>
      <c r="BP1889" s="9"/>
      <c r="BQ1889" s="9"/>
      <c r="BR1889" s="9"/>
      <c r="BS1889" s="9"/>
      <c r="BT1889" s="9"/>
      <c r="BU1889" s="9"/>
      <c r="BV1889" s="9"/>
      <c r="BW1889" s="9"/>
      <c r="BX1889" s="9"/>
      <c r="BY1889" s="9"/>
      <c r="BZ1889" s="9"/>
      <c r="CA1889" s="9"/>
      <c r="CB1889" s="9"/>
      <c r="CC1889" s="9"/>
      <c r="CD1889" s="9"/>
      <c r="CE1889" s="9"/>
      <c r="CF1889" s="9"/>
      <c r="CG1889" s="9"/>
      <c r="CH1889" s="9"/>
      <c r="CI1889" s="9"/>
      <c r="CJ1889" s="9"/>
      <c r="CK1889" s="9"/>
      <c r="CL1889" s="9"/>
      <c r="CM1889" s="9"/>
      <c r="CN1889" s="9"/>
      <c r="CO1889" s="9"/>
      <c r="CP1889" s="9"/>
    </row>
    <row r="1890" spans="1:94" ht="15.75" x14ac:dyDescent="0.25">
      <c r="A1890" s="126" t="s">
        <v>5062</v>
      </c>
      <c r="B1890" s="9" t="s">
        <v>5063</v>
      </c>
      <c r="C1890" s="9"/>
      <c r="D1890" s="9"/>
      <c r="E1890" s="9"/>
      <c r="F1890" s="9"/>
      <c r="G1890" s="9"/>
      <c r="H1890" s="9"/>
      <c r="I1890" s="9"/>
      <c r="J1890" s="9"/>
      <c r="K1890" s="9"/>
      <c r="L1890" s="9"/>
      <c r="M1890" s="9"/>
      <c r="N1890" s="9"/>
      <c r="O1890" s="9"/>
      <c r="P1890" s="9"/>
      <c r="Q1890" s="9"/>
      <c r="R1890" s="9"/>
      <c r="S1890" s="9"/>
      <c r="T1890" s="9"/>
      <c r="U1890" s="9"/>
      <c r="V1890" s="9"/>
      <c r="W1890" s="9"/>
      <c r="X1890" s="9"/>
      <c r="Y1890" s="9"/>
      <c r="Z1890" s="9"/>
      <c r="AA1890" s="9"/>
      <c r="AB1890" s="9"/>
      <c r="AC1890" s="9"/>
      <c r="AD1890" s="9"/>
      <c r="AE1890" s="9"/>
      <c r="AF1890" s="9"/>
      <c r="AG1890" s="9"/>
      <c r="AH1890" s="9"/>
      <c r="AI1890" s="9"/>
      <c r="AJ1890" s="9"/>
      <c r="AK1890" s="9"/>
      <c r="AL1890" s="9"/>
      <c r="AM1890" s="69"/>
      <c r="AN1890" s="9"/>
      <c r="AO1890" s="69" t="s">
        <v>2150</v>
      </c>
      <c r="AP1890" s="210"/>
      <c r="AQ1890" s="211"/>
      <c r="AR1890" s="211"/>
      <c r="AS1890" s="211"/>
      <c r="AT1890" s="211"/>
      <c r="AU1890" s="211"/>
      <c r="AV1890" s="211"/>
      <c r="AW1890" s="9"/>
      <c r="AX1890" s="9"/>
      <c r="AY1890" s="9"/>
      <c r="AZ1890" s="9"/>
      <c r="BA1890" s="120"/>
      <c r="BB1890" s="69"/>
      <c r="BC1890" s="9"/>
      <c r="BD1890" s="9"/>
      <c r="BE1890" s="9"/>
      <c r="BF1890" s="9"/>
      <c r="BG1890" s="9"/>
      <c r="BH1890" s="9"/>
      <c r="BI1890" s="9"/>
      <c r="BJ1890" s="9"/>
      <c r="BK1890" s="9"/>
      <c r="BL1890" s="9"/>
      <c r="BM1890" s="9"/>
      <c r="BN1890" s="9"/>
      <c r="BO1890" s="9"/>
      <c r="BP1890" s="9"/>
      <c r="BQ1890" s="9"/>
      <c r="BR1890" s="9"/>
      <c r="BS1890" s="9"/>
      <c r="BT1890" s="9"/>
      <c r="BU1890" s="9"/>
      <c r="BV1890" s="9"/>
      <c r="BW1890" s="9"/>
      <c r="BX1890" s="9"/>
      <c r="BY1890" s="9"/>
      <c r="BZ1890" s="9"/>
      <c r="CA1890" s="9"/>
      <c r="CB1890" s="9"/>
      <c r="CC1890" s="9"/>
      <c r="CD1890" s="9"/>
      <c r="CE1890" s="9"/>
      <c r="CF1890" s="9"/>
      <c r="CG1890" s="9"/>
      <c r="CH1890" s="9"/>
      <c r="CI1890" s="9"/>
      <c r="CJ1890" s="9"/>
      <c r="CK1890" s="9"/>
      <c r="CL1890" s="9"/>
      <c r="CM1890" s="9"/>
      <c r="CN1890" s="9"/>
      <c r="CO1890" s="9"/>
      <c r="CP1890" s="9"/>
    </row>
    <row r="1891" spans="1:94" ht="15.75" x14ac:dyDescent="0.25">
      <c r="A1891" s="126" t="s">
        <v>5064</v>
      </c>
      <c r="B1891" s="9" t="s">
        <v>5065</v>
      </c>
      <c r="C1891" s="9"/>
      <c r="D1891" s="9"/>
      <c r="E1891" s="9"/>
      <c r="F1891" s="9"/>
      <c r="G1891" s="9"/>
      <c r="H1891" s="9"/>
      <c r="I1891" s="9"/>
      <c r="J1891" s="9"/>
      <c r="K1891" s="9"/>
      <c r="L1891" s="9"/>
      <c r="M1891" s="9"/>
      <c r="N1891" s="9"/>
      <c r="O1891" s="9"/>
      <c r="P1891" s="9"/>
      <c r="Q1891" s="9"/>
      <c r="R1891" s="9"/>
      <c r="S1891" s="9"/>
      <c r="T1891" s="9"/>
      <c r="U1891" s="9"/>
      <c r="V1891" s="9"/>
      <c r="W1891" s="9"/>
      <c r="X1891" s="9"/>
      <c r="Y1891" s="9"/>
      <c r="Z1891" s="9"/>
      <c r="AA1891" s="9"/>
      <c r="AB1891" s="9"/>
      <c r="AC1891" s="9"/>
      <c r="AD1891" s="9"/>
      <c r="AE1891" s="9"/>
      <c r="AF1891" s="9"/>
      <c r="AG1891" s="9"/>
      <c r="AH1891" s="9"/>
      <c r="AI1891" s="9"/>
      <c r="AJ1891" s="9"/>
      <c r="AK1891" s="9"/>
      <c r="AL1891" s="9"/>
      <c r="AM1891" s="69"/>
      <c r="AN1891" s="9"/>
      <c r="AO1891" s="69" t="s">
        <v>4591</v>
      </c>
      <c r="AP1891" s="210"/>
      <c r="AQ1891" s="211"/>
      <c r="AR1891" s="211"/>
      <c r="AS1891" s="211"/>
      <c r="AT1891" s="211"/>
      <c r="AU1891" s="211"/>
      <c r="AV1891" s="211"/>
      <c r="AW1891" s="9"/>
      <c r="AX1891" s="9"/>
      <c r="AY1891" s="9"/>
      <c r="AZ1891" s="9"/>
      <c r="BA1891" s="120"/>
      <c r="BB1891" s="69"/>
      <c r="BC1891" s="9"/>
      <c r="BD1891" s="9"/>
      <c r="BE1891" s="9"/>
      <c r="BF1891" s="9"/>
      <c r="BG1891" s="9"/>
      <c r="BH1891" s="9"/>
      <c r="BI1891" s="9"/>
      <c r="BJ1891" s="9"/>
      <c r="BK1891" s="9"/>
      <c r="BL1891" s="9"/>
      <c r="BM1891" s="9"/>
      <c r="BN1891" s="9"/>
      <c r="BO1891" s="9"/>
      <c r="BP1891" s="9"/>
      <c r="BQ1891" s="9"/>
      <c r="BR1891" s="9"/>
      <c r="BS1891" s="9"/>
      <c r="BT1891" s="9"/>
      <c r="BU1891" s="9"/>
      <c r="BV1891" s="9"/>
      <c r="BW1891" s="9"/>
      <c r="BX1891" s="9"/>
      <c r="BY1891" s="9"/>
      <c r="BZ1891" s="9"/>
      <c r="CA1891" s="9"/>
      <c r="CB1891" s="9"/>
      <c r="CC1891" s="9"/>
      <c r="CD1891" s="9"/>
      <c r="CE1891" s="9"/>
      <c r="CF1891" s="9"/>
      <c r="CG1891" s="9"/>
      <c r="CH1891" s="9"/>
      <c r="CI1891" s="9"/>
      <c r="CJ1891" s="9"/>
      <c r="CK1891" s="9"/>
      <c r="CL1891" s="9"/>
      <c r="CM1891" s="9"/>
      <c r="CN1891" s="9"/>
      <c r="CO1891" s="9"/>
      <c r="CP1891" s="9"/>
    </row>
    <row r="1892" spans="1:94" ht="30" x14ac:dyDescent="0.25">
      <c r="A1892" s="126" t="s">
        <v>5066</v>
      </c>
      <c r="B1892" s="9" t="s">
        <v>5067</v>
      </c>
      <c r="C1892" s="9"/>
      <c r="D1892" s="9"/>
      <c r="E1892" s="9"/>
      <c r="F1892" s="9"/>
      <c r="G1892" s="9"/>
      <c r="H1892" s="9"/>
      <c r="I1892" s="9"/>
      <c r="J1892" s="9"/>
      <c r="K1892" s="9"/>
      <c r="L1892" s="9"/>
      <c r="M1892" s="9"/>
      <c r="N1892" s="9"/>
      <c r="O1892" s="9"/>
      <c r="P1892" s="9"/>
      <c r="Q1892" s="9"/>
      <c r="R1892" s="9"/>
      <c r="S1892" s="9"/>
      <c r="T1892" s="9"/>
      <c r="U1892" s="9"/>
      <c r="V1892" s="9"/>
      <c r="W1892" s="9"/>
      <c r="X1892" s="9"/>
      <c r="Y1892" s="9"/>
      <c r="Z1892" s="9"/>
      <c r="AA1892" s="9"/>
      <c r="AB1892" s="9"/>
      <c r="AC1892" s="9"/>
      <c r="AD1892" s="9"/>
      <c r="AE1892" s="9"/>
      <c r="AF1892" s="9"/>
      <c r="AG1892" s="9"/>
      <c r="AH1892" s="9"/>
      <c r="AI1892" s="9"/>
      <c r="AJ1892" s="9"/>
      <c r="AK1892" s="9"/>
      <c r="AL1892" s="9"/>
      <c r="AM1892" s="69"/>
      <c r="AN1892" s="9"/>
      <c r="AO1892" s="69" t="s">
        <v>612</v>
      </c>
      <c r="AP1892" s="210"/>
      <c r="AQ1892" s="211"/>
      <c r="AR1892" s="211"/>
      <c r="AS1892" s="211"/>
      <c r="AT1892" s="211"/>
      <c r="AU1892" s="211"/>
      <c r="AV1892" s="211"/>
      <c r="AW1892" s="9"/>
      <c r="AX1892" s="9"/>
      <c r="AY1892" s="9"/>
      <c r="AZ1892" s="9"/>
      <c r="BA1892" s="120"/>
      <c r="BB1892" s="69"/>
      <c r="BC1892" s="9"/>
      <c r="BD1892" s="9"/>
      <c r="BE1892" s="9"/>
      <c r="BF1892" s="9"/>
      <c r="BG1892" s="9"/>
      <c r="BH1892" s="9"/>
      <c r="BI1892" s="9"/>
      <c r="BJ1892" s="9"/>
      <c r="BK1892" s="9"/>
      <c r="BL1892" s="9"/>
      <c r="BM1892" s="9"/>
      <c r="BN1892" s="9"/>
      <c r="BO1892" s="9"/>
      <c r="BP1892" s="9"/>
      <c r="BQ1892" s="9"/>
      <c r="BR1892" s="9"/>
      <c r="BS1892" s="9"/>
      <c r="BT1892" s="9"/>
      <c r="BU1892" s="9"/>
      <c r="BV1892" s="9"/>
      <c r="BW1892" s="9"/>
      <c r="BX1892" s="9"/>
      <c r="BY1892" s="9"/>
      <c r="BZ1892" s="9"/>
      <c r="CA1892" s="9"/>
      <c r="CB1892" s="9"/>
      <c r="CC1892" s="9"/>
      <c r="CD1892" s="9"/>
      <c r="CE1892" s="9"/>
      <c r="CF1892" s="9"/>
      <c r="CG1892" s="9"/>
      <c r="CH1892" s="9"/>
      <c r="CI1892" s="9"/>
      <c r="CJ1892" s="9"/>
      <c r="CK1892" s="9"/>
      <c r="CL1892" s="9"/>
      <c r="CM1892" s="9"/>
      <c r="CN1892" s="9"/>
      <c r="CO1892" s="9"/>
      <c r="CP1892" s="9"/>
    </row>
    <row r="1893" spans="1:94" ht="30" x14ac:dyDescent="0.25">
      <c r="A1893" s="126" t="s">
        <v>5068</v>
      </c>
      <c r="B1893" s="9" t="s">
        <v>5069</v>
      </c>
      <c r="C1893" s="9"/>
      <c r="D1893" s="9"/>
      <c r="E1893" s="9"/>
      <c r="F1893" s="9"/>
      <c r="G1893" s="9"/>
      <c r="H1893" s="9"/>
      <c r="I1893" s="9"/>
      <c r="J1893" s="9"/>
      <c r="K1893" s="9"/>
      <c r="L1893" s="9"/>
      <c r="M1893" s="9"/>
      <c r="N1893" s="9"/>
      <c r="O1893" s="9"/>
      <c r="P1893" s="9"/>
      <c r="Q1893" s="9"/>
      <c r="R1893" s="9"/>
      <c r="S1893" s="9"/>
      <c r="T1893" s="9"/>
      <c r="U1893" s="9"/>
      <c r="V1893" s="9"/>
      <c r="W1893" s="9"/>
      <c r="X1893" s="9"/>
      <c r="Y1893" s="9"/>
      <c r="Z1893" s="9"/>
      <c r="AA1893" s="9"/>
      <c r="AB1893" s="9"/>
      <c r="AC1893" s="9"/>
      <c r="AD1893" s="9"/>
      <c r="AE1893" s="9"/>
      <c r="AF1893" s="9"/>
      <c r="AG1893" s="9"/>
      <c r="AH1893" s="9"/>
      <c r="AI1893" s="9"/>
      <c r="AJ1893" s="9"/>
      <c r="AK1893" s="9"/>
      <c r="AL1893" s="9"/>
      <c r="AM1893" s="69"/>
      <c r="AN1893" s="9"/>
      <c r="AO1893" s="69" t="s">
        <v>612</v>
      </c>
      <c r="AP1893" s="210"/>
      <c r="AQ1893" s="211"/>
      <c r="AR1893" s="211"/>
      <c r="AS1893" s="211"/>
      <c r="AT1893" s="211"/>
      <c r="AU1893" s="211"/>
      <c r="AV1893" s="211"/>
      <c r="AW1893" s="9"/>
      <c r="AX1893" s="9"/>
      <c r="AY1893" s="9"/>
      <c r="AZ1893" s="9"/>
      <c r="BA1893" s="120"/>
      <c r="BB1893" s="69"/>
      <c r="BC1893" s="9"/>
      <c r="BD1893" s="9"/>
      <c r="BE1893" s="9"/>
      <c r="BF1893" s="9"/>
      <c r="BG1893" s="9"/>
      <c r="BH1893" s="9"/>
      <c r="BI1893" s="9"/>
      <c r="BJ1893" s="9"/>
      <c r="BK1893" s="9"/>
      <c r="BL1893" s="9"/>
      <c r="BM1893" s="9"/>
      <c r="BN1893" s="9"/>
      <c r="BO1893" s="9"/>
      <c r="BP1893" s="9"/>
      <c r="BQ1893" s="9"/>
      <c r="BR1893" s="9"/>
      <c r="BS1893" s="9"/>
      <c r="BT1893" s="9"/>
      <c r="BU1893" s="9"/>
      <c r="BV1893" s="9"/>
      <c r="BW1893" s="9"/>
      <c r="BX1893" s="9"/>
      <c r="BY1893" s="9"/>
      <c r="BZ1893" s="9"/>
      <c r="CA1893" s="9"/>
      <c r="CB1893" s="9"/>
      <c r="CC1893" s="9"/>
      <c r="CD1893" s="9"/>
      <c r="CE1893" s="9"/>
      <c r="CF1893" s="9"/>
      <c r="CG1893" s="9"/>
      <c r="CH1893" s="9"/>
      <c r="CI1893" s="9"/>
      <c r="CJ1893" s="9"/>
      <c r="CK1893" s="9"/>
      <c r="CL1893" s="9"/>
      <c r="CM1893" s="9"/>
      <c r="CN1893" s="9"/>
      <c r="CO1893" s="9"/>
      <c r="CP1893" s="9"/>
    </row>
    <row r="1894" spans="1:94" ht="15.75" x14ac:dyDescent="0.25">
      <c r="A1894" s="126" t="s">
        <v>5070</v>
      </c>
      <c r="B1894" s="9" t="s">
        <v>5071</v>
      </c>
      <c r="C1894" s="9"/>
      <c r="D1894" s="9"/>
      <c r="E1894" s="9"/>
      <c r="F1894" s="9"/>
      <c r="G1894" s="9"/>
      <c r="H1894" s="9"/>
      <c r="I1894" s="9"/>
      <c r="J1894" s="9"/>
      <c r="K1894" s="9"/>
      <c r="L1894" s="9"/>
      <c r="M1894" s="9"/>
      <c r="N1894" s="9"/>
      <c r="O1894" s="9"/>
      <c r="P1894" s="9"/>
      <c r="Q1894" s="9"/>
      <c r="R1894" s="9"/>
      <c r="S1894" s="9"/>
      <c r="T1894" s="9"/>
      <c r="U1894" s="9"/>
      <c r="V1894" s="9"/>
      <c r="W1894" s="9"/>
      <c r="X1894" s="9"/>
      <c r="Y1894" s="9"/>
      <c r="Z1894" s="9"/>
      <c r="AA1894" s="9"/>
      <c r="AB1894" s="9"/>
      <c r="AC1894" s="9"/>
      <c r="AD1894" s="9"/>
      <c r="AE1894" s="9"/>
      <c r="AF1894" s="9"/>
      <c r="AG1894" s="9"/>
      <c r="AH1894" s="9"/>
      <c r="AI1894" s="9"/>
      <c r="AJ1894" s="9"/>
      <c r="AK1894" s="9"/>
      <c r="AL1894" s="9"/>
      <c r="AM1894" s="69"/>
      <c r="AN1894" s="9"/>
      <c r="AO1894" s="69" t="s">
        <v>4591</v>
      </c>
      <c r="AP1894" s="210"/>
      <c r="AQ1894" s="211"/>
      <c r="AR1894" s="211"/>
      <c r="AS1894" s="211"/>
      <c r="AT1894" s="211"/>
      <c r="AU1894" s="211"/>
      <c r="AV1894" s="211"/>
      <c r="AW1894" s="9"/>
      <c r="AX1894" s="9"/>
      <c r="AY1894" s="9"/>
      <c r="AZ1894" s="9"/>
      <c r="BA1894" s="120"/>
      <c r="BB1894" s="69"/>
      <c r="BC1894" s="9"/>
      <c r="BD1894" s="9"/>
      <c r="BE1894" s="9"/>
      <c r="BF1894" s="9"/>
      <c r="BG1894" s="9"/>
      <c r="BH1894" s="9"/>
      <c r="BI1894" s="9"/>
      <c r="BJ1894" s="9"/>
      <c r="BK1894" s="9"/>
      <c r="BL1894" s="9"/>
      <c r="BM1894" s="9"/>
      <c r="BN1894" s="9"/>
      <c r="BO1894" s="9"/>
      <c r="BP1894" s="9"/>
      <c r="BQ1894" s="9"/>
      <c r="BR1894" s="9"/>
      <c r="BS1894" s="9"/>
      <c r="BT1894" s="9"/>
      <c r="BU1894" s="9"/>
      <c r="BV1894" s="9"/>
      <c r="BW1894" s="9"/>
      <c r="BX1894" s="9"/>
      <c r="BY1894" s="9"/>
      <c r="BZ1894" s="9"/>
      <c r="CA1894" s="9"/>
      <c r="CB1894" s="9"/>
      <c r="CC1894" s="9"/>
      <c r="CD1894" s="9"/>
      <c r="CE1894" s="9"/>
      <c r="CF1894" s="9"/>
      <c r="CG1894" s="9"/>
      <c r="CH1894" s="9"/>
      <c r="CI1894" s="9"/>
      <c r="CJ1894" s="9"/>
      <c r="CK1894" s="9"/>
      <c r="CL1894" s="9"/>
      <c r="CM1894" s="9"/>
      <c r="CN1894" s="9"/>
      <c r="CO1894" s="9"/>
      <c r="CP1894" s="9"/>
    </row>
    <row r="1895" spans="1:94" ht="15.75" x14ac:dyDescent="0.25">
      <c r="A1895" s="126" t="s">
        <v>5072</v>
      </c>
      <c r="B1895" s="9" t="s">
        <v>5073</v>
      </c>
      <c r="C1895" s="9"/>
      <c r="D1895" s="9"/>
      <c r="E1895" s="9"/>
      <c r="F1895" s="9"/>
      <c r="G1895" s="9"/>
      <c r="H1895" s="9"/>
      <c r="I1895" s="9"/>
      <c r="J1895" s="9"/>
      <c r="K1895" s="9"/>
      <c r="L1895" s="9"/>
      <c r="M1895" s="9"/>
      <c r="N1895" s="9"/>
      <c r="O1895" s="9"/>
      <c r="P1895" s="9"/>
      <c r="Q1895" s="9"/>
      <c r="R1895" s="9"/>
      <c r="S1895" s="9"/>
      <c r="T1895" s="9"/>
      <c r="U1895" s="9"/>
      <c r="V1895" s="9"/>
      <c r="W1895" s="9"/>
      <c r="X1895" s="9"/>
      <c r="Y1895" s="9"/>
      <c r="Z1895" s="9"/>
      <c r="AA1895" s="9"/>
      <c r="AB1895" s="9"/>
      <c r="AC1895" s="9"/>
      <c r="AD1895" s="9"/>
      <c r="AE1895" s="9"/>
      <c r="AF1895" s="9"/>
      <c r="AG1895" s="9"/>
      <c r="AH1895" s="9"/>
      <c r="AI1895" s="9"/>
      <c r="AJ1895" s="9"/>
      <c r="AK1895" s="9"/>
      <c r="AL1895" s="9"/>
      <c r="AM1895" s="69"/>
      <c r="AN1895" s="9"/>
      <c r="AO1895" s="69" t="s">
        <v>4591</v>
      </c>
      <c r="AP1895" s="210"/>
      <c r="AQ1895" s="211"/>
      <c r="AR1895" s="211"/>
      <c r="AS1895" s="211"/>
      <c r="AT1895" s="211"/>
      <c r="AU1895" s="211"/>
      <c r="AV1895" s="211"/>
      <c r="AW1895" s="9"/>
      <c r="AX1895" s="9"/>
      <c r="AY1895" s="9"/>
      <c r="AZ1895" s="9"/>
      <c r="BA1895" s="120"/>
      <c r="BB1895" s="69"/>
      <c r="BC1895" s="9"/>
      <c r="BD1895" s="9"/>
      <c r="BE1895" s="9"/>
      <c r="BF1895" s="9"/>
      <c r="BG1895" s="9"/>
      <c r="BH1895" s="9"/>
      <c r="BI1895" s="9"/>
      <c r="BJ1895" s="9"/>
      <c r="BK1895" s="9"/>
      <c r="BL1895" s="9"/>
      <c r="BM1895" s="9"/>
      <c r="BN1895" s="9"/>
      <c r="BO1895" s="9"/>
      <c r="BP1895" s="9"/>
      <c r="BQ1895" s="9"/>
      <c r="BR1895" s="9"/>
      <c r="BS1895" s="9"/>
      <c r="BT1895" s="9"/>
      <c r="BU1895" s="9"/>
      <c r="BV1895" s="9"/>
      <c r="BW1895" s="9"/>
      <c r="BX1895" s="9"/>
      <c r="BY1895" s="9"/>
      <c r="BZ1895" s="9"/>
      <c r="CA1895" s="9"/>
      <c r="CB1895" s="9"/>
      <c r="CC1895" s="9"/>
      <c r="CD1895" s="9"/>
      <c r="CE1895" s="9"/>
      <c r="CF1895" s="9"/>
      <c r="CG1895" s="9"/>
      <c r="CH1895" s="9"/>
      <c r="CI1895" s="9"/>
      <c r="CJ1895" s="9"/>
      <c r="CK1895" s="9"/>
      <c r="CL1895" s="9"/>
      <c r="CM1895" s="9"/>
      <c r="CN1895" s="9"/>
      <c r="CO1895" s="9"/>
      <c r="CP1895" s="9"/>
    </row>
    <row r="1896" spans="1:94" ht="15.75" x14ac:dyDescent="0.25">
      <c r="A1896" s="126" t="s">
        <v>5074</v>
      </c>
      <c r="B1896" s="9" t="s">
        <v>5075</v>
      </c>
      <c r="C1896" s="9"/>
      <c r="D1896" s="9"/>
      <c r="E1896" s="9"/>
      <c r="F1896" s="9"/>
      <c r="G1896" s="9"/>
      <c r="H1896" s="9"/>
      <c r="I1896" s="9"/>
      <c r="J1896" s="9"/>
      <c r="K1896" s="9"/>
      <c r="L1896" s="9"/>
      <c r="M1896" s="9"/>
      <c r="N1896" s="9"/>
      <c r="O1896" s="9"/>
      <c r="P1896" s="9"/>
      <c r="Q1896" s="9"/>
      <c r="R1896" s="9"/>
      <c r="S1896" s="9"/>
      <c r="T1896" s="9"/>
      <c r="U1896" s="9"/>
      <c r="V1896" s="9"/>
      <c r="W1896" s="9"/>
      <c r="X1896" s="9"/>
      <c r="Y1896" s="9"/>
      <c r="Z1896" s="9"/>
      <c r="AA1896" s="9"/>
      <c r="AB1896" s="9"/>
      <c r="AC1896" s="9"/>
      <c r="AD1896" s="9"/>
      <c r="AE1896" s="9"/>
      <c r="AF1896" s="9"/>
      <c r="AG1896" s="9"/>
      <c r="AH1896" s="9"/>
      <c r="AI1896" s="9"/>
      <c r="AJ1896" s="9"/>
      <c r="AK1896" s="9"/>
      <c r="AL1896" s="9"/>
      <c r="AM1896" s="69"/>
      <c r="AN1896" s="9"/>
      <c r="AO1896" s="69" t="s">
        <v>4591</v>
      </c>
      <c r="AP1896" s="210"/>
      <c r="AQ1896" s="211"/>
      <c r="AR1896" s="211"/>
      <c r="AS1896" s="211"/>
      <c r="AT1896" s="211"/>
      <c r="AU1896" s="211"/>
      <c r="AV1896" s="211"/>
      <c r="AW1896" s="9"/>
      <c r="AX1896" s="9"/>
      <c r="AY1896" s="9"/>
      <c r="AZ1896" s="9"/>
      <c r="BA1896" s="120"/>
      <c r="BB1896" s="69"/>
      <c r="BC1896" s="9"/>
      <c r="BD1896" s="9"/>
      <c r="BE1896" s="9"/>
      <c r="BF1896" s="9"/>
      <c r="BG1896" s="9"/>
      <c r="BH1896" s="9"/>
      <c r="BI1896" s="9"/>
      <c r="BJ1896" s="9"/>
      <c r="BK1896" s="9"/>
      <c r="BL1896" s="9"/>
      <c r="BM1896" s="9"/>
      <c r="BN1896" s="9"/>
      <c r="BO1896" s="9"/>
      <c r="BP1896" s="9"/>
      <c r="BQ1896" s="9"/>
      <c r="BR1896" s="9"/>
      <c r="BS1896" s="9"/>
      <c r="BT1896" s="9"/>
      <c r="BU1896" s="9"/>
      <c r="BV1896" s="9"/>
      <c r="BW1896" s="9"/>
      <c r="BX1896" s="9"/>
      <c r="BY1896" s="9"/>
      <c r="BZ1896" s="9"/>
      <c r="CA1896" s="9"/>
      <c r="CB1896" s="9"/>
      <c r="CC1896" s="9"/>
      <c r="CD1896" s="9"/>
      <c r="CE1896" s="9"/>
      <c r="CF1896" s="9"/>
      <c r="CG1896" s="9"/>
      <c r="CH1896" s="9"/>
      <c r="CI1896" s="9"/>
      <c r="CJ1896" s="9"/>
      <c r="CK1896" s="9"/>
      <c r="CL1896" s="9"/>
      <c r="CM1896" s="9"/>
      <c r="CN1896" s="9"/>
      <c r="CO1896" s="9"/>
      <c r="CP1896" s="9"/>
    </row>
    <row r="1897" spans="1:94" ht="15.75" x14ac:dyDescent="0.25">
      <c r="A1897" s="126" t="s">
        <v>5076</v>
      </c>
      <c r="B1897" s="9" t="s">
        <v>5077</v>
      </c>
      <c r="C1897" s="9"/>
      <c r="D1897" s="9"/>
      <c r="E1897" s="9"/>
      <c r="F1897" s="9"/>
      <c r="G1897" s="9"/>
      <c r="H1897" s="9"/>
      <c r="I1897" s="9"/>
      <c r="J1897" s="9"/>
      <c r="K1897" s="9"/>
      <c r="L1897" s="9"/>
      <c r="M1897" s="9"/>
      <c r="N1897" s="9"/>
      <c r="O1897" s="9"/>
      <c r="P1897" s="9"/>
      <c r="Q1897" s="9"/>
      <c r="R1897" s="9"/>
      <c r="S1897" s="9"/>
      <c r="T1897" s="9"/>
      <c r="U1897" s="9"/>
      <c r="V1897" s="9"/>
      <c r="W1897" s="9"/>
      <c r="X1897" s="9"/>
      <c r="Y1897" s="9"/>
      <c r="Z1897" s="9"/>
      <c r="AA1897" s="9"/>
      <c r="AB1897" s="9"/>
      <c r="AC1897" s="9"/>
      <c r="AD1897" s="9"/>
      <c r="AE1897" s="9"/>
      <c r="AF1897" s="9"/>
      <c r="AG1897" s="9"/>
      <c r="AH1897" s="9"/>
      <c r="AI1897" s="9"/>
      <c r="AJ1897" s="9"/>
      <c r="AK1897" s="9"/>
      <c r="AL1897" s="9"/>
      <c r="AM1897" s="69"/>
      <c r="AN1897" s="9"/>
      <c r="AO1897" s="69" t="s">
        <v>4591</v>
      </c>
      <c r="AP1897" s="210"/>
      <c r="AQ1897" s="211"/>
      <c r="AR1897" s="211"/>
      <c r="AS1897" s="211"/>
      <c r="AT1897" s="211"/>
      <c r="AU1897" s="211"/>
      <c r="AV1897" s="211"/>
      <c r="AW1897" s="9"/>
      <c r="AX1897" s="9"/>
      <c r="AY1897" s="9"/>
      <c r="AZ1897" s="9"/>
      <c r="BA1897" s="120"/>
      <c r="BB1897" s="69"/>
      <c r="BC1897" s="9"/>
      <c r="BD1897" s="9"/>
      <c r="BE1897" s="9"/>
      <c r="BF1897" s="9"/>
      <c r="BG1897" s="9"/>
      <c r="BH1897" s="9"/>
      <c r="BI1897" s="9"/>
      <c r="BJ1897" s="9"/>
      <c r="BK1897" s="9"/>
      <c r="BL1897" s="9"/>
      <c r="BM1897" s="9"/>
      <c r="BN1897" s="9"/>
      <c r="BO1897" s="9"/>
      <c r="BP1897" s="9"/>
      <c r="BQ1897" s="9"/>
      <c r="BR1897" s="9"/>
      <c r="BS1897" s="9"/>
      <c r="BT1897" s="9"/>
      <c r="BU1897" s="9"/>
      <c r="BV1897" s="9"/>
      <c r="BW1897" s="9"/>
      <c r="BX1897" s="9"/>
      <c r="BY1897" s="9"/>
      <c r="BZ1897" s="9"/>
      <c r="CA1897" s="9"/>
      <c r="CB1897" s="9"/>
      <c r="CC1897" s="9"/>
      <c r="CD1897" s="9"/>
      <c r="CE1897" s="9"/>
      <c r="CF1897" s="9"/>
      <c r="CG1897" s="9"/>
      <c r="CH1897" s="9"/>
      <c r="CI1897" s="9"/>
      <c r="CJ1897" s="9"/>
      <c r="CK1897" s="9"/>
      <c r="CL1897" s="9"/>
      <c r="CM1897" s="9"/>
      <c r="CN1897" s="9"/>
      <c r="CO1897" s="9"/>
      <c r="CP1897" s="9"/>
    </row>
    <row r="1898" spans="1:94" ht="15.75" x14ac:dyDescent="0.25">
      <c r="A1898" s="126" t="s">
        <v>5078</v>
      </c>
      <c r="B1898" s="9" t="s">
        <v>5079</v>
      </c>
      <c r="C1898" s="9"/>
      <c r="D1898" s="9"/>
      <c r="E1898" s="9"/>
      <c r="F1898" s="9"/>
      <c r="G1898" s="9"/>
      <c r="H1898" s="9"/>
      <c r="I1898" s="9"/>
      <c r="J1898" s="9"/>
      <c r="K1898" s="9"/>
      <c r="L1898" s="9"/>
      <c r="M1898" s="9"/>
      <c r="N1898" s="9"/>
      <c r="O1898" s="9"/>
      <c r="P1898" s="9"/>
      <c r="Q1898" s="9"/>
      <c r="R1898" s="9"/>
      <c r="S1898" s="9"/>
      <c r="T1898" s="9"/>
      <c r="U1898" s="9"/>
      <c r="V1898" s="9"/>
      <c r="W1898" s="9"/>
      <c r="X1898" s="9"/>
      <c r="Y1898" s="9"/>
      <c r="Z1898" s="9"/>
      <c r="AA1898" s="9"/>
      <c r="AB1898" s="9"/>
      <c r="AC1898" s="9"/>
      <c r="AD1898" s="9"/>
      <c r="AE1898" s="9"/>
      <c r="AF1898" s="9"/>
      <c r="AG1898" s="9"/>
      <c r="AH1898" s="9"/>
      <c r="AI1898" s="9"/>
      <c r="AJ1898" s="9"/>
      <c r="AK1898" s="9"/>
      <c r="AL1898" s="9"/>
      <c r="AM1898" s="69"/>
      <c r="AN1898" s="9"/>
      <c r="AO1898" s="69" t="s">
        <v>4591</v>
      </c>
      <c r="AP1898" s="210"/>
      <c r="AQ1898" s="211"/>
      <c r="AR1898" s="211"/>
      <c r="AS1898" s="211"/>
      <c r="AT1898" s="211"/>
      <c r="AU1898" s="211"/>
      <c r="AV1898" s="211"/>
      <c r="AW1898" s="9"/>
      <c r="AX1898" s="9"/>
      <c r="AY1898" s="9"/>
      <c r="AZ1898" s="9"/>
      <c r="BA1898" s="120"/>
      <c r="BB1898" s="69"/>
      <c r="BC1898" s="9"/>
      <c r="BD1898" s="9"/>
      <c r="BE1898" s="9"/>
      <c r="BF1898" s="9"/>
      <c r="BG1898" s="9"/>
      <c r="BH1898" s="9"/>
      <c r="BI1898" s="9"/>
      <c r="BJ1898" s="9"/>
      <c r="BK1898" s="9"/>
      <c r="BL1898" s="9"/>
      <c r="BM1898" s="9"/>
      <c r="BN1898" s="9"/>
      <c r="BO1898" s="9"/>
      <c r="BP1898" s="9"/>
      <c r="BQ1898" s="9"/>
      <c r="BR1898" s="9"/>
      <c r="BS1898" s="9"/>
      <c r="BT1898" s="9"/>
      <c r="BU1898" s="9"/>
      <c r="BV1898" s="9"/>
      <c r="BW1898" s="9"/>
      <c r="BX1898" s="9"/>
      <c r="BY1898" s="9"/>
      <c r="BZ1898" s="9"/>
      <c r="CA1898" s="9"/>
      <c r="CB1898" s="9"/>
      <c r="CC1898" s="9"/>
      <c r="CD1898" s="9"/>
      <c r="CE1898" s="9"/>
      <c r="CF1898" s="9"/>
      <c r="CG1898" s="9"/>
      <c r="CH1898" s="9"/>
      <c r="CI1898" s="9"/>
      <c r="CJ1898" s="9"/>
      <c r="CK1898" s="9"/>
      <c r="CL1898" s="9"/>
      <c r="CM1898" s="9"/>
      <c r="CN1898" s="9"/>
      <c r="CO1898" s="9"/>
      <c r="CP1898" s="9"/>
    </row>
  </sheetData>
  <autoFilter ref="A4:CM4" xr:uid="{00000000-0009-0000-0000-000000000000}"/>
  <mergeCells count="5">
    <mergeCell ref="A2:A3"/>
    <mergeCell ref="B2:B3"/>
    <mergeCell ref="C2:W2"/>
    <mergeCell ref="AP2:AW2"/>
    <mergeCell ref="BA2:BB2"/>
  </mergeCells>
  <conditionalFormatting sqref="I1595:I1596 I1604:I1605 I1598:I1599 I1504:I1505 I1610 I1601:I1602 I1508 I1501:I1502 I3 I1305 I1471 I1497:I1498">
    <cfRule type="cellIs" dxfId="1" priority="1" operator="greaterThan">
      <formula>5</formula>
    </cfRule>
    <cfRule type="cellIs" dxfId="0" priority="2" operator="greaterThan">
      <formula>5</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798"/>
  <sheetViews>
    <sheetView workbookViewId="0">
      <selection activeCell="E2" sqref="E2:E246"/>
    </sheetView>
  </sheetViews>
  <sheetFormatPr defaultRowHeight="15" x14ac:dyDescent="0.25"/>
  <cols>
    <col min="1" max="1" width="35.28515625" customWidth="1"/>
    <col min="2" max="2" width="13.28515625" customWidth="1"/>
    <col min="3" max="3" width="34" customWidth="1"/>
  </cols>
  <sheetData>
    <row r="1" spans="1:5" x14ac:dyDescent="0.25">
      <c r="A1" s="274" t="s">
        <v>5082</v>
      </c>
      <c r="C1" s="274" t="s">
        <v>5082</v>
      </c>
    </row>
    <row r="2" spans="1:5" x14ac:dyDescent="0.25">
      <c r="A2" s="52" t="s">
        <v>61</v>
      </c>
      <c r="C2" s="52" t="s">
        <v>61</v>
      </c>
      <c r="D2" t="s">
        <v>5235</v>
      </c>
      <c r="E2" t="str">
        <f>"Insert  into dmkhach(Makhach, Tenkhach) values('" &amp; D2 &amp; "', N'" &amp; C2 &amp; "')"</f>
        <v>Insert  into dmkhach(Makhach, Tenkhach) values('KH001', N'Công ty Quốc tế Alpha')</v>
      </c>
    </row>
    <row r="3" spans="1:5" x14ac:dyDescent="0.25">
      <c r="A3" s="52" t="s">
        <v>61</v>
      </c>
      <c r="C3" s="52" t="s">
        <v>75</v>
      </c>
      <c r="D3" t="s">
        <v>5236</v>
      </c>
      <c r="E3" t="str">
        <f t="shared" ref="E3:E66" si="0">"Insert  into dmkhach(Makhach, Tenkhach) values('" &amp; D3 &amp; "', N'" &amp; C3 &amp; "')"</f>
        <v>Insert  into dmkhach(Makhach, Tenkhach) values('KH002', N'Công ty Đất Việt')</v>
      </c>
    </row>
    <row r="4" spans="1:5" x14ac:dyDescent="0.25">
      <c r="A4" s="52" t="s">
        <v>75</v>
      </c>
      <c r="C4" s="52" t="s">
        <v>85</v>
      </c>
      <c r="D4" t="s">
        <v>5237</v>
      </c>
      <c r="E4" t="str">
        <f t="shared" si="0"/>
        <v>Insert  into dmkhach(Makhach, Tenkhach) values('KH003', N'Túi chè lọc 1 màu 365 Vĩnh Phúc')</v>
      </c>
    </row>
    <row r="5" spans="1:5" ht="30" x14ac:dyDescent="0.25">
      <c r="A5" s="52" t="s">
        <v>75</v>
      </c>
      <c r="C5" s="52" t="s">
        <v>92</v>
      </c>
      <c r="D5" t="s">
        <v>5238</v>
      </c>
      <c r="E5" t="str">
        <f t="shared" si="0"/>
        <v>Insert  into dmkhach(Makhach, Tenkhach) values('KH004', N'Công ty TNHH Thế hệ mới Vĩnh Phúc')</v>
      </c>
    </row>
    <row r="6" spans="1:5" x14ac:dyDescent="0.25">
      <c r="A6" s="52" t="s">
        <v>61</v>
      </c>
      <c r="C6" s="52" t="s">
        <v>99</v>
      </c>
      <c r="D6" t="s">
        <v>5239</v>
      </c>
      <c r="E6" t="str">
        <f t="shared" si="0"/>
        <v>Insert  into dmkhach(Makhach, Tenkhach) values('KH005', N'Công ty TNHH Tiên Dung')</v>
      </c>
    </row>
    <row r="7" spans="1:5" x14ac:dyDescent="0.25">
      <c r="A7" s="52" t="s">
        <v>85</v>
      </c>
      <c r="C7" s="52" t="s">
        <v>105</v>
      </c>
      <c r="D7" t="s">
        <v>5240</v>
      </c>
      <c r="E7" t="str">
        <f t="shared" si="0"/>
        <v>Insert  into dmkhach(Makhach, Tenkhach) values('KH006', N'Công ty Giống Đại Thành')</v>
      </c>
    </row>
    <row r="8" spans="1:5" x14ac:dyDescent="0.25">
      <c r="A8" s="52" t="s">
        <v>92</v>
      </c>
      <c r="C8" s="52" t="s">
        <v>118</v>
      </c>
      <c r="D8" t="s">
        <v>5241</v>
      </c>
      <c r="E8" t="str">
        <f t="shared" si="0"/>
        <v>Insert  into dmkhach(Makhach, Tenkhach) values('KH007', N'Khách hàng lẻ')</v>
      </c>
    </row>
    <row r="9" spans="1:5" x14ac:dyDescent="0.25">
      <c r="A9" s="52" t="s">
        <v>92</v>
      </c>
      <c r="C9" s="52" t="s">
        <v>137</v>
      </c>
      <c r="D9" t="s">
        <v>5242</v>
      </c>
      <c r="E9" t="str">
        <f t="shared" si="0"/>
        <v>Insert  into dmkhach(Makhach, Tenkhach) values('KH008', N'Công ty CP DL và VTYT Hải Phòng')</v>
      </c>
    </row>
    <row r="10" spans="1:5" x14ac:dyDescent="0.25">
      <c r="A10" s="52" t="s">
        <v>99</v>
      </c>
      <c r="C10" s="58" t="s">
        <v>143</v>
      </c>
      <c r="D10" t="s">
        <v>5243</v>
      </c>
      <c r="E10" t="str">
        <f t="shared" si="0"/>
        <v>Insert  into dmkhach(Makhach, Tenkhach) values('KH009', N'Công ty CP Sinh Việt')</v>
      </c>
    </row>
    <row r="11" spans="1:5" x14ac:dyDescent="0.25">
      <c r="A11" s="52" t="s">
        <v>105</v>
      </c>
      <c r="C11" s="52" t="s">
        <v>160</v>
      </c>
      <c r="D11" t="s">
        <v>5244</v>
      </c>
      <c r="E11" t="str">
        <f t="shared" si="0"/>
        <v>Insert  into dmkhach(Makhach, Tenkhach) values('KH010', N'Công ty CP Muối Visaco')</v>
      </c>
    </row>
    <row r="12" spans="1:5" x14ac:dyDescent="0.25">
      <c r="A12" s="52" t="s">
        <v>61</v>
      </c>
      <c r="C12" s="52" t="s">
        <v>169</v>
      </c>
      <c r="D12" t="s">
        <v>5245</v>
      </c>
      <c r="E12" t="str">
        <f t="shared" si="0"/>
        <v>Insert  into dmkhach(Makhach, Tenkhach) values('KH011', N'Công ty Libra')</v>
      </c>
    </row>
    <row r="13" spans="1:5" x14ac:dyDescent="0.25">
      <c r="A13" s="52" t="s">
        <v>118</v>
      </c>
      <c r="C13" s="52" t="s">
        <v>180</v>
      </c>
      <c r="D13" t="s">
        <v>5246</v>
      </c>
      <c r="E13" t="str">
        <f t="shared" si="0"/>
        <v>Insert  into dmkhach(Makhach, Tenkhach) values('KH012', N'Công ty Phú Mỹ')</v>
      </c>
    </row>
    <row r="14" spans="1:5" x14ac:dyDescent="0.25">
      <c r="A14" s="52" t="s">
        <v>118</v>
      </c>
      <c r="C14" s="52" t="s">
        <v>195</v>
      </c>
      <c r="D14" t="s">
        <v>5247</v>
      </c>
      <c r="E14" t="str">
        <f t="shared" si="0"/>
        <v>Insert  into dmkhach(Makhach, Tenkhach) values('KH013', N'Công ty Vĩnh Phúc')</v>
      </c>
    </row>
    <row r="15" spans="1:5" x14ac:dyDescent="0.25">
      <c r="A15" s="52" t="s">
        <v>61</v>
      </c>
      <c r="C15" s="52" t="s">
        <v>204</v>
      </c>
      <c r="D15" t="s">
        <v>5248</v>
      </c>
      <c r="E15" t="str">
        <f t="shared" si="0"/>
        <v>Insert  into dmkhach(Makhach, Tenkhach) values('KH014', N'Công ty Nam Dược')</v>
      </c>
    </row>
    <row r="16" spans="1:5" x14ac:dyDescent="0.25">
      <c r="A16" s="52" t="s">
        <v>118</v>
      </c>
      <c r="C16" s="52" t="s">
        <v>209</v>
      </c>
      <c r="D16" t="s">
        <v>5249</v>
      </c>
      <c r="E16" t="str">
        <f t="shared" si="0"/>
        <v>Insert  into dmkhach(Makhach, Tenkhach) values('KH015', N'Công ty Trường Hằng')</v>
      </c>
    </row>
    <row r="17" spans="1:5" x14ac:dyDescent="0.25">
      <c r="A17" s="52" t="s">
        <v>137</v>
      </c>
      <c r="C17" s="52" t="s">
        <v>214</v>
      </c>
      <c r="D17" t="s">
        <v>5250</v>
      </c>
      <c r="E17" t="str">
        <f t="shared" si="0"/>
        <v>Insert  into dmkhach(Makhach, Tenkhach) values('KH016', N'Cty Phú Mỹ')</v>
      </c>
    </row>
    <row r="18" spans="1:5" x14ac:dyDescent="0.25">
      <c r="A18" s="58" t="s">
        <v>143</v>
      </c>
      <c r="C18" s="52" t="s">
        <v>228</v>
      </c>
      <c r="D18" t="s">
        <v>5251</v>
      </c>
      <c r="E18" t="str">
        <f t="shared" si="0"/>
        <v>Insert  into dmkhach(Makhach, Tenkhach) values('KH017', N'Công ty CP Thực Phẩm Hoa Lư')</v>
      </c>
    </row>
    <row r="19" spans="1:5" x14ac:dyDescent="0.25">
      <c r="A19" s="52" t="s">
        <v>143</v>
      </c>
      <c r="C19" s="52" t="s">
        <v>234</v>
      </c>
      <c r="D19" t="s">
        <v>5252</v>
      </c>
      <c r="E19" t="str">
        <f t="shared" si="0"/>
        <v>Insert  into dmkhach(Makhach, Tenkhach) values('KH018', N'Công ty TNHH Quế Lâm')</v>
      </c>
    </row>
    <row r="20" spans="1:5" x14ac:dyDescent="0.25">
      <c r="A20" s="52" t="s">
        <v>143</v>
      </c>
      <c r="C20" s="52" t="s">
        <v>240</v>
      </c>
      <c r="D20" t="s">
        <v>5253</v>
      </c>
      <c r="E20" t="str">
        <f t="shared" si="0"/>
        <v>Insert  into dmkhach(Makhach, Tenkhach) values('KH019', N'Công ty Hanufood')</v>
      </c>
    </row>
    <row r="21" spans="1:5" x14ac:dyDescent="0.25">
      <c r="A21" s="52" t="s">
        <v>143</v>
      </c>
      <c r="C21" s="52" t="s">
        <v>244</v>
      </c>
      <c r="D21" t="s">
        <v>5254</v>
      </c>
      <c r="E21" t="str">
        <f t="shared" si="0"/>
        <v>Insert  into dmkhach(Makhach, Tenkhach) values('KH020', N'Công ty Ngọc Châu')</v>
      </c>
    </row>
    <row r="22" spans="1:5" x14ac:dyDescent="0.25">
      <c r="A22" s="52" t="s">
        <v>160</v>
      </c>
      <c r="C22" s="52" t="s">
        <v>250</v>
      </c>
      <c r="D22" t="s">
        <v>5255</v>
      </c>
      <c r="E22" t="str">
        <f t="shared" si="0"/>
        <v>Insert  into dmkhach(Makhach, Tenkhach) values('KH021', N'Công ty TNHH Trường Hằng')</v>
      </c>
    </row>
    <row r="23" spans="1:5" x14ac:dyDescent="0.25">
      <c r="A23" s="52" t="s">
        <v>160</v>
      </c>
      <c r="C23" s="52" t="s">
        <v>266</v>
      </c>
      <c r="D23" t="s">
        <v>5256</v>
      </c>
      <c r="E23" t="str">
        <f t="shared" si="0"/>
        <v>Insert  into dmkhach(Makhach, Tenkhach) values('KH022', N'Công ty Diamond food')</v>
      </c>
    </row>
    <row r="24" spans="1:5" x14ac:dyDescent="0.25">
      <c r="A24" s="52" t="s">
        <v>169</v>
      </c>
      <c r="C24" s="52" t="s">
        <v>295</v>
      </c>
      <c r="D24" t="s">
        <v>5257</v>
      </c>
      <c r="E24" t="str">
        <f t="shared" si="0"/>
        <v>Insert  into dmkhach(Makhach, Tenkhach) values('KH023', N'Công ty Minh Phát')</v>
      </c>
    </row>
    <row r="25" spans="1:5" x14ac:dyDescent="0.25">
      <c r="A25" s="52" t="s">
        <v>169</v>
      </c>
      <c r="C25" s="52" t="s">
        <v>310</v>
      </c>
      <c r="D25" t="s">
        <v>5258</v>
      </c>
      <c r="E25" t="str">
        <f t="shared" si="0"/>
        <v>Insert  into dmkhach(Makhach, Tenkhach) values('KH024', N'Công ty Tiên Dung')</v>
      </c>
    </row>
    <row r="26" spans="1:5" x14ac:dyDescent="0.25">
      <c r="A26" s="52" t="s">
        <v>180</v>
      </c>
      <c r="C26" s="52" t="s">
        <v>332</v>
      </c>
      <c r="D26" t="s">
        <v>5259</v>
      </c>
      <c r="E26" t="str">
        <f t="shared" si="0"/>
        <v>Insert  into dmkhach(Makhach, Tenkhach) values('KH025', N'Bùi Văn Sỹ')</v>
      </c>
    </row>
    <row r="27" spans="1:5" x14ac:dyDescent="0.25">
      <c r="A27" s="52" t="s">
        <v>61</v>
      </c>
      <c r="C27" s="52" t="s">
        <v>348</v>
      </c>
      <c r="D27" t="s">
        <v>5260</v>
      </c>
      <c r="E27" t="str">
        <f t="shared" si="0"/>
        <v>Insert  into dmkhach(Makhach, Tenkhach) values('KH026', N'Công ty Quốc tế Hòa Bình')</v>
      </c>
    </row>
    <row r="28" spans="1:5" x14ac:dyDescent="0.25">
      <c r="A28" s="52" t="s">
        <v>61</v>
      </c>
      <c r="C28" s="52" t="s">
        <v>360</v>
      </c>
      <c r="D28" t="s">
        <v>5261</v>
      </c>
      <c r="E28" t="str">
        <f t="shared" si="0"/>
        <v>Insert  into dmkhach(Makhach, Tenkhach) values('KH027', N'Công ty Đa Quốc Gia')</v>
      </c>
    </row>
    <row r="29" spans="1:5" x14ac:dyDescent="0.25">
      <c r="A29" s="52" t="s">
        <v>195</v>
      </c>
      <c r="C29" s="52" t="s">
        <v>387</v>
      </c>
      <c r="D29" t="s">
        <v>5262</v>
      </c>
      <c r="E29" t="str">
        <f t="shared" si="0"/>
        <v>Insert  into dmkhach(Makhach, Tenkhach) values('KH028', N'Công ty Mahyco')</v>
      </c>
    </row>
    <row r="30" spans="1:5" x14ac:dyDescent="0.25">
      <c r="A30" s="52" t="s">
        <v>180</v>
      </c>
      <c r="C30" s="52" t="s">
        <v>396</v>
      </c>
      <c r="D30" t="s">
        <v>5263</v>
      </c>
      <c r="E30" t="str">
        <f t="shared" si="0"/>
        <v>Insert  into dmkhach(Makhach, Tenkhach) values('KH029', N'Công ty TNHH Sutraco')</v>
      </c>
    </row>
    <row r="31" spans="1:5" x14ac:dyDescent="0.25">
      <c r="A31" s="52" t="s">
        <v>180</v>
      </c>
      <c r="C31" s="52" t="s">
        <v>401</v>
      </c>
      <c r="D31" t="s">
        <v>5264</v>
      </c>
      <c r="E31" t="str">
        <f t="shared" si="0"/>
        <v>Insert  into dmkhach(Makhach, Tenkhach) values('KH030', N'Doanh nghiệp tư nhân Bảy Lương')</v>
      </c>
    </row>
    <row r="32" spans="1:5" x14ac:dyDescent="0.25">
      <c r="A32" s="52" t="s">
        <v>204</v>
      </c>
      <c r="C32" s="52" t="s">
        <v>439</v>
      </c>
      <c r="D32" t="s">
        <v>5265</v>
      </c>
      <c r="E32" t="str">
        <f t="shared" si="0"/>
        <v>Insert  into dmkhach(Makhach, Tenkhach) values('KH031', N'Công ty Việt Đức')</v>
      </c>
    </row>
    <row r="33" spans="1:5" x14ac:dyDescent="0.25">
      <c r="A33" s="52" t="s">
        <v>209</v>
      </c>
      <c r="C33" s="52" t="s">
        <v>458</v>
      </c>
      <c r="D33" t="s">
        <v>5266</v>
      </c>
      <c r="E33" t="str">
        <f t="shared" si="0"/>
        <v>Insert  into dmkhach(Makhach, Tenkhach) values('KH032', N'Công ty TNHH AgricareViệt Nam')</v>
      </c>
    </row>
    <row r="34" spans="1:5" x14ac:dyDescent="0.25">
      <c r="A34" s="52" t="s">
        <v>214</v>
      </c>
      <c r="C34" s="52" t="s">
        <v>461</v>
      </c>
      <c r="D34" t="s">
        <v>5267</v>
      </c>
      <c r="E34" t="str">
        <f t="shared" si="0"/>
        <v>Insert  into dmkhach(Makhach, Tenkhach) values('KH033', N'Công ty CP Quốc Tế Hòa Bình')</v>
      </c>
    </row>
    <row r="35" spans="1:5" x14ac:dyDescent="0.25">
      <c r="A35" s="52" t="s">
        <v>92</v>
      </c>
      <c r="C35" s="52" t="s">
        <v>464</v>
      </c>
      <c r="D35" t="s">
        <v>5268</v>
      </c>
      <c r="E35" t="str">
        <f t="shared" si="0"/>
        <v>Insert  into dmkhach(Makhach, Tenkhach) values('KH034', N'Công ty công nghệ cao USA')</v>
      </c>
    </row>
    <row r="36" spans="1:5" x14ac:dyDescent="0.25">
      <c r="A36" s="52" t="s">
        <v>137</v>
      </c>
      <c r="C36" s="52" t="s">
        <v>473</v>
      </c>
      <c r="D36" t="s">
        <v>5269</v>
      </c>
      <c r="E36" t="str">
        <f t="shared" si="0"/>
        <v>Insert  into dmkhach(Makhach, Tenkhach) values('KH035', N'Công ty Hải Long')</v>
      </c>
    </row>
    <row r="37" spans="1:5" x14ac:dyDescent="0.25">
      <c r="A37" s="52" t="s">
        <v>61</v>
      </c>
      <c r="C37" s="52" t="s">
        <v>527</v>
      </c>
      <c r="D37" t="s">
        <v>5270</v>
      </c>
      <c r="E37" t="str">
        <f t="shared" si="0"/>
        <v>Insert  into dmkhach(Makhach, Tenkhach) values('KH036', N'Công ty Thái Bình')</v>
      </c>
    </row>
    <row r="38" spans="1:5" x14ac:dyDescent="0.25">
      <c r="A38" s="52" t="s">
        <v>228</v>
      </c>
      <c r="C38" s="52" t="s">
        <v>543</v>
      </c>
      <c r="D38" t="s">
        <v>5271</v>
      </c>
      <c r="E38" t="str">
        <f t="shared" si="0"/>
        <v>Insert  into dmkhach(Makhach, Tenkhach) values('KH037', N'Công ty Việt Nga')</v>
      </c>
    </row>
    <row r="39" spans="1:5" x14ac:dyDescent="0.25">
      <c r="A39" s="52" t="s">
        <v>228</v>
      </c>
      <c r="C39" s="52" t="s">
        <v>550</v>
      </c>
      <c r="D39" t="s">
        <v>5272</v>
      </c>
      <c r="E39" t="str">
        <f t="shared" si="0"/>
        <v>Insert  into dmkhach(Makhach, Tenkhach) values('KH038', N'Công ty Hà Thái')</v>
      </c>
    </row>
    <row r="40" spans="1:5" x14ac:dyDescent="0.25">
      <c r="A40" s="52" t="s">
        <v>234</v>
      </c>
      <c r="C40" s="52" t="s">
        <v>553</v>
      </c>
      <c r="D40" t="s">
        <v>5273</v>
      </c>
      <c r="E40" t="str">
        <f t="shared" si="0"/>
        <v>Insert  into dmkhach(Makhach, Tenkhach) values('KH039', N'Công ty American')</v>
      </c>
    </row>
    <row r="41" spans="1:5" x14ac:dyDescent="0.25">
      <c r="A41" s="52" t="s">
        <v>240</v>
      </c>
      <c r="C41" s="52" t="s">
        <v>561</v>
      </c>
      <c r="D41" t="s">
        <v>5274</v>
      </c>
      <c r="E41" t="str">
        <f t="shared" si="0"/>
        <v>Insert  into dmkhach(Makhach, Tenkhach) values('KH040', N'Công ty Thanh Sơn')</v>
      </c>
    </row>
    <row r="42" spans="1:5" x14ac:dyDescent="0.25">
      <c r="A42" s="52" t="s">
        <v>244</v>
      </c>
      <c r="C42" s="52" t="s">
        <v>603</v>
      </c>
      <c r="D42" t="s">
        <v>5275</v>
      </c>
      <c r="E42" t="str">
        <f t="shared" si="0"/>
        <v>Insert  into dmkhach(Makhach, Tenkhach) values('KH041', N'Công ty Phúc Linh')</v>
      </c>
    </row>
    <row r="43" spans="1:5" x14ac:dyDescent="0.25">
      <c r="A43" s="52" t="s">
        <v>250</v>
      </c>
      <c r="C43" s="52" t="s">
        <v>612</v>
      </c>
      <c r="D43" t="s">
        <v>5276</v>
      </c>
      <c r="E43" t="str">
        <f t="shared" si="0"/>
        <v>Insert  into dmkhach(Makhach, Tenkhach) values('KH042', N'Công ty Việt Thắng')</v>
      </c>
    </row>
    <row r="44" spans="1:5" x14ac:dyDescent="0.25">
      <c r="A44" s="52" t="s">
        <v>250</v>
      </c>
      <c r="C44" s="52" t="s">
        <v>657</v>
      </c>
      <c r="D44" t="s">
        <v>5277</v>
      </c>
      <c r="E44" t="str">
        <f t="shared" si="0"/>
        <v>Insert  into dmkhach(Makhach, Tenkhach) values('KH043', N'Công ty Đại Thành')</v>
      </c>
    </row>
    <row r="45" spans="1:5" x14ac:dyDescent="0.25">
      <c r="A45" s="52" t="s">
        <v>244</v>
      </c>
      <c r="C45" s="52" t="s">
        <v>709</v>
      </c>
      <c r="D45" t="s">
        <v>5278</v>
      </c>
      <c r="E45" t="str">
        <f t="shared" si="0"/>
        <v>Insert  into dmkhach(Makhach, Tenkhach) values('KH044', N'Công ty CP Green Mekong')</v>
      </c>
    </row>
    <row r="46" spans="1:5" x14ac:dyDescent="0.25">
      <c r="A46" s="52" t="s">
        <v>250</v>
      </c>
      <c r="C46" s="52" t="s">
        <v>714</v>
      </c>
      <c r="D46" t="s">
        <v>5279</v>
      </c>
      <c r="E46" t="str">
        <f t="shared" si="0"/>
        <v>Insert  into dmkhach(Makhach, Tenkhach) values('KH045', N'Công ty Thực Phẩm Nhật Nguyệt')</v>
      </c>
    </row>
    <row r="47" spans="1:5" x14ac:dyDescent="0.25">
      <c r="A47" s="52" t="s">
        <v>266</v>
      </c>
      <c r="C47" s="52" t="s">
        <v>813</v>
      </c>
      <c r="D47" t="s">
        <v>5280</v>
      </c>
      <c r="E47" t="str">
        <f t="shared" si="0"/>
        <v>Insert  into dmkhach(Makhach, Tenkhach) values('KH046', N'Công ty chè Hùng An')</v>
      </c>
    </row>
    <row r="48" spans="1:5" x14ac:dyDescent="0.25">
      <c r="A48" s="52" t="s">
        <v>266</v>
      </c>
      <c r="C48" s="52" t="s">
        <v>907</v>
      </c>
      <c r="D48" t="s">
        <v>5281</v>
      </c>
      <c r="E48" t="str">
        <f t="shared" si="0"/>
        <v>Insert  into dmkhach(Makhach, Tenkhach) values('KH047', N'Công ty Trần Vũ')</v>
      </c>
    </row>
    <row r="49" spans="1:5" x14ac:dyDescent="0.25">
      <c r="A49" s="52" t="s">
        <v>228</v>
      </c>
      <c r="C49" s="52" t="s">
        <v>916</v>
      </c>
      <c r="D49" t="s">
        <v>5282</v>
      </c>
      <c r="E49" t="str">
        <f t="shared" si="0"/>
        <v>Insert  into dmkhach(Makhach, Tenkhach) values('KH048', N'Công ty Thanh Minh')</v>
      </c>
    </row>
    <row r="50" spans="1:5" x14ac:dyDescent="0.25">
      <c r="A50" s="52" t="s">
        <v>228</v>
      </c>
      <c r="C50" s="52" t="s">
        <v>948</v>
      </c>
      <c r="D50" t="s">
        <v>5283</v>
      </c>
      <c r="E50" t="str">
        <f t="shared" si="0"/>
        <v>Insert  into dmkhach(Makhach, Tenkhach) values('KH049', N'Công ty Redsun')</v>
      </c>
    </row>
    <row r="51" spans="1:5" x14ac:dyDescent="0.25">
      <c r="A51" s="52" t="s">
        <v>61</v>
      </c>
      <c r="C51" s="52" t="s">
        <v>959</v>
      </c>
      <c r="D51" t="s">
        <v>5284</v>
      </c>
      <c r="E51" t="str">
        <f t="shared" si="0"/>
        <v>Insert  into dmkhach(Makhach, Tenkhach) values('KH050', N'Công ty Đức Thiện')</v>
      </c>
    </row>
    <row r="52" spans="1:5" x14ac:dyDescent="0.25">
      <c r="A52" s="52" t="s">
        <v>99</v>
      </c>
      <c r="C52" s="52" t="s">
        <v>962</v>
      </c>
      <c r="D52" t="s">
        <v>5285</v>
      </c>
      <c r="E52" t="str">
        <f t="shared" si="0"/>
        <v>Insert  into dmkhach(Makhach, Tenkhach) values('KH051', N'Công ty Proline')</v>
      </c>
    </row>
    <row r="53" spans="1:5" x14ac:dyDescent="0.25">
      <c r="A53" s="52" t="s">
        <v>61</v>
      </c>
      <c r="C53" s="52" t="s">
        <v>974</v>
      </c>
      <c r="D53" t="s">
        <v>5286</v>
      </c>
      <c r="E53" t="str">
        <f t="shared" si="0"/>
        <v>Insert  into dmkhach(Makhach, Tenkhach) values('KH052', N'Công ty Mặt Trời Đỏ')</v>
      </c>
    </row>
    <row r="54" spans="1:5" x14ac:dyDescent="0.25">
      <c r="A54" s="52" t="s">
        <v>266</v>
      </c>
      <c r="C54" s="52" t="s">
        <v>996</v>
      </c>
      <c r="D54" t="s">
        <v>5287</v>
      </c>
      <c r="E54" t="str">
        <f t="shared" si="0"/>
        <v>Insert  into dmkhach(Makhach, Tenkhach) values('KH053', N'Công ty Sing Việt')</v>
      </c>
    </row>
    <row r="55" spans="1:5" x14ac:dyDescent="0.25">
      <c r="A55" s="52" t="s">
        <v>244</v>
      </c>
      <c r="C55" s="52" t="s">
        <v>1005</v>
      </c>
      <c r="D55" t="s">
        <v>5288</v>
      </c>
      <c r="E55" t="str">
        <f t="shared" si="0"/>
        <v>Insert  into dmkhach(Makhach, Tenkhach) values('KH054', N'Công ty  Dược Hải Phòng')</v>
      </c>
    </row>
    <row r="56" spans="1:5" x14ac:dyDescent="0.25">
      <c r="A56" s="52" t="s">
        <v>295</v>
      </c>
      <c r="C56" s="52" t="s">
        <v>1069</v>
      </c>
      <c r="D56" t="s">
        <v>5289</v>
      </c>
      <c r="E56" t="str">
        <f t="shared" si="0"/>
        <v>Insert  into dmkhach(Makhach, Tenkhach) values('KH055', N'Công ty Redfood')</v>
      </c>
    </row>
    <row r="57" spans="1:5" x14ac:dyDescent="0.25">
      <c r="A57" s="52" t="s">
        <v>295</v>
      </c>
      <c r="C57" s="52" t="s">
        <v>1077</v>
      </c>
      <c r="D57" t="s">
        <v>5290</v>
      </c>
      <c r="E57" t="str">
        <f t="shared" si="0"/>
        <v>Insert  into dmkhach(Makhach, Tenkhach) values('KH056', N'Công ty Đức Giang')</v>
      </c>
    </row>
    <row r="58" spans="1:5" x14ac:dyDescent="0.25">
      <c r="A58" s="52" t="s">
        <v>244</v>
      </c>
      <c r="C58" s="52" t="s">
        <v>1101</v>
      </c>
      <c r="D58" t="s">
        <v>5291</v>
      </c>
      <c r="E58" t="str">
        <f t="shared" si="0"/>
        <v>Insert  into dmkhach(Makhach, Tenkhach) values('KH057', N'Công ty Nhật Nguyên')</v>
      </c>
    </row>
    <row r="59" spans="1:5" x14ac:dyDescent="0.25">
      <c r="A59" s="52" t="s">
        <v>244</v>
      </c>
      <c r="C59" s="52" t="s">
        <v>1112</v>
      </c>
      <c r="D59" t="s">
        <v>5292</v>
      </c>
      <c r="E59" t="str">
        <f t="shared" si="0"/>
        <v>Insert  into dmkhach(Makhach, Tenkhach) values('KH058', N'Công ty Bảo Tín')</v>
      </c>
    </row>
    <row r="60" spans="1:5" x14ac:dyDescent="0.25">
      <c r="A60" s="52" t="s">
        <v>310</v>
      </c>
      <c r="C60" s="52" t="s">
        <v>1117</v>
      </c>
      <c r="D60" t="s">
        <v>5293</v>
      </c>
      <c r="E60" t="str">
        <f t="shared" si="0"/>
        <v>Insert  into dmkhach(Makhach, Tenkhach) values('KH059', N'Công ty Hạ Long')</v>
      </c>
    </row>
    <row r="61" spans="1:5" x14ac:dyDescent="0.25">
      <c r="A61" s="52" t="s">
        <v>195</v>
      </c>
      <c r="C61" s="52" t="s">
        <v>1129</v>
      </c>
      <c r="D61" t="s">
        <v>5294</v>
      </c>
      <c r="E61" t="str">
        <f t="shared" si="0"/>
        <v>Insert  into dmkhach(Makhach, Tenkhach) values('KH060', N'Công ty Nhật Nguyệt')</v>
      </c>
    </row>
    <row r="62" spans="1:5" x14ac:dyDescent="0.25">
      <c r="A62" s="52" t="s">
        <v>118</v>
      </c>
      <c r="C62" s="52" t="s">
        <v>1166</v>
      </c>
      <c r="D62" t="s">
        <v>5295</v>
      </c>
      <c r="E62" t="str">
        <f t="shared" si="0"/>
        <v>Insert  into dmkhach(Makhach, Tenkhach) values('KH061', N'Công ty USA')</v>
      </c>
    </row>
    <row r="63" spans="1:5" x14ac:dyDescent="0.25">
      <c r="A63" s="52" t="s">
        <v>118</v>
      </c>
      <c r="C63" s="52" t="s">
        <v>1201</v>
      </c>
      <c r="D63" t="s">
        <v>5296</v>
      </c>
      <c r="E63" t="str">
        <f t="shared" si="0"/>
        <v>Insert  into dmkhach(Makhach, Tenkhach) values('KH062', N'Công ty CNC Thăng Long')</v>
      </c>
    </row>
    <row r="64" spans="1:5" x14ac:dyDescent="0.25">
      <c r="A64" s="52" t="s">
        <v>118</v>
      </c>
      <c r="C64" s="52" t="s">
        <v>1227</v>
      </c>
      <c r="D64" t="s">
        <v>5297</v>
      </c>
      <c r="E64" t="str">
        <f t="shared" si="0"/>
        <v>Insert  into dmkhach(Makhach, Tenkhach) values('KH063', N'Hợp tác xã tân tiến tiến phát')</v>
      </c>
    </row>
    <row r="65" spans="1:5" x14ac:dyDescent="0.25">
      <c r="A65" s="52" t="s">
        <v>118</v>
      </c>
      <c r="C65" s="52" t="s">
        <v>1274</v>
      </c>
      <c r="D65" t="s">
        <v>5298</v>
      </c>
      <c r="E65" t="str">
        <f t="shared" si="0"/>
        <v>Insert  into dmkhach(Makhach, Tenkhach) values('KH064', N'Công ty Nông Nghiệp Nhiệt Đới')</v>
      </c>
    </row>
    <row r="66" spans="1:5" ht="30" x14ac:dyDescent="0.25">
      <c r="A66" s="52" t="s">
        <v>180</v>
      </c>
      <c r="C66" s="52" t="s">
        <v>1325</v>
      </c>
      <c r="D66" t="s">
        <v>5299</v>
      </c>
      <c r="E66" t="str">
        <f t="shared" si="0"/>
        <v>Insert  into dmkhach(Makhach, Tenkhach) values('KH065', N'Công ty CP CN cao thuốc BVTV USA')</v>
      </c>
    </row>
    <row r="67" spans="1:5" x14ac:dyDescent="0.25">
      <c r="A67" s="52" t="s">
        <v>332</v>
      </c>
      <c r="C67" s="52" t="s">
        <v>1338</v>
      </c>
      <c r="D67" t="s">
        <v>5300</v>
      </c>
      <c r="E67" t="str">
        <f t="shared" ref="E67:E130" si="1">"Insert  into dmkhach(Makhach, Tenkhach) values('" &amp; D67 &amp; "', N'" &amp; C67 &amp; "')"</f>
        <v>Insert  into dmkhach(Makhach, Tenkhach) values('KH066', N'Công ty Bích Ngọc')</v>
      </c>
    </row>
    <row r="68" spans="1:5" x14ac:dyDescent="0.25">
      <c r="A68" s="52" t="s">
        <v>180</v>
      </c>
      <c r="C68" s="52" t="s">
        <v>1344</v>
      </c>
      <c r="D68" t="s">
        <v>5301</v>
      </c>
      <c r="E68" t="str">
        <f t="shared" si="1"/>
        <v>Insert  into dmkhach(Makhach, Tenkhach) values('KH067', N'Công ty khoa học CNC American')</v>
      </c>
    </row>
    <row r="69" spans="1:5" x14ac:dyDescent="0.25">
      <c r="A69" s="52" t="s">
        <v>61</v>
      </c>
      <c r="C69" s="52" t="s">
        <v>1351</v>
      </c>
      <c r="D69" t="s">
        <v>5302</v>
      </c>
      <c r="E69" t="str">
        <f t="shared" si="1"/>
        <v>Insert  into dmkhach(Makhach, Tenkhach) values('KH068', N'Công ty Dược Hải Phòng')</v>
      </c>
    </row>
    <row r="70" spans="1:5" x14ac:dyDescent="0.25">
      <c r="A70" s="52" t="s">
        <v>348</v>
      </c>
      <c r="C70" s="52" t="s">
        <v>1357</v>
      </c>
      <c r="D70" t="s">
        <v>5303</v>
      </c>
      <c r="E70" t="str">
        <f t="shared" si="1"/>
        <v>Insert  into dmkhach(Makhach, Tenkhach) values('KH069', N'Công ty Farina')</v>
      </c>
    </row>
    <row r="71" spans="1:5" x14ac:dyDescent="0.25">
      <c r="A71" s="52" t="s">
        <v>348</v>
      </c>
      <c r="C71" s="52" t="s">
        <v>1386</v>
      </c>
      <c r="D71" t="s">
        <v>5304</v>
      </c>
      <c r="E71" t="str">
        <f t="shared" si="1"/>
        <v>Insert  into dmkhach(Makhach, Tenkhach) values('KH070', N'Công ty CP Thực Phẩm Hữu Nghị')</v>
      </c>
    </row>
    <row r="72" spans="1:5" ht="30" x14ac:dyDescent="0.25">
      <c r="A72" s="52" t="s">
        <v>348</v>
      </c>
      <c r="C72" s="52" t="s">
        <v>1400</v>
      </c>
      <c r="D72" t="s">
        <v>5305</v>
      </c>
      <c r="E72" t="str">
        <f t="shared" si="1"/>
        <v>Insert  into dmkhach(Makhach, Tenkhach) values('KH071', N'Công ty CPCN Cao thuốc BVTV USA')</v>
      </c>
    </row>
    <row r="73" spans="1:5" x14ac:dyDescent="0.25">
      <c r="A73" s="52" t="s">
        <v>360</v>
      </c>
      <c r="C73" s="117" t="s">
        <v>1407</v>
      </c>
      <c r="D73" t="s">
        <v>5306</v>
      </c>
      <c r="E73" t="str">
        <f t="shared" si="1"/>
        <v>Insert  into dmkhach(Makhach, Tenkhach) values('KH072', N'Công ty Thực Phẩm Miền Bắc')</v>
      </c>
    </row>
    <row r="74" spans="1:5" x14ac:dyDescent="0.25">
      <c r="A74" s="52" t="s">
        <v>195</v>
      </c>
      <c r="C74" s="61" t="s">
        <v>1438</v>
      </c>
      <c r="D74" t="s">
        <v>5307</v>
      </c>
      <c r="E74" t="str">
        <f t="shared" si="1"/>
        <v>Insert  into dmkhach(Makhach, Tenkhach) values('KH073', N'Công ty Đaị Thành')</v>
      </c>
    </row>
    <row r="75" spans="1:5" ht="30" x14ac:dyDescent="0.25">
      <c r="A75" s="52" t="s">
        <v>310</v>
      </c>
      <c r="C75" s="61" t="s">
        <v>1445</v>
      </c>
      <c r="D75" t="s">
        <v>5308</v>
      </c>
      <c r="E75" t="str">
        <f t="shared" si="1"/>
        <v>Insert  into dmkhach(Makhach, Tenkhach) values('KH074', N'Công ty cổ phần Thực Phẩm Hữu Nghị')</v>
      </c>
    </row>
    <row r="76" spans="1:5" x14ac:dyDescent="0.25">
      <c r="A76" s="52" t="s">
        <v>332</v>
      </c>
      <c r="C76" s="61" t="s">
        <v>1462</v>
      </c>
      <c r="D76" t="s">
        <v>5309</v>
      </c>
      <c r="E76" t="str">
        <f t="shared" si="1"/>
        <v>Insert  into dmkhach(Makhach, Tenkhach) values('KH075', N'Công ty BMC')</v>
      </c>
    </row>
    <row r="77" spans="1:5" ht="30" x14ac:dyDescent="0.25">
      <c r="A77" s="52" t="s">
        <v>332</v>
      </c>
      <c r="C77" s="61" t="s">
        <v>1490</v>
      </c>
      <c r="D77" t="s">
        <v>5310</v>
      </c>
      <c r="E77" t="str">
        <f t="shared" si="1"/>
        <v>Insert  into dmkhach(Makhach, Tenkhach) values('KH076', N'Công ty INNOVATIVE SHIELD Việt Nam')</v>
      </c>
    </row>
    <row r="78" spans="1:5" x14ac:dyDescent="0.25">
      <c r="A78" s="52" t="s">
        <v>332</v>
      </c>
      <c r="C78" s="61" t="s">
        <v>1496</v>
      </c>
      <c r="D78" t="s">
        <v>5311</v>
      </c>
      <c r="E78" t="str">
        <f t="shared" si="1"/>
        <v>Insert  into dmkhach(Makhach, Tenkhach) values('KH077', N'Công ty lương thực Hà Việt')</v>
      </c>
    </row>
    <row r="79" spans="1:5" x14ac:dyDescent="0.25">
      <c r="A79" s="52" t="s">
        <v>332</v>
      </c>
      <c r="C79" s="61" t="s">
        <v>1512</v>
      </c>
      <c r="D79" t="s">
        <v>5312</v>
      </c>
      <c r="E79" t="str">
        <f t="shared" si="1"/>
        <v>Insert  into dmkhach(Makhach, Tenkhach) values('KH078', N'Công ty CP thực phầm Santa')</v>
      </c>
    </row>
    <row r="80" spans="1:5" x14ac:dyDescent="0.25">
      <c r="A80" s="52" t="s">
        <v>332</v>
      </c>
      <c r="C80" s="61" t="s">
        <v>1521</v>
      </c>
      <c r="D80" t="s">
        <v>5313</v>
      </c>
      <c r="E80" t="str">
        <f t="shared" si="1"/>
        <v>Insert  into dmkhach(Makhach, Tenkhach) values('KH079', N'Công ty CP thực phẩm Santa')</v>
      </c>
    </row>
    <row r="81" spans="1:5" x14ac:dyDescent="0.25">
      <c r="A81" s="52" t="s">
        <v>332</v>
      </c>
      <c r="C81" s="61" t="s">
        <v>1548</v>
      </c>
      <c r="D81" t="s">
        <v>5314</v>
      </c>
      <c r="E81" t="str">
        <f t="shared" si="1"/>
        <v>Insert  into dmkhach(Makhach, Tenkhach) values('KH080', N'Công ty bột giặt Hải Phòng')</v>
      </c>
    </row>
    <row r="82" spans="1:5" ht="30" x14ac:dyDescent="0.25">
      <c r="A82" s="52" t="s">
        <v>387</v>
      </c>
      <c r="C82" s="61" t="s">
        <v>1552</v>
      </c>
      <c r="D82" t="s">
        <v>5315</v>
      </c>
      <c r="E82" t="str">
        <f t="shared" si="1"/>
        <v>Insert  into dmkhach(Makhach, Tenkhach) values('KH081', N'Công ty CP Chế biến Thuỷ sản xuất khẩu Hạ Long')</v>
      </c>
    </row>
    <row r="83" spans="1:5" x14ac:dyDescent="0.25">
      <c r="A83" s="52" t="s">
        <v>180</v>
      </c>
      <c r="C83" s="61" t="s">
        <v>1600</v>
      </c>
      <c r="D83" t="s">
        <v>5316</v>
      </c>
      <c r="E83" t="str">
        <f t="shared" si="1"/>
        <v>Insert  into dmkhach(Makhach, Tenkhach) values('KH082', N'Công ty TNHH KWASH Việt Nam')</v>
      </c>
    </row>
    <row r="84" spans="1:5" ht="30" x14ac:dyDescent="0.25">
      <c r="A84" s="52" t="s">
        <v>396</v>
      </c>
      <c r="C84" s="61" t="s">
        <v>1660</v>
      </c>
      <c r="D84" t="s">
        <v>5317</v>
      </c>
      <c r="E84" t="str">
        <f t="shared" si="1"/>
        <v>Insert  into dmkhach(Makhach, Tenkhach) values('KH083', N'Công ty CP Bảo vệ thực vật 1 Trung Ương')</v>
      </c>
    </row>
    <row r="85" spans="1:5" x14ac:dyDescent="0.25">
      <c r="A85" s="52" t="s">
        <v>401</v>
      </c>
      <c r="C85" s="61" t="s">
        <v>1676</v>
      </c>
      <c r="D85" t="s">
        <v>5318</v>
      </c>
      <c r="E85" t="str">
        <f t="shared" si="1"/>
        <v>Insert  into dmkhach(Makhach, Tenkhach) values('KH084', N'Công ty CP Bánh kẹo Hải Châu')</v>
      </c>
    </row>
    <row r="86" spans="1:5" ht="30" x14ac:dyDescent="0.25">
      <c r="A86" s="52" t="s">
        <v>401</v>
      </c>
      <c r="C86" s="61" t="s">
        <v>1690</v>
      </c>
      <c r="D86" t="s">
        <v>5319</v>
      </c>
      <c r="E86" t="str">
        <f t="shared" si="1"/>
        <v>Insert  into dmkhach(Makhach, Tenkhach) values('KH085', N'Công ty Cổ phần Dược phẩm Starmed')</v>
      </c>
    </row>
    <row r="87" spans="1:5" ht="30" x14ac:dyDescent="0.25">
      <c r="A87" s="52" t="s">
        <v>240</v>
      </c>
      <c r="C87" s="61" t="s">
        <v>1712</v>
      </c>
      <c r="D87" t="s">
        <v>5320</v>
      </c>
      <c r="E87" t="str">
        <f t="shared" si="1"/>
        <v>Insert  into dmkhach(Makhach, Tenkhach) values('KH086', N'Công ty Cổ phần Xuất Nhập khẩu NEOLINK')</v>
      </c>
    </row>
    <row r="88" spans="1:5" x14ac:dyDescent="0.25">
      <c r="A88" s="52" t="s">
        <v>360</v>
      </c>
      <c r="C88" s="61" t="s">
        <v>1716</v>
      </c>
      <c r="D88" t="s">
        <v>5321</v>
      </c>
      <c r="E88" t="str">
        <f t="shared" si="1"/>
        <v>Insert  into dmkhach(Makhach, Tenkhach) values('KH087', N'Hợp tác xã nông nghiệp sen quê bác')</v>
      </c>
    </row>
    <row r="89" spans="1:5" x14ac:dyDescent="0.25">
      <c r="A89" s="52" t="s">
        <v>360</v>
      </c>
      <c r="C89" s="61" t="s">
        <v>1736</v>
      </c>
      <c r="D89" t="s">
        <v>5322</v>
      </c>
      <c r="E89" t="str">
        <f t="shared" si="1"/>
        <v>Insert  into dmkhach(Makhach, Tenkhach) values('KH088', N'Cơ sở men Trung Tiến')</v>
      </c>
    </row>
    <row r="90" spans="1:5" x14ac:dyDescent="0.25">
      <c r="A90" s="52" t="s">
        <v>75</v>
      </c>
      <c r="C90" s="61" t="s">
        <v>1742</v>
      </c>
      <c r="D90" t="s">
        <v>5323</v>
      </c>
      <c r="E90" t="str">
        <f t="shared" si="1"/>
        <v>Insert  into dmkhach(Makhach, Tenkhach) values('KH089', N'Công ty Hữu Nghị')</v>
      </c>
    </row>
    <row r="91" spans="1:5" x14ac:dyDescent="0.25">
      <c r="A91" s="52" t="s">
        <v>75</v>
      </c>
      <c r="C91" s="61" t="s">
        <v>1762</v>
      </c>
      <c r="D91" t="s">
        <v>5324</v>
      </c>
      <c r="E91" t="str">
        <f t="shared" si="1"/>
        <v>Insert  into dmkhach(Makhach, Tenkhach) values('KH090', N'Cơ sở chế biến hải sản tân trà')</v>
      </c>
    </row>
    <row r="92" spans="1:5" x14ac:dyDescent="0.25">
      <c r="A92" s="52" t="s">
        <v>75</v>
      </c>
      <c r="C92" s="61" t="s">
        <v>1772</v>
      </c>
      <c r="D92" t="s">
        <v>5325</v>
      </c>
      <c r="E92" t="str">
        <f t="shared" si="1"/>
        <v>Insert  into dmkhach(Makhach, Tenkhach) values('KH091', N'Công ty SX và TM ASI miền Bắc')</v>
      </c>
    </row>
    <row r="93" spans="1:5" x14ac:dyDescent="0.25">
      <c r="A93" s="52" t="s">
        <v>75</v>
      </c>
      <c r="C93" s="61" t="s">
        <v>1778</v>
      </c>
      <c r="D93" t="s">
        <v>5326</v>
      </c>
      <c r="E93" t="str">
        <f t="shared" si="1"/>
        <v>Insert  into dmkhach(Makhach, Tenkhach) values('KH092', N'Công ty Liên Đức')</v>
      </c>
    </row>
    <row r="94" spans="1:5" x14ac:dyDescent="0.25">
      <c r="A94" s="52" t="s">
        <v>360</v>
      </c>
      <c r="C94" s="61" t="s">
        <v>1783</v>
      </c>
      <c r="D94" t="s">
        <v>5327</v>
      </c>
      <c r="E94" t="str">
        <f t="shared" si="1"/>
        <v>Insert  into dmkhach(Makhach, Tenkhach) values('KH093', N'Công ty TNHH K-WASH Việt Nam')</v>
      </c>
    </row>
    <row r="95" spans="1:5" ht="30" x14ac:dyDescent="0.25">
      <c r="A95" s="52" t="s">
        <v>240</v>
      </c>
      <c r="C95" s="61" t="s">
        <v>1787</v>
      </c>
      <c r="D95" t="s">
        <v>5328</v>
      </c>
      <c r="E95" t="str">
        <f t="shared" si="1"/>
        <v>Insert  into dmkhach(Makhach, Tenkhach) values('KH094', N'Công ty cổ phần tập đoàn hóa chất Đức Giang')</v>
      </c>
    </row>
    <row r="96" spans="1:5" x14ac:dyDescent="0.25">
      <c r="A96" s="52" t="s">
        <v>439</v>
      </c>
      <c r="C96" s="61" t="s">
        <v>1791</v>
      </c>
      <c r="D96" t="s">
        <v>5329</v>
      </c>
      <c r="E96" t="str">
        <f t="shared" si="1"/>
        <v>Insert  into dmkhach(Makhach, Tenkhach) values('KH095', N'Công Ty TNHH SX TM ALO SUN')</v>
      </c>
    </row>
    <row r="97" spans="1:5" x14ac:dyDescent="0.25">
      <c r="A97" s="52" t="s">
        <v>180</v>
      </c>
      <c r="C97" s="61" t="s">
        <v>1802</v>
      </c>
      <c r="D97" t="s">
        <v>5330</v>
      </c>
      <c r="E97" t="str">
        <f t="shared" si="1"/>
        <v>Insert  into dmkhach(Makhach, Tenkhach) values('KH096', N'Công ty Green Jelly')</v>
      </c>
    </row>
    <row r="98" spans="1:5" ht="30" x14ac:dyDescent="0.25">
      <c r="A98" s="52" t="s">
        <v>180</v>
      </c>
      <c r="C98" s="61" t="s">
        <v>1815</v>
      </c>
      <c r="D98" t="s">
        <v>5331</v>
      </c>
      <c r="E98" t="str">
        <f t="shared" si="1"/>
        <v>Insert  into dmkhach(Makhach, Tenkhach) values('KH097', N'Công ty CP Tập đoàn Hóa Chất Đức Giang')</v>
      </c>
    </row>
    <row r="99" spans="1:5" ht="30" x14ac:dyDescent="0.25">
      <c r="A99" s="52" t="s">
        <v>180</v>
      </c>
      <c r="C99" s="61" t="s">
        <v>1836</v>
      </c>
      <c r="D99" t="s">
        <v>5332</v>
      </c>
      <c r="E99" t="str">
        <f t="shared" si="1"/>
        <v>Insert  into dmkhach(Makhach, Tenkhach) values('KH098', N'CÔNG TY CỔ PHẦN CHÈ KIM ANH')</v>
      </c>
    </row>
    <row r="100" spans="1:5" x14ac:dyDescent="0.25">
      <c r="A100" s="52" t="s">
        <v>180</v>
      </c>
      <c r="C100" s="61" t="s">
        <v>1851</v>
      </c>
      <c r="D100" t="s">
        <v>5333</v>
      </c>
      <c r="E100" t="str">
        <f t="shared" si="1"/>
        <v>Insert  into dmkhach(Makhach, Tenkhach) values('KH099', N'CƠ SỞ BÁNH KẸO ĐÌNH MẠNH')</v>
      </c>
    </row>
    <row r="101" spans="1:5" ht="30" x14ac:dyDescent="0.25">
      <c r="A101" s="52" t="s">
        <v>439</v>
      </c>
      <c r="C101" s="61" t="s">
        <v>1859</v>
      </c>
      <c r="D101" t="s">
        <v>5334</v>
      </c>
      <c r="E101" t="str">
        <f t="shared" si="1"/>
        <v>Insert  into dmkhach(Makhach, Tenkhach) values('KH100', N'Công ty CP Tập đoàn đầu tư và PT MKL')</v>
      </c>
    </row>
    <row r="102" spans="1:5" ht="30" x14ac:dyDescent="0.25">
      <c r="A102" s="52" t="s">
        <v>458</v>
      </c>
      <c r="C102" s="61" t="s">
        <v>1897</v>
      </c>
      <c r="D102" t="s">
        <v>5335</v>
      </c>
      <c r="E102" t="str">
        <f t="shared" si="1"/>
        <v>Insert  into dmkhach(Makhach, Tenkhach) values('KH101', N'CÔNG TY TNHH MTV VILITAS THÁI BÌNH')</v>
      </c>
    </row>
    <row r="103" spans="1:5" x14ac:dyDescent="0.25">
      <c r="A103" s="52" t="s">
        <v>461</v>
      </c>
      <c r="C103" s="61" t="s">
        <v>1902</v>
      </c>
      <c r="D103" t="s">
        <v>5336</v>
      </c>
      <c r="E103" t="str">
        <f t="shared" si="1"/>
        <v>Insert  into dmkhach(Makhach, Tenkhach) values('KH102', N'Công ty Năm Thái')</v>
      </c>
    </row>
    <row r="104" spans="1:5" x14ac:dyDescent="0.25">
      <c r="A104" s="52" t="s">
        <v>464</v>
      </c>
      <c r="C104" s="61" t="s">
        <v>1927</v>
      </c>
      <c r="D104" t="s">
        <v>5337</v>
      </c>
      <c r="E104" t="str">
        <f t="shared" si="1"/>
        <v>Insert  into dmkhach(Makhach, Tenkhach) values('KH103', N'Công ty TNHH Bánh châu Á')</v>
      </c>
    </row>
    <row r="105" spans="1:5" x14ac:dyDescent="0.25">
      <c r="A105" s="52" t="s">
        <v>61</v>
      </c>
      <c r="C105" s="61" t="s">
        <v>1935</v>
      </c>
      <c r="D105" t="s">
        <v>5338</v>
      </c>
      <c r="E105" t="str">
        <f t="shared" si="1"/>
        <v>Insert  into dmkhach(Makhach, Tenkhach) values('KH104', N'Công ty CP mía đường Lam Sơn')</v>
      </c>
    </row>
    <row r="106" spans="1:5" x14ac:dyDescent="0.25">
      <c r="A106" s="52" t="s">
        <v>473</v>
      </c>
      <c r="C106" s="61" t="s">
        <v>1946</v>
      </c>
      <c r="D106" t="s">
        <v>5339</v>
      </c>
      <c r="E106" t="str">
        <f t="shared" si="1"/>
        <v>Insert  into dmkhach(Makhach, Tenkhach) values('KH105', N'Công ty CP đầu tư SX Bảo Ngọc')</v>
      </c>
    </row>
    <row r="107" spans="1:5" x14ac:dyDescent="0.25">
      <c r="A107" s="52" t="s">
        <v>118</v>
      </c>
      <c r="C107" s="61" t="s">
        <v>1950</v>
      </c>
      <c r="D107" t="s">
        <v>5340</v>
      </c>
      <c r="E107" t="str">
        <f t="shared" si="1"/>
        <v>Insert  into dmkhach(Makhach, Tenkhach) values('KH106', N'Công ty Red sun')</v>
      </c>
    </row>
    <row r="108" spans="1:5" x14ac:dyDescent="0.25">
      <c r="A108" s="52" t="s">
        <v>118</v>
      </c>
      <c r="C108" s="61" t="s">
        <v>1959</v>
      </c>
      <c r="D108" t="s">
        <v>5341</v>
      </c>
      <c r="E108" t="str">
        <f t="shared" si="1"/>
        <v>Insert  into dmkhach(Makhach, Tenkhach) values('KH107', N'Công ty CP Traphaco')</v>
      </c>
    </row>
    <row r="109" spans="1:5" ht="30" x14ac:dyDescent="0.25">
      <c r="A109" s="52" t="s">
        <v>118</v>
      </c>
      <c r="C109" s="61" t="s">
        <v>1973</v>
      </c>
      <c r="D109" t="s">
        <v>5342</v>
      </c>
      <c r="E109" t="str">
        <f t="shared" si="1"/>
        <v>Insert  into dmkhach(Makhach, Tenkhach) values('KH108', N'Công ty CP Tập đoàn Đầu tư và phát triển MKL')</v>
      </c>
    </row>
    <row r="110" spans="1:5" x14ac:dyDescent="0.25">
      <c r="A110" s="52" t="s">
        <v>118</v>
      </c>
      <c r="C110" s="61" t="s">
        <v>1977</v>
      </c>
      <c r="D110" t="s">
        <v>5343</v>
      </c>
      <c r="E110" t="str">
        <f t="shared" si="1"/>
        <v>Insert  into dmkhach(Makhach, Tenkhach) values('KH109', N'Công ty Cơ điện')</v>
      </c>
    </row>
    <row r="111" spans="1:5" x14ac:dyDescent="0.25">
      <c r="A111" s="52" t="s">
        <v>118</v>
      </c>
      <c r="C111" s="61" t="s">
        <v>2008</v>
      </c>
      <c r="D111" t="s">
        <v>5344</v>
      </c>
      <c r="E111" t="str">
        <f t="shared" si="1"/>
        <v>Insert  into dmkhach(Makhach, Tenkhach) values('KH110', N'Công ty CP dược phẩm Starmed')</v>
      </c>
    </row>
    <row r="112" spans="1:5" x14ac:dyDescent="0.25">
      <c r="A112" s="52" t="s">
        <v>118</v>
      </c>
      <c r="C112" s="61" t="s">
        <v>2056</v>
      </c>
      <c r="D112" t="s">
        <v>5345</v>
      </c>
      <c r="E112" t="str">
        <f t="shared" si="1"/>
        <v>Insert  into dmkhach(Makhach, Tenkhach) values('KH111', N'Công ty TNHH Okifood Việt Nam')</v>
      </c>
    </row>
    <row r="113" spans="1:5" x14ac:dyDescent="0.25">
      <c r="A113" s="52" t="s">
        <v>461</v>
      </c>
      <c r="C113" s="61" t="s">
        <v>2066</v>
      </c>
      <c r="D113" t="s">
        <v>5346</v>
      </c>
      <c r="E113" t="str">
        <f t="shared" si="1"/>
        <v>Insert  into dmkhach(Makhach, Tenkhach) values('KH112', N'Công ty CP Hùng Nguyên')</v>
      </c>
    </row>
    <row r="114" spans="1:5" x14ac:dyDescent="0.25">
      <c r="A114" s="52" t="s">
        <v>240</v>
      </c>
      <c r="C114" s="61" t="s">
        <v>2078</v>
      </c>
      <c r="D114" t="s">
        <v>5347</v>
      </c>
      <c r="E114" t="str">
        <f t="shared" si="1"/>
        <v>Insert  into dmkhach(Makhach, Tenkhach) values('KH113', N'Công ty CP Công nghệ cao Traphaco')</v>
      </c>
    </row>
    <row r="115" spans="1:5" x14ac:dyDescent="0.25">
      <c r="A115" s="52" t="s">
        <v>180</v>
      </c>
      <c r="C115" s="61" t="s">
        <v>2081</v>
      </c>
      <c r="D115" t="s">
        <v>5348</v>
      </c>
      <c r="E115" t="str">
        <f t="shared" si="1"/>
        <v>Insert  into dmkhach(Makhach, Tenkhach) values('KH114', N'Công ty Phúc Tín')</v>
      </c>
    </row>
    <row r="116" spans="1:5" x14ac:dyDescent="0.25">
      <c r="A116" s="52" t="s">
        <v>92</v>
      </c>
      <c r="C116" s="61" t="s">
        <v>2113</v>
      </c>
      <c r="D116" t="s">
        <v>5349</v>
      </c>
      <c r="E116" t="str">
        <f t="shared" si="1"/>
        <v>Insert  into dmkhach(Makhach, Tenkhach) values('KH115', N'Công ty Winvet')</v>
      </c>
    </row>
    <row r="117" spans="1:5" x14ac:dyDescent="0.25">
      <c r="A117" s="52" t="s">
        <v>92</v>
      </c>
      <c r="C117" s="61" t="s">
        <v>2139</v>
      </c>
      <c r="D117" t="s">
        <v>5350</v>
      </c>
      <c r="E117" t="str">
        <f t="shared" si="1"/>
        <v>Insert  into dmkhach(Makhach, Tenkhach) values('KH116', N'Công ty Bắc Việt')</v>
      </c>
    </row>
    <row r="118" spans="1:5" x14ac:dyDescent="0.25">
      <c r="A118" s="52" t="s">
        <v>473</v>
      </c>
      <c r="C118" s="61" t="s">
        <v>2150</v>
      </c>
      <c r="D118" t="s">
        <v>5351</v>
      </c>
      <c r="E118" t="str">
        <f t="shared" si="1"/>
        <v>Insert  into dmkhach(Makhach, Tenkhach) values('KH117', N'Công ty TH Việt')</v>
      </c>
    </row>
    <row r="119" spans="1:5" ht="30" x14ac:dyDescent="0.25">
      <c r="A119" s="52" t="s">
        <v>473</v>
      </c>
      <c r="C119" s="61" t="s">
        <v>2158</v>
      </c>
      <c r="D119" t="s">
        <v>5352</v>
      </c>
      <c r="E119" t="str">
        <f t="shared" si="1"/>
        <v>Insert  into dmkhach(Makhach, Tenkhach) values('KH118', N'Công ty CP thực phẩm Richy miền Bắc')</v>
      </c>
    </row>
    <row r="120" spans="1:5" x14ac:dyDescent="0.25">
      <c r="A120" s="52" t="s">
        <v>266</v>
      </c>
      <c r="C120" s="61" t="s">
        <v>2163</v>
      </c>
      <c r="D120" t="s">
        <v>5353</v>
      </c>
      <c r="E120" t="str">
        <f t="shared" si="1"/>
        <v>Insert  into dmkhach(Makhach, Tenkhach) values('KH119', N'Công ty TNHH Okifood')</v>
      </c>
    </row>
    <row r="121" spans="1:5" x14ac:dyDescent="0.25">
      <c r="A121" s="52" t="s">
        <v>464</v>
      </c>
      <c r="C121" s="61" t="s">
        <v>2173</v>
      </c>
      <c r="D121" t="s">
        <v>5354</v>
      </c>
      <c r="E121" t="str">
        <f t="shared" si="1"/>
        <v>Insert  into dmkhach(Makhach, Tenkhach) values('KH120', N'Công ty giống Việt Nhật')</v>
      </c>
    </row>
    <row r="122" spans="1:5" x14ac:dyDescent="0.25">
      <c r="A122" s="52" t="s">
        <v>527</v>
      </c>
      <c r="C122" s="61" t="s">
        <v>2202</v>
      </c>
      <c r="D122" t="s">
        <v>5355</v>
      </c>
      <c r="E122" t="str">
        <f t="shared" si="1"/>
        <v>Insert  into dmkhach(Makhach, Tenkhach) values('KH121', N'Công ty bao bì Viêt')</v>
      </c>
    </row>
    <row r="123" spans="1:5" x14ac:dyDescent="0.25">
      <c r="A123" s="52" t="s">
        <v>527</v>
      </c>
      <c r="C123" s="61" t="s">
        <v>2210</v>
      </c>
      <c r="D123" t="s">
        <v>5356</v>
      </c>
      <c r="E123" t="str">
        <f t="shared" si="1"/>
        <v>Insert  into dmkhach(Makhach, Tenkhach) values('KH122', N'Công ty TNHH Hoàng Chiến Thắng')</v>
      </c>
    </row>
    <row r="124" spans="1:5" x14ac:dyDescent="0.25">
      <c r="A124" s="52" t="s">
        <v>118</v>
      </c>
      <c r="C124" s="61" t="s">
        <v>2214</v>
      </c>
      <c r="D124" t="s">
        <v>5357</v>
      </c>
      <c r="E124" t="str">
        <f t="shared" si="1"/>
        <v>Insert  into dmkhach(Makhach, Tenkhach) values('KH123', N'Công ty CP diamond food')</v>
      </c>
    </row>
    <row r="125" spans="1:5" x14ac:dyDescent="0.25">
      <c r="A125" s="52" t="s">
        <v>439</v>
      </c>
      <c r="C125" s="61" t="s">
        <v>2218</v>
      </c>
      <c r="D125" t="s">
        <v>5358</v>
      </c>
      <c r="E125" t="str">
        <f t="shared" si="1"/>
        <v>Insert  into dmkhach(Makhach, Tenkhach) values('KH124', N'Hương Liên Đức')</v>
      </c>
    </row>
    <row r="126" spans="1:5" ht="30" x14ac:dyDescent="0.25">
      <c r="A126" s="52" t="s">
        <v>543</v>
      </c>
      <c r="C126" s="61" t="s">
        <v>2225</v>
      </c>
      <c r="D126" t="s">
        <v>5359</v>
      </c>
      <c r="E126" t="str">
        <f t="shared" si="1"/>
        <v>Insert  into dmkhach(Makhach, Tenkhach) values('KH125', N'Công ty CP PT Thương Mại Hải Phong')</v>
      </c>
    </row>
    <row r="127" spans="1:5" ht="30" x14ac:dyDescent="0.25">
      <c r="A127" s="52" t="s">
        <v>550</v>
      </c>
      <c r="C127" s="61" t="s">
        <v>2230</v>
      </c>
      <c r="D127" t="s">
        <v>5360</v>
      </c>
      <c r="E127" t="str">
        <f t="shared" si="1"/>
        <v>Insert  into dmkhach(Makhach, Tenkhach) values('KH126', N'Công ty CP Liên Doanh Dược Phẩm TPP France')</v>
      </c>
    </row>
    <row r="128" spans="1:5" ht="30" x14ac:dyDescent="0.25">
      <c r="A128" s="52" t="s">
        <v>553</v>
      </c>
      <c r="C128" s="61" t="s">
        <v>2255</v>
      </c>
      <c r="D128" t="s">
        <v>5361</v>
      </c>
      <c r="E128" t="str">
        <f t="shared" si="1"/>
        <v>Insert  into dmkhach(Makhach, Tenkhach) values('KH127', N'Công ty CP Liên Doanh dược phẩm TPP - France')</v>
      </c>
    </row>
    <row r="129" spans="1:5" x14ac:dyDescent="0.25">
      <c r="A129" s="52" t="s">
        <v>118</v>
      </c>
      <c r="C129" s="61" t="s">
        <v>2261</v>
      </c>
      <c r="D129" t="s">
        <v>5362</v>
      </c>
      <c r="E129" t="str">
        <f t="shared" si="1"/>
        <v>Insert  into dmkhach(Makhach, Tenkhach) values('KH128', N'Công ty CNC Traphaco')</v>
      </c>
    </row>
    <row r="130" spans="1:5" x14ac:dyDescent="0.25">
      <c r="A130" s="52" t="s">
        <v>561</v>
      </c>
      <c r="C130" s="61" t="s">
        <v>2269</v>
      </c>
      <c r="D130" t="s">
        <v>5363</v>
      </c>
      <c r="E130" t="str">
        <f t="shared" si="1"/>
        <v>Insert  into dmkhach(Makhach, Tenkhach) values('KH129', N'Công ty thuốc thú y Nasavet')</v>
      </c>
    </row>
    <row r="131" spans="1:5" x14ac:dyDescent="0.25">
      <c r="A131" s="52" t="s">
        <v>92</v>
      </c>
      <c r="C131" s="61" t="s">
        <v>2301</v>
      </c>
      <c r="D131" t="s">
        <v>5364</v>
      </c>
      <c r="E131" t="str">
        <f t="shared" ref="E131:E194" si="2">"Insert  into dmkhach(Makhach, Tenkhach) values('" &amp; D131 &amp; "', N'" &amp; C131 &amp; "')"</f>
        <v>Insert  into dmkhach(Makhach, Tenkhach) values('KH130', N'Công ty TNHH dược phẩm Cát Linh')</v>
      </c>
    </row>
    <row r="132" spans="1:5" x14ac:dyDescent="0.25">
      <c r="A132" s="52" t="s">
        <v>61</v>
      </c>
      <c r="C132" s="61" t="s">
        <v>2305</v>
      </c>
      <c r="D132" t="s">
        <v>5365</v>
      </c>
      <c r="E132" t="str">
        <f t="shared" si="2"/>
        <v>Insert  into dmkhach(Makhach, Tenkhach) values('KH131', N'Công ty TNHH Love milk')</v>
      </c>
    </row>
    <row r="133" spans="1:5" ht="30" x14ac:dyDescent="0.25">
      <c r="A133" s="52" t="s">
        <v>464</v>
      </c>
      <c r="C133" s="61" t="s">
        <v>2316</v>
      </c>
      <c r="D133" t="s">
        <v>5366</v>
      </c>
      <c r="E133" t="str">
        <f t="shared" si="2"/>
        <v>Insert  into dmkhach(Makhach, Tenkhach) values('KH132', N'Công ty CP Tập đoàn Đức Hạnh marphavet')</v>
      </c>
    </row>
    <row r="134" spans="1:5" ht="30" x14ac:dyDescent="0.25">
      <c r="A134" s="52" t="s">
        <v>75</v>
      </c>
      <c r="C134" s="61" t="s">
        <v>2322</v>
      </c>
      <c r="D134" t="s">
        <v>5367</v>
      </c>
      <c r="E134" t="str">
        <f t="shared" si="2"/>
        <v>Insert  into dmkhach(Makhach, Tenkhach) values('KH133', N'Công ty CP dược phẩm Vĩnh Phúc - Vinphaco')</v>
      </c>
    </row>
    <row r="135" spans="1:5" ht="30" x14ac:dyDescent="0.25">
      <c r="A135" s="52" t="s">
        <v>75</v>
      </c>
      <c r="C135" s="61" t="s">
        <v>2351</v>
      </c>
      <c r="D135" t="s">
        <v>5368</v>
      </c>
      <c r="E135" t="str">
        <f t="shared" si="2"/>
        <v>Insert  into dmkhach(Makhach, Tenkhach) values('KH134', N'Công ty CP dịch vụ thương mại và đầu tư nhật nguyệt')</v>
      </c>
    </row>
    <row r="136" spans="1:5" x14ac:dyDescent="0.25">
      <c r="A136" s="52" t="s">
        <v>75</v>
      </c>
      <c r="C136" s="61" t="s">
        <v>2355</v>
      </c>
      <c r="D136" t="s">
        <v>5369</v>
      </c>
      <c r="E136" t="str">
        <f t="shared" si="2"/>
        <v>Insert  into dmkhach(Makhach, Tenkhach) values('KH135', N'Công ty bao bì việt')</v>
      </c>
    </row>
    <row r="137" spans="1:5" ht="30" x14ac:dyDescent="0.25">
      <c r="A137" s="52" t="s">
        <v>180</v>
      </c>
      <c r="C137" s="61" t="s">
        <v>2400</v>
      </c>
      <c r="D137" t="s">
        <v>5370</v>
      </c>
      <c r="E137" t="str">
        <f t="shared" si="2"/>
        <v>Insert  into dmkhach(Makhach, Tenkhach) values('KH136', N'Công ty CP thiết bị y tế đại dương xanh')</v>
      </c>
    </row>
    <row r="138" spans="1:5" x14ac:dyDescent="0.25">
      <c r="A138" s="52" t="s">
        <v>464</v>
      </c>
      <c r="C138" s="61" t="s">
        <v>2419</v>
      </c>
      <c r="D138" t="s">
        <v>5371</v>
      </c>
      <c r="E138" t="str">
        <f t="shared" si="2"/>
        <v>Insert  into dmkhach(Makhach, Tenkhach) values('KH137', N'Công ty TNHH TP Quảng Long')</v>
      </c>
    </row>
    <row r="139" spans="1:5" x14ac:dyDescent="0.25">
      <c r="A139" s="52" t="s">
        <v>464</v>
      </c>
      <c r="C139" s="61" t="s">
        <v>2427</v>
      </c>
      <c r="D139" t="s">
        <v>5372</v>
      </c>
      <c r="E139" t="str">
        <f t="shared" si="2"/>
        <v>Insert  into dmkhach(Makhach, Tenkhach) values('KH138', N'Công ty giống lucky')</v>
      </c>
    </row>
    <row r="140" spans="1:5" x14ac:dyDescent="0.25">
      <c r="A140" s="52" t="s">
        <v>603</v>
      </c>
      <c r="C140" s="61" t="s">
        <v>2442</v>
      </c>
      <c r="D140" t="s">
        <v>5373</v>
      </c>
      <c r="E140" t="str">
        <f t="shared" si="2"/>
        <v>Insert  into dmkhach(Makhach, Tenkhach) values('KH139', N'Công ty gia trịnh bakery')</v>
      </c>
    </row>
    <row r="141" spans="1:5" ht="30" x14ac:dyDescent="0.25">
      <c r="A141" s="52" t="s">
        <v>401</v>
      </c>
      <c r="C141" s="61" t="s">
        <v>2446</v>
      </c>
      <c r="D141" t="s">
        <v>5374</v>
      </c>
      <c r="E141" t="str">
        <f t="shared" si="2"/>
        <v>Insert  into dmkhach(Makhach, Tenkhach) values('KH140', N'Công ty TNHH MTV chế biến thực phẩm xuất khẩu Nghĩa Thành')</v>
      </c>
    </row>
    <row r="142" spans="1:5" x14ac:dyDescent="0.25">
      <c r="A142" s="52" t="s">
        <v>439</v>
      </c>
      <c r="C142" s="61" t="s">
        <v>2450</v>
      </c>
      <c r="D142" t="s">
        <v>5375</v>
      </c>
      <c r="E142" t="str">
        <f t="shared" si="2"/>
        <v>Insert  into dmkhach(Makhach, Tenkhach) values('KH141', N'Công ty CP chè Kim Anh')</v>
      </c>
    </row>
    <row r="143" spans="1:5" x14ac:dyDescent="0.25">
      <c r="A143" s="52" t="s">
        <v>612</v>
      </c>
      <c r="C143" s="61" t="s">
        <v>2479</v>
      </c>
      <c r="D143" t="s">
        <v>5376</v>
      </c>
      <c r="E143" t="str">
        <f t="shared" si="2"/>
        <v>Insert  into dmkhach(Makhach, Tenkhach) values('KH142', N'Công ty TNHH TM Hằng Hải')</v>
      </c>
    </row>
    <row r="144" spans="1:5" x14ac:dyDescent="0.25">
      <c r="A144" s="52" t="s">
        <v>612</v>
      </c>
      <c r="C144" s="61" t="s">
        <v>2487</v>
      </c>
      <c r="D144" t="s">
        <v>5377</v>
      </c>
      <c r="E144" t="str">
        <f t="shared" si="2"/>
        <v>Insert  into dmkhach(Makhach, Tenkhach) values('KH143', N'Công ty Marika')</v>
      </c>
    </row>
    <row r="145" spans="1:5" x14ac:dyDescent="0.25">
      <c r="A145" s="52" t="s">
        <v>612</v>
      </c>
      <c r="C145" s="61" t="s">
        <v>2514</v>
      </c>
      <c r="D145" t="s">
        <v>5378</v>
      </c>
      <c r="E145" t="str">
        <f t="shared" si="2"/>
        <v>Insert  into dmkhach(Makhach, Tenkhach) values('KH144', N'Công ty giống Viêt Nhật')</v>
      </c>
    </row>
    <row r="146" spans="1:5" ht="30" x14ac:dyDescent="0.25">
      <c r="A146" s="52" t="s">
        <v>612</v>
      </c>
      <c r="C146" s="61" t="s">
        <v>2519</v>
      </c>
      <c r="D146" t="s">
        <v>5379</v>
      </c>
      <c r="E146" t="str">
        <f t="shared" si="2"/>
        <v>Insert  into dmkhach(Makhach, Tenkhach) values('KH145', N'Công ty SX và TM Quốc tế Hưng Thịnh Phát')</v>
      </c>
    </row>
    <row r="147" spans="1:5" ht="30" x14ac:dyDescent="0.25">
      <c r="A147" s="52" t="s">
        <v>612</v>
      </c>
      <c r="C147" s="61" t="s">
        <v>2546</v>
      </c>
      <c r="D147" t="s">
        <v>5380</v>
      </c>
      <c r="E147" t="str">
        <f t="shared" si="2"/>
        <v>Insert  into dmkhach(Makhach, Tenkhach) values('KH146', N'Công ty TNHH Bột giặt và Hóa Mỹ Phẩm Quốc Tế')</v>
      </c>
    </row>
    <row r="148" spans="1:5" x14ac:dyDescent="0.25">
      <c r="A148" s="52" t="s">
        <v>612</v>
      </c>
      <c r="C148" s="61" t="s">
        <v>2589</v>
      </c>
      <c r="D148" t="s">
        <v>5381</v>
      </c>
      <c r="E148" t="str">
        <f t="shared" si="2"/>
        <v>Insert  into dmkhach(Makhach, Tenkhach) values('KH147', N'Công ty TNHH XNK RĐD')</v>
      </c>
    </row>
    <row r="149" spans="1:5" x14ac:dyDescent="0.25">
      <c r="A149" s="52" t="s">
        <v>612</v>
      </c>
      <c r="C149" s="61" t="s">
        <v>2606</v>
      </c>
      <c r="D149" t="s">
        <v>5382</v>
      </c>
      <c r="E149" t="str">
        <f t="shared" si="2"/>
        <v>Insert  into dmkhach(Makhach, Tenkhach) values('KH148', N'Công ty TNHH Công Nghiệp Dezen')</v>
      </c>
    </row>
    <row r="150" spans="1:5" x14ac:dyDescent="0.25">
      <c r="A150" s="52" t="s">
        <v>118</v>
      </c>
      <c r="C150" s="61" t="s">
        <v>2610</v>
      </c>
      <c r="D150" t="s">
        <v>5383</v>
      </c>
      <c r="E150" t="str">
        <f t="shared" si="2"/>
        <v>Insert  into dmkhach(Makhach, Tenkhach) values('KH149', N'Công ty dương hoàng hoa')</v>
      </c>
    </row>
    <row r="151" spans="1:5" x14ac:dyDescent="0.25">
      <c r="A151" s="52" t="s">
        <v>464</v>
      </c>
      <c r="C151" s="61" t="s">
        <v>2626</v>
      </c>
      <c r="D151" t="s">
        <v>5384</v>
      </c>
      <c r="E151" t="str">
        <f t="shared" si="2"/>
        <v>Insert  into dmkhach(Makhach, Tenkhach) values('KH150', N'Công ty Phú Điền')</v>
      </c>
    </row>
    <row r="152" spans="1:5" x14ac:dyDescent="0.25">
      <c r="A152" s="52" t="s">
        <v>118</v>
      </c>
      <c r="C152" s="61" t="s">
        <v>2638</v>
      </c>
      <c r="D152" t="s">
        <v>5385</v>
      </c>
      <c r="E152" t="str">
        <f t="shared" si="2"/>
        <v>Insert  into dmkhach(Makhach, Tenkhach) values('KH151', N'Công ty CP Quốc tế Royal Việt Nam')</v>
      </c>
    </row>
    <row r="153" spans="1:5" ht="30" x14ac:dyDescent="0.25">
      <c r="A153" s="52" t="s">
        <v>118</v>
      </c>
      <c r="C153" s="61" t="s">
        <v>2643</v>
      </c>
      <c r="D153" t="s">
        <v>5386</v>
      </c>
      <c r="E153" t="str">
        <f t="shared" si="2"/>
        <v>Insert  into dmkhach(Makhach, Tenkhach) values('KH152', N'Công tyTNHH đầu tư PT TM Nasa Group')</v>
      </c>
    </row>
    <row r="154" spans="1:5" x14ac:dyDescent="0.25">
      <c r="A154" s="52" t="s">
        <v>118</v>
      </c>
      <c r="C154" s="61" t="s">
        <v>2669</v>
      </c>
      <c r="D154" t="s">
        <v>5387</v>
      </c>
      <c r="E154" t="str">
        <f t="shared" si="2"/>
        <v>Insert  into dmkhach(Makhach, Tenkhach) values('KH153', N'Công ty CP Tập đoàn DLC Việt Nam')</v>
      </c>
    </row>
    <row r="155" spans="1:5" ht="30" x14ac:dyDescent="0.25">
      <c r="A155" s="52" t="s">
        <v>92</v>
      </c>
      <c r="C155" s="61" t="s">
        <v>2676</v>
      </c>
      <c r="D155" t="s">
        <v>5388</v>
      </c>
      <c r="E155" t="str">
        <f t="shared" si="2"/>
        <v>Insert  into dmkhach(Makhach, Tenkhach) values('KH154', N'Chi nhánh công ty CP chăn nuôi CP Việt Nam')</v>
      </c>
    </row>
    <row r="156" spans="1:5" x14ac:dyDescent="0.25">
      <c r="A156" s="52" t="s">
        <v>657</v>
      </c>
      <c r="C156" s="61" t="s">
        <v>2681</v>
      </c>
      <c r="D156" t="s">
        <v>5389</v>
      </c>
      <c r="E156" t="str">
        <f t="shared" si="2"/>
        <v>Insert  into dmkhach(Makhach, Tenkhach) values('KH155', N'Công ty thuốc sâu CEC')</v>
      </c>
    </row>
    <row r="157" spans="1:5" ht="30" x14ac:dyDescent="0.25">
      <c r="A157" s="52" t="s">
        <v>118</v>
      </c>
      <c r="C157" s="61" t="s">
        <v>2691</v>
      </c>
      <c r="D157" t="s">
        <v>5390</v>
      </c>
      <c r="E157" t="str">
        <f t="shared" si="2"/>
        <v>Insert  into dmkhach(Makhach, Tenkhach) values('KH156', N'Công ty TNHH bôt giặt và hóa mỹ phẩm quốc tế')</v>
      </c>
    </row>
    <row r="158" spans="1:5" x14ac:dyDescent="0.25">
      <c r="A158" s="52" t="s">
        <v>118</v>
      </c>
      <c r="C158" s="61" t="s">
        <v>2698</v>
      </c>
      <c r="D158" t="s">
        <v>5391</v>
      </c>
      <c r="E158" t="str">
        <f t="shared" si="2"/>
        <v>Insert  into dmkhach(Makhach, Tenkhach) values('KH157', N'Công ty giống Việt Trung')</v>
      </c>
    </row>
    <row r="159" spans="1:5" x14ac:dyDescent="0.25">
      <c r="A159" s="52" t="s">
        <v>118</v>
      </c>
      <c r="C159" s="61" t="s">
        <v>2704</v>
      </c>
      <c r="D159" t="s">
        <v>5392</v>
      </c>
      <c r="E159" t="str">
        <f t="shared" si="2"/>
        <v>Insert  into dmkhach(Makhach, Tenkhach) values('KH158', N'Công ty kẹo nhật bản eikodo')</v>
      </c>
    </row>
    <row r="160" spans="1:5" x14ac:dyDescent="0.25">
      <c r="A160" s="52" t="s">
        <v>118</v>
      </c>
      <c r="C160" s="61" t="s">
        <v>2710</v>
      </c>
      <c r="D160" t="s">
        <v>5393</v>
      </c>
      <c r="E160" t="str">
        <f t="shared" si="2"/>
        <v>Insert  into dmkhach(Makhach, Tenkhach) values('KH159', N'Công ty Rainbow')</v>
      </c>
    </row>
    <row r="161" spans="1:5" x14ac:dyDescent="0.25">
      <c r="A161" s="52" t="s">
        <v>118</v>
      </c>
      <c r="C161" s="61" t="s">
        <v>2715</v>
      </c>
      <c r="D161" t="s">
        <v>5394</v>
      </c>
      <c r="E161" t="str">
        <f t="shared" si="2"/>
        <v>Insert  into dmkhach(Makhach, Tenkhach) values('KH160', N'Công ty Sơn Tùng')</v>
      </c>
    </row>
    <row r="162" spans="1:5" x14ac:dyDescent="0.25">
      <c r="A162" s="52" t="s">
        <v>118</v>
      </c>
      <c r="C162" s="61" t="s">
        <v>2740</v>
      </c>
      <c r="D162" t="s">
        <v>5395</v>
      </c>
      <c r="E162" t="str">
        <f t="shared" si="2"/>
        <v>Insert  into dmkhach(Makhach, Tenkhach) values('KH161', N'Công ty CP bao bì PP')</v>
      </c>
    </row>
    <row r="163" spans="1:5" ht="30" x14ac:dyDescent="0.25">
      <c r="A163" s="52" t="s">
        <v>118</v>
      </c>
      <c r="C163" s="61" t="s">
        <v>2743</v>
      </c>
      <c r="D163" t="s">
        <v>5396</v>
      </c>
      <c r="E163" t="str">
        <f t="shared" si="2"/>
        <v>Insert  into dmkhach(Makhach, Tenkhach) values('KH162', N'Công ty TNHH hóa dược aero chemie')</v>
      </c>
    </row>
    <row r="164" spans="1:5" ht="30" x14ac:dyDescent="0.25">
      <c r="A164" s="52" t="s">
        <v>118</v>
      </c>
      <c r="C164" s="61" t="s">
        <v>2780</v>
      </c>
      <c r="D164" t="s">
        <v>5397</v>
      </c>
      <c r="E164" t="str">
        <f t="shared" si="2"/>
        <v>Insert  into dmkhach(Makhach, Tenkhach) values('KH163', N'Công ty TNHH hóa mỹ phẩm quốc tế thuận phát')</v>
      </c>
    </row>
    <row r="165" spans="1:5" x14ac:dyDescent="0.25">
      <c r="A165" s="52" t="s">
        <v>118</v>
      </c>
      <c r="C165" s="61" t="s">
        <v>2802</v>
      </c>
      <c r="D165" t="s">
        <v>5398</v>
      </c>
      <c r="E165" t="str">
        <f t="shared" si="2"/>
        <v>Insert  into dmkhach(Makhach, Tenkhach) values('KH164', N'Công ty TNHH Dược phẩm Orange')</v>
      </c>
    </row>
    <row r="166" spans="1:5" x14ac:dyDescent="0.25">
      <c r="A166" s="52" t="s">
        <v>118</v>
      </c>
      <c r="C166" s="61" t="s">
        <v>2872</v>
      </c>
      <c r="D166" t="s">
        <v>5399</v>
      </c>
      <c r="E166" t="str">
        <f t="shared" si="2"/>
        <v>Insert  into dmkhach(Makhach, Tenkhach) values('KH165', N'Công ty CP Thú y SVT Thái Dương')</v>
      </c>
    </row>
    <row r="167" spans="1:5" ht="30" x14ac:dyDescent="0.25">
      <c r="A167" s="52" t="s">
        <v>118</v>
      </c>
      <c r="C167" s="61" t="s">
        <v>2911</v>
      </c>
      <c r="D167" t="s">
        <v>5400</v>
      </c>
      <c r="E167" t="str">
        <f t="shared" si="2"/>
        <v>Insert  into dmkhach(Makhach, Tenkhach) values('KH166', N'Công ty TNHH bột giặt và hoá mỹ phẩm quốc tế')</v>
      </c>
    </row>
    <row r="168" spans="1:5" x14ac:dyDescent="0.25">
      <c r="A168" s="52" t="s">
        <v>118</v>
      </c>
      <c r="C168" s="61" t="s">
        <v>2914</v>
      </c>
      <c r="D168" t="s">
        <v>5401</v>
      </c>
      <c r="E168" t="str">
        <f t="shared" si="2"/>
        <v>Insert  into dmkhach(Makhach, Tenkhach) values('KH167', N'Công ty TNHH MTV Hồng Tiến')</v>
      </c>
    </row>
    <row r="169" spans="1:5" x14ac:dyDescent="0.25">
      <c r="A169" s="52" t="s">
        <v>118</v>
      </c>
      <c r="C169" s="61" t="s">
        <v>2923</v>
      </c>
      <c r="D169" t="s">
        <v>5402</v>
      </c>
      <c r="E169" t="str">
        <f t="shared" si="2"/>
        <v>Insert  into dmkhach(Makhach, Tenkhach) values('KH168', N'Công ty TNHH Bell Đức')</v>
      </c>
    </row>
    <row r="170" spans="1:5" ht="30" x14ac:dyDescent="0.25">
      <c r="A170" s="52" t="s">
        <v>118</v>
      </c>
      <c r="C170" s="61" t="s">
        <v>2940</v>
      </c>
      <c r="D170" t="s">
        <v>5403</v>
      </c>
      <c r="E170" t="str">
        <f t="shared" si="2"/>
        <v>Insert  into dmkhach(Makhach, Tenkhach) values('KH169', N'Chi nhánh công ty CP chăn nuôi Việt Nam')</v>
      </c>
    </row>
    <row r="171" spans="1:5" ht="30" x14ac:dyDescent="0.25">
      <c r="A171" s="52" t="s">
        <v>118</v>
      </c>
      <c r="C171" s="61" t="s">
        <v>2945</v>
      </c>
      <c r="D171" t="s">
        <v>5404</v>
      </c>
      <c r="E171" t="str">
        <f t="shared" si="2"/>
        <v>Insert  into dmkhach(Makhach, Tenkhach) values('KH170', N'Công ty TNHH Thương mại và đầu tư Đông Hiệp')</v>
      </c>
    </row>
    <row r="172" spans="1:5" ht="30" x14ac:dyDescent="0.25">
      <c r="A172" s="52" t="s">
        <v>118</v>
      </c>
      <c r="C172" s="61" t="s">
        <v>2956</v>
      </c>
      <c r="D172" t="s">
        <v>5405</v>
      </c>
      <c r="E172" t="str">
        <f t="shared" si="2"/>
        <v>Insert  into dmkhach(Makhach, Tenkhach) values('KH171', N'Công ty CP Tập đoàn dược phẩm Starmed')</v>
      </c>
    </row>
    <row r="173" spans="1:5" ht="30" x14ac:dyDescent="0.25">
      <c r="A173" s="52" t="s">
        <v>118</v>
      </c>
      <c r="C173" s="61" t="s">
        <v>2969</v>
      </c>
      <c r="D173" t="s">
        <v>5406</v>
      </c>
      <c r="E173" t="str">
        <f t="shared" si="2"/>
        <v>Insert  into dmkhach(Makhach, Tenkhach) values('KH172', N'Công ty TNHH Thương mại Nhất Linh Hà Nội')</v>
      </c>
    </row>
    <row r="174" spans="1:5" x14ac:dyDescent="0.25">
      <c r="A174" s="52" t="s">
        <v>118</v>
      </c>
      <c r="C174" s="61" t="s">
        <v>2972</v>
      </c>
      <c r="D174" t="s">
        <v>5407</v>
      </c>
      <c r="E174" t="str">
        <f t="shared" si="2"/>
        <v>Insert  into dmkhach(Makhach, Tenkhach) values('KH173', N'Công ty TNHH Duy Ngọc Fashion')</v>
      </c>
    </row>
    <row r="175" spans="1:5" x14ac:dyDescent="0.25">
      <c r="A175" s="52" t="s">
        <v>118</v>
      </c>
      <c r="C175" s="61" t="s">
        <v>2979</v>
      </c>
      <c r="D175" t="s">
        <v>5408</v>
      </c>
      <c r="E175" t="str">
        <f t="shared" si="2"/>
        <v>Insert  into dmkhach(Makhach, Tenkhach) values('KH174', N'Công ty khâu trang')</v>
      </c>
    </row>
    <row r="176" spans="1:5" x14ac:dyDescent="0.25">
      <c r="A176" s="52" t="s">
        <v>118</v>
      </c>
      <c r="C176" s="61" t="s">
        <v>2989</v>
      </c>
      <c r="D176" t="s">
        <v>5409</v>
      </c>
      <c r="E176" t="str">
        <f t="shared" si="2"/>
        <v>Insert  into dmkhach(Makhach, Tenkhach) values('KH175', N'Công ty CP thuốc thú y Đất Việt')</v>
      </c>
    </row>
    <row r="177" spans="1:5" x14ac:dyDescent="0.25">
      <c r="A177" s="52" t="s">
        <v>118</v>
      </c>
      <c r="C177" s="61" t="s">
        <v>3032</v>
      </c>
      <c r="D177" t="s">
        <v>5410</v>
      </c>
      <c r="E177" t="str">
        <f t="shared" si="2"/>
        <v>Insert  into dmkhach(Makhach, Tenkhach) values('KH176', N'Công ty CP Thú y SVT ')</v>
      </c>
    </row>
    <row r="178" spans="1:5" x14ac:dyDescent="0.25">
      <c r="A178" s="52" t="s">
        <v>118</v>
      </c>
      <c r="C178" s="61" t="s">
        <v>3035</v>
      </c>
      <c r="D178" t="s">
        <v>5411</v>
      </c>
      <c r="E178" t="str">
        <f t="shared" si="2"/>
        <v>Insert  into dmkhach(Makhach, Tenkhach) values('KH177', N'Công ty TNHH Innovative')</v>
      </c>
    </row>
    <row r="179" spans="1:5" x14ac:dyDescent="0.25">
      <c r="A179" s="52" t="s">
        <v>118</v>
      </c>
      <c r="C179" s="61" t="s">
        <v>3039</v>
      </c>
      <c r="D179" t="s">
        <v>5412</v>
      </c>
      <c r="E179" t="str">
        <f t="shared" si="2"/>
        <v>Insert  into dmkhach(Makhach, Tenkhach) values('KH178', N'Công ty TNHH Khuyến Anh')</v>
      </c>
    </row>
    <row r="180" spans="1:5" ht="30" x14ac:dyDescent="0.25">
      <c r="A180" s="52" t="s">
        <v>709</v>
      </c>
      <c r="C180" s="61" t="s">
        <v>3060</v>
      </c>
      <c r="D180" t="s">
        <v>5413</v>
      </c>
      <c r="E180" t="str">
        <f t="shared" si="2"/>
        <v>Insert  into dmkhach(Makhach, Tenkhach) values('KH179', N'Công ty CP tập đoàn Đức Hạnh maphavet')</v>
      </c>
    </row>
    <row r="181" spans="1:5" x14ac:dyDescent="0.25">
      <c r="A181" s="52" t="s">
        <v>714</v>
      </c>
      <c r="C181" s="61" t="s">
        <v>3078</v>
      </c>
      <c r="D181" t="s">
        <v>5414</v>
      </c>
      <c r="E181" t="str">
        <f t="shared" si="2"/>
        <v>Insert  into dmkhach(Makhach, Tenkhach) values('KH180', N'Công ty CP CNC Traphaco')</v>
      </c>
    </row>
    <row r="182" spans="1:5" ht="30" x14ac:dyDescent="0.25">
      <c r="A182" s="52" t="s">
        <v>612</v>
      </c>
      <c r="C182" s="61" t="s">
        <v>3095</v>
      </c>
      <c r="D182" t="s">
        <v>5415</v>
      </c>
      <c r="E182" t="str">
        <f t="shared" si="2"/>
        <v>Insert  into dmkhach(Makhach, Tenkhach) values('KH181', N'Hộ kinh doanh men rượu trường nguyên')</v>
      </c>
    </row>
    <row r="183" spans="1:5" x14ac:dyDescent="0.25">
      <c r="A183" s="52" t="s">
        <v>612</v>
      </c>
      <c r="C183" s="61" t="s">
        <v>3124</v>
      </c>
      <c r="D183" t="s">
        <v>5416</v>
      </c>
      <c r="E183" t="str">
        <f t="shared" si="2"/>
        <v>Insert  into dmkhach(Makhach, Tenkhach) values('KH182', N'Công ty khẩu trang Đăng Khôi')</v>
      </c>
    </row>
    <row r="184" spans="1:5" x14ac:dyDescent="0.25">
      <c r="A184" s="52" t="s">
        <v>612</v>
      </c>
      <c r="C184" s="61" t="s">
        <v>3143</v>
      </c>
      <c r="D184" t="s">
        <v>5417</v>
      </c>
      <c r="E184" t="str">
        <f t="shared" si="2"/>
        <v>Insert  into dmkhach(Makhach, Tenkhach) values('KH183', N'Công ty TNHH Duy Ngọc bắc ninh')</v>
      </c>
    </row>
    <row r="185" spans="1:5" ht="30" x14ac:dyDescent="0.25">
      <c r="A185" s="52" t="s">
        <v>118</v>
      </c>
      <c r="C185" s="61" t="s">
        <v>3156</v>
      </c>
      <c r="D185" t="s">
        <v>5418</v>
      </c>
      <c r="E185" t="str">
        <f t="shared" si="2"/>
        <v>Insert  into dmkhach(Makhach, Tenkhach) values('KH184', N'Công ty Cổ phần Dược phẩm CNC Starmed')</v>
      </c>
    </row>
    <row r="186" spans="1:5" ht="30" x14ac:dyDescent="0.25">
      <c r="A186" s="52" t="s">
        <v>61</v>
      </c>
      <c r="C186" s="61" t="s">
        <v>3163</v>
      </c>
      <c r="D186" t="s">
        <v>5419</v>
      </c>
      <c r="E186" t="str">
        <f t="shared" si="2"/>
        <v>Insert  into dmkhach(Makhach, Tenkhach) values('KH185', N'Công ty CP Dược liệu TH - CN nghệ an')</v>
      </c>
    </row>
    <row r="187" spans="1:5" x14ac:dyDescent="0.25">
      <c r="A187" s="52" t="s">
        <v>612</v>
      </c>
      <c r="C187" s="61" t="s">
        <v>3173</v>
      </c>
      <c r="D187" t="s">
        <v>5420</v>
      </c>
      <c r="E187" t="str">
        <f t="shared" si="2"/>
        <v>Insert  into dmkhach(Makhach, Tenkhach) values('KH186', N'Công ty khẩu trang Duy Ngọc fashion')</v>
      </c>
    </row>
    <row r="188" spans="1:5" ht="30" x14ac:dyDescent="0.25">
      <c r="A188" s="52" t="s">
        <v>612</v>
      </c>
      <c r="C188" s="61" t="s">
        <v>3176</v>
      </c>
      <c r="D188" t="s">
        <v>5421</v>
      </c>
      <c r="E188" t="str">
        <f t="shared" si="2"/>
        <v>Insert  into dmkhach(Makhach, Tenkhach) values('KH187', N'Công ty CP TM và SX thiết bị y tế forture Việt Nam')</v>
      </c>
    </row>
    <row r="189" spans="1:5" ht="30" x14ac:dyDescent="0.25">
      <c r="A189" s="52" t="s">
        <v>612</v>
      </c>
      <c r="C189" s="61" t="s">
        <v>3183</v>
      </c>
      <c r="D189" t="s">
        <v>5422</v>
      </c>
      <c r="E189" t="str">
        <f t="shared" si="2"/>
        <v>Insert  into dmkhach(Makhach, Tenkhach) values('KH188', N'Công ty TNHH Đầu tư và TM Đông Hiệp')</v>
      </c>
    </row>
    <row r="190" spans="1:5" ht="30" x14ac:dyDescent="0.25">
      <c r="A190" s="52" t="s">
        <v>118</v>
      </c>
      <c r="C190" s="61" t="s">
        <v>3187</v>
      </c>
      <c r="D190" t="s">
        <v>5423</v>
      </c>
      <c r="E190" t="str">
        <f t="shared" si="2"/>
        <v>Insert  into dmkhach(Makhach, Tenkhach) values('KH189', N'Công ty CP tập đoàn dược phẩm CNC Starmed')</v>
      </c>
    </row>
    <row r="191" spans="1:5" ht="30" x14ac:dyDescent="0.25">
      <c r="A191" s="52" t="s">
        <v>118</v>
      </c>
      <c r="C191" s="61" t="s">
        <v>3192</v>
      </c>
      <c r="D191" t="s">
        <v>5424</v>
      </c>
      <c r="E191" t="str">
        <f t="shared" si="2"/>
        <v>Insert  into dmkhach(Makhach, Tenkhach) values('KH190', N'Công ty cổ phần tập đoàn dược phẩm Starmed')</v>
      </c>
    </row>
    <row r="192" spans="1:5" x14ac:dyDescent="0.25">
      <c r="A192" s="52" t="s">
        <v>118</v>
      </c>
      <c r="C192" s="61" t="s">
        <v>3206</v>
      </c>
      <c r="D192" t="s">
        <v>5425</v>
      </c>
      <c r="E192" t="str">
        <f t="shared" si="2"/>
        <v>Insert  into dmkhach(Makhach, Tenkhach) values('KH191', N'Công ty CP thực phẩm Richy')</v>
      </c>
    </row>
    <row r="193" spans="1:5" x14ac:dyDescent="0.25">
      <c r="A193" s="52" t="s">
        <v>527</v>
      </c>
      <c r="C193" s="61" t="s">
        <v>3221</v>
      </c>
      <c r="D193" t="s">
        <v>5426</v>
      </c>
      <c r="E193" t="str">
        <f t="shared" si="2"/>
        <v>Insert  into dmkhach(Makhach, Tenkhach) values('KH192', N'Công ty Thái Dương')</v>
      </c>
    </row>
    <row r="194" spans="1:5" x14ac:dyDescent="0.25">
      <c r="A194" s="52" t="s">
        <v>527</v>
      </c>
      <c r="C194" s="61" t="s">
        <v>3224</v>
      </c>
      <c r="D194" t="s">
        <v>5427</v>
      </c>
      <c r="E194" t="str">
        <f t="shared" si="2"/>
        <v>Insert  into dmkhach(Makhach, Tenkhach) values('KH193', N'Công ty chè Phú Thọ')</v>
      </c>
    </row>
    <row r="195" spans="1:5" ht="30" x14ac:dyDescent="0.25">
      <c r="A195" s="52" t="s">
        <v>527</v>
      </c>
      <c r="C195" s="61" t="s">
        <v>3233</v>
      </c>
      <c r="D195" t="s">
        <v>5428</v>
      </c>
      <c r="E195" t="str">
        <f t="shared" ref="E195:E246" si="3">"Insert  into dmkhach(Makhach, Tenkhach) values('" &amp; D195 &amp; "', N'" &amp; C195 &amp; "')"</f>
        <v>Insert  into dmkhach(Makhach, Tenkhach) values('KH194', N'Công ty CP thuốc thú y SVT Thái Dương')</v>
      </c>
    </row>
    <row r="196" spans="1:5" x14ac:dyDescent="0.25">
      <c r="A196" s="52" t="s">
        <v>527</v>
      </c>
      <c r="C196" s="61" t="s">
        <v>3253</v>
      </c>
      <c r="D196" t="s">
        <v>5429</v>
      </c>
      <c r="E196" t="str">
        <f t="shared" si="3"/>
        <v>Insert  into dmkhach(Makhach, Tenkhach) values('KH195', N'Công ty TNHH Mahyco Việt Nam')</v>
      </c>
    </row>
    <row r="197" spans="1:5" x14ac:dyDescent="0.25">
      <c r="A197" s="52" t="s">
        <v>61</v>
      </c>
      <c r="C197" s="61" t="s">
        <v>3261</v>
      </c>
      <c r="D197" t="s">
        <v>5430</v>
      </c>
      <c r="E197" t="str">
        <f t="shared" si="3"/>
        <v>Insert  into dmkhach(Makhach, Tenkhach) values('KH196', N'Công ty Hữu Nghị miền Bắc')</v>
      </c>
    </row>
    <row r="198" spans="1:5" x14ac:dyDescent="0.25">
      <c r="A198" s="52" t="s">
        <v>61</v>
      </c>
      <c r="C198" s="61" t="s">
        <v>3276</v>
      </c>
      <c r="D198" t="s">
        <v>5431</v>
      </c>
      <c r="E198" t="str">
        <f t="shared" si="3"/>
        <v>Insert  into dmkhach(Makhach, Tenkhach) values('KH197', N'Công ty CP thuốc thú y Thái Dương')</v>
      </c>
    </row>
    <row r="199" spans="1:5" ht="30" x14ac:dyDescent="0.25">
      <c r="A199" s="52" t="s">
        <v>527</v>
      </c>
      <c r="C199" s="61" t="s">
        <v>3282</v>
      </c>
      <c r="D199" t="s">
        <v>5432</v>
      </c>
      <c r="E199" t="str">
        <f t="shared" si="3"/>
        <v>Insert  into dmkhach(Makhach, Tenkhach) values('KH198', N'Công ty TNHH XNK Thực phẩm MC')</v>
      </c>
    </row>
    <row r="200" spans="1:5" x14ac:dyDescent="0.25">
      <c r="A200" s="52" t="s">
        <v>527</v>
      </c>
      <c r="C200" s="61" t="s">
        <v>3298</v>
      </c>
      <c r="D200" t="s">
        <v>5433</v>
      </c>
      <c r="E200" t="str">
        <f t="shared" si="3"/>
        <v>Insert  into dmkhach(Makhach, Tenkhach) values('KH199', N'Công ty CP dệt và may hồng hải')</v>
      </c>
    </row>
    <row r="201" spans="1:5" x14ac:dyDescent="0.25">
      <c r="A201" s="52" t="s">
        <v>527</v>
      </c>
      <c r="C201" s="61" t="s">
        <v>3318</v>
      </c>
      <c r="D201" t="s">
        <v>5434</v>
      </c>
      <c r="E201" t="str">
        <f t="shared" si="3"/>
        <v>Insert  into dmkhach(Makhach, Tenkhach) values('KH200', N'Công ty Thái Bình seed')</v>
      </c>
    </row>
    <row r="202" spans="1:5" ht="30" x14ac:dyDescent="0.25">
      <c r="A202" s="52" t="s">
        <v>527</v>
      </c>
      <c r="C202" s="61" t="s">
        <v>3329</v>
      </c>
      <c r="D202" t="s">
        <v>5435</v>
      </c>
      <c r="E202" t="str">
        <f t="shared" si="3"/>
        <v>Insert  into dmkhach(Makhach, Tenkhach) values('KH201', N'Công ty TNHH TM và dịch vụ Thịnh Ngọc Linh')</v>
      </c>
    </row>
    <row r="203" spans="1:5" ht="30" x14ac:dyDescent="0.25">
      <c r="A203" s="52" t="s">
        <v>527</v>
      </c>
      <c r="C203" s="61" t="s">
        <v>3334</v>
      </c>
      <c r="D203" t="s">
        <v>5436</v>
      </c>
      <c r="E203" t="str">
        <f t="shared" si="3"/>
        <v>Insert  into dmkhach(Makhach, Tenkhach) values('KH202', N'Công ty TNHH SX và TM giống Việt Nhật')</v>
      </c>
    </row>
    <row r="204" spans="1:5" ht="30" x14ac:dyDescent="0.25">
      <c r="A204" s="52" t="s">
        <v>527</v>
      </c>
      <c r="C204" s="61" t="s">
        <v>3338</v>
      </c>
      <c r="D204" t="s">
        <v>5437</v>
      </c>
      <c r="E204" t="str">
        <f t="shared" si="3"/>
        <v>Insert  into dmkhach(Makhach, Tenkhach) values('KH203', N'Công ty TNHH thực phẩm vịt đen chu Việt Nam')</v>
      </c>
    </row>
    <row r="205" spans="1:5" x14ac:dyDescent="0.25">
      <c r="A205" s="52" t="s">
        <v>527</v>
      </c>
      <c r="C205" s="61" t="s">
        <v>3341</v>
      </c>
      <c r="D205" t="s">
        <v>5438</v>
      </c>
      <c r="E205" t="str">
        <f t="shared" si="3"/>
        <v>Insert  into dmkhach(Makhach, Tenkhach) values('KH204', N'Công ty CP thực phảm Đất Việt')</v>
      </c>
    </row>
    <row r="206" spans="1:5" x14ac:dyDescent="0.25">
      <c r="A206" s="52" t="s">
        <v>527</v>
      </c>
      <c r="C206" s="61" t="s">
        <v>3351</v>
      </c>
      <c r="D206" t="s">
        <v>5439</v>
      </c>
      <c r="E206" t="str">
        <f t="shared" si="3"/>
        <v>Insert  into dmkhach(Makhach, Tenkhach) values('KH205', N'Công ty Hoàng Dương')</v>
      </c>
    </row>
    <row r="207" spans="1:5" ht="30" x14ac:dyDescent="0.25">
      <c r="A207" s="52" t="s">
        <v>527</v>
      </c>
      <c r="C207" s="61" t="s">
        <v>3355</v>
      </c>
      <c r="D207" t="s">
        <v>5440</v>
      </c>
      <c r="E207" t="str">
        <f t="shared" si="3"/>
        <v>Insert  into dmkhach(Makhach, Tenkhach) values('KH206', N'Công ty TNHH TM dịch vụ và SX Hoàng Vũ')</v>
      </c>
    </row>
    <row r="208" spans="1:5" ht="30" x14ac:dyDescent="0.25">
      <c r="A208" s="52" t="s">
        <v>527</v>
      </c>
      <c r="C208" s="61" t="s">
        <v>3358</v>
      </c>
      <c r="D208" t="s">
        <v>5441</v>
      </c>
      <c r="E208" t="str">
        <f t="shared" si="3"/>
        <v>Insert  into dmkhach(Makhach, Tenkhach) values('KH207', N'Công ty TNHH 1TV thế hệ mới Phú Thọ')</v>
      </c>
    </row>
    <row r="209" spans="1:5" ht="30" x14ac:dyDescent="0.25">
      <c r="A209" s="52" t="s">
        <v>527</v>
      </c>
      <c r="C209" s="61" t="s">
        <v>3367</v>
      </c>
      <c r="D209" t="s">
        <v>5442</v>
      </c>
      <c r="E209" t="str">
        <f t="shared" si="3"/>
        <v>Insert  into dmkhach(Makhach, Tenkhach) values('KH208', N'Công ty TNHH TM và dịch vụ Hiền Lê')</v>
      </c>
    </row>
    <row r="210" spans="1:5" x14ac:dyDescent="0.25">
      <c r="A210" s="52" t="s">
        <v>527</v>
      </c>
      <c r="C210" s="61" t="s">
        <v>3371</v>
      </c>
      <c r="D210" t="s">
        <v>5443</v>
      </c>
      <c r="E210" t="str">
        <f t="shared" si="3"/>
        <v>Insert  into dmkhach(Makhach, Tenkhach) values('KH209', N'Công ty CP Nam Dược')</v>
      </c>
    </row>
    <row r="211" spans="1:5" x14ac:dyDescent="0.25">
      <c r="A211" s="52" t="s">
        <v>527</v>
      </c>
      <c r="C211" s="61" t="s">
        <v>3378</v>
      </c>
      <c r="D211" t="s">
        <v>5444</v>
      </c>
      <c r="E211" t="str">
        <f t="shared" si="3"/>
        <v>Insert  into dmkhach(Makhach, Tenkhach) values('KH210', N'Công ty TNHH Việt Thắng')</v>
      </c>
    </row>
    <row r="212" spans="1:5" ht="30" x14ac:dyDescent="0.25">
      <c r="A212" s="52" t="s">
        <v>527</v>
      </c>
      <c r="C212" s="61" t="s">
        <v>3389</v>
      </c>
      <c r="D212" t="s">
        <v>5445</v>
      </c>
      <c r="E212" t="str">
        <f t="shared" si="3"/>
        <v>Insert  into dmkhach(Makhach, Tenkhach) values('KH211', N'Hộ KD cơ sở nhà máy bánh kẹo Trung Tín')</v>
      </c>
    </row>
    <row r="213" spans="1:5" x14ac:dyDescent="0.25">
      <c r="A213" s="52" t="s">
        <v>527</v>
      </c>
      <c r="C213" s="61" t="s">
        <v>3412</v>
      </c>
      <c r="D213" t="s">
        <v>5446</v>
      </c>
      <c r="E213" t="str">
        <f t="shared" si="3"/>
        <v>Insert  into dmkhach(Makhach, Tenkhach) values('KH212', N'Công ty CP SX và TM TH Việt')</v>
      </c>
    </row>
    <row r="214" spans="1:5" x14ac:dyDescent="0.25">
      <c r="A214" s="52" t="s">
        <v>180</v>
      </c>
      <c r="C214" s="61" t="s">
        <v>3420</v>
      </c>
      <c r="D214" t="s">
        <v>5447</v>
      </c>
      <c r="E214" t="str">
        <f t="shared" si="3"/>
        <v>Insert  into dmkhach(Makhach, Tenkhach) values('KH213', N'Công ty TNHH Thương mại Việt Hải')</v>
      </c>
    </row>
    <row r="215" spans="1:5" ht="30" x14ac:dyDescent="0.25">
      <c r="A215" s="52" t="s">
        <v>527</v>
      </c>
      <c r="C215" s="61" t="s">
        <v>3425</v>
      </c>
      <c r="D215" t="s">
        <v>5448</v>
      </c>
      <c r="E215" t="str">
        <f t="shared" si="3"/>
        <v>Insert  into dmkhach(Makhach, Tenkhach) values('KH214', N'Công ty TNHH 1 thành viên thế hệ mới Phú Thọ')</v>
      </c>
    </row>
    <row r="216" spans="1:5" ht="30" x14ac:dyDescent="0.25">
      <c r="A216" s="52" t="s">
        <v>118</v>
      </c>
      <c r="C216" s="61" t="s">
        <v>3437</v>
      </c>
      <c r="D216" t="s">
        <v>5449</v>
      </c>
      <c r="E216" t="str">
        <f t="shared" si="3"/>
        <v>Insert  into dmkhach(Makhach, Tenkhach) values('KH215', N'Công ty TNHH Tư vấn và thiết kế kỹ thuật Techmat')</v>
      </c>
    </row>
    <row r="217" spans="1:5" x14ac:dyDescent="0.25">
      <c r="A217" s="52" t="s">
        <v>527</v>
      </c>
      <c r="C217" s="61" t="s">
        <v>3462</v>
      </c>
      <c r="D217" t="s">
        <v>5450</v>
      </c>
      <c r="E217" t="str">
        <f t="shared" si="3"/>
        <v>Insert  into dmkhach(Makhach, Tenkhach) values('KH216', N'Công ty TNHH PTK 879 Việt Nam')</v>
      </c>
    </row>
    <row r="218" spans="1:5" ht="15.75" x14ac:dyDescent="0.25">
      <c r="A218" s="52" t="s">
        <v>527</v>
      </c>
      <c r="C218" s="275" t="s">
        <v>3465</v>
      </c>
      <c r="D218" t="s">
        <v>5451</v>
      </c>
      <c r="E218" t="str">
        <f t="shared" si="3"/>
        <v>Insert  into dmkhach(Makhach, Tenkhach) values('KH217', N' Công ty TG Viet Nam.')</v>
      </c>
    </row>
    <row r="219" spans="1:5" x14ac:dyDescent="0.25">
      <c r="A219" s="52" t="s">
        <v>813</v>
      </c>
      <c r="C219" s="61" t="s">
        <v>3477</v>
      </c>
      <c r="D219" t="s">
        <v>5452</v>
      </c>
      <c r="E219" t="str">
        <f t="shared" si="3"/>
        <v>Insert  into dmkhach(Makhach, Tenkhach) values('KH218', N'Công ty Phương Bắc')</v>
      </c>
    </row>
    <row r="220" spans="1:5" x14ac:dyDescent="0.25">
      <c r="A220" s="52" t="s">
        <v>813</v>
      </c>
      <c r="C220" s="61" t="s">
        <v>3481</v>
      </c>
      <c r="D220" t="s">
        <v>5453</v>
      </c>
      <c r="E220" t="str">
        <f t="shared" si="3"/>
        <v>Insert  into dmkhach(Makhach, Tenkhach) values('KH219', N'Công ty CP Hoàng Yến')</v>
      </c>
    </row>
    <row r="221" spans="1:5" x14ac:dyDescent="0.25">
      <c r="A221" s="52" t="s">
        <v>813</v>
      </c>
      <c r="C221" s="61" t="s">
        <v>3501</v>
      </c>
      <c r="D221" t="s">
        <v>5454</v>
      </c>
      <c r="E221" t="str">
        <f t="shared" si="3"/>
        <v>Insert  into dmkhach(Makhach, Tenkhach) values('KH220', N'Công ty TNHH Việt Thái')</v>
      </c>
    </row>
    <row r="222" spans="1:5" x14ac:dyDescent="0.25">
      <c r="A222" s="52" t="s">
        <v>657</v>
      </c>
      <c r="C222" s="61" t="s">
        <v>3516</v>
      </c>
      <c r="D222" t="s">
        <v>5455</v>
      </c>
      <c r="E222" t="str">
        <f t="shared" si="3"/>
        <v>Insert  into dmkhach(Makhach, Tenkhach) values('KH221', N'Công ty cổ phần Nam Dược')</v>
      </c>
    </row>
    <row r="223" spans="1:5" x14ac:dyDescent="0.25">
      <c r="A223" s="52" t="s">
        <v>118</v>
      </c>
      <c r="C223" s="61" t="s">
        <v>3563</v>
      </c>
      <c r="D223" t="s">
        <v>5456</v>
      </c>
      <c r="E223" t="str">
        <f t="shared" si="3"/>
        <v>Insert  into dmkhach(Makhach, Tenkhach) values('KH222', N'Bán thành phẩm')</v>
      </c>
    </row>
    <row r="224" spans="1:5" x14ac:dyDescent="0.25">
      <c r="A224" s="52" t="s">
        <v>118</v>
      </c>
      <c r="C224" s="61" t="s">
        <v>3943</v>
      </c>
      <c r="D224" t="s">
        <v>5457</v>
      </c>
      <c r="E224" t="str">
        <f t="shared" si="3"/>
        <v>Insert  into dmkhach(Makhach, Tenkhach) values('KH223', N'Công ty Asian')</v>
      </c>
    </row>
    <row r="225" spans="1:5" x14ac:dyDescent="0.25">
      <c r="A225" s="52" t="s">
        <v>118</v>
      </c>
      <c r="C225" s="103" t="s">
        <v>4010</v>
      </c>
      <c r="D225" t="s">
        <v>5458</v>
      </c>
      <c r="E225" t="str">
        <f t="shared" si="3"/>
        <v>Insert  into dmkhach(Makhach, Tenkhach) values('KH224', N'Công ty Asean')</v>
      </c>
    </row>
    <row r="226" spans="1:5" x14ac:dyDescent="0.25">
      <c r="A226" s="52" t="s">
        <v>612</v>
      </c>
      <c r="C226" s="61" t="s">
        <v>4015</v>
      </c>
      <c r="D226" t="s">
        <v>5459</v>
      </c>
      <c r="E226" t="str">
        <f t="shared" si="3"/>
        <v>Insert  into dmkhach(Makhach, Tenkhach) values('KH225', N'Công ty Hùng Tiến')</v>
      </c>
    </row>
    <row r="227" spans="1:5" x14ac:dyDescent="0.25">
      <c r="A227" s="52" t="s">
        <v>612</v>
      </c>
      <c r="C227" s="61" t="s">
        <v>4032</v>
      </c>
      <c r="D227" t="s">
        <v>5460</v>
      </c>
      <c r="E227" t="str">
        <f t="shared" si="3"/>
        <v>Insert  into dmkhach(Makhach, Tenkhach) values('KH226', N'Công ty Net Việt')</v>
      </c>
    </row>
    <row r="228" spans="1:5" x14ac:dyDescent="0.25">
      <c r="A228" s="52" t="s">
        <v>612</v>
      </c>
      <c r="C228" s="103" t="s">
        <v>4041</v>
      </c>
      <c r="D228" t="s">
        <v>5461</v>
      </c>
      <c r="E228" t="str">
        <f t="shared" si="3"/>
        <v>Insert  into dmkhach(Makhach, Tenkhach) values('KH227', N'Công ty Đức Kiên')</v>
      </c>
    </row>
    <row r="229" spans="1:5" x14ac:dyDescent="0.25">
      <c r="A229" s="52" t="s">
        <v>92</v>
      </c>
      <c r="C229" s="103" t="s">
        <v>4044</v>
      </c>
      <c r="D229" t="s">
        <v>5462</v>
      </c>
      <c r="E229" t="str">
        <f t="shared" si="3"/>
        <v>Insert  into dmkhach(Makhach, Tenkhach) values('KH228', N'Công ty CP SX và TM Sao Phương')</v>
      </c>
    </row>
    <row r="230" spans="1:5" x14ac:dyDescent="0.25">
      <c r="A230" s="52" t="s">
        <v>527</v>
      </c>
      <c r="C230" s="61" t="s">
        <v>4049</v>
      </c>
      <c r="D230" t="s">
        <v>5463</v>
      </c>
      <c r="E230" t="str">
        <f t="shared" si="3"/>
        <v>Insert  into dmkhach(Makhach, Tenkhach) values('KH229', N'Công ty TH Việt ')</v>
      </c>
    </row>
    <row r="231" spans="1:5" x14ac:dyDescent="0.25">
      <c r="A231" s="52" t="s">
        <v>527</v>
      </c>
      <c r="C231" s="61" t="s">
        <v>4153</v>
      </c>
      <c r="D231" t="s">
        <v>5464</v>
      </c>
      <c r="E231" t="str">
        <f t="shared" si="3"/>
        <v>Insert  into dmkhach(Makhach, Tenkhach) values('KH230', N'Công ty Đồng Phát')</v>
      </c>
    </row>
    <row r="232" spans="1:5" x14ac:dyDescent="0.25">
      <c r="A232" s="52" t="s">
        <v>527</v>
      </c>
      <c r="C232" s="61" t="s">
        <v>4161</v>
      </c>
      <c r="D232" t="s">
        <v>5465</v>
      </c>
      <c r="E232" t="str">
        <f t="shared" si="3"/>
        <v>Insert  into dmkhach(Makhach, Tenkhach) values('KH231', N'Công ty BHD')</v>
      </c>
    </row>
    <row r="233" spans="1:5" ht="30" x14ac:dyDescent="0.25">
      <c r="A233" s="52" t="s">
        <v>527</v>
      </c>
      <c r="C233" s="61" t="s">
        <v>4194</v>
      </c>
      <c r="D233" t="s">
        <v>5466</v>
      </c>
      <c r="E233" t="str">
        <f t="shared" si="3"/>
        <v>Insert  into dmkhach(Makhach, Tenkhach) values('KH232', N'Công ty TNHH Bao bì và Thương Mại Sơn Tùng')</v>
      </c>
    </row>
    <row r="234" spans="1:5" x14ac:dyDescent="0.25">
      <c r="A234" s="52" t="s">
        <v>527</v>
      </c>
      <c r="C234" s="61" t="s">
        <v>4377</v>
      </c>
      <c r="D234" t="s">
        <v>5467</v>
      </c>
      <c r="E234" t="str">
        <f t="shared" si="3"/>
        <v>Insert  into dmkhach(Makhach, Tenkhach) values('KH233', N'Công ty Bảo Tín ')</v>
      </c>
    </row>
    <row r="235" spans="1:5" x14ac:dyDescent="0.25">
      <c r="A235" s="52" t="s">
        <v>92</v>
      </c>
      <c r="C235" s="61" t="s">
        <v>4407</v>
      </c>
      <c r="D235" t="s">
        <v>5468</v>
      </c>
      <c r="E235" t="str">
        <f t="shared" si="3"/>
        <v>Insert  into dmkhach(Makhach, Tenkhach) values('KH234', N'Công ty Việt Hùng')</v>
      </c>
    </row>
    <row r="236" spans="1:5" x14ac:dyDescent="0.25">
      <c r="A236" s="52" t="s">
        <v>92</v>
      </c>
      <c r="C236" s="61" t="s">
        <v>4410</v>
      </c>
      <c r="D236" t="s">
        <v>5469</v>
      </c>
      <c r="E236" t="str">
        <f t="shared" si="3"/>
        <v>Insert  into dmkhach(Makhach, Tenkhach) values('KH235', N'Mẫu')</v>
      </c>
    </row>
    <row r="237" spans="1:5" x14ac:dyDescent="0.25">
      <c r="A237" s="52" t="s">
        <v>461</v>
      </c>
      <c r="C237" s="61" t="s">
        <v>4434</v>
      </c>
      <c r="D237" t="s">
        <v>5470</v>
      </c>
      <c r="E237" t="str">
        <f t="shared" si="3"/>
        <v>Insert  into dmkhach(Makhach, Tenkhach) values('KH236', N'Công ty Dũng Yến')</v>
      </c>
    </row>
    <row r="238" spans="1:5" x14ac:dyDescent="0.25">
      <c r="A238" s="52" t="s">
        <v>612</v>
      </c>
      <c r="C238" s="61" t="s">
        <v>4437</v>
      </c>
      <c r="D238" t="s">
        <v>5471</v>
      </c>
      <c r="E238" t="str">
        <f t="shared" si="3"/>
        <v>Insert  into dmkhach(Makhach, Tenkhach) values('KH237', N'Công ty  bao bì an vinh')</v>
      </c>
    </row>
    <row r="239" spans="1:5" x14ac:dyDescent="0.25">
      <c r="A239" s="52" t="s">
        <v>461</v>
      </c>
      <c r="C239" s="61" t="s">
        <v>4481</v>
      </c>
      <c r="D239" t="s">
        <v>5472</v>
      </c>
      <c r="E239" t="str">
        <f t="shared" si="3"/>
        <v>Insert  into dmkhach(Makhach, Tenkhach) values('KH238', N'Công ty An Vinh')</v>
      </c>
    </row>
    <row r="240" spans="1:5" x14ac:dyDescent="0.25">
      <c r="A240" s="52" t="s">
        <v>118</v>
      </c>
      <c r="C240" s="61" t="s">
        <v>4591</v>
      </c>
      <c r="D240" t="s">
        <v>5473</v>
      </c>
      <c r="E240" t="str">
        <f t="shared" si="3"/>
        <v>Insert  into dmkhach(Makhach, Tenkhach) values('KH239', N'Công ty Huy Phát')</v>
      </c>
    </row>
    <row r="241" spans="1:5" x14ac:dyDescent="0.25">
      <c r="A241" s="52" t="s">
        <v>527</v>
      </c>
      <c r="C241" s="61" t="s">
        <v>4643</v>
      </c>
      <c r="D241" t="s">
        <v>5474</v>
      </c>
      <c r="E241" t="str">
        <f t="shared" si="3"/>
        <v>Insert  into dmkhach(Makhach, Tenkhach) values('KH240', N'Công ty Hoa Việt Bình')</v>
      </c>
    </row>
    <row r="242" spans="1:5" x14ac:dyDescent="0.25">
      <c r="A242" s="52" t="s">
        <v>527</v>
      </c>
      <c r="C242" s="61" t="s">
        <v>4700</v>
      </c>
      <c r="D242" t="s">
        <v>5475</v>
      </c>
      <c r="E242" t="str">
        <f t="shared" si="3"/>
        <v>Insert  into dmkhach(Makhach, Tenkhach) values('KH241', N'Công ty Quốc Hưng')</v>
      </c>
    </row>
    <row r="243" spans="1:5" x14ac:dyDescent="0.25">
      <c r="A243" s="52" t="s">
        <v>612</v>
      </c>
      <c r="C243" s="61" t="s">
        <v>4790</v>
      </c>
      <c r="D243" t="s">
        <v>5476</v>
      </c>
      <c r="E243" t="str">
        <f t="shared" si="3"/>
        <v>Insert  into dmkhach(Makhach, Tenkhach) values('KH242', N'Công ty Innotech Việt Nam')</v>
      </c>
    </row>
    <row r="244" spans="1:5" x14ac:dyDescent="0.25">
      <c r="A244" s="52" t="s">
        <v>612</v>
      </c>
      <c r="C244" s="61" t="s">
        <v>4893</v>
      </c>
      <c r="D244" t="s">
        <v>5477</v>
      </c>
      <c r="E244" t="str">
        <f t="shared" si="3"/>
        <v>Insert  into dmkhach(Makhach, Tenkhach) values('KH243', N'Công ty Đỗ Minh')</v>
      </c>
    </row>
    <row r="245" spans="1:5" x14ac:dyDescent="0.25">
      <c r="A245" s="52" t="s">
        <v>612</v>
      </c>
      <c r="C245" s="61" t="s">
        <v>4896</v>
      </c>
      <c r="D245" t="s">
        <v>5478</v>
      </c>
      <c r="E245" t="str">
        <f t="shared" si="3"/>
        <v>Insert  into dmkhach(Makhach, Tenkhach) values('KH244', N'Công ty Nhật Thái')</v>
      </c>
    </row>
    <row r="246" spans="1:5" ht="30" x14ac:dyDescent="0.25">
      <c r="A246" s="52" t="s">
        <v>612</v>
      </c>
      <c r="C246" s="61" t="s">
        <v>4971</v>
      </c>
      <c r="D246" t="s">
        <v>5479</v>
      </c>
      <c r="E246" t="str">
        <f t="shared" si="3"/>
        <v>Insert  into dmkhach(Makhach, Tenkhach) values('KH245', N'Công ty TNHH MTV thế hệ mới Phú Thọ')</v>
      </c>
    </row>
    <row r="247" spans="1:5" x14ac:dyDescent="0.25">
      <c r="A247" s="52" t="s">
        <v>439</v>
      </c>
    </row>
    <row r="248" spans="1:5" x14ac:dyDescent="0.25">
      <c r="A248" s="52" t="s">
        <v>439</v>
      </c>
    </row>
    <row r="249" spans="1:5" x14ac:dyDescent="0.25">
      <c r="A249" s="52" t="s">
        <v>439</v>
      </c>
    </row>
    <row r="250" spans="1:5" x14ac:dyDescent="0.25">
      <c r="A250" s="52" t="s">
        <v>439</v>
      </c>
    </row>
    <row r="251" spans="1:5" x14ac:dyDescent="0.25">
      <c r="A251" s="52" t="s">
        <v>348</v>
      </c>
    </row>
    <row r="252" spans="1:5" x14ac:dyDescent="0.25">
      <c r="A252" s="52" t="s">
        <v>348</v>
      </c>
    </row>
    <row r="253" spans="1:5" x14ac:dyDescent="0.25">
      <c r="A253" s="52" t="s">
        <v>907</v>
      </c>
    </row>
    <row r="254" spans="1:5" x14ac:dyDescent="0.25">
      <c r="A254" s="52" t="s">
        <v>387</v>
      </c>
    </row>
    <row r="255" spans="1:5" x14ac:dyDescent="0.25">
      <c r="A255" s="97" t="s">
        <v>553</v>
      </c>
    </row>
    <row r="256" spans="1:5" x14ac:dyDescent="0.25">
      <c r="A256" s="52" t="s">
        <v>916</v>
      </c>
    </row>
    <row r="257" spans="1:1" x14ac:dyDescent="0.25">
      <c r="A257" s="52" t="s">
        <v>916</v>
      </c>
    </row>
    <row r="258" spans="1:1" x14ac:dyDescent="0.25">
      <c r="A258" s="52" t="s">
        <v>916</v>
      </c>
    </row>
    <row r="259" spans="1:1" x14ac:dyDescent="0.25">
      <c r="A259" s="52" t="s">
        <v>916</v>
      </c>
    </row>
    <row r="260" spans="1:1" x14ac:dyDescent="0.25">
      <c r="A260" s="97" t="s">
        <v>553</v>
      </c>
    </row>
    <row r="261" spans="1:1" x14ac:dyDescent="0.25">
      <c r="A261" s="97" t="s">
        <v>553</v>
      </c>
    </row>
    <row r="262" spans="1:1" x14ac:dyDescent="0.25">
      <c r="A262" s="52" t="s">
        <v>916</v>
      </c>
    </row>
    <row r="263" spans="1:1" x14ac:dyDescent="0.25">
      <c r="A263" s="52" t="s">
        <v>916</v>
      </c>
    </row>
    <row r="264" spans="1:1" x14ac:dyDescent="0.25">
      <c r="A264" s="52" t="s">
        <v>916</v>
      </c>
    </row>
    <row r="265" spans="1:1" x14ac:dyDescent="0.25">
      <c r="A265" s="52" t="s">
        <v>916</v>
      </c>
    </row>
    <row r="266" spans="1:1" x14ac:dyDescent="0.25">
      <c r="A266" s="52" t="s">
        <v>461</v>
      </c>
    </row>
    <row r="267" spans="1:1" x14ac:dyDescent="0.25">
      <c r="A267" s="52" t="s">
        <v>612</v>
      </c>
    </row>
    <row r="268" spans="1:1" x14ac:dyDescent="0.25">
      <c r="A268" s="52" t="s">
        <v>948</v>
      </c>
    </row>
    <row r="269" spans="1:1" x14ac:dyDescent="0.25">
      <c r="A269" s="52" t="s">
        <v>195</v>
      </c>
    </row>
    <row r="270" spans="1:1" x14ac:dyDescent="0.25">
      <c r="A270" s="52" t="s">
        <v>959</v>
      </c>
    </row>
    <row r="271" spans="1:1" x14ac:dyDescent="0.25">
      <c r="A271" s="52" t="s">
        <v>962</v>
      </c>
    </row>
    <row r="272" spans="1:1" x14ac:dyDescent="0.25">
      <c r="A272" s="52" t="s">
        <v>612</v>
      </c>
    </row>
    <row r="273" spans="1:1" x14ac:dyDescent="0.25">
      <c r="A273" s="52" t="s">
        <v>118</v>
      </c>
    </row>
    <row r="274" spans="1:1" x14ac:dyDescent="0.25">
      <c r="A274" s="52" t="s">
        <v>974</v>
      </c>
    </row>
    <row r="275" spans="1:1" x14ac:dyDescent="0.25">
      <c r="A275" s="52" t="s">
        <v>657</v>
      </c>
    </row>
    <row r="276" spans="1:1" x14ac:dyDescent="0.25">
      <c r="A276" s="52" t="s">
        <v>657</v>
      </c>
    </row>
    <row r="277" spans="1:1" x14ac:dyDescent="0.25">
      <c r="A277" s="52" t="s">
        <v>657</v>
      </c>
    </row>
    <row r="278" spans="1:1" x14ac:dyDescent="0.25">
      <c r="A278" s="52" t="s">
        <v>657</v>
      </c>
    </row>
    <row r="279" spans="1:1" x14ac:dyDescent="0.25">
      <c r="A279" s="52" t="s">
        <v>959</v>
      </c>
    </row>
    <row r="280" spans="1:1" x14ac:dyDescent="0.25">
      <c r="A280" s="52" t="s">
        <v>959</v>
      </c>
    </row>
    <row r="281" spans="1:1" x14ac:dyDescent="0.25">
      <c r="A281" s="52" t="s">
        <v>996</v>
      </c>
    </row>
    <row r="282" spans="1:1" x14ac:dyDescent="0.25">
      <c r="A282" s="52" t="s">
        <v>996</v>
      </c>
    </row>
    <row r="283" spans="1:1" x14ac:dyDescent="0.25">
      <c r="A283" s="52" t="s">
        <v>1005</v>
      </c>
    </row>
    <row r="284" spans="1:1" x14ac:dyDescent="0.25">
      <c r="A284" s="52" t="s">
        <v>962</v>
      </c>
    </row>
    <row r="285" spans="1:1" x14ac:dyDescent="0.25">
      <c r="A285" s="52" t="s">
        <v>959</v>
      </c>
    </row>
    <row r="286" spans="1:1" x14ac:dyDescent="0.25">
      <c r="A286" s="52" t="s">
        <v>118</v>
      </c>
    </row>
    <row r="287" spans="1:1" x14ac:dyDescent="0.25">
      <c r="A287" s="52" t="s">
        <v>295</v>
      </c>
    </row>
    <row r="288" spans="1:1" x14ac:dyDescent="0.25">
      <c r="A288" s="101" t="s">
        <v>295</v>
      </c>
    </row>
    <row r="289" spans="1:1" x14ac:dyDescent="0.25">
      <c r="A289" s="52" t="s">
        <v>543</v>
      </c>
    </row>
    <row r="290" spans="1:1" x14ac:dyDescent="0.25">
      <c r="A290" s="52" t="s">
        <v>543</v>
      </c>
    </row>
    <row r="291" spans="1:1" x14ac:dyDescent="0.25">
      <c r="A291" s="52" t="s">
        <v>1038</v>
      </c>
    </row>
    <row r="292" spans="1:1" x14ac:dyDescent="0.25">
      <c r="A292" s="52" t="s">
        <v>1038</v>
      </c>
    </row>
    <row r="293" spans="1:1" x14ac:dyDescent="0.25">
      <c r="A293" s="52" t="s">
        <v>962</v>
      </c>
    </row>
    <row r="294" spans="1:1" x14ac:dyDescent="0.25">
      <c r="A294" s="52" t="s">
        <v>962</v>
      </c>
    </row>
    <row r="295" spans="1:1" x14ac:dyDescent="0.25">
      <c r="A295" s="52" t="s">
        <v>959</v>
      </c>
    </row>
    <row r="296" spans="1:1" x14ac:dyDescent="0.25">
      <c r="A296" s="52" t="s">
        <v>959</v>
      </c>
    </row>
    <row r="297" spans="1:1" x14ac:dyDescent="0.25">
      <c r="A297" s="52" t="s">
        <v>962</v>
      </c>
    </row>
    <row r="298" spans="1:1" x14ac:dyDescent="0.25">
      <c r="A298" s="52" t="s">
        <v>959</v>
      </c>
    </row>
    <row r="299" spans="1:1" x14ac:dyDescent="0.25">
      <c r="A299" s="52" t="s">
        <v>962</v>
      </c>
    </row>
    <row r="300" spans="1:1" x14ac:dyDescent="0.25">
      <c r="A300" s="52" t="s">
        <v>1069</v>
      </c>
    </row>
    <row r="301" spans="1:1" x14ac:dyDescent="0.25">
      <c r="A301" s="52" t="s">
        <v>61</v>
      </c>
    </row>
    <row r="302" spans="1:1" x14ac:dyDescent="0.25">
      <c r="A302" s="52" t="s">
        <v>61</v>
      </c>
    </row>
    <row r="303" spans="1:1" x14ac:dyDescent="0.25">
      <c r="A303" s="52" t="s">
        <v>1077</v>
      </c>
    </row>
    <row r="304" spans="1:1" x14ac:dyDescent="0.25">
      <c r="A304" s="52" t="s">
        <v>962</v>
      </c>
    </row>
    <row r="305" spans="1:1" x14ac:dyDescent="0.25">
      <c r="A305" s="52" t="s">
        <v>962</v>
      </c>
    </row>
    <row r="306" spans="1:1" x14ac:dyDescent="0.25">
      <c r="A306" s="52" t="s">
        <v>962</v>
      </c>
    </row>
    <row r="307" spans="1:1" x14ac:dyDescent="0.25">
      <c r="A307" s="52" t="s">
        <v>180</v>
      </c>
    </row>
    <row r="308" spans="1:1" x14ac:dyDescent="0.25">
      <c r="A308" s="52" t="s">
        <v>180</v>
      </c>
    </row>
    <row r="309" spans="1:1" x14ac:dyDescent="0.25">
      <c r="A309" s="52" t="s">
        <v>118</v>
      </c>
    </row>
    <row r="310" spans="1:1" x14ac:dyDescent="0.25">
      <c r="A310" s="52" t="s">
        <v>1101</v>
      </c>
    </row>
    <row r="311" spans="1:1" x14ac:dyDescent="0.25">
      <c r="A311" s="52" t="s">
        <v>527</v>
      </c>
    </row>
    <row r="312" spans="1:1" x14ac:dyDescent="0.25">
      <c r="A312" s="52" t="s">
        <v>527</v>
      </c>
    </row>
    <row r="313" spans="1:1" x14ac:dyDescent="0.25">
      <c r="A313" s="52" t="s">
        <v>1112</v>
      </c>
    </row>
    <row r="314" spans="1:1" x14ac:dyDescent="0.25">
      <c r="A314" s="52" t="s">
        <v>1117</v>
      </c>
    </row>
    <row r="315" spans="1:1" x14ac:dyDescent="0.25">
      <c r="A315" s="52" t="s">
        <v>962</v>
      </c>
    </row>
    <row r="316" spans="1:1" x14ac:dyDescent="0.25">
      <c r="A316" s="52" t="s">
        <v>962</v>
      </c>
    </row>
    <row r="317" spans="1:1" x14ac:dyDescent="0.25">
      <c r="A317" s="52" t="s">
        <v>657</v>
      </c>
    </row>
    <row r="318" spans="1:1" x14ac:dyDescent="0.25">
      <c r="A318" s="52" t="s">
        <v>1129</v>
      </c>
    </row>
    <row r="319" spans="1:1" x14ac:dyDescent="0.25">
      <c r="A319" s="52" t="s">
        <v>527</v>
      </c>
    </row>
    <row r="320" spans="1:1" x14ac:dyDescent="0.25">
      <c r="A320" s="52" t="s">
        <v>962</v>
      </c>
    </row>
    <row r="321" spans="1:1" x14ac:dyDescent="0.25">
      <c r="A321" s="52" t="s">
        <v>612</v>
      </c>
    </row>
    <row r="322" spans="1:1" x14ac:dyDescent="0.25">
      <c r="A322" s="52" t="s">
        <v>612</v>
      </c>
    </row>
    <row r="323" spans="1:1" x14ac:dyDescent="0.25">
      <c r="A323" s="52" t="s">
        <v>612</v>
      </c>
    </row>
    <row r="324" spans="1:1" x14ac:dyDescent="0.25">
      <c r="A324" s="52" t="s">
        <v>612</v>
      </c>
    </row>
    <row r="325" spans="1:1" x14ac:dyDescent="0.25">
      <c r="A325" s="52" t="s">
        <v>916</v>
      </c>
    </row>
    <row r="326" spans="1:1" x14ac:dyDescent="0.25">
      <c r="A326" s="52" t="s">
        <v>962</v>
      </c>
    </row>
    <row r="327" spans="1:1" x14ac:dyDescent="0.25">
      <c r="A327" s="52" t="s">
        <v>916</v>
      </c>
    </row>
    <row r="328" spans="1:1" x14ac:dyDescent="0.25">
      <c r="A328" s="52" t="s">
        <v>561</v>
      </c>
    </row>
    <row r="329" spans="1:1" x14ac:dyDescent="0.25">
      <c r="A329" s="52" t="s">
        <v>962</v>
      </c>
    </row>
    <row r="330" spans="1:1" x14ac:dyDescent="0.25">
      <c r="A330" s="52" t="s">
        <v>1166</v>
      </c>
    </row>
    <row r="331" spans="1:1" x14ac:dyDescent="0.25">
      <c r="A331" s="52" t="s">
        <v>1166</v>
      </c>
    </row>
    <row r="332" spans="1:1" x14ac:dyDescent="0.25">
      <c r="A332" s="52" t="s">
        <v>118</v>
      </c>
    </row>
    <row r="333" spans="1:1" x14ac:dyDescent="0.25">
      <c r="A333" s="52" t="s">
        <v>118</v>
      </c>
    </row>
    <row r="334" spans="1:1" x14ac:dyDescent="0.25">
      <c r="A334" s="52" t="s">
        <v>1129</v>
      </c>
    </row>
    <row r="335" spans="1:1" x14ac:dyDescent="0.25">
      <c r="A335" s="52" t="s">
        <v>61</v>
      </c>
    </row>
    <row r="336" spans="1:1" x14ac:dyDescent="0.25">
      <c r="A336" s="52" t="s">
        <v>61</v>
      </c>
    </row>
    <row r="337" spans="1:1" x14ac:dyDescent="0.25">
      <c r="A337" s="52" t="s">
        <v>61</v>
      </c>
    </row>
    <row r="338" spans="1:1" x14ac:dyDescent="0.25">
      <c r="A338" s="52" t="s">
        <v>612</v>
      </c>
    </row>
    <row r="339" spans="1:1" x14ac:dyDescent="0.25">
      <c r="A339" s="52" t="s">
        <v>612</v>
      </c>
    </row>
    <row r="340" spans="1:1" x14ac:dyDescent="0.25">
      <c r="A340" s="52" t="s">
        <v>612</v>
      </c>
    </row>
    <row r="341" spans="1:1" x14ac:dyDescent="0.25">
      <c r="A341" s="52" t="s">
        <v>916</v>
      </c>
    </row>
    <row r="342" spans="1:1" x14ac:dyDescent="0.25">
      <c r="A342" s="52" t="s">
        <v>1077</v>
      </c>
    </row>
    <row r="343" spans="1:1" x14ac:dyDescent="0.25">
      <c r="A343" s="52" t="s">
        <v>1201</v>
      </c>
    </row>
    <row r="344" spans="1:1" x14ac:dyDescent="0.25">
      <c r="A344" s="52" t="s">
        <v>1077</v>
      </c>
    </row>
    <row r="345" spans="1:1" x14ac:dyDescent="0.25">
      <c r="A345" s="52" t="s">
        <v>1077</v>
      </c>
    </row>
    <row r="346" spans="1:1" x14ac:dyDescent="0.25">
      <c r="A346" s="52" t="s">
        <v>1077</v>
      </c>
    </row>
    <row r="347" spans="1:1" x14ac:dyDescent="0.25">
      <c r="A347" s="52" t="s">
        <v>1077</v>
      </c>
    </row>
    <row r="348" spans="1:1" x14ac:dyDescent="0.25">
      <c r="A348" s="52" t="s">
        <v>1077</v>
      </c>
    </row>
    <row r="349" spans="1:1" x14ac:dyDescent="0.25">
      <c r="A349" s="52" t="s">
        <v>612</v>
      </c>
    </row>
    <row r="350" spans="1:1" x14ac:dyDescent="0.25">
      <c r="A350" s="52" t="s">
        <v>561</v>
      </c>
    </row>
    <row r="351" spans="1:1" x14ac:dyDescent="0.25">
      <c r="A351" s="52" t="s">
        <v>1227</v>
      </c>
    </row>
    <row r="352" spans="1:1" x14ac:dyDescent="0.25">
      <c r="A352" s="52" t="s">
        <v>1227</v>
      </c>
    </row>
    <row r="353" spans="1:1" x14ac:dyDescent="0.25">
      <c r="A353" s="52" t="s">
        <v>1227</v>
      </c>
    </row>
    <row r="354" spans="1:1" x14ac:dyDescent="0.25">
      <c r="A354" s="52" t="s">
        <v>195</v>
      </c>
    </row>
    <row r="355" spans="1:1" x14ac:dyDescent="0.25">
      <c r="A355" s="52" t="s">
        <v>612</v>
      </c>
    </row>
    <row r="356" spans="1:1" x14ac:dyDescent="0.25">
      <c r="A356" s="52" t="s">
        <v>612</v>
      </c>
    </row>
    <row r="357" spans="1:1" x14ac:dyDescent="0.25">
      <c r="A357" s="52" t="s">
        <v>612</v>
      </c>
    </row>
    <row r="358" spans="1:1" x14ac:dyDescent="0.25">
      <c r="A358" s="52" t="s">
        <v>962</v>
      </c>
    </row>
    <row r="359" spans="1:1" x14ac:dyDescent="0.25">
      <c r="A359" s="52" t="s">
        <v>612</v>
      </c>
    </row>
    <row r="360" spans="1:1" x14ac:dyDescent="0.25">
      <c r="A360" s="52" t="s">
        <v>959</v>
      </c>
    </row>
    <row r="361" spans="1:1" x14ac:dyDescent="0.25">
      <c r="A361" s="52" t="s">
        <v>959</v>
      </c>
    </row>
    <row r="362" spans="1:1" x14ac:dyDescent="0.25">
      <c r="A362" s="52" t="s">
        <v>118</v>
      </c>
    </row>
    <row r="363" spans="1:1" x14ac:dyDescent="0.25">
      <c r="A363" s="52" t="s">
        <v>118</v>
      </c>
    </row>
    <row r="364" spans="1:1" x14ac:dyDescent="0.25">
      <c r="A364" s="52" t="s">
        <v>118</v>
      </c>
    </row>
    <row r="365" spans="1:1" x14ac:dyDescent="0.25">
      <c r="A365" s="52" t="s">
        <v>118</v>
      </c>
    </row>
    <row r="366" spans="1:1" x14ac:dyDescent="0.25">
      <c r="A366" s="52" t="s">
        <v>612</v>
      </c>
    </row>
    <row r="367" spans="1:1" x14ac:dyDescent="0.25">
      <c r="A367" s="52" t="s">
        <v>962</v>
      </c>
    </row>
    <row r="368" spans="1:1" x14ac:dyDescent="0.25">
      <c r="A368" s="52" t="s">
        <v>612</v>
      </c>
    </row>
    <row r="369" spans="1:1" x14ac:dyDescent="0.25">
      <c r="A369" s="52" t="s">
        <v>612</v>
      </c>
    </row>
    <row r="370" spans="1:1" x14ac:dyDescent="0.25">
      <c r="A370" s="52" t="s">
        <v>1274</v>
      </c>
    </row>
    <row r="371" spans="1:1" x14ac:dyDescent="0.25">
      <c r="A371" s="52" t="s">
        <v>348</v>
      </c>
    </row>
    <row r="372" spans="1:1" x14ac:dyDescent="0.25">
      <c r="A372" s="52" t="s">
        <v>959</v>
      </c>
    </row>
    <row r="373" spans="1:1" x14ac:dyDescent="0.25">
      <c r="A373" s="52" t="s">
        <v>959</v>
      </c>
    </row>
    <row r="374" spans="1:1" x14ac:dyDescent="0.25">
      <c r="A374" s="52" t="s">
        <v>612</v>
      </c>
    </row>
    <row r="375" spans="1:1" x14ac:dyDescent="0.25">
      <c r="A375" s="52" t="s">
        <v>612</v>
      </c>
    </row>
    <row r="376" spans="1:1" x14ac:dyDescent="0.25">
      <c r="A376" s="52" t="s">
        <v>348</v>
      </c>
    </row>
    <row r="377" spans="1:1" x14ac:dyDescent="0.25">
      <c r="A377" s="52" t="s">
        <v>959</v>
      </c>
    </row>
    <row r="378" spans="1:1" x14ac:dyDescent="0.25">
      <c r="A378" s="52" t="s">
        <v>332</v>
      </c>
    </row>
    <row r="379" spans="1:1" x14ac:dyDescent="0.25">
      <c r="A379" s="52" t="s">
        <v>332</v>
      </c>
    </row>
    <row r="380" spans="1:1" x14ac:dyDescent="0.25">
      <c r="A380" s="52" t="s">
        <v>332</v>
      </c>
    </row>
    <row r="381" spans="1:1" x14ac:dyDescent="0.25">
      <c r="A381" s="52" t="s">
        <v>332</v>
      </c>
    </row>
    <row r="382" spans="1:1" x14ac:dyDescent="0.25">
      <c r="A382" s="52" t="s">
        <v>612</v>
      </c>
    </row>
    <row r="383" spans="1:1" x14ac:dyDescent="0.25">
      <c r="A383" s="52" t="s">
        <v>612</v>
      </c>
    </row>
    <row r="384" spans="1:1" x14ac:dyDescent="0.25">
      <c r="A384" s="52" t="s">
        <v>962</v>
      </c>
    </row>
    <row r="385" spans="1:1" x14ac:dyDescent="0.25">
      <c r="A385" s="52" t="s">
        <v>959</v>
      </c>
    </row>
    <row r="386" spans="1:1" x14ac:dyDescent="0.25">
      <c r="A386" s="52" t="s">
        <v>916</v>
      </c>
    </row>
    <row r="387" spans="1:1" x14ac:dyDescent="0.25">
      <c r="A387" s="52" t="s">
        <v>916</v>
      </c>
    </row>
    <row r="388" spans="1:1" x14ac:dyDescent="0.25">
      <c r="A388" s="52" t="s">
        <v>916</v>
      </c>
    </row>
    <row r="389" spans="1:1" x14ac:dyDescent="0.25">
      <c r="A389" s="52" t="s">
        <v>962</v>
      </c>
    </row>
    <row r="390" spans="1:1" x14ac:dyDescent="0.25">
      <c r="A390" s="52" t="s">
        <v>1325</v>
      </c>
    </row>
    <row r="391" spans="1:1" x14ac:dyDescent="0.25">
      <c r="A391" s="52" t="s">
        <v>1201</v>
      </c>
    </row>
    <row r="392" spans="1:1" x14ac:dyDescent="0.25">
      <c r="A392" s="52" t="s">
        <v>916</v>
      </c>
    </row>
    <row r="393" spans="1:1" x14ac:dyDescent="0.25">
      <c r="A393" s="52" t="s">
        <v>612</v>
      </c>
    </row>
    <row r="394" spans="1:1" x14ac:dyDescent="0.25">
      <c r="A394" s="52" t="s">
        <v>1338</v>
      </c>
    </row>
    <row r="395" spans="1:1" x14ac:dyDescent="0.25">
      <c r="A395" s="52" t="s">
        <v>1341</v>
      </c>
    </row>
    <row r="396" spans="1:1" x14ac:dyDescent="0.25">
      <c r="A396" s="52" t="s">
        <v>1344</v>
      </c>
    </row>
    <row r="397" spans="1:1" x14ac:dyDescent="0.25">
      <c r="A397" s="52" t="s">
        <v>1341</v>
      </c>
    </row>
    <row r="398" spans="1:1" x14ac:dyDescent="0.25">
      <c r="A398" s="52" t="s">
        <v>1351</v>
      </c>
    </row>
    <row r="399" spans="1:1" x14ac:dyDescent="0.25">
      <c r="A399" s="52" t="s">
        <v>1357</v>
      </c>
    </row>
    <row r="400" spans="1:1" x14ac:dyDescent="0.25">
      <c r="A400" s="52" t="s">
        <v>527</v>
      </c>
    </row>
    <row r="401" spans="1:1" x14ac:dyDescent="0.25">
      <c r="A401" s="52" t="s">
        <v>527</v>
      </c>
    </row>
    <row r="402" spans="1:1" x14ac:dyDescent="0.25">
      <c r="A402" s="52" t="s">
        <v>916</v>
      </c>
    </row>
    <row r="403" spans="1:1" x14ac:dyDescent="0.25">
      <c r="A403" s="52" t="s">
        <v>916</v>
      </c>
    </row>
    <row r="404" spans="1:1" x14ac:dyDescent="0.25">
      <c r="A404" s="52" t="s">
        <v>916</v>
      </c>
    </row>
    <row r="405" spans="1:1" x14ac:dyDescent="0.25">
      <c r="A405" s="52" t="s">
        <v>916</v>
      </c>
    </row>
    <row r="406" spans="1:1" x14ac:dyDescent="0.25">
      <c r="A406" s="52" t="s">
        <v>916</v>
      </c>
    </row>
    <row r="407" spans="1:1" x14ac:dyDescent="0.25">
      <c r="A407" s="52" t="s">
        <v>916</v>
      </c>
    </row>
    <row r="408" spans="1:1" x14ac:dyDescent="0.25">
      <c r="A408" s="52" t="s">
        <v>387</v>
      </c>
    </row>
    <row r="409" spans="1:1" x14ac:dyDescent="0.25">
      <c r="A409" s="52" t="s">
        <v>916</v>
      </c>
    </row>
    <row r="410" spans="1:1" x14ac:dyDescent="0.25">
      <c r="A410" s="52" t="s">
        <v>916</v>
      </c>
    </row>
    <row r="411" spans="1:1" x14ac:dyDescent="0.25">
      <c r="A411" s="52" t="s">
        <v>916</v>
      </c>
    </row>
    <row r="412" spans="1:1" x14ac:dyDescent="0.25">
      <c r="A412" s="52" t="s">
        <v>1386</v>
      </c>
    </row>
    <row r="413" spans="1:1" x14ac:dyDescent="0.25">
      <c r="A413" s="52" t="s">
        <v>1386</v>
      </c>
    </row>
    <row r="414" spans="1:1" x14ac:dyDescent="0.25">
      <c r="A414" s="52" t="s">
        <v>1386</v>
      </c>
    </row>
    <row r="415" spans="1:1" x14ac:dyDescent="0.25">
      <c r="A415" s="52" t="s">
        <v>348</v>
      </c>
    </row>
    <row r="416" spans="1:1" x14ac:dyDescent="0.25">
      <c r="A416" s="52" t="s">
        <v>1400</v>
      </c>
    </row>
    <row r="417" spans="1:1" x14ac:dyDescent="0.25">
      <c r="A417" s="117" t="s">
        <v>1407</v>
      </c>
    </row>
    <row r="418" spans="1:1" x14ac:dyDescent="0.25">
      <c r="A418" s="117" t="s">
        <v>1407</v>
      </c>
    </row>
    <row r="419" spans="1:1" x14ac:dyDescent="0.25">
      <c r="A419" s="117" t="s">
        <v>813</v>
      </c>
    </row>
    <row r="420" spans="1:1" x14ac:dyDescent="0.25">
      <c r="A420" s="117" t="s">
        <v>1386</v>
      </c>
    </row>
    <row r="421" spans="1:1" x14ac:dyDescent="0.25">
      <c r="A421" s="52" t="s">
        <v>916</v>
      </c>
    </row>
    <row r="422" spans="1:1" x14ac:dyDescent="0.25">
      <c r="A422" s="61" t="s">
        <v>1351</v>
      </c>
    </row>
    <row r="423" spans="1:1" x14ac:dyDescent="0.25">
      <c r="A423" s="61" t="s">
        <v>962</v>
      </c>
    </row>
    <row r="424" spans="1:1" x14ac:dyDescent="0.25">
      <c r="A424" s="61" t="s">
        <v>1438</v>
      </c>
    </row>
    <row r="425" spans="1:1" x14ac:dyDescent="0.25">
      <c r="A425" s="61" t="s">
        <v>180</v>
      </c>
    </row>
    <row r="426" spans="1:1" x14ac:dyDescent="0.25">
      <c r="A426" s="61" t="s">
        <v>1445</v>
      </c>
    </row>
    <row r="427" spans="1:1" x14ac:dyDescent="0.25">
      <c r="A427" s="61" t="s">
        <v>1117</v>
      </c>
    </row>
    <row r="428" spans="1:1" x14ac:dyDescent="0.25">
      <c r="A428" s="61" t="s">
        <v>959</v>
      </c>
    </row>
    <row r="429" spans="1:1" x14ac:dyDescent="0.25">
      <c r="A429" s="61" t="s">
        <v>959</v>
      </c>
    </row>
    <row r="430" spans="1:1" x14ac:dyDescent="0.25">
      <c r="A430" s="61" t="s">
        <v>959</v>
      </c>
    </row>
    <row r="431" spans="1:1" x14ac:dyDescent="0.25">
      <c r="A431" s="61" t="s">
        <v>332</v>
      </c>
    </row>
    <row r="432" spans="1:1" x14ac:dyDescent="0.25">
      <c r="A432" s="61" t="s">
        <v>1462</v>
      </c>
    </row>
    <row r="433" spans="1:1" x14ac:dyDescent="0.25">
      <c r="A433" s="61" t="s">
        <v>332</v>
      </c>
    </row>
    <row r="434" spans="1:1" x14ac:dyDescent="0.25">
      <c r="A434" s="61" t="s">
        <v>332</v>
      </c>
    </row>
    <row r="435" spans="1:1" x14ac:dyDescent="0.25">
      <c r="A435" s="61" t="s">
        <v>332</v>
      </c>
    </row>
    <row r="436" spans="1:1" x14ac:dyDescent="0.25">
      <c r="A436" s="61" t="s">
        <v>332</v>
      </c>
    </row>
    <row r="437" spans="1:1" x14ac:dyDescent="0.25">
      <c r="A437" s="61" t="s">
        <v>332</v>
      </c>
    </row>
    <row r="438" spans="1:1" x14ac:dyDescent="0.25">
      <c r="A438" s="61" t="s">
        <v>332</v>
      </c>
    </row>
    <row r="439" spans="1:1" x14ac:dyDescent="0.25">
      <c r="A439" s="61" t="s">
        <v>332</v>
      </c>
    </row>
    <row r="440" spans="1:1" x14ac:dyDescent="0.25">
      <c r="A440" s="61" t="s">
        <v>332</v>
      </c>
    </row>
    <row r="441" spans="1:1" x14ac:dyDescent="0.25">
      <c r="A441" s="61" t="s">
        <v>553</v>
      </c>
    </row>
    <row r="442" spans="1:1" x14ac:dyDescent="0.25">
      <c r="A442" s="61" t="s">
        <v>553</v>
      </c>
    </row>
    <row r="443" spans="1:1" ht="30" x14ac:dyDescent="0.25">
      <c r="A443" s="61" t="s">
        <v>1490</v>
      </c>
    </row>
    <row r="444" spans="1:1" x14ac:dyDescent="0.25">
      <c r="A444" s="61" t="s">
        <v>1496</v>
      </c>
    </row>
    <row r="445" spans="1:1" x14ac:dyDescent="0.25">
      <c r="A445" s="61" t="s">
        <v>612</v>
      </c>
    </row>
    <row r="446" spans="1:1" x14ac:dyDescent="0.25">
      <c r="A446" s="61" t="s">
        <v>916</v>
      </c>
    </row>
    <row r="447" spans="1:1" x14ac:dyDescent="0.25">
      <c r="A447" s="61" t="s">
        <v>916</v>
      </c>
    </row>
    <row r="448" spans="1:1" x14ac:dyDescent="0.25">
      <c r="A448" s="61" t="s">
        <v>1512</v>
      </c>
    </row>
    <row r="449" spans="1:1" x14ac:dyDescent="0.25">
      <c r="A449" s="61" t="s">
        <v>1512</v>
      </c>
    </row>
    <row r="450" spans="1:1" x14ac:dyDescent="0.25">
      <c r="A450" s="61" t="s">
        <v>1117</v>
      </c>
    </row>
    <row r="451" spans="1:1" x14ac:dyDescent="0.25">
      <c r="A451" s="61" t="s">
        <v>1521</v>
      </c>
    </row>
    <row r="452" spans="1:1" x14ac:dyDescent="0.25">
      <c r="A452" s="61" t="s">
        <v>1521</v>
      </c>
    </row>
    <row r="453" spans="1:1" x14ac:dyDescent="0.25">
      <c r="A453" s="61" t="s">
        <v>1521</v>
      </c>
    </row>
    <row r="454" spans="1:1" x14ac:dyDescent="0.25">
      <c r="A454" s="61" t="s">
        <v>959</v>
      </c>
    </row>
    <row r="455" spans="1:1" x14ac:dyDescent="0.25">
      <c r="A455" s="61" t="s">
        <v>959</v>
      </c>
    </row>
    <row r="456" spans="1:1" x14ac:dyDescent="0.25">
      <c r="A456" s="61" t="s">
        <v>527</v>
      </c>
    </row>
    <row r="457" spans="1:1" x14ac:dyDescent="0.25">
      <c r="A457" s="61" t="s">
        <v>527</v>
      </c>
    </row>
    <row r="458" spans="1:1" x14ac:dyDescent="0.25">
      <c r="A458" s="52" t="s">
        <v>527</v>
      </c>
    </row>
    <row r="459" spans="1:1" x14ac:dyDescent="0.25">
      <c r="A459" s="61" t="s">
        <v>1548</v>
      </c>
    </row>
    <row r="460" spans="1:1" ht="30" x14ac:dyDescent="0.25">
      <c r="A460" s="61" t="s">
        <v>1552</v>
      </c>
    </row>
    <row r="461" spans="1:1" ht="30" x14ac:dyDescent="0.25">
      <c r="A461" s="61" t="s">
        <v>1552</v>
      </c>
    </row>
    <row r="462" spans="1:1" x14ac:dyDescent="0.25">
      <c r="A462" s="61" t="s">
        <v>1112</v>
      </c>
    </row>
    <row r="463" spans="1:1" x14ac:dyDescent="0.25">
      <c r="A463" s="61" t="s">
        <v>959</v>
      </c>
    </row>
    <row r="464" spans="1:1" x14ac:dyDescent="0.25">
      <c r="A464" s="61" t="s">
        <v>959</v>
      </c>
    </row>
    <row r="465" spans="1:1" x14ac:dyDescent="0.25">
      <c r="A465" s="61" t="s">
        <v>959</v>
      </c>
    </row>
    <row r="466" spans="1:1" x14ac:dyDescent="0.25">
      <c r="A466" s="52" t="s">
        <v>1077</v>
      </c>
    </row>
    <row r="467" spans="1:1" x14ac:dyDescent="0.25">
      <c r="A467" s="52" t="s">
        <v>1077</v>
      </c>
    </row>
    <row r="468" spans="1:1" x14ac:dyDescent="0.25">
      <c r="A468" s="52" t="s">
        <v>1077</v>
      </c>
    </row>
    <row r="469" spans="1:1" x14ac:dyDescent="0.25">
      <c r="A469" s="52" t="s">
        <v>1077</v>
      </c>
    </row>
    <row r="470" spans="1:1" x14ac:dyDescent="0.25">
      <c r="A470" s="61" t="s">
        <v>332</v>
      </c>
    </row>
    <row r="471" spans="1:1" x14ac:dyDescent="0.25">
      <c r="A471" s="61" t="s">
        <v>332</v>
      </c>
    </row>
    <row r="472" spans="1:1" x14ac:dyDescent="0.25">
      <c r="A472" s="61" t="s">
        <v>332</v>
      </c>
    </row>
    <row r="473" spans="1:1" x14ac:dyDescent="0.25">
      <c r="A473" s="61" t="s">
        <v>332</v>
      </c>
    </row>
    <row r="474" spans="1:1" x14ac:dyDescent="0.25">
      <c r="A474" s="61" t="s">
        <v>1600</v>
      </c>
    </row>
    <row r="475" spans="1:1" x14ac:dyDescent="0.25">
      <c r="A475" s="61" t="s">
        <v>332</v>
      </c>
    </row>
    <row r="476" spans="1:1" x14ac:dyDescent="0.25">
      <c r="A476" s="61" t="s">
        <v>332</v>
      </c>
    </row>
    <row r="477" spans="1:1" x14ac:dyDescent="0.25">
      <c r="A477" s="61" t="s">
        <v>332</v>
      </c>
    </row>
    <row r="478" spans="1:1" x14ac:dyDescent="0.25">
      <c r="A478" s="61" t="s">
        <v>332</v>
      </c>
    </row>
    <row r="479" spans="1:1" x14ac:dyDescent="0.25">
      <c r="A479" s="61" t="s">
        <v>332</v>
      </c>
    </row>
    <row r="480" spans="1:1" x14ac:dyDescent="0.25">
      <c r="A480" s="61" t="s">
        <v>332</v>
      </c>
    </row>
    <row r="481" spans="1:1" x14ac:dyDescent="0.25">
      <c r="A481" s="61" t="s">
        <v>332</v>
      </c>
    </row>
    <row r="482" spans="1:1" x14ac:dyDescent="0.25">
      <c r="A482" s="61" t="s">
        <v>332</v>
      </c>
    </row>
    <row r="483" spans="1:1" x14ac:dyDescent="0.25">
      <c r="A483" s="61" t="s">
        <v>332</v>
      </c>
    </row>
    <row r="484" spans="1:1" x14ac:dyDescent="0.25">
      <c r="A484" s="61" t="s">
        <v>332</v>
      </c>
    </row>
    <row r="485" spans="1:1" x14ac:dyDescent="0.25">
      <c r="A485" s="61" t="s">
        <v>332</v>
      </c>
    </row>
    <row r="486" spans="1:1" x14ac:dyDescent="0.25">
      <c r="A486" s="61" t="s">
        <v>332</v>
      </c>
    </row>
    <row r="487" spans="1:1" x14ac:dyDescent="0.25">
      <c r="A487" s="61" t="s">
        <v>527</v>
      </c>
    </row>
    <row r="488" spans="1:1" x14ac:dyDescent="0.25">
      <c r="A488" s="61" t="s">
        <v>527</v>
      </c>
    </row>
    <row r="489" spans="1:1" x14ac:dyDescent="0.25">
      <c r="A489" s="61" t="s">
        <v>527</v>
      </c>
    </row>
    <row r="490" spans="1:1" x14ac:dyDescent="0.25">
      <c r="A490" s="61" t="s">
        <v>527</v>
      </c>
    </row>
    <row r="491" spans="1:1" x14ac:dyDescent="0.25">
      <c r="A491" s="61" t="s">
        <v>527</v>
      </c>
    </row>
    <row r="492" spans="1:1" x14ac:dyDescent="0.25">
      <c r="A492" s="61" t="s">
        <v>332</v>
      </c>
    </row>
    <row r="493" spans="1:1" x14ac:dyDescent="0.25">
      <c r="A493" s="61" t="s">
        <v>332</v>
      </c>
    </row>
    <row r="494" spans="1:1" x14ac:dyDescent="0.25">
      <c r="A494" s="61" t="s">
        <v>332</v>
      </c>
    </row>
    <row r="495" spans="1:1" ht="30" x14ac:dyDescent="0.25">
      <c r="A495" s="61" t="s">
        <v>1660</v>
      </c>
    </row>
    <row r="496" spans="1:1" x14ac:dyDescent="0.25">
      <c r="A496" s="61" t="s">
        <v>332</v>
      </c>
    </row>
    <row r="497" spans="1:1" x14ac:dyDescent="0.25">
      <c r="A497" s="61" t="s">
        <v>332</v>
      </c>
    </row>
    <row r="498" spans="1:1" x14ac:dyDescent="0.25">
      <c r="A498" s="61" t="s">
        <v>332</v>
      </c>
    </row>
    <row r="499" spans="1:1" x14ac:dyDescent="0.25">
      <c r="A499" s="61" t="s">
        <v>332</v>
      </c>
    </row>
    <row r="500" spans="1:1" x14ac:dyDescent="0.25">
      <c r="A500" s="61" t="s">
        <v>332</v>
      </c>
    </row>
    <row r="501" spans="1:1" x14ac:dyDescent="0.25">
      <c r="A501" s="61" t="s">
        <v>332</v>
      </c>
    </row>
    <row r="502" spans="1:1" x14ac:dyDescent="0.25">
      <c r="A502" s="61" t="s">
        <v>1676</v>
      </c>
    </row>
    <row r="503" spans="1:1" ht="30" x14ac:dyDescent="0.25">
      <c r="A503" s="61" t="s">
        <v>1490</v>
      </c>
    </row>
    <row r="504" spans="1:1" x14ac:dyDescent="0.25">
      <c r="A504" s="61" t="s">
        <v>332</v>
      </c>
    </row>
    <row r="505" spans="1:1" x14ac:dyDescent="0.25">
      <c r="A505" s="61" t="s">
        <v>1690</v>
      </c>
    </row>
    <row r="506" spans="1:1" x14ac:dyDescent="0.25">
      <c r="A506" s="61" t="s">
        <v>959</v>
      </c>
    </row>
    <row r="507" spans="1:1" x14ac:dyDescent="0.25">
      <c r="A507" s="61" t="s">
        <v>959</v>
      </c>
    </row>
    <row r="508" spans="1:1" x14ac:dyDescent="0.25">
      <c r="A508" s="61" t="s">
        <v>959</v>
      </c>
    </row>
    <row r="509" spans="1:1" ht="30" x14ac:dyDescent="0.25">
      <c r="A509" s="61" t="s">
        <v>1660</v>
      </c>
    </row>
    <row r="510" spans="1:1" x14ac:dyDescent="0.25">
      <c r="A510" s="61" t="s">
        <v>332</v>
      </c>
    </row>
    <row r="511" spans="1:1" x14ac:dyDescent="0.25">
      <c r="A511" s="61" t="s">
        <v>959</v>
      </c>
    </row>
    <row r="512" spans="1:1" ht="30" x14ac:dyDescent="0.25">
      <c r="A512" s="61" t="s">
        <v>1712</v>
      </c>
    </row>
    <row r="513" spans="1:1" x14ac:dyDescent="0.25">
      <c r="A513" s="61" t="s">
        <v>1716</v>
      </c>
    </row>
    <row r="514" spans="1:1" x14ac:dyDescent="0.25">
      <c r="A514" s="61" t="s">
        <v>332</v>
      </c>
    </row>
    <row r="515" spans="1:1" x14ac:dyDescent="0.25">
      <c r="A515" s="61" t="s">
        <v>1724</v>
      </c>
    </row>
    <row r="516" spans="1:1" x14ac:dyDescent="0.25">
      <c r="A516" s="61" t="s">
        <v>1724</v>
      </c>
    </row>
    <row r="517" spans="1:1" x14ac:dyDescent="0.25">
      <c r="A517" s="61" t="s">
        <v>1676</v>
      </c>
    </row>
    <row r="518" spans="1:1" x14ac:dyDescent="0.25">
      <c r="A518" s="61" t="s">
        <v>332</v>
      </c>
    </row>
    <row r="519" spans="1:1" x14ac:dyDescent="0.25">
      <c r="A519" s="61" t="s">
        <v>1736</v>
      </c>
    </row>
    <row r="520" spans="1:1" x14ac:dyDescent="0.25">
      <c r="A520" s="61" t="s">
        <v>1724</v>
      </c>
    </row>
    <row r="521" spans="1:1" x14ac:dyDescent="0.25">
      <c r="A521" s="61" t="s">
        <v>1742</v>
      </c>
    </row>
    <row r="522" spans="1:1" x14ac:dyDescent="0.25">
      <c r="A522" s="61" t="s">
        <v>1724</v>
      </c>
    </row>
    <row r="523" spans="1:1" x14ac:dyDescent="0.25">
      <c r="A523" s="61" t="s">
        <v>1724</v>
      </c>
    </row>
    <row r="524" spans="1:1" x14ac:dyDescent="0.25">
      <c r="A524" s="61" t="s">
        <v>1724</v>
      </c>
    </row>
    <row r="525" spans="1:1" x14ac:dyDescent="0.25">
      <c r="A525" s="61" t="s">
        <v>332</v>
      </c>
    </row>
    <row r="526" spans="1:1" x14ac:dyDescent="0.25">
      <c r="A526" s="61" t="s">
        <v>1724</v>
      </c>
    </row>
    <row r="527" spans="1:1" x14ac:dyDescent="0.25">
      <c r="A527" s="61" t="s">
        <v>1762</v>
      </c>
    </row>
    <row r="528" spans="1:1" x14ac:dyDescent="0.25">
      <c r="A528" s="61" t="s">
        <v>1762</v>
      </c>
    </row>
    <row r="529" spans="1:1" x14ac:dyDescent="0.25">
      <c r="A529" s="61" t="s">
        <v>1772</v>
      </c>
    </row>
    <row r="530" spans="1:1" x14ac:dyDescent="0.25">
      <c r="A530" s="61" t="s">
        <v>1778</v>
      </c>
    </row>
    <row r="531" spans="1:1" x14ac:dyDescent="0.25">
      <c r="A531" s="61" t="s">
        <v>1783</v>
      </c>
    </row>
    <row r="532" spans="1:1" ht="30" x14ac:dyDescent="0.25">
      <c r="A532" s="61" t="s">
        <v>1787</v>
      </c>
    </row>
    <row r="533" spans="1:1" x14ac:dyDescent="0.25">
      <c r="A533" s="61" t="s">
        <v>1791</v>
      </c>
    </row>
    <row r="534" spans="1:1" x14ac:dyDescent="0.25">
      <c r="A534" s="61" t="s">
        <v>1724</v>
      </c>
    </row>
    <row r="535" spans="1:1" x14ac:dyDescent="0.25">
      <c r="A535" s="61" t="s">
        <v>612</v>
      </c>
    </row>
    <row r="536" spans="1:1" x14ac:dyDescent="0.25">
      <c r="A536" s="61" t="s">
        <v>1802</v>
      </c>
    </row>
    <row r="537" spans="1:1" x14ac:dyDescent="0.25">
      <c r="A537" s="61" t="s">
        <v>1736</v>
      </c>
    </row>
    <row r="538" spans="1:1" x14ac:dyDescent="0.25">
      <c r="A538" s="52" t="s">
        <v>527</v>
      </c>
    </row>
    <row r="539" spans="1:1" x14ac:dyDescent="0.25">
      <c r="A539" s="52" t="s">
        <v>527</v>
      </c>
    </row>
    <row r="540" spans="1:1" ht="30" x14ac:dyDescent="0.25">
      <c r="A540" s="61" t="s">
        <v>1815</v>
      </c>
    </row>
    <row r="541" spans="1:1" x14ac:dyDescent="0.25">
      <c r="A541" s="61" t="s">
        <v>332</v>
      </c>
    </row>
    <row r="542" spans="1:1" x14ac:dyDescent="0.25">
      <c r="A542" s="61" t="s">
        <v>332</v>
      </c>
    </row>
    <row r="543" spans="1:1" x14ac:dyDescent="0.25">
      <c r="A543" s="61" t="s">
        <v>332</v>
      </c>
    </row>
    <row r="544" spans="1:1" x14ac:dyDescent="0.25">
      <c r="A544" s="61" t="s">
        <v>332</v>
      </c>
    </row>
    <row r="545" spans="1:1" x14ac:dyDescent="0.25">
      <c r="A545" s="61" t="s">
        <v>332</v>
      </c>
    </row>
    <row r="546" spans="1:1" x14ac:dyDescent="0.25">
      <c r="A546" s="61" t="s">
        <v>332</v>
      </c>
    </row>
    <row r="547" spans="1:1" x14ac:dyDescent="0.25">
      <c r="A547" s="61" t="s">
        <v>332</v>
      </c>
    </row>
    <row r="548" spans="1:1" ht="30" x14ac:dyDescent="0.25">
      <c r="A548" s="61" t="s">
        <v>1836</v>
      </c>
    </row>
    <row r="549" spans="1:1" x14ac:dyDescent="0.25">
      <c r="A549" s="61" t="s">
        <v>1843</v>
      </c>
    </row>
    <row r="550" spans="1:1" x14ac:dyDescent="0.25">
      <c r="A550" s="52" t="s">
        <v>527</v>
      </c>
    </row>
    <row r="551" spans="1:1" x14ac:dyDescent="0.25">
      <c r="A551" s="52" t="s">
        <v>527</v>
      </c>
    </row>
    <row r="552" spans="1:1" x14ac:dyDescent="0.25">
      <c r="A552" s="61" t="s">
        <v>1851</v>
      </c>
    </row>
    <row r="553" spans="1:1" x14ac:dyDescent="0.25">
      <c r="A553" s="61" t="s">
        <v>332</v>
      </c>
    </row>
    <row r="554" spans="1:1" x14ac:dyDescent="0.25">
      <c r="A554" s="61" t="s">
        <v>332</v>
      </c>
    </row>
    <row r="555" spans="1:1" ht="30" x14ac:dyDescent="0.25">
      <c r="A555" s="61" t="s">
        <v>1859</v>
      </c>
    </row>
    <row r="556" spans="1:1" x14ac:dyDescent="0.25">
      <c r="A556" s="61" t="s">
        <v>332</v>
      </c>
    </row>
    <row r="557" spans="1:1" x14ac:dyDescent="0.25">
      <c r="A557" s="61" t="s">
        <v>332</v>
      </c>
    </row>
    <row r="558" spans="1:1" x14ac:dyDescent="0.25">
      <c r="A558" s="61" t="s">
        <v>169</v>
      </c>
    </row>
    <row r="559" spans="1:1" x14ac:dyDescent="0.25">
      <c r="A559" s="61" t="s">
        <v>195</v>
      </c>
    </row>
    <row r="560" spans="1:1" x14ac:dyDescent="0.25">
      <c r="A560" s="61" t="s">
        <v>195</v>
      </c>
    </row>
    <row r="561" spans="1:1" x14ac:dyDescent="0.25">
      <c r="A561" s="61" t="s">
        <v>195</v>
      </c>
    </row>
    <row r="562" spans="1:1" x14ac:dyDescent="0.25">
      <c r="A562" s="61" t="s">
        <v>195</v>
      </c>
    </row>
    <row r="563" spans="1:1" x14ac:dyDescent="0.25">
      <c r="A563" s="61" t="s">
        <v>195</v>
      </c>
    </row>
    <row r="564" spans="1:1" x14ac:dyDescent="0.25">
      <c r="A564" s="61" t="s">
        <v>169</v>
      </c>
    </row>
    <row r="565" spans="1:1" x14ac:dyDescent="0.25">
      <c r="A565" s="61" t="s">
        <v>1736</v>
      </c>
    </row>
    <row r="566" spans="1:1" x14ac:dyDescent="0.25">
      <c r="A566" s="61" t="s">
        <v>1742</v>
      </c>
    </row>
    <row r="567" spans="1:1" x14ac:dyDescent="0.25">
      <c r="A567" s="61" t="s">
        <v>332</v>
      </c>
    </row>
    <row r="568" spans="1:1" ht="30" x14ac:dyDescent="0.25">
      <c r="A568" s="61" t="s">
        <v>1897</v>
      </c>
    </row>
    <row r="569" spans="1:1" x14ac:dyDescent="0.25">
      <c r="A569" s="61" t="s">
        <v>1902</v>
      </c>
    </row>
    <row r="570" spans="1:1" x14ac:dyDescent="0.25">
      <c r="A570" s="61" t="s">
        <v>169</v>
      </c>
    </row>
    <row r="571" spans="1:1" ht="30" x14ac:dyDescent="0.25">
      <c r="A571" s="61" t="s">
        <v>1910</v>
      </c>
    </row>
    <row r="572" spans="1:1" x14ac:dyDescent="0.25">
      <c r="A572" s="61" t="s">
        <v>1851</v>
      </c>
    </row>
    <row r="573" spans="1:1" x14ac:dyDescent="0.25">
      <c r="A573" s="61" t="s">
        <v>1851</v>
      </c>
    </row>
    <row r="574" spans="1:1" x14ac:dyDescent="0.25">
      <c r="A574" s="61" t="s">
        <v>332</v>
      </c>
    </row>
    <row r="575" spans="1:1" x14ac:dyDescent="0.25">
      <c r="A575" s="61" t="s">
        <v>332</v>
      </c>
    </row>
    <row r="576" spans="1:1" x14ac:dyDescent="0.25">
      <c r="A576" s="61" t="s">
        <v>1927</v>
      </c>
    </row>
    <row r="577" spans="1:1" x14ac:dyDescent="0.25">
      <c r="A577" s="61" t="s">
        <v>1927</v>
      </c>
    </row>
    <row r="578" spans="1:1" x14ac:dyDescent="0.25">
      <c r="A578" s="61" t="s">
        <v>1724</v>
      </c>
    </row>
    <row r="579" spans="1:1" x14ac:dyDescent="0.25">
      <c r="A579" s="61" t="s">
        <v>1935</v>
      </c>
    </row>
    <row r="580" spans="1:1" x14ac:dyDescent="0.25">
      <c r="A580" s="61" t="s">
        <v>1935</v>
      </c>
    </row>
    <row r="581" spans="1:1" x14ac:dyDescent="0.25">
      <c r="A581" s="61" t="s">
        <v>1935</v>
      </c>
    </row>
    <row r="582" spans="1:1" x14ac:dyDescent="0.25">
      <c r="A582" s="61" t="s">
        <v>1946</v>
      </c>
    </row>
    <row r="583" spans="1:1" x14ac:dyDescent="0.25">
      <c r="A583" s="61" t="s">
        <v>1950</v>
      </c>
    </row>
    <row r="584" spans="1:1" ht="30" x14ac:dyDescent="0.25">
      <c r="A584" s="61" t="s">
        <v>1815</v>
      </c>
    </row>
    <row r="585" spans="1:1" x14ac:dyDescent="0.25">
      <c r="A585" s="61" t="s">
        <v>1959</v>
      </c>
    </row>
    <row r="586" spans="1:1" x14ac:dyDescent="0.25">
      <c r="A586" s="61" t="s">
        <v>1959</v>
      </c>
    </row>
    <row r="587" spans="1:1" x14ac:dyDescent="0.25">
      <c r="A587" s="61" t="s">
        <v>1959</v>
      </c>
    </row>
    <row r="588" spans="1:1" ht="30" x14ac:dyDescent="0.25">
      <c r="A588" s="61" t="s">
        <v>1973</v>
      </c>
    </row>
    <row r="589" spans="1:1" x14ac:dyDescent="0.25">
      <c r="A589" s="61" t="s">
        <v>1977</v>
      </c>
    </row>
    <row r="590" spans="1:1" x14ac:dyDescent="0.25">
      <c r="A590" s="61" t="s">
        <v>1736</v>
      </c>
    </row>
    <row r="591" spans="1:1" x14ac:dyDescent="0.25">
      <c r="A591" s="61" t="s">
        <v>195</v>
      </c>
    </row>
    <row r="592" spans="1:1" x14ac:dyDescent="0.25">
      <c r="A592" s="61" t="s">
        <v>1902</v>
      </c>
    </row>
    <row r="593" spans="1:1" x14ac:dyDescent="0.25">
      <c r="A593" s="61" t="s">
        <v>1902</v>
      </c>
    </row>
    <row r="594" spans="1:1" x14ac:dyDescent="0.25">
      <c r="A594" s="61" t="s">
        <v>1902</v>
      </c>
    </row>
    <row r="595" spans="1:1" x14ac:dyDescent="0.25">
      <c r="A595" s="61" t="s">
        <v>1902</v>
      </c>
    </row>
    <row r="596" spans="1:1" x14ac:dyDescent="0.25">
      <c r="A596" s="61" t="s">
        <v>1902</v>
      </c>
    </row>
    <row r="597" spans="1:1" x14ac:dyDescent="0.25">
      <c r="A597" s="61" t="s">
        <v>1902</v>
      </c>
    </row>
    <row r="598" spans="1:1" x14ac:dyDescent="0.25">
      <c r="A598" s="61" t="s">
        <v>1902</v>
      </c>
    </row>
    <row r="599" spans="1:1" x14ac:dyDescent="0.25">
      <c r="A599" s="61" t="s">
        <v>1902</v>
      </c>
    </row>
    <row r="600" spans="1:1" x14ac:dyDescent="0.25">
      <c r="A600" s="61" t="s">
        <v>1902</v>
      </c>
    </row>
    <row r="601" spans="1:1" x14ac:dyDescent="0.25">
      <c r="A601" s="61" t="s">
        <v>2008</v>
      </c>
    </row>
    <row r="602" spans="1:1" x14ac:dyDescent="0.25">
      <c r="A602" s="61" t="s">
        <v>2008</v>
      </c>
    </row>
    <row r="603" spans="1:1" x14ac:dyDescent="0.25">
      <c r="A603" s="61" t="s">
        <v>1977</v>
      </c>
    </row>
    <row r="604" spans="1:1" x14ac:dyDescent="0.25">
      <c r="A604" s="61" t="s">
        <v>1742</v>
      </c>
    </row>
    <row r="605" spans="1:1" x14ac:dyDescent="0.25">
      <c r="A605" s="61" t="s">
        <v>1902</v>
      </c>
    </row>
    <row r="606" spans="1:1" x14ac:dyDescent="0.25">
      <c r="A606" s="61" t="s">
        <v>1902</v>
      </c>
    </row>
    <row r="607" spans="1:1" x14ac:dyDescent="0.25">
      <c r="A607" s="61" t="s">
        <v>1902</v>
      </c>
    </row>
    <row r="608" spans="1:1" x14ac:dyDescent="0.25">
      <c r="A608" s="61" t="s">
        <v>1902</v>
      </c>
    </row>
    <row r="609" spans="1:1" x14ac:dyDescent="0.25">
      <c r="A609" s="61" t="s">
        <v>1902</v>
      </c>
    </row>
    <row r="610" spans="1:1" x14ac:dyDescent="0.25">
      <c r="A610" s="61" t="s">
        <v>1902</v>
      </c>
    </row>
    <row r="611" spans="1:1" x14ac:dyDescent="0.25">
      <c r="A611" s="61" t="s">
        <v>1902</v>
      </c>
    </row>
    <row r="612" spans="1:1" x14ac:dyDescent="0.25">
      <c r="A612" s="61" t="s">
        <v>1902</v>
      </c>
    </row>
    <row r="613" spans="1:1" x14ac:dyDescent="0.25">
      <c r="A613" s="61" t="s">
        <v>1902</v>
      </c>
    </row>
    <row r="614" spans="1:1" x14ac:dyDescent="0.25">
      <c r="A614" s="61" t="s">
        <v>1902</v>
      </c>
    </row>
    <row r="615" spans="1:1" x14ac:dyDescent="0.25">
      <c r="A615" s="61" t="s">
        <v>1902</v>
      </c>
    </row>
    <row r="616" spans="1:1" x14ac:dyDescent="0.25">
      <c r="A616" s="61" t="s">
        <v>1977</v>
      </c>
    </row>
    <row r="617" spans="1:1" x14ac:dyDescent="0.25">
      <c r="A617" s="61" t="s">
        <v>1902</v>
      </c>
    </row>
    <row r="618" spans="1:1" x14ac:dyDescent="0.25">
      <c r="A618" s="61" t="s">
        <v>1902</v>
      </c>
    </row>
    <row r="619" spans="1:1" x14ac:dyDescent="0.25">
      <c r="A619" s="61" t="s">
        <v>2056</v>
      </c>
    </row>
    <row r="620" spans="1:1" x14ac:dyDescent="0.25">
      <c r="A620" s="61" t="s">
        <v>2056</v>
      </c>
    </row>
    <row r="621" spans="1:1" x14ac:dyDescent="0.25">
      <c r="A621" s="61" t="s">
        <v>2066</v>
      </c>
    </row>
    <row r="622" spans="1:1" x14ac:dyDescent="0.25">
      <c r="A622" s="61" t="s">
        <v>169</v>
      </c>
    </row>
    <row r="623" spans="1:1" x14ac:dyDescent="0.25">
      <c r="A623" s="61" t="s">
        <v>1902</v>
      </c>
    </row>
    <row r="624" spans="1:1" x14ac:dyDescent="0.25">
      <c r="A624" s="61" t="s">
        <v>1902</v>
      </c>
    </row>
    <row r="625" spans="1:1" x14ac:dyDescent="0.25">
      <c r="A625" s="61" t="s">
        <v>2078</v>
      </c>
    </row>
    <row r="626" spans="1:1" x14ac:dyDescent="0.25">
      <c r="A626" s="61" t="s">
        <v>2081</v>
      </c>
    </row>
    <row r="627" spans="1:1" x14ac:dyDescent="0.25">
      <c r="A627" s="61" t="s">
        <v>2081</v>
      </c>
    </row>
    <row r="628" spans="1:1" x14ac:dyDescent="0.25">
      <c r="A628" s="61" t="s">
        <v>2081</v>
      </c>
    </row>
    <row r="629" spans="1:1" x14ac:dyDescent="0.25">
      <c r="A629" s="61" t="s">
        <v>2081</v>
      </c>
    </row>
    <row r="630" spans="1:1" x14ac:dyDescent="0.25">
      <c r="A630" s="61" t="s">
        <v>2081</v>
      </c>
    </row>
    <row r="631" spans="1:1" x14ac:dyDescent="0.25">
      <c r="A631" s="61" t="s">
        <v>2081</v>
      </c>
    </row>
    <row r="632" spans="1:1" x14ac:dyDescent="0.25">
      <c r="A632" s="61" t="s">
        <v>2081</v>
      </c>
    </row>
    <row r="633" spans="1:1" x14ac:dyDescent="0.25">
      <c r="A633" s="61" t="s">
        <v>2081</v>
      </c>
    </row>
    <row r="634" spans="1:1" x14ac:dyDescent="0.25">
      <c r="A634" s="61" t="s">
        <v>2081</v>
      </c>
    </row>
    <row r="635" spans="1:1" x14ac:dyDescent="0.25">
      <c r="A635" s="61" t="s">
        <v>2081</v>
      </c>
    </row>
    <row r="636" spans="1:1" x14ac:dyDescent="0.25">
      <c r="A636" s="61" t="s">
        <v>2081</v>
      </c>
    </row>
    <row r="637" spans="1:1" x14ac:dyDescent="0.25">
      <c r="A637" s="61" t="s">
        <v>1902</v>
      </c>
    </row>
    <row r="638" spans="1:1" x14ac:dyDescent="0.25">
      <c r="A638" s="61" t="s">
        <v>1902</v>
      </c>
    </row>
    <row r="639" spans="1:1" x14ac:dyDescent="0.25">
      <c r="A639" s="61" t="s">
        <v>1101</v>
      </c>
    </row>
    <row r="640" spans="1:1" x14ac:dyDescent="0.25">
      <c r="A640" s="61" t="s">
        <v>2113</v>
      </c>
    </row>
    <row r="641" spans="1:1" x14ac:dyDescent="0.25">
      <c r="A641" s="61" t="s">
        <v>527</v>
      </c>
    </row>
    <row r="642" spans="1:1" x14ac:dyDescent="0.25">
      <c r="A642" s="61" t="s">
        <v>1902</v>
      </c>
    </row>
    <row r="643" spans="1:1" x14ac:dyDescent="0.25">
      <c r="A643" s="61" t="s">
        <v>332</v>
      </c>
    </row>
    <row r="644" spans="1:1" x14ac:dyDescent="0.25">
      <c r="A644" s="61" t="s">
        <v>2126</v>
      </c>
    </row>
    <row r="645" spans="1:1" x14ac:dyDescent="0.25">
      <c r="A645" s="61" t="s">
        <v>527</v>
      </c>
    </row>
    <row r="646" spans="1:1" x14ac:dyDescent="0.25">
      <c r="A646" s="61" t="s">
        <v>2132</v>
      </c>
    </row>
    <row r="647" spans="1:1" x14ac:dyDescent="0.25">
      <c r="A647" s="61" t="s">
        <v>1902</v>
      </c>
    </row>
    <row r="648" spans="1:1" x14ac:dyDescent="0.25">
      <c r="A648" s="61" t="s">
        <v>2139</v>
      </c>
    </row>
    <row r="649" spans="1:1" x14ac:dyDescent="0.25">
      <c r="A649" s="61" t="s">
        <v>1977</v>
      </c>
    </row>
    <row r="650" spans="1:1" x14ac:dyDescent="0.25">
      <c r="A650" s="61" t="s">
        <v>2078</v>
      </c>
    </row>
    <row r="651" spans="1:1" x14ac:dyDescent="0.25">
      <c r="A651" s="61" t="s">
        <v>2150</v>
      </c>
    </row>
    <row r="652" spans="1:1" x14ac:dyDescent="0.25">
      <c r="A652" s="61" t="s">
        <v>2158</v>
      </c>
    </row>
    <row r="653" spans="1:1" x14ac:dyDescent="0.25">
      <c r="A653" s="61" t="s">
        <v>2163</v>
      </c>
    </row>
    <row r="654" spans="1:1" x14ac:dyDescent="0.25">
      <c r="A654" s="61" t="s">
        <v>2150</v>
      </c>
    </row>
    <row r="655" spans="1:1" x14ac:dyDescent="0.25">
      <c r="A655" s="61" t="s">
        <v>2150</v>
      </c>
    </row>
    <row r="656" spans="1:1" x14ac:dyDescent="0.25">
      <c r="A656" s="61" t="s">
        <v>2173</v>
      </c>
    </row>
    <row r="657" spans="1:1" x14ac:dyDescent="0.25">
      <c r="A657" s="61" t="s">
        <v>2173</v>
      </c>
    </row>
    <row r="658" spans="1:1" x14ac:dyDescent="0.25">
      <c r="A658" s="61" t="s">
        <v>2066</v>
      </c>
    </row>
    <row r="659" spans="1:1" x14ac:dyDescent="0.25">
      <c r="A659" s="61" t="s">
        <v>2066</v>
      </c>
    </row>
    <row r="660" spans="1:1" x14ac:dyDescent="0.25">
      <c r="A660" s="61" t="s">
        <v>2150</v>
      </c>
    </row>
    <row r="661" spans="1:1" x14ac:dyDescent="0.25">
      <c r="A661" s="61" t="s">
        <v>2150</v>
      </c>
    </row>
    <row r="662" spans="1:1" x14ac:dyDescent="0.25">
      <c r="A662" s="61" t="s">
        <v>2078</v>
      </c>
    </row>
    <row r="663" spans="1:1" x14ac:dyDescent="0.25">
      <c r="A663" s="61" t="s">
        <v>2150</v>
      </c>
    </row>
    <row r="664" spans="1:1" x14ac:dyDescent="0.25">
      <c r="A664" s="61" t="s">
        <v>2202</v>
      </c>
    </row>
    <row r="665" spans="1:1" ht="30" x14ac:dyDescent="0.25">
      <c r="A665" s="61" t="s">
        <v>2206</v>
      </c>
    </row>
    <row r="666" spans="1:1" x14ac:dyDescent="0.25">
      <c r="A666" s="61" t="s">
        <v>2210</v>
      </c>
    </row>
    <row r="667" spans="1:1" x14ac:dyDescent="0.25">
      <c r="A667" s="61" t="s">
        <v>2214</v>
      </c>
    </row>
    <row r="668" spans="1:1" x14ac:dyDescent="0.25">
      <c r="A668" s="61" t="s">
        <v>2218</v>
      </c>
    </row>
    <row r="669" spans="1:1" x14ac:dyDescent="0.25">
      <c r="A669" s="61" t="s">
        <v>527</v>
      </c>
    </row>
    <row r="670" spans="1:1" x14ac:dyDescent="0.25">
      <c r="A670" s="61" t="s">
        <v>2225</v>
      </c>
    </row>
    <row r="671" spans="1:1" ht="30" x14ac:dyDescent="0.25">
      <c r="A671" s="61" t="s">
        <v>2230</v>
      </c>
    </row>
    <row r="672" spans="1:1" ht="30" x14ac:dyDescent="0.25">
      <c r="A672" s="61" t="s">
        <v>2230</v>
      </c>
    </row>
    <row r="673" spans="1:1" x14ac:dyDescent="0.25">
      <c r="A673" s="61" t="s">
        <v>1959</v>
      </c>
    </row>
    <row r="674" spans="1:1" x14ac:dyDescent="0.25">
      <c r="A674" s="61" t="s">
        <v>1959</v>
      </c>
    </row>
    <row r="675" spans="1:1" x14ac:dyDescent="0.25">
      <c r="A675" s="61" t="s">
        <v>1959</v>
      </c>
    </row>
    <row r="676" spans="1:1" x14ac:dyDescent="0.25">
      <c r="A676" s="61" t="s">
        <v>1902</v>
      </c>
    </row>
    <row r="677" spans="1:1" ht="30" x14ac:dyDescent="0.25">
      <c r="A677" s="61" t="s">
        <v>2255</v>
      </c>
    </row>
    <row r="678" spans="1:1" x14ac:dyDescent="0.25">
      <c r="A678" s="61" t="s">
        <v>1959</v>
      </c>
    </row>
    <row r="679" spans="1:1" x14ac:dyDescent="0.25">
      <c r="A679" s="61" t="s">
        <v>2261</v>
      </c>
    </row>
    <row r="680" spans="1:1" x14ac:dyDescent="0.25">
      <c r="A680" s="61" t="s">
        <v>2210</v>
      </c>
    </row>
    <row r="681" spans="1:1" x14ac:dyDescent="0.25">
      <c r="A681" s="61" t="s">
        <v>2269</v>
      </c>
    </row>
    <row r="682" spans="1:1" x14ac:dyDescent="0.25">
      <c r="A682" s="61" t="s">
        <v>169</v>
      </c>
    </row>
    <row r="683" spans="1:1" x14ac:dyDescent="0.25">
      <c r="A683" s="103" t="s">
        <v>2056</v>
      </c>
    </row>
    <row r="684" spans="1:1" x14ac:dyDescent="0.25">
      <c r="A684" s="103" t="s">
        <v>2056</v>
      </c>
    </row>
    <row r="685" spans="1:1" x14ac:dyDescent="0.25">
      <c r="A685" s="103" t="s">
        <v>2056</v>
      </c>
    </row>
    <row r="686" spans="1:1" x14ac:dyDescent="0.25">
      <c r="A686" s="103" t="s">
        <v>2056</v>
      </c>
    </row>
    <row r="687" spans="1:1" x14ac:dyDescent="0.25">
      <c r="A687" s="61" t="s">
        <v>1902</v>
      </c>
    </row>
    <row r="688" spans="1:1" x14ac:dyDescent="0.25">
      <c r="A688" s="61" t="s">
        <v>2113</v>
      </c>
    </row>
    <row r="689" spans="1:1" x14ac:dyDescent="0.25">
      <c r="A689" s="61" t="s">
        <v>2139</v>
      </c>
    </row>
    <row r="690" spans="1:1" x14ac:dyDescent="0.25">
      <c r="A690" s="61" t="s">
        <v>2173</v>
      </c>
    </row>
    <row r="691" spans="1:1" x14ac:dyDescent="0.25">
      <c r="A691" s="61" t="s">
        <v>2301</v>
      </c>
    </row>
    <row r="692" spans="1:1" x14ac:dyDescent="0.25">
      <c r="A692" s="61" t="s">
        <v>2305</v>
      </c>
    </row>
    <row r="693" spans="1:1" x14ac:dyDescent="0.25">
      <c r="A693" s="61" t="s">
        <v>2305</v>
      </c>
    </row>
    <row r="694" spans="1:1" x14ac:dyDescent="0.25">
      <c r="A694" s="61" t="s">
        <v>2305</v>
      </c>
    </row>
    <row r="695" spans="1:1" ht="30" x14ac:dyDescent="0.25">
      <c r="A695" s="61" t="s">
        <v>2316</v>
      </c>
    </row>
    <row r="696" spans="1:1" ht="30" x14ac:dyDescent="0.25">
      <c r="A696" s="61" t="s">
        <v>2322</v>
      </c>
    </row>
    <row r="697" spans="1:1" ht="30" x14ac:dyDescent="0.25">
      <c r="A697" s="61" t="s">
        <v>2322</v>
      </c>
    </row>
    <row r="698" spans="1:1" x14ac:dyDescent="0.25">
      <c r="A698" s="61" t="s">
        <v>169</v>
      </c>
    </row>
    <row r="699" spans="1:1" x14ac:dyDescent="0.25">
      <c r="A699" s="61" t="s">
        <v>169</v>
      </c>
    </row>
    <row r="700" spans="1:1" x14ac:dyDescent="0.25">
      <c r="A700" s="61" t="s">
        <v>2338</v>
      </c>
    </row>
    <row r="701" spans="1:1" x14ac:dyDescent="0.25">
      <c r="A701" s="61" t="s">
        <v>1724</v>
      </c>
    </row>
    <row r="702" spans="1:1" x14ac:dyDescent="0.25">
      <c r="A702" s="61" t="s">
        <v>1959</v>
      </c>
    </row>
    <row r="703" spans="1:1" x14ac:dyDescent="0.25">
      <c r="A703" s="61" t="s">
        <v>1935</v>
      </c>
    </row>
    <row r="704" spans="1:1" ht="30" x14ac:dyDescent="0.25">
      <c r="A704" s="61" t="s">
        <v>2351</v>
      </c>
    </row>
    <row r="705" spans="1:1" x14ac:dyDescent="0.25">
      <c r="A705" s="61" t="s">
        <v>2355</v>
      </c>
    </row>
    <row r="706" spans="1:1" x14ac:dyDescent="0.25">
      <c r="A706" s="61" t="s">
        <v>2150</v>
      </c>
    </row>
    <row r="707" spans="1:1" x14ac:dyDescent="0.25">
      <c r="A707" s="61" t="s">
        <v>2362</v>
      </c>
    </row>
    <row r="708" spans="1:1" x14ac:dyDescent="0.25">
      <c r="A708" s="61" t="s">
        <v>612</v>
      </c>
    </row>
    <row r="709" spans="1:1" x14ac:dyDescent="0.25">
      <c r="A709" s="61" t="s">
        <v>2370</v>
      </c>
    </row>
    <row r="710" spans="1:1" x14ac:dyDescent="0.25">
      <c r="A710" s="61" t="s">
        <v>332</v>
      </c>
    </row>
    <row r="711" spans="1:1" x14ac:dyDescent="0.25">
      <c r="A711" s="61" t="s">
        <v>332</v>
      </c>
    </row>
    <row r="712" spans="1:1" x14ac:dyDescent="0.25">
      <c r="A712" s="61" t="s">
        <v>332</v>
      </c>
    </row>
    <row r="713" spans="1:1" x14ac:dyDescent="0.25">
      <c r="A713" s="61" t="s">
        <v>332</v>
      </c>
    </row>
    <row r="714" spans="1:1" x14ac:dyDescent="0.25">
      <c r="A714" s="61" t="s">
        <v>1959</v>
      </c>
    </row>
    <row r="715" spans="1:1" x14ac:dyDescent="0.25">
      <c r="A715" s="61" t="s">
        <v>2173</v>
      </c>
    </row>
    <row r="716" spans="1:1" x14ac:dyDescent="0.25">
      <c r="A716" s="61" t="s">
        <v>169</v>
      </c>
    </row>
    <row r="717" spans="1:1" x14ac:dyDescent="0.25">
      <c r="A717" s="61" t="s">
        <v>169</v>
      </c>
    </row>
    <row r="718" spans="1:1" x14ac:dyDescent="0.25">
      <c r="A718" s="61" t="s">
        <v>1736</v>
      </c>
    </row>
    <row r="719" spans="1:1" x14ac:dyDescent="0.25">
      <c r="A719" s="61" t="s">
        <v>2400</v>
      </c>
    </row>
    <row r="720" spans="1:1" ht="30" x14ac:dyDescent="0.25">
      <c r="A720" s="61" t="s">
        <v>2405</v>
      </c>
    </row>
    <row r="721" spans="1:1" x14ac:dyDescent="0.25">
      <c r="A721" s="61" t="s">
        <v>209</v>
      </c>
    </row>
    <row r="722" spans="1:1" x14ac:dyDescent="0.25">
      <c r="A722" s="61" t="s">
        <v>2173</v>
      </c>
    </row>
    <row r="723" spans="1:1" x14ac:dyDescent="0.25">
      <c r="A723" s="61" t="s">
        <v>332</v>
      </c>
    </row>
    <row r="724" spans="1:1" x14ac:dyDescent="0.25">
      <c r="A724" s="61" t="s">
        <v>332</v>
      </c>
    </row>
    <row r="725" spans="1:1" x14ac:dyDescent="0.25">
      <c r="A725" s="61" t="s">
        <v>2419</v>
      </c>
    </row>
    <row r="726" spans="1:1" x14ac:dyDescent="0.25">
      <c r="A726" s="61" t="s">
        <v>2419</v>
      </c>
    </row>
    <row r="727" spans="1:1" x14ac:dyDescent="0.25">
      <c r="A727" s="61" t="s">
        <v>2427</v>
      </c>
    </row>
    <row r="728" spans="1:1" x14ac:dyDescent="0.25">
      <c r="A728" s="61" t="s">
        <v>2427</v>
      </c>
    </row>
    <row r="729" spans="1:1" x14ac:dyDescent="0.25">
      <c r="A729" s="61" t="s">
        <v>2434</v>
      </c>
    </row>
    <row r="730" spans="1:1" x14ac:dyDescent="0.25">
      <c r="A730" s="61" t="s">
        <v>2066</v>
      </c>
    </row>
    <row r="731" spans="1:1" x14ac:dyDescent="0.25">
      <c r="A731" s="61" t="s">
        <v>2442</v>
      </c>
    </row>
    <row r="732" spans="1:1" ht="30" x14ac:dyDescent="0.25">
      <c r="A732" s="61" t="s">
        <v>2446</v>
      </c>
    </row>
    <row r="733" spans="1:1" x14ac:dyDescent="0.25">
      <c r="A733" s="61" t="s">
        <v>2450</v>
      </c>
    </row>
    <row r="734" spans="1:1" x14ac:dyDescent="0.25">
      <c r="A734" s="61" t="s">
        <v>2450</v>
      </c>
    </row>
    <row r="735" spans="1:1" x14ac:dyDescent="0.25">
      <c r="A735" s="61" t="s">
        <v>2450</v>
      </c>
    </row>
    <row r="736" spans="1:1" x14ac:dyDescent="0.25">
      <c r="A736" s="61" t="s">
        <v>2450</v>
      </c>
    </row>
    <row r="737" spans="1:1" x14ac:dyDescent="0.25">
      <c r="A737" s="61" t="s">
        <v>2450</v>
      </c>
    </row>
    <row r="738" spans="1:1" x14ac:dyDescent="0.25">
      <c r="A738" s="61" t="s">
        <v>2450</v>
      </c>
    </row>
    <row r="739" spans="1:1" x14ac:dyDescent="0.25">
      <c r="A739" s="61" t="s">
        <v>2450</v>
      </c>
    </row>
    <row r="740" spans="1:1" x14ac:dyDescent="0.25">
      <c r="A740" s="61" t="s">
        <v>2450</v>
      </c>
    </row>
    <row r="741" spans="1:1" x14ac:dyDescent="0.25">
      <c r="A741" s="61" t="s">
        <v>2450</v>
      </c>
    </row>
    <row r="742" spans="1:1" x14ac:dyDescent="0.25">
      <c r="A742" s="61" t="s">
        <v>2450</v>
      </c>
    </row>
    <row r="743" spans="1:1" x14ac:dyDescent="0.25">
      <c r="A743" s="61" t="s">
        <v>2450</v>
      </c>
    </row>
    <row r="744" spans="1:1" x14ac:dyDescent="0.25">
      <c r="A744" s="61" t="s">
        <v>2450</v>
      </c>
    </row>
    <row r="745" spans="1:1" x14ac:dyDescent="0.25">
      <c r="A745" s="61" t="s">
        <v>2479</v>
      </c>
    </row>
    <row r="746" spans="1:1" x14ac:dyDescent="0.25">
      <c r="A746" s="61" t="s">
        <v>2150</v>
      </c>
    </row>
    <row r="747" spans="1:1" x14ac:dyDescent="0.25">
      <c r="A747" s="61" t="s">
        <v>2487</v>
      </c>
    </row>
    <row r="748" spans="1:1" x14ac:dyDescent="0.25">
      <c r="A748" s="61" t="s">
        <v>2427</v>
      </c>
    </row>
    <row r="749" spans="1:1" x14ac:dyDescent="0.25">
      <c r="A749" s="61" t="s">
        <v>2427</v>
      </c>
    </row>
    <row r="750" spans="1:1" ht="30" x14ac:dyDescent="0.25">
      <c r="A750" s="61" t="s">
        <v>2497</v>
      </c>
    </row>
    <row r="751" spans="1:1" ht="30" x14ac:dyDescent="0.25">
      <c r="A751" s="61" t="s">
        <v>2497</v>
      </c>
    </row>
    <row r="752" spans="1:1" x14ac:dyDescent="0.25">
      <c r="A752" s="61" t="s">
        <v>1959</v>
      </c>
    </row>
    <row r="753" spans="1:1" x14ac:dyDescent="0.25">
      <c r="A753" s="61" t="s">
        <v>2487</v>
      </c>
    </row>
    <row r="754" spans="1:1" x14ac:dyDescent="0.25">
      <c r="A754" s="61" t="s">
        <v>2487</v>
      </c>
    </row>
    <row r="755" spans="1:1" x14ac:dyDescent="0.25">
      <c r="A755" s="61" t="s">
        <v>2514</v>
      </c>
    </row>
    <row r="756" spans="1:1" ht="30" x14ac:dyDescent="0.25">
      <c r="A756" s="61" t="s">
        <v>2519</v>
      </c>
    </row>
    <row r="757" spans="1:1" x14ac:dyDescent="0.25">
      <c r="A757" s="61" t="s">
        <v>169</v>
      </c>
    </row>
    <row r="758" spans="1:1" x14ac:dyDescent="0.25">
      <c r="A758" s="61" t="s">
        <v>169</v>
      </c>
    </row>
    <row r="759" spans="1:1" x14ac:dyDescent="0.25">
      <c r="A759" s="61" t="s">
        <v>959</v>
      </c>
    </row>
    <row r="760" spans="1:1" x14ac:dyDescent="0.25">
      <c r="A760" s="61" t="s">
        <v>169</v>
      </c>
    </row>
    <row r="761" spans="1:1" x14ac:dyDescent="0.25">
      <c r="A761" s="61" t="s">
        <v>2427</v>
      </c>
    </row>
    <row r="762" spans="1:1" x14ac:dyDescent="0.25">
      <c r="A762" s="61" t="s">
        <v>2427</v>
      </c>
    </row>
    <row r="763" spans="1:1" x14ac:dyDescent="0.25">
      <c r="A763" s="61" t="s">
        <v>1902</v>
      </c>
    </row>
    <row r="764" spans="1:1" x14ac:dyDescent="0.25">
      <c r="A764" s="61" t="s">
        <v>959</v>
      </c>
    </row>
    <row r="765" spans="1:1" ht="30" x14ac:dyDescent="0.25">
      <c r="A765" s="61" t="s">
        <v>2546</v>
      </c>
    </row>
    <row r="766" spans="1:1" x14ac:dyDescent="0.25">
      <c r="A766" s="61" t="s">
        <v>209</v>
      </c>
    </row>
    <row r="767" spans="1:1" x14ac:dyDescent="0.25">
      <c r="A767" s="61" t="s">
        <v>195</v>
      </c>
    </row>
    <row r="768" spans="1:1" x14ac:dyDescent="0.25">
      <c r="A768" s="61" t="s">
        <v>195</v>
      </c>
    </row>
    <row r="769" spans="1:1" x14ac:dyDescent="0.25">
      <c r="A769" s="61" t="s">
        <v>195</v>
      </c>
    </row>
    <row r="770" spans="1:1" x14ac:dyDescent="0.25">
      <c r="A770" s="61" t="s">
        <v>195</v>
      </c>
    </row>
    <row r="771" spans="1:1" x14ac:dyDescent="0.25">
      <c r="A771" s="61" t="s">
        <v>1736</v>
      </c>
    </row>
    <row r="772" spans="1:1" x14ac:dyDescent="0.25">
      <c r="A772" s="61" t="s">
        <v>2514</v>
      </c>
    </row>
    <row r="773" spans="1:1" ht="30" x14ac:dyDescent="0.25">
      <c r="A773" s="61" t="s">
        <v>2446</v>
      </c>
    </row>
    <row r="774" spans="1:1" x14ac:dyDescent="0.25">
      <c r="A774" s="61" t="s">
        <v>180</v>
      </c>
    </row>
    <row r="775" spans="1:1" x14ac:dyDescent="0.25">
      <c r="A775" s="61" t="s">
        <v>2301</v>
      </c>
    </row>
    <row r="776" spans="1:1" ht="30" x14ac:dyDescent="0.25">
      <c r="A776" s="61" t="s">
        <v>2546</v>
      </c>
    </row>
    <row r="777" spans="1:1" ht="30" x14ac:dyDescent="0.25">
      <c r="A777" s="61" t="s">
        <v>2546</v>
      </c>
    </row>
    <row r="778" spans="1:1" x14ac:dyDescent="0.25">
      <c r="A778" s="61" t="s">
        <v>332</v>
      </c>
    </row>
    <row r="779" spans="1:1" x14ac:dyDescent="0.25">
      <c r="A779" s="61" t="s">
        <v>180</v>
      </c>
    </row>
    <row r="780" spans="1:1" ht="30" x14ac:dyDescent="0.25">
      <c r="A780" s="61" t="s">
        <v>2585</v>
      </c>
    </row>
    <row r="781" spans="1:1" x14ac:dyDescent="0.25">
      <c r="A781" s="61" t="s">
        <v>2589</v>
      </c>
    </row>
    <row r="782" spans="1:1" x14ac:dyDescent="0.25">
      <c r="A782" s="61" t="s">
        <v>332</v>
      </c>
    </row>
    <row r="783" spans="1:1" x14ac:dyDescent="0.25">
      <c r="A783" s="61" t="s">
        <v>332</v>
      </c>
    </row>
    <row r="784" spans="1:1" x14ac:dyDescent="0.25">
      <c r="A784" s="61" t="s">
        <v>332</v>
      </c>
    </row>
    <row r="785" spans="1:1" x14ac:dyDescent="0.25">
      <c r="A785" s="61" t="s">
        <v>332</v>
      </c>
    </row>
    <row r="786" spans="1:1" x14ac:dyDescent="0.25">
      <c r="A786" s="61" t="s">
        <v>2601</v>
      </c>
    </row>
    <row r="787" spans="1:1" x14ac:dyDescent="0.25">
      <c r="A787" s="61" t="s">
        <v>2606</v>
      </c>
    </row>
    <row r="788" spans="1:1" x14ac:dyDescent="0.25">
      <c r="A788" s="61" t="s">
        <v>2610</v>
      </c>
    </row>
    <row r="789" spans="1:1" x14ac:dyDescent="0.25">
      <c r="A789" s="61" t="s">
        <v>1902</v>
      </c>
    </row>
    <row r="790" spans="1:1" x14ac:dyDescent="0.25">
      <c r="A790" s="61" t="s">
        <v>1902</v>
      </c>
    </row>
    <row r="791" spans="1:1" x14ac:dyDescent="0.25">
      <c r="A791" s="61" t="s">
        <v>1902</v>
      </c>
    </row>
    <row r="792" spans="1:1" x14ac:dyDescent="0.25">
      <c r="A792" s="61" t="s">
        <v>1902</v>
      </c>
    </row>
    <row r="793" spans="1:1" x14ac:dyDescent="0.25">
      <c r="A793" s="61" t="s">
        <v>2621</v>
      </c>
    </row>
    <row r="794" spans="1:1" x14ac:dyDescent="0.25">
      <c r="A794" s="61" t="s">
        <v>2626</v>
      </c>
    </row>
    <row r="795" spans="1:1" x14ac:dyDescent="0.25">
      <c r="A795" s="61" t="s">
        <v>2626</v>
      </c>
    </row>
    <row r="796" spans="1:1" x14ac:dyDescent="0.25">
      <c r="A796" s="61" t="s">
        <v>1902</v>
      </c>
    </row>
    <row r="797" spans="1:1" x14ac:dyDescent="0.25">
      <c r="A797" s="61" t="s">
        <v>332</v>
      </c>
    </row>
    <row r="798" spans="1:1" x14ac:dyDescent="0.25">
      <c r="A798" s="61" t="s">
        <v>332</v>
      </c>
    </row>
    <row r="799" spans="1:1" x14ac:dyDescent="0.25">
      <c r="A799" s="61" t="s">
        <v>2638</v>
      </c>
    </row>
    <row r="800" spans="1:1" ht="30" x14ac:dyDescent="0.25">
      <c r="A800" s="61" t="s">
        <v>2643</v>
      </c>
    </row>
    <row r="801" spans="1:1" x14ac:dyDescent="0.25">
      <c r="A801" s="61" t="s">
        <v>180</v>
      </c>
    </row>
    <row r="802" spans="1:1" x14ac:dyDescent="0.25">
      <c r="A802" s="61" t="s">
        <v>2621</v>
      </c>
    </row>
    <row r="803" spans="1:1" x14ac:dyDescent="0.25">
      <c r="A803" s="61" t="s">
        <v>2621</v>
      </c>
    </row>
    <row r="804" spans="1:1" x14ac:dyDescent="0.25">
      <c r="A804" s="61" t="s">
        <v>195</v>
      </c>
    </row>
    <row r="805" spans="1:1" x14ac:dyDescent="0.25">
      <c r="A805" s="61" t="s">
        <v>1736</v>
      </c>
    </row>
    <row r="806" spans="1:1" x14ac:dyDescent="0.25">
      <c r="A806" s="61" t="s">
        <v>2370</v>
      </c>
    </row>
    <row r="807" spans="1:1" x14ac:dyDescent="0.25">
      <c r="A807" s="61" t="s">
        <v>2669</v>
      </c>
    </row>
    <row r="808" spans="1:1" x14ac:dyDescent="0.25">
      <c r="A808" s="61" t="s">
        <v>2669</v>
      </c>
    </row>
    <row r="809" spans="1:1" x14ac:dyDescent="0.25">
      <c r="A809" s="61" t="s">
        <v>2173</v>
      </c>
    </row>
    <row r="810" spans="1:1" ht="30" x14ac:dyDescent="0.25">
      <c r="A810" s="61" t="s">
        <v>2676</v>
      </c>
    </row>
    <row r="811" spans="1:1" x14ac:dyDescent="0.25">
      <c r="A811" s="61" t="s">
        <v>2681</v>
      </c>
    </row>
    <row r="812" spans="1:1" x14ac:dyDescent="0.25">
      <c r="A812" s="61" t="s">
        <v>2684</v>
      </c>
    </row>
    <row r="813" spans="1:1" ht="30" x14ac:dyDescent="0.25">
      <c r="A813" s="61" t="s">
        <v>2691</v>
      </c>
    </row>
    <row r="814" spans="1:1" x14ac:dyDescent="0.25">
      <c r="A814" s="61" t="s">
        <v>2621</v>
      </c>
    </row>
    <row r="815" spans="1:1" x14ac:dyDescent="0.25">
      <c r="A815" s="61" t="s">
        <v>2681</v>
      </c>
    </row>
    <row r="816" spans="1:1" x14ac:dyDescent="0.25">
      <c r="A816" s="61" t="s">
        <v>2698</v>
      </c>
    </row>
    <row r="817" spans="1:1" x14ac:dyDescent="0.25">
      <c r="A817" s="61" t="s">
        <v>2698</v>
      </c>
    </row>
    <row r="818" spans="1:1" x14ac:dyDescent="0.25">
      <c r="A818" s="61" t="s">
        <v>2704</v>
      </c>
    </row>
    <row r="819" spans="1:1" x14ac:dyDescent="0.25">
      <c r="A819" s="61" t="s">
        <v>2710</v>
      </c>
    </row>
    <row r="820" spans="1:1" x14ac:dyDescent="0.25">
      <c r="A820" s="61" t="s">
        <v>2173</v>
      </c>
    </row>
    <row r="821" spans="1:1" x14ac:dyDescent="0.25">
      <c r="A821" s="61" t="s">
        <v>2715</v>
      </c>
    </row>
    <row r="822" spans="1:1" x14ac:dyDescent="0.25">
      <c r="A822" s="61" t="s">
        <v>2715</v>
      </c>
    </row>
    <row r="823" spans="1:1" x14ac:dyDescent="0.25">
      <c r="A823" s="61" t="s">
        <v>2721</v>
      </c>
    </row>
    <row r="824" spans="1:1" ht="30" x14ac:dyDescent="0.25">
      <c r="A824" s="61" t="s">
        <v>2676</v>
      </c>
    </row>
    <row r="825" spans="1:1" ht="30" x14ac:dyDescent="0.25">
      <c r="A825" s="61" t="s">
        <v>2676</v>
      </c>
    </row>
    <row r="826" spans="1:1" ht="30" x14ac:dyDescent="0.25">
      <c r="A826" s="61" t="s">
        <v>2676</v>
      </c>
    </row>
    <row r="827" spans="1:1" ht="30" x14ac:dyDescent="0.25">
      <c r="A827" s="61" t="s">
        <v>2676</v>
      </c>
    </row>
    <row r="828" spans="1:1" x14ac:dyDescent="0.25">
      <c r="A828" s="61" t="s">
        <v>2740</v>
      </c>
    </row>
    <row r="829" spans="1:1" x14ac:dyDescent="0.25">
      <c r="A829" s="61" t="s">
        <v>2743</v>
      </c>
    </row>
    <row r="830" spans="1:1" ht="30" x14ac:dyDescent="0.25">
      <c r="A830" s="61" t="s">
        <v>2676</v>
      </c>
    </row>
    <row r="831" spans="1:1" ht="30" x14ac:dyDescent="0.25">
      <c r="A831" s="61" t="s">
        <v>2676</v>
      </c>
    </row>
    <row r="832" spans="1:1" ht="30" x14ac:dyDescent="0.25">
      <c r="A832" s="61" t="s">
        <v>2676</v>
      </c>
    </row>
    <row r="833" spans="1:1" ht="30" x14ac:dyDescent="0.25">
      <c r="A833" s="61" t="s">
        <v>2754</v>
      </c>
    </row>
    <row r="834" spans="1:1" ht="30" x14ac:dyDescent="0.25">
      <c r="A834" s="61" t="s">
        <v>2754</v>
      </c>
    </row>
    <row r="835" spans="1:1" x14ac:dyDescent="0.25">
      <c r="A835" s="61" t="s">
        <v>2681</v>
      </c>
    </row>
    <row r="836" spans="1:1" x14ac:dyDescent="0.25">
      <c r="A836" s="61" t="s">
        <v>2681</v>
      </c>
    </row>
    <row r="837" spans="1:1" x14ac:dyDescent="0.25">
      <c r="A837" s="61" t="s">
        <v>2681</v>
      </c>
    </row>
    <row r="838" spans="1:1" ht="30" x14ac:dyDescent="0.25">
      <c r="A838" s="61" t="s">
        <v>2676</v>
      </c>
    </row>
    <row r="839" spans="1:1" x14ac:dyDescent="0.25">
      <c r="A839" s="61" t="s">
        <v>2774</v>
      </c>
    </row>
    <row r="840" spans="1:1" ht="30" x14ac:dyDescent="0.25">
      <c r="A840" s="61" t="s">
        <v>2780</v>
      </c>
    </row>
    <row r="841" spans="1:1" ht="30" x14ac:dyDescent="0.25">
      <c r="A841" s="61" t="s">
        <v>2780</v>
      </c>
    </row>
    <row r="842" spans="1:1" ht="30" x14ac:dyDescent="0.25">
      <c r="A842" s="61" t="s">
        <v>2676</v>
      </c>
    </row>
    <row r="843" spans="1:1" x14ac:dyDescent="0.25">
      <c r="A843" s="61" t="s">
        <v>1959</v>
      </c>
    </row>
    <row r="844" spans="1:1" x14ac:dyDescent="0.25">
      <c r="A844" s="61" t="s">
        <v>1959</v>
      </c>
    </row>
    <row r="845" spans="1:1" x14ac:dyDescent="0.25">
      <c r="A845" s="61" t="s">
        <v>2173</v>
      </c>
    </row>
    <row r="846" spans="1:1" x14ac:dyDescent="0.25">
      <c r="A846" s="52" t="s">
        <v>527</v>
      </c>
    </row>
    <row r="847" spans="1:1" x14ac:dyDescent="0.25">
      <c r="A847" s="52" t="s">
        <v>527</v>
      </c>
    </row>
    <row r="848" spans="1:1" x14ac:dyDescent="0.25">
      <c r="A848" s="61" t="s">
        <v>2802</v>
      </c>
    </row>
    <row r="849" spans="1:1" x14ac:dyDescent="0.25">
      <c r="A849" s="61" t="s">
        <v>1959</v>
      </c>
    </row>
    <row r="850" spans="1:1" ht="30" x14ac:dyDescent="0.25">
      <c r="A850" s="61" t="s">
        <v>2808</v>
      </c>
    </row>
    <row r="851" spans="1:1" x14ac:dyDescent="0.25">
      <c r="A851" s="61" t="s">
        <v>1959</v>
      </c>
    </row>
    <row r="852" spans="1:1" ht="30" x14ac:dyDescent="0.25">
      <c r="A852" s="61" t="s">
        <v>2316</v>
      </c>
    </row>
    <row r="853" spans="1:1" x14ac:dyDescent="0.25">
      <c r="A853" s="61" t="s">
        <v>332</v>
      </c>
    </row>
    <row r="854" spans="1:1" x14ac:dyDescent="0.25">
      <c r="A854" s="61" t="s">
        <v>332</v>
      </c>
    </row>
    <row r="855" spans="1:1" x14ac:dyDescent="0.25">
      <c r="A855" s="61" t="s">
        <v>332</v>
      </c>
    </row>
    <row r="856" spans="1:1" x14ac:dyDescent="0.25">
      <c r="A856" s="61" t="s">
        <v>2066</v>
      </c>
    </row>
    <row r="857" spans="1:1" x14ac:dyDescent="0.25">
      <c r="A857" s="61" t="s">
        <v>1959</v>
      </c>
    </row>
    <row r="858" spans="1:1" x14ac:dyDescent="0.25">
      <c r="A858" s="61" t="s">
        <v>1959</v>
      </c>
    </row>
    <row r="859" spans="1:1" x14ac:dyDescent="0.25">
      <c r="A859" s="61" t="s">
        <v>1959</v>
      </c>
    </row>
    <row r="860" spans="1:1" x14ac:dyDescent="0.25">
      <c r="A860" s="61" t="s">
        <v>2843</v>
      </c>
    </row>
    <row r="861" spans="1:1" x14ac:dyDescent="0.25">
      <c r="A861" s="61" t="s">
        <v>612</v>
      </c>
    </row>
    <row r="862" spans="1:1" x14ac:dyDescent="0.25">
      <c r="A862" s="61" t="s">
        <v>195</v>
      </c>
    </row>
    <row r="863" spans="1:1" x14ac:dyDescent="0.25">
      <c r="A863" s="61" t="s">
        <v>2715</v>
      </c>
    </row>
    <row r="864" spans="1:1" x14ac:dyDescent="0.25">
      <c r="A864" s="61" t="s">
        <v>180</v>
      </c>
    </row>
    <row r="865" spans="1:1" x14ac:dyDescent="0.25">
      <c r="A865" s="61" t="s">
        <v>1927</v>
      </c>
    </row>
    <row r="866" spans="1:1" x14ac:dyDescent="0.25">
      <c r="A866" s="61" t="s">
        <v>1927</v>
      </c>
    </row>
    <row r="867" spans="1:1" x14ac:dyDescent="0.25">
      <c r="A867" s="61" t="s">
        <v>612</v>
      </c>
    </row>
    <row r="868" spans="1:1" x14ac:dyDescent="0.25">
      <c r="A868" s="61" t="s">
        <v>2868</v>
      </c>
    </row>
    <row r="869" spans="1:1" x14ac:dyDescent="0.25">
      <c r="A869" s="61" t="s">
        <v>2872</v>
      </c>
    </row>
    <row r="870" spans="1:1" x14ac:dyDescent="0.25">
      <c r="A870" s="61" t="s">
        <v>2872</v>
      </c>
    </row>
    <row r="871" spans="1:1" x14ac:dyDescent="0.25">
      <c r="A871" s="61" t="s">
        <v>2872</v>
      </c>
    </row>
    <row r="872" spans="1:1" x14ac:dyDescent="0.25">
      <c r="A872" s="61" t="s">
        <v>2704</v>
      </c>
    </row>
    <row r="873" spans="1:1" x14ac:dyDescent="0.25">
      <c r="A873" s="61" t="s">
        <v>180</v>
      </c>
    </row>
    <row r="874" spans="1:1" x14ac:dyDescent="0.25">
      <c r="A874" s="61" t="s">
        <v>612</v>
      </c>
    </row>
    <row r="875" spans="1:1" x14ac:dyDescent="0.25">
      <c r="A875" s="61" t="s">
        <v>612</v>
      </c>
    </row>
    <row r="876" spans="1:1" x14ac:dyDescent="0.25">
      <c r="A876" s="61" t="s">
        <v>2872</v>
      </c>
    </row>
    <row r="877" spans="1:1" x14ac:dyDescent="0.25">
      <c r="A877" s="61" t="s">
        <v>2872</v>
      </c>
    </row>
    <row r="878" spans="1:1" x14ac:dyDescent="0.25">
      <c r="A878" s="61" t="s">
        <v>2872</v>
      </c>
    </row>
    <row r="879" spans="1:1" x14ac:dyDescent="0.25">
      <c r="A879" s="61" t="s">
        <v>2872</v>
      </c>
    </row>
    <row r="880" spans="1:1" x14ac:dyDescent="0.25">
      <c r="A880" s="61" t="s">
        <v>2338</v>
      </c>
    </row>
    <row r="881" spans="1:1" x14ac:dyDescent="0.25">
      <c r="A881" s="61" t="s">
        <v>2715</v>
      </c>
    </row>
    <row r="882" spans="1:1" x14ac:dyDescent="0.25">
      <c r="A882" s="61" t="s">
        <v>2906</v>
      </c>
    </row>
    <row r="883" spans="1:1" ht="30" x14ac:dyDescent="0.25">
      <c r="A883" s="61" t="s">
        <v>2911</v>
      </c>
    </row>
    <row r="884" spans="1:1" x14ac:dyDescent="0.25">
      <c r="A884" s="61" t="s">
        <v>2914</v>
      </c>
    </row>
    <row r="885" spans="1:1" x14ac:dyDescent="0.25">
      <c r="A885" s="61" t="s">
        <v>612</v>
      </c>
    </row>
    <row r="886" spans="1:1" x14ac:dyDescent="0.25">
      <c r="A886" s="61" t="s">
        <v>612</v>
      </c>
    </row>
    <row r="887" spans="1:1" x14ac:dyDescent="0.25">
      <c r="A887" s="61" t="s">
        <v>2923</v>
      </c>
    </row>
    <row r="888" spans="1:1" x14ac:dyDescent="0.25">
      <c r="A888" s="61" t="s">
        <v>2923</v>
      </c>
    </row>
    <row r="889" spans="1:1" x14ac:dyDescent="0.25">
      <c r="A889" s="61" t="s">
        <v>2923</v>
      </c>
    </row>
    <row r="890" spans="1:1" x14ac:dyDescent="0.25">
      <c r="A890" s="61" t="s">
        <v>2923</v>
      </c>
    </row>
    <row r="891" spans="1:1" x14ac:dyDescent="0.25">
      <c r="A891" s="61" t="s">
        <v>2923</v>
      </c>
    </row>
    <row r="892" spans="1:1" x14ac:dyDescent="0.25">
      <c r="A892" s="61" t="s">
        <v>1935</v>
      </c>
    </row>
    <row r="893" spans="1:1" x14ac:dyDescent="0.25">
      <c r="A893" s="61" t="s">
        <v>204</v>
      </c>
    </row>
    <row r="894" spans="1:1" ht="30" x14ac:dyDescent="0.25">
      <c r="A894" s="61" t="s">
        <v>2940</v>
      </c>
    </row>
    <row r="895" spans="1:1" ht="30" x14ac:dyDescent="0.25">
      <c r="A895" s="61" t="s">
        <v>2945</v>
      </c>
    </row>
    <row r="896" spans="1:1" ht="30" x14ac:dyDescent="0.25">
      <c r="A896" s="61" t="s">
        <v>2676</v>
      </c>
    </row>
    <row r="897" spans="1:1" x14ac:dyDescent="0.25">
      <c r="A897" s="61" t="s">
        <v>2872</v>
      </c>
    </row>
    <row r="898" spans="1:1" x14ac:dyDescent="0.25">
      <c r="A898" s="61" t="s">
        <v>2872</v>
      </c>
    </row>
    <row r="899" spans="1:1" ht="30" x14ac:dyDescent="0.25">
      <c r="A899" s="61" t="s">
        <v>2956</v>
      </c>
    </row>
    <row r="900" spans="1:1" ht="30" x14ac:dyDescent="0.25">
      <c r="A900" s="61" t="s">
        <v>2956</v>
      </c>
    </row>
    <row r="901" spans="1:1" x14ac:dyDescent="0.25">
      <c r="A901" s="61" t="s">
        <v>1129</v>
      </c>
    </row>
    <row r="902" spans="1:1" x14ac:dyDescent="0.25">
      <c r="A902" s="61" t="s">
        <v>2704</v>
      </c>
    </row>
    <row r="903" spans="1:1" ht="30" x14ac:dyDescent="0.25">
      <c r="A903" s="61" t="s">
        <v>2969</v>
      </c>
    </row>
    <row r="904" spans="1:1" x14ac:dyDescent="0.25">
      <c r="A904" s="61" t="s">
        <v>2972</v>
      </c>
    </row>
    <row r="905" spans="1:1" x14ac:dyDescent="0.25">
      <c r="A905" s="61" t="s">
        <v>2427</v>
      </c>
    </row>
    <row r="906" spans="1:1" x14ac:dyDescent="0.25">
      <c r="A906" s="61" t="s">
        <v>2427</v>
      </c>
    </row>
    <row r="907" spans="1:1" x14ac:dyDescent="0.25">
      <c r="A907" s="61" t="s">
        <v>2979</v>
      </c>
    </row>
    <row r="908" spans="1:1" x14ac:dyDescent="0.25">
      <c r="A908" s="61" t="s">
        <v>2158</v>
      </c>
    </row>
    <row r="909" spans="1:1" x14ac:dyDescent="0.25">
      <c r="A909" s="61" t="s">
        <v>2872</v>
      </c>
    </row>
    <row r="910" spans="1:1" x14ac:dyDescent="0.25">
      <c r="A910" s="61" t="s">
        <v>2989</v>
      </c>
    </row>
    <row r="911" spans="1:1" x14ac:dyDescent="0.25">
      <c r="A911" s="61" t="s">
        <v>180</v>
      </c>
    </row>
    <row r="912" spans="1:1" x14ac:dyDescent="0.25">
      <c r="A912" s="61" t="s">
        <v>1736</v>
      </c>
    </row>
    <row r="913" spans="1:1" x14ac:dyDescent="0.25">
      <c r="A913" s="61" t="s">
        <v>2158</v>
      </c>
    </row>
    <row r="914" spans="1:1" x14ac:dyDescent="0.25">
      <c r="A914" s="61" t="s">
        <v>2158</v>
      </c>
    </row>
    <row r="915" spans="1:1" x14ac:dyDescent="0.25">
      <c r="A915" s="61" t="s">
        <v>2158</v>
      </c>
    </row>
    <row r="916" spans="1:1" ht="30" x14ac:dyDescent="0.25">
      <c r="A916" s="61" t="s">
        <v>3013</v>
      </c>
    </row>
    <row r="917" spans="1:1" x14ac:dyDescent="0.25">
      <c r="A917" s="61" t="s">
        <v>2158</v>
      </c>
    </row>
    <row r="918" spans="1:1" x14ac:dyDescent="0.25">
      <c r="A918" s="61" t="s">
        <v>2158</v>
      </c>
    </row>
    <row r="919" spans="1:1" x14ac:dyDescent="0.25">
      <c r="A919" s="61" t="s">
        <v>2158</v>
      </c>
    </row>
    <row r="920" spans="1:1" x14ac:dyDescent="0.25">
      <c r="A920" s="61" t="s">
        <v>180</v>
      </c>
    </row>
    <row r="921" spans="1:1" ht="30" x14ac:dyDescent="0.25">
      <c r="A921" s="61" t="s">
        <v>3013</v>
      </c>
    </row>
    <row r="922" spans="1:1" x14ac:dyDescent="0.25">
      <c r="A922" s="61" t="s">
        <v>3032</v>
      </c>
    </row>
    <row r="923" spans="1:1" x14ac:dyDescent="0.25">
      <c r="A923" s="61" t="s">
        <v>3035</v>
      </c>
    </row>
    <row r="924" spans="1:1" x14ac:dyDescent="0.25">
      <c r="A924" s="61" t="s">
        <v>3039</v>
      </c>
    </row>
    <row r="925" spans="1:1" ht="30" x14ac:dyDescent="0.25">
      <c r="A925" s="61" t="s">
        <v>2206</v>
      </c>
    </row>
    <row r="926" spans="1:1" x14ac:dyDescent="0.25">
      <c r="A926" s="61" t="s">
        <v>3039</v>
      </c>
    </row>
    <row r="927" spans="1:1" x14ac:dyDescent="0.25">
      <c r="A927" s="61" t="s">
        <v>2704</v>
      </c>
    </row>
    <row r="928" spans="1:1" ht="30" x14ac:dyDescent="0.25">
      <c r="A928" s="61" t="s">
        <v>2945</v>
      </c>
    </row>
    <row r="929" spans="1:1" x14ac:dyDescent="0.25">
      <c r="A929" s="61" t="s">
        <v>2158</v>
      </c>
    </row>
    <row r="930" spans="1:1" ht="30" x14ac:dyDescent="0.25">
      <c r="A930" s="61" t="s">
        <v>3060</v>
      </c>
    </row>
    <row r="931" spans="1:1" x14ac:dyDescent="0.25">
      <c r="A931" s="61" t="s">
        <v>2621</v>
      </c>
    </row>
    <row r="932" spans="1:1" x14ac:dyDescent="0.25">
      <c r="A932" s="61" t="s">
        <v>2173</v>
      </c>
    </row>
    <row r="933" spans="1:1" x14ac:dyDescent="0.25">
      <c r="A933" s="61" t="s">
        <v>2721</v>
      </c>
    </row>
    <row r="934" spans="1:1" x14ac:dyDescent="0.25">
      <c r="A934" s="61" t="s">
        <v>2721</v>
      </c>
    </row>
    <row r="935" spans="1:1" x14ac:dyDescent="0.25">
      <c r="A935" s="61" t="s">
        <v>2721</v>
      </c>
    </row>
    <row r="936" spans="1:1" x14ac:dyDescent="0.25">
      <c r="A936" s="61" t="s">
        <v>2721</v>
      </c>
    </row>
    <row r="937" spans="1:1" x14ac:dyDescent="0.25">
      <c r="A937" s="61" t="s">
        <v>3078</v>
      </c>
    </row>
    <row r="938" spans="1:1" x14ac:dyDescent="0.25">
      <c r="A938" s="61" t="s">
        <v>3078</v>
      </c>
    </row>
    <row r="939" spans="1:1" x14ac:dyDescent="0.25">
      <c r="A939" s="61" t="s">
        <v>204</v>
      </c>
    </row>
    <row r="940" spans="1:1" x14ac:dyDescent="0.25">
      <c r="A940" s="61" t="s">
        <v>2621</v>
      </c>
    </row>
    <row r="941" spans="1:1" x14ac:dyDescent="0.25">
      <c r="A941" s="61" t="s">
        <v>2621</v>
      </c>
    </row>
    <row r="942" spans="1:1" x14ac:dyDescent="0.25">
      <c r="A942" s="61" t="s">
        <v>2774</v>
      </c>
    </row>
    <row r="943" spans="1:1" ht="30" x14ac:dyDescent="0.25">
      <c r="A943" s="61" t="s">
        <v>3095</v>
      </c>
    </row>
    <row r="944" spans="1:1" ht="30" x14ac:dyDescent="0.25">
      <c r="A944" s="61" t="s">
        <v>2945</v>
      </c>
    </row>
    <row r="945" spans="1:1" x14ac:dyDescent="0.25">
      <c r="A945" s="61" t="s">
        <v>2158</v>
      </c>
    </row>
    <row r="946" spans="1:1" x14ac:dyDescent="0.25">
      <c r="A946" s="61" t="s">
        <v>2589</v>
      </c>
    </row>
    <row r="947" spans="1:1" x14ac:dyDescent="0.25">
      <c r="A947" s="61" t="s">
        <v>1724</v>
      </c>
    </row>
    <row r="948" spans="1:1" x14ac:dyDescent="0.25">
      <c r="A948" s="61" t="s">
        <v>180</v>
      </c>
    </row>
    <row r="949" spans="1:1" x14ac:dyDescent="0.25">
      <c r="A949" s="61" t="s">
        <v>3113</v>
      </c>
    </row>
    <row r="950" spans="1:1" x14ac:dyDescent="0.25">
      <c r="A950" s="52" t="s">
        <v>527</v>
      </c>
    </row>
    <row r="951" spans="1:1" x14ac:dyDescent="0.25">
      <c r="A951" s="52" t="s">
        <v>527</v>
      </c>
    </row>
    <row r="952" spans="1:1" x14ac:dyDescent="0.25">
      <c r="A952" s="61" t="s">
        <v>3124</v>
      </c>
    </row>
    <row r="953" spans="1:1" x14ac:dyDescent="0.25">
      <c r="A953" s="61" t="s">
        <v>1977</v>
      </c>
    </row>
    <row r="954" spans="1:1" x14ac:dyDescent="0.25">
      <c r="A954" s="61" t="s">
        <v>387</v>
      </c>
    </row>
    <row r="955" spans="1:1" x14ac:dyDescent="0.25">
      <c r="A955" s="61" t="s">
        <v>1959</v>
      </c>
    </row>
    <row r="956" spans="1:1" x14ac:dyDescent="0.25">
      <c r="A956" s="61" t="s">
        <v>1959</v>
      </c>
    </row>
    <row r="957" spans="1:1" x14ac:dyDescent="0.25">
      <c r="A957" s="61" t="s">
        <v>180</v>
      </c>
    </row>
    <row r="958" spans="1:1" x14ac:dyDescent="0.25">
      <c r="A958" s="61" t="s">
        <v>3143</v>
      </c>
    </row>
    <row r="959" spans="1:1" x14ac:dyDescent="0.25">
      <c r="A959" s="61" t="s">
        <v>3078</v>
      </c>
    </row>
    <row r="960" spans="1:1" x14ac:dyDescent="0.25">
      <c r="A960" s="61" t="s">
        <v>1935</v>
      </c>
    </row>
    <row r="961" spans="1:1" x14ac:dyDescent="0.25">
      <c r="A961" s="61" t="s">
        <v>1935</v>
      </c>
    </row>
    <row r="962" spans="1:1" x14ac:dyDescent="0.25">
      <c r="A962" s="61" t="s">
        <v>1935</v>
      </c>
    </row>
    <row r="963" spans="1:1" x14ac:dyDescent="0.25">
      <c r="A963" s="61" t="s">
        <v>1935</v>
      </c>
    </row>
    <row r="964" spans="1:1" ht="30" x14ac:dyDescent="0.25">
      <c r="A964" s="61" t="s">
        <v>3156</v>
      </c>
    </row>
    <row r="965" spans="1:1" x14ac:dyDescent="0.25">
      <c r="A965" s="61" t="s">
        <v>180</v>
      </c>
    </row>
    <row r="966" spans="1:1" ht="30" x14ac:dyDescent="0.25">
      <c r="A966" s="61" t="s">
        <v>3163</v>
      </c>
    </row>
    <row r="967" spans="1:1" ht="30" x14ac:dyDescent="0.25">
      <c r="A967" s="61" t="s">
        <v>3163</v>
      </c>
    </row>
    <row r="968" spans="1:1" ht="30" x14ac:dyDescent="0.25">
      <c r="A968" s="61" t="s">
        <v>3163</v>
      </c>
    </row>
    <row r="969" spans="1:1" ht="30" x14ac:dyDescent="0.25">
      <c r="A969" s="61" t="s">
        <v>3163</v>
      </c>
    </row>
    <row r="970" spans="1:1" x14ac:dyDescent="0.25">
      <c r="A970" s="61" t="s">
        <v>3173</v>
      </c>
    </row>
    <row r="971" spans="1:1" ht="30" x14ac:dyDescent="0.25">
      <c r="A971" s="61" t="s">
        <v>3176</v>
      </c>
    </row>
    <row r="972" spans="1:1" x14ac:dyDescent="0.25">
      <c r="A972" s="61" t="s">
        <v>1977</v>
      </c>
    </row>
    <row r="973" spans="1:1" ht="30" x14ac:dyDescent="0.25">
      <c r="A973" s="61" t="s">
        <v>3183</v>
      </c>
    </row>
    <row r="974" spans="1:1" ht="30" x14ac:dyDescent="0.25">
      <c r="A974" s="61" t="s">
        <v>3187</v>
      </c>
    </row>
    <row r="975" spans="1:1" ht="30" x14ac:dyDescent="0.25">
      <c r="A975" s="61" t="s">
        <v>3187</v>
      </c>
    </row>
    <row r="976" spans="1:1" ht="30" x14ac:dyDescent="0.25">
      <c r="A976" s="61" t="s">
        <v>3192</v>
      </c>
    </row>
    <row r="977" spans="1:1" x14ac:dyDescent="0.25">
      <c r="A977" s="61" t="s">
        <v>3078</v>
      </c>
    </row>
    <row r="978" spans="1:1" x14ac:dyDescent="0.25">
      <c r="A978" s="61" t="s">
        <v>2989</v>
      </c>
    </row>
    <row r="979" spans="1:1" x14ac:dyDescent="0.25">
      <c r="A979" s="61" t="s">
        <v>612</v>
      </c>
    </row>
    <row r="980" spans="1:1" x14ac:dyDescent="0.25">
      <c r="A980" s="61" t="s">
        <v>1959</v>
      </c>
    </row>
    <row r="981" spans="1:1" x14ac:dyDescent="0.25">
      <c r="A981" s="61" t="s">
        <v>3206</v>
      </c>
    </row>
    <row r="982" spans="1:1" x14ac:dyDescent="0.25">
      <c r="A982" s="61" t="s">
        <v>612</v>
      </c>
    </row>
    <row r="983" spans="1:1" x14ac:dyDescent="0.25">
      <c r="A983" s="61" t="s">
        <v>169</v>
      </c>
    </row>
    <row r="984" spans="1:1" x14ac:dyDescent="0.25">
      <c r="A984" s="61" t="s">
        <v>169</v>
      </c>
    </row>
    <row r="985" spans="1:1" x14ac:dyDescent="0.25">
      <c r="A985" s="61" t="s">
        <v>169</v>
      </c>
    </row>
    <row r="986" spans="1:1" x14ac:dyDescent="0.25">
      <c r="A986" s="61" t="s">
        <v>2173</v>
      </c>
    </row>
    <row r="987" spans="1:1" x14ac:dyDescent="0.25">
      <c r="A987" s="61" t="s">
        <v>3221</v>
      </c>
    </row>
    <row r="988" spans="1:1" x14ac:dyDescent="0.25">
      <c r="A988" s="61" t="s">
        <v>3224</v>
      </c>
    </row>
    <row r="989" spans="1:1" x14ac:dyDescent="0.25">
      <c r="A989" s="61" t="s">
        <v>3224</v>
      </c>
    </row>
    <row r="990" spans="1:1" x14ac:dyDescent="0.25">
      <c r="A990" s="61" t="s">
        <v>3224</v>
      </c>
    </row>
    <row r="991" spans="1:1" ht="30" x14ac:dyDescent="0.25">
      <c r="A991" s="61" t="s">
        <v>3233</v>
      </c>
    </row>
    <row r="992" spans="1:1" x14ac:dyDescent="0.25">
      <c r="A992" s="61" t="s">
        <v>2158</v>
      </c>
    </row>
    <row r="993" spans="1:1" ht="30" x14ac:dyDescent="0.25">
      <c r="A993" s="61" t="s">
        <v>2206</v>
      </c>
    </row>
    <row r="994" spans="1:1" x14ac:dyDescent="0.25">
      <c r="A994" s="61" t="s">
        <v>1959</v>
      </c>
    </row>
    <row r="995" spans="1:1" ht="30" x14ac:dyDescent="0.25">
      <c r="A995" s="61" t="s">
        <v>3247</v>
      </c>
    </row>
    <row r="996" spans="1:1" x14ac:dyDescent="0.25">
      <c r="A996" s="61" t="s">
        <v>612</v>
      </c>
    </row>
    <row r="997" spans="1:1" x14ac:dyDescent="0.25">
      <c r="A997" s="61" t="s">
        <v>3253</v>
      </c>
    </row>
    <row r="998" spans="1:1" x14ac:dyDescent="0.25">
      <c r="A998" s="61" t="s">
        <v>3224</v>
      </c>
    </row>
    <row r="999" spans="1:1" x14ac:dyDescent="0.25">
      <c r="A999" s="61" t="s">
        <v>2710</v>
      </c>
    </row>
    <row r="1000" spans="1:1" x14ac:dyDescent="0.25">
      <c r="A1000" s="61" t="s">
        <v>3261</v>
      </c>
    </row>
    <row r="1001" spans="1:1" x14ac:dyDescent="0.25">
      <c r="A1001" s="61" t="s">
        <v>3261</v>
      </c>
    </row>
    <row r="1002" spans="1:1" x14ac:dyDescent="0.25">
      <c r="A1002" s="61" t="s">
        <v>3261</v>
      </c>
    </row>
    <row r="1003" spans="1:1" x14ac:dyDescent="0.25">
      <c r="A1003" s="61" t="s">
        <v>3261</v>
      </c>
    </row>
    <row r="1004" spans="1:1" x14ac:dyDescent="0.25">
      <c r="A1004" s="61" t="s">
        <v>3261</v>
      </c>
    </row>
    <row r="1005" spans="1:1" x14ac:dyDescent="0.25">
      <c r="A1005" s="61" t="s">
        <v>3253</v>
      </c>
    </row>
    <row r="1006" spans="1:1" x14ac:dyDescent="0.25">
      <c r="A1006" s="61" t="s">
        <v>3276</v>
      </c>
    </row>
    <row r="1007" spans="1:1" x14ac:dyDescent="0.25">
      <c r="A1007" s="61" t="s">
        <v>3282</v>
      </c>
    </row>
    <row r="1008" spans="1:1" x14ac:dyDescent="0.25">
      <c r="A1008" s="52" t="s">
        <v>3261</v>
      </c>
    </row>
    <row r="1009" spans="1:1" x14ac:dyDescent="0.25">
      <c r="A1009" s="52" t="s">
        <v>3261</v>
      </c>
    </row>
    <row r="1010" spans="1:1" x14ac:dyDescent="0.25">
      <c r="A1010" s="61" t="s">
        <v>3261</v>
      </c>
    </row>
    <row r="1011" spans="1:1" x14ac:dyDescent="0.25">
      <c r="A1011" s="61" t="s">
        <v>3261</v>
      </c>
    </row>
    <row r="1012" spans="1:1" ht="30" x14ac:dyDescent="0.25">
      <c r="A1012" s="61" t="s">
        <v>3247</v>
      </c>
    </row>
    <row r="1013" spans="1:1" x14ac:dyDescent="0.25">
      <c r="A1013" s="61" t="s">
        <v>3298</v>
      </c>
    </row>
    <row r="1014" spans="1:1" x14ac:dyDescent="0.25">
      <c r="A1014" s="61" t="s">
        <v>3298</v>
      </c>
    </row>
    <row r="1015" spans="1:1" x14ac:dyDescent="0.25">
      <c r="A1015" s="61" t="s">
        <v>3298</v>
      </c>
    </row>
    <row r="1016" spans="1:1" x14ac:dyDescent="0.25">
      <c r="A1016" s="61" t="s">
        <v>3298</v>
      </c>
    </row>
    <row r="1017" spans="1:1" x14ac:dyDescent="0.25">
      <c r="A1017" s="61" t="s">
        <v>3298</v>
      </c>
    </row>
    <row r="1018" spans="1:1" x14ac:dyDescent="0.25">
      <c r="A1018" s="61" t="s">
        <v>2218</v>
      </c>
    </row>
    <row r="1019" spans="1:1" x14ac:dyDescent="0.25">
      <c r="A1019" s="61" t="s">
        <v>2218</v>
      </c>
    </row>
    <row r="1020" spans="1:1" x14ac:dyDescent="0.25">
      <c r="A1020" s="61" t="s">
        <v>3318</v>
      </c>
    </row>
    <row r="1021" spans="1:1" x14ac:dyDescent="0.25">
      <c r="A1021" s="61" t="s">
        <v>3318</v>
      </c>
    </row>
    <row r="1022" spans="1:1" x14ac:dyDescent="0.25">
      <c r="A1022" s="61" t="s">
        <v>3318</v>
      </c>
    </row>
    <row r="1023" spans="1:1" x14ac:dyDescent="0.25">
      <c r="A1023" s="61" t="s">
        <v>3318</v>
      </c>
    </row>
    <row r="1024" spans="1:1" ht="30" x14ac:dyDescent="0.25">
      <c r="A1024" s="61" t="s">
        <v>3329</v>
      </c>
    </row>
    <row r="1025" spans="1:1" x14ac:dyDescent="0.25">
      <c r="A1025" s="61" t="s">
        <v>169</v>
      </c>
    </row>
    <row r="1026" spans="1:1" ht="30" x14ac:dyDescent="0.25">
      <c r="A1026" s="61" t="s">
        <v>3334</v>
      </c>
    </row>
    <row r="1027" spans="1:1" ht="30" x14ac:dyDescent="0.25">
      <c r="A1027" s="61" t="s">
        <v>3338</v>
      </c>
    </row>
    <row r="1028" spans="1:1" x14ac:dyDescent="0.25">
      <c r="A1028" s="61" t="s">
        <v>3341</v>
      </c>
    </row>
    <row r="1029" spans="1:1" x14ac:dyDescent="0.25">
      <c r="A1029" s="61" t="s">
        <v>3282</v>
      </c>
    </row>
    <row r="1030" spans="1:1" x14ac:dyDescent="0.25">
      <c r="A1030" s="61" t="s">
        <v>3351</v>
      </c>
    </row>
    <row r="1031" spans="1:1" ht="30" x14ac:dyDescent="0.25">
      <c r="A1031" s="61" t="s">
        <v>3355</v>
      </c>
    </row>
    <row r="1032" spans="1:1" ht="30" x14ac:dyDescent="0.25">
      <c r="A1032" s="61" t="s">
        <v>3358</v>
      </c>
    </row>
    <row r="1033" spans="1:1" x14ac:dyDescent="0.25">
      <c r="A1033" s="61" t="s">
        <v>2301</v>
      </c>
    </row>
    <row r="1034" spans="1:1" x14ac:dyDescent="0.25">
      <c r="A1034" s="61" t="s">
        <v>3367</v>
      </c>
    </row>
    <row r="1035" spans="1:1" x14ac:dyDescent="0.25">
      <c r="A1035" s="61" t="s">
        <v>3371</v>
      </c>
    </row>
    <row r="1036" spans="1:1" x14ac:dyDescent="0.25">
      <c r="A1036" s="61" t="s">
        <v>3371</v>
      </c>
    </row>
    <row r="1037" spans="1:1" x14ac:dyDescent="0.25">
      <c r="A1037" s="61" t="s">
        <v>3378</v>
      </c>
    </row>
    <row r="1038" spans="1:1" x14ac:dyDescent="0.25">
      <c r="A1038" s="61" t="s">
        <v>3378</v>
      </c>
    </row>
    <row r="1039" spans="1:1" ht="30" x14ac:dyDescent="0.25">
      <c r="A1039" s="61" t="s">
        <v>3334</v>
      </c>
    </row>
    <row r="1040" spans="1:1" ht="30" x14ac:dyDescent="0.25">
      <c r="A1040" s="61" t="s">
        <v>3389</v>
      </c>
    </row>
    <row r="1041" spans="1:1" x14ac:dyDescent="0.25">
      <c r="A1041" s="61" t="s">
        <v>3394</v>
      </c>
    </row>
    <row r="1042" spans="1:1" x14ac:dyDescent="0.25">
      <c r="A1042" s="61" t="s">
        <v>2158</v>
      </c>
    </row>
    <row r="1043" spans="1:1" x14ac:dyDescent="0.25">
      <c r="A1043" s="61" t="s">
        <v>2158</v>
      </c>
    </row>
    <row r="1044" spans="1:1" x14ac:dyDescent="0.25">
      <c r="A1044" s="61" t="s">
        <v>2158</v>
      </c>
    </row>
    <row r="1045" spans="1:1" x14ac:dyDescent="0.25">
      <c r="A1045" s="61" t="s">
        <v>266</v>
      </c>
    </row>
    <row r="1046" spans="1:1" x14ac:dyDescent="0.25">
      <c r="A1046" s="61" t="s">
        <v>2989</v>
      </c>
    </row>
    <row r="1047" spans="1:1" x14ac:dyDescent="0.25">
      <c r="A1047" s="61" t="s">
        <v>3412</v>
      </c>
    </row>
    <row r="1048" spans="1:1" ht="30" x14ac:dyDescent="0.25">
      <c r="A1048" s="61" t="s">
        <v>3389</v>
      </c>
    </row>
    <row r="1049" spans="1:1" ht="30" x14ac:dyDescent="0.25">
      <c r="A1049" s="61" t="s">
        <v>3389</v>
      </c>
    </row>
    <row r="1050" spans="1:1" x14ac:dyDescent="0.25">
      <c r="A1050" s="61" t="s">
        <v>3420</v>
      </c>
    </row>
    <row r="1051" spans="1:1" ht="30" x14ac:dyDescent="0.25">
      <c r="A1051" s="61" t="s">
        <v>3425</v>
      </c>
    </row>
    <row r="1052" spans="1:1" x14ac:dyDescent="0.25">
      <c r="A1052" s="61" t="s">
        <v>3420</v>
      </c>
    </row>
    <row r="1053" spans="1:1" x14ac:dyDescent="0.25">
      <c r="A1053" s="61" t="s">
        <v>3420</v>
      </c>
    </row>
    <row r="1054" spans="1:1" ht="30" x14ac:dyDescent="0.25">
      <c r="A1054" s="61" t="s">
        <v>3389</v>
      </c>
    </row>
    <row r="1055" spans="1:1" ht="30" x14ac:dyDescent="0.25">
      <c r="A1055" s="61" t="s">
        <v>3389</v>
      </c>
    </row>
    <row r="1056" spans="1:1" ht="30" x14ac:dyDescent="0.25">
      <c r="A1056" s="61" t="s">
        <v>3437</v>
      </c>
    </row>
    <row r="1057" spans="1:1" ht="30" x14ac:dyDescent="0.25">
      <c r="A1057" s="61" t="s">
        <v>3437</v>
      </c>
    </row>
    <row r="1058" spans="1:1" x14ac:dyDescent="0.25">
      <c r="A1058" s="61" t="s">
        <v>612</v>
      </c>
    </row>
    <row r="1059" spans="1:1" ht="30" x14ac:dyDescent="0.25">
      <c r="A1059" s="61" t="s">
        <v>3389</v>
      </c>
    </row>
    <row r="1060" spans="1:1" x14ac:dyDescent="0.25">
      <c r="A1060" s="61" t="s">
        <v>2150</v>
      </c>
    </row>
    <row r="1061" spans="1:1" ht="30" x14ac:dyDescent="0.25">
      <c r="A1061" s="61" t="s">
        <v>3334</v>
      </c>
    </row>
    <row r="1062" spans="1:1" x14ac:dyDescent="0.25">
      <c r="A1062" s="61" t="s">
        <v>3351</v>
      </c>
    </row>
    <row r="1063" spans="1:1" x14ac:dyDescent="0.25">
      <c r="A1063" s="61" t="s">
        <v>3351</v>
      </c>
    </row>
    <row r="1064" spans="1:1" x14ac:dyDescent="0.25">
      <c r="A1064" s="61" t="s">
        <v>3462</v>
      </c>
    </row>
    <row r="1065" spans="1:1" ht="15.75" x14ac:dyDescent="0.25">
      <c r="A1065" s="275" t="s">
        <v>3465</v>
      </c>
    </row>
    <row r="1066" spans="1:1" ht="30" x14ac:dyDescent="0.25">
      <c r="A1066" s="61" t="s">
        <v>3334</v>
      </c>
    </row>
    <row r="1067" spans="1:1" x14ac:dyDescent="0.25">
      <c r="A1067" s="61" t="s">
        <v>1959</v>
      </c>
    </row>
    <row r="1068" spans="1:1" ht="15.75" x14ac:dyDescent="0.25">
      <c r="A1068" s="275" t="s">
        <v>3465</v>
      </c>
    </row>
    <row r="1069" spans="1:1" x14ac:dyDescent="0.25">
      <c r="A1069" s="61" t="s">
        <v>3477</v>
      </c>
    </row>
    <row r="1070" spans="1:1" x14ac:dyDescent="0.25">
      <c r="A1070" s="61" t="s">
        <v>3481</v>
      </c>
    </row>
    <row r="1071" spans="1:1" x14ac:dyDescent="0.25">
      <c r="A1071" s="61" t="s">
        <v>612</v>
      </c>
    </row>
    <row r="1072" spans="1:1" ht="15.75" x14ac:dyDescent="0.25">
      <c r="A1072" s="275" t="s">
        <v>3465</v>
      </c>
    </row>
    <row r="1073" spans="1:1" ht="30" x14ac:dyDescent="0.25">
      <c r="A1073" s="61" t="s">
        <v>3389</v>
      </c>
    </row>
    <row r="1074" spans="1:1" ht="30" x14ac:dyDescent="0.25">
      <c r="A1074" s="61" t="s">
        <v>3389</v>
      </c>
    </row>
    <row r="1075" spans="1:1" x14ac:dyDescent="0.25">
      <c r="A1075" s="61" t="s">
        <v>3412</v>
      </c>
    </row>
    <row r="1076" spans="1:1" x14ac:dyDescent="0.25">
      <c r="A1076" s="61" t="s">
        <v>3501</v>
      </c>
    </row>
    <row r="1077" spans="1:1" x14ac:dyDescent="0.25">
      <c r="A1077" s="61" t="s">
        <v>3501</v>
      </c>
    </row>
    <row r="1078" spans="1:1" x14ac:dyDescent="0.25">
      <c r="A1078" s="61" t="s">
        <v>3501</v>
      </c>
    </row>
    <row r="1079" spans="1:1" x14ac:dyDescent="0.25">
      <c r="A1079" s="61" t="s">
        <v>3501</v>
      </c>
    </row>
    <row r="1080" spans="1:1" x14ac:dyDescent="0.25">
      <c r="A1080" s="61" t="s">
        <v>3501</v>
      </c>
    </row>
    <row r="1081" spans="1:1" x14ac:dyDescent="0.25">
      <c r="A1081" s="61" t="s">
        <v>3477</v>
      </c>
    </row>
    <row r="1082" spans="1:1" x14ac:dyDescent="0.25">
      <c r="A1082" s="61" t="s">
        <v>3516</v>
      </c>
    </row>
    <row r="1083" spans="1:1" x14ac:dyDescent="0.25">
      <c r="A1083" s="61" t="s">
        <v>169</v>
      </c>
    </row>
    <row r="1084" spans="1:1" x14ac:dyDescent="0.25">
      <c r="A1084" s="61" t="s">
        <v>2158</v>
      </c>
    </row>
    <row r="1085" spans="1:1" x14ac:dyDescent="0.25">
      <c r="A1085" s="61" t="s">
        <v>2158</v>
      </c>
    </row>
    <row r="1086" spans="1:1" x14ac:dyDescent="0.25">
      <c r="A1086" s="61" t="s">
        <v>169</v>
      </c>
    </row>
    <row r="1087" spans="1:1" ht="30" x14ac:dyDescent="0.25">
      <c r="A1087" s="61" t="s">
        <v>3389</v>
      </c>
    </row>
    <row r="1088" spans="1:1" ht="15.75" x14ac:dyDescent="0.25">
      <c r="A1088" s="275" t="s">
        <v>3465</v>
      </c>
    </row>
    <row r="1089" spans="1:1" x14ac:dyDescent="0.25">
      <c r="A1089" s="61" t="s">
        <v>3477</v>
      </c>
    </row>
    <row r="1090" spans="1:1" x14ac:dyDescent="0.25">
      <c r="A1090" s="61" t="s">
        <v>3477</v>
      </c>
    </row>
    <row r="1091" spans="1:1" x14ac:dyDescent="0.25">
      <c r="A1091" s="61" t="s">
        <v>2684</v>
      </c>
    </row>
    <row r="1092" spans="1:1" x14ac:dyDescent="0.25">
      <c r="A1092" s="61" t="s">
        <v>2684</v>
      </c>
    </row>
    <row r="1093" spans="1:1" x14ac:dyDescent="0.25">
      <c r="A1093" s="61" t="s">
        <v>1902</v>
      </c>
    </row>
    <row r="1094" spans="1:1" x14ac:dyDescent="0.25">
      <c r="A1094" s="61" t="s">
        <v>3563</v>
      </c>
    </row>
    <row r="1095" spans="1:1" x14ac:dyDescent="0.25">
      <c r="A1095" s="61" t="s">
        <v>1112</v>
      </c>
    </row>
    <row r="1096" spans="1:1" x14ac:dyDescent="0.25">
      <c r="A1096" s="61" t="s">
        <v>1112</v>
      </c>
    </row>
    <row r="1097" spans="1:1" x14ac:dyDescent="0.25">
      <c r="A1097" s="61" t="s">
        <v>1112</v>
      </c>
    </row>
    <row r="1098" spans="1:1" x14ac:dyDescent="0.25">
      <c r="A1098" s="61" t="s">
        <v>1112</v>
      </c>
    </row>
    <row r="1099" spans="1:1" x14ac:dyDescent="0.25">
      <c r="A1099" s="61" t="s">
        <v>1112</v>
      </c>
    </row>
    <row r="1100" spans="1:1" x14ac:dyDescent="0.25">
      <c r="A1100" s="61" t="s">
        <v>1112</v>
      </c>
    </row>
    <row r="1101" spans="1:1" x14ac:dyDescent="0.25">
      <c r="A1101" s="61" t="s">
        <v>1112</v>
      </c>
    </row>
    <row r="1102" spans="1:1" x14ac:dyDescent="0.25">
      <c r="A1102" s="61" t="s">
        <v>1112</v>
      </c>
    </row>
    <row r="1103" spans="1:1" x14ac:dyDescent="0.25">
      <c r="A1103" s="61" t="s">
        <v>1112</v>
      </c>
    </row>
    <row r="1104" spans="1:1" x14ac:dyDescent="0.25">
      <c r="A1104" s="61" t="s">
        <v>2150</v>
      </c>
    </row>
    <row r="1105" spans="1:1" x14ac:dyDescent="0.25">
      <c r="A1105" s="61" t="s">
        <v>2150</v>
      </c>
    </row>
    <row r="1106" spans="1:1" x14ac:dyDescent="0.25">
      <c r="A1106" s="61" t="s">
        <v>1112</v>
      </c>
    </row>
    <row r="1107" spans="1:1" x14ac:dyDescent="0.25">
      <c r="A1107" s="61" t="s">
        <v>1112</v>
      </c>
    </row>
    <row r="1108" spans="1:1" x14ac:dyDescent="0.25">
      <c r="A1108" s="61" t="s">
        <v>1112</v>
      </c>
    </row>
    <row r="1109" spans="1:1" x14ac:dyDescent="0.25">
      <c r="A1109" s="61" t="s">
        <v>1112</v>
      </c>
    </row>
    <row r="1110" spans="1:1" x14ac:dyDescent="0.25">
      <c r="A1110" s="61" t="s">
        <v>1112</v>
      </c>
    </row>
    <row r="1111" spans="1:1" x14ac:dyDescent="0.25">
      <c r="A1111" s="61" t="s">
        <v>1112</v>
      </c>
    </row>
    <row r="1112" spans="1:1" x14ac:dyDescent="0.25">
      <c r="A1112" s="61" t="s">
        <v>1112</v>
      </c>
    </row>
    <row r="1113" spans="1:1" x14ac:dyDescent="0.25">
      <c r="A1113" s="61" t="s">
        <v>1112</v>
      </c>
    </row>
    <row r="1114" spans="1:1" x14ac:dyDescent="0.25">
      <c r="A1114" s="61" t="s">
        <v>1112</v>
      </c>
    </row>
    <row r="1115" spans="1:1" x14ac:dyDescent="0.25">
      <c r="A1115" s="61" t="s">
        <v>1112</v>
      </c>
    </row>
    <row r="1116" spans="1:1" x14ac:dyDescent="0.25">
      <c r="A1116" s="61" t="s">
        <v>1112</v>
      </c>
    </row>
    <row r="1117" spans="1:1" x14ac:dyDescent="0.25">
      <c r="A1117" s="61" t="s">
        <v>1112</v>
      </c>
    </row>
    <row r="1118" spans="1:1" x14ac:dyDescent="0.25">
      <c r="A1118" s="61" t="s">
        <v>1112</v>
      </c>
    </row>
    <row r="1119" spans="1:1" x14ac:dyDescent="0.25">
      <c r="A1119" s="61" t="s">
        <v>1112</v>
      </c>
    </row>
    <row r="1120" spans="1:1" x14ac:dyDescent="0.25">
      <c r="A1120" s="61" t="s">
        <v>1112</v>
      </c>
    </row>
    <row r="1121" spans="1:1" x14ac:dyDescent="0.25">
      <c r="A1121" s="61" t="s">
        <v>1112</v>
      </c>
    </row>
    <row r="1122" spans="1:1" x14ac:dyDescent="0.25">
      <c r="A1122" s="61" t="s">
        <v>1112</v>
      </c>
    </row>
    <row r="1123" spans="1:1" x14ac:dyDescent="0.25">
      <c r="A1123" s="61" t="s">
        <v>1112</v>
      </c>
    </row>
    <row r="1124" spans="1:1" x14ac:dyDescent="0.25">
      <c r="A1124" s="61" t="s">
        <v>1112</v>
      </c>
    </row>
    <row r="1125" spans="1:1" x14ac:dyDescent="0.25">
      <c r="A1125" s="61" t="s">
        <v>1112</v>
      </c>
    </row>
    <row r="1126" spans="1:1" x14ac:dyDescent="0.25">
      <c r="A1126" s="61" t="s">
        <v>1112</v>
      </c>
    </row>
    <row r="1127" spans="1:1" x14ac:dyDescent="0.25">
      <c r="A1127" s="61" t="s">
        <v>1112</v>
      </c>
    </row>
    <row r="1128" spans="1:1" x14ac:dyDescent="0.25">
      <c r="A1128" s="61" t="s">
        <v>1112</v>
      </c>
    </row>
    <row r="1129" spans="1:1" x14ac:dyDescent="0.25">
      <c r="A1129" s="61" t="s">
        <v>1112</v>
      </c>
    </row>
    <row r="1130" spans="1:1" x14ac:dyDescent="0.25">
      <c r="A1130" s="61" t="s">
        <v>1112</v>
      </c>
    </row>
    <row r="1131" spans="1:1" x14ac:dyDescent="0.25">
      <c r="A1131" s="61" t="s">
        <v>1112</v>
      </c>
    </row>
    <row r="1132" spans="1:1" x14ac:dyDescent="0.25">
      <c r="A1132" s="61" t="s">
        <v>1112</v>
      </c>
    </row>
    <row r="1133" spans="1:1" x14ac:dyDescent="0.25">
      <c r="A1133" s="61" t="s">
        <v>1112</v>
      </c>
    </row>
    <row r="1134" spans="1:1" x14ac:dyDescent="0.25">
      <c r="A1134" s="61" t="s">
        <v>1112</v>
      </c>
    </row>
    <row r="1135" spans="1:1" x14ac:dyDescent="0.25">
      <c r="A1135" s="61" t="s">
        <v>1112</v>
      </c>
    </row>
    <row r="1136" spans="1:1" x14ac:dyDescent="0.25">
      <c r="A1136" s="61" t="s">
        <v>1112</v>
      </c>
    </row>
    <row r="1137" spans="1:1" x14ac:dyDescent="0.25">
      <c r="A1137" s="61" t="s">
        <v>1112</v>
      </c>
    </row>
    <row r="1138" spans="1:1" x14ac:dyDescent="0.25">
      <c r="A1138" s="61" t="s">
        <v>1112</v>
      </c>
    </row>
    <row r="1139" spans="1:1" x14ac:dyDescent="0.25">
      <c r="A1139" s="61" t="s">
        <v>1112</v>
      </c>
    </row>
    <row r="1140" spans="1:1" x14ac:dyDescent="0.25">
      <c r="A1140" s="61" t="s">
        <v>1112</v>
      </c>
    </row>
    <row r="1141" spans="1:1" x14ac:dyDescent="0.25">
      <c r="A1141" s="61" t="s">
        <v>1112</v>
      </c>
    </row>
    <row r="1142" spans="1:1" x14ac:dyDescent="0.25">
      <c r="A1142" s="61" t="s">
        <v>1112</v>
      </c>
    </row>
    <row r="1143" spans="1:1" x14ac:dyDescent="0.25">
      <c r="A1143" s="61" t="s">
        <v>1112</v>
      </c>
    </row>
    <row r="1144" spans="1:1" x14ac:dyDescent="0.25">
      <c r="A1144" s="61" t="s">
        <v>1112</v>
      </c>
    </row>
    <row r="1145" spans="1:1" x14ac:dyDescent="0.25">
      <c r="A1145" s="61" t="s">
        <v>1112</v>
      </c>
    </row>
    <row r="1146" spans="1:1" x14ac:dyDescent="0.25">
      <c r="A1146" s="61" t="s">
        <v>1112</v>
      </c>
    </row>
    <row r="1147" spans="1:1" x14ac:dyDescent="0.25">
      <c r="A1147" s="61" t="s">
        <v>1112</v>
      </c>
    </row>
    <row r="1148" spans="1:1" x14ac:dyDescent="0.25">
      <c r="A1148" s="61" t="s">
        <v>1112</v>
      </c>
    </row>
    <row r="1149" spans="1:1" x14ac:dyDescent="0.25">
      <c r="A1149" s="61" t="s">
        <v>1112</v>
      </c>
    </row>
    <row r="1150" spans="1:1" x14ac:dyDescent="0.25">
      <c r="A1150" s="61" t="s">
        <v>1112</v>
      </c>
    </row>
    <row r="1151" spans="1:1" x14ac:dyDescent="0.25">
      <c r="A1151" s="61" t="s">
        <v>1112</v>
      </c>
    </row>
    <row r="1152" spans="1:1" x14ac:dyDescent="0.25">
      <c r="A1152" s="61" t="s">
        <v>1112</v>
      </c>
    </row>
    <row r="1153" spans="1:1" x14ac:dyDescent="0.25">
      <c r="A1153" s="61" t="s">
        <v>1112</v>
      </c>
    </row>
    <row r="1154" spans="1:1" x14ac:dyDescent="0.25">
      <c r="A1154" s="61" t="s">
        <v>1112</v>
      </c>
    </row>
    <row r="1155" spans="1:1" x14ac:dyDescent="0.25">
      <c r="A1155" s="61" t="s">
        <v>1112</v>
      </c>
    </row>
    <row r="1156" spans="1:1" x14ac:dyDescent="0.25">
      <c r="A1156" s="61" t="s">
        <v>1112</v>
      </c>
    </row>
    <row r="1157" spans="1:1" x14ac:dyDescent="0.25">
      <c r="A1157" s="61" t="s">
        <v>1112</v>
      </c>
    </row>
    <row r="1158" spans="1:1" x14ac:dyDescent="0.25">
      <c r="A1158" s="61" t="s">
        <v>1112</v>
      </c>
    </row>
    <row r="1159" spans="1:1" x14ac:dyDescent="0.25">
      <c r="A1159" s="61" t="s">
        <v>1112</v>
      </c>
    </row>
    <row r="1160" spans="1:1" x14ac:dyDescent="0.25">
      <c r="A1160" s="61" t="s">
        <v>1112</v>
      </c>
    </row>
    <row r="1161" spans="1:1" x14ac:dyDescent="0.25">
      <c r="A1161" s="61" t="s">
        <v>1112</v>
      </c>
    </row>
    <row r="1162" spans="1:1" x14ac:dyDescent="0.25">
      <c r="A1162" s="61" t="s">
        <v>1112</v>
      </c>
    </row>
    <row r="1163" spans="1:1" x14ac:dyDescent="0.25">
      <c r="A1163" s="61" t="s">
        <v>1112</v>
      </c>
    </row>
    <row r="1164" spans="1:1" x14ac:dyDescent="0.25">
      <c r="A1164" s="61" t="s">
        <v>1112</v>
      </c>
    </row>
    <row r="1165" spans="1:1" x14ac:dyDescent="0.25">
      <c r="A1165" s="61" t="s">
        <v>1112</v>
      </c>
    </row>
    <row r="1166" spans="1:1" x14ac:dyDescent="0.25">
      <c r="A1166" s="61" t="s">
        <v>1112</v>
      </c>
    </row>
    <row r="1167" spans="1:1" x14ac:dyDescent="0.25">
      <c r="A1167" s="61" t="s">
        <v>1112</v>
      </c>
    </row>
    <row r="1168" spans="1:1" x14ac:dyDescent="0.25">
      <c r="A1168" s="61" t="s">
        <v>1112</v>
      </c>
    </row>
    <row r="1169" spans="1:1" x14ac:dyDescent="0.25">
      <c r="A1169" s="61" t="s">
        <v>1112</v>
      </c>
    </row>
    <row r="1170" spans="1:1" x14ac:dyDescent="0.25">
      <c r="A1170" s="61" t="s">
        <v>1112</v>
      </c>
    </row>
    <row r="1171" spans="1:1" x14ac:dyDescent="0.25">
      <c r="A1171" s="61" t="s">
        <v>1112</v>
      </c>
    </row>
    <row r="1172" spans="1:1" x14ac:dyDescent="0.25">
      <c r="A1172" s="61" t="s">
        <v>1112</v>
      </c>
    </row>
    <row r="1173" spans="1:1" x14ac:dyDescent="0.25">
      <c r="A1173" s="61" t="s">
        <v>1112</v>
      </c>
    </row>
    <row r="1174" spans="1:1" x14ac:dyDescent="0.25">
      <c r="A1174" s="61" t="s">
        <v>1112</v>
      </c>
    </row>
    <row r="1175" spans="1:1" x14ac:dyDescent="0.25">
      <c r="A1175" s="61" t="s">
        <v>1112</v>
      </c>
    </row>
    <row r="1176" spans="1:1" x14ac:dyDescent="0.25">
      <c r="A1176" s="61" t="s">
        <v>1112</v>
      </c>
    </row>
    <row r="1177" spans="1:1" x14ac:dyDescent="0.25">
      <c r="A1177" s="61" t="s">
        <v>1112</v>
      </c>
    </row>
    <row r="1178" spans="1:1" x14ac:dyDescent="0.25">
      <c r="A1178" s="61" t="s">
        <v>1112</v>
      </c>
    </row>
    <row r="1179" spans="1:1" x14ac:dyDescent="0.25">
      <c r="A1179" s="61" t="s">
        <v>1112</v>
      </c>
    </row>
    <row r="1180" spans="1:1" x14ac:dyDescent="0.25">
      <c r="A1180" s="61" t="s">
        <v>1112</v>
      </c>
    </row>
    <row r="1181" spans="1:1" x14ac:dyDescent="0.25">
      <c r="A1181" s="61" t="s">
        <v>1112</v>
      </c>
    </row>
    <row r="1182" spans="1:1" x14ac:dyDescent="0.25">
      <c r="A1182" s="61" t="s">
        <v>1112</v>
      </c>
    </row>
    <row r="1183" spans="1:1" x14ac:dyDescent="0.25">
      <c r="A1183" s="61" t="s">
        <v>1112</v>
      </c>
    </row>
    <row r="1184" spans="1:1" x14ac:dyDescent="0.25">
      <c r="A1184" s="61" t="s">
        <v>1112</v>
      </c>
    </row>
    <row r="1185" spans="1:1" x14ac:dyDescent="0.25">
      <c r="A1185" s="61" t="s">
        <v>1112</v>
      </c>
    </row>
    <row r="1186" spans="1:1" x14ac:dyDescent="0.25">
      <c r="A1186" s="61" t="s">
        <v>1112</v>
      </c>
    </row>
    <row r="1187" spans="1:1" x14ac:dyDescent="0.25">
      <c r="A1187" s="61" t="s">
        <v>1112</v>
      </c>
    </row>
    <row r="1188" spans="1:1" x14ac:dyDescent="0.25">
      <c r="A1188" s="61" t="s">
        <v>1112</v>
      </c>
    </row>
    <row r="1189" spans="1:1" x14ac:dyDescent="0.25">
      <c r="A1189" s="61" t="s">
        <v>1112</v>
      </c>
    </row>
    <row r="1190" spans="1:1" x14ac:dyDescent="0.25">
      <c r="A1190" s="61" t="s">
        <v>1112</v>
      </c>
    </row>
    <row r="1191" spans="1:1" x14ac:dyDescent="0.25">
      <c r="A1191" s="61" t="s">
        <v>1112</v>
      </c>
    </row>
    <row r="1192" spans="1:1" x14ac:dyDescent="0.25">
      <c r="A1192" s="61" t="s">
        <v>1112</v>
      </c>
    </row>
    <row r="1193" spans="1:1" x14ac:dyDescent="0.25">
      <c r="A1193" s="61" t="s">
        <v>1112</v>
      </c>
    </row>
    <row r="1194" spans="1:1" x14ac:dyDescent="0.25">
      <c r="A1194" s="61" t="s">
        <v>1112</v>
      </c>
    </row>
    <row r="1195" spans="1:1" x14ac:dyDescent="0.25">
      <c r="A1195" s="61" t="s">
        <v>1112</v>
      </c>
    </row>
    <row r="1196" spans="1:1" x14ac:dyDescent="0.25">
      <c r="A1196" s="61" t="s">
        <v>959</v>
      </c>
    </row>
    <row r="1197" spans="1:1" x14ac:dyDescent="0.25">
      <c r="A1197" s="61" t="s">
        <v>2150</v>
      </c>
    </row>
    <row r="1198" spans="1:1" x14ac:dyDescent="0.25">
      <c r="A1198" s="61" t="s">
        <v>2150</v>
      </c>
    </row>
    <row r="1199" spans="1:1" x14ac:dyDescent="0.25">
      <c r="A1199" s="61" t="s">
        <v>2150</v>
      </c>
    </row>
    <row r="1200" spans="1:1" x14ac:dyDescent="0.25">
      <c r="A1200" s="61" t="s">
        <v>2150</v>
      </c>
    </row>
    <row r="1201" spans="1:1" x14ac:dyDescent="0.25">
      <c r="A1201" s="61" t="s">
        <v>1112</v>
      </c>
    </row>
    <row r="1202" spans="1:1" x14ac:dyDescent="0.25">
      <c r="A1202" s="61" t="s">
        <v>1112</v>
      </c>
    </row>
    <row r="1203" spans="1:1" x14ac:dyDescent="0.25">
      <c r="A1203" s="61" t="s">
        <v>1112</v>
      </c>
    </row>
    <row r="1204" spans="1:1" x14ac:dyDescent="0.25">
      <c r="A1204" s="61" t="s">
        <v>1112</v>
      </c>
    </row>
    <row r="1205" spans="1:1" x14ac:dyDescent="0.25">
      <c r="A1205" s="61" t="s">
        <v>1112</v>
      </c>
    </row>
    <row r="1206" spans="1:1" x14ac:dyDescent="0.25">
      <c r="A1206" s="61" t="s">
        <v>1112</v>
      </c>
    </row>
    <row r="1207" spans="1:1" x14ac:dyDescent="0.25">
      <c r="A1207" s="61" t="s">
        <v>1112</v>
      </c>
    </row>
    <row r="1208" spans="1:1" x14ac:dyDescent="0.25">
      <c r="A1208" s="61" t="s">
        <v>1112</v>
      </c>
    </row>
    <row r="1209" spans="1:1" x14ac:dyDescent="0.25">
      <c r="A1209" s="61" t="s">
        <v>3820</v>
      </c>
    </row>
    <row r="1210" spans="1:1" x14ac:dyDescent="0.25">
      <c r="A1210" s="61" t="s">
        <v>1112</v>
      </c>
    </row>
    <row r="1211" spans="1:1" x14ac:dyDescent="0.25">
      <c r="A1211" s="61" t="s">
        <v>1112</v>
      </c>
    </row>
    <row r="1212" spans="1:1" x14ac:dyDescent="0.25">
      <c r="A1212" s="61" t="s">
        <v>1112</v>
      </c>
    </row>
    <row r="1213" spans="1:1" x14ac:dyDescent="0.25">
      <c r="A1213" s="61" t="s">
        <v>1112</v>
      </c>
    </row>
    <row r="1214" spans="1:1" x14ac:dyDescent="0.25">
      <c r="A1214" s="61" t="s">
        <v>1112</v>
      </c>
    </row>
    <row r="1215" spans="1:1" x14ac:dyDescent="0.25">
      <c r="A1215" s="61" t="s">
        <v>1112</v>
      </c>
    </row>
    <row r="1216" spans="1:1" x14ac:dyDescent="0.25">
      <c r="A1216" s="61" t="s">
        <v>1112</v>
      </c>
    </row>
    <row r="1217" spans="1:1" x14ac:dyDescent="0.25">
      <c r="A1217" s="61" t="s">
        <v>1112</v>
      </c>
    </row>
    <row r="1218" spans="1:1" x14ac:dyDescent="0.25">
      <c r="A1218" s="61" t="s">
        <v>1112</v>
      </c>
    </row>
    <row r="1219" spans="1:1" x14ac:dyDescent="0.25">
      <c r="A1219" s="61" t="s">
        <v>1112</v>
      </c>
    </row>
    <row r="1220" spans="1:1" x14ac:dyDescent="0.25">
      <c r="A1220" s="61" t="s">
        <v>1112</v>
      </c>
    </row>
    <row r="1221" spans="1:1" x14ac:dyDescent="0.25">
      <c r="A1221" s="61" t="s">
        <v>1112</v>
      </c>
    </row>
    <row r="1222" spans="1:1" x14ac:dyDescent="0.25">
      <c r="A1222" s="61" t="s">
        <v>1112</v>
      </c>
    </row>
    <row r="1223" spans="1:1" x14ac:dyDescent="0.25">
      <c r="A1223" s="61" t="s">
        <v>1112</v>
      </c>
    </row>
    <row r="1224" spans="1:1" x14ac:dyDescent="0.25">
      <c r="A1224" s="61" t="s">
        <v>1112</v>
      </c>
    </row>
    <row r="1225" spans="1:1" x14ac:dyDescent="0.25">
      <c r="A1225" s="61" t="s">
        <v>1112</v>
      </c>
    </row>
    <row r="1226" spans="1:1" x14ac:dyDescent="0.25">
      <c r="A1226" s="61" t="s">
        <v>1112</v>
      </c>
    </row>
    <row r="1227" spans="1:1" x14ac:dyDescent="0.25">
      <c r="A1227" s="61" t="s">
        <v>1112</v>
      </c>
    </row>
    <row r="1228" spans="1:1" x14ac:dyDescent="0.25">
      <c r="A1228" s="61" t="s">
        <v>1112</v>
      </c>
    </row>
    <row r="1229" spans="1:1" x14ac:dyDescent="0.25">
      <c r="A1229" s="61" t="s">
        <v>1112</v>
      </c>
    </row>
    <row r="1230" spans="1:1" x14ac:dyDescent="0.25">
      <c r="A1230" s="61" t="s">
        <v>1112</v>
      </c>
    </row>
    <row r="1231" spans="1:1" x14ac:dyDescent="0.25">
      <c r="A1231" s="61" t="s">
        <v>1112</v>
      </c>
    </row>
    <row r="1232" spans="1:1" x14ac:dyDescent="0.25">
      <c r="A1232" s="61" t="s">
        <v>1112</v>
      </c>
    </row>
    <row r="1233" spans="1:1" x14ac:dyDescent="0.25">
      <c r="A1233" s="61" t="s">
        <v>1112</v>
      </c>
    </row>
    <row r="1234" spans="1:1" x14ac:dyDescent="0.25">
      <c r="A1234" s="61" t="s">
        <v>1112</v>
      </c>
    </row>
    <row r="1235" spans="1:1" x14ac:dyDescent="0.25">
      <c r="A1235" s="61" t="s">
        <v>1112</v>
      </c>
    </row>
    <row r="1236" spans="1:1" x14ac:dyDescent="0.25">
      <c r="A1236" s="61" t="s">
        <v>1112</v>
      </c>
    </row>
    <row r="1237" spans="1:1" x14ac:dyDescent="0.25">
      <c r="A1237" s="61" t="s">
        <v>1112</v>
      </c>
    </row>
    <row r="1238" spans="1:1" x14ac:dyDescent="0.25">
      <c r="A1238" s="61" t="s">
        <v>1112</v>
      </c>
    </row>
    <row r="1239" spans="1:1" x14ac:dyDescent="0.25">
      <c r="A1239" s="61" t="s">
        <v>1112</v>
      </c>
    </row>
    <row r="1240" spans="1:1" x14ac:dyDescent="0.25">
      <c r="A1240" s="61" t="s">
        <v>1112</v>
      </c>
    </row>
    <row r="1241" spans="1:1" x14ac:dyDescent="0.25">
      <c r="A1241" s="61" t="s">
        <v>959</v>
      </c>
    </row>
    <row r="1242" spans="1:1" x14ac:dyDescent="0.25">
      <c r="A1242" s="61" t="s">
        <v>959</v>
      </c>
    </row>
    <row r="1243" spans="1:1" x14ac:dyDescent="0.25">
      <c r="A1243" s="61" t="s">
        <v>959</v>
      </c>
    </row>
    <row r="1244" spans="1:1" x14ac:dyDescent="0.25">
      <c r="A1244" s="61" t="s">
        <v>959</v>
      </c>
    </row>
    <row r="1245" spans="1:1" x14ac:dyDescent="0.25">
      <c r="A1245" s="61" t="s">
        <v>959</v>
      </c>
    </row>
    <row r="1246" spans="1:1" x14ac:dyDescent="0.25">
      <c r="A1246" s="61" t="s">
        <v>959</v>
      </c>
    </row>
    <row r="1247" spans="1:1" x14ac:dyDescent="0.25">
      <c r="A1247" s="61" t="s">
        <v>959</v>
      </c>
    </row>
    <row r="1248" spans="1:1" x14ac:dyDescent="0.25">
      <c r="A1248" s="61" t="s">
        <v>959</v>
      </c>
    </row>
    <row r="1249" spans="1:1" x14ac:dyDescent="0.25">
      <c r="A1249" s="61" t="s">
        <v>959</v>
      </c>
    </row>
    <row r="1250" spans="1:1" x14ac:dyDescent="0.25">
      <c r="A1250" s="61" t="s">
        <v>959</v>
      </c>
    </row>
    <row r="1251" spans="1:1" x14ac:dyDescent="0.25">
      <c r="A1251" s="61" t="s">
        <v>959</v>
      </c>
    </row>
    <row r="1252" spans="1:1" x14ac:dyDescent="0.25">
      <c r="A1252" s="61" t="s">
        <v>959</v>
      </c>
    </row>
    <row r="1253" spans="1:1" x14ac:dyDescent="0.25">
      <c r="A1253" s="61" t="s">
        <v>959</v>
      </c>
    </row>
    <row r="1254" spans="1:1" x14ac:dyDescent="0.25">
      <c r="A1254" s="61" t="s">
        <v>959</v>
      </c>
    </row>
    <row r="1255" spans="1:1" x14ac:dyDescent="0.25">
      <c r="A1255" s="61" t="s">
        <v>959</v>
      </c>
    </row>
    <row r="1256" spans="1:1" x14ac:dyDescent="0.25">
      <c r="A1256" s="61" t="s">
        <v>959</v>
      </c>
    </row>
    <row r="1257" spans="1:1" x14ac:dyDescent="0.25">
      <c r="A1257" s="61" t="s">
        <v>959</v>
      </c>
    </row>
    <row r="1258" spans="1:1" x14ac:dyDescent="0.25">
      <c r="A1258" s="61" t="s">
        <v>959</v>
      </c>
    </row>
    <row r="1259" spans="1:1" x14ac:dyDescent="0.25">
      <c r="A1259" s="61" t="s">
        <v>959</v>
      </c>
    </row>
    <row r="1260" spans="1:1" x14ac:dyDescent="0.25">
      <c r="A1260" s="61" t="s">
        <v>959</v>
      </c>
    </row>
    <row r="1261" spans="1:1" x14ac:dyDescent="0.25">
      <c r="A1261" s="61" t="s">
        <v>959</v>
      </c>
    </row>
    <row r="1262" spans="1:1" x14ac:dyDescent="0.25">
      <c r="A1262" s="61" t="s">
        <v>959</v>
      </c>
    </row>
    <row r="1263" spans="1:1" x14ac:dyDescent="0.25">
      <c r="A1263" s="61" t="s">
        <v>959</v>
      </c>
    </row>
    <row r="1264" spans="1:1" x14ac:dyDescent="0.25">
      <c r="A1264" s="61" t="s">
        <v>959</v>
      </c>
    </row>
    <row r="1265" spans="1:1" x14ac:dyDescent="0.25">
      <c r="A1265" s="61" t="s">
        <v>959</v>
      </c>
    </row>
    <row r="1266" spans="1:1" x14ac:dyDescent="0.25">
      <c r="A1266" s="61" t="s">
        <v>959</v>
      </c>
    </row>
    <row r="1267" spans="1:1" x14ac:dyDescent="0.25">
      <c r="A1267" s="61" t="s">
        <v>3943</v>
      </c>
    </row>
    <row r="1268" spans="1:1" x14ac:dyDescent="0.25">
      <c r="A1268" s="61" t="s">
        <v>959</v>
      </c>
    </row>
    <row r="1269" spans="1:1" x14ac:dyDescent="0.25">
      <c r="A1269" s="61" t="s">
        <v>959</v>
      </c>
    </row>
    <row r="1270" spans="1:1" x14ac:dyDescent="0.25">
      <c r="A1270" s="61" t="s">
        <v>959</v>
      </c>
    </row>
    <row r="1271" spans="1:1" x14ac:dyDescent="0.25">
      <c r="A1271" s="61" t="s">
        <v>959</v>
      </c>
    </row>
    <row r="1272" spans="1:1" x14ac:dyDescent="0.25">
      <c r="A1272" s="61" t="s">
        <v>959</v>
      </c>
    </row>
    <row r="1273" spans="1:1" x14ac:dyDescent="0.25">
      <c r="A1273" s="103" t="s">
        <v>959</v>
      </c>
    </row>
    <row r="1274" spans="1:1" x14ac:dyDescent="0.25">
      <c r="A1274" s="103" t="s">
        <v>959</v>
      </c>
    </row>
    <row r="1275" spans="1:1" x14ac:dyDescent="0.25">
      <c r="A1275" s="103" t="s">
        <v>959</v>
      </c>
    </row>
    <row r="1276" spans="1:1" x14ac:dyDescent="0.25">
      <c r="A1276" s="103" t="s">
        <v>959</v>
      </c>
    </row>
    <row r="1277" spans="1:1" x14ac:dyDescent="0.25">
      <c r="A1277" s="103" t="s">
        <v>959</v>
      </c>
    </row>
    <row r="1278" spans="1:1" x14ac:dyDescent="0.25">
      <c r="A1278" s="103" t="s">
        <v>959</v>
      </c>
    </row>
    <row r="1279" spans="1:1" x14ac:dyDescent="0.25">
      <c r="A1279" s="103" t="s">
        <v>959</v>
      </c>
    </row>
    <row r="1280" spans="1:1" x14ac:dyDescent="0.25">
      <c r="A1280" s="61" t="s">
        <v>959</v>
      </c>
    </row>
    <row r="1281" spans="1:1" x14ac:dyDescent="0.25">
      <c r="A1281" s="61" t="s">
        <v>959</v>
      </c>
    </row>
    <row r="1282" spans="1:1" x14ac:dyDescent="0.25">
      <c r="A1282" s="61" t="s">
        <v>959</v>
      </c>
    </row>
    <row r="1283" spans="1:1" x14ac:dyDescent="0.25">
      <c r="A1283" s="61" t="s">
        <v>959</v>
      </c>
    </row>
    <row r="1284" spans="1:1" x14ac:dyDescent="0.25">
      <c r="A1284" s="61" t="s">
        <v>959</v>
      </c>
    </row>
    <row r="1285" spans="1:1" x14ac:dyDescent="0.25">
      <c r="A1285" s="61" t="s">
        <v>959</v>
      </c>
    </row>
    <row r="1286" spans="1:1" x14ac:dyDescent="0.25">
      <c r="A1286" s="61" t="s">
        <v>959</v>
      </c>
    </row>
    <row r="1287" spans="1:1" x14ac:dyDescent="0.25">
      <c r="A1287" s="61" t="s">
        <v>959</v>
      </c>
    </row>
    <row r="1288" spans="1:1" x14ac:dyDescent="0.25">
      <c r="A1288" s="61" t="s">
        <v>959</v>
      </c>
    </row>
    <row r="1289" spans="1:1" x14ac:dyDescent="0.25">
      <c r="A1289" s="61" t="s">
        <v>959</v>
      </c>
    </row>
    <row r="1290" spans="1:1" x14ac:dyDescent="0.25">
      <c r="A1290" s="61" t="s">
        <v>959</v>
      </c>
    </row>
    <row r="1291" spans="1:1" x14ac:dyDescent="0.25">
      <c r="A1291" s="61" t="s">
        <v>959</v>
      </c>
    </row>
    <row r="1292" spans="1:1" x14ac:dyDescent="0.25">
      <c r="A1292" s="61" t="s">
        <v>959</v>
      </c>
    </row>
    <row r="1293" spans="1:1" x14ac:dyDescent="0.25">
      <c r="A1293" s="61" t="s">
        <v>959</v>
      </c>
    </row>
    <row r="1294" spans="1:1" x14ac:dyDescent="0.25">
      <c r="A1294" s="103" t="s">
        <v>4010</v>
      </c>
    </row>
    <row r="1295" spans="1:1" x14ac:dyDescent="0.25">
      <c r="A1295" s="61" t="s">
        <v>4015</v>
      </c>
    </row>
    <row r="1296" spans="1:1" x14ac:dyDescent="0.25">
      <c r="A1296" s="61" t="s">
        <v>4015</v>
      </c>
    </row>
    <row r="1297" spans="1:1" x14ac:dyDescent="0.25">
      <c r="A1297" s="61" t="s">
        <v>4015</v>
      </c>
    </row>
    <row r="1298" spans="1:1" x14ac:dyDescent="0.25">
      <c r="A1298" s="61" t="s">
        <v>4015</v>
      </c>
    </row>
    <row r="1299" spans="1:1" x14ac:dyDescent="0.25">
      <c r="A1299" s="61" t="s">
        <v>4015</v>
      </c>
    </row>
    <row r="1300" spans="1:1" x14ac:dyDescent="0.25">
      <c r="A1300" s="61" t="s">
        <v>4015</v>
      </c>
    </row>
    <row r="1301" spans="1:1" x14ac:dyDescent="0.25">
      <c r="A1301" s="61" t="s">
        <v>4032</v>
      </c>
    </row>
    <row r="1302" spans="1:1" x14ac:dyDescent="0.25">
      <c r="A1302" s="61" t="s">
        <v>4032</v>
      </c>
    </row>
    <row r="1303" spans="1:1" x14ac:dyDescent="0.25">
      <c r="A1303" s="61" t="s">
        <v>527</v>
      </c>
    </row>
    <row r="1304" spans="1:1" x14ac:dyDescent="0.25">
      <c r="A1304" s="236" t="s">
        <v>4032</v>
      </c>
    </row>
    <row r="1305" spans="1:1" x14ac:dyDescent="0.25">
      <c r="A1305" s="103" t="s">
        <v>4041</v>
      </c>
    </row>
    <row r="1306" spans="1:1" x14ac:dyDescent="0.25">
      <c r="A1306" s="103" t="s">
        <v>4044</v>
      </c>
    </row>
    <row r="1307" spans="1:1" x14ac:dyDescent="0.25">
      <c r="A1307" s="103" t="s">
        <v>4044</v>
      </c>
    </row>
    <row r="1308" spans="1:1" x14ac:dyDescent="0.25">
      <c r="A1308" s="61" t="s">
        <v>4049</v>
      </c>
    </row>
    <row r="1309" spans="1:1" x14ac:dyDescent="0.25">
      <c r="A1309" s="61" t="s">
        <v>4049</v>
      </c>
    </row>
    <row r="1310" spans="1:1" x14ac:dyDescent="0.25">
      <c r="A1310" s="61" t="s">
        <v>4049</v>
      </c>
    </row>
    <row r="1311" spans="1:1" x14ac:dyDescent="0.25">
      <c r="A1311" s="61" t="s">
        <v>4049</v>
      </c>
    </row>
    <row r="1312" spans="1:1" x14ac:dyDescent="0.25">
      <c r="A1312" s="61" t="s">
        <v>4049</v>
      </c>
    </row>
    <row r="1313" spans="1:1" x14ac:dyDescent="0.25">
      <c r="A1313" s="61" t="s">
        <v>4049</v>
      </c>
    </row>
    <row r="1314" spans="1:1" x14ac:dyDescent="0.25">
      <c r="A1314" s="61" t="s">
        <v>4049</v>
      </c>
    </row>
    <row r="1315" spans="1:1" x14ac:dyDescent="0.25">
      <c r="A1315" s="61" t="s">
        <v>4049</v>
      </c>
    </row>
    <row r="1316" spans="1:1" x14ac:dyDescent="0.25">
      <c r="A1316" s="61" t="s">
        <v>4049</v>
      </c>
    </row>
    <row r="1317" spans="1:1" x14ac:dyDescent="0.25">
      <c r="A1317" s="61" t="s">
        <v>4049</v>
      </c>
    </row>
    <row r="1318" spans="1:1" x14ac:dyDescent="0.25">
      <c r="A1318" s="61" t="s">
        <v>4049</v>
      </c>
    </row>
    <row r="1319" spans="1:1" x14ac:dyDescent="0.25">
      <c r="A1319" s="61" t="s">
        <v>4049</v>
      </c>
    </row>
    <row r="1320" spans="1:1" x14ac:dyDescent="0.25">
      <c r="A1320" s="61" t="s">
        <v>2150</v>
      </c>
    </row>
    <row r="1321" spans="1:1" x14ac:dyDescent="0.25">
      <c r="A1321" s="61" t="s">
        <v>4049</v>
      </c>
    </row>
    <row r="1322" spans="1:1" x14ac:dyDescent="0.25">
      <c r="A1322" s="61" t="s">
        <v>4049</v>
      </c>
    </row>
    <row r="1323" spans="1:1" x14ac:dyDescent="0.25">
      <c r="A1323" s="61" t="s">
        <v>4049</v>
      </c>
    </row>
    <row r="1324" spans="1:1" x14ac:dyDescent="0.25">
      <c r="A1324" s="61" t="s">
        <v>4049</v>
      </c>
    </row>
    <row r="1325" spans="1:1" x14ac:dyDescent="0.25">
      <c r="A1325" s="61" t="s">
        <v>4049</v>
      </c>
    </row>
    <row r="1326" spans="1:1" x14ac:dyDescent="0.25">
      <c r="A1326" s="61" t="s">
        <v>4049</v>
      </c>
    </row>
    <row r="1327" spans="1:1" x14ac:dyDescent="0.25">
      <c r="A1327" s="61" t="s">
        <v>4049</v>
      </c>
    </row>
    <row r="1328" spans="1:1" x14ac:dyDescent="0.25">
      <c r="A1328" s="61" t="s">
        <v>4049</v>
      </c>
    </row>
    <row r="1329" spans="1:1" x14ac:dyDescent="0.25">
      <c r="A1329" s="61" t="s">
        <v>1112</v>
      </c>
    </row>
    <row r="1330" spans="1:1" x14ac:dyDescent="0.25">
      <c r="A1330" s="61" t="s">
        <v>1112</v>
      </c>
    </row>
    <row r="1331" spans="1:1" x14ac:dyDescent="0.25">
      <c r="A1331" s="61" t="s">
        <v>1112</v>
      </c>
    </row>
    <row r="1332" spans="1:1" x14ac:dyDescent="0.25">
      <c r="A1332" s="61" t="s">
        <v>1112</v>
      </c>
    </row>
    <row r="1333" spans="1:1" x14ac:dyDescent="0.25">
      <c r="A1333" s="61" t="s">
        <v>1112</v>
      </c>
    </row>
    <row r="1334" spans="1:1" x14ac:dyDescent="0.25">
      <c r="A1334" s="61" t="s">
        <v>4049</v>
      </c>
    </row>
    <row r="1335" spans="1:1" x14ac:dyDescent="0.25">
      <c r="A1335" s="61" t="s">
        <v>4049</v>
      </c>
    </row>
    <row r="1336" spans="1:1" x14ac:dyDescent="0.25">
      <c r="A1336" s="61" t="s">
        <v>4049</v>
      </c>
    </row>
    <row r="1337" spans="1:1" x14ac:dyDescent="0.25">
      <c r="A1337" s="61" t="s">
        <v>4049</v>
      </c>
    </row>
    <row r="1338" spans="1:1" x14ac:dyDescent="0.25">
      <c r="A1338" s="61" t="s">
        <v>1843</v>
      </c>
    </row>
    <row r="1339" spans="1:1" x14ac:dyDescent="0.25">
      <c r="A1339" s="61" t="s">
        <v>1843</v>
      </c>
    </row>
    <row r="1340" spans="1:1" x14ac:dyDescent="0.25">
      <c r="A1340" s="61" t="s">
        <v>4153</v>
      </c>
    </row>
    <row r="1341" spans="1:1" x14ac:dyDescent="0.25">
      <c r="A1341" s="61" t="s">
        <v>4153</v>
      </c>
    </row>
    <row r="1342" spans="1:1" x14ac:dyDescent="0.25">
      <c r="A1342" s="61" t="s">
        <v>4153</v>
      </c>
    </row>
    <row r="1343" spans="1:1" x14ac:dyDescent="0.25">
      <c r="A1343" s="61" t="s">
        <v>1843</v>
      </c>
    </row>
    <row r="1344" spans="1:1" x14ac:dyDescent="0.25">
      <c r="A1344" s="61" t="s">
        <v>4153</v>
      </c>
    </row>
    <row r="1345" spans="1:1" x14ac:dyDescent="0.25">
      <c r="A1345" s="61" t="s">
        <v>4161</v>
      </c>
    </row>
    <row r="1346" spans="1:1" x14ac:dyDescent="0.25">
      <c r="A1346" s="61" t="s">
        <v>4161</v>
      </c>
    </row>
    <row r="1347" spans="1:1" x14ac:dyDescent="0.25">
      <c r="A1347" s="61" t="s">
        <v>4161</v>
      </c>
    </row>
    <row r="1348" spans="1:1" x14ac:dyDescent="0.25">
      <c r="A1348" s="61" t="s">
        <v>4161</v>
      </c>
    </row>
    <row r="1349" spans="1:1" x14ac:dyDescent="0.25">
      <c r="A1349" s="61" t="s">
        <v>4161</v>
      </c>
    </row>
    <row r="1350" spans="1:1" x14ac:dyDescent="0.25">
      <c r="A1350" s="61" t="s">
        <v>4161</v>
      </c>
    </row>
    <row r="1351" spans="1:1" x14ac:dyDescent="0.25">
      <c r="A1351" s="61" t="s">
        <v>4161</v>
      </c>
    </row>
    <row r="1352" spans="1:1" x14ac:dyDescent="0.25">
      <c r="A1352" s="61" t="s">
        <v>4161</v>
      </c>
    </row>
    <row r="1353" spans="1:1" x14ac:dyDescent="0.25">
      <c r="A1353" s="61" t="s">
        <v>4161</v>
      </c>
    </row>
    <row r="1354" spans="1:1" x14ac:dyDescent="0.25">
      <c r="A1354" s="61" t="s">
        <v>4161</v>
      </c>
    </row>
    <row r="1355" spans="1:1" x14ac:dyDescent="0.25">
      <c r="A1355" s="61" t="s">
        <v>4161</v>
      </c>
    </row>
    <row r="1356" spans="1:1" x14ac:dyDescent="0.25">
      <c r="A1356" s="61" t="s">
        <v>1977</v>
      </c>
    </row>
    <row r="1357" spans="1:1" ht="30" x14ac:dyDescent="0.25">
      <c r="A1357" s="61" t="s">
        <v>4194</v>
      </c>
    </row>
    <row r="1358" spans="1:1" x14ac:dyDescent="0.25">
      <c r="A1358" s="61" t="s">
        <v>4153</v>
      </c>
    </row>
    <row r="1359" spans="1:1" x14ac:dyDescent="0.25">
      <c r="A1359" s="61" t="s">
        <v>4049</v>
      </c>
    </row>
    <row r="1360" spans="1:1" x14ac:dyDescent="0.25">
      <c r="A1360" s="61" t="s">
        <v>4161</v>
      </c>
    </row>
    <row r="1361" spans="1:1" x14ac:dyDescent="0.25">
      <c r="A1361" s="61" t="s">
        <v>4161</v>
      </c>
    </row>
    <row r="1362" spans="1:1" x14ac:dyDescent="0.25">
      <c r="A1362" s="61" t="s">
        <v>4161</v>
      </c>
    </row>
    <row r="1363" spans="1:1" x14ac:dyDescent="0.25">
      <c r="A1363" s="61" t="s">
        <v>4161</v>
      </c>
    </row>
    <row r="1364" spans="1:1" x14ac:dyDescent="0.25">
      <c r="A1364" s="61" t="s">
        <v>4161</v>
      </c>
    </row>
    <row r="1365" spans="1:1" x14ac:dyDescent="0.25">
      <c r="A1365" s="61" t="s">
        <v>4049</v>
      </c>
    </row>
    <row r="1366" spans="1:1" x14ac:dyDescent="0.25">
      <c r="A1366" s="61" t="s">
        <v>4161</v>
      </c>
    </row>
    <row r="1367" spans="1:1" x14ac:dyDescent="0.25">
      <c r="A1367" s="61" t="s">
        <v>4161</v>
      </c>
    </row>
    <row r="1368" spans="1:1" x14ac:dyDescent="0.25">
      <c r="A1368" s="61" t="s">
        <v>4161</v>
      </c>
    </row>
    <row r="1369" spans="1:1" x14ac:dyDescent="0.25">
      <c r="A1369" s="61" t="s">
        <v>4161</v>
      </c>
    </row>
    <row r="1370" spans="1:1" x14ac:dyDescent="0.25">
      <c r="A1370" s="61" t="s">
        <v>4049</v>
      </c>
    </row>
    <row r="1371" spans="1:1" x14ac:dyDescent="0.25">
      <c r="A1371" s="61" t="s">
        <v>4049</v>
      </c>
    </row>
    <row r="1372" spans="1:1" x14ac:dyDescent="0.25">
      <c r="A1372" s="61" t="s">
        <v>4049</v>
      </c>
    </row>
    <row r="1373" spans="1:1" x14ac:dyDescent="0.25">
      <c r="A1373" s="61" t="s">
        <v>2150</v>
      </c>
    </row>
    <row r="1374" spans="1:1" x14ac:dyDescent="0.25">
      <c r="A1374" s="61" t="s">
        <v>2150</v>
      </c>
    </row>
    <row r="1375" spans="1:1" x14ac:dyDescent="0.25">
      <c r="A1375" s="61" t="s">
        <v>2150</v>
      </c>
    </row>
    <row r="1376" spans="1:1" x14ac:dyDescent="0.25">
      <c r="A1376" s="61" t="s">
        <v>2150</v>
      </c>
    </row>
    <row r="1377" spans="1:1" x14ac:dyDescent="0.25">
      <c r="A1377" s="61" t="s">
        <v>4049</v>
      </c>
    </row>
    <row r="1378" spans="1:1" x14ac:dyDescent="0.25">
      <c r="A1378" s="61" t="s">
        <v>4049</v>
      </c>
    </row>
    <row r="1379" spans="1:1" x14ac:dyDescent="0.25">
      <c r="A1379" s="61" t="s">
        <v>4049</v>
      </c>
    </row>
    <row r="1380" spans="1:1" x14ac:dyDescent="0.25">
      <c r="A1380" s="61" t="s">
        <v>2150</v>
      </c>
    </row>
    <row r="1381" spans="1:1" x14ac:dyDescent="0.25">
      <c r="A1381" s="61" t="s">
        <v>2150</v>
      </c>
    </row>
    <row r="1382" spans="1:1" x14ac:dyDescent="0.25">
      <c r="A1382" s="61" t="s">
        <v>2150</v>
      </c>
    </row>
    <row r="1383" spans="1:1" x14ac:dyDescent="0.25">
      <c r="A1383" s="61" t="s">
        <v>4049</v>
      </c>
    </row>
    <row r="1384" spans="1:1" x14ac:dyDescent="0.25">
      <c r="A1384" s="61" t="s">
        <v>2150</v>
      </c>
    </row>
    <row r="1385" spans="1:1" x14ac:dyDescent="0.25">
      <c r="A1385" s="61" t="s">
        <v>2150</v>
      </c>
    </row>
    <row r="1386" spans="1:1" x14ac:dyDescent="0.25">
      <c r="A1386" s="61" t="s">
        <v>2150</v>
      </c>
    </row>
    <row r="1387" spans="1:1" x14ac:dyDescent="0.25">
      <c r="A1387" s="61" t="s">
        <v>2150</v>
      </c>
    </row>
    <row r="1388" spans="1:1" x14ac:dyDescent="0.25">
      <c r="A1388" s="61" t="s">
        <v>2150</v>
      </c>
    </row>
    <row r="1389" spans="1:1" x14ac:dyDescent="0.25">
      <c r="A1389" s="61" t="s">
        <v>2150</v>
      </c>
    </row>
    <row r="1390" spans="1:1" x14ac:dyDescent="0.25">
      <c r="A1390" s="61" t="s">
        <v>2150</v>
      </c>
    </row>
    <row r="1391" spans="1:1" x14ac:dyDescent="0.25">
      <c r="A1391" s="61" t="s">
        <v>2150</v>
      </c>
    </row>
    <row r="1392" spans="1:1" x14ac:dyDescent="0.25">
      <c r="A1392" s="61" t="s">
        <v>2150</v>
      </c>
    </row>
    <row r="1393" spans="1:1" x14ac:dyDescent="0.25">
      <c r="A1393" s="61" t="s">
        <v>2150</v>
      </c>
    </row>
    <row r="1394" spans="1:1" x14ac:dyDescent="0.25">
      <c r="A1394" s="61" t="s">
        <v>2150</v>
      </c>
    </row>
    <row r="1395" spans="1:1" x14ac:dyDescent="0.25">
      <c r="A1395" s="61" t="s">
        <v>2150</v>
      </c>
    </row>
    <row r="1396" spans="1:1" x14ac:dyDescent="0.25">
      <c r="A1396" s="61" t="s">
        <v>2150</v>
      </c>
    </row>
    <row r="1397" spans="1:1" x14ac:dyDescent="0.25">
      <c r="A1397" s="61" t="s">
        <v>2150</v>
      </c>
    </row>
    <row r="1398" spans="1:1" x14ac:dyDescent="0.25">
      <c r="A1398" s="61" t="s">
        <v>2150</v>
      </c>
    </row>
    <row r="1399" spans="1:1" x14ac:dyDescent="0.25">
      <c r="A1399" s="61" t="s">
        <v>2150</v>
      </c>
    </row>
    <row r="1400" spans="1:1" x14ac:dyDescent="0.25">
      <c r="A1400" s="61" t="s">
        <v>2150</v>
      </c>
    </row>
    <row r="1401" spans="1:1" x14ac:dyDescent="0.25">
      <c r="A1401" s="61" t="s">
        <v>2150</v>
      </c>
    </row>
    <row r="1402" spans="1:1" x14ac:dyDescent="0.25">
      <c r="A1402" s="61" t="s">
        <v>2150</v>
      </c>
    </row>
    <row r="1403" spans="1:1" x14ac:dyDescent="0.25">
      <c r="A1403" s="61" t="s">
        <v>2150</v>
      </c>
    </row>
    <row r="1404" spans="1:1" x14ac:dyDescent="0.25">
      <c r="A1404" s="61" t="s">
        <v>2150</v>
      </c>
    </row>
    <row r="1405" spans="1:1" x14ac:dyDescent="0.25">
      <c r="A1405" s="61" t="s">
        <v>4161</v>
      </c>
    </row>
    <row r="1406" spans="1:1" x14ac:dyDescent="0.25">
      <c r="A1406" s="61" t="s">
        <v>4161</v>
      </c>
    </row>
    <row r="1407" spans="1:1" x14ac:dyDescent="0.25">
      <c r="A1407" s="61" t="s">
        <v>4161</v>
      </c>
    </row>
    <row r="1408" spans="1:1" x14ac:dyDescent="0.25">
      <c r="A1408" s="61" t="s">
        <v>4161</v>
      </c>
    </row>
    <row r="1409" spans="1:1" x14ac:dyDescent="0.25">
      <c r="A1409" s="61" t="s">
        <v>4161</v>
      </c>
    </row>
    <row r="1410" spans="1:1" x14ac:dyDescent="0.25">
      <c r="A1410" s="61" t="s">
        <v>4161</v>
      </c>
    </row>
    <row r="1411" spans="1:1" x14ac:dyDescent="0.25">
      <c r="A1411" s="61" t="s">
        <v>1112</v>
      </c>
    </row>
    <row r="1412" spans="1:1" x14ac:dyDescent="0.25">
      <c r="A1412" s="61" t="s">
        <v>1112</v>
      </c>
    </row>
    <row r="1413" spans="1:1" x14ac:dyDescent="0.25">
      <c r="A1413" s="61" t="s">
        <v>4161</v>
      </c>
    </row>
    <row r="1414" spans="1:1" x14ac:dyDescent="0.25">
      <c r="A1414" s="61" t="s">
        <v>4161</v>
      </c>
    </row>
    <row r="1415" spans="1:1" x14ac:dyDescent="0.25">
      <c r="A1415" s="61" t="s">
        <v>1112</v>
      </c>
    </row>
    <row r="1416" spans="1:1" x14ac:dyDescent="0.25">
      <c r="A1416" s="61" t="s">
        <v>1112</v>
      </c>
    </row>
    <row r="1417" spans="1:1" x14ac:dyDescent="0.25">
      <c r="A1417" s="61" t="s">
        <v>1112</v>
      </c>
    </row>
    <row r="1418" spans="1:1" x14ac:dyDescent="0.25">
      <c r="A1418" s="61" t="s">
        <v>1112</v>
      </c>
    </row>
    <row r="1419" spans="1:1" x14ac:dyDescent="0.25">
      <c r="A1419" s="61" t="s">
        <v>4161</v>
      </c>
    </row>
    <row r="1420" spans="1:1" x14ac:dyDescent="0.25">
      <c r="A1420" s="61" t="s">
        <v>4161</v>
      </c>
    </row>
    <row r="1421" spans="1:1" x14ac:dyDescent="0.25">
      <c r="A1421" s="61" t="s">
        <v>4161</v>
      </c>
    </row>
    <row r="1422" spans="1:1" x14ac:dyDescent="0.25">
      <c r="A1422" s="61" t="s">
        <v>2150</v>
      </c>
    </row>
    <row r="1423" spans="1:1" x14ac:dyDescent="0.25">
      <c r="A1423" s="61" t="s">
        <v>4161</v>
      </c>
    </row>
    <row r="1424" spans="1:1" x14ac:dyDescent="0.25">
      <c r="A1424" s="61" t="s">
        <v>4161</v>
      </c>
    </row>
    <row r="1425" spans="1:1" x14ac:dyDescent="0.25">
      <c r="A1425" s="61" t="s">
        <v>4161</v>
      </c>
    </row>
    <row r="1426" spans="1:1" x14ac:dyDescent="0.25">
      <c r="A1426" s="61" t="s">
        <v>4161</v>
      </c>
    </row>
    <row r="1427" spans="1:1" x14ac:dyDescent="0.25">
      <c r="A1427" s="61" t="s">
        <v>4161</v>
      </c>
    </row>
    <row r="1428" spans="1:1" x14ac:dyDescent="0.25">
      <c r="A1428" s="61" t="s">
        <v>4161</v>
      </c>
    </row>
    <row r="1429" spans="1:1" x14ac:dyDescent="0.25">
      <c r="A1429" s="61" t="s">
        <v>4161</v>
      </c>
    </row>
    <row r="1430" spans="1:1" x14ac:dyDescent="0.25">
      <c r="A1430" s="61" t="s">
        <v>4161</v>
      </c>
    </row>
    <row r="1431" spans="1:1" x14ac:dyDescent="0.25">
      <c r="A1431" s="61" t="s">
        <v>4161</v>
      </c>
    </row>
    <row r="1432" spans="1:1" x14ac:dyDescent="0.25">
      <c r="A1432" s="61" t="s">
        <v>4161</v>
      </c>
    </row>
    <row r="1433" spans="1:1" x14ac:dyDescent="0.25">
      <c r="A1433" s="61" t="s">
        <v>4161</v>
      </c>
    </row>
    <row r="1434" spans="1:1" x14ac:dyDescent="0.25">
      <c r="A1434" s="61" t="s">
        <v>4161</v>
      </c>
    </row>
    <row r="1435" spans="1:1" x14ac:dyDescent="0.25">
      <c r="A1435" s="61" t="s">
        <v>4161</v>
      </c>
    </row>
    <row r="1436" spans="1:1" x14ac:dyDescent="0.25">
      <c r="A1436" s="61" t="s">
        <v>4161</v>
      </c>
    </row>
    <row r="1437" spans="1:1" x14ac:dyDescent="0.25">
      <c r="A1437" s="61" t="s">
        <v>4161</v>
      </c>
    </row>
    <row r="1438" spans="1:1" x14ac:dyDescent="0.25">
      <c r="A1438" s="61" t="s">
        <v>4161</v>
      </c>
    </row>
    <row r="1439" spans="1:1" x14ac:dyDescent="0.25">
      <c r="A1439" s="61" t="s">
        <v>4161</v>
      </c>
    </row>
    <row r="1440" spans="1:1" x14ac:dyDescent="0.25">
      <c r="A1440" s="61" t="s">
        <v>4161</v>
      </c>
    </row>
    <row r="1441" spans="1:1" x14ac:dyDescent="0.25">
      <c r="A1441" s="61" t="s">
        <v>4161</v>
      </c>
    </row>
    <row r="1442" spans="1:1" x14ac:dyDescent="0.25">
      <c r="A1442" s="61" t="s">
        <v>4161</v>
      </c>
    </row>
    <row r="1443" spans="1:1" x14ac:dyDescent="0.25">
      <c r="A1443" s="61" t="s">
        <v>4161</v>
      </c>
    </row>
    <row r="1444" spans="1:1" x14ac:dyDescent="0.25">
      <c r="A1444" s="61" t="s">
        <v>4161</v>
      </c>
    </row>
    <row r="1445" spans="1:1" x14ac:dyDescent="0.25">
      <c r="A1445" s="61" t="s">
        <v>4161</v>
      </c>
    </row>
    <row r="1446" spans="1:1" x14ac:dyDescent="0.25">
      <c r="A1446" s="61" t="s">
        <v>4377</v>
      </c>
    </row>
    <row r="1447" spans="1:1" x14ac:dyDescent="0.25">
      <c r="A1447" s="61" t="s">
        <v>4377</v>
      </c>
    </row>
    <row r="1448" spans="1:1" x14ac:dyDescent="0.25">
      <c r="A1448" s="61" t="s">
        <v>4161</v>
      </c>
    </row>
    <row r="1449" spans="1:1" x14ac:dyDescent="0.25">
      <c r="A1449" s="61" t="s">
        <v>4161</v>
      </c>
    </row>
    <row r="1450" spans="1:1" x14ac:dyDescent="0.25">
      <c r="A1450" s="61" t="s">
        <v>4161</v>
      </c>
    </row>
    <row r="1451" spans="1:1" x14ac:dyDescent="0.25">
      <c r="A1451" s="61" t="s">
        <v>4161</v>
      </c>
    </row>
    <row r="1452" spans="1:1" x14ac:dyDescent="0.25">
      <c r="A1452" s="61" t="s">
        <v>4161</v>
      </c>
    </row>
    <row r="1453" spans="1:1" x14ac:dyDescent="0.25">
      <c r="A1453" s="61" t="s">
        <v>4161</v>
      </c>
    </row>
    <row r="1454" spans="1:1" x14ac:dyDescent="0.25">
      <c r="A1454" s="61" t="s">
        <v>4161</v>
      </c>
    </row>
    <row r="1455" spans="1:1" x14ac:dyDescent="0.25">
      <c r="A1455" s="61" t="s">
        <v>4161</v>
      </c>
    </row>
    <row r="1456" spans="1:1" x14ac:dyDescent="0.25">
      <c r="A1456" s="61" t="s">
        <v>4377</v>
      </c>
    </row>
    <row r="1457" spans="1:1" x14ac:dyDescent="0.25">
      <c r="A1457" s="61" t="s">
        <v>4377</v>
      </c>
    </row>
    <row r="1458" spans="1:1" x14ac:dyDescent="0.25">
      <c r="A1458" s="61" t="s">
        <v>4377</v>
      </c>
    </row>
    <row r="1459" spans="1:1" x14ac:dyDescent="0.25">
      <c r="A1459" s="61" t="s">
        <v>4377</v>
      </c>
    </row>
    <row r="1460" spans="1:1" x14ac:dyDescent="0.25">
      <c r="A1460" s="61" t="s">
        <v>4407</v>
      </c>
    </row>
    <row r="1461" spans="1:1" x14ac:dyDescent="0.25">
      <c r="A1461" s="61" t="s">
        <v>4410</v>
      </c>
    </row>
    <row r="1462" spans="1:1" x14ac:dyDescent="0.25">
      <c r="A1462" s="61" t="s">
        <v>4407</v>
      </c>
    </row>
    <row r="1463" spans="1:1" x14ac:dyDescent="0.25">
      <c r="A1463" s="61" t="s">
        <v>4407</v>
      </c>
    </row>
    <row r="1464" spans="1:1" x14ac:dyDescent="0.25">
      <c r="A1464" s="61" t="s">
        <v>4407</v>
      </c>
    </row>
    <row r="1465" spans="1:1" x14ac:dyDescent="0.25">
      <c r="A1465" s="61" t="s">
        <v>4377</v>
      </c>
    </row>
    <row r="1466" spans="1:1" x14ac:dyDescent="0.25">
      <c r="A1466" s="61" t="s">
        <v>4407</v>
      </c>
    </row>
    <row r="1467" spans="1:1" x14ac:dyDescent="0.25">
      <c r="A1467" s="61" t="s">
        <v>4407</v>
      </c>
    </row>
    <row r="1468" spans="1:1" x14ac:dyDescent="0.25">
      <c r="A1468" s="61" t="s">
        <v>4407</v>
      </c>
    </row>
    <row r="1469" spans="1:1" x14ac:dyDescent="0.25">
      <c r="A1469" s="61" t="s">
        <v>4407</v>
      </c>
    </row>
    <row r="1470" spans="1:1" x14ac:dyDescent="0.25">
      <c r="A1470" s="61" t="s">
        <v>4407</v>
      </c>
    </row>
    <row r="1471" spans="1:1" x14ac:dyDescent="0.25">
      <c r="A1471" s="61" t="s">
        <v>4407</v>
      </c>
    </row>
    <row r="1472" spans="1:1" ht="30" x14ac:dyDescent="0.25">
      <c r="A1472" s="61" t="s">
        <v>4194</v>
      </c>
    </row>
    <row r="1473" spans="1:1" x14ac:dyDescent="0.25">
      <c r="A1473" s="61" t="s">
        <v>4434</v>
      </c>
    </row>
    <row r="1474" spans="1:1" x14ac:dyDescent="0.25">
      <c r="A1474" s="61" t="s">
        <v>4437</v>
      </c>
    </row>
    <row r="1475" spans="1:1" x14ac:dyDescent="0.25">
      <c r="A1475" s="61" t="s">
        <v>4434</v>
      </c>
    </row>
    <row r="1476" spans="1:1" x14ac:dyDescent="0.25">
      <c r="A1476" s="61" t="s">
        <v>4434</v>
      </c>
    </row>
    <row r="1477" spans="1:1" x14ac:dyDescent="0.25">
      <c r="A1477" s="61" t="s">
        <v>4437</v>
      </c>
    </row>
    <row r="1478" spans="1:1" x14ac:dyDescent="0.25">
      <c r="A1478" s="61" t="s">
        <v>4377</v>
      </c>
    </row>
    <row r="1479" spans="1:1" x14ac:dyDescent="0.25">
      <c r="A1479" s="61" t="s">
        <v>4377</v>
      </c>
    </row>
    <row r="1480" spans="1:1" x14ac:dyDescent="0.25">
      <c r="A1480" s="61" t="s">
        <v>2150</v>
      </c>
    </row>
    <row r="1481" spans="1:1" x14ac:dyDescent="0.25">
      <c r="A1481" s="61" t="s">
        <v>2150</v>
      </c>
    </row>
    <row r="1482" spans="1:1" x14ac:dyDescent="0.25">
      <c r="A1482" s="61" t="s">
        <v>2150</v>
      </c>
    </row>
    <row r="1483" spans="1:1" x14ac:dyDescent="0.25">
      <c r="A1483" s="61" t="s">
        <v>2150</v>
      </c>
    </row>
    <row r="1484" spans="1:1" x14ac:dyDescent="0.25">
      <c r="A1484" s="61" t="s">
        <v>4437</v>
      </c>
    </row>
    <row r="1485" spans="1:1" x14ac:dyDescent="0.25">
      <c r="A1485" s="61" t="s">
        <v>2150</v>
      </c>
    </row>
    <row r="1486" spans="1:1" x14ac:dyDescent="0.25">
      <c r="A1486" s="61" t="s">
        <v>4437</v>
      </c>
    </row>
    <row r="1487" spans="1:1" x14ac:dyDescent="0.25">
      <c r="A1487" s="61" t="s">
        <v>2150</v>
      </c>
    </row>
    <row r="1488" spans="1:1" x14ac:dyDescent="0.25">
      <c r="A1488" s="61" t="s">
        <v>2150</v>
      </c>
    </row>
    <row r="1489" spans="1:1" x14ac:dyDescent="0.25">
      <c r="A1489" s="61" t="s">
        <v>2150</v>
      </c>
    </row>
    <row r="1490" spans="1:1" x14ac:dyDescent="0.25">
      <c r="A1490" s="61" t="s">
        <v>4161</v>
      </c>
    </row>
    <row r="1491" spans="1:1" x14ac:dyDescent="0.25">
      <c r="A1491" s="61" t="s">
        <v>4161</v>
      </c>
    </row>
    <row r="1492" spans="1:1" x14ac:dyDescent="0.25">
      <c r="A1492" s="61" t="s">
        <v>2150</v>
      </c>
    </row>
    <row r="1493" spans="1:1" x14ac:dyDescent="0.25">
      <c r="A1493" s="61" t="s">
        <v>2150</v>
      </c>
    </row>
    <row r="1494" spans="1:1" x14ac:dyDescent="0.25">
      <c r="A1494" s="61" t="s">
        <v>2150</v>
      </c>
    </row>
    <row r="1495" spans="1:1" x14ac:dyDescent="0.25">
      <c r="A1495" s="61" t="s">
        <v>2150</v>
      </c>
    </row>
    <row r="1496" spans="1:1" x14ac:dyDescent="0.25">
      <c r="A1496" s="61" t="s">
        <v>4481</v>
      </c>
    </row>
    <row r="1497" spans="1:1" x14ac:dyDescent="0.25">
      <c r="A1497" s="61" t="s">
        <v>4481</v>
      </c>
    </row>
    <row r="1498" spans="1:1" x14ac:dyDescent="0.25">
      <c r="A1498" s="61" t="s">
        <v>4481</v>
      </c>
    </row>
    <row r="1499" spans="1:1" x14ac:dyDescent="0.25">
      <c r="A1499" s="61" t="s">
        <v>2150</v>
      </c>
    </row>
    <row r="1500" spans="1:1" x14ac:dyDescent="0.25">
      <c r="A1500" s="61" t="s">
        <v>4434</v>
      </c>
    </row>
    <row r="1501" spans="1:1" x14ac:dyDescent="0.25">
      <c r="A1501" s="61" t="s">
        <v>4434</v>
      </c>
    </row>
    <row r="1502" spans="1:1" x14ac:dyDescent="0.25">
      <c r="A1502" s="61" t="s">
        <v>4481</v>
      </c>
    </row>
    <row r="1503" spans="1:1" x14ac:dyDescent="0.25">
      <c r="A1503" s="61" t="s">
        <v>4481</v>
      </c>
    </row>
    <row r="1504" spans="1:1" x14ac:dyDescent="0.25">
      <c r="A1504" s="61" t="s">
        <v>4481</v>
      </c>
    </row>
    <row r="1505" spans="1:1" x14ac:dyDescent="0.25">
      <c r="A1505" s="61" t="s">
        <v>2150</v>
      </c>
    </row>
    <row r="1506" spans="1:1" x14ac:dyDescent="0.25">
      <c r="A1506" s="61" t="s">
        <v>2150</v>
      </c>
    </row>
    <row r="1507" spans="1:1" x14ac:dyDescent="0.25">
      <c r="A1507" s="61" t="s">
        <v>2150</v>
      </c>
    </row>
    <row r="1508" spans="1:1" x14ac:dyDescent="0.25">
      <c r="A1508" s="61" t="s">
        <v>2150</v>
      </c>
    </row>
    <row r="1509" spans="1:1" x14ac:dyDescent="0.25">
      <c r="A1509" s="61" t="s">
        <v>2150</v>
      </c>
    </row>
    <row r="1510" spans="1:1" x14ac:dyDescent="0.25">
      <c r="A1510" s="61" t="s">
        <v>2150</v>
      </c>
    </row>
    <row r="1511" spans="1:1" x14ac:dyDescent="0.25">
      <c r="A1511" s="61" t="s">
        <v>2150</v>
      </c>
    </row>
    <row r="1512" spans="1:1" x14ac:dyDescent="0.25">
      <c r="A1512" s="61" t="s">
        <v>2150</v>
      </c>
    </row>
    <row r="1513" spans="1:1" x14ac:dyDescent="0.25">
      <c r="A1513" s="61" t="s">
        <v>2150</v>
      </c>
    </row>
    <row r="1514" spans="1:1" x14ac:dyDescent="0.25">
      <c r="A1514" s="61" t="s">
        <v>2150</v>
      </c>
    </row>
    <row r="1515" spans="1:1" x14ac:dyDescent="0.25">
      <c r="A1515" s="61" t="s">
        <v>2150</v>
      </c>
    </row>
    <row r="1516" spans="1:1" x14ac:dyDescent="0.25">
      <c r="A1516" s="61" t="s">
        <v>2150</v>
      </c>
    </row>
    <row r="1517" spans="1:1" x14ac:dyDescent="0.25">
      <c r="A1517" s="61" t="s">
        <v>4377</v>
      </c>
    </row>
    <row r="1518" spans="1:1" x14ac:dyDescent="0.25">
      <c r="A1518" s="61" t="s">
        <v>4434</v>
      </c>
    </row>
    <row r="1519" spans="1:1" x14ac:dyDescent="0.25">
      <c r="A1519" s="61" t="s">
        <v>2150</v>
      </c>
    </row>
    <row r="1520" spans="1:1" x14ac:dyDescent="0.25">
      <c r="A1520" s="61" t="s">
        <v>2150</v>
      </c>
    </row>
    <row r="1521" spans="1:1" x14ac:dyDescent="0.25">
      <c r="A1521" s="61" t="s">
        <v>2150</v>
      </c>
    </row>
    <row r="1522" spans="1:1" x14ac:dyDescent="0.25">
      <c r="A1522" s="61" t="s">
        <v>2150</v>
      </c>
    </row>
    <row r="1523" spans="1:1" x14ac:dyDescent="0.25">
      <c r="A1523" s="61" t="s">
        <v>2150</v>
      </c>
    </row>
    <row r="1524" spans="1:1" x14ac:dyDescent="0.25">
      <c r="A1524" s="61" t="s">
        <v>4481</v>
      </c>
    </row>
    <row r="1525" spans="1:1" x14ac:dyDescent="0.25">
      <c r="A1525" s="61" t="s">
        <v>4481</v>
      </c>
    </row>
    <row r="1526" spans="1:1" x14ac:dyDescent="0.25">
      <c r="A1526" s="61" t="s">
        <v>2150</v>
      </c>
    </row>
    <row r="1527" spans="1:1" x14ac:dyDescent="0.25">
      <c r="A1527" s="61" t="s">
        <v>2150</v>
      </c>
    </row>
    <row r="1528" spans="1:1" x14ac:dyDescent="0.25">
      <c r="A1528" s="61" t="s">
        <v>4434</v>
      </c>
    </row>
    <row r="1529" spans="1:1" x14ac:dyDescent="0.25">
      <c r="A1529" s="61" t="s">
        <v>4481</v>
      </c>
    </row>
    <row r="1530" spans="1:1" x14ac:dyDescent="0.25">
      <c r="A1530" s="61" t="s">
        <v>2150</v>
      </c>
    </row>
    <row r="1531" spans="1:1" x14ac:dyDescent="0.25">
      <c r="A1531" s="61" t="s">
        <v>2150</v>
      </c>
    </row>
    <row r="1532" spans="1:1" x14ac:dyDescent="0.25">
      <c r="A1532" s="61" t="s">
        <v>2150</v>
      </c>
    </row>
    <row r="1533" spans="1:1" x14ac:dyDescent="0.25">
      <c r="A1533" s="61" t="s">
        <v>2150</v>
      </c>
    </row>
    <row r="1534" spans="1:1" x14ac:dyDescent="0.25">
      <c r="A1534" s="61" t="s">
        <v>4434</v>
      </c>
    </row>
    <row r="1535" spans="1:1" x14ac:dyDescent="0.25">
      <c r="A1535" s="61" t="s">
        <v>2150</v>
      </c>
    </row>
    <row r="1536" spans="1:1" x14ac:dyDescent="0.25">
      <c r="A1536" s="61" t="s">
        <v>2150</v>
      </c>
    </row>
    <row r="1537" spans="1:1" x14ac:dyDescent="0.25">
      <c r="A1537" s="61" t="s">
        <v>2150</v>
      </c>
    </row>
    <row r="1538" spans="1:1" x14ac:dyDescent="0.25">
      <c r="A1538" s="61" t="s">
        <v>2150</v>
      </c>
    </row>
    <row r="1539" spans="1:1" x14ac:dyDescent="0.25">
      <c r="A1539" s="61" t="s">
        <v>2150</v>
      </c>
    </row>
    <row r="1540" spans="1:1" x14ac:dyDescent="0.25">
      <c r="A1540" s="61" t="s">
        <v>4434</v>
      </c>
    </row>
    <row r="1541" spans="1:1" x14ac:dyDescent="0.25">
      <c r="A1541" s="61" t="s">
        <v>2150</v>
      </c>
    </row>
    <row r="1542" spans="1:1" x14ac:dyDescent="0.25">
      <c r="A1542" s="61" t="s">
        <v>2150</v>
      </c>
    </row>
    <row r="1543" spans="1:1" x14ac:dyDescent="0.25">
      <c r="A1543" s="61" t="s">
        <v>2150</v>
      </c>
    </row>
    <row r="1544" spans="1:1" x14ac:dyDescent="0.25">
      <c r="A1544" s="61" t="s">
        <v>2150</v>
      </c>
    </row>
    <row r="1545" spans="1:1" x14ac:dyDescent="0.25">
      <c r="A1545" s="61" t="s">
        <v>2150</v>
      </c>
    </row>
    <row r="1546" spans="1:1" x14ac:dyDescent="0.25">
      <c r="A1546" s="61" t="s">
        <v>4434</v>
      </c>
    </row>
    <row r="1547" spans="1:1" x14ac:dyDescent="0.25">
      <c r="A1547" s="61" t="s">
        <v>4434</v>
      </c>
    </row>
    <row r="1548" spans="1:1" x14ac:dyDescent="0.25">
      <c r="A1548" s="61" t="s">
        <v>1977</v>
      </c>
    </row>
    <row r="1549" spans="1:1" x14ac:dyDescent="0.25">
      <c r="A1549" s="61" t="s">
        <v>1977</v>
      </c>
    </row>
    <row r="1550" spans="1:1" x14ac:dyDescent="0.25">
      <c r="A1550" s="61" t="s">
        <v>4434</v>
      </c>
    </row>
    <row r="1551" spans="1:1" x14ac:dyDescent="0.25">
      <c r="A1551" s="61" t="s">
        <v>4434</v>
      </c>
    </row>
    <row r="1552" spans="1:1" x14ac:dyDescent="0.25">
      <c r="A1552" s="61" t="s">
        <v>4591</v>
      </c>
    </row>
    <row r="1553" spans="1:1" x14ac:dyDescent="0.25">
      <c r="A1553" s="61" t="s">
        <v>4591</v>
      </c>
    </row>
    <row r="1554" spans="1:1" x14ac:dyDescent="0.25">
      <c r="A1554" s="61" t="s">
        <v>4591</v>
      </c>
    </row>
    <row r="1555" spans="1:1" x14ac:dyDescent="0.25">
      <c r="A1555" s="61" t="s">
        <v>4591</v>
      </c>
    </row>
    <row r="1556" spans="1:1" x14ac:dyDescent="0.25">
      <c r="A1556" s="61" t="s">
        <v>4591</v>
      </c>
    </row>
    <row r="1557" spans="1:1" x14ac:dyDescent="0.25">
      <c r="A1557" s="61" t="s">
        <v>4591</v>
      </c>
    </row>
    <row r="1558" spans="1:1" x14ac:dyDescent="0.25">
      <c r="A1558" s="61" t="s">
        <v>4591</v>
      </c>
    </row>
    <row r="1559" spans="1:1" x14ac:dyDescent="0.25">
      <c r="A1559" s="61" t="s">
        <v>4591</v>
      </c>
    </row>
    <row r="1560" spans="1:1" x14ac:dyDescent="0.25">
      <c r="A1560" s="61" t="s">
        <v>4591</v>
      </c>
    </row>
    <row r="1561" spans="1:1" x14ac:dyDescent="0.25">
      <c r="A1561" s="61" t="s">
        <v>4591</v>
      </c>
    </row>
    <row r="1562" spans="1:1" x14ac:dyDescent="0.25">
      <c r="A1562" s="61" t="s">
        <v>4591</v>
      </c>
    </row>
    <row r="1563" spans="1:1" x14ac:dyDescent="0.25">
      <c r="A1563" s="61" t="s">
        <v>4434</v>
      </c>
    </row>
    <row r="1564" spans="1:1" x14ac:dyDescent="0.25">
      <c r="A1564" s="61" t="s">
        <v>2150</v>
      </c>
    </row>
    <row r="1565" spans="1:1" x14ac:dyDescent="0.25">
      <c r="A1565" s="61" t="s">
        <v>2150</v>
      </c>
    </row>
    <row r="1566" spans="1:1" x14ac:dyDescent="0.25">
      <c r="A1566" s="61" t="s">
        <v>4434</v>
      </c>
    </row>
    <row r="1567" spans="1:1" x14ac:dyDescent="0.25">
      <c r="A1567" s="61" t="s">
        <v>4591</v>
      </c>
    </row>
    <row r="1568" spans="1:1" x14ac:dyDescent="0.25">
      <c r="A1568" s="61" t="s">
        <v>4591</v>
      </c>
    </row>
    <row r="1569" spans="1:1" x14ac:dyDescent="0.25">
      <c r="A1569" s="61" t="s">
        <v>3351</v>
      </c>
    </row>
    <row r="1570" spans="1:1" x14ac:dyDescent="0.25">
      <c r="A1570" s="61" t="s">
        <v>3351</v>
      </c>
    </row>
    <row r="1571" spans="1:1" x14ac:dyDescent="0.25">
      <c r="A1571" s="61" t="s">
        <v>3351</v>
      </c>
    </row>
    <row r="1572" spans="1:1" x14ac:dyDescent="0.25">
      <c r="A1572" s="61" t="s">
        <v>3351</v>
      </c>
    </row>
    <row r="1573" spans="1:1" x14ac:dyDescent="0.25">
      <c r="A1573" s="61" t="s">
        <v>3351</v>
      </c>
    </row>
    <row r="1574" spans="1:1" x14ac:dyDescent="0.25">
      <c r="A1574" s="61" t="s">
        <v>3351</v>
      </c>
    </row>
    <row r="1575" spans="1:1" x14ac:dyDescent="0.25">
      <c r="A1575" s="61" t="s">
        <v>2150</v>
      </c>
    </row>
    <row r="1576" spans="1:1" x14ac:dyDescent="0.25">
      <c r="A1576" s="61" t="s">
        <v>4434</v>
      </c>
    </row>
    <row r="1577" spans="1:1" x14ac:dyDescent="0.25">
      <c r="A1577" s="61" t="s">
        <v>2338</v>
      </c>
    </row>
    <row r="1578" spans="1:1" x14ac:dyDescent="0.25">
      <c r="A1578" s="61" t="s">
        <v>4643</v>
      </c>
    </row>
    <row r="1579" spans="1:1" x14ac:dyDescent="0.25">
      <c r="A1579" s="61" t="s">
        <v>4643</v>
      </c>
    </row>
    <row r="1580" spans="1:1" x14ac:dyDescent="0.25">
      <c r="A1580" s="61" t="s">
        <v>4643</v>
      </c>
    </row>
    <row r="1581" spans="1:1" x14ac:dyDescent="0.25">
      <c r="A1581" s="61" t="s">
        <v>4643</v>
      </c>
    </row>
    <row r="1582" spans="1:1" x14ac:dyDescent="0.25">
      <c r="A1582" s="61" t="s">
        <v>4643</v>
      </c>
    </row>
    <row r="1583" spans="1:1" x14ac:dyDescent="0.25">
      <c r="A1583" s="61" t="s">
        <v>4643</v>
      </c>
    </row>
    <row r="1584" spans="1:1" x14ac:dyDescent="0.25">
      <c r="A1584" s="61" t="s">
        <v>4643</v>
      </c>
    </row>
    <row r="1585" spans="1:1" x14ac:dyDescent="0.25">
      <c r="A1585" s="61" t="s">
        <v>4643</v>
      </c>
    </row>
    <row r="1586" spans="1:1" x14ac:dyDescent="0.25">
      <c r="A1586" s="61" t="s">
        <v>4643</v>
      </c>
    </row>
    <row r="1587" spans="1:1" x14ac:dyDescent="0.25">
      <c r="A1587" s="61" t="s">
        <v>4591</v>
      </c>
    </row>
    <row r="1588" spans="1:1" x14ac:dyDescent="0.25">
      <c r="A1588" s="61" t="s">
        <v>4434</v>
      </c>
    </row>
    <row r="1589" spans="1:1" x14ac:dyDescent="0.25">
      <c r="A1589" s="61" t="s">
        <v>4434</v>
      </c>
    </row>
    <row r="1590" spans="1:1" x14ac:dyDescent="0.25">
      <c r="A1590" s="61" t="s">
        <v>4434</v>
      </c>
    </row>
    <row r="1591" spans="1:1" x14ac:dyDescent="0.25">
      <c r="A1591" s="61" t="s">
        <v>4434</v>
      </c>
    </row>
    <row r="1592" spans="1:1" x14ac:dyDescent="0.25">
      <c r="A1592" s="61" t="s">
        <v>4434</v>
      </c>
    </row>
    <row r="1593" spans="1:1" x14ac:dyDescent="0.25">
      <c r="A1593" s="61" t="s">
        <v>4434</v>
      </c>
    </row>
    <row r="1594" spans="1:1" x14ac:dyDescent="0.25">
      <c r="A1594" s="61" t="s">
        <v>4434</v>
      </c>
    </row>
    <row r="1595" spans="1:1" x14ac:dyDescent="0.25">
      <c r="A1595" s="61" t="s">
        <v>4643</v>
      </c>
    </row>
    <row r="1596" spans="1:1" x14ac:dyDescent="0.25">
      <c r="A1596" s="61" t="s">
        <v>4643</v>
      </c>
    </row>
    <row r="1597" spans="1:1" x14ac:dyDescent="0.25">
      <c r="A1597" s="61" t="s">
        <v>4591</v>
      </c>
    </row>
    <row r="1598" spans="1:1" x14ac:dyDescent="0.25">
      <c r="A1598" s="61" t="s">
        <v>4591</v>
      </c>
    </row>
    <row r="1599" spans="1:1" x14ac:dyDescent="0.25">
      <c r="A1599" s="61" t="s">
        <v>4643</v>
      </c>
    </row>
    <row r="1600" spans="1:1" x14ac:dyDescent="0.25">
      <c r="A1600" s="61" t="s">
        <v>4643</v>
      </c>
    </row>
    <row r="1601" spans="1:1" x14ac:dyDescent="0.25">
      <c r="A1601" s="61" t="s">
        <v>4643</v>
      </c>
    </row>
    <row r="1602" spans="1:1" x14ac:dyDescent="0.25">
      <c r="A1602" s="61" t="s">
        <v>4643</v>
      </c>
    </row>
    <row r="1603" spans="1:1" x14ac:dyDescent="0.25">
      <c r="A1603" s="61" t="s">
        <v>4591</v>
      </c>
    </row>
    <row r="1604" spans="1:1" x14ac:dyDescent="0.25">
      <c r="A1604" s="61" t="s">
        <v>4591</v>
      </c>
    </row>
    <row r="1605" spans="1:1" x14ac:dyDescent="0.25">
      <c r="A1605" s="61" t="s">
        <v>4591</v>
      </c>
    </row>
    <row r="1606" spans="1:1" x14ac:dyDescent="0.25">
      <c r="A1606" s="61" t="s">
        <v>4700</v>
      </c>
    </row>
    <row r="1607" spans="1:1" x14ac:dyDescent="0.25">
      <c r="A1607" s="61" t="s">
        <v>4700</v>
      </c>
    </row>
    <row r="1608" spans="1:1" x14ac:dyDescent="0.25">
      <c r="A1608" s="61" t="s">
        <v>4700</v>
      </c>
    </row>
    <row r="1609" spans="1:1" x14ac:dyDescent="0.25">
      <c r="A1609" s="61" t="s">
        <v>4591</v>
      </c>
    </row>
    <row r="1610" spans="1:1" x14ac:dyDescent="0.25">
      <c r="A1610" s="61" t="s">
        <v>4700</v>
      </c>
    </row>
    <row r="1611" spans="1:1" x14ac:dyDescent="0.25">
      <c r="A1611" s="61" t="s">
        <v>4591</v>
      </c>
    </row>
    <row r="1612" spans="1:1" x14ac:dyDescent="0.25">
      <c r="A1612" s="61" t="s">
        <v>4591</v>
      </c>
    </row>
    <row r="1613" spans="1:1" x14ac:dyDescent="0.25">
      <c r="A1613" s="61" t="s">
        <v>4591</v>
      </c>
    </row>
    <row r="1614" spans="1:1" x14ac:dyDescent="0.25">
      <c r="A1614" s="61" t="s">
        <v>4591</v>
      </c>
    </row>
    <row r="1615" spans="1:1" x14ac:dyDescent="0.25">
      <c r="A1615" s="61" t="s">
        <v>4700</v>
      </c>
    </row>
    <row r="1616" spans="1:1" x14ac:dyDescent="0.25">
      <c r="A1616" s="61" t="s">
        <v>4700</v>
      </c>
    </row>
    <row r="1617" spans="1:1" x14ac:dyDescent="0.25">
      <c r="A1617" s="61" t="s">
        <v>1977</v>
      </c>
    </row>
    <row r="1618" spans="1:1" x14ac:dyDescent="0.25">
      <c r="A1618" s="61" t="s">
        <v>4591</v>
      </c>
    </row>
    <row r="1619" spans="1:1" x14ac:dyDescent="0.25">
      <c r="A1619" s="61" t="s">
        <v>4591</v>
      </c>
    </row>
    <row r="1620" spans="1:1" x14ac:dyDescent="0.25">
      <c r="A1620" s="61" t="s">
        <v>4591</v>
      </c>
    </row>
    <row r="1621" spans="1:1" x14ac:dyDescent="0.25">
      <c r="A1621" s="61" t="s">
        <v>4591</v>
      </c>
    </row>
    <row r="1622" spans="1:1" x14ac:dyDescent="0.25">
      <c r="A1622" s="61" t="s">
        <v>4591</v>
      </c>
    </row>
    <row r="1623" spans="1:1" x14ac:dyDescent="0.25">
      <c r="A1623" s="61" t="s">
        <v>4591</v>
      </c>
    </row>
    <row r="1624" spans="1:1" x14ac:dyDescent="0.25">
      <c r="A1624" s="61" t="s">
        <v>4591</v>
      </c>
    </row>
    <row r="1625" spans="1:1" x14ac:dyDescent="0.25">
      <c r="A1625" s="61" t="s">
        <v>4591</v>
      </c>
    </row>
    <row r="1626" spans="1:1" x14ac:dyDescent="0.25">
      <c r="A1626" s="61" t="s">
        <v>4591</v>
      </c>
    </row>
    <row r="1627" spans="1:1" x14ac:dyDescent="0.25">
      <c r="A1627" s="61" t="s">
        <v>4700</v>
      </c>
    </row>
    <row r="1628" spans="1:1" x14ac:dyDescent="0.25">
      <c r="A1628" s="61" t="s">
        <v>4591</v>
      </c>
    </row>
    <row r="1629" spans="1:1" x14ac:dyDescent="0.25">
      <c r="A1629" s="61" t="s">
        <v>4700</v>
      </c>
    </row>
    <row r="1630" spans="1:1" x14ac:dyDescent="0.25">
      <c r="A1630" s="61" t="s">
        <v>612</v>
      </c>
    </row>
    <row r="1631" spans="1:1" x14ac:dyDescent="0.25">
      <c r="A1631" s="61" t="s">
        <v>4643</v>
      </c>
    </row>
    <row r="1632" spans="1:1" x14ac:dyDescent="0.25">
      <c r="A1632" s="61" t="s">
        <v>4643</v>
      </c>
    </row>
    <row r="1633" spans="1:1" x14ac:dyDescent="0.25">
      <c r="A1633" s="61" t="s">
        <v>4643</v>
      </c>
    </row>
    <row r="1634" spans="1:1" x14ac:dyDescent="0.25">
      <c r="A1634" s="61" t="s">
        <v>4643</v>
      </c>
    </row>
    <row r="1635" spans="1:1" x14ac:dyDescent="0.25">
      <c r="A1635" s="61" t="s">
        <v>4643</v>
      </c>
    </row>
    <row r="1636" spans="1:1" x14ac:dyDescent="0.25">
      <c r="A1636" s="61" t="s">
        <v>4643</v>
      </c>
    </row>
    <row r="1637" spans="1:1" x14ac:dyDescent="0.25">
      <c r="A1637" s="61" t="s">
        <v>4643</v>
      </c>
    </row>
    <row r="1638" spans="1:1" x14ac:dyDescent="0.25">
      <c r="A1638" s="61" t="s">
        <v>612</v>
      </c>
    </row>
    <row r="1639" spans="1:1" x14ac:dyDescent="0.25">
      <c r="A1639" s="61" t="s">
        <v>612</v>
      </c>
    </row>
    <row r="1640" spans="1:1" x14ac:dyDescent="0.25">
      <c r="A1640" s="61" t="s">
        <v>4643</v>
      </c>
    </row>
    <row r="1641" spans="1:1" x14ac:dyDescent="0.25">
      <c r="A1641" s="61" t="s">
        <v>612</v>
      </c>
    </row>
    <row r="1642" spans="1:1" x14ac:dyDescent="0.25">
      <c r="A1642" s="61" t="s">
        <v>612</v>
      </c>
    </row>
    <row r="1643" spans="1:1" x14ac:dyDescent="0.25">
      <c r="A1643" s="61" t="s">
        <v>612</v>
      </c>
    </row>
    <row r="1644" spans="1:1" x14ac:dyDescent="0.25">
      <c r="A1644" s="61" t="s">
        <v>612</v>
      </c>
    </row>
    <row r="1645" spans="1:1" x14ac:dyDescent="0.25">
      <c r="A1645" s="61" t="s">
        <v>612</v>
      </c>
    </row>
    <row r="1646" spans="1:1" x14ac:dyDescent="0.25">
      <c r="A1646" s="61" t="s">
        <v>612</v>
      </c>
    </row>
    <row r="1647" spans="1:1" x14ac:dyDescent="0.25">
      <c r="A1647" s="61" t="s">
        <v>4434</v>
      </c>
    </row>
    <row r="1648" spans="1:1" x14ac:dyDescent="0.25">
      <c r="A1648" s="61" t="s">
        <v>1977</v>
      </c>
    </row>
    <row r="1649" spans="1:1" x14ac:dyDescent="0.25">
      <c r="A1649" s="61" t="s">
        <v>1977</v>
      </c>
    </row>
    <row r="1650" spans="1:1" x14ac:dyDescent="0.25">
      <c r="A1650" s="61" t="s">
        <v>4790</v>
      </c>
    </row>
    <row r="1651" spans="1:1" x14ac:dyDescent="0.25">
      <c r="A1651" s="61" t="s">
        <v>4434</v>
      </c>
    </row>
    <row r="1652" spans="1:1" x14ac:dyDescent="0.25">
      <c r="A1652" s="61" t="s">
        <v>612</v>
      </c>
    </row>
    <row r="1653" spans="1:1" x14ac:dyDescent="0.25">
      <c r="A1653" s="61" t="s">
        <v>612</v>
      </c>
    </row>
    <row r="1654" spans="1:1" x14ac:dyDescent="0.25">
      <c r="A1654" s="61" t="s">
        <v>612</v>
      </c>
    </row>
    <row r="1655" spans="1:1" x14ac:dyDescent="0.25">
      <c r="A1655" s="61" t="s">
        <v>612</v>
      </c>
    </row>
    <row r="1656" spans="1:1" x14ac:dyDescent="0.25">
      <c r="A1656" s="61" t="s">
        <v>612</v>
      </c>
    </row>
    <row r="1657" spans="1:1" x14ac:dyDescent="0.25">
      <c r="A1657" s="61" t="s">
        <v>612</v>
      </c>
    </row>
    <row r="1658" spans="1:1" x14ac:dyDescent="0.25">
      <c r="A1658" s="61" t="s">
        <v>4591</v>
      </c>
    </row>
    <row r="1659" spans="1:1" x14ac:dyDescent="0.25">
      <c r="A1659" s="61" t="s">
        <v>4591</v>
      </c>
    </row>
    <row r="1660" spans="1:1" x14ac:dyDescent="0.25">
      <c r="A1660" s="61" t="s">
        <v>4591</v>
      </c>
    </row>
    <row r="1661" spans="1:1" x14ac:dyDescent="0.25">
      <c r="A1661" s="61" t="s">
        <v>612</v>
      </c>
    </row>
    <row r="1662" spans="1:1" x14ac:dyDescent="0.25">
      <c r="A1662" s="61" t="s">
        <v>612</v>
      </c>
    </row>
    <row r="1663" spans="1:1" x14ac:dyDescent="0.25">
      <c r="A1663" s="61" t="s">
        <v>612</v>
      </c>
    </row>
    <row r="1664" spans="1:1" x14ac:dyDescent="0.25">
      <c r="A1664" s="61" t="s">
        <v>612</v>
      </c>
    </row>
    <row r="1665" spans="1:1" x14ac:dyDescent="0.25">
      <c r="A1665" s="61" t="s">
        <v>612</v>
      </c>
    </row>
    <row r="1666" spans="1:1" x14ac:dyDescent="0.25">
      <c r="A1666" s="61" t="s">
        <v>612</v>
      </c>
    </row>
    <row r="1667" spans="1:1" x14ac:dyDescent="0.25">
      <c r="A1667" s="61" t="s">
        <v>612</v>
      </c>
    </row>
    <row r="1668" spans="1:1" x14ac:dyDescent="0.25">
      <c r="A1668" s="61" t="s">
        <v>3351</v>
      </c>
    </row>
    <row r="1669" spans="1:1" x14ac:dyDescent="0.25">
      <c r="A1669" s="61" t="s">
        <v>4434</v>
      </c>
    </row>
    <row r="1670" spans="1:1" x14ac:dyDescent="0.25">
      <c r="A1670" s="61" t="s">
        <v>2150</v>
      </c>
    </row>
    <row r="1671" spans="1:1" x14ac:dyDescent="0.25">
      <c r="A1671" s="61" t="s">
        <v>2150</v>
      </c>
    </row>
    <row r="1672" spans="1:1" x14ac:dyDescent="0.25">
      <c r="A1672" s="61" t="s">
        <v>2150</v>
      </c>
    </row>
    <row r="1673" spans="1:1" x14ac:dyDescent="0.25">
      <c r="A1673" s="61" t="s">
        <v>959</v>
      </c>
    </row>
    <row r="1674" spans="1:1" x14ac:dyDescent="0.25">
      <c r="A1674" s="61" t="s">
        <v>959</v>
      </c>
    </row>
    <row r="1675" spans="1:1" x14ac:dyDescent="0.25">
      <c r="A1675" s="61" t="s">
        <v>612</v>
      </c>
    </row>
    <row r="1676" spans="1:1" x14ac:dyDescent="0.25">
      <c r="A1676" s="61" t="s">
        <v>612</v>
      </c>
    </row>
    <row r="1677" spans="1:1" x14ac:dyDescent="0.25">
      <c r="A1677" s="61" t="s">
        <v>3351</v>
      </c>
    </row>
    <row r="1678" spans="1:1" x14ac:dyDescent="0.25">
      <c r="A1678" s="61" t="s">
        <v>2150</v>
      </c>
    </row>
    <row r="1679" spans="1:1" x14ac:dyDescent="0.25">
      <c r="A1679" s="61" t="s">
        <v>2150</v>
      </c>
    </row>
    <row r="1680" spans="1:1" x14ac:dyDescent="0.25">
      <c r="A1680" s="61" t="s">
        <v>2150</v>
      </c>
    </row>
    <row r="1681" spans="1:1" x14ac:dyDescent="0.25">
      <c r="A1681" s="61" t="s">
        <v>612</v>
      </c>
    </row>
    <row r="1682" spans="1:1" x14ac:dyDescent="0.25">
      <c r="A1682" s="61" t="s">
        <v>612</v>
      </c>
    </row>
    <row r="1683" spans="1:1" x14ac:dyDescent="0.25">
      <c r="A1683" s="61" t="s">
        <v>959</v>
      </c>
    </row>
    <row r="1684" spans="1:1" x14ac:dyDescent="0.25">
      <c r="A1684" s="61" t="s">
        <v>959</v>
      </c>
    </row>
    <row r="1685" spans="1:1" x14ac:dyDescent="0.25">
      <c r="A1685" s="61" t="s">
        <v>2150</v>
      </c>
    </row>
    <row r="1686" spans="1:1" x14ac:dyDescent="0.25">
      <c r="A1686" s="61" t="s">
        <v>959</v>
      </c>
    </row>
    <row r="1687" spans="1:1" x14ac:dyDescent="0.25">
      <c r="A1687" s="61" t="s">
        <v>959</v>
      </c>
    </row>
    <row r="1688" spans="1:1" x14ac:dyDescent="0.25">
      <c r="A1688" s="61" t="s">
        <v>959</v>
      </c>
    </row>
    <row r="1689" spans="1:1" x14ac:dyDescent="0.25">
      <c r="A1689" s="61" t="s">
        <v>959</v>
      </c>
    </row>
    <row r="1690" spans="1:1" x14ac:dyDescent="0.25">
      <c r="A1690" s="61" t="s">
        <v>2150</v>
      </c>
    </row>
    <row r="1691" spans="1:1" x14ac:dyDescent="0.25">
      <c r="A1691" s="61" t="s">
        <v>2150</v>
      </c>
    </row>
    <row r="1692" spans="1:1" x14ac:dyDescent="0.25">
      <c r="A1692" s="61" t="s">
        <v>959</v>
      </c>
    </row>
    <row r="1693" spans="1:1" x14ac:dyDescent="0.25">
      <c r="A1693" s="61" t="s">
        <v>4700</v>
      </c>
    </row>
    <row r="1694" spans="1:1" x14ac:dyDescent="0.25">
      <c r="A1694" s="61" t="s">
        <v>4700</v>
      </c>
    </row>
    <row r="1695" spans="1:1" x14ac:dyDescent="0.25">
      <c r="A1695" s="61" t="s">
        <v>1977</v>
      </c>
    </row>
    <row r="1696" spans="1:1" x14ac:dyDescent="0.25">
      <c r="A1696" s="61" t="s">
        <v>4591</v>
      </c>
    </row>
    <row r="1697" spans="1:1" x14ac:dyDescent="0.25">
      <c r="A1697" s="61" t="s">
        <v>4591</v>
      </c>
    </row>
    <row r="1698" spans="1:1" x14ac:dyDescent="0.25">
      <c r="A1698" s="61" t="s">
        <v>4591</v>
      </c>
    </row>
    <row r="1699" spans="1:1" x14ac:dyDescent="0.25">
      <c r="A1699" s="61" t="s">
        <v>4591</v>
      </c>
    </row>
    <row r="1700" spans="1:1" x14ac:dyDescent="0.25">
      <c r="A1700" s="61" t="s">
        <v>4591</v>
      </c>
    </row>
    <row r="1701" spans="1:1" x14ac:dyDescent="0.25">
      <c r="A1701" s="61" t="s">
        <v>4700</v>
      </c>
    </row>
    <row r="1702" spans="1:1" x14ac:dyDescent="0.25">
      <c r="A1702" s="61" t="s">
        <v>2150</v>
      </c>
    </row>
    <row r="1703" spans="1:1" x14ac:dyDescent="0.25">
      <c r="A1703" s="61" t="s">
        <v>3351</v>
      </c>
    </row>
    <row r="1704" spans="1:1" x14ac:dyDescent="0.25">
      <c r="A1704" s="61" t="s">
        <v>4893</v>
      </c>
    </row>
    <row r="1705" spans="1:1" x14ac:dyDescent="0.25">
      <c r="A1705" s="61" t="s">
        <v>4896</v>
      </c>
    </row>
    <row r="1706" spans="1:1" x14ac:dyDescent="0.25">
      <c r="A1706" s="61" t="s">
        <v>4896</v>
      </c>
    </row>
    <row r="1707" spans="1:1" x14ac:dyDescent="0.25">
      <c r="A1707" s="61" t="s">
        <v>4896</v>
      </c>
    </row>
    <row r="1708" spans="1:1" x14ac:dyDescent="0.25">
      <c r="A1708" s="61" t="s">
        <v>4896</v>
      </c>
    </row>
    <row r="1709" spans="1:1" x14ac:dyDescent="0.25">
      <c r="A1709" s="61" t="s">
        <v>4896</v>
      </c>
    </row>
    <row r="1710" spans="1:1" x14ac:dyDescent="0.25">
      <c r="A1710" s="61" t="s">
        <v>4896</v>
      </c>
    </row>
    <row r="1711" spans="1:1" x14ac:dyDescent="0.25">
      <c r="A1711" s="61" t="s">
        <v>4893</v>
      </c>
    </row>
    <row r="1712" spans="1:1" x14ac:dyDescent="0.25">
      <c r="A1712" s="61" t="s">
        <v>4893</v>
      </c>
    </row>
    <row r="1713" spans="1:1" x14ac:dyDescent="0.25">
      <c r="A1713" s="61" t="s">
        <v>4893</v>
      </c>
    </row>
    <row r="1714" spans="1:1" x14ac:dyDescent="0.25">
      <c r="A1714" s="61" t="s">
        <v>612</v>
      </c>
    </row>
    <row r="1715" spans="1:1" x14ac:dyDescent="0.25">
      <c r="A1715" s="61" t="s">
        <v>612</v>
      </c>
    </row>
    <row r="1716" spans="1:1" x14ac:dyDescent="0.25">
      <c r="A1716" s="61" t="s">
        <v>4893</v>
      </c>
    </row>
    <row r="1717" spans="1:1" x14ac:dyDescent="0.25">
      <c r="A1717" s="61" t="s">
        <v>4434</v>
      </c>
    </row>
    <row r="1718" spans="1:1" x14ac:dyDescent="0.25">
      <c r="A1718" s="61" t="s">
        <v>4434</v>
      </c>
    </row>
    <row r="1719" spans="1:1" x14ac:dyDescent="0.25">
      <c r="A1719" s="61" t="s">
        <v>4893</v>
      </c>
    </row>
    <row r="1720" spans="1:1" x14ac:dyDescent="0.25">
      <c r="A1720" s="61" t="s">
        <v>4434</v>
      </c>
    </row>
    <row r="1721" spans="1:1" x14ac:dyDescent="0.25">
      <c r="A1721" s="61" t="s">
        <v>4700</v>
      </c>
    </row>
    <row r="1722" spans="1:1" x14ac:dyDescent="0.25">
      <c r="A1722" s="61" t="s">
        <v>4893</v>
      </c>
    </row>
    <row r="1723" spans="1:1" x14ac:dyDescent="0.25">
      <c r="A1723" s="61" t="s">
        <v>4893</v>
      </c>
    </row>
    <row r="1724" spans="1:1" x14ac:dyDescent="0.25">
      <c r="A1724" s="61" t="s">
        <v>4893</v>
      </c>
    </row>
    <row r="1725" spans="1:1" x14ac:dyDescent="0.25">
      <c r="A1725" s="61" t="s">
        <v>4893</v>
      </c>
    </row>
    <row r="1726" spans="1:1" x14ac:dyDescent="0.25">
      <c r="A1726" s="61" t="s">
        <v>612</v>
      </c>
    </row>
    <row r="1727" spans="1:1" x14ac:dyDescent="0.25">
      <c r="A1727" s="61" t="s">
        <v>612</v>
      </c>
    </row>
    <row r="1728" spans="1:1" x14ac:dyDescent="0.25">
      <c r="A1728" s="61" t="s">
        <v>4893</v>
      </c>
    </row>
    <row r="1729" spans="1:1" x14ac:dyDescent="0.25">
      <c r="A1729" s="61" t="s">
        <v>4893</v>
      </c>
    </row>
    <row r="1730" spans="1:1" x14ac:dyDescent="0.25">
      <c r="A1730" s="61" t="s">
        <v>4896</v>
      </c>
    </row>
    <row r="1731" spans="1:1" x14ac:dyDescent="0.25">
      <c r="A1731" s="61" t="s">
        <v>4896</v>
      </c>
    </row>
    <row r="1732" spans="1:1" x14ac:dyDescent="0.25">
      <c r="A1732" s="61" t="s">
        <v>612</v>
      </c>
    </row>
    <row r="1733" spans="1:1" x14ac:dyDescent="0.25">
      <c r="A1733" s="61" t="s">
        <v>4893</v>
      </c>
    </row>
    <row r="1734" spans="1:1" x14ac:dyDescent="0.25">
      <c r="A1734" s="61" t="s">
        <v>612</v>
      </c>
    </row>
    <row r="1735" spans="1:1" x14ac:dyDescent="0.25">
      <c r="A1735" s="61" t="s">
        <v>4893</v>
      </c>
    </row>
    <row r="1736" spans="1:1" x14ac:dyDescent="0.25">
      <c r="A1736" s="61" t="s">
        <v>4893</v>
      </c>
    </row>
    <row r="1737" spans="1:1" x14ac:dyDescent="0.25">
      <c r="A1737" s="61" t="s">
        <v>4893</v>
      </c>
    </row>
    <row r="1738" spans="1:1" x14ac:dyDescent="0.25">
      <c r="A1738" s="61" t="s">
        <v>4893</v>
      </c>
    </row>
    <row r="1739" spans="1:1" x14ac:dyDescent="0.25">
      <c r="A1739" s="61" t="s">
        <v>4700</v>
      </c>
    </row>
    <row r="1740" spans="1:1" x14ac:dyDescent="0.25">
      <c r="A1740" s="61" t="s">
        <v>4790</v>
      </c>
    </row>
    <row r="1741" spans="1:1" x14ac:dyDescent="0.25">
      <c r="A1741" s="61" t="s">
        <v>4790</v>
      </c>
    </row>
    <row r="1742" spans="1:1" x14ac:dyDescent="0.25">
      <c r="A1742" s="61" t="s">
        <v>3351</v>
      </c>
    </row>
    <row r="1743" spans="1:1" ht="30" x14ac:dyDescent="0.25">
      <c r="A1743" s="61" t="s">
        <v>4971</v>
      </c>
    </row>
    <row r="1744" spans="1:1" ht="30" x14ac:dyDescent="0.25">
      <c r="A1744" s="61" t="s">
        <v>4971</v>
      </c>
    </row>
    <row r="1745" spans="1:1" x14ac:dyDescent="0.25">
      <c r="A1745" s="61" t="s">
        <v>4893</v>
      </c>
    </row>
    <row r="1746" spans="1:1" x14ac:dyDescent="0.25">
      <c r="A1746" s="61" t="s">
        <v>4893</v>
      </c>
    </row>
    <row r="1747" spans="1:1" x14ac:dyDescent="0.25">
      <c r="A1747" s="61" t="s">
        <v>4893</v>
      </c>
    </row>
    <row r="1748" spans="1:1" x14ac:dyDescent="0.25">
      <c r="A1748" s="61" t="s">
        <v>4893</v>
      </c>
    </row>
    <row r="1749" spans="1:1" x14ac:dyDescent="0.25">
      <c r="A1749" s="61" t="s">
        <v>4790</v>
      </c>
    </row>
    <row r="1750" spans="1:1" x14ac:dyDescent="0.25">
      <c r="A1750" s="61" t="s">
        <v>612</v>
      </c>
    </row>
    <row r="1751" spans="1:1" x14ac:dyDescent="0.25">
      <c r="A1751" s="61" t="s">
        <v>612</v>
      </c>
    </row>
    <row r="1752" spans="1:1" x14ac:dyDescent="0.25">
      <c r="A1752" s="61" t="s">
        <v>4893</v>
      </c>
    </row>
    <row r="1753" spans="1:1" x14ac:dyDescent="0.25">
      <c r="A1753" s="61" t="s">
        <v>4893</v>
      </c>
    </row>
    <row r="1754" spans="1:1" x14ac:dyDescent="0.25">
      <c r="A1754" s="61" t="s">
        <v>4700</v>
      </c>
    </row>
    <row r="1755" spans="1:1" x14ac:dyDescent="0.25">
      <c r="A1755" s="61" t="s">
        <v>4893</v>
      </c>
    </row>
    <row r="1756" spans="1:1" x14ac:dyDescent="0.25">
      <c r="A1756" s="61" t="s">
        <v>4893</v>
      </c>
    </row>
    <row r="1757" spans="1:1" x14ac:dyDescent="0.25">
      <c r="A1757" s="61" t="s">
        <v>4790</v>
      </c>
    </row>
    <row r="1758" spans="1:1" x14ac:dyDescent="0.25">
      <c r="A1758" s="61" t="s">
        <v>612</v>
      </c>
    </row>
    <row r="1759" spans="1:1" x14ac:dyDescent="0.25">
      <c r="A1759" s="61" t="s">
        <v>612</v>
      </c>
    </row>
    <row r="1760" spans="1:1" x14ac:dyDescent="0.25">
      <c r="A1760" s="61" t="s">
        <v>1977</v>
      </c>
    </row>
    <row r="1761" spans="1:1" x14ac:dyDescent="0.25">
      <c r="A1761" s="61" t="s">
        <v>4893</v>
      </c>
    </row>
    <row r="1762" spans="1:1" x14ac:dyDescent="0.25">
      <c r="A1762" s="61" t="s">
        <v>4893</v>
      </c>
    </row>
    <row r="1763" spans="1:1" x14ac:dyDescent="0.25">
      <c r="A1763" s="61" t="s">
        <v>4893</v>
      </c>
    </row>
    <row r="1764" spans="1:1" x14ac:dyDescent="0.25">
      <c r="A1764" s="61" t="s">
        <v>4893</v>
      </c>
    </row>
    <row r="1765" spans="1:1" x14ac:dyDescent="0.25">
      <c r="A1765" s="61" t="s">
        <v>612</v>
      </c>
    </row>
    <row r="1766" spans="1:1" x14ac:dyDescent="0.25">
      <c r="A1766" s="61" t="s">
        <v>612</v>
      </c>
    </row>
    <row r="1767" spans="1:1" x14ac:dyDescent="0.25">
      <c r="A1767" s="61" t="s">
        <v>612</v>
      </c>
    </row>
    <row r="1768" spans="1:1" x14ac:dyDescent="0.25">
      <c r="A1768" s="61" t="s">
        <v>2150</v>
      </c>
    </row>
    <row r="1769" spans="1:1" x14ac:dyDescent="0.25">
      <c r="A1769" s="61" t="s">
        <v>2150</v>
      </c>
    </row>
    <row r="1770" spans="1:1" x14ac:dyDescent="0.25">
      <c r="A1770" s="61" t="s">
        <v>2150</v>
      </c>
    </row>
    <row r="1771" spans="1:1" x14ac:dyDescent="0.25">
      <c r="A1771" s="61" t="s">
        <v>4410</v>
      </c>
    </row>
    <row r="1772" spans="1:1" x14ac:dyDescent="0.25">
      <c r="A1772" s="61" t="s">
        <v>4893</v>
      </c>
    </row>
    <row r="1773" spans="1:1" x14ac:dyDescent="0.25">
      <c r="A1773" s="61" t="s">
        <v>612</v>
      </c>
    </row>
    <row r="1774" spans="1:1" x14ac:dyDescent="0.25">
      <c r="A1774" s="61" t="s">
        <v>612</v>
      </c>
    </row>
    <row r="1775" spans="1:1" x14ac:dyDescent="0.25">
      <c r="A1775" s="61" t="s">
        <v>612</v>
      </c>
    </row>
    <row r="1776" spans="1:1" x14ac:dyDescent="0.25">
      <c r="A1776" s="61" t="s">
        <v>4893</v>
      </c>
    </row>
    <row r="1777" spans="1:1" x14ac:dyDescent="0.25">
      <c r="A1777" s="61" t="s">
        <v>4893</v>
      </c>
    </row>
    <row r="1778" spans="1:1" x14ac:dyDescent="0.25">
      <c r="A1778" s="61" t="s">
        <v>4893</v>
      </c>
    </row>
    <row r="1779" spans="1:1" x14ac:dyDescent="0.25">
      <c r="A1779" s="61" t="s">
        <v>4893</v>
      </c>
    </row>
    <row r="1780" spans="1:1" x14ac:dyDescent="0.25">
      <c r="A1780" s="61" t="s">
        <v>4893</v>
      </c>
    </row>
    <row r="1781" spans="1:1" x14ac:dyDescent="0.25">
      <c r="A1781" s="61" t="s">
        <v>4893</v>
      </c>
    </row>
    <row r="1782" spans="1:1" x14ac:dyDescent="0.25">
      <c r="A1782" s="61" t="s">
        <v>4893</v>
      </c>
    </row>
    <row r="1783" spans="1:1" x14ac:dyDescent="0.25">
      <c r="A1783" s="61" t="s">
        <v>4893</v>
      </c>
    </row>
    <row r="1784" spans="1:1" x14ac:dyDescent="0.25">
      <c r="A1784" s="61" t="s">
        <v>4893</v>
      </c>
    </row>
    <row r="1785" spans="1:1" x14ac:dyDescent="0.25">
      <c r="A1785" s="61" t="s">
        <v>4591</v>
      </c>
    </row>
    <row r="1786" spans="1:1" x14ac:dyDescent="0.25">
      <c r="A1786" s="61" t="s">
        <v>4434</v>
      </c>
    </row>
    <row r="1787" spans="1:1" x14ac:dyDescent="0.25">
      <c r="A1787" s="61" t="s">
        <v>2150</v>
      </c>
    </row>
    <row r="1788" spans="1:1" x14ac:dyDescent="0.25">
      <c r="A1788" s="61" t="s">
        <v>2150</v>
      </c>
    </row>
    <row r="1789" spans="1:1" x14ac:dyDescent="0.25">
      <c r="A1789" s="61" t="s">
        <v>2150</v>
      </c>
    </row>
    <row r="1790" spans="1:1" x14ac:dyDescent="0.25">
      <c r="A1790" s="61" t="s">
        <v>2150</v>
      </c>
    </row>
    <row r="1791" spans="1:1" x14ac:dyDescent="0.25">
      <c r="A1791" s="61" t="s">
        <v>4591</v>
      </c>
    </row>
    <row r="1792" spans="1:1" x14ac:dyDescent="0.25">
      <c r="A1792" s="61" t="s">
        <v>612</v>
      </c>
    </row>
    <row r="1793" spans="1:1" x14ac:dyDescent="0.25">
      <c r="A1793" s="61" t="s">
        <v>612</v>
      </c>
    </row>
    <row r="1794" spans="1:1" x14ac:dyDescent="0.25">
      <c r="A1794" s="61" t="s">
        <v>4591</v>
      </c>
    </row>
    <row r="1795" spans="1:1" x14ac:dyDescent="0.25">
      <c r="A1795" s="61" t="s">
        <v>4591</v>
      </c>
    </row>
    <row r="1796" spans="1:1" x14ac:dyDescent="0.25">
      <c r="A1796" s="61" t="s">
        <v>4591</v>
      </c>
    </row>
    <row r="1797" spans="1:1" x14ac:dyDescent="0.25">
      <c r="A1797" s="61" t="s">
        <v>4591</v>
      </c>
    </row>
    <row r="1798" spans="1:1" x14ac:dyDescent="0.25">
      <c r="A1798" s="61" t="s">
        <v>4591</v>
      </c>
    </row>
  </sheetData>
  <autoFilter ref="C1:C246" xr:uid="{00000000-0009-0000-0000-000001000000}"/>
  <phoneticPr fontId="3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074"/>
  <sheetViews>
    <sheetView tabSelected="1" workbookViewId="0">
      <selection activeCell="D2" sqref="D2:D60"/>
    </sheetView>
  </sheetViews>
  <sheetFormatPr defaultRowHeight="15" x14ac:dyDescent="0.25"/>
  <cols>
    <col min="1" max="1" width="34.85546875" customWidth="1"/>
    <col min="3" max="3" width="40.28515625" customWidth="1"/>
    <col min="5" max="5" width="11.7109375" bestFit="1" customWidth="1"/>
  </cols>
  <sheetData>
    <row r="1" spans="1:7" x14ac:dyDescent="0.25">
      <c r="A1" s="272" t="s">
        <v>5080</v>
      </c>
      <c r="C1" s="272" t="s">
        <v>5080</v>
      </c>
      <c r="E1" s="285"/>
    </row>
    <row r="2" spans="1:7" x14ac:dyDescent="0.25">
      <c r="A2" s="52" t="s">
        <v>60</v>
      </c>
      <c r="C2" s="52" t="s">
        <v>60</v>
      </c>
      <c r="D2" t="s">
        <v>5083</v>
      </c>
      <c r="G2" t="str">
        <f>"Insert into Dmquycach(Maquycach, Tenquycach, Manhom) values ('" &amp; D2 &amp; "', N'" &amp; C2 &amp; "', 'N06') "</f>
        <v xml:space="preserve">Insert into Dmquycach(Maquycach, Tenquycach, Manhom) values ('TP001', N'túi hàn lưng xếp hông', 'N06') </v>
      </c>
    </row>
    <row r="3" spans="1:7" x14ac:dyDescent="0.25">
      <c r="A3" s="52" t="s">
        <v>60</v>
      </c>
      <c r="C3" s="52" t="s">
        <v>74</v>
      </c>
      <c r="D3" t="s">
        <v>5086</v>
      </c>
      <c r="G3" t="str">
        <f t="shared" ref="G3:G60" si="0">"Insert into Dmquycach(Maquycach, Tenquycach, Manhom) values ('" &amp; D3 &amp; "', N'" &amp; C3 &amp; "', 'N06') "</f>
        <v xml:space="preserve">Insert into Dmquycach(Maquycach, Tenquycach, Manhom) values ('TP002', N'túi ba biên', 'N06') </v>
      </c>
    </row>
    <row r="4" spans="1:7" x14ac:dyDescent="0.25">
      <c r="A4" s="52" t="s">
        <v>74</v>
      </c>
      <c r="C4" s="52" t="s">
        <v>104</v>
      </c>
      <c r="D4" t="s">
        <v>5087</v>
      </c>
      <c r="G4" t="str">
        <f t="shared" si="0"/>
        <v xml:space="preserve">Insert into Dmquycach(Maquycach, Tenquycach, Manhom) values ('TP003', N'dạng cuộn 500m', 'N06') </v>
      </c>
    </row>
    <row r="5" spans="1:7" x14ac:dyDescent="0.25">
      <c r="A5" s="52" t="s">
        <v>74</v>
      </c>
      <c r="C5" s="52" t="s">
        <v>128</v>
      </c>
      <c r="D5" t="s">
        <v>5088</v>
      </c>
      <c r="G5" t="str">
        <f t="shared" si="0"/>
        <v xml:space="preserve">Insert into Dmquycach(Maquycach, Tenquycach, Manhom) values ('TP004', N'túi bốn biên', 'N06') </v>
      </c>
    </row>
    <row r="6" spans="1:7" x14ac:dyDescent="0.25">
      <c r="A6" s="52" t="s">
        <v>74</v>
      </c>
      <c r="C6" s="58" t="s">
        <v>142</v>
      </c>
      <c r="D6" t="s">
        <v>5089</v>
      </c>
      <c r="G6" t="str">
        <f t="shared" si="0"/>
        <v xml:space="preserve">Insert into Dmquycach(Maquycach, Tenquycach, Manhom) values ('TP005', N'dạng cuộn 1000m', 'N06') </v>
      </c>
    </row>
    <row r="7" spans="1:7" x14ac:dyDescent="0.25">
      <c r="A7" s="52" t="s">
        <v>60</v>
      </c>
      <c r="C7" s="52" t="s">
        <v>194</v>
      </c>
      <c r="D7" t="s">
        <v>5090</v>
      </c>
      <c r="G7" t="str">
        <f t="shared" si="0"/>
        <v xml:space="preserve">Insert into Dmquycach(Maquycach, Tenquycach, Manhom) values ('TP006', N'dạng cuộn 1500m', 'N06') </v>
      </c>
    </row>
    <row r="8" spans="1:7" x14ac:dyDescent="0.25">
      <c r="A8" s="52" t="s">
        <v>60</v>
      </c>
      <c r="C8" s="52" t="s">
        <v>227</v>
      </c>
      <c r="D8" t="s">
        <v>5091</v>
      </c>
      <c r="G8" t="str">
        <f t="shared" si="0"/>
        <v xml:space="preserve">Insert into Dmquycach(Maquycach, Tenquycach, Manhom) values ('TP007', N'túi hàn lưng, xếp hông lệch', 'N06') </v>
      </c>
    </row>
    <row r="9" spans="1:7" x14ac:dyDescent="0.25">
      <c r="A9" s="52" t="s">
        <v>60</v>
      </c>
      <c r="C9" s="52" t="s">
        <v>265</v>
      </c>
      <c r="D9" t="s">
        <v>5092</v>
      </c>
      <c r="G9" t="str">
        <f t="shared" si="0"/>
        <v xml:space="preserve">Insert into Dmquycach(Maquycach, Tenquycach, Manhom) values ('TP008', N'túi hàn lưng lệch, xếp hông, biên', 'N06') </v>
      </c>
    </row>
    <row r="10" spans="1:7" x14ac:dyDescent="0.25">
      <c r="A10" s="52" t="s">
        <v>74</v>
      </c>
      <c r="C10" s="52" t="s">
        <v>386</v>
      </c>
      <c r="D10" t="s">
        <v>5093</v>
      </c>
      <c r="G10" t="str">
        <f t="shared" si="0"/>
        <v xml:space="preserve">Insert into Dmquycach(Maquycach, Tenquycach, Manhom) values ('TP009', N'túi hàn lưng', 'N06') </v>
      </c>
    </row>
    <row r="11" spans="1:7" x14ac:dyDescent="0.25">
      <c r="A11" s="52" t="s">
        <v>104</v>
      </c>
      <c r="C11" s="52" t="s">
        <v>509</v>
      </c>
      <c r="D11" t="s">
        <v>5094</v>
      </c>
      <c r="G11" t="str">
        <f t="shared" si="0"/>
        <v xml:space="preserve">Insert into Dmquycach(Maquycach, Tenquycach, Manhom) values ('TP010', N'túi ba biên ', 'N06') </v>
      </c>
    </row>
    <row r="12" spans="1:7" x14ac:dyDescent="0.25">
      <c r="A12" s="52" t="s">
        <v>74</v>
      </c>
      <c r="C12" s="52" t="s">
        <v>542</v>
      </c>
      <c r="D12" t="s">
        <v>5095</v>
      </c>
      <c r="G12" t="str">
        <f t="shared" si="0"/>
        <v xml:space="preserve">Insert into Dmquycach(Maquycach, Tenquycach, Manhom) values ('TP011', N'túi đáy đứng', 'N06') </v>
      </c>
    </row>
    <row r="13" spans="1:7" x14ac:dyDescent="0.25">
      <c r="A13" s="52" t="s">
        <v>60</v>
      </c>
      <c r="C13" s="52" t="s">
        <v>611</v>
      </c>
      <c r="D13" t="s">
        <v>5096</v>
      </c>
      <c r="G13" t="str">
        <f t="shared" si="0"/>
        <v xml:space="preserve">Insert into Dmquycach(Maquycach, Tenquycach, Manhom) values ('TP012', N'dạng cuộn 700m', 'N06') </v>
      </c>
    </row>
    <row r="14" spans="1:7" x14ac:dyDescent="0.25">
      <c r="A14" s="52" t="s">
        <v>60</v>
      </c>
      <c r="C14" s="52" t="s">
        <v>750</v>
      </c>
      <c r="D14" t="s">
        <v>5097</v>
      </c>
      <c r="G14" t="str">
        <f t="shared" si="0"/>
        <v xml:space="preserve">Insert into Dmquycach(Maquycach, Tenquycach, Manhom) values ('TP013', N'túi ba biên hoặc cuộn 800m', 'N06') </v>
      </c>
    </row>
    <row r="15" spans="1:7" x14ac:dyDescent="0.25">
      <c r="A15" s="52" t="s">
        <v>128</v>
      </c>
      <c r="C15" s="52" t="s">
        <v>756</v>
      </c>
      <c r="D15" t="s">
        <v>5098</v>
      </c>
      <c r="G15" t="str">
        <f t="shared" si="0"/>
        <v xml:space="preserve">Insert into Dmquycach(Maquycach, Tenquycach, Manhom) values ('TP014', N'dạng cuộn 6000m', 'N06') </v>
      </c>
    </row>
    <row r="16" spans="1:7" x14ac:dyDescent="0.25">
      <c r="A16" s="52" t="s">
        <v>60</v>
      </c>
      <c r="C16" s="52" t="s">
        <v>810</v>
      </c>
      <c r="D16" t="s">
        <v>5099</v>
      </c>
      <c r="G16" t="str">
        <f t="shared" si="0"/>
        <v xml:space="preserve">Insert into Dmquycach(Maquycach, Tenquycach, Manhom) values ('TP015', N'dạng cuộn 4000m', 'N06') </v>
      </c>
    </row>
    <row r="17" spans="1:7" x14ac:dyDescent="0.25">
      <c r="A17" s="52" t="s">
        <v>60</v>
      </c>
      <c r="C17" s="52" t="s">
        <v>951</v>
      </c>
      <c r="D17" t="s">
        <v>5100</v>
      </c>
      <c r="G17" t="str">
        <f t="shared" si="0"/>
        <v xml:space="preserve">Insert into Dmquycach(Maquycach, Tenquycach, Manhom) values ('TP016', N'dạng cuộn', 'N06') </v>
      </c>
    </row>
    <row r="18" spans="1:7" x14ac:dyDescent="0.25">
      <c r="A18" s="58" t="s">
        <v>142</v>
      </c>
      <c r="C18" s="52" t="s">
        <v>958</v>
      </c>
      <c r="D18" t="s">
        <v>5101</v>
      </c>
      <c r="G18" t="str">
        <f t="shared" si="0"/>
        <v xml:space="preserve">Insert into Dmquycach(Maquycach, Tenquycach, Manhom) values ('TP017', N'dạng cuộn 2000m', 'N06') </v>
      </c>
    </row>
    <row r="19" spans="1:7" x14ac:dyDescent="0.25">
      <c r="A19" s="52" t="s">
        <v>128</v>
      </c>
      <c r="C19" s="52" t="s">
        <v>1000</v>
      </c>
      <c r="D19" t="s">
        <v>5102</v>
      </c>
      <c r="G19" t="str">
        <f t="shared" si="0"/>
        <v xml:space="preserve">Insert into Dmquycach(Maquycach, Tenquycach, Manhom) values ('TP018', N'túi ba biên đáy đứng zipper', 'N06') </v>
      </c>
    </row>
    <row r="20" spans="1:7" x14ac:dyDescent="0.25">
      <c r="A20" s="52" t="s">
        <v>128</v>
      </c>
      <c r="C20" s="52" t="s">
        <v>1030</v>
      </c>
      <c r="D20" t="s">
        <v>5103</v>
      </c>
      <c r="G20" t="str">
        <f t="shared" si="0"/>
        <v xml:space="preserve">Insert into Dmquycach(Maquycach, Tenquycach, Manhom) values ('TP019', N'túi ba biên đáy đứng 110', 'N06') </v>
      </c>
    </row>
    <row r="21" spans="1:7" x14ac:dyDescent="0.25">
      <c r="A21" s="52" t="s">
        <v>128</v>
      </c>
      <c r="C21" s="52" t="s">
        <v>1033</v>
      </c>
      <c r="D21" t="s">
        <v>5104</v>
      </c>
      <c r="G21" t="str">
        <f t="shared" si="0"/>
        <v xml:space="preserve">Insert into Dmquycach(Maquycach, Tenquycach, Manhom) values ('TP020', N'túi ba biên đáy đứng', 'N06') </v>
      </c>
    </row>
    <row r="22" spans="1:7" x14ac:dyDescent="0.25">
      <c r="A22" s="52" t="s">
        <v>74</v>
      </c>
      <c r="C22" s="52" t="s">
        <v>1096</v>
      </c>
      <c r="D22" t="s">
        <v>5105</v>
      </c>
      <c r="G22" t="str">
        <f t="shared" si="0"/>
        <v xml:space="preserve">Insert into Dmquycach(Maquycach, Tenquycach, Manhom) values ('TP021', N'hàn lưng xếp hông', 'N06') </v>
      </c>
    </row>
    <row r="23" spans="1:7" x14ac:dyDescent="0.25">
      <c r="A23" s="52" t="s">
        <v>74</v>
      </c>
      <c r="C23" s="52" t="s">
        <v>1100</v>
      </c>
      <c r="D23" t="s">
        <v>5106</v>
      </c>
      <c r="G23" t="str">
        <f t="shared" si="0"/>
        <v xml:space="preserve">Insert into Dmquycach(Maquycach, Tenquycach, Manhom) values ('TP022', N'dạng cuộn ', 'N06') </v>
      </c>
    </row>
    <row r="24" spans="1:7" x14ac:dyDescent="0.25">
      <c r="A24" s="52" t="s">
        <v>142</v>
      </c>
      <c r="C24" s="52" t="s">
        <v>1104</v>
      </c>
      <c r="D24" t="s">
        <v>5107</v>
      </c>
      <c r="G24" t="str">
        <f t="shared" si="0"/>
        <v xml:space="preserve">Insert into Dmquycach(Maquycach, Tenquycach, Manhom) values ('TP023', N'dạng cuộn or túi ba biên', 'N06') </v>
      </c>
    </row>
    <row r="25" spans="1:7" x14ac:dyDescent="0.25">
      <c r="A25" s="52" t="s">
        <v>142</v>
      </c>
      <c r="C25" s="52" t="s">
        <v>1137</v>
      </c>
      <c r="D25" t="s">
        <v>5108</v>
      </c>
      <c r="G25" t="str">
        <f t="shared" si="0"/>
        <v xml:space="preserve">Insert into Dmquycach(Maquycach, Tenquycach, Manhom) values ('TP024', N'dạng cuộn 1500m hoặc 2000m', 'N06') </v>
      </c>
    </row>
    <row r="26" spans="1:7" x14ac:dyDescent="0.25">
      <c r="A26" s="52" t="s">
        <v>104</v>
      </c>
      <c r="C26" s="52" t="s">
        <v>1177</v>
      </c>
      <c r="D26" t="s">
        <v>5109</v>
      </c>
      <c r="G26" t="str">
        <f t="shared" si="0"/>
        <v xml:space="preserve">Insert into Dmquycach(Maquycach, Tenquycach, Manhom) values ('TP025', N'dạng cuộn 500', 'N06') </v>
      </c>
    </row>
    <row r="27" spans="1:7" x14ac:dyDescent="0.25">
      <c r="A27" s="52" t="s">
        <v>142</v>
      </c>
      <c r="C27" s="52" t="s">
        <v>1313</v>
      </c>
      <c r="D27" t="s">
        <v>5110</v>
      </c>
      <c r="G27" t="str">
        <f t="shared" si="0"/>
        <v xml:space="preserve">Insert into Dmquycach(Maquycach, Tenquycach, Manhom) values ('TP026', N'dạng cuộn 2000m or 1500m', 'N06') </v>
      </c>
    </row>
    <row r="28" spans="1:7" x14ac:dyDescent="0.25">
      <c r="A28" s="52" t="s">
        <v>74</v>
      </c>
      <c r="C28" s="52" t="s">
        <v>1329</v>
      </c>
      <c r="D28" t="s">
        <v>5111</v>
      </c>
      <c r="G28" t="str">
        <f t="shared" si="0"/>
        <v xml:space="preserve">Insert into Dmquycach(Maquycach, Tenquycach, Manhom) values ('TP027', N'túi ba biên có zip cách mép 20mm', 'N06') </v>
      </c>
    </row>
    <row r="29" spans="1:7" x14ac:dyDescent="0.25">
      <c r="A29" s="52" t="s">
        <v>194</v>
      </c>
      <c r="C29" s="52" t="s">
        <v>1356</v>
      </c>
      <c r="D29" t="s">
        <v>5112</v>
      </c>
      <c r="G29" t="str">
        <f t="shared" si="0"/>
        <v xml:space="preserve">Insert into Dmquycach(Maquycach, Tenquycach, Manhom) values ('TP028', N'dạng cuộn 900m', 'N06') </v>
      </c>
    </row>
    <row r="30" spans="1:7" x14ac:dyDescent="0.25">
      <c r="A30" s="52" t="s">
        <v>104</v>
      </c>
      <c r="C30" s="61" t="s">
        <v>1452</v>
      </c>
      <c r="D30" t="s">
        <v>5113</v>
      </c>
      <c r="G30" t="str">
        <f t="shared" si="0"/>
        <v xml:space="preserve">Insert into Dmquycach(Maquycach, Tenquycach, Manhom) values ('TP029', N'cuộn dài 2000m', 'N06') </v>
      </c>
    </row>
    <row r="31" spans="1:7" x14ac:dyDescent="0.25">
      <c r="A31" s="52" t="s">
        <v>104</v>
      </c>
      <c r="C31" s="61" t="s">
        <v>1489</v>
      </c>
      <c r="D31" t="s">
        <v>5114</v>
      </c>
      <c r="G31" t="str">
        <f t="shared" si="0"/>
        <v xml:space="preserve">Insert into Dmquycach(Maquycach, Tenquycach, Manhom) values ('TP030', N'cuộn', 'N06') </v>
      </c>
    </row>
    <row r="32" spans="1:7" x14ac:dyDescent="0.25">
      <c r="A32" s="52" t="s">
        <v>142</v>
      </c>
      <c r="C32" s="52" t="s">
        <v>1575</v>
      </c>
      <c r="D32" t="s">
        <v>5115</v>
      </c>
      <c r="G32" t="str">
        <f t="shared" si="0"/>
        <v xml:space="preserve">Insert into Dmquycach(Maquycach, Tenquycach, Manhom) values ('TP031', N'cuộn 1500m', 'N06') </v>
      </c>
    </row>
    <row r="33" spans="1:7" x14ac:dyDescent="0.25">
      <c r="A33" s="52" t="s">
        <v>74</v>
      </c>
      <c r="C33" s="52" t="s">
        <v>1579</v>
      </c>
      <c r="D33" t="s">
        <v>5116</v>
      </c>
      <c r="G33" t="str">
        <f t="shared" si="0"/>
        <v xml:space="preserve">Insert into Dmquycach(Maquycach, Tenquycach, Manhom) values ('TP032', N'cuộn 1000m', 'N06') </v>
      </c>
    </row>
    <row r="34" spans="1:7" x14ac:dyDescent="0.25">
      <c r="A34" s="52" t="s">
        <v>104</v>
      </c>
      <c r="C34" s="61" t="s">
        <v>1701</v>
      </c>
      <c r="D34" t="s">
        <v>5117</v>
      </c>
      <c r="G34" t="str">
        <f t="shared" si="0"/>
        <v xml:space="preserve">Insert into Dmquycach(Maquycach, Tenquycach, Manhom) values ('TP033', N'cuộn 1000m/ túi ba biên', 'N06') </v>
      </c>
    </row>
    <row r="35" spans="1:7" x14ac:dyDescent="0.25">
      <c r="A35" s="52" t="s">
        <v>194</v>
      </c>
      <c r="C35" s="61" t="s">
        <v>1707</v>
      </c>
      <c r="D35" t="s">
        <v>5118</v>
      </c>
      <c r="G35" t="str">
        <f t="shared" si="0"/>
        <v xml:space="preserve">Insert into Dmquycach(Maquycach, Tenquycach, Manhom) values ('TP034', N'cuộn 3000m', 'N06') </v>
      </c>
    </row>
    <row r="36" spans="1:7" x14ac:dyDescent="0.25">
      <c r="A36" s="52" t="s">
        <v>104</v>
      </c>
      <c r="C36" s="61" t="s">
        <v>1723</v>
      </c>
      <c r="D36" t="s">
        <v>5119</v>
      </c>
      <c r="G36" t="str">
        <f t="shared" si="0"/>
        <v xml:space="preserve">Insert into Dmquycach(Maquycach, Tenquycach, Manhom) values ('TP035', N'túi hàn lưng xếp hông lệch', 'N06') </v>
      </c>
    </row>
    <row r="37" spans="1:7" x14ac:dyDescent="0.25">
      <c r="A37" s="52" t="s">
        <v>142</v>
      </c>
      <c r="C37" s="61" t="s">
        <v>1893</v>
      </c>
      <c r="D37" t="s">
        <v>5120</v>
      </c>
      <c r="G37" t="str">
        <f t="shared" si="0"/>
        <v xml:space="preserve">Insert into Dmquycach(Maquycach, Tenquycach, Manhom) values ('TP036', N'túi HLXH', 'N06') </v>
      </c>
    </row>
    <row r="38" spans="1:7" x14ac:dyDescent="0.25">
      <c r="A38" s="52" t="s">
        <v>227</v>
      </c>
      <c r="C38" s="61" t="s">
        <v>1926</v>
      </c>
      <c r="D38" t="s">
        <v>5121</v>
      </c>
      <c r="G38" t="str">
        <f t="shared" si="0"/>
        <v xml:space="preserve">Insert into Dmquycach(Maquycach, Tenquycach, Manhom) values ('TP037', N'ba biên', 'N06') </v>
      </c>
    </row>
    <row r="39" spans="1:7" x14ac:dyDescent="0.25">
      <c r="A39" s="52" t="s">
        <v>227</v>
      </c>
      <c r="C39" s="61" t="s">
        <v>1945</v>
      </c>
      <c r="D39" t="s">
        <v>5122</v>
      </c>
      <c r="G39" t="str">
        <f t="shared" si="0"/>
        <v xml:space="preserve">Insert into Dmquycach(Maquycach, Tenquycach, Manhom) values ('TP038', N'túi hàng lưng xếp hông lệch', 'N06') </v>
      </c>
    </row>
    <row r="40" spans="1:7" x14ac:dyDescent="0.25">
      <c r="A40" s="52" t="s">
        <v>74</v>
      </c>
      <c r="C40" s="61" t="s">
        <v>2065</v>
      </c>
      <c r="D40" t="s">
        <v>5123</v>
      </c>
      <c r="G40" t="str">
        <f t="shared" si="0"/>
        <v xml:space="preserve">Insert into Dmquycach(Maquycach, Tenquycach, Manhom) values ('TP039', N'túi zipper đáy đứng', 'N06') </v>
      </c>
    </row>
    <row r="41" spans="1:7" x14ac:dyDescent="0.25">
      <c r="A41" s="52" t="s">
        <v>74</v>
      </c>
      <c r="C41" s="61" t="s">
        <v>2170</v>
      </c>
      <c r="D41" t="s">
        <v>5124</v>
      </c>
      <c r="G41" t="str">
        <f t="shared" si="0"/>
        <v xml:space="preserve">Insert into Dmquycach(Maquycach, Tenquycach, Manhom) values ('TP040', N'cuộn 2500m', 'N06') </v>
      </c>
    </row>
    <row r="42" spans="1:7" x14ac:dyDescent="0.25">
      <c r="A42" s="52" t="s">
        <v>74</v>
      </c>
      <c r="C42" s="61" t="s">
        <v>2182</v>
      </c>
      <c r="D42" t="s">
        <v>5125</v>
      </c>
      <c r="G42" t="str">
        <f t="shared" si="0"/>
        <v xml:space="preserve">Insert into Dmquycach(Maquycach, Tenquycach, Manhom) values ('TP041', N'cuộn 500m', 'N06') </v>
      </c>
    </row>
    <row r="43" spans="1:7" x14ac:dyDescent="0.25">
      <c r="A43" s="52" t="s">
        <v>74</v>
      </c>
      <c r="C43" s="61" t="s">
        <v>2252</v>
      </c>
      <c r="D43" t="s">
        <v>5126</v>
      </c>
      <c r="G43" t="str">
        <f t="shared" si="0"/>
        <v xml:space="preserve">Insert into Dmquycach(Maquycach, Tenquycach, Manhom) values ('TP042', N'cuộn 700m', 'N06') </v>
      </c>
    </row>
    <row r="44" spans="1:7" x14ac:dyDescent="0.25">
      <c r="A44" s="52" t="s">
        <v>74</v>
      </c>
      <c r="C44" s="61" t="s">
        <v>2470</v>
      </c>
      <c r="D44" t="s">
        <v>5127</v>
      </c>
      <c r="G44" t="str">
        <f t="shared" si="0"/>
        <v xml:space="preserve">Insert into Dmquycach(Maquycach, Tenquycach, Manhom) values ('TP043', N'ba biên zipper đáy đứng', 'N06') </v>
      </c>
    </row>
    <row r="45" spans="1:7" x14ac:dyDescent="0.25">
      <c r="A45" s="52" t="s">
        <v>142</v>
      </c>
      <c r="C45" s="61" t="s">
        <v>2508</v>
      </c>
      <c r="D45" t="s">
        <v>5128</v>
      </c>
      <c r="G45" t="str">
        <f t="shared" si="0"/>
        <v xml:space="preserve">Insert into Dmquycach(Maquycach, Tenquycach, Manhom) values ('TP044', N'túi ba biên đáy dứng', 'N06') </v>
      </c>
    </row>
    <row r="46" spans="1:7" x14ac:dyDescent="0.25">
      <c r="A46" s="52" t="s">
        <v>74</v>
      </c>
      <c r="C46" s="61" t="s">
        <v>2545</v>
      </c>
      <c r="D46" t="s">
        <v>5129</v>
      </c>
      <c r="G46" t="str">
        <f t="shared" si="0"/>
        <v xml:space="preserve">Insert into Dmquycach(Maquycach, Tenquycach, Manhom) values ('TP045', N'túi 3 biên đáy đứng', 'N06') </v>
      </c>
    </row>
    <row r="47" spans="1:7" x14ac:dyDescent="0.25">
      <c r="A47" s="52" t="s">
        <v>265</v>
      </c>
      <c r="C47" s="61" t="s">
        <v>2656</v>
      </c>
      <c r="D47" t="s">
        <v>5130</v>
      </c>
      <c r="G47" t="str">
        <f t="shared" si="0"/>
        <v xml:space="preserve">Insert into Dmquycach(Maquycach, Tenquycach, Manhom) values ('TP046', N'túi bốn biên hông là màng trắng', 'N06') </v>
      </c>
    </row>
    <row r="48" spans="1:7" x14ac:dyDescent="0.25">
      <c r="A48" s="52" t="s">
        <v>74</v>
      </c>
      <c r="C48" s="61" t="s">
        <v>2703</v>
      </c>
      <c r="D48" t="s">
        <v>5131</v>
      </c>
      <c r="G48" t="str">
        <f t="shared" si="0"/>
        <v xml:space="preserve">Insert into Dmquycach(Maquycach, Tenquycach, Manhom) values ('TP047', N'cuộn ', 'N06') </v>
      </c>
    </row>
    <row r="49" spans="1:7" x14ac:dyDescent="0.25">
      <c r="A49" s="52" t="s">
        <v>60</v>
      </c>
      <c r="C49" s="61" t="s">
        <v>2758</v>
      </c>
      <c r="D49" t="s">
        <v>5132</v>
      </c>
      <c r="G49" t="str">
        <f t="shared" si="0"/>
        <v xml:space="preserve">Insert into Dmquycach(Maquycach, Tenquycach, Manhom) values ('TP048', N'túi ba biên zipper', 'N06') </v>
      </c>
    </row>
    <row r="50" spans="1:7" x14ac:dyDescent="0.25">
      <c r="A50" s="52" t="s">
        <v>60</v>
      </c>
      <c r="C50" s="61" t="s">
        <v>2842</v>
      </c>
      <c r="D50" t="s">
        <v>5133</v>
      </c>
      <c r="G50" t="str">
        <f t="shared" si="0"/>
        <v xml:space="preserve">Insert into Dmquycach(Maquycach, Tenquycach, Manhom) values ('TP049', N'túi hàn lưng ', 'N06') </v>
      </c>
    </row>
    <row r="51" spans="1:7" x14ac:dyDescent="0.25">
      <c r="A51" s="52" t="s">
        <v>74</v>
      </c>
      <c r="C51" s="61" t="s">
        <v>2867</v>
      </c>
      <c r="D51" t="s">
        <v>5134</v>
      </c>
      <c r="G51" t="str">
        <f t="shared" si="0"/>
        <v xml:space="preserve">Insert into Dmquycach(Maquycach, Tenquycach, Manhom) values ('TP050', N'ba biên đáy đứng', 'N06') </v>
      </c>
    </row>
    <row r="52" spans="1:7" x14ac:dyDescent="0.25">
      <c r="A52" s="52" t="s">
        <v>60</v>
      </c>
      <c r="C52" s="61" t="s">
        <v>2983</v>
      </c>
      <c r="D52" t="s">
        <v>5135</v>
      </c>
      <c r="G52" t="str">
        <f t="shared" si="0"/>
        <v xml:space="preserve">Insert into Dmquycach(Maquycach, Tenquycach, Manhom) values ('TP051', N'túi HLXH lệch', 'N06') </v>
      </c>
    </row>
    <row r="53" spans="1:7" x14ac:dyDescent="0.25">
      <c r="A53" s="52" t="s">
        <v>60</v>
      </c>
      <c r="C53" s="61" t="s">
        <v>3007</v>
      </c>
      <c r="D53" t="s">
        <v>5136</v>
      </c>
      <c r="G53" t="str">
        <f t="shared" si="0"/>
        <v xml:space="preserve">Insert into Dmquycach(Maquycach, Tenquycach, Manhom) values ('TP052', N'túi HL', 'N06') </v>
      </c>
    </row>
    <row r="54" spans="1:7" x14ac:dyDescent="0.25">
      <c r="A54" s="52" t="s">
        <v>60</v>
      </c>
      <c r="C54" s="61" t="s">
        <v>3099</v>
      </c>
      <c r="D54" t="s">
        <v>5137</v>
      </c>
      <c r="G54" t="str">
        <f t="shared" si="0"/>
        <v xml:space="preserve">Insert into Dmquycach(Maquycach, Tenquycach, Manhom) values ('TP053', N'túi 3 biên zipper', 'N06') </v>
      </c>
    </row>
    <row r="55" spans="1:7" x14ac:dyDescent="0.25">
      <c r="A55" s="52" t="s">
        <v>142</v>
      </c>
      <c r="C55" s="61" t="s">
        <v>3186</v>
      </c>
      <c r="D55" t="s">
        <v>5138</v>
      </c>
      <c r="G55" t="str">
        <f t="shared" si="0"/>
        <v xml:space="preserve">Insert into Dmquycach(Maquycach, Tenquycach, Manhom) values ('TP054', N'túi 3 biên', 'N06') </v>
      </c>
    </row>
    <row r="56" spans="1:7" x14ac:dyDescent="0.25">
      <c r="A56" s="52" t="s">
        <v>142</v>
      </c>
      <c r="C56" s="61" t="s">
        <v>3232</v>
      </c>
      <c r="D56" t="s">
        <v>5139</v>
      </c>
      <c r="G56" t="str">
        <f t="shared" si="0"/>
        <v xml:space="preserve">Insert into Dmquycach(Maquycach, Tenquycach, Manhom) values ('TP055', N'túi  3 biên zipper', 'N06') </v>
      </c>
    </row>
    <row r="57" spans="1:7" x14ac:dyDescent="0.25">
      <c r="A57" s="52" t="s">
        <v>142</v>
      </c>
      <c r="C57" s="61" t="s">
        <v>3328</v>
      </c>
      <c r="D57" t="s">
        <v>5140</v>
      </c>
      <c r="G57" t="str">
        <f t="shared" si="0"/>
        <v xml:space="preserve">Insert into Dmquycach(Maquycach, Tenquycach, Manhom) values ('TP056', N'túi ba biên đáy đứng ', 'N06') </v>
      </c>
    </row>
    <row r="58" spans="1:7" x14ac:dyDescent="0.25">
      <c r="A58" s="52" t="s">
        <v>142</v>
      </c>
      <c r="C58" s="61" t="s">
        <v>3350</v>
      </c>
      <c r="D58" t="s">
        <v>5141</v>
      </c>
      <c r="G58" t="str">
        <f t="shared" si="0"/>
        <v xml:space="preserve">Insert into Dmquycach(Maquycach, Tenquycach, Manhom) values ('TP057', N'túi 4 biên', 'N06') </v>
      </c>
    </row>
    <row r="59" spans="1:7" x14ac:dyDescent="0.25">
      <c r="A59" s="52" t="s">
        <v>142</v>
      </c>
      <c r="C59" s="61" t="s">
        <v>3442</v>
      </c>
      <c r="D59" t="s">
        <v>5142</v>
      </c>
      <c r="G59" t="str">
        <f t="shared" si="0"/>
        <v xml:space="preserve">Insert into Dmquycach(Maquycach, Tenquycach, Manhom) values ('TP058', N'túi ba biên zipper đáy đứng', 'N06') </v>
      </c>
    </row>
    <row r="60" spans="1:7" x14ac:dyDescent="0.25">
      <c r="A60" s="52" t="s">
        <v>142</v>
      </c>
      <c r="C60" s="61" t="s">
        <v>3447</v>
      </c>
      <c r="D60" t="s">
        <v>5143</v>
      </c>
      <c r="G60" t="str">
        <f t="shared" si="0"/>
        <v xml:space="preserve">Insert into Dmquycach(Maquycach, Tenquycach, Manhom) values ('TP059', N'túi HLXH ', 'N06') </v>
      </c>
    </row>
    <row r="61" spans="1:7" x14ac:dyDescent="0.25">
      <c r="A61" s="52" t="s">
        <v>194</v>
      </c>
    </row>
    <row r="62" spans="1:7" x14ac:dyDescent="0.25">
      <c r="A62" s="52" t="s">
        <v>60</v>
      </c>
    </row>
    <row r="63" spans="1:7" x14ac:dyDescent="0.25">
      <c r="A63" s="52" t="s">
        <v>60</v>
      </c>
    </row>
    <row r="64" spans="1:7" x14ac:dyDescent="0.25">
      <c r="A64" s="52" t="s">
        <v>60</v>
      </c>
    </row>
    <row r="65" spans="1:1" x14ac:dyDescent="0.25">
      <c r="A65" s="52" t="s">
        <v>60</v>
      </c>
    </row>
    <row r="66" spans="1:1" x14ac:dyDescent="0.25">
      <c r="A66" s="52" t="s">
        <v>104</v>
      </c>
    </row>
    <row r="67" spans="1:1" x14ac:dyDescent="0.25">
      <c r="A67" s="52" t="s">
        <v>60</v>
      </c>
    </row>
    <row r="68" spans="1:1" x14ac:dyDescent="0.25">
      <c r="A68" s="52" t="s">
        <v>104</v>
      </c>
    </row>
    <row r="69" spans="1:1" x14ac:dyDescent="0.25">
      <c r="A69" s="52" t="s">
        <v>142</v>
      </c>
    </row>
    <row r="70" spans="1:1" x14ac:dyDescent="0.25">
      <c r="A70" s="52" t="s">
        <v>74</v>
      </c>
    </row>
    <row r="71" spans="1:1" x14ac:dyDescent="0.25">
      <c r="A71" s="52" t="s">
        <v>104</v>
      </c>
    </row>
    <row r="72" spans="1:1" x14ac:dyDescent="0.25">
      <c r="A72" s="52" t="s">
        <v>74</v>
      </c>
    </row>
    <row r="73" spans="1:1" x14ac:dyDescent="0.25">
      <c r="A73" s="52" t="s">
        <v>74</v>
      </c>
    </row>
    <row r="74" spans="1:1" x14ac:dyDescent="0.25">
      <c r="A74" s="52" t="s">
        <v>194</v>
      </c>
    </row>
    <row r="75" spans="1:1" x14ac:dyDescent="0.25">
      <c r="A75" s="52" t="s">
        <v>74</v>
      </c>
    </row>
    <row r="76" spans="1:1" x14ac:dyDescent="0.25">
      <c r="A76" s="52" t="s">
        <v>60</v>
      </c>
    </row>
    <row r="77" spans="1:1" x14ac:dyDescent="0.25">
      <c r="A77" s="52" t="s">
        <v>60</v>
      </c>
    </row>
    <row r="78" spans="1:1" x14ac:dyDescent="0.25">
      <c r="A78" s="52" t="s">
        <v>60</v>
      </c>
    </row>
    <row r="79" spans="1:1" x14ac:dyDescent="0.25">
      <c r="A79" s="52" t="s">
        <v>60</v>
      </c>
    </row>
    <row r="80" spans="1:1" x14ac:dyDescent="0.25">
      <c r="A80" s="52" t="s">
        <v>60</v>
      </c>
    </row>
    <row r="81" spans="1:1" x14ac:dyDescent="0.25">
      <c r="A81" s="52" t="s">
        <v>60</v>
      </c>
    </row>
    <row r="82" spans="1:1" x14ac:dyDescent="0.25">
      <c r="A82" s="52" t="s">
        <v>386</v>
      </c>
    </row>
    <row r="83" spans="1:1" x14ac:dyDescent="0.25">
      <c r="A83" s="52" t="s">
        <v>142</v>
      </c>
    </row>
    <row r="84" spans="1:1" x14ac:dyDescent="0.25">
      <c r="A84" s="52" t="s">
        <v>104</v>
      </c>
    </row>
    <row r="85" spans="1:1" x14ac:dyDescent="0.25">
      <c r="A85" s="52" t="s">
        <v>74</v>
      </c>
    </row>
    <row r="86" spans="1:1" x14ac:dyDescent="0.25">
      <c r="A86" s="52" t="s">
        <v>74</v>
      </c>
    </row>
    <row r="87" spans="1:1" x14ac:dyDescent="0.25">
      <c r="A87" s="52" t="s">
        <v>74</v>
      </c>
    </row>
    <row r="88" spans="1:1" x14ac:dyDescent="0.25">
      <c r="A88" s="52" t="s">
        <v>104</v>
      </c>
    </row>
    <row r="89" spans="1:1" x14ac:dyDescent="0.25">
      <c r="A89" s="52" t="s">
        <v>104</v>
      </c>
    </row>
    <row r="90" spans="1:1" x14ac:dyDescent="0.25">
      <c r="A90" s="52" t="s">
        <v>74</v>
      </c>
    </row>
    <row r="91" spans="1:1" x14ac:dyDescent="0.25">
      <c r="A91" s="52" t="s">
        <v>104</v>
      </c>
    </row>
    <row r="92" spans="1:1" x14ac:dyDescent="0.25">
      <c r="A92" s="52" t="s">
        <v>74</v>
      </c>
    </row>
    <row r="93" spans="1:1" x14ac:dyDescent="0.25">
      <c r="A93" s="52" t="s">
        <v>74</v>
      </c>
    </row>
    <row r="94" spans="1:1" x14ac:dyDescent="0.25">
      <c r="A94" s="52" t="s">
        <v>104</v>
      </c>
    </row>
    <row r="95" spans="1:1" x14ac:dyDescent="0.25">
      <c r="A95" s="52" t="s">
        <v>74</v>
      </c>
    </row>
    <row r="96" spans="1:1" x14ac:dyDescent="0.25">
      <c r="A96" s="52" t="s">
        <v>104</v>
      </c>
    </row>
    <row r="97" spans="1:1" x14ac:dyDescent="0.25">
      <c r="A97" s="52" t="s">
        <v>104</v>
      </c>
    </row>
    <row r="98" spans="1:1" x14ac:dyDescent="0.25">
      <c r="A98" s="52" t="s">
        <v>104</v>
      </c>
    </row>
    <row r="99" spans="1:1" x14ac:dyDescent="0.25">
      <c r="A99" s="52" t="s">
        <v>104</v>
      </c>
    </row>
    <row r="100" spans="1:1" x14ac:dyDescent="0.25">
      <c r="A100" s="52" t="s">
        <v>104</v>
      </c>
    </row>
    <row r="101" spans="1:1" x14ac:dyDescent="0.25">
      <c r="A101" s="52" t="s">
        <v>104</v>
      </c>
    </row>
    <row r="102" spans="1:1" x14ac:dyDescent="0.25">
      <c r="A102" s="52" t="s">
        <v>104</v>
      </c>
    </row>
    <row r="103" spans="1:1" x14ac:dyDescent="0.25">
      <c r="A103" s="52" t="s">
        <v>74</v>
      </c>
    </row>
    <row r="104" spans="1:1" x14ac:dyDescent="0.25">
      <c r="A104" s="52" t="s">
        <v>74</v>
      </c>
    </row>
    <row r="105" spans="1:1" x14ac:dyDescent="0.25">
      <c r="A105" s="52" t="s">
        <v>60</v>
      </c>
    </row>
    <row r="106" spans="1:1" x14ac:dyDescent="0.25">
      <c r="A106" s="52" t="s">
        <v>74</v>
      </c>
    </row>
    <row r="107" spans="1:1" x14ac:dyDescent="0.25">
      <c r="A107" s="52" t="s">
        <v>60</v>
      </c>
    </row>
    <row r="108" spans="1:1" x14ac:dyDescent="0.25">
      <c r="A108" s="52" t="s">
        <v>60</v>
      </c>
    </row>
    <row r="109" spans="1:1" x14ac:dyDescent="0.25">
      <c r="A109" s="52" t="s">
        <v>60</v>
      </c>
    </row>
    <row r="110" spans="1:1" x14ac:dyDescent="0.25">
      <c r="A110" s="52" t="s">
        <v>60</v>
      </c>
    </row>
    <row r="111" spans="1:1" x14ac:dyDescent="0.25">
      <c r="A111" s="52" t="s">
        <v>60</v>
      </c>
    </row>
    <row r="112" spans="1:1" x14ac:dyDescent="0.25">
      <c r="A112" s="52" t="s">
        <v>60</v>
      </c>
    </row>
    <row r="113" spans="1:1" x14ac:dyDescent="0.25">
      <c r="A113" s="52" t="s">
        <v>74</v>
      </c>
    </row>
    <row r="114" spans="1:1" x14ac:dyDescent="0.25">
      <c r="A114" s="52" t="s">
        <v>74</v>
      </c>
    </row>
    <row r="115" spans="1:1" x14ac:dyDescent="0.25">
      <c r="A115" s="52" t="s">
        <v>142</v>
      </c>
    </row>
    <row r="116" spans="1:1" x14ac:dyDescent="0.25">
      <c r="A116" s="52" t="s">
        <v>142</v>
      </c>
    </row>
    <row r="117" spans="1:1" x14ac:dyDescent="0.25">
      <c r="A117" s="52" t="s">
        <v>142</v>
      </c>
    </row>
    <row r="118" spans="1:1" x14ac:dyDescent="0.25">
      <c r="A118" s="52" t="s">
        <v>509</v>
      </c>
    </row>
    <row r="119" spans="1:1" x14ac:dyDescent="0.25">
      <c r="A119" s="52" t="s">
        <v>74</v>
      </c>
    </row>
    <row r="120" spans="1:1" x14ac:dyDescent="0.25">
      <c r="A120" s="52" t="s">
        <v>142</v>
      </c>
    </row>
    <row r="121" spans="1:1" x14ac:dyDescent="0.25">
      <c r="A121" s="52" t="s">
        <v>74</v>
      </c>
    </row>
    <row r="122" spans="1:1" x14ac:dyDescent="0.25">
      <c r="A122" s="52" t="s">
        <v>74</v>
      </c>
    </row>
    <row r="123" spans="1:1" x14ac:dyDescent="0.25">
      <c r="A123" s="52" t="s">
        <v>60</v>
      </c>
    </row>
    <row r="124" spans="1:1" x14ac:dyDescent="0.25">
      <c r="A124" s="52" t="s">
        <v>104</v>
      </c>
    </row>
    <row r="125" spans="1:1" x14ac:dyDescent="0.25">
      <c r="A125" s="52" t="s">
        <v>542</v>
      </c>
    </row>
    <row r="126" spans="1:1" x14ac:dyDescent="0.25">
      <c r="A126" s="52" t="s">
        <v>74</v>
      </c>
    </row>
    <row r="127" spans="1:1" x14ac:dyDescent="0.25">
      <c r="A127" s="52" t="s">
        <v>104</v>
      </c>
    </row>
    <row r="128" spans="1:1" x14ac:dyDescent="0.25">
      <c r="A128" s="52" t="s">
        <v>60</v>
      </c>
    </row>
    <row r="129" spans="1:1" x14ac:dyDescent="0.25">
      <c r="A129" s="52" t="s">
        <v>60</v>
      </c>
    </row>
    <row r="130" spans="1:1" x14ac:dyDescent="0.25">
      <c r="A130" s="52" t="s">
        <v>60</v>
      </c>
    </row>
    <row r="131" spans="1:1" x14ac:dyDescent="0.25">
      <c r="A131" s="52" t="s">
        <v>74</v>
      </c>
    </row>
    <row r="132" spans="1:1" x14ac:dyDescent="0.25">
      <c r="A132" s="52" t="s">
        <v>74</v>
      </c>
    </row>
    <row r="133" spans="1:1" x14ac:dyDescent="0.25">
      <c r="A133" s="52" t="s">
        <v>74</v>
      </c>
    </row>
    <row r="134" spans="1:1" x14ac:dyDescent="0.25">
      <c r="A134" s="52" t="s">
        <v>74</v>
      </c>
    </row>
    <row r="135" spans="1:1" x14ac:dyDescent="0.25">
      <c r="A135" s="52" t="s">
        <v>104</v>
      </c>
    </row>
    <row r="136" spans="1:1" x14ac:dyDescent="0.25">
      <c r="A136" s="52" t="s">
        <v>142</v>
      </c>
    </row>
    <row r="137" spans="1:1" x14ac:dyDescent="0.25">
      <c r="A137" s="52" t="s">
        <v>74</v>
      </c>
    </row>
    <row r="138" spans="1:1" x14ac:dyDescent="0.25">
      <c r="A138" s="52" t="s">
        <v>104</v>
      </c>
    </row>
    <row r="139" spans="1:1" x14ac:dyDescent="0.25">
      <c r="A139" s="52" t="s">
        <v>227</v>
      </c>
    </row>
    <row r="140" spans="1:1" x14ac:dyDescent="0.25">
      <c r="A140" s="52" t="s">
        <v>74</v>
      </c>
    </row>
    <row r="141" spans="1:1" x14ac:dyDescent="0.25">
      <c r="A141" s="52" t="s">
        <v>104</v>
      </c>
    </row>
    <row r="142" spans="1:1" x14ac:dyDescent="0.25">
      <c r="A142" s="52" t="s">
        <v>611</v>
      </c>
    </row>
    <row r="143" spans="1:1" x14ac:dyDescent="0.25">
      <c r="A143" s="52" t="s">
        <v>74</v>
      </c>
    </row>
    <row r="144" spans="1:1" x14ac:dyDescent="0.25">
      <c r="A144" s="52" t="s">
        <v>74</v>
      </c>
    </row>
    <row r="145" spans="1:1" x14ac:dyDescent="0.25">
      <c r="A145" s="52" t="s">
        <v>611</v>
      </c>
    </row>
    <row r="146" spans="1:1" x14ac:dyDescent="0.25">
      <c r="A146" s="52" t="s">
        <v>611</v>
      </c>
    </row>
    <row r="147" spans="1:1" x14ac:dyDescent="0.25">
      <c r="A147" s="52" t="s">
        <v>611</v>
      </c>
    </row>
    <row r="148" spans="1:1" x14ac:dyDescent="0.25">
      <c r="A148" s="52" t="s">
        <v>611</v>
      </c>
    </row>
    <row r="149" spans="1:1" x14ac:dyDescent="0.25">
      <c r="A149" s="52" t="s">
        <v>60</v>
      </c>
    </row>
    <row r="150" spans="1:1" x14ac:dyDescent="0.25">
      <c r="A150" s="52" t="s">
        <v>74</v>
      </c>
    </row>
    <row r="151" spans="1:1" x14ac:dyDescent="0.25">
      <c r="A151" s="52" t="s">
        <v>60</v>
      </c>
    </row>
    <row r="152" spans="1:1" x14ac:dyDescent="0.25">
      <c r="A152" s="52" t="s">
        <v>60</v>
      </c>
    </row>
    <row r="153" spans="1:1" x14ac:dyDescent="0.25">
      <c r="A153" s="52" t="s">
        <v>60</v>
      </c>
    </row>
    <row r="154" spans="1:1" x14ac:dyDescent="0.25">
      <c r="A154" s="52" t="s">
        <v>60</v>
      </c>
    </row>
    <row r="155" spans="1:1" x14ac:dyDescent="0.25">
      <c r="A155" s="52" t="s">
        <v>104</v>
      </c>
    </row>
    <row r="156" spans="1:1" x14ac:dyDescent="0.25">
      <c r="A156" s="52" t="s">
        <v>60</v>
      </c>
    </row>
    <row r="157" spans="1:1" x14ac:dyDescent="0.25">
      <c r="A157" s="52" t="s">
        <v>60</v>
      </c>
    </row>
    <row r="158" spans="1:1" x14ac:dyDescent="0.25">
      <c r="A158" s="52" t="s">
        <v>60</v>
      </c>
    </row>
    <row r="159" spans="1:1" x14ac:dyDescent="0.25">
      <c r="A159" s="52" t="s">
        <v>60</v>
      </c>
    </row>
    <row r="160" spans="1:1" x14ac:dyDescent="0.25">
      <c r="A160" s="52" t="s">
        <v>60</v>
      </c>
    </row>
    <row r="161" spans="1:1" x14ac:dyDescent="0.25">
      <c r="A161" s="52" t="s">
        <v>60</v>
      </c>
    </row>
    <row r="162" spans="1:1" x14ac:dyDescent="0.25">
      <c r="A162" s="52" t="s">
        <v>60</v>
      </c>
    </row>
    <row r="163" spans="1:1" x14ac:dyDescent="0.25">
      <c r="A163" s="52" t="s">
        <v>60</v>
      </c>
    </row>
    <row r="164" spans="1:1" x14ac:dyDescent="0.25">
      <c r="A164" s="52" t="s">
        <v>60</v>
      </c>
    </row>
    <row r="165" spans="1:1" x14ac:dyDescent="0.25">
      <c r="A165" s="52" t="s">
        <v>60</v>
      </c>
    </row>
    <row r="166" spans="1:1" x14ac:dyDescent="0.25">
      <c r="A166" s="52" t="s">
        <v>60</v>
      </c>
    </row>
    <row r="167" spans="1:1" x14ac:dyDescent="0.25">
      <c r="A167" s="52" t="s">
        <v>60</v>
      </c>
    </row>
    <row r="168" spans="1:1" x14ac:dyDescent="0.25">
      <c r="A168" s="52" t="s">
        <v>60</v>
      </c>
    </row>
    <row r="169" spans="1:1" x14ac:dyDescent="0.25">
      <c r="A169" s="52" t="s">
        <v>60</v>
      </c>
    </row>
    <row r="170" spans="1:1" x14ac:dyDescent="0.25">
      <c r="A170" s="52" t="s">
        <v>60</v>
      </c>
    </row>
    <row r="171" spans="1:1" x14ac:dyDescent="0.25">
      <c r="A171" s="52" t="s">
        <v>60</v>
      </c>
    </row>
    <row r="172" spans="1:1" x14ac:dyDescent="0.25">
      <c r="A172" s="52" t="s">
        <v>60</v>
      </c>
    </row>
    <row r="173" spans="1:1" x14ac:dyDescent="0.25">
      <c r="A173" s="52" t="s">
        <v>60</v>
      </c>
    </row>
    <row r="174" spans="1:1" x14ac:dyDescent="0.25">
      <c r="A174" s="52" t="s">
        <v>60</v>
      </c>
    </row>
    <row r="175" spans="1:1" x14ac:dyDescent="0.25">
      <c r="A175" s="52" t="s">
        <v>60</v>
      </c>
    </row>
    <row r="176" spans="1:1" x14ac:dyDescent="0.25">
      <c r="A176" s="52" t="s">
        <v>60</v>
      </c>
    </row>
    <row r="177" spans="1:1" x14ac:dyDescent="0.25">
      <c r="A177" s="52" t="s">
        <v>60</v>
      </c>
    </row>
    <row r="178" spans="1:1" x14ac:dyDescent="0.25">
      <c r="A178" s="52" t="s">
        <v>60</v>
      </c>
    </row>
    <row r="179" spans="1:1" x14ac:dyDescent="0.25">
      <c r="A179" s="52" t="s">
        <v>104</v>
      </c>
    </row>
    <row r="180" spans="1:1" x14ac:dyDescent="0.25">
      <c r="A180" s="52" t="s">
        <v>60</v>
      </c>
    </row>
    <row r="181" spans="1:1" x14ac:dyDescent="0.25">
      <c r="A181" s="52" t="s">
        <v>611</v>
      </c>
    </row>
    <row r="182" spans="1:1" x14ac:dyDescent="0.25">
      <c r="A182" s="52" t="s">
        <v>611</v>
      </c>
    </row>
    <row r="183" spans="1:1" x14ac:dyDescent="0.25">
      <c r="A183" s="52" t="s">
        <v>611</v>
      </c>
    </row>
    <row r="184" spans="1:1" x14ac:dyDescent="0.25">
      <c r="A184" s="52" t="s">
        <v>60</v>
      </c>
    </row>
    <row r="185" spans="1:1" x14ac:dyDescent="0.25">
      <c r="A185" s="52" t="s">
        <v>142</v>
      </c>
    </row>
    <row r="186" spans="1:1" x14ac:dyDescent="0.25">
      <c r="A186" s="52" t="s">
        <v>611</v>
      </c>
    </row>
    <row r="187" spans="1:1" x14ac:dyDescent="0.25">
      <c r="A187" s="52" t="s">
        <v>611</v>
      </c>
    </row>
    <row r="188" spans="1:1" x14ac:dyDescent="0.25">
      <c r="A188" s="52" t="s">
        <v>74</v>
      </c>
    </row>
    <row r="189" spans="1:1" x14ac:dyDescent="0.25">
      <c r="A189" s="52" t="s">
        <v>60</v>
      </c>
    </row>
    <row r="190" spans="1:1" x14ac:dyDescent="0.25">
      <c r="A190" s="52" t="s">
        <v>60</v>
      </c>
    </row>
    <row r="191" spans="1:1" x14ac:dyDescent="0.25">
      <c r="A191" s="52" t="s">
        <v>60</v>
      </c>
    </row>
    <row r="192" spans="1:1" x14ac:dyDescent="0.25">
      <c r="A192" s="52" t="s">
        <v>750</v>
      </c>
    </row>
    <row r="193" spans="1:1" x14ac:dyDescent="0.25">
      <c r="A193" s="52" t="s">
        <v>750</v>
      </c>
    </row>
    <row r="194" spans="1:1" x14ac:dyDescent="0.25">
      <c r="A194" s="52" t="s">
        <v>756</v>
      </c>
    </row>
    <row r="195" spans="1:1" x14ac:dyDescent="0.25">
      <c r="A195" s="52" t="s">
        <v>756</v>
      </c>
    </row>
    <row r="196" spans="1:1" x14ac:dyDescent="0.25">
      <c r="A196" s="52" t="s">
        <v>74</v>
      </c>
    </row>
    <row r="197" spans="1:1" x14ac:dyDescent="0.25">
      <c r="A197" s="52" t="s">
        <v>74</v>
      </c>
    </row>
    <row r="198" spans="1:1" x14ac:dyDescent="0.25">
      <c r="A198" s="52" t="s">
        <v>750</v>
      </c>
    </row>
    <row r="199" spans="1:1" x14ac:dyDescent="0.25">
      <c r="A199" s="52" t="s">
        <v>750</v>
      </c>
    </row>
    <row r="200" spans="1:1" x14ac:dyDescent="0.25">
      <c r="A200" s="52" t="s">
        <v>750</v>
      </c>
    </row>
    <row r="201" spans="1:1" x14ac:dyDescent="0.25">
      <c r="A201" s="52" t="s">
        <v>750</v>
      </c>
    </row>
    <row r="202" spans="1:1" x14ac:dyDescent="0.25">
      <c r="A202" s="52" t="s">
        <v>756</v>
      </c>
    </row>
    <row r="203" spans="1:1" x14ac:dyDescent="0.25">
      <c r="A203" s="52" t="s">
        <v>756</v>
      </c>
    </row>
    <row r="204" spans="1:1" x14ac:dyDescent="0.25">
      <c r="A204" s="52" t="s">
        <v>756</v>
      </c>
    </row>
    <row r="205" spans="1:1" x14ac:dyDescent="0.25">
      <c r="A205" s="52" t="s">
        <v>756</v>
      </c>
    </row>
    <row r="206" spans="1:1" x14ac:dyDescent="0.25">
      <c r="A206" s="52" t="s">
        <v>756</v>
      </c>
    </row>
    <row r="207" spans="1:1" x14ac:dyDescent="0.25">
      <c r="A207" s="52" t="s">
        <v>756</v>
      </c>
    </row>
    <row r="208" spans="1:1" x14ac:dyDescent="0.25">
      <c r="A208" s="52" t="s">
        <v>750</v>
      </c>
    </row>
    <row r="209" spans="1:1" x14ac:dyDescent="0.25">
      <c r="A209" s="52" t="s">
        <v>750</v>
      </c>
    </row>
    <row r="210" spans="1:1" x14ac:dyDescent="0.25">
      <c r="A210" s="52" t="s">
        <v>750</v>
      </c>
    </row>
    <row r="211" spans="1:1" x14ac:dyDescent="0.25">
      <c r="A211" s="52" t="s">
        <v>750</v>
      </c>
    </row>
    <row r="212" spans="1:1" x14ac:dyDescent="0.25">
      <c r="A212" s="52" t="s">
        <v>750</v>
      </c>
    </row>
    <row r="213" spans="1:1" x14ac:dyDescent="0.25">
      <c r="A213" s="52" t="s">
        <v>142</v>
      </c>
    </row>
    <row r="214" spans="1:1" x14ac:dyDescent="0.25">
      <c r="A214" s="52" t="s">
        <v>756</v>
      </c>
    </row>
    <row r="215" spans="1:1" x14ac:dyDescent="0.25">
      <c r="A215" s="52" t="s">
        <v>60</v>
      </c>
    </row>
    <row r="216" spans="1:1" x14ac:dyDescent="0.25">
      <c r="A216" s="52" t="s">
        <v>74</v>
      </c>
    </row>
    <row r="217" spans="1:1" x14ac:dyDescent="0.25">
      <c r="A217" s="52" t="s">
        <v>810</v>
      </c>
    </row>
    <row r="218" spans="1:1" x14ac:dyDescent="0.25">
      <c r="A218" s="52" t="s">
        <v>60</v>
      </c>
    </row>
    <row r="219" spans="1:1" x14ac:dyDescent="0.25">
      <c r="A219" s="52" t="s">
        <v>60</v>
      </c>
    </row>
    <row r="220" spans="1:1" x14ac:dyDescent="0.25">
      <c r="A220" s="52" t="s">
        <v>60</v>
      </c>
    </row>
    <row r="221" spans="1:1" x14ac:dyDescent="0.25">
      <c r="A221" s="52" t="s">
        <v>104</v>
      </c>
    </row>
    <row r="222" spans="1:1" x14ac:dyDescent="0.25">
      <c r="A222" s="52" t="s">
        <v>60</v>
      </c>
    </row>
    <row r="223" spans="1:1" x14ac:dyDescent="0.25">
      <c r="A223" s="52" t="s">
        <v>60</v>
      </c>
    </row>
    <row r="224" spans="1:1" x14ac:dyDescent="0.25">
      <c r="A224" s="52" t="s">
        <v>60</v>
      </c>
    </row>
    <row r="225" spans="1:1" x14ac:dyDescent="0.25">
      <c r="A225" s="52" t="s">
        <v>74</v>
      </c>
    </row>
    <row r="226" spans="1:1" x14ac:dyDescent="0.25">
      <c r="A226" s="52" t="s">
        <v>74</v>
      </c>
    </row>
    <row r="227" spans="1:1" x14ac:dyDescent="0.25">
      <c r="A227" s="52" t="s">
        <v>74</v>
      </c>
    </row>
    <row r="228" spans="1:1" x14ac:dyDescent="0.25">
      <c r="A228" s="52" t="s">
        <v>60</v>
      </c>
    </row>
    <row r="229" spans="1:1" x14ac:dyDescent="0.25">
      <c r="A229" s="52" t="s">
        <v>756</v>
      </c>
    </row>
    <row r="230" spans="1:1" x14ac:dyDescent="0.25">
      <c r="A230" s="52" t="s">
        <v>74</v>
      </c>
    </row>
    <row r="231" spans="1:1" x14ac:dyDescent="0.25">
      <c r="A231" s="52" t="s">
        <v>756</v>
      </c>
    </row>
    <row r="232" spans="1:1" x14ac:dyDescent="0.25">
      <c r="A232" s="52" t="s">
        <v>756</v>
      </c>
    </row>
    <row r="233" spans="1:1" x14ac:dyDescent="0.25">
      <c r="A233" s="52" t="s">
        <v>756</v>
      </c>
    </row>
    <row r="234" spans="1:1" x14ac:dyDescent="0.25">
      <c r="A234" s="52" t="s">
        <v>60</v>
      </c>
    </row>
    <row r="235" spans="1:1" x14ac:dyDescent="0.25">
      <c r="A235" s="52" t="s">
        <v>60</v>
      </c>
    </row>
    <row r="236" spans="1:1" x14ac:dyDescent="0.25">
      <c r="A236" s="52" t="s">
        <v>74</v>
      </c>
    </row>
    <row r="237" spans="1:1" x14ac:dyDescent="0.25">
      <c r="A237" s="52" t="s">
        <v>74</v>
      </c>
    </row>
    <row r="238" spans="1:1" x14ac:dyDescent="0.25">
      <c r="A238" s="52" t="s">
        <v>74</v>
      </c>
    </row>
    <row r="239" spans="1:1" x14ac:dyDescent="0.25">
      <c r="A239" s="52" t="s">
        <v>60</v>
      </c>
    </row>
    <row r="240" spans="1:1" x14ac:dyDescent="0.25">
      <c r="A240" s="52" t="s">
        <v>74</v>
      </c>
    </row>
    <row r="241" spans="1:1" x14ac:dyDescent="0.25">
      <c r="A241" s="52" t="s">
        <v>74</v>
      </c>
    </row>
    <row r="242" spans="1:1" x14ac:dyDescent="0.25">
      <c r="A242" s="52" t="s">
        <v>611</v>
      </c>
    </row>
    <row r="243" spans="1:1" x14ac:dyDescent="0.25">
      <c r="A243" s="52" t="s">
        <v>74</v>
      </c>
    </row>
    <row r="244" spans="1:1" x14ac:dyDescent="0.25">
      <c r="A244" s="52" t="s">
        <v>611</v>
      </c>
    </row>
    <row r="245" spans="1:1" x14ac:dyDescent="0.25">
      <c r="A245" s="52" t="s">
        <v>611</v>
      </c>
    </row>
    <row r="246" spans="1:1" x14ac:dyDescent="0.25">
      <c r="A246" s="52" t="s">
        <v>104</v>
      </c>
    </row>
    <row r="247" spans="1:1" x14ac:dyDescent="0.25">
      <c r="A247" s="52" t="s">
        <v>104</v>
      </c>
    </row>
    <row r="248" spans="1:1" x14ac:dyDescent="0.25">
      <c r="A248" s="52" t="s">
        <v>104</v>
      </c>
    </row>
    <row r="249" spans="1:1" x14ac:dyDescent="0.25">
      <c r="A249" s="52" t="s">
        <v>104</v>
      </c>
    </row>
    <row r="250" spans="1:1" x14ac:dyDescent="0.25">
      <c r="A250" s="52" t="s">
        <v>74</v>
      </c>
    </row>
    <row r="251" spans="1:1" x14ac:dyDescent="0.25">
      <c r="A251" s="52" t="s">
        <v>74</v>
      </c>
    </row>
    <row r="252" spans="1:1" x14ac:dyDescent="0.25">
      <c r="A252" s="52" t="s">
        <v>74</v>
      </c>
    </row>
    <row r="253" spans="1:1" x14ac:dyDescent="0.25">
      <c r="A253" s="52" t="s">
        <v>74</v>
      </c>
    </row>
    <row r="254" spans="1:1" x14ac:dyDescent="0.25">
      <c r="A254" s="52" t="s">
        <v>74</v>
      </c>
    </row>
    <row r="255" spans="1:1" x14ac:dyDescent="0.25">
      <c r="A255" s="52" t="s">
        <v>60</v>
      </c>
    </row>
    <row r="256" spans="1:1" x14ac:dyDescent="0.25">
      <c r="A256" s="52" t="s">
        <v>60</v>
      </c>
    </row>
    <row r="257" spans="1:1" x14ac:dyDescent="0.25">
      <c r="A257" s="52" t="s">
        <v>60</v>
      </c>
    </row>
    <row r="258" spans="1:1" x14ac:dyDescent="0.25">
      <c r="A258" s="52" t="s">
        <v>60</v>
      </c>
    </row>
    <row r="259" spans="1:1" x14ac:dyDescent="0.25">
      <c r="A259" s="97" t="s">
        <v>74</v>
      </c>
    </row>
    <row r="260" spans="1:1" x14ac:dyDescent="0.25">
      <c r="A260" s="97" t="s">
        <v>74</v>
      </c>
    </row>
    <row r="261" spans="1:1" x14ac:dyDescent="0.25">
      <c r="A261" s="52" t="s">
        <v>60</v>
      </c>
    </row>
    <row r="262" spans="1:1" x14ac:dyDescent="0.25">
      <c r="A262" s="52" t="s">
        <v>60</v>
      </c>
    </row>
    <row r="263" spans="1:1" x14ac:dyDescent="0.25">
      <c r="A263" s="52" t="s">
        <v>60</v>
      </c>
    </row>
    <row r="264" spans="1:1" x14ac:dyDescent="0.25">
      <c r="A264" s="52" t="s">
        <v>60</v>
      </c>
    </row>
    <row r="265" spans="1:1" x14ac:dyDescent="0.25">
      <c r="A265" s="52" t="s">
        <v>74</v>
      </c>
    </row>
    <row r="266" spans="1:1" x14ac:dyDescent="0.25">
      <c r="A266" s="52" t="s">
        <v>74</v>
      </c>
    </row>
    <row r="267" spans="1:1" x14ac:dyDescent="0.25">
      <c r="A267" s="52" t="s">
        <v>74</v>
      </c>
    </row>
    <row r="268" spans="1:1" x14ac:dyDescent="0.25">
      <c r="A268" s="52" t="s">
        <v>951</v>
      </c>
    </row>
    <row r="269" spans="1:1" x14ac:dyDescent="0.25">
      <c r="A269" s="52" t="s">
        <v>958</v>
      </c>
    </row>
    <row r="270" spans="1:1" x14ac:dyDescent="0.25">
      <c r="A270" s="52" t="s">
        <v>194</v>
      </c>
    </row>
    <row r="271" spans="1:1" x14ac:dyDescent="0.25">
      <c r="A271" s="52" t="s">
        <v>74</v>
      </c>
    </row>
    <row r="272" spans="1:1" x14ac:dyDescent="0.25">
      <c r="A272" s="52" t="s">
        <v>60</v>
      </c>
    </row>
    <row r="273" spans="1:1" x14ac:dyDescent="0.25">
      <c r="A273" s="52" t="s">
        <v>74</v>
      </c>
    </row>
    <row r="274" spans="1:1" x14ac:dyDescent="0.25">
      <c r="A274" s="52" t="s">
        <v>74</v>
      </c>
    </row>
    <row r="275" spans="1:1" x14ac:dyDescent="0.25">
      <c r="A275" s="52" t="s">
        <v>74</v>
      </c>
    </row>
    <row r="276" spans="1:1" x14ac:dyDescent="0.25">
      <c r="A276" s="52" t="s">
        <v>386</v>
      </c>
    </row>
    <row r="277" spans="1:1" x14ac:dyDescent="0.25">
      <c r="A277" s="52" t="s">
        <v>386</v>
      </c>
    </row>
    <row r="278" spans="1:1" x14ac:dyDescent="0.25">
      <c r="A278" s="52" t="s">
        <v>958</v>
      </c>
    </row>
    <row r="279" spans="1:1" x14ac:dyDescent="0.25">
      <c r="A279" s="52" t="s">
        <v>958</v>
      </c>
    </row>
    <row r="280" spans="1:1" x14ac:dyDescent="0.25">
      <c r="A280" s="52" t="s">
        <v>142</v>
      </c>
    </row>
    <row r="281" spans="1:1" x14ac:dyDescent="0.25">
      <c r="A281" s="52" t="s">
        <v>1000</v>
      </c>
    </row>
    <row r="282" spans="1:1" x14ac:dyDescent="0.25">
      <c r="A282" s="52" t="s">
        <v>104</v>
      </c>
    </row>
    <row r="283" spans="1:1" x14ac:dyDescent="0.25">
      <c r="A283" s="52" t="s">
        <v>958</v>
      </c>
    </row>
    <row r="284" spans="1:1" x14ac:dyDescent="0.25">
      <c r="A284" s="52" t="s">
        <v>958</v>
      </c>
    </row>
    <row r="285" spans="1:1" x14ac:dyDescent="0.25">
      <c r="A285" s="52" t="s">
        <v>60</v>
      </c>
    </row>
    <row r="286" spans="1:1" x14ac:dyDescent="0.25">
      <c r="A286" s="52" t="s">
        <v>142</v>
      </c>
    </row>
    <row r="287" spans="1:1" x14ac:dyDescent="0.25">
      <c r="A287" s="101" t="s">
        <v>386</v>
      </c>
    </row>
    <row r="288" spans="1:1" x14ac:dyDescent="0.25">
      <c r="A288" s="52" t="s">
        <v>1030</v>
      </c>
    </row>
    <row r="289" spans="1:1" x14ac:dyDescent="0.25">
      <c r="A289" s="52" t="s">
        <v>1033</v>
      </c>
    </row>
    <row r="290" spans="1:1" x14ac:dyDescent="0.25">
      <c r="A290" s="52" t="s">
        <v>74</v>
      </c>
    </row>
    <row r="291" spans="1:1" x14ac:dyDescent="0.25">
      <c r="A291" s="52" t="s">
        <v>74</v>
      </c>
    </row>
    <row r="292" spans="1:1" x14ac:dyDescent="0.25">
      <c r="A292" s="52" t="s">
        <v>958</v>
      </c>
    </row>
    <row r="293" spans="1:1" x14ac:dyDescent="0.25">
      <c r="A293" s="52" t="s">
        <v>958</v>
      </c>
    </row>
    <row r="294" spans="1:1" x14ac:dyDescent="0.25">
      <c r="A294" s="52" t="s">
        <v>958</v>
      </c>
    </row>
    <row r="295" spans="1:1" x14ac:dyDescent="0.25">
      <c r="A295" s="52" t="s">
        <v>958</v>
      </c>
    </row>
    <row r="296" spans="1:1" x14ac:dyDescent="0.25">
      <c r="A296" s="52" t="s">
        <v>958</v>
      </c>
    </row>
    <row r="297" spans="1:1" x14ac:dyDescent="0.25">
      <c r="A297" s="52" t="s">
        <v>958</v>
      </c>
    </row>
    <row r="298" spans="1:1" x14ac:dyDescent="0.25">
      <c r="A298" s="52" t="s">
        <v>958</v>
      </c>
    </row>
    <row r="299" spans="1:1" x14ac:dyDescent="0.25">
      <c r="A299" s="52" t="s">
        <v>74</v>
      </c>
    </row>
    <row r="300" spans="1:1" x14ac:dyDescent="0.25">
      <c r="A300" s="52" t="s">
        <v>142</v>
      </c>
    </row>
    <row r="301" spans="1:1" x14ac:dyDescent="0.25">
      <c r="A301" s="52" t="s">
        <v>142</v>
      </c>
    </row>
    <row r="302" spans="1:1" x14ac:dyDescent="0.25">
      <c r="A302" s="52" t="s">
        <v>142</v>
      </c>
    </row>
    <row r="303" spans="1:1" x14ac:dyDescent="0.25">
      <c r="A303" s="52" t="s">
        <v>958</v>
      </c>
    </row>
    <row r="304" spans="1:1" x14ac:dyDescent="0.25">
      <c r="A304" s="52" t="s">
        <v>958</v>
      </c>
    </row>
    <row r="305" spans="1:1" x14ac:dyDescent="0.25">
      <c r="A305" s="52" t="s">
        <v>958</v>
      </c>
    </row>
    <row r="306" spans="1:1" x14ac:dyDescent="0.25">
      <c r="A306" s="52" t="s">
        <v>104</v>
      </c>
    </row>
    <row r="307" spans="1:1" x14ac:dyDescent="0.25">
      <c r="A307" s="52" t="s">
        <v>104</v>
      </c>
    </row>
    <row r="308" spans="1:1" x14ac:dyDescent="0.25">
      <c r="A308" s="52" t="s">
        <v>1096</v>
      </c>
    </row>
    <row r="309" spans="1:1" x14ac:dyDescent="0.25">
      <c r="A309" s="52" t="s">
        <v>1100</v>
      </c>
    </row>
    <row r="310" spans="1:1" x14ac:dyDescent="0.25">
      <c r="A310" s="52" t="s">
        <v>1104</v>
      </c>
    </row>
    <row r="311" spans="1:1" x14ac:dyDescent="0.25">
      <c r="A311" s="52" t="s">
        <v>756</v>
      </c>
    </row>
    <row r="312" spans="1:1" x14ac:dyDescent="0.25">
      <c r="A312" s="52" t="s">
        <v>74</v>
      </c>
    </row>
    <row r="313" spans="1:1" x14ac:dyDescent="0.25">
      <c r="A313" s="52" t="s">
        <v>74</v>
      </c>
    </row>
    <row r="314" spans="1:1" x14ac:dyDescent="0.25">
      <c r="A314" s="52" t="s">
        <v>958</v>
      </c>
    </row>
    <row r="315" spans="1:1" x14ac:dyDescent="0.25">
      <c r="A315" s="52" t="s">
        <v>958</v>
      </c>
    </row>
    <row r="316" spans="1:1" x14ac:dyDescent="0.25">
      <c r="A316" s="52" t="s">
        <v>104</v>
      </c>
    </row>
    <row r="317" spans="1:1" x14ac:dyDescent="0.25">
      <c r="A317" s="52" t="s">
        <v>60</v>
      </c>
    </row>
    <row r="318" spans="1:1" x14ac:dyDescent="0.25">
      <c r="A318" s="52" t="s">
        <v>74</v>
      </c>
    </row>
    <row r="319" spans="1:1" x14ac:dyDescent="0.25">
      <c r="A319" s="52" t="s">
        <v>1137</v>
      </c>
    </row>
    <row r="320" spans="1:1" x14ac:dyDescent="0.25">
      <c r="A320" s="52" t="s">
        <v>611</v>
      </c>
    </row>
    <row r="321" spans="1:1" x14ac:dyDescent="0.25">
      <c r="A321" s="52" t="s">
        <v>611</v>
      </c>
    </row>
    <row r="322" spans="1:1" x14ac:dyDescent="0.25">
      <c r="A322" s="52" t="s">
        <v>611</v>
      </c>
    </row>
    <row r="323" spans="1:1" x14ac:dyDescent="0.25">
      <c r="A323" s="52" t="s">
        <v>611</v>
      </c>
    </row>
    <row r="324" spans="1:1" x14ac:dyDescent="0.25">
      <c r="A324" s="52" t="s">
        <v>60</v>
      </c>
    </row>
    <row r="325" spans="1:1" x14ac:dyDescent="0.25">
      <c r="A325" s="52" t="s">
        <v>194</v>
      </c>
    </row>
    <row r="326" spans="1:1" x14ac:dyDescent="0.25">
      <c r="A326" s="52" t="s">
        <v>60</v>
      </c>
    </row>
    <row r="327" spans="1:1" x14ac:dyDescent="0.25">
      <c r="A327" s="52" t="s">
        <v>60</v>
      </c>
    </row>
    <row r="328" spans="1:1" x14ac:dyDescent="0.25">
      <c r="A328" s="52" t="s">
        <v>194</v>
      </c>
    </row>
    <row r="329" spans="1:1" x14ac:dyDescent="0.25">
      <c r="A329" s="52" t="s">
        <v>74</v>
      </c>
    </row>
    <row r="330" spans="1:1" x14ac:dyDescent="0.25">
      <c r="A330" s="52" t="s">
        <v>74</v>
      </c>
    </row>
    <row r="331" spans="1:1" x14ac:dyDescent="0.25">
      <c r="A331" s="52" t="s">
        <v>60</v>
      </c>
    </row>
    <row r="332" spans="1:1" x14ac:dyDescent="0.25">
      <c r="A332" s="52" t="s">
        <v>60</v>
      </c>
    </row>
    <row r="333" spans="1:1" x14ac:dyDescent="0.25">
      <c r="A333" s="52" t="s">
        <v>1177</v>
      </c>
    </row>
    <row r="334" spans="1:1" x14ac:dyDescent="0.25">
      <c r="A334" s="52" t="s">
        <v>74</v>
      </c>
    </row>
    <row r="335" spans="1:1" x14ac:dyDescent="0.25">
      <c r="A335" s="52" t="s">
        <v>74</v>
      </c>
    </row>
    <row r="336" spans="1:1" x14ac:dyDescent="0.25">
      <c r="A336" s="52" t="s">
        <v>142</v>
      </c>
    </row>
    <row r="337" spans="1:1" x14ac:dyDescent="0.25">
      <c r="A337" s="52" t="s">
        <v>611</v>
      </c>
    </row>
    <row r="338" spans="1:1" x14ac:dyDescent="0.25">
      <c r="A338" s="52" t="s">
        <v>611</v>
      </c>
    </row>
    <row r="339" spans="1:1" x14ac:dyDescent="0.25">
      <c r="A339" s="52" t="s">
        <v>611</v>
      </c>
    </row>
    <row r="340" spans="1:1" x14ac:dyDescent="0.25">
      <c r="A340" s="52" t="s">
        <v>60</v>
      </c>
    </row>
    <row r="341" spans="1:1" x14ac:dyDescent="0.25">
      <c r="A341" s="52" t="s">
        <v>142</v>
      </c>
    </row>
    <row r="342" spans="1:1" x14ac:dyDescent="0.25">
      <c r="A342" s="52" t="s">
        <v>104</v>
      </c>
    </row>
    <row r="343" spans="1:1" x14ac:dyDescent="0.25">
      <c r="A343" s="52" t="s">
        <v>142</v>
      </c>
    </row>
    <row r="344" spans="1:1" x14ac:dyDescent="0.25">
      <c r="A344" s="52" t="s">
        <v>142</v>
      </c>
    </row>
    <row r="345" spans="1:1" x14ac:dyDescent="0.25">
      <c r="A345" s="52" t="s">
        <v>142</v>
      </c>
    </row>
    <row r="346" spans="1:1" x14ac:dyDescent="0.25">
      <c r="A346" s="52" t="s">
        <v>60</v>
      </c>
    </row>
    <row r="347" spans="1:1" x14ac:dyDescent="0.25">
      <c r="A347" s="52" t="s">
        <v>60</v>
      </c>
    </row>
    <row r="348" spans="1:1" x14ac:dyDescent="0.25">
      <c r="A348" s="52" t="s">
        <v>611</v>
      </c>
    </row>
    <row r="349" spans="1:1" x14ac:dyDescent="0.25">
      <c r="A349" s="52" t="s">
        <v>60</v>
      </c>
    </row>
    <row r="350" spans="1:1" x14ac:dyDescent="0.25">
      <c r="A350" s="52" t="s">
        <v>142</v>
      </c>
    </row>
    <row r="351" spans="1:1" x14ac:dyDescent="0.25">
      <c r="A351" s="52" t="s">
        <v>142</v>
      </c>
    </row>
    <row r="352" spans="1:1" x14ac:dyDescent="0.25">
      <c r="A352" s="108" t="s">
        <v>142</v>
      </c>
    </row>
    <row r="353" spans="1:1" x14ac:dyDescent="0.25">
      <c r="A353" s="52" t="s">
        <v>60</v>
      </c>
    </row>
    <row r="354" spans="1:1" x14ac:dyDescent="0.25">
      <c r="A354" s="113" t="s">
        <v>74</v>
      </c>
    </row>
    <row r="355" spans="1:1" x14ac:dyDescent="0.25">
      <c r="A355" s="52" t="s">
        <v>74</v>
      </c>
    </row>
    <row r="356" spans="1:1" x14ac:dyDescent="0.25">
      <c r="A356" s="52" t="s">
        <v>611</v>
      </c>
    </row>
    <row r="357" spans="1:1" x14ac:dyDescent="0.25">
      <c r="A357" s="52" t="s">
        <v>958</v>
      </c>
    </row>
    <row r="358" spans="1:1" x14ac:dyDescent="0.25">
      <c r="A358" s="52" t="s">
        <v>611</v>
      </c>
    </row>
    <row r="359" spans="1:1" x14ac:dyDescent="0.25">
      <c r="A359" s="52" t="s">
        <v>958</v>
      </c>
    </row>
    <row r="360" spans="1:1" x14ac:dyDescent="0.25">
      <c r="A360" s="52" t="s">
        <v>958</v>
      </c>
    </row>
    <row r="361" spans="1:1" x14ac:dyDescent="0.25">
      <c r="A361" s="52" t="s">
        <v>60</v>
      </c>
    </row>
    <row r="362" spans="1:1" x14ac:dyDescent="0.25">
      <c r="A362" s="52" t="s">
        <v>60</v>
      </c>
    </row>
    <row r="363" spans="1:1" x14ac:dyDescent="0.25">
      <c r="A363" s="52" t="s">
        <v>60</v>
      </c>
    </row>
    <row r="364" spans="1:1" x14ac:dyDescent="0.25">
      <c r="A364" s="52" t="s">
        <v>60</v>
      </c>
    </row>
    <row r="365" spans="1:1" x14ac:dyDescent="0.25">
      <c r="A365" s="52" t="s">
        <v>611</v>
      </c>
    </row>
    <row r="366" spans="1:1" x14ac:dyDescent="0.25">
      <c r="A366" s="52" t="s">
        <v>194</v>
      </c>
    </row>
    <row r="367" spans="1:1" x14ac:dyDescent="0.25">
      <c r="A367" s="52" t="s">
        <v>74</v>
      </c>
    </row>
    <row r="368" spans="1:1" x14ac:dyDescent="0.25">
      <c r="A368" s="52" t="s">
        <v>611</v>
      </c>
    </row>
    <row r="369" spans="1:1" x14ac:dyDescent="0.25">
      <c r="A369" s="52" t="s">
        <v>509</v>
      </c>
    </row>
    <row r="370" spans="1:1" x14ac:dyDescent="0.25">
      <c r="A370" s="52" t="s">
        <v>509</v>
      </c>
    </row>
    <row r="371" spans="1:1" x14ac:dyDescent="0.25">
      <c r="A371" s="52" t="s">
        <v>958</v>
      </c>
    </row>
    <row r="372" spans="1:1" x14ac:dyDescent="0.25">
      <c r="A372" s="52" t="s">
        <v>60</v>
      </c>
    </row>
    <row r="373" spans="1:1" x14ac:dyDescent="0.25">
      <c r="A373" s="52" t="s">
        <v>509</v>
      </c>
    </row>
    <row r="374" spans="1:1" x14ac:dyDescent="0.25">
      <c r="A374" s="52" t="s">
        <v>509</v>
      </c>
    </row>
    <row r="375" spans="1:1" x14ac:dyDescent="0.25">
      <c r="A375" s="52" t="s">
        <v>958</v>
      </c>
    </row>
    <row r="376" spans="1:1" x14ac:dyDescent="0.25">
      <c r="A376" s="52" t="s">
        <v>60</v>
      </c>
    </row>
    <row r="377" spans="1:1" x14ac:dyDescent="0.25">
      <c r="A377" s="52" t="s">
        <v>60</v>
      </c>
    </row>
    <row r="378" spans="1:1" x14ac:dyDescent="0.25">
      <c r="A378" s="52" t="s">
        <v>60</v>
      </c>
    </row>
    <row r="379" spans="1:1" x14ac:dyDescent="0.25">
      <c r="A379" s="52" t="s">
        <v>60</v>
      </c>
    </row>
    <row r="380" spans="1:1" x14ac:dyDescent="0.25">
      <c r="A380" s="52" t="s">
        <v>611</v>
      </c>
    </row>
    <row r="381" spans="1:1" x14ac:dyDescent="0.25">
      <c r="A381" s="52" t="s">
        <v>74</v>
      </c>
    </row>
    <row r="382" spans="1:1" x14ac:dyDescent="0.25">
      <c r="A382" s="52" t="s">
        <v>194</v>
      </c>
    </row>
    <row r="383" spans="1:1" x14ac:dyDescent="0.25">
      <c r="A383" s="52" t="s">
        <v>1313</v>
      </c>
    </row>
    <row r="384" spans="1:1" x14ac:dyDescent="0.25">
      <c r="A384" s="52" t="s">
        <v>60</v>
      </c>
    </row>
    <row r="385" spans="1:1" x14ac:dyDescent="0.25">
      <c r="A385" s="52" t="s">
        <v>60</v>
      </c>
    </row>
    <row r="386" spans="1:1" x14ac:dyDescent="0.25">
      <c r="A386" s="52" t="s">
        <v>60</v>
      </c>
    </row>
    <row r="387" spans="1:1" x14ac:dyDescent="0.25">
      <c r="A387" s="52" t="s">
        <v>958</v>
      </c>
    </row>
    <row r="388" spans="1:1" x14ac:dyDescent="0.25">
      <c r="A388" s="52" t="s">
        <v>74</v>
      </c>
    </row>
    <row r="389" spans="1:1" x14ac:dyDescent="0.25">
      <c r="A389" s="52" t="s">
        <v>1329</v>
      </c>
    </row>
    <row r="390" spans="1:1" x14ac:dyDescent="0.25">
      <c r="A390" s="52" t="s">
        <v>60</v>
      </c>
    </row>
    <row r="391" spans="1:1" x14ac:dyDescent="0.25">
      <c r="A391" s="52" t="s">
        <v>611</v>
      </c>
    </row>
    <row r="392" spans="1:1" x14ac:dyDescent="0.25">
      <c r="A392" s="52" t="s">
        <v>509</v>
      </c>
    </row>
    <row r="393" spans="1:1" x14ac:dyDescent="0.25">
      <c r="A393" s="52" t="s">
        <v>509</v>
      </c>
    </row>
    <row r="394" spans="1:1" x14ac:dyDescent="0.25">
      <c r="A394" s="52" t="s">
        <v>74</v>
      </c>
    </row>
    <row r="395" spans="1:1" x14ac:dyDescent="0.25">
      <c r="A395" s="52" t="s">
        <v>74</v>
      </c>
    </row>
    <row r="396" spans="1:1" x14ac:dyDescent="0.25">
      <c r="A396" s="52" t="s">
        <v>60</v>
      </c>
    </row>
    <row r="397" spans="1:1" x14ac:dyDescent="0.25">
      <c r="A397" s="52" t="s">
        <v>1356</v>
      </c>
    </row>
    <row r="398" spans="1:1" x14ac:dyDescent="0.25">
      <c r="A398" s="52" t="s">
        <v>74</v>
      </c>
    </row>
    <row r="399" spans="1:1" x14ac:dyDescent="0.25">
      <c r="A399" s="52" t="s">
        <v>756</v>
      </c>
    </row>
    <row r="400" spans="1:1" x14ac:dyDescent="0.25">
      <c r="A400" s="52" t="s">
        <v>60</v>
      </c>
    </row>
    <row r="401" spans="1:1" x14ac:dyDescent="0.25">
      <c r="A401" s="52" t="s">
        <v>60</v>
      </c>
    </row>
    <row r="402" spans="1:1" x14ac:dyDescent="0.25">
      <c r="A402" s="52" t="s">
        <v>60</v>
      </c>
    </row>
    <row r="403" spans="1:1" x14ac:dyDescent="0.25">
      <c r="A403" s="52" t="s">
        <v>60</v>
      </c>
    </row>
    <row r="404" spans="1:1" x14ac:dyDescent="0.25">
      <c r="A404" s="52" t="s">
        <v>60</v>
      </c>
    </row>
    <row r="405" spans="1:1" x14ac:dyDescent="0.25">
      <c r="A405" s="52" t="s">
        <v>60</v>
      </c>
    </row>
    <row r="406" spans="1:1" x14ac:dyDescent="0.25">
      <c r="A406" s="52" t="s">
        <v>74</v>
      </c>
    </row>
    <row r="407" spans="1:1" x14ac:dyDescent="0.25">
      <c r="A407" s="52" t="s">
        <v>60</v>
      </c>
    </row>
    <row r="408" spans="1:1" x14ac:dyDescent="0.25">
      <c r="A408" s="52" t="s">
        <v>60</v>
      </c>
    </row>
    <row r="409" spans="1:1" x14ac:dyDescent="0.25">
      <c r="A409" s="52" t="s">
        <v>60</v>
      </c>
    </row>
    <row r="410" spans="1:1" x14ac:dyDescent="0.25">
      <c r="A410" s="52" t="s">
        <v>128</v>
      </c>
    </row>
    <row r="411" spans="1:1" x14ac:dyDescent="0.25">
      <c r="A411" s="52" t="s">
        <v>128</v>
      </c>
    </row>
    <row r="412" spans="1:1" x14ac:dyDescent="0.25">
      <c r="A412" s="52" t="s">
        <v>142</v>
      </c>
    </row>
    <row r="413" spans="1:1" x14ac:dyDescent="0.25">
      <c r="A413" s="52" t="s">
        <v>74</v>
      </c>
    </row>
    <row r="414" spans="1:1" x14ac:dyDescent="0.25">
      <c r="A414" s="52" t="s">
        <v>74</v>
      </c>
    </row>
    <row r="415" spans="1:1" x14ac:dyDescent="0.25">
      <c r="A415" s="117" t="s">
        <v>74</v>
      </c>
    </row>
    <row r="416" spans="1:1" x14ac:dyDescent="0.25">
      <c r="A416" s="117" t="s">
        <v>74</v>
      </c>
    </row>
    <row r="417" spans="1:1" x14ac:dyDescent="0.25">
      <c r="A417" s="52" t="s">
        <v>60</v>
      </c>
    </row>
    <row r="418" spans="1:1" x14ac:dyDescent="0.25">
      <c r="A418" s="117" t="s">
        <v>142</v>
      </c>
    </row>
    <row r="419" spans="1:1" x14ac:dyDescent="0.25">
      <c r="A419" s="52" t="s">
        <v>60</v>
      </c>
    </row>
    <row r="420" spans="1:1" x14ac:dyDescent="0.25">
      <c r="A420" s="52" t="s">
        <v>60</v>
      </c>
    </row>
    <row r="421" spans="1:1" x14ac:dyDescent="0.25">
      <c r="A421" s="61" t="s">
        <v>958</v>
      </c>
    </row>
    <row r="422" spans="1:1" x14ac:dyDescent="0.25">
      <c r="A422" s="117" t="s">
        <v>74</v>
      </c>
    </row>
    <row r="423" spans="1:1" x14ac:dyDescent="0.25">
      <c r="A423" s="61" t="s">
        <v>951</v>
      </c>
    </row>
    <row r="424" spans="1:1" x14ac:dyDescent="0.25">
      <c r="A424" s="61" t="s">
        <v>951</v>
      </c>
    </row>
    <row r="425" spans="1:1" x14ac:dyDescent="0.25">
      <c r="A425" s="61" t="s">
        <v>74</v>
      </c>
    </row>
    <row r="426" spans="1:1" x14ac:dyDescent="0.25">
      <c r="A426" s="61" t="s">
        <v>1452</v>
      </c>
    </row>
    <row r="427" spans="1:1" x14ac:dyDescent="0.25">
      <c r="A427" s="61" t="s">
        <v>1452</v>
      </c>
    </row>
    <row r="428" spans="1:1" x14ac:dyDescent="0.25">
      <c r="A428" s="61" t="s">
        <v>1452</v>
      </c>
    </row>
    <row r="429" spans="1:1" x14ac:dyDescent="0.25">
      <c r="A429" s="52" t="s">
        <v>60</v>
      </c>
    </row>
    <row r="430" spans="1:1" x14ac:dyDescent="0.25">
      <c r="A430" s="61" t="s">
        <v>1461</v>
      </c>
    </row>
    <row r="431" spans="1:1" x14ac:dyDescent="0.25">
      <c r="A431" s="52" t="s">
        <v>60</v>
      </c>
    </row>
    <row r="432" spans="1:1" x14ac:dyDescent="0.25">
      <c r="A432" s="52" t="s">
        <v>60</v>
      </c>
    </row>
    <row r="433" spans="1:1" x14ac:dyDescent="0.25">
      <c r="A433" s="52" t="s">
        <v>60</v>
      </c>
    </row>
    <row r="434" spans="1:1" x14ac:dyDescent="0.25">
      <c r="A434" s="61" t="s">
        <v>60</v>
      </c>
    </row>
    <row r="435" spans="1:1" x14ac:dyDescent="0.25">
      <c r="A435" s="61" t="s">
        <v>60</v>
      </c>
    </row>
    <row r="436" spans="1:1" x14ac:dyDescent="0.25">
      <c r="A436" s="61" t="s">
        <v>60</v>
      </c>
    </row>
    <row r="437" spans="1:1" x14ac:dyDescent="0.25">
      <c r="A437" s="61" t="s">
        <v>60</v>
      </c>
    </row>
    <row r="438" spans="1:1" x14ac:dyDescent="0.25">
      <c r="A438" s="61" t="s">
        <v>60</v>
      </c>
    </row>
    <row r="439" spans="1:1" x14ac:dyDescent="0.25">
      <c r="A439" s="61" t="s">
        <v>74</v>
      </c>
    </row>
    <row r="440" spans="1:1" x14ac:dyDescent="0.25">
      <c r="A440" s="61" t="s">
        <v>74</v>
      </c>
    </row>
    <row r="441" spans="1:1" x14ac:dyDescent="0.25">
      <c r="A441" s="61" t="s">
        <v>1489</v>
      </c>
    </row>
    <row r="442" spans="1:1" x14ac:dyDescent="0.25">
      <c r="A442" s="61" t="s">
        <v>1489</v>
      </c>
    </row>
    <row r="443" spans="1:1" x14ac:dyDescent="0.25">
      <c r="A443" s="61" t="s">
        <v>74</v>
      </c>
    </row>
    <row r="444" spans="1:1" x14ac:dyDescent="0.25">
      <c r="A444" s="52" t="s">
        <v>60</v>
      </c>
    </row>
    <row r="445" spans="1:1" x14ac:dyDescent="0.25">
      <c r="A445" s="52" t="s">
        <v>60</v>
      </c>
    </row>
    <row r="446" spans="1:1" x14ac:dyDescent="0.25">
      <c r="A446" s="61" t="s">
        <v>1489</v>
      </c>
    </row>
    <row r="447" spans="1:1" x14ac:dyDescent="0.25">
      <c r="A447" s="61" t="s">
        <v>1489</v>
      </c>
    </row>
    <row r="448" spans="1:1" x14ac:dyDescent="0.25">
      <c r="A448" s="61" t="s">
        <v>74</v>
      </c>
    </row>
    <row r="449" spans="1:1" x14ac:dyDescent="0.25">
      <c r="A449" s="61" t="s">
        <v>1489</v>
      </c>
    </row>
    <row r="450" spans="1:1" x14ac:dyDescent="0.25">
      <c r="A450" s="61" t="s">
        <v>1489</v>
      </c>
    </row>
    <row r="451" spans="1:1" x14ac:dyDescent="0.25">
      <c r="A451" s="61" t="s">
        <v>1489</v>
      </c>
    </row>
    <row r="452" spans="1:1" x14ac:dyDescent="0.25">
      <c r="A452" s="61" t="s">
        <v>1489</v>
      </c>
    </row>
    <row r="453" spans="1:1" x14ac:dyDescent="0.25">
      <c r="A453" s="61" t="s">
        <v>1489</v>
      </c>
    </row>
    <row r="454" spans="1:1" x14ac:dyDescent="0.25">
      <c r="A454" s="52" t="s">
        <v>756</v>
      </c>
    </row>
    <row r="455" spans="1:1" x14ac:dyDescent="0.25">
      <c r="A455" s="52" t="s">
        <v>1104</v>
      </c>
    </row>
    <row r="456" spans="1:1" x14ac:dyDescent="0.25">
      <c r="A456" s="61" t="s">
        <v>951</v>
      </c>
    </row>
    <row r="457" spans="1:1" x14ac:dyDescent="0.25">
      <c r="A457" s="61" t="s">
        <v>74</v>
      </c>
    </row>
    <row r="458" spans="1:1" x14ac:dyDescent="0.25">
      <c r="A458" s="61" t="s">
        <v>74</v>
      </c>
    </row>
    <row r="459" spans="1:1" x14ac:dyDescent="0.25">
      <c r="A459" s="61" t="s">
        <v>1452</v>
      </c>
    </row>
    <row r="460" spans="1:1" x14ac:dyDescent="0.25">
      <c r="A460" s="61" t="s">
        <v>1452</v>
      </c>
    </row>
    <row r="461" spans="1:1" x14ac:dyDescent="0.25">
      <c r="A461" s="61" t="s">
        <v>1452</v>
      </c>
    </row>
    <row r="462" spans="1:1" x14ac:dyDescent="0.25">
      <c r="A462" s="52" t="s">
        <v>1575</v>
      </c>
    </row>
    <row r="463" spans="1:1" x14ac:dyDescent="0.25">
      <c r="A463" s="52" t="s">
        <v>1579</v>
      </c>
    </row>
    <row r="464" spans="1:1" x14ac:dyDescent="0.25">
      <c r="A464" s="61" t="s">
        <v>1579</v>
      </c>
    </row>
    <row r="465" spans="1:1" x14ac:dyDescent="0.25">
      <c r="A465" s="61" t="s">
        <v>1579</v>
      </c>
    </row>
    <row r="466" spans="1:1" x14ac:dyDescent="0.25">
      <c r="A466" s="61" t="s">
        <v>60</v>
      </c>
    </row>
    <row r="467" spans="1:1" x14ac:dyDescent="0.25">
      <c r="A467" s="52" t="s">
        <v>60</v>
      </c>
    </row>
    <row r="468" spans="1:1" x14ac:dyDescent="0.25">
      <c r="A468" s="52" t="s">
        <v>60</v>
      </c>
    </row>
    <row r="469" spans="1:1" x14ac:dyDescent="0.25">
      <c r="A469" s="52" t="s">
        <v>60</v>
      </c>
    </row>
    <row r="470" spans="1:1" x14ac:dyDescent="0.25">
      <c r="A470" s="61" t="s">
        <v>1579</v>
      </c>
    </row>
    <row r="471" spans="1:1" x14ac:dyDescent="0.25">
      <c r="A471" s="52" t="s">
        <v>60</v>
      </c>
    </row>
    <row r="472" spans="1:1" x14ac:dyDescent="0.25">
      <c r="A472" s="52" t="s">
        <v>60</v>
      </c>
    </row>
    <row r="473" spans="1:1" x14ac:dyDescent="0.25">
      <c r="A473" s="61" t="s">
        <v>60</v>
      </c>
    </row>
    <row r="474" spans="1:1" x14ac:dyDescent="0.25">
      <c r="A474" s="61" t="s">
        <v>60</v>
      </c>
    </row>
    <row r="475" spans="1:1" x14ac:dyDescent="0.25">
      <c r="A475" s="52" t="s">
        <v>60</v>
      </c>
    </row>
    <row r="476" spans="1:1" x14ac:dyDescent="0.25">
      <c r="A476" s="52" t="s">
        <v>60</v>
      </c>
    </row>
    <row r="477" spans="1:1" x14ac:dyDescent="0.25">
      <c r="A477" s="52" t="s">
        <v>60</v>
      </c>
    </row>
    <row r="478" spans="1:1" x14ac:dyDescent="0.25">
      <c r="A478" s="52" t="s">
        <v>60</v>
      </c>
    </row>
    <row r="479" spans="1:1" x14ac:dyDescent="0.25">
      <c r="A479" s="61" t="s">
        <v>60</v>
      </c>
    </row>
    <row r="480" spans="1:1" x14ac:dyDescent="0.25">
      <c r="A480" s="61" t="s">
        <v>60</v>
      </c>
    </row>
    <row r="481" spans="1:1" x14ac:dyDescent="0.25">
      <c r="A481" s="52" t="s">
        <v>60</v>
      </c>
    </row>
    <row r="482" spans="1:1" x14ac:dyDescent="0.25">
      <c r="A482" s="52" t="s">
        <v>60</v>
      </c>
    </row>
    <row r="483" spans="1:1" x14ac:dyDescent="0.25">
      <c r="A483" s="61" t="s">
        <v>1489</v>
      </c>
    </row>
    <row r="484" spans="1:1" x14ac:dyDescent="0.25">
      <c r="A484" s="61" t="s">
        <v>1489</v>
      </c>
    </row>
    <row r="485" spans="1:1" x14ac:dyDescent="0.25">
      <c r="A485" s="61" t="s">
        <v>1489</v>
      </c>
    </row>
    <row r="486" spans="1:1" x14ac:dyDescent="0.25">
      <c r="A486" s="61" t="s">
        <v>1489</v>
      </c>
    </row>
    <row r="487" spans="1:1" x14ac:dyDescent="0.25">
      <c r="A487" s="61" t="s">
        <v>1489</v>
      </c>
    </row>
    <row r="488" spans="1:1" x14ac:dyDescent="0.25">
      <c r="A488" s="52" t="s">
        <v>60</v>
      </c>
    </row>
    <row r="489" spans="1:1" x14ac:dyDescent="0.25">
      <c r="A489" s="113" t="s">
        <v>60</v>
      </c>
    </row>
    <row r="490" spans="1:1" x14ac:dyDescent="0.25">
      <c r="A490" s="52" t="s">
        <v>60</v>
      </c>
    </row>
    <row r="491" spans="1:1" x14ac:dyDescent="0.25">
      <c r="A491" s="61" t="s">
        <v>74</v>
      </c>
    </row>
    <row r="492" spans="1:1" x14ac:dyDescent="0.25">
      <c r="A492" s="52" t="s">
        <v>60</v>
      </c>
    </row>
    <row r="493" spans="1:1" x14ac:dyDescent="0.25">
      <c r="A493" s="52" t="s">
        <v>60</v>
      </c>
    </row>
    <row r="494" spans="1:1" x14ac:dyDescent="0.25">
      <c r="A494" s="61" t="s">
        <v>60</v>
      </c>
    </row>
    <row r="495" spans="1:1" x14ac:dyDescent="0.25">
      <c r="A495" s="61" t="s">
        <v>60</v>
      </c>
    </row>
    <row r="496" spans="1:1" x14ac:dyDescent="0.25">
      <c r="A496" s="52" t="s">
        <v>60</v>
      </c>
    </row>
    <row r="497" spans="1:1" x14ac:dyDescent="0.25">
      <c r="A497" s="52" t="s">
        <v>60</v>
      </c>
    </row>
    <row r="498" spans="1:1" x14ac:dyDescent="0.25">
      <c r="A498" s="69" t="s">
        <v>1489</v>
      </c>
    </row>
    <row r="499" spans="1:1" x14ac:dyDescent="0.25">
      <c r="A499" s="69" t="s">
        <v>1579</v>
      </c>
    </row>
    <row r="500" spans="1:1" x14ac:dyDescent="0.25">
      <c r="A500" s="52" t="s">
        <v>60</v>
      </c>
    </row>
    <row r="501" spans="1:1" x14ac:dyDescent="0.25">
      <c r="A501" s="69" t="s">
        <v>74</v>
      </c>
    </row>
    <row r="502" spans="1:1" x14ac:dyDescent="0.25">
      <c r="A502" s="61" t="s">
        <v>1452</v>
      </c>
    </row>
    <row r="503" spans="1:1" x14ac:dyDescent="0.25">
      <c r="A503" s="61" t="s">
        <v>1452</v>
      </c>
    </row>
    <row r="504" spans="1:1" x14ac:dyDescent="0.25">
      <c r="A504" s="61" t="s">
        <v>1452</v>
      </c>
    </row>
    <row r="505" spans="1:1" x14ac:dyDescent="0.25">
      <c r="A505" s="69" t="s">
        <v>1701</v>
      </c>
    </row>
    <row r="506" spans="1:1" x14ac:dyDescent="0.25">
      <c r="A506" s="69" t="s">
        <v>1707</v>
      </c>
    </row>
    <row r="507" spans="1:1" x14ac:dyDescent="0.25">
      <c r="A507" s="69" t="s">
        <v>1489</v>
      </c>
    </row>
    <row r="508" spans="1:1" x14ac:dyDescent="0.25">
      <c r="A508" s="69" t="s">
        <v>74</v>
      </c>
    </row>
    <row r="509" spans="1:1" x14ac:dyDescent="0.25">
      <c r="A509" s="147" t="s">
        <v>60</v>
      </c>
    </row>
    <row r="510" spans="1:1" x14ac:dyDescent="0.25">
      <c r="A510" s="61" t="s">
        <v>1723</v>
      </c>
    </row>
    <row r="511" spans="1:1" x14ac:dyDescent="0.25">
      <c r="A511" s="61" t="s">
        <v>1723</v>
      </c>
    </row>
    <row r="512" spans="1:1" x14ac:dyDescent="0.25">
      <c r="A512" s="69" t="s">
        <v>1489</v>
      </c>
    </row>
    <row r="513" spans="1:1" x14ac:dyDescent="0.25">
      <c r="A513" s="61" t="s">
        <v>60</v>
      </c>
    </row>
    <row r="514" spans="1:1" x14ac:dyDescent="0.25">
      <c r="A514" s="69" t="s">
        <v>74</v>
      </c>
    </row>
    <row r="515" spans="1:1" x14ac:dyDescent="0.25">
      <c r="A515" s="61" t="s">
        <v>1723</v>
      </c>
    </row>
    <row r="516" spans="1:1" x14ac:dyDescent="0.25">
      <c r="A516" s="69" t="s">
        <v>1489</v>
      </c>
    </row>
    <row r="517" spans="1:1" x14ac:dyDescent="0.25">
      <c r="A517" s="61" t="s">
        <v>128</v>
      </c>
    </row>
    <row r="518" spans="1:1" x14ac:dyDescent="0.25">
      <c r="A518" s="61" t="s">
        <v>128</v>
      </c>
    </row>
    <row r="519" spans="1:1" x14ac:dyDescent="0.25">
      <c r="A519" s="61" t="s">
        <v>128</v>
      </c>
    </row>
    <row r="520" spans="1:1" x14ac:dyDescent="0.25">
      <c r="A520" s="113" t="s">
        <v>60</v>
      </c>
    </row>
    <row r="521" spans="1:1" x14ac:dyDescent="0.25">
      <c r="A521" s="61" t="s">
        <v>1489</v>
      </c>
    </row>
    <row r="522" spans="1:1" x14ac:dyDescent="0.25">
      <c r="A522" s="69" t="s">
        <v>74</v>
      </c>
    </row>
    <row r="523" spans="1:1" x14ac:dyDescent="0.25">
      <c r="A523" s="69" t="s">
        <v>74</v>
      </c>
    </row>
    <row r="524" spans="1:1" x14ac:dyDescent="0.25">
      <c r="A524" s="69" t="s">
        <v>1489</v>
      </c>
    </row>
    <row r="525" spans="1:1" x14ac:dyDescent="0.25">
      <c r="A525" s="69" t="s">
        <v>74</v>
      </c>
    </row>
    <row r="526" spans="1:1" x14ac:dyDescent="0.25">
      <c r="A526" s="69" t="s">
        <v>1489</v>
      </c>
    </row>
    <row r="527" spans="1:1" x14ac:dyDescent="0.25">
      <c r="A527" s="69" t="s">
        <v>1489</v>
      </c>
    </row>
    <row r="528" spans="1:1" x14ac:dyDescent="0.25">
      <c r="A528" s="69" t="s">
        <v>1489</v>
      </c>
    </row>
    <row r="529" spans="1:1" x14ac:dyDescent="0.25">
      <c r="A529" s="61" t="s">
        <v>1723</v>
      </c>
    </row>
    <row r="530" spans="1:1" x14ac:dyDescent="0.25">
      <c r="A530" s="69" t="s">
        <v>1489</v>
      </c>
    </row>
    <row r="531" spans="1:1" x14ac:dyDescent="0.25">
      <c r="A531" s="69" t="s">
        <v>74</v>
      </c>
    </row>
    <row r="532" spans="1:1" x14ac:dyDescent="0.25">
      <c r="A532" s="69" t="s">
        <v>74</v>
      </c>
    </row>
    <row r="533" spans="1:1" x14ac:dyDescent="0.25">
      <c r="A533" s="52" t="s">
        <v>750</v>
      </c>
    </row>
    <row r="534" spans="1:1" x14ac:dyDescent="0.25">
      <c r="A534" s="52" t="s">
        <v>756</v>
      </c>
    </row>
    <row r="535" spans="1:1" x14ac:dyDescent="0.25">
      <c r="A535" s="52" t="s">
        <v>60</v>
      </c>
    </row>
    <row r="536" spans="1:1" x14ac:dyDescent="0.25">
      <c r="A536" s="52" t="s">
        <v>60</v>
      </c>
    </row>
    <row r="537" spans="1:1" x14ac:dyDescent="0.25">
      <c r="A537" s="52" t="s">
        <v>60</v>
      </c>
    </row>
    <row r="538" spans="1:1" x14ac:dyDescent="0.25">
      <c r="A538" s="52" t="s">
        <v>60</v>
      </c>
    </row>
    <row r="539" spans="1:1" x14ac:dyDescent="0.25">
      <c r="A539" s="52" t="s">
        <v>60</v>
      </c>
    </row>
    <row r="540" spans="1:1" x14ac:dyDescent="0.25">
      <c r="A540" s="61" t="s">
        <v>1489</v>
      </c>
    </row>
    <row r="541" spans="1:1" x14ac:dyDescent="0.25">
      <c r="A541" s="61" t="s">
        <v>1489</v>
      </c>
    </row>
    <row r="542" spans="1:1" x14ac:dyDescent="0.25">
      <c r="A542" s="52" t="s">
        <v>750</v>
      </c>
    </row>
    <row r="543" spans="1:1" x14ac:dyDescent="0.25">
      <c r="A543" s="52" t="s">
        <v>756</v>
      </c>
    </row>
    <row r="544" spans="1:1" x14ac:dyDescent="0.25">
      <c r="A544" s="61" t="s">
        <v>74</v>
      </c>
    </row>
    <row r="545" spans="1:1" x14ac:dyDescent="0.25">
      <c r="A545" s="52" t="s">
        <v>60</v>
      </c>
    </row>
    <row r="546" spans="1:1" x14ac:dyDescent="0.25">
      <c r="A546" s="52" t="s">
        <v>60</v>
      </c>
    </row>
    <row r="547" spans="1:1" x14ac:dyDescent="0.25">
      <c r="A547" s="52" t="s">
        <v>60</v>
      </c>
    </row>
    <row r="548" spans="1:1" x14ac:dyDescent="0.25">
      <c r="A548" s="147" t="s">
        <v>60</v>
      </c>
    </row>
    <row r="549" spans="1:1" x14ac:dyDescent="0.25">
      <c r="A549" s="61" t="s">
        <v>1489</v>
      </c>
    </row>
    <row r="550" spans="1:1" x14ac:dyDescent="0.25">
      <c r="A550" s="61" t="s">
        <v>1489</v>
      </c>
    </row>
    <row r="551" spans="1:1" x14ac:dyDescent="0.25">
      <c r="A551" s="144" t="s">
        <v>1489</v>
      </c>
    </row>
    <row r="552" spans="1:1" x14ac:dyDescent="0.25">
      <c r="A552" s="61" t="s">
        <v>1489</v>
      </c>
    </row>
    <row r="553" spans="1:1" x14ac:dyDescent="0.25">
      <c r="A553" s="61" t="s">
        <v>1489</v>
      </c>
    </row>
    <row r="554" spans="1:1" x14ac:dyDescent="0.25">
      <c r="A554" s="61" t="s">
        <v>1489</v>
      </c>
    </row>
    <row r="555" spans="1:1" x14ac:dyDescent="0.25">
      <c r="A555" s="61" t="s">
        <v>1489</v>
      </c>
    </row>
    <row r="556" spans="1:1" x14ac:dyDescent="0.25">
      <c r="A556" s="61" t="s">
        <v>74</v>
      </c>
    </row>
    <row r="557" spans="1:1" x14ac:dyDescent="0.25">
      <c r="A557" s="61" t="s">
        <v>1893</v>
      </c>
    </row>
    <row r="558" spans="1:1" x14ac:dyDescent="0.25">
      <c r="A558" s="61" t="s">
        <v>1489</v>
      </c>
    </row>
    <row r="559" spans="1:1" x14ac:dyDescent="0.25">
      <c r="A559" s="61" t="s">
        <v>128</v>
      </c>
    </row>
    <row r="560" spans="1:1" x14ac:dyDescent="0.25">
      <c r="A560" s="61" t="s">
        <v>1489</v>
      </c>
    </row>
    <row r="561" spans="1:1" x14ac:dyDescent="0.25">
      <c r="A561" s="61" t="s">
        <v>1489</v>
      </c>
    </row>
    <row r="562" spans="1:1" x14ac:dyDescent="0.25">
      <c r="A562" s="52" t="s">
        <v>60</v>
      </c>
    </row>
    <row r="563" spans="1:1" x14ac:dyDescent="0.25">
      <c r="A563" s="61" t="s">
        <v>1893</v>
      </c>
    </row>
    <row r="564" spans="1:1" x14ac:dyDescent="0.25">
      <c r="A564" s="61" t="s">
        <v>1926</v>
      </c>
    </row>
    <row r="565" spans="1:1" x14ac:dyDescent="0.25">
      <c r="A565" s="61" t="s">
        <v>1926</v>
      </c>
    </row>
    <row r="566" spans="1:1" x14ac:dyDescent="0.25">
      <c r="A566" s="61" t="s">
        <v>1723</v>
      </c>
    </row>
    <row r="567" spans="1:1" x14ac:dyDescent="0.25">
      <c r="A567" s="61" t="s">
        <v>1489</v>
      </c>
    </row>
    <row r="568" spans="1:1" x14ac:dyDescent="0.25">
      <c r="A568" s="61" t="s">
        <v>1489</v>
      </c>
    </row>
    <row r="569" spans="1:1" x14ac:dyDescent="0.25">
      <c r="A569" s="61" t="s">
        <v>1489</v>
      </c>
    </row>
    <row r="570" spans="1:1" x14ac:dyDescent="0.25">
      <c r="A570" s="61" t="s">
        <v>1945</v>
      </c>
    </row>
    <row r="571" spans="1:1" x14ac:dyDescent="0.25">
      <c r="A571" s="61" t="s">
        <v>74</v>
      </c>
    </row>
    <row r="572" spans="1:1" x14ac:dyDescent="0.25">
      <c r="A572" s="61" t="s">
        <v>74</v>
      </c>
    </row>
    <row r="573" spans="1:1" x14ac:dyDescent="0.25">
      <c r="A573" s="61" t="s">
        <v>60</v>
      </c>
    </row>
    <row r="574" spans="1:1" x14ac:dyDescent="0.25">
      <c r="A574" s="61" t="s">
        <v>60</v>
      </c>
    </row>
    <row r="575" spans="1:1" x14ac:dyDescent="0.25">
      <c r="A575" s="61" t="s">
        <v>60</v>
      </c>
    </row>
    <row r="576" spans="1:1" x14ac:dyDescent="0.25">
      <c r="A576" s="61" t="s">
        <v>60</v>
      </c>
    </row>
    <row r="577" spans="1:1" x14ac:dyDescent="0.25">
      <c r="A577" s="61" t="s">
        <v>1489</v>
      </c>
    </row>
    <row r="578" spans="1:1" x14ac:dyDescent="0.25">
      <c r="A578" s="69" t="s">
        <v>74</v>
      </c>
    </row>
    <row r="579" spans="1:1" x14ac:dyDescent="0.25">
      <c r="A579" s="61" t="s">
        <v>1489</v>
      </c>
    </row>
    <row r="580" spans="1:1" x14ac:dyDescent="0.25">
      <c r="A580" s="61" t="s">
        <v>1489</v>
      </c>
    </row>
    <row r="581" spans="1:1" x14ac:dyDescent="0.25">
      <c r="A581" s="61" t="s">
        <v>1489</v>
      </c>
    </row>
    <row r="582" spans="1:1" x14ac:dyDescent="0.25">
      <c r="A582" s="61" t="s">
        <v>1489</v>
      </c>
    </row>
    <row r="583" spans="1:1" x14ac:dyDescent="0.25">
      <c r="A583" s="61" t="s">
        <v>1489</v>
      </c>
    </row>
    <row r="584" spans="1:1" x14ac:dyDescent="0.25">
      <c r="A584" s="61" t="s">
        <v>1489</v>
      </c>
    </row>
    <row r="585" spans="1:1" x14ac:dyDescent="0.25">
      <c r="A585" s="61" t="s">
        <v>1489</v>
      </c>
    </row>
    <row r="586" spans="1:1" x14ac:dyDescent="0.25">
      <c r="A586" s="61" t="s">
        <v>1489</v>
      </c>
    </row>
    <row r="587" spans="1:1" x14ac:dyDescent="0.25">
      <c r="A587" s="61" t="s">
        <v>1489</v>
      </c>
    </row>
    <row r="588" spans="1:1" x14ac:dyDescent="0.25">
      <c r="A588" s="61" t="s">
        <v>1489</v>
      </c>
    </row>
    <row r="589" spans="1:1" x14ac:dyDescent="0.25">
      <c r="A589" s="61" t="s">
        <v>386</v>
      </c>
    </row>
    <row r="590" spans="1:1" x14ac:dyDescent="0.25">
      <c r="A590" s="61" t="s">
        <v>386</v>
      </c>
    </row>
    <row r="591" spans="1:1" x14ac:dyDescent="0.25">
      <c r="A591" s="61" t="s">
        <v>1489</v>
      </c>
    </row>
    <row r="592" spans="1:1" x14ac:dyDescent="0.25">
      <c r="A592" s="61" t="s">
        <v>386</v>
      </c>
    </row>
    <row r="593" spans="1:1" x14ac:dyDescent="0.25">
      <c r="A593" s="61" t="s">
        <v>1033</v>
      </c>
    </row>
    <row r="594" spans="1:1" x14ac:dyDescent="0.25">
      <c r="A594" s="61" t="s">
        <v>1489</v>
      </c>
    </row>
    <row r="595" spans="1:1" x14ac:dyDescent="0.25">
      <c r="A595" s="61" t="s">
        <v>1489</v>
      </c>
    </row>
    <row r="596" spans="1:1" x14ac:dyDescent="0.25">
      <c r="A596" s="61" t="s">
        <v>1489</v>
      </c>
    </row>
    <row r="597" spans="1:1" x14ac:dyDescent="0.25">
      <c r="A597" s="61" t="s">
        <v>1489</v>
      </c>
    </row>
    <row r="598" spans="1:1" x14ac:dyDescent="0.25">
      <c r="A598" s="61" t="s">
        <v>1489</v>
      </c>
    </row>
    <row r="599" spans="1:1" x14ac:dyDescent="0.25">
      <c r="A599" s="61" t="s">
        <v>1489</v>
      </c>
    </row>
    <row r="600" spans="1:1" x14ac:dyDescent="0.25">
      <c r="A600" s="61" t="s">
        <v>1489</v>
      </c>
    </row>
    <row r="601" spans="1:1" x14ac:dyDescent="0.25">
      <c r="A601" s="61" t="s">
        <v>1489</v>
      </c>
    </row>
    <row r="602" spans="1:1" x14ac:dyDescent="0.25">
      <c r="A602" s="61" t="s">
        <v>1489</v>
      </c>
    </row>
    <row r="603" spans="1:1" x14ac:dyDescent="0.25">
      <c r="A603" s="61" t="s">
        <v>1489</v>
      </c>
    </row>
    <row r="604" spans="1:1" x14ac:dyDescent="0.25">
      <c r="A604" s="61" t="s">
        <v>1489</v>
      </c>
    </row>
    <row r="605" spans="1:1" x14ac:dyDescent="0.25">
      <c r="A605" s="61" t="s">
        <v>1489</v>
      </c>
    </row>
    <row r="606" spans="1:1" x14ac:dyDescent="0.25">
      <c r="A606" s="61" t="s">
        <v>1489</v>
      </c>
    </row>
    <row r="607" spans="1:1" x14ac:dyDescent="0.25">
      <c r="A607" s="61" t="s">
        <v>1489</v>
      </c>
    </row>
    <row r="608" spans="1:1" x14ac:dyDescent="0.25">
      <c r="A608" s="61" t="s">
        <v>1489</v>
      </c>
    </row>
    <row r="609" spans="1:1" x14ac:dyDescent="0.25">
      <c r="A609" s="61" t="s">
        <v>2065</v>
      </c>
    </row>
    <row r="610" spans="1:1" x14ac:dyDescent="0.25">
      <c r="A610" s="61" t="s">
        <v>1489</v>
      </c>
    </row>
    <row r="611" spans="1:1" x14ac:dyDescent="0.25">
      <c r="A611" s="61" t="s">
        <v>1489</v>
      </c>
    </row>
    <row r="612" spans="1:1" x14ac:dyDescent="0.25">
      <c r="A612" s="61" t="s">
        <v>1489</v>
      </c>
    </row>
    <row r="613" spans="1:1" x14ac:dyDescent="0.25">
      <c r="A613" s="61" t="s">
        <v>1893</v>
      </c>
    </row>
    <row r="614" spans="1:1" x14ac:dyDescent="0.25">
      <c r="A614" s="61" t="s">
        <v>1489</v>
      </c>
    </row>
    <row r="615" spans="1:1" x14ac:dyDescent="0.25">
      <c r="A615" s="61" t="s">
        <v>1489</v>
      </c>
    </row>
    <row r="616" spans="1:1" x14ac:dyDescent="0.25">
      <c r="A616" s="61" t="s">
        <v>1489</v>
      </c>
    </row>
    <row r="617" spans="1:1" x14ac:dyDescent="0.25">
      <c r="A617" s="61" t="s">
        <v>1489</v>
      </c>
    </row>
    <row r="618" spans="1:1" x14ac:dyDescent="0.25">
      <c r="A618" s="61" t="s">
        <v>1489</v>
      </c>
    </row>
    <row r="619" spans="1:1" x14ac:dyDescent="0.25">
      <c r="A619" s="61" t="s">
        <v>1489</v>
      </c>
    </row>
    <row r="620" spans="1:1" x14ac:dyDescent="0.25">
      <c r="A620" s="61" t="s">
        <v>1489</v>
      </c>
    </row>
    <row r="621" spans="1:1" x14ac:dyDescent="0.25">
      <c r="A621" s="61" t="s">
        <v>1489</v>
      </c>
    </row>
    <row r="622" spans="1:1" x14ac:dyDescent="0.25">
      <c r="A622" s="61" t="s">
        <v>1489</v>
      </c>
    </row>
    <row r="623" spans="1:1" x14ac:dyDescent="0.25">
      <c r="A623" s="61" t="s">
        <v>1489</v>
      </c>
    </row>
    <row r="624" spans="1:1" x14ac:dyDescent="0.25">
      <c r="A624" s="61" t="s">
        <v>1489</v>
      </c>
    </row>
    <row r="625" spans="1:1" x14ac:dyDescent="0.25">
      <c r="A625" s="61" t="s">
        <v>1489</v>
      </c>
    </row>
    <row r="626" spans="1:1" x14ac:dyDescent="0.25">
      <c r="A626" s="61" t="s">
        <v>1489</v>
      </c>
    </row>
    <row r="627" spans="1:1" x14ac:dyDescent="0.25">
      <c r="A627" s="61" t="s">
        <v>1489</v>
      </c>
    </row>
    <row r="628" spans="1:1" x14ac:dyDescent="0.25">
      <c r="A628" s="61" t="s">
        <v>1489</v>
      </c>
    </row>
    <row r="629" spans="1:1" x14ac:dyDescent="0.25">
      <c r="A629" s="61" t="s">
        <v>74</v>
      </c>
    </row>
    <row r="630" spans="1:1" x14ac:dyDescent="0.25">
      <c r="A630" s="61" t="s">
        <v>1489</v>
      </c>
    </row>
    <row r="631" spans="1:1" x14ac:dyDescent="0.25">
      <c r="A631" s="61" t="s">
        <v>60</v>
      </c>
    </row>
    <row r="632" spans="1:1" x14ac:dyDescent="0.25">
      <c r="A632" s="61" t="s">
        <v>74</v>
      </c>
    </row>
    <row r="633" spans="1:1" x14ac:dyDescent="0.25">
      <c r="A633" s="61" t="s">
        <v>1489</v>
      </c>
    </row>
    <row r="634" spans="1:1" x14ac:dyDescent="0.25">
      <c r="A634" s="61" t="s">
        <v>1489</v>
      </c>
    </row>
    <row r="635" spans="1:1" x14ac:dyDescent="0.25">
      <c r="A635" s="61" t="s">
        <v>1489</v>
      </c>
    </row>
    <row r="636" spans="1:1" x14ac:dyDescent="0.25">
      <c r="A636" s="61" t="s">
        <v>1489</v>
      </c>
    </row>
    <row r="637" spans="1:1" x14ac:dyDescent="0.25">
      <c r="A637" s="61" t="s">
        <v>1489</v>
      </c>
    </row>
    <row r="638" spans="1:1" x14ac:dyDescent="0.25">
      <c r="A638" s="61" t="s">
        <v>1893</v>
      </c>
    </row>
    <row r="639" spans="1:1" x14ac:dyDescent="0.25">
      <c r="A639" s="61" t="s">
        <v>128</v>
      </c>
    </row>
    <row r="640" spans="1:1" x14ac:dyDescent="0.25">
      <c r="A640" s="61" t="s">
        <v>386</v>
      </c>
    </row>
    <row r="641" spans="1:1" x14ac:dyDescent="0.25">
      <c r="A641" s="69" t="s">
        <v>2170</v>
      </c>
    </row>
    <row r="642" spans="1:1" x14ac:dyDescent="0.25">
      <c r="A642" s="61" t="s">
        <v>74</v>
      </c>
    </row>
    <row r="643" spans="1:1" x14ac:dyDescent="0.25">
      <c r="A643" s="61" t="s">
        <v>1489</v>
      </c>
    </row>
    <row r="644" spans="1:1" x14ac:dyDescent="0.25">
      <c r="A644" s="61" t="s">
        <v>2182</v>
      </c>
    </row>
    <row r="645" spans="1:1" x14ac:dyDescent="0.25">
      <c r="A645" s="61" t="s">
        <v>1575</v>
      </c>
    </row>
    <row r="646" spans="1:1" x14ac:dyDescent="0.25">
      <c r="A646" s="61" t="s">
        <v>1575</v>
      </c>
    </row>
    <row r="647" spans="1:1" x14ac:dyDescent="0.25">
      <c r="A647" s="61" t="s">
        <v>1893</v>
      </c>
    </row>
    <row r="648" spans="1:1" x14ac:dyDescent="0.25">
      <c r="A648" s="61" t="s">
        <v>1575</v>
      </c>
    </row>
    <row r="649" spans="1:1" x14ac:dyDescent="0.25">
      <c r="A649" s="61" t="s">
        <v>74</v>
      </c>
    </row>
    <row r="650" spans="1:1" x14ac:dyDescent="0.25">
      <c r="A650" s="61" t="s">
        <v>128</v>
      </c>
    </row>
    <row r="651" spans="1:1" x14ac:dyDescent="0.25">
      <c r="A651" s="61" t="s">
        <v>1579</v>
      </c>
    </row>
    <row r="652" spans="1:1" x14ac:dyDescent="0.25">
      <c r="A652" s="61" t="s">
        <v>1579</v>
      </c>
    </row>
    <row r="653" spans="1:1" x14ac:dyDescent="0.25">
      <c r="A653" s="61" t="s">
        <v>74</v>
      </c>
    </row>
    <row r="654" spans="1:1" x14ac:dyDescent="0.25">
      <c r="A654" s="61" t="s">
        <v>74</v>
      </c>
    </row>
    <row r="655" spans="1:1" x14ac:dyDescent="0.25">
      <c r="A655" s="61" t="s">
        <v>1579</v>
      </c>
    </row>
    <row r="656" spans="1:1" x14ac:dyDescent="0.25">
      <c r="A656" s="61" t="s">
        <v>1893</v>
      </c>
    </row>
    <row r="657" spans="1:1" x14ac:dyDescent="0.25">
      <c r="A657" s="61" t="s">
        <v>1893</v>
      </c>
    </row>
    <row r="658" spans="1:1" x14ac:dyDescent="0.25">
      <c r="A658" s="61" t="s">
        <v>1893</v>
      </c>
    </row>
    <row r="659" spans="1:1" x14ac:dyDescent="0.25">
      <c r="A659" s="61" t="s">
        <v>1893</v>
      </c>
    </row>
    <row r="660" spans="1:1" x14ac:dyDescent="0.25">
      <c r="A660" s="61" t="s">
        <v>1893</v>
      </c>
    </row>
    <row r="661" spans="1:1" x14ac:dyDescent="0.25">
      <c r="A661" s="61" t="s">
        <v>1489</v>
      </c>
    </row>
    <row r="662" spans="1:1" x14ac:dyDescent="0.25">
      <c r="A662" s="61" t="s">
        <v>1893</v>
      </c>
    </row>
    <row r="663" spans="1:1" x14ac:dyDescent="0.25">
      <c r="A663" s="61" t="s">
        <v>1893</v>
      </c>
    </row>
    <row r="664" spans="1:1" x14ac:dyDescent="0.25">
      <c r="A664" s="61" t="s">
        <v>1893</v>
      </c>
    </row>
    <row r="665" spans="1:1" x14ac:dyDescent="0.25">
      <c r="A665" s="61" t="s">
        <v>128</v>
      </c>
    </row>
    <row r="666" spans="1:1" x14ac:dyDescent="0.25">
      <c r="A666" s="61" t="s">
        <v>74</v>
      </c>
    </row>
    <row r="667" spans="1:1" x14ac:dyDescent="0.25">
      <c r="A667" s="61" t="s">
        <v>1489</v>
      </c>
    </row>
    <row r="668" spans="1:1" x14ac:dyDescent="0.25">
      <c r="A668" s="103" t="s">
        <v>386</v>
      </c>
    </row>
    <row r="669" spans="1:1" x14ac:dyDescent="0.25">
      <c r="A669" s="61" t="s">
        <v>1489</v>
      </c>
    </row>
    <row r="670" spans="1:1" x14ac:dyDescent="0.25">
      <c r="A670" s="61" t="s">
        <v>1489</v>
      </c>
    </row>
    <row r="671" spans="1:1" x14ac:dyDescent="0.25">
      <c r="A671" s="61" t="s">
        <v>386</v>
      </c>
    </row>
    <row r="672" spans="1:1" x14ac:dyDescent="0.25">
      <c r="A672" s="61" t="s">
        <v>1489</v>
      </c>
    </row>
    <row r="673" spans="1:1" x14ac:dyDescent="0.25">
      <c r="A673" s="61" t="s">
        <v>1489</v>
      </c>
    </row>
    <row r="674" spans="1:1" x14ac:dyDescent="0.25">
      <c r="A674" s="61" t="s">
        <v>74</v>
      </c>
    </row>
    <row r="675" spans="1:1" x14ac:dyDescent="0.25">
      <c r="A675" s="61" t="s">
        <v>2252</v>
      </c>
    </row>
    <row r="676" spans="1:1" x14ac:dyDescent="0.25">
      <c r="A676" s="69" t="s">
        <v>60</v>
      </c>
    </row>
    <row r="677" spans="1:1" x14ac:dyDescent="0.25">
      <c r="A677" s="61" t="s">
        <v>1489</v>
      </c>
    </row>
    <row r="678" spans="1:1" x14ac:dyDescent="0.25">
      <c r="A678" s="61" t="s">
        <v>1489</v>
      </c>
    </row>
    <row r="679" spans="1:1" x14ac:dyDescent="0.25">
      <c r="A679" s="61" t="s">
        <v>1489</v>
      </c>
    </row>
    <row r="680" spans="1:1" x14ac:dyDescent="0.25">
      <c r="A680" s="61" t="s">
        <v>2182</v>
      </c>
    </row>
    <row r="681" spans="1:1" x14ac:dyDescent="0.25">
      <c r="A681" s="61" t="s">
        <v>1893</v>
      </c>
    </row>
    <row r="682" spans="1:1" x14ac:dyDescent="0.25">
      <c r="A682" s="61" t="s">
        <v>1893</v>
      </c>
    </row>
    <row r="683" spans="1:1" x14ac:dyDescent="0.25">
      <c r="A683" s="61" t="s">
        <v>1489</v>
      </c>
    </row>
    <row r="684" spans="1:1" x14ac:dyDescent="0.25">
      <c r="A684" s="61" t="s">
        <v>1489</v>
      </c>
    </row>
    <row r="685" spans="1:1" x14ac:dyDescent="0.25">
      <c r="A685" s="61" t="s">
        <v>1575</v>
      </c>
    </row>
    <row r="686" spans="1:1" x14ac:dyDescent="0.25">
      <c r="A686" s="61" t="s">
        <v>1489</v>
      </c>
    </row>
    <row r="687" spans="1:1" x14ac:dyDescent="0.25">
      <c r="A687" s="61" t="s">
        <v>74</v>
      </c>
    </row>
    <row r="688" spans="1:1" x14ac:dyDescent="0.25">
      <c r="A688" s="61" t="s">
        <v>1489</v>
      </c>
    </row>
    <row r="689" spans="1:1" x14ac:dyDescent="0.25">
      <c r="A689" s="61" t="s">
        <v>1489</v>
      </c>
    </row>
    <row r="690" spans="1:1" x14ac:dyDescent="0.25">
      <c r="A690" s="61" t="s">
        <v>74</v>
      </c>
    </row>
    <row r="691" spans="1:1" x14ac:dyDescent="0.25">
      <c r="A691" s="61" t="s">
        <v>1489</v>
      </c>
    </row>
    <row r="692" spans="1:1" x14ac:dyDescent="0.25">
      <c r="A692" s="61" t="s">
        <v>1489</v>
      </c>
    </row>
    <row r="693" spans="1:1" x14ac:dyDescent="0.25">
      <c r="A693" s="61" t="s">
        <v>74</v>
      </c>
    </row>
    <row r="694" spans="1:1" x14ac:dyDescent="0.25">
      <c r="A694" s="61" t="s">
        <v>386</v>
      </c>
    </row>
    <row r="695" spans="1:1" x14ac:dyDescent="0.25">
      <c r="A695" s="61" t="s">
        <v>60</v>
      </c>
    </row>
    <row r="696" spans="1:1" x14ac:dyDescent="0.25">
      <c r="A696" s="52" t="s">
        <v>60</v>
      </c>
    </row>
    <row r="697" spans="1:1" x14ac:dyDescent="0.25">
      <c r="A697" s="52" t="s">
        <v>60</v>
      </c>
    </row>
    <row r="698" spans="1:1" x14ac:dyDescent="0.25">
      <c r="A698" s="52" t="s">
        <v>60</v>
      </c>
    </row>
    <row r="699" spans="1:1" x14ac:dyDescent="0.25">
      <c r="A699" s="52" t="s">
        <v>60</v>
      </c>
    </row>
    <row r="700" spans="1:1" x14ac:dyDescent="0.25">
      <c r="A700" s="61" t="s">
        <v>74</v>
      </c>
    </row>
    <row r="701" spans="1:1" x14ac:dyDescent="0.25">
      <c r="A701" s="61" t="s">
        <v>1489</v>
      </c>
    </row>
    <row r="702" spans="1:1" x14ac:dyDescent="0.25">
      <c r="A702" s="61" t="s">
        <v>1489</v>
      </c>
    </row>
    <row r="703" spans="1:1" x14ac:dyDescent="0.25">
      <c r="A703" s="61" t="s">
        <v>1489</v>
      </c>
    </row>
    <row r="704" spans="1:1" x14ac:dyDescent="0.25">
      <c r="A704" s="61" t="s">
        <v>1489</v>
      </c>
    </row>
    <row r="705" spans="1:1" x14ac:dyDescent="0.25">
      <c r="A705" s="61" t="s">
        <v>1893</v>
      </c>
    </row>
    <row r="706" spans="1:1" x14ac:dyDescent="0.25">
      <c r="A706" s="61" t="s">
        <v>1489</v>
      </c>
    </row>
    <row r="707" spans="1:1" x14ac:dyDescent="0.25">
      <c r="A707" s="61" t="s">
        <v>1489</v>
      </c>
    </row>
    <row r="708" spans="1:1" x14ac:dyDescent="0.25">
      <c r="A708" s="52" t="s">
        <v>60</v>
      </c>
    </row>
    <row r="709" spans="1:1" x14ac:dyDescent="0.25">
      <c r="A709" s="52" t="s">
        <v>60</v>
      </c>
    </row>
    <row r="710" spans="1:1" x14ac:dyDescent="0.25">
      <c r="A710" s="61" t="s">
        <v>74</v>
      </c>
    </row>
    <row r="711" spans="1:1" x14ac:dyDescent="0.25">
      <c r="A711" s="61" t="s">
        <v>1489</v>
      </c>
    </row>
    <row r="712" spans="1:1" x14ac:dyDescent="0.25">
      <c r="A712" s="61" t="s">
        <v>1489</v>
      </c>
    </row>
    <row r="713" spans="1:1" x14ac:dyDescent="0.25">
      <c r="A713" s="61" t="s">
        <v>1489</v>
      </c>
    </row>
    <row r="714" spans="1:1" x14ac:dyDescent="0.25">
      <c r="A714" s="61" t="s">
        <v>1489</v>
      </c>
    </row>
    <row r="715" spans="1:1" x14ac:dyDescent="0.25">
      <c r="A715" s="61" t="s">
        <v>1489</v>
      </c>
    </row>
    <row r="716" spans="1:1" x14ac:dyDescent="0.25">
      <c r="A716" s="61" t="s">
        <v>1489</v>
      </c>
    </row>
    <row r="717" spans="1:1" x14ac:dyDescent="0.25">
      <c r="A717" s="61" t="s">
        <v>74</v>
      </c>
    </row>
    <row r="718" spans="1:1" x14ac:dyDescent="0.25">
      <c r="A718" s="61" t="s">
        <v>1575</v>
      </c>
    </row>
    <row r="719" spans="1:1" x14ac:dyDescent="0.25">
      <c r="A719" s="61" t="s">
        <v>1575</v>
      </c>
    </row>
    <row r="720" spans="1:1" x14ac:dyDescent="0.25">
      <c r="A720" s="61" t="s">
        <v>1575</v>
      </c>
    </row>
    <row r="721" spans="1:1" x14ac:dyDescent="0.25">
      <c r="A721" s="61" t="s">
        <v>1575</v>
      </c>
    </row>
    <row r="722" spans="1:1" x14ac:dyDescent="0.25">
      <c r="A722" s="61" t="s">
        <v>1575</v>
      </c>
    </row>
    <row r="723" spans="1:1" x14ac:dyDescent="0.25">
      <c r="A723" s="61" t="s">
        <v>1575</v>
      </c>
    </row>
    <row r="724" spans="1:1" x14ac:dyDescent="0.25">
      <c r="A724" s="61" t="s">
        <v>1575</v>
      </c>
    </row>
    <row r="725" spans="1:1" x14ac:dyDescent="0.25">
      <c r="A725" s="61" t="s">
        <v>1575</v>
      </c>
    </row>
    <row r="726" spans="1:1" x14ac:dyDescent="0.25">
      <c r="A726" s="61" t="s">
        <v>1575</v>
      </c>
    </row>
    <row r="727" spans="1:1" x14ac:dyDescent="0.25">
      <c r="A727" s="61" t="s">
        <v>2470</v>
      </c>
    </row>
    <row r="728" spans="1:1" x14ac:dyDescent="0.25">
      <c r="A728" s="61" t="s">
        <v>2470</v>
      </c>
    </row>
    <row r="729" spans="1:1" x14ac:dyDescent="0.25">
      <c r="A729" s="61" t="s">
        <v>2470</v>
      </c>
    </row>
    <row r="730" spans="1:1" x14ac:dyDescent="0.25">
      <c r="A730" s="61" t="s">
        <v>74</v>
      </c>
    </row>
    <row r="731" spans="1:1" x14ac:dyDescent="0.25">
      <c r="A731" s="61" t="s">
        <v>1489</v>
      </c>
    </row>
    <row r="732" spans="1:1" x14ac:dyDescent="0.25">
      <c r="A732" s="61" t="s">
        <v>1489</v>
      </c>
    </row>
    <row r="733" spans="1:1" x14ac:dyDescent="0.25">
      <c r="A733" s="61" t="s">
        <v>1489</v>
      </c>
    </row>
    <row r="734" spans="1:1" x14ac:dyDescent="0.25">
      <c r="A734" s="61" t="s">
        <v>1489</v>
      </c>
    </row>
    <row r="735" spans="1:1" x14ac:dyDescent="0.25">
      <c r="A735" s="61" t="s">
        <v>1893</v>
      </c>
    </row>
    <row r="736" spans="1:1" x14ac:dyDescent="0.25">
      <c r="A736" s="61" t="s">
        <v>1893</v>
      </c>
    </row>
    <row r="737" spans="1:1" x14ac:dyDescent="0.25">
      <c r="A737" s="61" t="s">
        <v>1893</v>
      </c>
    </row>
    <row r="738" spans="1:1" x14ac:dyDescent="0.25">
      <c r="A738" s="61" t="s">
        <v>2508</v>
      </c>
    </row>
    <row r="739" spans="1:1" x14ac:dyDescent="0.25">
      <c r="A739" s="61" t="s">
        <v>2508</v>
      </c>
    </row>
    <row r="740" spans="1:1" x14ac:dyDescent="0.25">
      <c r="A740" s="61" t="s">
        <v>74</v>
      </c>
    </row>
    <row r="741" spans="1:1" x14ac:dyDescent="0.25">
      <c r="A741" s="61" t="s">
        <v>1489</v>
      </c>
    </row>
    <row r="742" spans="1:1" x14ac:dyDescent="0.25">
      <c r="A742" s="61" t="s">
        <v>128</v>
      </c>
    </row>
    <row r="743" spans="1:1" x14ac:dyDescent="0.25">
      <c r="A743" s="61" t="s">
        <v>128</v>
      </c>
    </row>
    <row r="744" spans="1:1" x14ac:dyDescent="0.25">
      <c r="A744" s="61" t="s">
        <v>1489</v>
      </c>
    </row>
    <row r="745" spans="1:1" x14ac:dyDescent="0.25">
      <c r="A745" s="61" t="s">
        <v>1489</v>
      </c>
    </row>
    <row r="746" spans="1:1" x14ac:dyDescent="0.25">
      <c r="A746" s="61" t="s">
        <v>1489</v>
      </c>
    </row>
    <row r="747" spans="1:1" x14ac:dyDescent="0.25">
      <c r="A747" s="61" t="s">
        <v>1489</v>
      </c>
    </row>
    <row r="748" spans="1:1" x14ac:dyDescent="0.25">
      <c r="A748" s="61" t="s">
        <v>1033</v>
      </c>
    </row>
    <row r="749" spans="1:1" x14ac:dyDescent="0.25">
      <c r="A749" s="61" t="s">
        <v>1489</v>
      </c>
    </row>
    <row r="750" spans="1:1" x14ac:dyDescent="0.25">
      <c r="A750" s="61" t="s">
        <v>2545</v>
      </c>
    </row>
    <row r="751" spans="1:1" x14ac:dyDescent="0.25">
      <c r="A751" s="61" t="s">
        <v>1489</v>
      </c>
    </row>
    <row r="752" spans="1:1" x14ac:dyDescent="0.25">
      <c r="A752" s="61" t="s">
        <v>1489</v>
      </c>
    </row>
    <row r="753" spans="1:1" x14ac:dyDescent="0.25">
      <c r="A753" s="61" t="s">
        <v>1489</v>
      </c>
    </row>
    <row r="754" spans="1:1" x14ac:dyDescent="0.25">
      <c r="A754" s="61" t="s">
        <v>1489</v>
      </c>
    </row>
    <row r="755" spans="1:1" x14ac:dyDescent="0.25">
      <c r="A755" s="61" t="s">
        <v>1489</v>
      </c>
    </row>
    <row r="756" spans="1:1" x14ac:dyDescent="0.25">
      <c r="A756" s="61" t="s">
        <v>74</v>
      </c>
    </row>
    <row r="757" spans="1:1" x14ac:dyDescent="0.25">
      <c r="A757" s="61" t="s">
        <v>74</v>
      </c>
    </row>
    <row r="758" spans="1:1" x14ac:dyDescent="0.25">
      <c r="A758" s="61" t="s">
        <v>74</v>
      </c>
    </row>
    <row r="759" spans="1:1" x14ac:dyDescent="0.25">
      <c r="A759" s="61" t="s">
        <v>1489</v>
      </c>
    </row>
    <row r="760" spans="1:1" x14ac:dyDescent="0.25">
      <c r="A760" s="61" t="s">
        <v>1893</v>
      </c>
    </row>
    <row r="761" spans="1:1" x14ac:dyDescent="0.25">
      <c r="A761" s="61" t="s">
        <v>542</v>
      </c>
    </row>
    <row r="762" spans="1:1" x14ac:dyDescent="0.25">
      <c r="A762" s="61" t="s">
        <v>542</v>
      </c>
    </row>
    <row r="763" spans="1:1" x14ac:dyDescent="0.25">
      <c r="A763" s="61" t="s">
        <v>1893</v>
      </c>
    </row>
    <row r="764" spans="1:1" x14ac:dyDescent="0.25">
      <c r="A764" s="61" t="s">
        <v>1489</v>
      </c>
    </row>
    <row r="765" spans="1:1" x14ac:dyDescent="0.25">
      <c r="A765" s="61" t="s">
        <v>386</v>
      </c>
    </row>
    <row r="766" spans="1:1" x14ac:dyDescent="0.25">
      <c r="A766" s="61" t="s">
        <v>74</v>
      </c>
    </row>
    <row r="767" spans="1:1" x14ac:dyDescent="0.25">
      <c r="A767" s="61" t="s">
        <v>1893</v>
      </c>
    </row>
    <row r="768" spans="1:1" x14ac:dyDescent="0.25">
      <c r="A768" s="61" t="s">
        <v>1893</v>
      </c>
    </row>
    <row r="769" spans="1:1" x14ac:dyDescent="0.25">
      <c r="A769" s="61" t="s">
        <v>1893</v>
      </c>
    </row>
    <row r="770" spans="1:1" x14ac:dyDescent="0.25">
      <c r="A770" s="61" t="s">
        <v>1893</v>
      </c>
    </row>
    <row r="771" spans="1:1" x14ac:dyDescent="0.25">
      <c r="A771" s="61" t="s">
        <v>1489</v>
      </c>
    </row>
    <row r="772" spans="1:1" x14ac:dyDescent="0.25">
      <c r="A772" s="61" t="s">
        <v>74</v>
      </c>
    </row>
    <row r="773" spans="1:1" x14ac:dyDescent="0.25">
      <c r="A773" s="61" t="s">
        <v>1033</v>
      </c>
    </row>
    <row r="774" spans="1:1" x14ac:dyDescent="0.25">
      <c r="A774" s="61" t="s">
        <v>1489</v>
      </c>
    </row>
    <row r="775" spans="1:1" x14ac:dyDescent="0.25">
      <c r="A775" s="61" t="s">
        <v>1489</v>
      </c>
    </row>
    <row r="776" spans="1:1" x14ac:dyDescent="0.25">
      <c r="A776" s="61" t="s">
        <v>1489</v>
      </c>
    </row>
    <row r="777" spans="1:1" x14ac:dyDescent="0.25">
      <c r="A777" s="61" t="s">
        <v>1489</v>
      </c>
    </row>
    <row r="778" spans="1:1" x14ac:dyDescent="0.25">
      <c r="A778" s="61" t="s">
        <v>1489</v>
      </c>
    </row>
    <row r="779" spans="1:1" x14ac:dyDescent="0.25">
      <c r="A779" s="61" t="s">
        <v>74</v>
      </c>
    </row>
    <row r="780" spans="1:1" x14ac:dyDescent="0.25">
      <c r="A780" s="61" t="s">
        <v>74</v>
      </c>
    </row>
    <row r="781" spans="1:1" x14ac:dyDescent="0.25">
      <c r="A781" s="61" t="s">
        <v>1489</v>
      </c>
    </row>
    <row r="782" spans="1:1" x14ac:dyDescent="0.25">
      <c r="A782" s="61" t="s">
        <v>1893</v>
      </c>
    </row>
    <row r="783" spans="1:1" x14ac:dyDescent="0.25">
      <c r="A783" s="61" t="s">
        <v>1893</v>
      </c>
    </row>
    <row r="784" spans="1:1" x14ac:dyDescent="0.25">
      <c r="A784" s="61" t="s">
        <v>1489</v>
      </c>
    </row>
    <row r="785" spans="1:1" x14ac:dyDescent="0.25">
      <c r="A785" s="61" t="s">
        <v>1033</v>
      </c>
    </row>
    <row r="786" spans="1:1" x14ac:dyDescent="0.25">
      <c r="A786" s="61" t="s">
        <v>1489</v>
      </c>
    </row>
    <row r="787" spans="1:1" x14ac:dyDescent="0.25">
      <c r="A787" s="61" t="s">
        <v>1489</v>
      </c>
    </row>
    <row r="788" spans="1:1" x14ac:dyDescent="0.25">
      <c r="A788" s="61" t="s">
        <v>1489</v>
      </c>
    </row>
    <row r="789" spans="1:1" x14ac:dyDescent="0.25">
      <c r="A789" s="61" t="s">
        <v>2656</v>
      </c>
    </row>
    <row r="790" spans="1:1" x14ac:dyDescent="0.25">
      <c r="A790" s="61" t="s">
        <v>1489</v>
      </c>
    </row>
    <row r="791" spans="1:1" x14ac:dyDescent="0.25">
      <c r="A791" s="61" t="s">
        <v>74</v>
      </c>
    </row>
    <row r="792" spans="1:1" x14ac:dyDescent="0.25">
      <c r="A792" s="61" t="s">
        <v>1033</v>
      </c>
    </row>
    <row r="793" spans="1:1" x14ac:dyDescent="0.25">
      <c r="A793" s="61" t="s">
        <v>1033</v>
      </c>
    </row>
    <row r="794" spans="1:1" x14ac:dyDescent="0.25">
      <c r="A794" s="61" t="s">
        <v>74</v>
      </c>
    </row>
    <row r="795" spans="1:1" x14ac:dyDescent="0.25">
      <c r="A795" s="61" t="s">
        <v>74</v>
      </c>
    </row>
    <row r="796" spans="1:1" x14ac:dyDescent="0.25">
      <c r="A796" s="61" t="s">
        <v>74</v>
      </c>
    </row>
    <row r="797" spans="1:1" x14ac:dyDescent="0.25">
      <c r="A797" s="61" t="s">
        <v>1489</v>
      </c>
    </row>
    <row r="798" spans="1:1" x14ac:dyDescent="0.25">
      <c r="A798" s="61" t="s">
        <v>542</v>
      </c>
    </row>
    <row r="799" spans="1:1" x14ac:dyDescent="0.25">
      <c r="A799" s="61" t="s">
        <v>1489</v>
      </c>
    </row>
    <row r="800" spans="1:1" x14ac:dyDescent="0.25">
      <c r="A800" s="61" t="s">
        <v>74</v>
      </c>
    </row>
    <row r="801" spans="1:1" x14ac:dyDescent="0.25">
      <c r="A801" s="61" t="s">
        <v>74</v>
      </c>
    </row>
    <row r="802" spans="1:1" x14ac:dyDescent="0.25">
      <c r="A802" s="61" t="s">
        <v>2703</v>
      </c>
    </row>
    <row r="803" spans="1:1" x14ac:dyDescent="0.25">
      <c r="A803" s="61" t="s">
        <v>1489</v>
      </c>
    </row>
    <row r="804" spans="1:1" x14ac:dyDescent="0.25">
      <c r="A804" s="61" t="s">
        <v>1489</v>
      </c>
    </row>
    <row r="805" spans="1:1" x14ac:dyDescent="0.25">
      <c r="A805" s="61" t="s">
        <v>1489</v>
      </c>
    </row>
    <row r="806" spans="1:1" x14ac:dyDescent="0.25">
      <c r="A806" s="61" t="s">
        <v>1489</v>
      </c>
    </row>
    <row r="807" spans="1:1" x14ac:dyDescent="0.25">
      <c r="A807" s="61" t="s">
        <v>1489</v>
      </c>
    </row>
    <row r="808" spans="1:1" x14ac:dyDescent="0.25">
      <c r="A808" s="61" t="s">
        <v>74</v>
      </c>
    </row>
    <row r="809" spans="1:1" x14ac:dyDescent="0.25">
      <c r="A809" s="61" t="s">
        <v>74</v>
      </c>
    </row>
    <row r="810" spans="1:1" x14ac:dyDescent="0.25">
      <c r="A810" s="61" t="s">
        <v>74</v>
      </c>
    </row>
    <row r="811" spans="1:1" x14ac:dyDescent="0.25">
      <c r="A811" s="61" t="s">
        <v>74</v>
      </c>
    </row>
    <row r="812" spans="1:1" x14ac:dyDescent="0.25">
      <c r="A812" s="61" t="s">
        <v>1489</v>
      </c>
    </row>
    <row r="813" spans="1:1" x14ac:dyDescent="0.25">
      <c r="A813" s="61" t="s">
        <v>74</v>
      </c>
    </row>
    <row r="814" spans="1:1" x14ac:dyDescent="0.25">
      <c r="A814" s="61" t="s">
        <v>74</v>
      </c>
    </row>
    <row r="815" spans="1:1" x14ac:dyDescent="0.25">
      <c r="A815" s="61" t="s">
        <v>74</v>
      </c>
    </row>
    <row r="816" spans="1:1" x14ac:dyDescent="0.25">
      <c r="A816" s="61" t="s">
        <v>74</v>
      </c>
    </row>
    <row r="817" spans="1:1" x14ac:dyDescent="0.25">
      <c r="A817" s="61" t="s">
        <v>74</v>
      </c>
    </row>
    <row r="818" spans="1:1" x14ac:dyDescent="0.25">
      <c r="A818" s="61" t="s">
        <v>2758</v>
      </c>
    </row>
    <row r="819" spans="1:1" x14ac:dyDescent="0.25">
      <c r="A819" s="61" t="s">
        <v>74</v>
      </c>
    </row>
    <row r="820" spans="1:1" x14ac:dyDescent="0.25">
      <c r="A820" s="61" t="s">
        <v>74</v>
      </c>
    </row>
    <row r="821" spans="1:1" x14ac:dyDescent="0.25">
      <c r="A821" s="61" t="s">
        <v>74</v>
      </c>
    </row>
    <row r="822" spans="1:1" x14ac:dyDescent="0.25">
      <c r="A822" s="61" t="s">
        <v>74</v>
      </c>
    </row>
    <row r="823" spans="1:1" x14ac:dyDescent="0.25">
      <c r="A823" s="61" t="s">
        <v>1489</v>
      </c>
    </row>
    <row r="824" spans="1:1" x14ac:dyDescent="0.25">
      <c r="A824" s="61" t="s">
        <v>542</v>
      </c>
    </row>
    <row r="825" spans="1:1" x14ac:dyDescent="0.25">
      <c r="A825" s="61" t="s">
        <v>542</v>
      </c>
    </row>
    <row r="826" spans="1:1" x14ac:dyDescent="0.25">
      <c r="A826" s="61" t="s">
        <v>74</v>
      </c>
    </row>
    <row r="827" spans="1:1" x14ac:dyDescent="0.25">
      <c r="A827" s="61" t="s">
        <v>1893</v>
      </c>
    </row>
    <row r="828" spans="1:1" x14ac:dyDescent="0.25">
      <c r="A828" s="61" t="s">
        <v>1893</v>
      </c>
    </row>
    <row r="829" spans="1:1" x14ac:dyDescent="0.25">
      <c r="A829" s="61" t="s">
        <v>1489</v>
      </c>
    </row>
    <row r="830" spans="1:1" x14ac:dyDescent="0.25">
      <c r="A830" s="52" t="s">
        <v>750</v>
      </c>
    </row>
    <row r="831" spans="1:1" x14ac:dyDescent="0.25">
      <c r="A831" s="61" t="s">
        <v>1489</v>
      </c>
    </row>
    <row r="832" spans="1:1" x14ac:dyDescent="0.25">
      <c r="A832" s="61" t="s">
        <v>2758</v>
      </c>
    </row>
    <row r="833" spans="1:1" x14ac:dyDescent="0.25">
      <c r="A833" s="61" t="s">
        <v>1489</v>
      </c>
    </row>
    <row r="834" spans="1:1" x14ac:dyDescent="0.25">
      <c r="A834" s="61" t="s">
        <v>1489</v>
      </c>
    </row>
    <row r="835" spans="1:1" x14ac:dyDescent="0.25">
      <c r="A835" s="61" t="s">
        <v>74</v>
      </c>
    </row>
    <row r="836" spans="1:1" x14ac:dyDescent="0.25">
      <c r="A836" s="52" t="s">
        <v>60</v>
      </c>
    </row>
    <row r="837" spans="1:1" x14ac:dyDescent="0.25">
      <c r="A837" s="61" t="s">
        <v>1893</v>
      </c>
    </row>
    <row r="838" spans="1:1" x14ac:dyDescent="0.25">
      <c r="A838" s="52" t="s">
        <v>60</v>
      </c>
    </row>
    <row r="839" spans="1:1" x14ac:dyDescent="0.25">
      <c r="A839" s="61" t="s">
        <v>74</v>
      </c>
    </row>
    <row r="840" spans="1:1" x14ac:dyDescent="0.25">
      <c r="A840" s="61" t="s">
        <v>1489</v>
      </c>
    </row>
    <row r="841" spans="1:1" x14ac:dyDescent="0.25">
      <c r="A841" s="61" t="s">
        <v>1489</v>
      </c>
    </row>
    <row r="842" spans="1:1" x14ac:dyDescent="0.25">
      <c r="A842" s="61" t="s">
        <v>60</v>
      </c>
    </row>
    <row r="843" spans="1:1" x14ac:dyDescent="0.25">
      <c r="A843" s="61" t="s">
        <v>2842</v>
      </c>
    </row>
    <row r="844" spans="1:1" x14ac:dyDescent="0.25">
      <c r="A844" s="61" t="s">
        <v>1489</v>
      </c>
    </row>
    <row r="845" spans="1:1" x14ac:dyDescent="0.25">
      <c r="A845" s="61" t="s">
        <v>1893</v>
      </c>
    </row>
    <row r="846" spans="1:1" x14ac:dyDescent="0.25">
      <c r="A846" s="61" t="s">
        <v>1489</v>
      </c>
    </row>
    <row r="847" spans="1:1" x14ac:dyDescent="0.25">
      <c r="A847" s="61" t="s">
        <v>1489</v>
      </c>
    </row>
    <row r="848" spans="1:1" x14ac:dyDescent="0.25">
      <c r="A848" s="61" t="s">
        <v>1489</v>
      </c>
    </row>
    <row r="849" spans="1:1" x14ac:dyDescent="0.25">
      <c r="A849" s="61" t="s">
        <v>74</v>
      </c>
    </row>
    <row r="850" spans="1:1" x14ac:dyDescent="0.25">
      <c r="A850" s="61" t="s">
        <v>74</v>
      </c>
    </row>
    <row r="851" spans="1:1" x14ac:dyDescent="0.25">
      <c r="A851" s="61" t="s">
        <v>2867</v>
      </c>
    </row>
    <row r="852" spans="1:1" x14ac:dyDescent="0.25">
      <c r="A852" s="61" t="s">
        <v>74</v>
      </c>
    </row>
    <row r="853" spans="1:1" x14ac:dyDescent="0.25">
      <c r="A853" s="61" t="s">
        <v>74</v>
      </c>
    </row>
    <row r="854" spans="1:1" x14ac:dyDescent="0.25">
      <c r="A854" s="61" t="s">
        <v>74</v>
      </c>
    </row>
    <row r="855" spans="1:1" x14ac:dyDescent="0.25">
      <c r="A855" s="61" t="s">
        <v>74</v>
      </c>
    </row>
    <row r="856" spans="1:1" x14ac:dyDescent="0.25">
      <c r="A856" s="61" t="s">
        <v>1489</v>
      </c>
    </row>
    <row r="857" spans="1:1" x14ac:dyDescent="0.25">
      <c r="A857" s="61" t="s">
        <v>1489</v>
      </c>
    </row>
    <row r="858" spans="1:1" x14ac:dyDescent="0.25">
      <c r="A858" s="61" t="s">
        <v>1489</v>
      </c>
    </row>
    <row r="859" spans="1:1" x14ac:dyDescent="0.25">
      <c r="A859" s="61" t="s">
        <v>74</v>
      </c>
    </row>
    <row r="860" spans="1:1" x14ac:dyDescent="0.25">
      <c r="A860" s="61" t="s">
        <v>74</v>
      </c>
    </row>
    <row r="861" spans="1:1" x14ac:dyDescent="0.25">
      <c r="A861" s="61" t="s">
        <v>74</v>
      </c>
    </row>
    <row r="862" spans="1:1" x14ac:dyDescent="0.25">
      <c r="A862" s="61" t="s">
        <v>74</v>
      </c>
    </row>
    <row r="863" spans="1:1" x14ac:dyDescent="0.25">
      <c r="A863" s="61" t="s">
        <v>1489</v>
      </c>
    </row>
    <row r="864" spans="1:1" x14ac:dyDescent="0.25">
      <c r="A864" s="61" t="s">
        <v>1489</v>
      </c>
    </row>
    <row r="865" spans="1:1" x14ac:dyDescent="0.25">
      <c r="A865" s="61" t="s">
        <v>1489</v>
      </c>
    </row>
    <row r="866" spans="1:1" x14ac:dyDescent="0.25">
      <c r="A866" s="61" t="s">
        <v>542</v>
      </c>
    </row>
    <row r="867" spans="1:1" x14ac:dyDescent="0.25">
      <c r="A867" s="61" t="s">
        <v>74</v>
      </c>
    </row>
    <row r="868" spans="1:1" x14ac:dyDescent="0.25">
      <c r="A868" s="61" t="s">
        <v>1893</v>
      </c>
    </row>
    <row r="869" spans="1:1" x14ac:dyDescent="0.25">
      <c r="A869" s="61" t="s">
        <v>1893</v>
      </c>
    </row>
    <row r="870" spans="1:1" x14ac:dyDescent="0.25">
      <c r="A870" s="61" t="s">
        <v>1489</v>
      </c>
    </row>
    <row r="871" spans="1:1" x14ac:dyDescent="0.25">
      <c r="A871" s="61" t="s">
        <v>1489</v>
      </c>
    </row>
    <row r="872" spans="1:1" x14ac:dyDescent="0.25">
      <c r="A872" s="61" t="s">
        <v>1489</v>
      </c>
    </row>
    <row r="873" spans="1:1" x14ac:dyDescent="0.25">
      <c r="A873" s="61" t="s">
        <v>1489</v>
      </c>
    </row>
    <row r="874" spans="1:1" x14ac:dyDescent="0.25">
      <c r="A874" s="61" t="s">
        <v>1489</v>
      </c>
    </row>
    <row r="875" spans="1:1" x14ac:dyDescent="0.25">
      <c r="A875" s="61" t="s">
        <v>1489</v>
      </c>
    </row>
    <row r="876" spans="1:1" x14ac:dyDescent="0.25">
      <c r="A876" s="61" t="s">
        <v>1489</v>
      </c>
    </row>
    <row r="877" spans="1:1" x14ac:dyDescent="0.25">
      <c r="A877" s="61" t="s">
        <v>74</v>
      </c>
    </row>
    <row r="878" spans="1:1" x14ac:dyDescent="0.25">
      <c r="A878" s="61" t="s">
        <v>1489</v>
      </c>
    </row>
    <row r="879" spans="1:1" x14ac:dyDescent="0.25">
      <c r="A879" s="61" t="s">
        <v>74</v>
      </c>
    </row>
    <row r="880" spans="1:1" x14ac:dyDescent="0.25">
      <c r="A880" s="61" t="s">
        <v>1489</v>
      </c>
    </row>
    <row r="881" spans="1:1" x14ac:dyDescent="0.25">
      <c r="A881" s="61" t="s">
        <v>1489</v>
      </c>
    </row>
    <row r="882" spans="1:1" x14ac:dyDescent="0.25">
      <c r="A882" s="61" t="s">
        <v>2758</v>
      </c>
    </row>
    <row r="883" spans="1:1" x14ac:dyDescent="0.25">
      <c r="A883" s="61" t="s">
        <v>2758</v>
      </c>
    </row>
    <row r="884" spans="1:1" x14ac:dyDescent="0.25">
      <c r="A884" s="61" t="s">
        <v>1489</v>
      </c>
    </row>
    <row r="885" spans="1:1" x14ac:dyDescent="0.25">
      <c r="A885" s="61" t="s">
        <v>2758</v>
      </c>
    </row>
    <row r="886" spans="1:1" x14ac:dyDescent="0.25">
      <c r="A886" s="61" t="s">
        <v>2758</v>
      </c>
    </row>
    <row r="887" spans="1:1" x14ac:dyDescent="0.25">
      <c r="A887" s="61" t="s">
        <v>2758</v>
      </c>
    </row>
    <row r="888" spans="1:1" x14ac:dyDescent="0.25">
      <c r="A888" s="61" t="s">
        <v>1489</v>
      </c>
    </row>
    <row r="889" spans="1:1" x14ac:dyDescent="0.25">
      <c r="A889" s="61" t="s">
        <v>1489</v>
      </c>
    </row>
    <row r="890" spans="1:1" x14ac:dyDescent="0.25">
      <c r="A890" s="61" t="s">
        <v>2758</v>
      </c>
    </row>
    <row r="891" spans="1:1" x14ac:dyDescent="0.25">
      <c r="A891" s="61" t="s">
        <v>2983</v>
      </c>
    </row>
    <row r="892" spans="1:1" x14ac:dyDescent="0.25">
      <c r="A892" s="61" t="s">
        <v>74</v>
      </c>
    </row>
    <row r="893" spans="1:1" x14ac:dyDescent="0.25">
      <c r="A893" s="61" t="s">
        <v>1489</v>
      </c>
    </row>
    <row r="894" spans="1:1" x14ac:dyDescent="0.25">
      <c r="A894" s="61" t="s">
        <v>1489</v>
      </c>
    </row>
    <row r="895" spans="1:1" x14ac:dyDescent="0.25">
      <c r="A895" s="61" t="s">
        <v>1489</v>
      </c>
    </row>
    <row r="896" spans="1:1" x14ac:dyDescent="0.25">
      <c r="A896" s="61" t="s">
        <v>2983</v>
      </c>
    </row>
    <row r="897" spans="1:1" x14ac:dyDescent="0.25">
      <c r="A897" s="61" t="s">
        <v>1489</v>
      </c>
    </row>
    <row r="898" spans="1:1" x14ac:dyDescent="0.25">
      <c r="A898" s="61" t="s">
        <v>3007</v>
      </c>
    </row>
    <row r="899" spans="1:1" x14ac:dyDescent="0.25">
      <c r="A899" s="61" t="s">
        <v>1489</v>
      </c>
    </row>
    <row r="900" spans="1:1" x14ac:dyDescent="0.25">
      <c r="A900" s="61" t="s">
        <v>128</v>
      </c>
    </row>
    <row r="901" spans="1:1" x14ac:dyDescent="0.25">
      <c r="A901" s="61" t="s">
        <v>128</v>
      </c>
    </row>
    <row r="902" spans="1:1" x14ac:dyDescent="0.25">
      <c r="A902" s="61" t="s">
        <v>1489</v>
      </c>
    </row>
    <row r="903" spans="1:1" x14ac:dyDescent="0.25">
      <c r="A903" s="61" t="s">
        <v>1489</v>
      </c>
    </row>
    <row r="904" spans="1:1" x14ac:dyDescent="0.25">
      <c r="A904" s="61" t="s">
        <v>1489</v>
      </c>
    </row>
    <row r="905" spans="1:1" x14ac:dyDescent="0.25">
      <c r="A905" s="61" t="s">
        <v>74</v>
      </c>
    </row>
    <row r="906" spans="1:1" x14ac:dyDescent="0.25">
      <c r="A906" s="61" t="s">
        <v>1489</v>
      </c>
    </row>
    <row r="907" spans="1:1" x14ac:dyDescent="0.25">
      <c r="A907" s="61" t="s">
        <v>2758</v>
      </c>
    </row>
    <row r="908" spans="1:1" x14ac:dyDescent="0.25">
      <c r="A908" s="61" t="s">
        <v>74</v>
      </c>
    </row>
    <row r="909" spans="1:1" x14ac:dyDescent="0.25">
      <c r="A909" s="61" t="s">
        <v>2758</v>
      </c>
    </row>
    <row r="910" spans="1:1" x14ac:dyDescent="0.25">
      <c r="A910" s="61" t="s">
        <v>1489</v>
      </c>
    </row>
    <row r="911" spans="1:1" x14ac:dyDescent="0.25">
      <c r="A911" s="61" t="s">
        <v>1489</v>
      </c>
    </row>
    <row r="912" spans="1:1" x14ac:dyDescent="0.25">
      <c r="A912" s="61" t="s">
        <v>1489</v>
      </c>
    </row>
    <row r="913" spans="1:1" x14ac:dyDescent="0.25">
      <c r="A913" s="61" t="s">
        <v>1489</v>
      </c>
    </row>
    <row r="914" spans="1:1" x14ac:dyDescent="0.25">
      <c r="A914" s="61" t="s">
        <v>74</v>
      </c>
    </row>
    <row r="915" spans="1:1" x14ac:dyDescent="0.25">
      <c r="A915" s="61" t="s">
        <v>1489</v>
      </c>
    </row>
    <row r="916" spans="1:1" x14ac:dyDescent="0.25">
      <c r="A916" s="61" t="s">
        <v>1489</v>
      </c>
    </row>
    <row r="917" spans="1:1" x14ac:dyDescent="0.25">
      <c r="A917" s="61" t="s">
        <v>1489</v>
      </c>
    </row>
    <row r="918" spans="1:1" x14ac:dyDescent="0.25">
      <c r="A918" s="61" t="s">
        <v>1489</v>
      </c>
    </row>
    <row r="919" spans="1:1" x14ac:dyDescent="0.25">
      <c r="A919" s="61" t="s">
        <v>1489</v>
      </c>
    </row>
    <row r="920" spans="1:1" x14ac:dyDescent="0.25">
      <c r="A920" s="61" t="s">
        <v>1489</v>
      </c>
    </row>
    <row r="921" spans="1:1" x14ac:dyDescent="0.25">
      <c r="A921" s="61" t="s">
        <v>1489</v>
      </c>
    </row>
    <row r="922" spans="1:1" x14ac:dyDescent="0.25">
      <c r="A922" s="61" t="s">
        <v>1489</v>
      </c>
    </row>
    <row r="923" spans="1:1" x14ac:dyDescent="0.25">
      <c r="A923" s="61" t="s">
        <v>1489</v>
      </c>
    </row>
    <row r="924" spans="1:1" x14ac:dyDescent="0.25">
      <c r="A924" s="61" t="s">
        <v>128</v>
      </c>
    </row>
    <row r="925" spans="1:1" x14ac:dyDescent="0.25">
      <c r="A925" s="61" t="s">
        <v>1489</v>
      </c>
    </row>
    <row r="926" spans="1:1" x14ac:dyDescent="0.25">
      <c r="A926" s="61" t="s">
        <v>3099</v>
      </c>
    </row>
    <row r="927" spans="1:1" x14ac:dyDescent="0.25">
      <c r="A927" s="61" t="s">
        <v>1489</v>
      </c>
    </row>
    <row r="928" spans="1:1" x14ac:dyDescent="0.25">
      <c r="A928" s="61" t="s">
        <v>74</v>
      </c>
    </row>
    <row r="929" spans="1:1" x14ac:dyDescent="0.25">
      <c r="A929" s="61" t="s">
        <v>1489</v>
      </c>
    </row>
    <row r="930" spans="1:1" x14ac:dyDescent="0.25">
      <c r="A930" s="61" t="s">
        <v>1489</v>
      </c>
    </row>
    <row r="931" spans="1:1" x14ac:dyDescent="0.25">
      <c r="A931" s="61" t="s">
        <v>74</v>
      </c>
    </row>
    <row r="932" spans="1:1" x14ac:dyDescent="0.25">
      <c r="A932" s="52" t="s">
        <v>1104</v>
      </c>
    </row>
    <row r="933" spans="1:1" x14ac:dyDescent="0.25">
      <c r="A933" s="61" t="s">
        <v>2758</v>
      </c>
    </row>
    <row r="934" spans="1:1" x14ac:dyDescent="0.25">
      <c r="A934" s="61" t="s">
        <v>1489</v>
      </c>
    </row>
    <row r="935" spans="1:1" x14ac:dyDescent="0.25">
      <c r="A935" s="61" t="s">
        <v>74</v>
      </c>
    </row>
    <row r="936" spans="1:1" x14ac:dyDescent="0.25">
      <c r="A936" s="61" t="s">
        <v>1893</v>
      </c>
    </row>
    <row r="937" spans="1:1" x14ac:dyDescent="0.25">
      <c r="A937" s="61" t="s">
        <v>1893</v>
      </c>
    </row>
    <row r="938" spans="1:1" x14ac:dyDescent="0.25">
      <c r="A938" s="61" t="s">
        <v>1489</v>
      </c>
    </row>
    <row r="939" spans="1:1" x14ac:dyDescent="0.25">
      <c r="A939" s="61" t="s">
        <v>2758</v>
      </c>
    </row>
    <row r="940" spans="1:1" x14ac:dyDescent="0.25">
      <c r="A940" s="61" t="s">
        <v>1489</v>
      </c>
    </row>
    <row r="941" spans="1:1" x14ac:dyDescent="0.25">
      <c r="A941" s="61" t="s">
        <v>1489</v>
      </c>
    </row>
    <row r="942" spans="1:1" x14ac:dyDescent="0.25">
      <c r="A942" s="61" t="s">
        <v>1489</v>
      </c>
    </row>
    <row r="943" spans="1:1" x14ac:dyDescent="0.25">
      <c r="A943" s="61" t="s">
        <v>1489</v>
      </c>
    </row>
    <row r="944" spans="1:1" x14ac:dyDescent="0.25">
      <c r="A944" s="61" t="s">
        <v>1489</v>
      </c>
    </row>
    <row r="945" spans="1:1" x14ac:dyDescent="0.25">
      <c r="A945" s="61" t="s">
        <v>74</v>
      </c>
    </row>
    <row r="946" spans="1:1" x14ac:dyDescent="0.25">
      <c r="A946" s="61" t="s">
        <v>1489</v>
      </c>
    </row>
    <row r="947" spans="1:1" x14ac:dyDescent="0.25">
      <c r="A947" s="61" t="s">
        <v>1489</v>
      </c>
    </row>
    <row r="948" spans="1:1" x14ac:dyDescent="0.25">
      <c r="A948" s="61" t="s">
        <v>1489</v>
      </c>
    </row>
    <row r="949" spans="1:1" x14ac:dyDescent="0.25">
      <c r="A949" s="61" t="s">
        <v>1489</v>
      </c>
    </row>
    <row r="950" spans="1:1" x14ac:dyDescent="0.25">
      <c r="A950" s="61" t="s">
        <v>1489</v>
      </c>
    </row>
    <row r="951" spans="1:1" x14ac:dyDescent="0.25">
      <c r="A951" s="61" t="s">
        <v>2758</v>
      </c>
    </row>
    <row r="952" spans="1:1" x14ac:dyDescent="0.25">
      <c r="A952" s="61" t="s">
        <v>2758</v>
      </c>
    </row>
    <row r="953" spans="1:1" x14ac:dyDescent="0.25">
      <c r="A953" s="61" t="s">
        <v>1489</v>
      </c>
    </row>
    <row r="954" spans="1:1" x14ac:dyDescent="0.25">
      <c r="A954" s="61" t="s">
        <v>1489</v>
      </c>
    </row>
    <row r="955" spans="1:1" x14ac:dyDescent="0.25">
      <c r="A955" s="61" t="s">
        <v>3186</v>
      </c>
    </row>
    <row r="956" spans="1:1" x14ac:dyDescent="0.25">
      <c r="A956" s="61" t="s">
        <v>3186</v>
      </c>
    </row>
    <row r="957" spans="1:1" x14ac:dyDescent="0.25">
      <c r="A957" s="61" t="s">
        <v>74</v>
      </c>
    </row>
    <row r="958" spans="1:1" x14ac:dyDescent="0.25">
      <c r="A958" s="61" t="s">
        <v>1489</v>
      </c>
    </row>
    <row r="959" spans="1:1" x14ac:dyDescent="0.25">
      <c r="A959" s="61" t="s">
        <v>1489</v>
      </c>
    </row>
    <row r="960" spans="1:1" x14ac:dyDescent="0.25">
      <c r="A960" s="61" t="s">
        <v>1489</v>
      </c>
    </row>
    <row r="961" spans="1:1" x14ac:dyDescent="0.25">
      <c r="A961" s="61" t="s">
        <v>1893</v>
      </c>
    </row>
    <row r="962" spans="1:1" x14ac:dyDescent="0.25">
      <c r="A962" s="61" t="s">
        <v>3186</v>
      </c>
    </row>
    <row r="963" spans="1:1" x14ac:dyDescent="0.25">
      <c r="A963" s="61" t="s">
        <v>1489</v>
      </c>
    </row>
    <row r="964" spans="1:1" x14ac:dyDescent="0.25">
      <c r="A964" s="61" t="s">
        <v>1489</v>
      </c>
    </row>
    <row r="965" spans="1:1" x14ac:dyDescent="0.25">
      <c r="A965" s="61" t="s">
        <v>1489</v>
      </c>
    </row>
    <row r="966" spans="1:1" x14ac:dyDescent="0.25">
      <c r="A966" s="61" t="s">
        <v>1489</v>
      </c>
    </row>
    <row r="967" spans="1:1" x14ac:dyDescent="0.25">
      <c r="A967" s="61" t="s">
        <v>3186</v>
      </c>
    </row>
    <row r="968" spans="1:1" x14ac:dyDescent="0.25">
      <c r="A968" s="61" t="s">
        <v>74</v>
      </c>
    </row>
    <row r="969" spans="1:1" x14ac:dyDescent="0.25">
      <c r="A969" s="61" t="s">
        <v>1489</v>
      </c>
    </row>
    <row r="970" spans="1:1" x14ac:dyDescent="0.25">
      <c r="A970" s="61" t="s">
        <v>1489</v>
      </c>
    </row>
    <row r="971" spans="1:1" x14ac:dyDescent="0.25">
      <c r="A971" s="61" t="s">
        <v>1489</v>
      </c>
    </row>
    <row r="972" spans="1:1" x14ac:dyDescent="0.25">
      <c r="A972" s="61" t="s">
        <v>3232</v>
      </c>
    </row>
    <row r="973" spans="1:1" x14ac:dyDescent="0.25">
      <c r="A973" s="61" t="s">
        <v>2983</v>
      </c>
    </row>
    <row r="974" spans="1:1" x14ac:dyDescent="0.25">
      <c r="A974" s="61" t="s">
        <v>74</v>
      </c>
    </row>
    <row r="975" spans="1:1" x14ac:dyDescent="0.25">
      <c r="A975" s="61" t="s">
        <v>1893</v>
      </c>
    </row>
    <row r="976" spans="1:1" x14ac:dyDescent="0.25">
      <c r="A976" s="61" t="s">
        <v>1893</v>
      </c>
    </row>
    <row r="977" spans="1:1" x14ac:dyDescent="0.25">
      <c r="A977" s="61" t="s">
        <v>1489</v>
      </c>
    </row>
    <row r="978" spans="1:1" x14ac:dyDescent="0.25">
      <c r="A978" s="61" t="s">
        <v>74</v>
      </c>
    </row>
    <row r="979" spans="1:1" x14ac:dyDescent="0.25">
      <c r="A979" s="61" t="s">
        <v>1489</v>
      </c>
    </row>
    <row r="980" spans="1:1" x14ac:dyDescent="0.25">
      <c r="A980" s="61" t="s">
        <v>74</v>
      </c>
    </row>
    <row r="981" spans="1:1" x14ac:dyDescent="0.25">
      <c r="A981" s="61" t="s">
        <v>1489</v>
      </c>
    </row>
    <row r="982" spans="1:1" x14ac:dyDescent="0.25">
      <c r="A982" s="61" t="s">
        <v>74</v>
      </c>
    </row>
    <row r="983" spans="1:1" x14ac:dyDescent="0.25">
      <c r="A983" s="61" t="s">
        <v>74</v>
      </c>
    </row>
    <row r="984" spans="1:1" x14ac:dyDescent="0.25">
      <c r="A984" s="61" t="s">
        <v>74</v>
      </c>
    </row>
    <row r="985" spans="1:1" x14ac:dyDescent="0.25">
      <c r="A985" s="61" t="s">
        <v>74</v>
      </c>
    </row>
    <row r="986" spans="1:1" x14ac:dyDescent="0.25">
      <c r="A986" s="61" t="s">
        <v>74</v>
      </c>
    </row>
    <row r="987" spans="1:1" x14ac:dyDescent="0.25">
      <c r="A987" s="61" t="s">
        <v>74</v>
      </c>
    </row>
    <row r="988" spans="1:1" x14ac:dyDescent="0.25">
      <c r="A988" s="52" t="s">
        <v>142</v>
      </c>
    </row>
    <row r="989" spans="1:1" x14ac:dyDescent="0.25">
      <c r="A989" s="52" t="s">
        <v>142</v>
      </c>
    </row>
    <row r="990" spans="1:1" x14ac:dyDescent="0.25">
      <c r="A990" s="61" t="s">
        <v>74</v>
      </c>
    </row>
    <row r="991" spans="1:1" x14ac:dyDescent="0.25">
      <c r="A991" s="61" t="s">
        <v>74</v>
      </c>
    </row>
    <row r="992" spans="1:1" x14ac:dyDescent="0.25">
      <c r="A992" s="61" t="s">
        <v>1893</v>
      </c>
    </row>
    <row r="993" spans="1:1" x14ac:dyDescent="0.25">
      <c r="A993" s="61" t="s">
        <v>2758</v>
      </c>
    </row>
    <row r="994" spans="1:1" x14ac:dyDescent="0.25">
      <c r="A994" s="61" t="s">
        <v>2758</v>
      </c>
    </row>
    <row r="995" spans="1:1" x14ac:dyDescent="0.25">
      <c r="A995" s="61" t="s">
        <v>2758</v>
      </c>
    </row>
    <row r="996" spans="1:1" x14ac:dyDescent="0.25">
      <c r="A996" s="61" t="s">
        <v>2758</v>
      </c>
    </row>
    <row r="997" spans="1:1" x14ac:dyDescent="0.25">
      <c r="A997" s="61" t="s">
        <v>2758</v>
      </c>
    </row>
    <row r="998" spans="1:1" x14ac:dyDescent="0.25">
      <c r="A998" s="61" t="s">
        <v>74</v>
      </c>
    </row>
    <row r="999" spans="1:1" x14ac:dyDescent="0.25">
      <c r="A999" s="61" t="s">
        <v>74</v>
      </c>
    </row>
    <row r="1000" spans="1:1" x14ac:dyDescent="0.25">
      <c r="A1000" s="61" t="s">
        <v>74</v>
      </c>
    </row>
    <row r="1001" spans="1:1" x14ac:dyDescent="0.25">
      <c r="A1001" s="61" t="s">
        <v>74</v>
      </c>
    </row>
    <row r="1002" spans="1:1" x14ac:dyDescent="0.25">
      <c r="A1002" s="61" t="s">
        <v>3328</v>
      </c>
    </row>
    <row r="1003" spans="1:1" x14ac:dyDescent="0.25">
      <c r="A1003" s="61" t="s">
        <v>1489</v>
      </c>
    </row>
    <row r="1004" spans="1:1" x14ac:dyDescent="0.25">
      <c r="A1004" s="61" t="s">
        <v>74</v>
      </c>
    </row>
    <row r="1005" spans="1:1" x14ac:dyDescent="0.25">
      <c r="A1005" s="61" t="s">
        <v>74</v>
      </c>
    </row>
    <row r="1006" spans="1:1" x14ac:dyDescent="0.25">
      <c r="A1006" s="61" t="s">
        <v>74</v>
      </c>
    </row>
    <row r="1007" spans="1:1" x14ac:dyDescent="0.25">
      <c r="A1007" s="61" t="s">
        <v>74</v>
      </c>
    </row>
    <row r="1008" spans="1:1" x14ac:dyDescent="0.25">
      <c r="A1008" s="61" t="s">
        <v>3350</v>
      </c>
    </row>
    <row r="1009" spans="1:1" x14ac:dyDescent="0.25">
      <c r="A1009" s="61" t="s">
        <v>3186</v>
      </c>
    </row>
    <row r="1010" spans="1:1" x14ac:dyDescent="0.25">
      <c r="A1010" s="61" t="s">
        <v>1893</v>
      </c>
    </row>
    <row r="1011" spans="1:1" x14ac:dyDescent="0.25">
      <c r="A1011" s="61" t="s">
        <v>1489</v>
      </c>
    </row>
    <row r="1012" spans="1:1" x14ac:dyDescent="0.25">
      <c r="A1012" s="61" t="s">
        <v>1893</v>
      </c>
    </row>
    <row r="1013" spans="1:1" x14ac:dyDescent="0.25">
      <c r="A1013" s="61" t="s">
        <v>2065</v>
      </c>
    </row>
    <row r="1014" spans="1:1" x14ac:dyDescent="0.25">
      <c r="A1014" s="61" t="s">
        <v>2065</v>
      </c>
    </row>
    <row r="1015" spans="1:1" x14ac:dyDescent="0.25">
      <c r="A1015" s="61" t="s">
        <v>1489</v>
      </c>
    </row>
    <row r="1016" spans="1:1" x14ac:dyDescent="0.25">
      <c r="A1016" s="61" t="s">
        <v>1489</v>
      </c>
    </row>
    <row r="1017" spans="1:1" x14ac:dyDescent="0.25">
      <c r="A1017" s="61" t="s">
        <v>1489</v>
      </c>
    </row>
    <row r="1018" spans="1:1" x14ac:dyDescent="0.25">
      <c r="A1018" s="61" t="s">
        <v>1489</v>
      </c>
    </row>
    <row r="1019" spans="1:1" x14ac:dyDescent="0.25">
      <c r="A1019" s="61" t="s">
        <v>1489</v>
      </c>
    </row>
    <row r="1020" spans="1:1" x14ac:dyDescent="0.25">
      <c r="A1020" s="61" t="s">
        <v>74</v>
      </c>
    </row>
    <row r="1021" spans="1:1" x14ac:dyDescent="0.25">
      <c r="A1021" s="61" t="s">
        <v>1033</v>
      </c>
    </row>
    <row r="1022" spans="1:1" x14ac:dyDescent="0.25">
      <c r="A1022" s="61" t="s">
        <v>3350</v>
      </c>
    </row>
    <row r="1023" spans="1:1" x14ac:dyDescent="0.25">
      <c r="A1023" s="61" t="s">
        <v>3186</v>
      </c>
    </row>
    <row r="1024" spans="1:1" x14ac:dyDescent="0.25">
      <c r="A1024" s="61" t="s">
        <v>1489</v>
      </c>
    </row>
    <row r="1025" spans="1:1" x14ac:dyDescent="0.25">
      <c r="A1025" s="61" t="s">
        <v>1489</v>
      </c>
    </row>
    <row r="1026" spans="1:1" x14ac:dyDescent="0.25">
      <c r="A1026" s="61" t="s">
        <v>1489</v>
      </c>
    </row>
    <row r="1027" spans="1:1" x14ac:dyDescent="0.25">
      <c r="A1027" s="61" t="s">
        <v>1489</v>
      </c>
    </row>
    <row r="1028" spans="1:1" x14ac:dyDescent="0.25">
      <c r="A1028" s="61" t="s">
        <v>2065</v>
      </c>
    </row>
    <row r="1029" spans="1:1" x14ac:dyDescent="0.25">
      <c r="A1029" s="61" t="s">
        <v>1489</v>
      </c>
    </row>
    <row r="1030" spans="1:1" x14ac:dyDescent="0.25">
      <c r="A1030" s="61" t="s">
        <v>1489</v>
      </c>
    </row>
    <row r="1031" spans="1:1" x14ac:dyDescent="0.25">
      <c r="A1031" s="61" t="s">
        <v>1489</v>
      </c>
    </row>
    <row r="1032" spans="1:1" x14ac:dyDescent="0.25">
      <c r="A1032" s="61" t="s">
        <v>1489</v>
      </c>
    </row>
    <row r="1033" spans="1:1" x14ac:dyDescent="0.25">
      <c r="A1033" s="61" t="s">
        <v>1489</v>
      </c>
    </row>
    <row r="1034" spans="1:1" x14ac:dyDescent="0.25">
      <c r="A1034" s="61" t="s">
        <v>3442</v>
      </c>
    </row>
    <row r="1035" spans="1:1" x14ac:dyDescent="0.25">
      <c r="A1035" s="61" t="s">
        <v>3447</v>
      </c>
    </row>
    <row r="1036" spans="1:1" x14ac:dyDescent="0.25">
      <c r="A1036" s="61" t="s">
        <v>1489</v>
      </c>
    </row>
    <row r="1037" spans="1:1" x14ac:dyDescent="0.25">
      <c r="A1037" s="61" t="s">
        <v>1489</v>
      </c>
    </row>
    <row r="1038" spans="1:1" x14ac:dyDescent="0.25">
      <c r="A1038" s="61" t="s">
        <v>1489</v>
      </c>
    </row>
    <row r="1039" spans="1:1" x14ac:dyDescent="0.25">
      <c r="A1039" s="61" t="s">
        <v>74</v>
      </c>
    </row>
    <row r="1040" spans="1:1" x14ac:dyDescent="0.25">
      <c r="A1040" s="61" t="s">
        <v>74</v>
      </c>
    </row>
    <row r="1041" spans="1:1" x14ac:dyDescent="0.25">
      <c r="A1041" s="61" t="s">
        <v>3447</v>
      </c>
    </row>
    <row r="1042" spans="1:1" x14ac:dyDescent="0.25">
      <c r="A1042" s="61" t="s">
        <v>1489</v>
      </c>
    </row>
    <row r="1043" spans="1:1" x14ac:dyDescent="0.25">
      <c r="A1043" s="61" t="s">
        <v>386</v>
      </c>
    </row>
    <row r="1044" spans="1:1" x14ac:dyDescent="0.25">
      <c r="A1044" s="61" t="s">
        <v>1489</v>
      </c>
    </row>
    <row r="1045" spans="1:1" x14ac:dyDescent="0.25">
      <c r="A1045" s="61" t="s">
        <v>1489</v>
      </c>
    </row>
    <row r="1046" spans="1:1" x14ac:dyDescent="0.25">
      <c r="A1046" s="61" t="s">
        <v>1489</v>
      </c>
    </row>
    <row r="1047" spans="1:1" x14ac:dyDescent="0.25">
      <c r="A1047" s="61" t="s">
        <v>1489</v>
      </c>
    </row>
    <row r="1048" spans="1:1" x14ac:dyDescent="0.25">
      <c r="A1048" s="61" t="s">
        <v>1489</v>
      </c>
    </row>
    <row r="1049" spans="1:1" x14ac:dyDescent="0.25">
      <c r="A1049" s="61" t="s">
        <v>1489</v>
      </c>
    </row>
    <row r="1050" spans="1:1" x14ac:dyDescent="0.25">
      <c r="A1050" s="61" t="s">
        <v>1489</v>
      </c>
    </row>
    <row r="1051" spans="1:1" x14ac:dyDescent="0.25">
      <c r="A1051" s="61" t="s">
        <v>1489</v>
      </c>
    </row>
    <row r="1052" spans="1:1" x14ac:dyDescent="0.25">
      <c r="A1052" s="61" t="s">
        <v>1489</v>
      </c>
    </row>
    <row r="1053" spans="1:1" x14ac:dyDescent="0.25">
      <c r="A1053" s="61" t="s">
        <v>1489</v>
      </c>
    </row>
    <row r="1054" spans="1:1" x14ac:dyDescent="0.25">
      <c r="A1054" s="61" t="s">
        <v>1489</v>
      </c>
    </row>
    <row r="1055" spans="1:1" x14ac:dyDescent="0.25">
      <c r="A1055" s="61" t="s">
        <v>1489</v>
      </c>
    </row>
    <row r="1056" spans="1:1" x14ac:dyDescent="0.25">
      <c r="A1056" s="61" t="s">
        <v>3186</v>
      </c>
    </row>
    <row r="1057" spans="1:1" x14ac:dyDescent="0.25">
      <c r="A1057" s="61" t="s">
        <v>74</v>
      </c>
    </row>
    <row r="1058" spans="1:1" x14ac:dyDescent="0.25">
      <c r="A1058" s="61" t="s">
        <v>1489</v>
      </c>
    </row>
    <row r="1059" spans="1:1" x14ac:dyDescent="0.25">
      <c r="A1059" s="61" t="s">
        <v>1489</v>
      </c>
    </row>
    <row r="1060" spans="1:1" x14ac:dyDescent="0.25">
      <c r="A1060" s="61" t="s">
        <v>1489</v>
      </c>
    </row>
    <row r="1061" spans="1:1" x14ac:dyDescent="0.25">
      <c r="A1061" s="61" t="s">
        <v>1489</v>
      </c>
    </row>
    <row r="1062" spans="1:1" x14ac:dyDescent="0.25">
      <c r="A1062" s="61" t="s">
        <v>1489</v>
      </c>
    </row>
    <row r="1063" spans="1:1" x14ac:dyDescent="0.25">
      <c r="A1063" s="61" t="s">
        <v>74</v>
      </c>
    </row>
    <row r="1064" spans="1:1" x14ac:dyDescent="0.25">
      <c r="A1064" s="61" t="s">
        <v>1033</v>
      </c>
    </row>
    <row r="1065" spans="1:1" x14ac:dyDescent="0.25">
      <c r="A1065" s="69" t="s">
        <v>1489</v>
      </c>
    </row>
    <row r="1066" spans="1:1" x14ac:dyDescent="0.25">
      <c r="A1066" s="69" t="s">
        <v>1489</v>
      </c>
    </row>
    <row r="1067" spans="1:1" x14ac:dyDescent="0.25">
      <c r="A1067" s="69" t="s">
        <v>1489</v>
      </c>
    </row>
    <row r="1068" spans="1:1" x14ac:dyDescent="0.25">
      <c r="A1068" s="69" t="s">
        <v>1489</v>
      </c>
    </row>
    <row r="1069" spans="1:1" x14ac:dyDescent="0.25">
      <c r="A1069" s="69" t="s">
        <v>1489</v>
      </c>
    </row>
    <row r="1070" spans="1:1" x14ac:dyDescent="0.25">
      <c r="A1070" s="69" t="s">
        <v>1489</v>
      </c>
    </row>
    <row r="1071" spans="1:1" x14ac:dyDescent="0.25">
      <c r="A1071" s="69" t="s">
        <v>1489</v>
      </c>
    </row>
    <row r="1072" spans="1:1" x14ac:dyDescent="0.25">
      <c r="A1072" s="69" t="s">
        <v>1489</v>
      </c>
    </row>
    <row r="1073" spans="1:1" x14ac:dyDescent="0.25">
      <c r="A1073" s="69" t="s">
        <v>1489</v>
      </c>
    </row>
    <row r="1074" spans="1:1" x14ac:dyDescent="0.25">
      <c r="A1074" s="69" t="s">
        <v>1489</v>
      </c>
    </row>
  </sheetData>
  <autoFilter ref="C1:C60" xr:uid="{00000000-0009-0000-0000-000002000000}"/>
  <phoneticPr fontId="31"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869"/>
  <sheetViews>
    <sheetView workbookViewId="0">
      <selection activeCell="E2" sqref="E2:E27"/>
    </sheetView>
  </sheetViews>
  <sheetFormatPr defaultRowHeight="15" x14ac:dyDescent="0.25"/>
  <cols>
    <col min="1" max="1" width="32.85546875" customWidth="1"/>
    <col min="3" max="3" width="36.140625" customWidth="1"/>
  </cols>
  <sheetData>
    <row r="1" spans="1:5" x14ac:dyDescent="0.25">
      <c r="A1" s="274" t="s">
        <v>52</v>
      </c>
      <c r="C1" s="274" t="s">
        <v>52</v>
      </c>
    </row>
    <row r="2" spans="1:5" x14ac:dyDescent="0.25">
      <c r="A2" s="61" t="s">
        <v>62</v>
      </c>
      <c r="C2" s="61" t="s">
        <v>62</v>
      </c>
      <c r="D2" t="s">
        <v>5084</v>
      </c>
      <c r="E2" t="str">
        <f>"Insert into Dmquycach(Maquycach, Tenquycach, Manhom) values ('" &amp; D2 &amp; "', N'" &amp; C2 &amp; "', 'N08') "</f>
        <v xml:space="preserve">Insert into Dmquycach(Maquycach, Tenquycach, Manhom) values ('LT001', N'Thùng 5 lớp 42x34x36', 'N08') </v>
      </c>
    </row>
    <row r="3" spans="1:5" x14ac:dyDescent="0.25">
      <c r="A3" s="61" t="s">
        <v>62</v>
      </c>
      <c r="C3" s="61" t="s">
        <v>107</v>
      </c>
      <c r="D3" t="s">
        <v>5144</v>
      </c>
      <c r="E3" t="str">
        <f t="shared" ref="E3:E27" si="0">"Insert into Dmquycach(Maquycach, Tenquycach, Manhom) values ('" &amp; D3 &amp; "', N'" &amp; C3 &amp; "', 'N08') "</f>
        <v xml:space="preserve">Insert into Dmquycach(Maquycach, Tenquycach, Manhom) values ('LT002', N'giấy cartoon', 'N08') </v>
      </c>
    </row>
    <row r="4" spans="1:5" x14ac:dyDescent="0.25">
      <c r="A4" s="61" t="s">
        <v>62</v>
      </c>
      <c r="C4" s="61" t="s">
        <v>119</v>
      </c>
      <c r="D4" t="s">
        <v>5145</v>
      </c>
      <c r="E4" t="str">
        <f t="shared" si="0"/>
        <v xml:space="preserve">Insert into Dmquycach(Maquycach, Tenquycach, Manhom) values ('LT003', N'Thùng 5 lớp 43x35,5x29 Thanh Minh', 'N08') </v>
      </c>
    </row>
    <row r="5" spans="1:5" x14ac:dyDescent="0.25">
      <c r="A5" s="61" t="s">
        <v>62</v>
      </c>
      <c r="C5" s="61" t="s">
        <v>186</v>
      </c>
      <c r="D5" t="s">
        <v>5146</v>
      </c>
      <c r="E5" t="str">
        <f t="shared" si="0"/>
        <v xml:space="preserve">Insert into Dmquycach(Maquycach, Tenquycach, Manhom) values ('LT004', N'Thùng 3 lớp 55x28x16', 'N08') </v>
      </c>
    </row>
    <row r="6" spans="1:5" x14ac:dyDescent="0.25">
      <c r="A6" s="61" t="s">
        <v>62</v>
      </c>
      <c r="C6" s="61" t="s">
        <v>223</v>
      </c>
      <c r="D6" t="s">
        <v>5147</v>
      </c>
      <c r="E6" t="str">
        <f t="shared" si="0"/>
        <v xml:space="preserve">Insert into Dmquycach(Maquycach, Tenquycach, Manhom) values ('LT005', N'Thùng carton', 'N08') </v>
      </c>
    </row>
    <row r="7" spans="1:5" x14ac:dyDescent="0.25">
      <c r="A7" s="61" t="s">
        <v>62</v>
      </c>
      <c r="C7" s="61" t="s">
        <v>235</v>
      </c>
      <c r="D7" t="s">
        <v>5148</v>
      </c>
      <c r="E7" t="str">
        <f t="shared" si="0"/>
        <v xml:space="preserve">Insert into Dmquycach(Maquycach, Tenquycach, Manhom) values ('LT006', N'Bao dứa', 'N08') </v>
      </c>
    </row>
    <row r="8" spans="1:5" x14ac:dyDescent="0.25">
      <c r="A8" s="61" t="s">
        <v>62</v>
      </c>
      <c r="C8" s="61" t="s">
        <v>341</v>
      </c>
      <c r="D8" t="s">
        <v>5149</v>
      </c>
      <c r="E8" t="str">
        <f t="shared" si="0"/>
        <v xml:space="preserve">Insert into Dmquycach(Maquycach, Tenquycach, Manhom) values ('LT007', N'Thùng 3 lớp 55x28x18', 'N08') </v>
      </c>
    </row>
    <row r="9" spans="1:5" ht="30" x14ac:dyDescent="0.25">
      <c r="A9" s="61" t="s">
        <v>62</v>
      </c>
      <c r="C9" s="61" t="s">
        <v>402</v>
      </c>
      <c r="D9" t="s">
        <v>5150</v>
      </c>
      <c r="E9" t="str">
        <f t="shared" si="0"/>
        <v xml:space="preserve">Insert into Dmquycach(Maquycach, Tenquycach, Manhom) values ('LT008', N'bao dứa (đóng bằng 2 bao dứa lồng nhau)', 'N08') </v>
      </c>
    </row>
    <row r="10" spans="1:5" x14ac:dyDescent="0.25">
      <c r="A10" s="61" t="s">
        <v>62</v>
      </c>
      <c r="C10" s="61" t="s">
        <v>544</v>
      </c>
      <c r="D10" t="s">
        <v>5151</v>
      </c>
      <c r="E10" t="str">
        <f t="shared" si="0"/>
        <v xml:space="preserve">Insert into Dmquycach(Maquycach, Tenquycach, Manhom) values ('LT009', N'Thùng 5 lớp 42x34x36, bọc nilong', 'N08') </v>
      </c>
    </row>
    <row r="11" spans="1:5" x14ac:dyDescent="0.25">
      <c r="A11" s="61" t="s">
        <v>107</v>
      </c>
      <c r="C11" s="61" t="s">
        <v>562</v>
      </c>
      <c r="D11" t="s">
        <v>5152</v>
      </c>
      <c r="E11" t="str">
        <f t="shared" si="0"/>
        <v xml:space="preserve">Insert into Dmquycach(Maquycach, Tenquycach, Manhom) values ('LT010', N'bao dứa bọc nilong', 'N08') </v>
      </c>
    </row>
    <row r="12" spans="1:5" x14ac:dyDescent="0.25">
      <c r="A12" s="61" t="s">
        <v>62</v>
      </c>
      <c r="C12" s="61" t="s">
        <v>585</v>
      </c>
      <c r="D12" t="s">
        <v>5153</v>
      </c>
      <c r="E12" t="str">
        <f t="shared" si="0"/>
        <v xml:space="preserve">Insert into Dmquycach(Maquycach, Tenquycach, Manhom) values ('LT011', N'giấy cartoon, bọc nilong', 'N08') </v>
      </c>
    </row>
    <row r="13" spans="1:5" x14ac:dyDescent="0.25">
      <c r="A13" s="61" t="s">
        <v>119</v>
      </c>
      <c r="C13" s="61" t="s">
        <v>963</v>
      </c>
      <c r="D13" t="s">
        <v>5154</v>
      </c>
      <c r="E13" t="str">
        <f t="shared" si="0"/>
        <v xml:space="preserve">Insert into Dmquycach(Maquycach, Tenquycach, Manhom) values ('LT012', N'giấy cartoon bọc nilong', 'N08') </v>
      </c>
    </row>
    <row r="14" spans="1:5" x14ac:dyDescent="0.25">
      <c r="A14" s="61" t="s">
        <v>62</v>
      </c>
      <c r="C14" s="61" t="s">
        <v>1158</v>
      </c>
      <c r="D14" t="s">
        <v>5155</v>
      </c>
      <c r="E14" t="str">
        <f t="shared" si="0"/>
        <v xml:space="preserve">Insert into Dmquycach(Maquycach, Tenquycach, Manhom) values ('LT013', N'đóng bao lót nilong', 'N08') </v>
      </c>
    </row>
    <row r="15" spans="1:5" x14ac:dyDescent="0.25">
      <c r="A15" s="61" t="s">
        <v>62</v>
      </c>
      <c r="C15" s="61" t="s">
        <v>1213</v>
      </c>
      <c r="D15" t="s">
        <v>5156</v>
      </c>
      <c r="E15" t="str">
        <f t="shared" si="0"/>
        <v xml:space="preserve">Insert into Dmquycach(Maquycach, Tenquycach, Manhom) values ('LT014', N'Thùng 42x34x36 lót nilong', 'N08') </v>
      </c>
    </row>
    <row r="16" spans="1:5" x14ac:dyDescent="0.25">
      <c r="A16" s="61" t="s">
        <v>62</v>
      </c>
      <c r="C16" s="61" t="s">
        <v>1413</v>
      </c>
      <c r="D16" t="s">
        <v>5157</v>
      </c>
      <c r="E16" t="str">
        <f t="shared" si="0"/>
        <v xml:space="preserve">Insert into Dmquycach(Maquycach, Tenquycach, Manhom) values ('LT015', N'bao dứa (bọc 2 lần bao dứa)', 'N08') </v>
      </c>
    </row>
    <row r="17" spans="1:5" x14ac:dyDescent="0.25">
      <c r="A17" s="61" t="s">
        <v>62</v>
      </c>
      <c r="C17" s="61" t="s">
        <v>1419</v>
      </c>
      <c r="D17" t="s">
        <v>5158</v>
      </c>
      <c r="E17" t="str">
        <f t="shared" si="0"/>
        <v xml:space="preserve">Insert into Dmquycach(Maquycach, Tenquycach, Manhom) values ('LT016', N'Thùng 30x15x60', 'N08') </v>
      </c>
    </row>
    <row r="18" spans="1:5" x14ac:dyDescent="0.25">
      <c r="A18" s="61" t="s">
        <v>107</v>
      </c>
      <c r="C18" s="61" t="s">
        <v>1522</v>
      </c>
      <c r="D18" t="s">
        <v>5159</v>
      </c>
      <c r="E18" t="str">
        <f t="shared" si="0"/>
        <v xml:space="preserve">Insert into Dmquycach(Maquycach, Tenquycach, Manhom) values ('LT017', N'Thùng 3 lớp', 'N08') </v>
      </c>
    </row>
    <row r="19" spans="1:5" x14ac:dyDescent="0.25">
      <c r="A19" s="61" t="s">
        <v>62</v>
      </c>
      <c r="C19" s="61" t="s">
        <v>1537</v>
      </c>
      <c r="D19" t="s">
        <v>5160</v>
      </c>
      <c r="E19" t="str">
        <f t="shared" si="0"/>
        <v xml:space="preserve">Insert into Dmquycach(Maquycach, Tenquycach, Manhom) values ('LT018', N'cuốn cartoon', 'N08') </v>
      </c>
    </row>
    <row r="20" spans="1:5" x14ac:dyDescent="0.25">
      <c r="A20" s="61" t="s">
        <v>62</v>
      </c>
      <c r="C20" s="61" t="s">
        <v>1576</v>
      </c>
      <c r="D20" t="s">
        <v>5161</v>
      </c>
      <c r="E20" t="str">
        <f t="shared" si="0"/>
        <v xml:space="preserve">Insert into Dmquycach(Maquycach, Tenquycach, Manhom) values ('LT019', N'Cuốn carton', 'N08') </v>
      </c>
    </row>
    <row r="21" spans="1:5" x14ac:dyDescent="0.25">
      <c r="A21" s="61" t="s">
        <v>62</v>
      </c>
      <c r="C21" s="61" t="s">
        <v>1638</v>
      </c>
      <c r="D21" t="s">
        <v>5162</v>
      </c>
      <c r="E21" t="str">
        <f t="shared" si="0"/>
        <v xml:space="preserve">Insert into Dmquycach(Maquycach, Tenquycach, Manhom) values ('LT020', N'giấy carton', 'N08') </v>
      </c>
    </row>
    <row r="22" spans="1:5" x14ac:dyDescent="0.25">
      <c r="A22" s="61" t="s">
        <v>62</v>
      </c>
      <c r="C22" s="61" t="s">
        <v>1683</v>
      </c>
      <c r="D22" t="s">
        <v>5163</v>
      </c>
      <c r="E22" t="str">
        <f t="shared" si="0"/>
        <v xml:space="preserve">Insert into Dmquycach(Maquycach, Tenquycach, Manhom) values ('LT021', N'Cuộn carton', 'N08') </v>
      </c>
    </row>
    <row r="23" spans="1:5" x14ac:dyDescent="0.25">
      <c r="A23" s="61" t="s">
        <v>62</v>
      </c>
      <c r="C23" s="61" t="s">
        <v>1713</v>
      </c>
      <c r="D23" t="s">
        <v>5164</v>
      </c>
      <c r="E23" t="str">
        <f t="shared" si="0"/>
        <v xml:space="preserve">Insert into Dmquycach(Maquycach, Tenquycach, Manhom) values ('LT022', N'Túi nylon', 'N08') </v>
      </c>
    </row>
    <row r="24" spans="1:5" x14ac:dyDescent="0.25">
      <c r="A24" s="61" t="s">
        <v>107</v>
      </c>
      <c r="C24" s="61" t="s">
        <v>1894</v>
      </c>
      <c r="D24" t="s">
        <v>5165</v>
      </c>
      <c r="E24" t="str">
        <f t="shared" si="0"/>
        <v xml:space="preserve">Insert into Dmquycach(Maquycach, Tenquycach, Manhom) values ('LT023', N'Thùng cartoon', 'N08') </v>
      </c>
    </row>
    <row r="25" spans="1:5" x14ac:dyDescent="0.25">
      <c r="A25" s="61" t="s">
        <v>107</v>
      </c>
      <c r="C25" s="61" t="s">
        <v>2602</v>
      </c>
      <c r="D25" t="s">
        <v>5166</v>
      </c>
      <c r="E25" t="str">
        <f t="shared" si="0"/>
        <v xml:space="preserve">Insert into Dmquycach(Maquycach, Tenquycach, Manhom) values ('LT024', N'Giấy cartooon', 'N08') </v>
      </c>
    </row>
    <row r="26" spans="1:5" x14ac:dyDescent="0.25">
      <c r="A26" s="61" t="s">
        <v>107</v>
      </c>
      <c r="C26" s="61" t="s">
        <v>3120</v>
      </c>
      <c r="D26" t="s">
        <v>5167</v>
      </c>
      <c r="E26" t="str">
        <f t="shared" si="0"/>
        <v xml:space="preserve">Insert into Dmquycach(Maquycach, Tenquycach, Manhom) values ('LT025', N'Giấy cartoom', 'N08') </v>
      </c>
    </row>
    <row r="27" spans="1:5" x14ac:dyDescent="0.25">
      <c r="A27" s="61" t="s">
        <v>186</v>
      </c>
      <c r="C27" s="61" t="s">
        <v>3127</v>
      </c>
      <c r="D27" t="s">
        <v>5168</v>
      </c>
      <c r="E27" t="str">
        <f t="shared" si="0"/>
        <v xml:space="preserve">Insert into Dmquycach(Maquycach, Tenquycach, Manhom) values ('LT026', N'Giấy caartoon', 'N08') </v>
      </c>
    </row>
    <row r="28" spans="1:5" x14ac:dyDescent="0.25">
      <c r="A28" s="61" t="s">
        <v>62</v>
      </c>
    </row>
    <row r="29" spans="1:5" x14ac:dyDescent="0.25">
      <c r="A29" s="61" t="s">
        <v>107</v>
      </c>
    </row>
    <row r="30" spans="1:5" x14ac:dyDescent="0.25">
      <c r="A30" s="61" t="s">
        <v>107</v>
      </c>
    </row>
    <row r="31" spans="1:5" x14ac:dyDescent="0.25">
      <c r="A31" s="61" t="s">
        <v>107</v>
      </c>
    </row>
    <row r="32" spans="1:5" x14ac:dyDescent="0.25">
      <c r="A32" s="61" t="s">
        <v>107</v>
      </c>
    </row>
    <row r="33" spans="1:1" x14ac:dyDescent="0.25">
      <c r="A33" s="61" t="s">
        <v>62</v>
      </c>
    </row>
    <row r="34" spans="1:1" x14ac:dyDescent="0.25">
      <c r="A34" s="61" t="s">
        <v>107</v>
      </c>
    </row>
    <row r="35" spans="1:1" x14ac:dyDescent="0.25">
      <c r="A35" s="61" t="s">
        <v>107</v>
      </c>
    </row>
    <row r="36" spans="1:1" x14ac:dyDescent="0.25">
      <c r="A36" s="61" t="s">
        <v>107</v>
      </c>
    </row>
    <row r="37" spans="1:1" x14ac:dyDescent="0.25">
      <c r="A37" s="61" t="s">
        <v>223</v>
      </c>
    </row>
    <row r="38" spans="1:1" x14ac:dyDescent="0.25">
      <c r="A38" s="61" t="s">
        <v>62</v>
      </c>
    </row>
    <row r="39" spans="1:1" x14ac:dyDescent="0.25">
      <c r="A39" s="61" t="s">
        <v>62</v>
      </c>
    </row>
    <row r="40" spans="1:1" x14ac:dyDescent="0.25">
      <c r="A40" s="61" t="s">
        <v>235</v>
      </c>
    </row>
    <row r="41" spans="1:1" x14ac:dyDescent="0.25">
      <c r="A41" s="61" t="s">
        <v>62</v>
      </c>
    </row>
    <row r="42" spans="1:1" x14ac:dyDescent="0.25">
      <c r="A42" s="61" t="s">
        <v>62</v>
      </c>
    </row>
    <row r="43" spans="1:1" x14ac:dyDescent="0.25">
      <c r="A43" s="61" t="s">
        <v>251</v>
      </c>
    </row>
    <row r="44" spans="1:1" x14ac:dyDescent="0.25">
      <c r="A44" s="61" t="s">
        <v>62</v>
      </c>
    </row>
    <row r="45" spans="1:1" x14ac:dyDescent="0.25">
      <c r="A45" s="61" t="s">
        <v>107</v>
      </c>
    </row>
    <row r="46" spans="1:1" x14ac:dyDescent="0.25">
      <c r="A46" s="61" t="s">
        <v>62</v>
      </c>
    </row>
    <row r="47" spans="1:1" x14ac:dyDescent="0.25">
      <c r="A47" s="61" t="s">
        <v>62</v>
      </c>
    </row>
    <row r="48" spans="1:1" x14ac:dyDescent="0.25">
      <c r="A48" s="61" t="s">
        <v>62</v>
      </c>
    </row>
    <row r="49" spans="1:1" x14ac:dyDescent="0.25">
      <c r="A49" s="61" t="s">
        <v>62</v>
      </c>
    </row>
    <row r="50" spans="1:1" x14ac:dyDescent="0.25">
      <c r="A50" s="61" t="s">
        <v>62</v>
      </c>
    </row>
    <row r="51" spans="1:1" x14ac:dyDescent="0.25">
      <c r="A51" s="61" t="s">
        <v>62</v>
      </c>
    </row>
    <row r="52" spans="1:1" x14ac:dyDescent="0.25">
      <c r="A52" s="61" t="s">
        <v>62</v>
      </c>
    </row>
    <row r="53" spans="1:1" x14ac:dyDescent="0.25">
      <c r="A53" s="61" t="s">
        <v>62</v>
      </c>
    </row>
    <row r="54" spans="1:1" x14ac:dyDescent="0.25">
      <c r="A54" s="61" t="s">
        <v>107</v>
      </c>
    </row>
    <row r="55" spans="1:1" x14ac:dyDescent="0.25">
      <c r="A55" s="61" t="s">
        <v>107</v>
      </c>
    </row>
    <row r="56" spans="1:1" x14ac:dyDescent="0.25">
      <c r="A56" s="61" t="s">
        <v>107</v>
      </c>
    </row>
    <row r="57" spans="1:1" x14ac:dyDescent="0.25">
      <c r="A57" s="61" t="s">
        <v>107</v>
      </c>
    </row>
    <row r="58" spans="1:1" x14ac:dyDescent="0.25">
      <c r="A58" s="61" t="s">
        <v>107</v>
      </c>
    </row>
    <row r="59" spans="1:1" x14ac:dyDescent="0.25">
      <c r="A59" s="61" t="s">
        <v>107</v>
      </c>
    </row>
    <row r="60" spans="1:1" x14ac:dyDescent="0.25">
      <c r="A60" s="61" t="s">
        <v>107</v>
      </c>
    </row>
    <row r="61" spans="1:1" x14ac:dyDescent="0.25">
      <c r="A61" s="61" t="s">
        <v>62</v>
      </c>
    </row>
    <row r="62" spans="1:1" x14ac:dyDescent="0.25">
      <c r="A62" s="61" t="s">
        <v>62</v>
      </c>
    </row>
    <row r="63" spans="1:1" x14ac:dyDescent="0.25">
      <c r="A63" s="61" t="s">
        <v>62</v>
      </c>
    </row>
    <row r="64" spans="1:1" x14ac:dyDescent="0.25">
      <c r="A64" s="61" t="s">
        <v>119</v>
      </c>
    </row>
    <row r="65" spans="1:1" x14ac:dyDescent="0.25">
      <c r="A65" s="61" t="s">
        <v>107</v>
      </c>
    </row>
    <row r="66" spans="1:1" x14ac:dyDescent="0.25">
      <c r="A66" s="61" t="s">
        <v>62</v>
      </c>
    </row>
    <row r="67" spans="1:1" x14ac:dyDescent="0.25">
      <c r="A67" s="61" t="s">
        <v>107</v>
      </c>
    </row>
    <row r="68" spans="1:1" x14ac:dyDescent="0.25">
      <c r="A68" s="61" t="s">
        <v>341</v>
      </c>
    </row>
    <row r="69" spans="1:1" x14ac:dyDescent="0.25">
      <c r="A69" s="61" t="s">
        <v>62</v>
      </c>
    </row>
    <row r="70" spans="1:1" x14ac:dyDescent="0.25">
      <c r="A70" s="61" t="s">
        <v>107</v>
      </c>
    </row>
    <row r="71" spans="1:1" x14ac:dyDescent="0.25">
      <c r="A71" s="61" t="s">
        <v>62</v>
      </c>
    </row>
    <row r="72" spans="1:1" x14ac:dyDescent="0.25">
      <c r="A72" s="61" t="s">
        <v>62</v>
      </c>
    </row>
    <row r="73" spans="1:1" x14ac:dyDescent="0.25">
      <c r="A73" s="61" t="s">
        <v>107</v>
      </c>
    </row>
    <row r="74" spans="1:1" x14ac:dyDescent="0.25">
      <c r="A74" s="61" t="s">
        <v>62</v>
      </c>
    </row>
    <row r="75" spans="1:1" x14ac:dyDescent="0.25">
      <c r="A75" s="61" t="s">
        <v>62</v>
      </c>
    </row>
    <row r="76" spans="1:1" x14ac:dyDescent="0.25">
      <c r="A76" s="61" t="s">
        <v>62</v>
      </c>
    </row>
    <row r="77" spans="1:1" x14ac:dyDescent="0.25">
      <c r="A77" s="61" t="s">
        <v>62</v>
      </c>
    </row>
    <row r="78" spans="1:1" x14ac:dyDescent="0.25">
      <c r="A78" s="61" t="s">
        <v>62</v>
      </c>
    </row>
    <row r="79" spans="1:1" x14ac:dyDescent="0.25">
      <c r="A79" s="61" t="s">
        <v>119</v>
      </c>
    </row>
    <row r="80" spans="1:1" x14ac:dyDescent="0.25">
      <c r="A80" s="61" t="s">
        <v>119</v>
      </c>
    </row>
    <row r="81" spans="1:1" x14ac:dyDescent="0.25">
      <c r="A81" s="61" t="s">
        <v>62</v>
      </c>
    </row>
    <row r="82" spans="1:1" x14ac:dyDescent="0.25">
      <c r="A82" s="61" t="s">
        <v>62</v>
      </c>
    </row>
    <row r="83" spans="1:1" x14ac:dyDescent="0.25">
      <c r="A83" s="61" t="s">
        <v>107</v>
      </c>
    </row>
    <row r="84" spans="1:1" x14ac:dyDescent="0.25">
      <c r="A84" s="61" t="s">
        <v>107</v>
      </c>
    </row>
    <row r="85" spans="1:1" ht="30" x14ac:dyDescent="0.25">
      <c r="A85" s="61" t="s">
        <v>402</v>
      </c>
    </row>
    <row r="86" spans="1:1" ht="30" x14ac:dyDescent="0.25">
      <c r="A86" s="61" t="s">
        <v>402</v>
      </c>
    </row>
    <row r="87" spans="1:1" x14ac:dyDescent="0.25">
      <c r="A87" s="61" t="s">
        <v>62</v>
      </c>
    </row>
    <row r="88" spans="1:1" x14ac:dyDescent="0.25">
      <c r="A88" s="61" t="s">
        <v>107</v>
      </c>
    </row>
    <row r="89" spans="1:1" x14ac:dyDescent="0.25">
      <c r="A89" s="61" t="s">
        <v>107</v>
      </c>
    </row>
    <row r="90" spans="1:1" x14ac:dyDescent="0.25">
      <c r="A90" s="61" t="s">
        <v>62</v>
      </c>
    </row>
    <row r="91" spans="1:1" x14ac:dyDescent="0.25">
      <c r="A91" s="61" t="s">
        <v>107</v>
      </c>
    </row>
    <row r="92" spans="1:1" x14ac:dyDescent="0.25">
      <c r="A92" s="61" t="s">
        <v>251</v>
      </c>
    </row>
    <row r="93" spans="1:1" x14ac:dyDescent="0.25">
      <c r="A93" s="61" t="s">
        <v>251</v>
      </c>
    </row>
    <row r="94" spans="1:1" x14ac:dyDescent="0.25">
      <c r="A94" s="61" t="s">
        <v>107</v>
      </c>
    </row>
    <row r="95" spans="1:1" x14ac:dyDescent="0.25">
      <c r="A95" s="61" t="s">
        <v>62</v>
      </c>
    </row>
    <row r="96" spans="1:1" x14ac:dyDescent="0.25">
      <c r="A96" s="61" t="s">
        <v>107</v>
      </c>
    </row>
    <row r="97" spans="1:1" x14ac:dyDescent="0.25">
      <c r="A97" s="61" t="s">
        <v>107</v>
      </c>
    </row>
    <row r="98" spans="1:1" x14ac:dyDescent="0.25">
      <c r="A98" s="61" t="s">
        <v>107</v>
      </c>
    </row>
    <row r="99" spans="1:1" x14ac:dyDescent="0.25">
      <c r="A99" s="61" t="s">
        <v>107</v>
      </c>
    </row>
    <row r="100" spans="1:1" x14ac:dyDescent="0.25">
      <c r="A100" s="61" t="s">
        <v>107</v>
      </c>
    </row>
    <row r="101" spans="1:1" x14ac:dyDescent="0.25">
      <c r="A101" s="61" t="s">
        <v>107</v>
      </c>
    </row>
    <row r="102" spans="1:1" x14ac:dyDescent="0.25">
      <c r="A102" s="61" t="s">
        <v>107</v>
      </c>
    </row>
    <row r="103" spans="1:1" x14ac:dyDescent="0.25">
      <c r="A103" s="61" t="s">
        <v>62</v>
      </c>
    </row>
    <row r="104" spans="1:1" x14ac:dyDescent="0.25">
      <c r="A104" s="61" t="s">
        <v>62</v>
      </c>
    </row>
    <row r="105" spans="1:1" x14ac:dyDescent="0.25">
      <c r="A105" s="61" t="s">
        <v>62</v>
      </c>
    </row>
    <row r="106" spans="1:1" x14ac:dyDescent="0.25">
      <c r="A106" s="61" t="s">
        <v>62</v>
      </c>
    </row>
    <row r="107" spans="1:1" x14ac:dyDescent="0.25">
      <c r="A107" s="61" t="s">
        <v>62</v>
      </c>
    </row>
    <row r="108" spans="1:1" x14ac:dyDescent="0.25">
      <c r="A108" s="61" t="s">
        <v>62</v>
      </c>
    </row>
    <row r="109" spans="1:1" x14ac:dyDescent="0.25">
      <c r="A109" s="61" t="s">
        <v>62</v>
      </c>
    </row>
    <row r="110" spans="1:1" x14ac:dyDescent="0.25">
      <c r="A110" s="61" t="s">
        <v>62</v>
      </c>
    </row>
    <row r="111" spans="1:1" x14ac:dyDescent="0.25">
      <c r="A111" s="61" t="s">
        <v>119</v>
      </c>
    </row>
    <row r="112" spans="1:1" x14ac:dyDescent="0.25">
      <c r="A112" s="61" t="s">
        <v>119</v>
      </c>
    </row>
    <row r="113" spans="1:1" x14ac:dyDescent="0.25">
      <c r="A113" s="61" t="s">
        <v>251</v>
      </c>
    </row>
    <row r="114" spans="1:1" x14ac:dyDescent="0.25">
      <c r="A114" s="61" t="s">
        <v>62</v>
      </c>
    </row>
    <row r="115" spans="1:1" x14ac:dyDescent="0.25">
      <c r="A115" s="61" t="s">
        <v>107</v>
      </c>
    </row>
    <row r="116" spans="1:1" x14ac:dyDescent="0.25">
      <c r="A116" s="61" t="s">
        <v>107</v>
      </c>
    </row>
    <row r="117" spans="1:1" x14ac:dyDescent="0.25">
      <c r="A117" s="61" t="s">
        <v>107</v>
      </c>
    </row>
    <row r="118" spans="1:1" x14ac:dyDescent="0.25">
      <c r="A118" s="61" t="s">
        <v>251</v>
      </c>
    </row>
    <row r="119" spans="1:1" x14ac:dyDescent="0.25">
      <c r="A119" s="61" t="s">
        <v>251</v>
      </c>
    </row>
    <row r="120" spans="1:1" x14ac:dyDescent="0.25">
      <c r="A120" s="61" t="s">
        <v>107</v>
      </c>
    </row>
    <row r="121" spans="1:1" x14ac:dyDescent="0.25">
      <c r="A121" s="61" t="s">
        <v>251</v>
      </c>
    </row>
    <row r="122" spans="1:1" x14ac:dyDescent="0.25">
      <c r="A122" s="61" t="s">
        <v>223</v>
      </c>
    </row>
    <row r="123" spans="1:1" x14ac:dyDescent="0.25">
      <c r="A123" s="61" t="s">
        <v>62</v>
      </c>
    </row>
    <row r="124" spans="1:1" x14ac:dyDescent="0.25">
      <c r="A124" s="61" t="s">
        <v>251</v>
      </c>
    </row>
    <row r="125" spans="1:1" x14ac:dyDescent="0.25">
      <c r="A125" s="61" t="s">
        <v>544</v>
      </c>
    </row>
    <row r="126" spans="1:1" x14ac:dyDescent="0.25">
      <c r="A126" s="61" t="s">
        <v>544</v>
      </c>
    </row>
    <row r="127" spans="1:1" x14ac:dyDescent="0.25">
      <c r="A127" s="61" t="s">
        <v>251</v>
      </c>
    </row>
    <row r="128" spans="1:1" x14ac:dyDescent="0.25">
      <c r="A128" s="61" t="s">
        <v>119</v>
      </c>
    </row>
    <row r="129" spans="1:1" x14ac:dyDescent="0.25">
      <c r="A129" s="61" t="s">
        <v>562</v>
      </c>
    </row>
    <row r="130" spans="1:1" x14ac:dyDescent="0.25">
      <c r="A130" s="61" t="s">
        <v>251</v>
      </c>
    </row>
    <row r="131" spans="1:1" x14ac:dyDescent="0.25">
      <c r="A131" s="61" t="s">
        <v>62</v>
      </c>
    </row>
    <row r="132" spans="1:1" x14ac:dyDescent="0.25">
      <c r="A132" s="61" t="s">
        <v>62</v>
      </c>
    </row>
    <row r="133" spans="1:1" x14ac:dyDescent="0.25">
      <c r="A133" s="61" t="s">
        <v>62</v>
      </c>
    </row>
    <row r="134" spans="1:1" x14ac:dyDescent="0.25">
      <c r="A134" s="61" t="s">
        <v>544</v>
      </c>
    </row>
    <row r="135" spans="1:1" x14ac:dyDescent="0.25">
      <c r="A135" s="61" t="s">
        <v>585</v>
      </c>
    </row>
    <row r="136" spans="1:1" x14ac:dyDescent="0.25">
      <c r="A136" s="61" t="s">
        <v>107</v>
      </c>
    </row>
    <row r="137" spans="1:1" x14ac:dyDescent="0.25">
      <c r="A137" s="61" t="s">
        <v>62</v>
      </c>
    </row>
    <row r="138" spans="1:1" x14ac:dyDescent="0.25">
      <c r="A138" s="61" t="s">
        <v>251</v>
      </c>
    </row>
    <row r="139" spans="1:1" x14ac:dyDescent="0.25">
      <c r="A139" s="61" t="s">
        <v>62</v>
      </c>
    </row>
    <row r="140" spans="1:1" x14ac:dyDescent="0.25">
      <c r="A140" s="61" t="s">
        <v>251</v>
      </c>
    </row>
    <row r="141" spans="1:1" x14ac:dyDescent="0.25">
      <c r="A141" s="61" t="s">
        <v>107</v>
      </c>
    </row>
    <row r="142" spans="1:1" x14ac:dyDescent="0.25">
      <c r="A142" s="61" t="s">
        <v>62</v>
      </c>
    </row>
    <row r="143" spans="1:1" x14ac:dyDescent="0.25">
      <c r="A143" s="61" t="s">
        <v>62</v>
      </c>
    </row>
    <row r="144" spans="1:1" x14ac:dyDescent="0.25">
      <c r="A144" s="61" t="s">
        <v>62</v>
      </c>
    </row>
    <row r="145" spans="1:1" x14ac:dyDescent="0.25">
      <c r="A145" s="61" t="s">
        <v>107</v>
      </c>
    </row>
    <row r="146" spans="1:1" x14ac:dyDescent="0.25">
      <c r="A146" s="61" t="s">
        <v>107</v>
      </c>
    </row>
    <row r="147" spans="1:1" x14ac:dyDescent="0.25">
      <c r="A147" s="61" t="s">
        <v>107</v>
      </c>
    </row>
    <row r="148" spans="1:1" x14ac:dyDescent="0.25">
      <c r="A148" s="61" t="s">
        <v>107</v>
      </c>
    </row>
    <row r="149" spans="1:1" x14ac:dyDescent="0.25">
      <c r="A149" s="61" t="s">
        <v>62</v>
      </c>
    </row>
    <row r="150" spans="1:1" x14ac:dyDescent="0.25">
      <c r="A150" s="61" t="s">
        <v>62</v>
      </c>
    </row>
    <row r="151" spans="1:1" x14ac:dyDescent="0.25">
      <c r="A151" s="61" t="s">
        <v>62</v>
      </c>
    </row>
    <row r="152" spans="1:1" x14ac:dyDescent="0.25">
      <c r="A152" s="61" t="s">
        <v>62</v>
      </c>
    </row>
    <row r="153" spans="1:1" x14ac:dyDescent="0.25">
      <c r="A153" s="61" t="s">
        <v>119</v>
      </c>
    </row>
    <row r="154" spans="1:1" x14ac:dyDescent="0.25">
      <c r="A154" s="61" t="s">
        <v>62</v>
      </c>
    </row>
    <row r="155" spans="1:1" x14ac:dyDescent="0.25">
      <c r="A155" s="61" t="s">
        <v>107</v>
      </c>
    </row>
    <row r="156" spans="1:1" x14ac:dyDescent="0.25">
      <c r="A156" s="61" t="s">
        <v>62</v>
      </c>
    </row>
    <row r="157" spans="1:1" x14ac:dyDescent="0.25">
      <c r="A157" s="61" t="s">
        <v>62</v>
      </c>
    </row>
    <row r="158" spans="1:1" x14ac:dyDescent="0.25">
      <c r="A158" s="61" t="s">
        <v>62</v>
      </c>
    </row>
    <row r="159" spans="1:1" x14ac:dyDescent="0.25">
      <c r="A159" s="61" t="s">
        <v>62</v>
      </c>
    </row>
    <row r="160" spans="1:1" x14ac:dyDescent="0.25">
      <c r="A160" s="61" t="s">
        <v>62</v>
      </c>
    </row>
    <row r="161" spans="1:1" x14ac:dyDescent="0.25">
      <c r="A161" s="61" t="s">
        <v>62</v>
      </c>
    </row>
    <row r="162" spans="1:1" x14ac:dyDescent="0.25">
      <c r="A162" s="61" t="s">
        <v>62</v>
      </c>
    </row>
    <row r="163" spans="1:1" x14ac:dyDescent="0.25">
      <c r="A163" s="61" t="s">
        <v>62</v>
      </c>
    </row>
    <row r="164" spans="1:1" x14ac:dyDescent="0.25">
      <c r="A164" s="61" t="s">
        <v>119</v>
      </c>
    </row>
    <row r="165" spans="1:1" x14ac:dyDescent="0.25">
      <c r="A165" s="61" t="s">
        <v>119</v>
      </c>
    </row>
    <row r="166" spans="1:1" x14ac:dyDescent="0.25">
      <c r="A166" s="61" t="s">
        <v>119</v>
      </c>
    </row>
    <row r="167" spans="1:1" x14ac:dyDescent="0.25">
      <c r="A167" s="61" t="s">
        <v>119</v>
      </c>
    </row>
    <row r="168" spans="1:1" x14ac:dyDescent="0.25">
      <c r="A168" s="61" t="s">
        <v>62</v>
      </c>
    </row>
    <row r="169" spans="1:1" x14ac:dyDescent="0.25">
      <c r="A169" s="61" t="s">
        <v>62</v>
      </c>
    </row>
    <row r="170" spans="1:1" x14ac:dyDescent="0.25">
      <c r="A170" s="61" t="s">
        <v>62</v>
      </c>
    </row>
    <row r="171" spans="1:1" x14ac:dyDescent="0.25">
      <c r="A171" s="61" t="s">
        <v>62</v>
      </c>
    </row>
    <row r="172" spans="1:1" x14ac:dyDescent="0.25">
      <c r="A172" s="61" t="s">
        <v>62</v>
      </c>
    </row>
    <row r="173" spans="1:1" x14ac:dyDescent="0.25">
      <c r="A173" s="61" t="s">
        <v>62</v>
      </c>
    </row>
    <row r="174" spans="1:1" x14ac:dyDescent="0.25">
      <c r="A174" s="61" t="s">
        <v>62</v>
      </c>
    </row>
    <row r="175" spans="1:1" x14ac:dyDescent="0.25">
      <c r="A175" s="61" t="s">
        <v>119</v>
      </c>
    </row>
    <row r="176" spans="1:1" x14ac:dyDescent="0.25">
      <c r="A176" s="61" t="s">
        <v>119</v>
      </c>
    </row>
    <row r="177" spans="1:1" x14ac:dyDescent="0.25">
      <c r="A177" s="61" t="s">
        <v>119</v>
      </c>
    </row>
    <row r="178" spans="1:1" x14ac:dyDescent="0.25">
      <c r="A178" s="61" t="s">
        <v>119</v>
      </c>
    </row>
    <row r="179" spans="1:1" x14ac:dyDescent="0.25">
      <c r="A179" s="61" t="s">
        <v>107</v>
      </c>
    </row>
    <row r="180" spans="1:1" x14ac:dyDescent="0.25">
      <c r="A180" s="61" t="s">
        <v>62</v>
      </c>
    </row>
    <row r="181" spans="1:1" x14ac:dyDescent="0.25">
      <c r="A181" s="61" t="s">
        <v>107</v>
      </c>
    </row>
    <row r="182" spans="1:1" x14ac:dyDescent="0.25">
      <c r="A182" s="61" t="s">
        <v>107</v>
      </c>
    </row>
    <row r="183" spans="1:1" x14ac:dyDescent="0.25">
      <c r="A183" s="61" t="s">
        <v>107</v>
      </c>
    </row>
    <row r="184" spans="1:1" x14ac:dyDescent="0.25">
      <c r="A184" s="61" t="s">
        <v>119</v>
      </c>
    </row>
    <row r="185" spans="1:1" x14ac:dyDescent="0.25">
      <c r="A185" s="61" t="s">
        <v>186</v>
      </c>
    </row>
    <row r="186" spans="1:1" x14ac:dyDescent="0.25">
      <c r="A186" s="61" t="s">
        <v>107</v>
      </c>
    </row>
    <row r="187" spans="1:1" x14ac:dyDescent="0.25">
      <c r="A187" s="61" t="s">
        <v>107</v>
      </c>
    </row>
    <row r="188" spans="1:1" x14ac:dyDescent="0.25">
      <c r="A188" s="61" t="s">
        <v>62</v>
      </c>
    </row>
    <row r="189" spans="1:1" x14ac:dyDescent="0.25">
      <c r="A189" s="61" t="s">
        <v>62</v>
      </c>
    </row>
    <row r="190" spans="1:1" x14ac:dyDescent="0.25">
      <c r="A190" s="61" t="s">
        <v>62</v>
      </c>
    </row>
    <row r="191" spans="1:1" x14ac:dyDescent="0.25">
      <c r="A191" s="61" t="s">
        <v>62</v>
      </c>
    </row>
    <row r="192" spans="1:1" x14ac:dyDescent="0.25">
      <c r="A192" s="61" t="s">
        <v>251</v>
      </c>
    </row>
    <row r="193" spans="1:1" x14ac:dyDescent="0.25">
      <c r="A193" s="61" t="s">
        <v>251</v>
      </c>
    </row>
    <row r="194" spans="1:1" x14ac:dyDescent="0.25">
      <c r="A194" s="61" t="s">
        <v>107</v>
      </c>
    </row>
    <row r="195" spans="1:1" x14ac:dyDescent="0.25">
      <c r="A195" s="61" t="s">
        <v>107</v>
      </c>
    </row>
    <row r="196" spans="1:1" x14ac:dyDescent="0.25">
      <c r="A196" s="61" t="s">
        <v>62</v>
      </c>
    </row>
    <row r="197" spans="1:1" x14ac:dyDescent="0.25">
      <c r="A197" s="61" t="s">
        <v>62</v>
      </c>
    </row>
    <row r="198" spans="1:1" x14ac:dyDescent="0.25">
      <c r="A198" s="61" t="s">
        <v>251</v>
      </c>
    </row>
    <row r="199" spans="1:1" x14ac:dyDescent="0.25">
      <c r="A199" s="61" t="s">
        <v>251</v>
      </c>
    </row>
    <row r="200" spans="1:1" x14ac:dyDescent="0.25">
      <c r="A200" s="61" t="s">
        <v>251</v>
      </c>
    </row>
    <row r="201" spans="1:1" x14ac:dyDescent="0.25">
      <c r="A201" s="61" t="s">
        <v>251</v>
      </c>
    </row>
    <row r="202" spans="1:1" x14ac:dyDescent="0.25">
      <c r="A202" s="61" t="s">
        <v>107</v>
      </c>
    </row>
    <row r="203" spans="1:1" x14ac:dyDescent="0.25">
      <c r="A203" s="61" t="s">
        <v>107</v>
      </c>
    </row>
    <row r="204" spans="1:1" x14ac:dyDescent="0.25">
      <c r="A204" s="61" t="s">
        <v>107</v>
      </c>
    </row>
    <row r="205" spans="1:1" x14ac:dyDescent="0.25">
      <c r="A205" s="61" t="s">
        <v>107</v>
      </c>
    </row>
    <row r="206" spans="1:1" x14ac:dyDescent="0.25">
      <c r="A206" s="61" t="s">
        <v>107</v>
      </c>
    </row>
    <row r="207" spans="1:1" x14ac:dyDescent="0.25">
      <c r="A207" s="61" t="s">
        <v>107</v>
      </c>
    </row>
    <row r="208" spans="1:1" x14ac:dyDescent="0.25">
      <c r="A208" s="61" t="s">
        <v>251</v>
      </c>
    </row>
    <row r="209" spans="1:1" x14ac:dyDescent="0.25">
      <c r="A209" s="61" t="s">
        <v>251</v>
      </c>
    </row>
    <row r="210" spans="1:1" x14ac:dyDescent="0.25">
      <c r="A210" s="61" t="s">
        <v>251</v>
      </c>
    </row>
    <row r="211" spans="1:1" x14ac:dyDescent="0.25">
      <c r="A211" s="61" t="s">
        <v>251</v>
      </c>
    </row>
    <row r="212" spans="1:1" x14ac:dyDescent="0.25">
      <c r="A212" s="61" t="s">
        <v>251</v>
      </c>
    </row>
    <row r="213" spans="1:1" x14ac:dyDescent="0.25">
      <c r="A213" s="61" t="s">
        <v>107</v>
      </c>
    </row>
    <row r="214" spans="1:1" x14ac:dyDescent="0.25">
      <c r="A214" s="61" t="s">
        <v>107</v>
      </c>
    </row>
    <row r="215" spans="1:1" x14ac:dyDescent="0.25">
      <c r="A215" s="61" t="s">
        <v>62</v>
      </c>
    </row>
    <row r="216" spans="1:1" x14ac:dyDescent="0.25">
      <c r="A216" s="61" t="s">
        <v>62</v>
      </c>
    </row>
    <row r="217" spans="1:1" x14ac:dyDescent="0.25">
      <c r="A217" s="61" t="s">
        <v>107</v>
      </c>
    </row>
    <row r="218" spans="1:1" x14ac:dyDescent="0.25">
      <c r="A218" s="61" t="s">
        <v>62</v>
      </c>
    </row>
    <row r="219" spans="1:1" x14ac:dyDescent="0.25">
      <c r="A219" s="61" t="s">
        <v>62</v>
      </c>
    </row>
    <row r="220" spans="1:1" x14ac:dyDescent="0.25">
      <c r="A220" s="61" t="s">
        <v>62</v>
      </c>
    </row>
    <row r="221" spans="1:1" x14ac:dyDescent="0.25">
      <c r="A221" s="61" t="s">
        <v>107</v>
      </c>
    </row>
    <row r="222" spans="1:1" x14ac:dyDescent="0.25">
      <c r="A222" s="61" t="s">
        <v>62</v>
      </c>
    </row>
    <row r="223" spans="1:1" x14ac:dyDescent="0.25">
      <c r="A223" s="61" t="s">
        <v>62</v>
      </c>
    </row>
    <row r="224" spans="1:1" x14ac:dyDescent="0.25">
      <c r="A224" s="61" t="s">
        <v>62</v>
      </c>
    </row>
    <row r="225" spans="1:1" x14ac:dyDescent="0.25">
      <c r="A225" s="61" t="s">
        <v>62</v>
      </c>
    </row>
    <row r="226" spans="1:1" x14ac:dyDescent="0.25">
      <c r="A226" s="61" t="s">
        <v>62</v>
      </c>
    </row>
    <row r="227" spans="1:1" x14ac:dyDescent="0.25">
      <c r="A227" s="61" t="s">
        <v>62</v>
      </c>
    </row>
    <row r="228" spans="1:1" x14ac:dyDescent="0.25">
      <c r="A228" s="61" t="s">
        <v>562</v>
      </c>
    </row>
    <row r="229" spans="1:1" x14ac:dyDescent="0.25">
      <c r="A229" s="61" t="s">
        <v>107</v>
      </c>
    </row>
    <row r="230" spans="1:1" x14ac:dyDescent="0.25">
      <c r="A230" s="61" t="s">
        <v>62</v>
      </c>
    </row>
    <row r="231" spans="1:1" x14ac:dyDescent="0.25">
      <c r="A231" s="61" t="s">
        <v>107</v>
      </c>
    </row>
    <row r="232" spans="1:1" x14ac:dyDescent="0.25">
      <c r="A232" s="61" t="s">
        <v>107</v>
      </c>
    </row>
    <row r="233" spans="1:1" x14ac:dyDescent="0.25">
      <c r="A233" s="61" t="s">
        <v>107</v>
      </c>
    </row>
    <row r="234" spans="1:1" x14ac:dyDescent="0.25">
      <c r="A234" s="61" t="s">
        <v>62</v>
      </c>
    </row>
    <row r="235" spans="1:1" x14ac:dyDescent="0.25">
      <c r="A235" s="61" t="s">
        <v>62</v>
      </c>
    </row>
    <row r="236" spans="1:1" x14ac:dyDescent="0.25">
      <c r="A236" s="61" t="s">
        <v>62</v>
      </c>
    </row>
    <row r="237" spans="1:1" x14ac:dyDescent="0.25">
      <c r="A237" s="61" t="s">
        <v>62</v>
      </c>
    </row>
    <row r="238" spans="1:1" x14ac:dyDescent="0.25">
      <c r="A238" s="61" t="s">
        <v>62</v>
      </c>
    </row>
    <row r="239" spans="1:1" x14ac:dyDescent="0.25">
      <c r="A239" s="61" t="s">
        <v>62</v>
      </c>
    </row>
    <row r="240" spans="1:1" x14ac:dyDescent="0.25">
      <c r="A240" s="61" t="s">
        <v>251</v>
      </c>
    </row>
    <row r="241" spans="1:1" x14ac:dyDescent="0.25">
      <c r="A241" s="61" t="s">
        <v>251</v>
      </c>
    </row>
    <row r="242" spans="1:1" x14ac:dyDescent="0.25">
      <c r="A242" s="61" t="s">
        <v>107</v>
      </c>
    </row>
    <row r="243" spans="1:1" x14ac:dyDescent="0.25">
      <c r="A243" s="61" t="s">
        <v>62</v>
      </c>
    </row>
    <row r="244" spans="1:1" x14ac:dyDescent="0.25">
      <c r="A244" s="61" t="s">
        <v>107</v>
      </c>
    </row>
    <row r="245" spans="1:1" x14ac:dyDescent="0.25">
      <c r="A245" s="61" t="s">
        <v>107</v>
      </c>
    </row>
    <row r="246" spans="1:1" x14ac:dyDescent="0.25">
      <c r="A246" s="61" t="s">
        <v>107</v>
      </c>
    </row>
    <row r="247" spans="1:1" x14ac:dyDescent="0.25">
      <c r="A247" s="61" t="s">
        <v>107</v>
      </c>
    </row>
    <row r="248" spans="1:1" x14ac:dyDescent="0.25">
      <c r="A248" s="61" t="s">
        <v>107</v>
      </c>
    </row>
    <row r="249" spans="1:1" x14ac:dyDescent="0.25">
      <c r="A249" s="61" t="s">
        <v>107</v>
      </c>
    </row>
    <row r="250" spans="1:1" x14ac:dyDescent="0.25">
      <c r="A250" s="61" t="s">
        <v>62</v>
      </c>
    </row>
    <row r="251" spans="1:1" x14ac:dyDescent="0.25">
      <c r="A251" s="61" t="s">
        <v>62</v>
      </c>
    </row>
    <row r="252" spans="1:1" x14ac:dyDescent="0.25">
      <c r="A252" s="61" t="s">
        <v>62</v>
      </c>
    </row>
    <row r="253" spans="1:1" x14ac:dyDescent="0.25">
      <c r="A253" s="61" t="s">
        <v>251</v>
      </c>
    </row>
    <row r="254" spans="1:1" x14ac:dyDescent="0.25">
      <c r="A254" s="61" t="s">
        <v>62</v>
      </c>
    </row>
    <row r="255" spans="1:1" x14ac:dyDescent="0.25">
      <c r="A255" s="61" t="s">
        <v>119</v>
      </c>
    </row>
    <row r="256" spans="1:1" x14ac:dyDescent="0.25">
      <c r="A256" s="61" t="s">
        <v>119</v>
      </c>
    </row>
    <row r="257" spans="1:1" x14ac:dyDescent="0.25">
      <c r="A257" s="61" t="s">
        <v>119</v>
      </c>
    </row>
    <row r="258" spans="1:1" x14ac:dyDescent="0.25">
      <c r="A258" s="61" t="s">
        <v>119</v>
      </c>
    </row>
    <row r="259" spans="1:1" x14ac:dyDescent="0.25">
      <c r="A259" s="61" t="s">
        <v>62</v>
      </c>
    </row>
    <row r="260" spans="1:1" x14ac:dyDescent="0.25">
      <c r="A260" s="61" t="s">
        <v>62</v>
      </c>
    </row>
    <row r="261" spans="1:1" x14ac:dyDescent="0.25">
      <c r="A261" s="61" t="s">
        <v>119</v>
      </c>
    </row>
    <row r="262" spans="1:1" x14ac:dyDescent="0.25">
      <c r="A262" s="61" t="s">
        <v>119</v>
      </c>
    </row>
    <row r="263" spans="1:1" x14ac:dyDescent="0.25">
      <c r="A263" s="61" t="s">
        <v>119</v>
      </c>
    </row>
    <row r="264" spans="1:1" x14ac:dyDescent="0.25">
      <c r="A264" s="61" t="s">
        <v>119</v>
      </c>
    </row>
    <row r="265" spans="1:1" x14ac:dyDescent="0.25">
      <c r="A265" s="61" t="s">
        <v>62</v>
      </c>
    </row>
    <row r="266" spans="1:1" x14ac:dyDescent="0.25">
      <c r="A266" s="61" t="s">
        <v>62</v>
      </c>
    </row>
    <row r="267" spans="1:1" x14ac:dyDescent="0.25">
      <c r="A267" s="61" t="s">
        <v>62</v>
      </c>
    </row>
    <row r="268" spans="1:1" x14ac:dyDescent="0.25">
      <c r="A268" s="61" t="s">
        <v>952</v>
      </c>
    </row>
    <row r="269" spans="1:1" x14ac:dyDescent="0.25">
      <c r="A269" s="61" t="s">
        <v>107</v>
      </c>
    </row>
    <row r="270" spans="1:1" x14ac:dyDescent="0.25">
      <c r="A270" s="61" t="s">
        <v>963</v>
      </c>
    </row>
    <row r="271" spans="1:1" x14ac:dyDescent="0.25">
      <c r="A271" s="61" t="s">
        <v>62</v>
      </c>
    </row>
    <row r="272" spans="1:1" x14ac:dyDescent="0.25">
      <c r="A272" s="61" t="s">
        <v>62</v>
      </c>
    </row>
    <row r="273" spans="1:1" x14ac:dyDescent="0.25">
      <c r="A273" s="61" t="s">
        <v>62</v>
      </c>
    </row>
    <row r="274" spans="1:1" x14ac:dyDescent="0.25">
      <c r="A274" s="61" t="s">
        <v>62</v>
      </c>
    </row>
    <row r="275" spans="1:1" x14ac:dyDescent="0.25">
      <c r="A275" s="61" t="s">
        <v>62</v>
      </c>
    </row>
    <row r="276" spans="1:1" x14ac:dyDescent="0.25">
      <c r="A276" s="61" t="s">
        <v>62</v>
      </c>
    </row>
    <row r="277" spans="1:1" x14ac:dyDescent="0.25">
      <c r="A277" s="61" t="s">
        <v>62</v>
      </c>
    </row>
    <row r="278" spans="1:1" x14ac:dyDescent="0.25">
      <c r="A278" s="61" t="s">
        <v>107</v>
      </c>
    </row>
    <row r="279" spans="1:1" x14ac:dyDescent="0.25">
      <c r="A279" s="61" t="s">
        <v>107</v>
      </c>
    </row>
    <row r="280" spans="1:1" x14ac:dyDescent="0.25">
      <c r="A280" s="61" t="s">
        <v>107</v>
      </c>
    </row>
    <row r="281" spans="1:1" x14ac:dyDescent="0.25">
      <c r="A281" s="61" t="s">
        <v>62</v>
      </c>
    </row>
    <row r="282" spans="1:1" x14ac:dyDescent="0.25">
      <c r="A282" s="61" t="s">
        <v>107</v>
      </c>
    </row>
    <row r="283" spans="1:1" x14ac:dyDescent="0.25">
      <c r="A283" s="61" t="s">
        <v>107</v>
      </c>
    </row>
    <row r="284" spans="1:1" x14ac:dyDescent="0.25">
      <c r="A284" s="61" t="s">
        <v>107</v>
      </c>
    </row>
    <row r="285" spans="1:1" x14ac:dyDescent="0.25">
      <c r="A285" s="61" t="s">
        <v>119</v>
      </c>
    </row>
    <row r="286" spans="1:1" x14ac:dyDescent="0.25">
      <c r="A286" s="61" t="s">
        <v>107</v>
      </c>
    </row>
    <row r="287" spans="1:1" x14ac:dyDescent="0.25">
      <c r="A287" s="103" t="s">
        <v>62</v>
      </c>
    </row>
    <row r="288" spans="1:1" x14ac:dyDescent="0.25">
      <c r="A288" s="61" t="s">
        <v>62</v>
      </c>
    </row>
    <row r="289" spans="1:1" x14ac:dyDescent="0.25">
      <c r="A289" s="61" t="s">
        <v>62</v>
      </c>
    </row>
    <row r="290" spans="1:1" x14ac:dyDescent="0.25">
      <c r="A290" s="61" t="s">
        <v>62</v>
      </c>
    </row>
    <row r="291" spans="1:1" x14ac:dyDescent="0.25">
      <c r="A291" s="61" t="s">
        <v>62</v>
      </c>
    </row>
    <row r="292" spans="1:1" x14ac:dyDescent="0.25">
      <c r="A292" s="61" t="s">
        <v>107</v>
      </c>
    </row>
    <row r="293" spans="1:1" x14ac:dyDescent="0.25">
      <c r="A293" s="61" t="s">
        <v>107</v>
      </c>
    </row>
    <row r="294" spans="1:1" x14ac:dyDescent="0.25">
      <c r="A294" s="61" t="s">
        <v>107</v>
      </c>
    </row>
    <row r="295" spans="1:1" x14ac:dyDescent="0.25">
      <c r="A295" s="61" t="s">
        <v>107</v>
      </c>
    </row>
    <row r="296" spans="1:1" x14ac:dyDescent="0.25">
      <c r="A296" s="61" t="s">
        <v>107</v>
      </c>
    </row>
    <row r="297" spans="1:1" x14ac:dyDescent="0.25">
      <c r="A297" s="61" t="s">
        <v>107</v>
      </c>
    </row>
    <row r="298" spans="1:1" x14ac:dyDescent="0.25">
      <c r="A298" s="61" t="s">
        <v>107</v>
      </c>
    </row>
    <row r="299" spans="1:1" x14ac:dyDescent="0.25">
      <c r="A299" s="61" t="s">
        <v>62</v>
      </c>
    </row>
    <row r="300" spans="1:1" x14ac:dyDescent="0.25">
      <c r="A300" s="61" t="s">
        <v>341</v>
      </c>
    </row>
    <row r="301" spans="1:1" x14ac:dyDescent="0.25">
      <c r="A301" s="61" t="s">
        <v>341</v>
      </c>
    </row>
    <row r="302" spans="1:1" x14ac:dyDescent="0.25">
      <c r="A302" s="61" t="s">
        <v>107</v>
      </c>
    </row>
    <row r="303" spans="1:1" x14ac:dyDescent="0.25">
      <c r="A303" s="61" t="s">
        <v>107</v>
      </c>
    </row>
    <row r="304" spans="1:1" x14ac:dyDescent="0.25">
      <c r="A304" s="61" t="s">
        <v>107</v>
      </c>
    </row>
    <row r="305" spans="1:1" x14ac:dyDescent="0.25">
      <c r="A305" s="61" t="s">
        <v>107</v>
      </c>
    </row>
    <row r="306" spans="1:1" x14ac:dyDescent="0.25">
      <c r="A306" s="61" t="s">
        <v>107</v>
      </c>
    </row>
    <row r="307" spans="1:1" x14ac:dyDescent="0.25">
      <c r="A307" s="61" t="s">
        <v>107</v>
      </c>
    </row>
    <row r="308" spans="1:1" x14ac:dyDescent="0.25">
      <c r="A308" s="61" t="s">
        <v>119</v>
      </c>
    </row>
    <row r="309" spans="1:1" x14ac:dyDescent="0.25">
      <c r="A309" s="61" t="s">
        <v>107</v>
      </c>
    </row>
    <row r="310" spans="1:1" x14ac:dyDescent="0.25">
      <c r="A310" s="61" t="s">
        <v>251</v>
      </c>
    </row>
    <row r="311" spans="1:1" x14ac:dyDescent="0.25">
      <c r="A311" s="61" t="s">
        <v>62</v>
      </c>
    </row>
    <row r="312" spans="1:1" x14ac:dyDescent="0.25">
      <c r="A312" s="61" t="s">
        <v>62</v>
      </c>
    </row>
    <row r="313" spans="1:1" x14ac:dyDescent="0.25">
      <c r="A313" s="61" t="s">
        <v>107</v>
      </c>
    </row>
    <row r="314" spans="1:1" x14ac:dyDescent="0.25">
      <c r="A314" s="61" t="s">
        <v>107</v>
      </c>
    </row>
    <row r="315" spans="1:1" x14ac:dyDescent="0.25">
      <c r="A315" s="61" t="s">
        <v>107</v>
      </c>
    </row>
    <row r="316" spans="1:1" x14ac:dyDescent="0.25">
      <c r="A316" s="61" t="s">
        <v>62</v>
      </c>
    </row>
    <row r="317" spans="1:1" x14ac:dyDescent="0.25">
      <c r="A317" s="61" t="s">
        <v>62</v>
      </c>
    </row>
    <row r="318" spans="1:1" x14ac:dyDescent="0.25">
      <c r="A318" s="61" t="s">
        <v>107</v>
      </c>
    </row>
    <row r="319" spans="1:1" x14ac:dyDescent="0.25">
      <c r="A319" s="61" t="s">
        <v>107</v>
      </c>
    </row>
    <row r="320" spans="1:1" x14ac:dyDescent="0.25">
      <c r="A320" s="61" t="s">
        <v>107</v>
      </c>
    </row>
    <row r="321" spans="1:1" x14ac:dyDescent="0.25">
      <c r="A321" s="61" t="s">
        <v>107</v>
      </c>
    </row>
    <row r="322" spans="1:1" x14ac:dyDescent="0.25">
      <c r="A322" s="61" t="s">
        <v>107</v>
      </c>
    </row>
    <row r="323" spans="1:1" x14ac:dyDescent="0.25">
      <c r="A323" s="61" t="s">
        <v>119</v>
      </c>
    </row>
    <row r="324" spans="1:1" x14ac:dyDescent="0.25">
      <c r="A324" s="61" t="s">
        <v>107</v>
      </c>
    </row>
    <row r="325" spans="1:1" x14ac:dyDescent="0.25">
      <c r="A325" s="61" t="s">
        <v>119</v>
      </c>
    </row>
    <row r="326" spans="1:1" x14ac:dyDescent="0.25">
      <c r="A326" s="61" t="s">
        <v>1158</v>
      </c>
    </row>
    <row r="327" spans="1:1" x14ac:dyDescent="0.25">
      <c r="A327" s="61" t="s">
        <v>107</v>
      </c>
    </row>
    <row r="328" spans="1:1" x14ac:dyDescent="0.25">
      <c r="A328" s="61" t="s">
        <v>62</v>
      </c>
    </row>
    <row r="329" spans="1:1" x14ac:dyDescent="0.25">
      <c r="A329" s="61" t="s">
        <v>62</v>
      </c>
    </row>
    <row r="330" spans="1:1" x14ac:dyDescent="0.25">
      <c r="A330" s="61" t="s">
        <v>62</v>
      </c>
    </row>
    <row r="331" spans="1:1" x14ac:dyDescent="0.25">
      <c r="A331" s="61" t="s">
        <v>119</v>
      </c>
    </row>
    <row r="332" spans="1:1" x14ac:dyDescent="0.25">
      <c r="A332" s="61" t="s">
        <v>107</v>
      </c>
    </row>
    <row r="333" spans="1:1" x14ac:dyDescent="0.25">
      <c r="A333" s="61" t="s">
        <v>62</v>
      </c>
    </row>
    <row r="334" spans="1:1" x14ac:dyDescent="0.25">
      <c r="A334" s="61" t="s">
        <v>62</v>
      </c>
    </row>
    <row r="335" spans="1:1" x14ac:dyDescent="0.25">
      <c r="A335" s="61" t="s">
        <v>341</v>
      </c>
    </row>
    <row r="336" spans="1:1" x14ac:dyDescent="0.25">
      <c r="A336" s="61" t="s">
        <v>107</v>
      </c>
    </row>
    <row r="337" spans="1:1" x14ac:dyDescent="0.25">
      <c r="A337" s="61" t="s">
        <v>107</v>
      </c>
    </row>
    <row r="338" spans="1:1" x14ac:dyDescent="0.25">
      <c r="A338" s="61" t="s">
        <v>107</v>
      </c>
    </row>
    <row r="339" spans="1:1" x14ac:dyDescent="0.25">
      <c r="A339" s="61" t="s">
        <v>119</v>
      </c>
    </row>
    <row r="340" spans="1:1" x14ac:dyDescent="0.25">
      <c r="A340" s="61" t="s">
        <v>107</v>
      </c>
    </row>
    <row r="341" spans="1:1" x14ac:dyDescent="0.25">
      <c r="A341" s="61" t="s">
        <v>107</v>
      </c>
    </row>
    <row r="342" spans="1:1" x14ac:dyDescent="0.25">
      <c r="A342" s="61" t="s">
        <v>107</v>
      </c>
    </row>
    <row r="343" spans="1:1" x14ac:dyDescent="0.25">
      <c r="A343" s="61" t="s">
        <v>107</v>
      </c>
    </row>
    <row r="344" spans="1:1" x14ac:dyDescent="0.25">
      <c r="A344" s="61" t="s">
        <v>107</v>
      </c>
    </row>
    <row r="345" spans="1:1" x14ac:dyDescent="0.25">
      <c r="A345" s="61" t="s">
        <v>1213</v>
      </c>
    </row>
    <row r="346" spans="1:1" x14ac:dyDescent="0.25">
      <c r="A346" s="61" t="s">
        <v>1213</v>
      </c>
    </row>
    <row r="347" spans="1:1" x14ac:dyDescent="0.25">
      <c r="A347" s="61" t="s">
        <v>107</v>
      </c>
    </row>
    <row r="348" spans="1:1" x14ac:dyDescent="0.25">
      <c r="A348" s="61" t="s">
        <v>1158</v>
      </c>
    </row>
    <row r="349" spans="1:1" x14ac:dyDescent="0.25">
      <c r="A349" s="61" t="s">
        <v>107</v>
      </c>
    </row>
    <row r="350" spans="1:1" x14ac:dyDescent="0.25">
      <c r="A350" s="61" t="s">
        <v>107</v>
      </c>
    </row>
    <row r="351" spans="1:1" x14ac:dyDescent="0.25">
      <c r="A351" s="61" t="s">
        <v>107</v>
      </c>
    </row>
    <row r="352" spans="1:1" x14ac:dyDescent="0.25">
      <c r="A352" s="61" t="s">
        <v>62</v>
      </c>
    </row>
    <row r="353" spans="1:1" x14ac:dyDescent="0.25">
      <c r="A353" s="61" t="s">
        <v>62</v>
      </c>
    </row>
    <row r="354" spans="1:1" x14ac:dyDescent="0.25">
      <c r="A354" s="61" t="s">
        <v>62</v>
      </c>
    </row>
    <row r="355" spans="1:1" x14ac:dyDescent="0.25">
      <c r="A355" s="61" t="s">
        <v>107</v>
      </c>
    </row>
    <row r="356" spans="1:1" x14ac:dyDescent="0.25">
      <c r="A356" s="61" t="s">
        <v>107</v>
      </c>
    </row>
    <row r="357" spans="1:1" x14ac:dyDescent="0.25">
      <c r="A357" s="61" t="s">
        <v>107</v>
      </c>
    </row>
    <row r="358" spans="1:1" x14ac:dyDescent="0.25">
      <c r="A358" s="61" t="s">
        <v>107</v>
      </c>
    </row>
    <row r="359" spans="1:1" x14ac:dyDescent="0.25">
      <c r="A359" s="61" t="s">
        <v>107</v>
      </c>
    </row>
    <row r="360" spans="1:1" x14ac:dyDescent="0.25">
      <c r="A360" s="61" t="s">
        <v>62</v>
      </c>
    </row>
    <row r="361" spans="1:1" x14ac:dyDescent="0.25">
      <c r="A361" s="61" t="s">
        <v>62</v>
      </c>
    </row>
    <row r="362" spans="1:1" x14ac:dyDescent="0.25">
      <c r="A362" s="61" t="s">
        <v>119</v>
      </c>
    </row>
    <row r="363" spans="1:1" x14ac:dyDescent="0.25">
      <c r="A363" s="61" t="s">
        <v>119</v>
      </c>
    </row>
    <row r="364" spans="1:1" x14ac:dyDescent="0.25">
      <c r="A364" s="61" t="s">
        <v>107</v>
      </c>
    </row>
    <row r="365" spans="1:1" x14ac:dyDescent="0.25">
      <c r="A365" s="61" t="s">
        <v>107</v>
      </c>
    </row>
    <row r="366" spans="1:1" x14ac:dyDescent="0.25">
      <c r="A366" s="61" t="s">
        <v>62</v>
      </c>
    </row>
    <row r="367" spans="1:1" x14ac:dyDescent="0.25">
      <c r="A367" s="61" t="s">
        <v>107</v>
      </c>
    </row>
    <row r="368" spans="1:1" x14ac:dyDescent="0.25">
      <c r="A368" s="61" t="s">
        <v>62</v>
      </c>
    </row>
    <row r="369" spans="1:1" x14ac:dyDescent="0.25">
      <c r="A369" s="61" t="s">
        <v>62</v>
      </c>
    </row>
    <row r="370" spans="1:1" x14ac:dyDescent="0.25">
      <c r="A370" s="61" t="s">
        <v>107</v>
      </c>
    </row>
    <row r="371" spans="1:1" x14ac:dyDescent="0.25">
      <c r="A371" s="61" t="s">
        <v>107</v>
      </c>
    </row>
    <row r="372" spans="1:1" x14ac:dyDescent="0.25">
      <c r="A372" s="61" t="s">
        <v>62</v>
      </c>
    </row>
    <row r="373" spans="1:1" x14ac:dyDescent="0.25">
      <c r="A373" s="61" t="s">
        <v>62</v>
      </c>
    </row>
    <row r="374" spans="1:1" x14ac:dyDescent="0.25">
      <c r="A374" s="61" t="s">
        <v>62</v>
      </c>
    </row>
    <row r="375" spans="1:1" x14ac:dyDescent="0.25">
      <c r="A375" s="61" t="s">
        <v>107</v>
      </c>
    </row>
    <row r="376" spans="1:1" x14ac:dyDescent="0.25">
      <c r="A376" s="61" t="s">
        <v>62</v>
      </c>
    </row>
    <row r="377" spans="1:1" x14ac:dyDescent="0.25">
      <c r="A377" s="61" t="s">
        <v>62</v>
      </c>
    </row>
    <row r="378" spans="1:1" x14ac:dyDescent="0.25">
      <c r="A378" s="61" t="s">
        <v>119</v>
      </c>
    </row>
    <row r="379" spans="1:1" x14ac:dyDescent="0.25">
      <c r="A379" s="61" t="s">
        <v>119</v>
      </c>
    </row>
    <row r="380" spans="1:1" x14ac:dyDescent="0.25">
      <c r="A380" s="61" t="s">
        <v>107</v>
      </c>
    </row>
    <row r="381" spans="1:1" x14ac:dyDescent="0.25">
      <c r="A381" s="61" t="s">
        <v>62</v>
      </c>
    </row>
    <row r="382" spans="1:1" x14ac:dyDescent="0.25">
      <c r="A382" s="61" t="s">
        <v>107</v>
      </c>
    </row>
    <row r="383" spans="1:1" x14ac:dyDescent="0.25">
      <c r="A383" s="61" t="s">
        <v>107</v>
      </c>
    </row>
    <row r="384" spans="1:1" x14ac:dyDescent="0.25">
      <c r="A384" s="61" t="s">
        <v>119</v>
      </c>
    </row>
    <row r="385" spans="1:1" x14ac:dyDescent="0.25">
      <c r="A385" s="61" t="s">
        <v>119</v>
      </c>
    </row>
    <row r="386" spans="1:1" x14ac:dyDescent="0.25">
      <c r="A386" s="61" t="s">
        <v>119</v>
      </c>
    </row>
    <row r="387" spans="1:1" x14ac:dyDescent="0.25">
      <c r="A387" s="61" t="s">
        <v>107</v>
      </c>
    </row>
    <row r="388" spans="1:1" x14ac:dyDescent="0.25">
      <c r="A388" s="61" t="s">
        <v>62</v>
      </c>
    </row>
    <row r="389" spans="1:1" x14ac:dyDescent="0.25">
      <c r="A389" s="61" t="s">
        <v>62</v>
      </c>
    </row>
    <row r="390" spans="1:1" x14ac:dyDescent="0.25">
      <c r="A390" s="61" t="s">
        <v>119</v>
      </c>
    </row>
    <row r="391" spans="1:1" x14ac:dyDescent="0.25">
      <c r="A391" s="61" t="s">
        <v>107</v>
      </c>
    </row>
    <row r="392" spans="1:1" x14ac:dyDescent="0.25">
      <c r="A392" s="61" t="s">
        <v>62</v>
      </c>
    </row>
    <row r="393" spans="1:1" x14ac:dyDescent="0.25">
      <c r="A393" s="61" t="s">
        <v>62</v>
      </c>
    </row>
    <row r="394" spans="1:1" x14ac:dyDescent="0.25">
      <c r="A394" s="61" t="s">
        <v>62</v>
      </c>
    </row>
    <row r="395" spans="1:1" x14ac:dyDescent="0.25">
      <c r="A395" s="61" t="s">
        <v>62</v>
      </c>
    </row>
    <row r="396" spans="1:1" x14ac:dyDescent="0.25">
      <c r="A396" s="61" t="s">
        <v>62</v>
      </c>
    </row>
    <row r="397" spans="1:1" x14ac:dyDescent="0.25">
      <c r="A397" s="61" t="s">
        <v>107</v>
      </c>
    </row>
    <row r="398" spans="1:1" x14ac:dyDescent="0.25">
      <c r="A398" s="61" t="s">
        <v>251</v>
      </c>
    </row>
    <row r="399" spans="1:1" x14ac:dyDescent="0.25">
      <c r="A399" s="61" t="s">
        <v>107</v>
      </c>
    </row>
    <row r="400" spans="1:1" x14ac:dyDescent="0.25">
      <c r="A400" s="61" t="s">
        <v>119</v>
      </c>
    </row>
    <row r="401" spans="1:1" x14ac:dyDescent="0.25">
      <c r="A401" s="61" t="s">
        <v>119</v>
      </c>
    </row>
    <row r="402" spans="1:1" x14ac:dyDescent="0.25">
      <c r="A402" s="61" t="s">
        <v>119</v>
      </c>
    </row>
    <row r="403" spans="1:1" x14ac:dyDescent="0.25">
      <c r="A403" s="61" t="s">
        <v>119</v>
      </c>
    </row>
    <row r="404" spans="1:1" x14ac:dyDescent="0.25">
      <c r="A404" s="61" t="s">
        <v>119</v>
      </c>
    </row>
    <row r="405" spans="1:1" x14ac:dyDescent="0.25">
      <c r="A405" s="61" t="s">
        <v>119</v>
      </c>
    </row>
    <row r="406" spans="1:1" x14ac:dyDescent="0.25">
      <c r="A406" s="61" t="s">
        <v>119</v>
      </c>
    </row>
    <row r="407" spans="1:1" x14ac:dyDescent="0.25">
      <c r="A407" s="61" t="s">
        <v>119</v>
      </c>
    </row>
    <row r="408" spans="1:1" x14ac:dyDescent="0.25">
      <c r="A408" s="61" t="s">
        <v>119</v>
      </c>
    </row>
    <row r="409" spans="1:1" x14ac:dyDescent="0.25">
      <c r="A409" s="61" t="s">
        <v>62</v>
      </c>
    </row>
    <row r="410" spans="1:1" x14ac:dyDescent="0.25">
      <c r="A410" s="61" t="s">
        <v>62</v>
      </c>
    </row>
    <row r="411" spans="1:1" x14ac:dyDescent="0.25">
      <c r="A411" s="61" t="s">
        <v>341</v>
      </c>
    </row>
    <row r="412" spans="1:1" x14ac:dyDescent="0.25">
      <c r="A412" s="61" t="s">
        <v>62</v>
      </c>
    </row>
    <row r="413" spans="1:1" x14ac:dyDescent="0.25">
      <c r="A413" s="61" t="s">
        <v>62</v>
      </c>
    </row>
    <row r="414" spans="1:1" x14ac:dyDescent="0.25">
      <c r="A414" s="61" t="s">
        <v>62</v>
      </c>
    </row>
    <row r="415" spans="1:1" x14ac:dyDescent="0.25">
      <c r="A415" s="61" t="s">
        <v>62</v>
      </c>
    </row>
    <row r="416" spans="1:1" x14ac:dyDescent="0.25">
      <c r="A416" s="61" t="s">
        <v>1413</v>
      </c>
    </row>
    <row r="417" spans="1:1" x14ac:dyDescent="0.25">
      <c r="A417" s="61" t="s">
        <v>1419</v>
      </c>
    </row>
    <row r="418" spans="1:1" x14ac:dyDescent="0.25">
      <c r="A418" s="61" t="s">
        <v>119</v>
      </c>
    </row>
    <row r="419" spans="1:1" x14ac:dyDescent="0.25">
      <c r="A419" s="61" t="s">
        <v>62</v>
      </c>
    </row>
    <row r="420" spans="1:1" x14ac:dyDescent="0.25">
      <c r="A420" s="61" t="s">
        <v>952</v>
      </c>
    </row>
    <row r="421" spans="1:1" x14ac:dyDescent="0.25">
      <c r="A421" s="103" t="s">
        <v>952</v>
      </c>
    </row>
    <row r="422" spans="1:1" x14ac:dyDescent="0.25">
      <c r="A422" s="61" t="s">
        <v>223</v>
      </c>
    </row>
    <row r="423" spans="1:1" x14ac:dyDescent="0.25">
      <c r="A423" s="61" t="s">
        <v>952</v>
      </c>
    </row>
    <row r="424" spans="1:1" x14ac:dyDescent="0.25">
      <c r="A424" s="61" t="s">
        <v>223</v>
      </c>
    </row>
    <row r="425" spans="1:1" x14ac:dyDescent="0.25">
      <c r="A425" s="61" t="s">
        <v>223</v>
      </c>
    </row>
    <row r="426" spans="1:1" x14ac:dyDescent="0.25">
      <c r="A426" s="61" t="s">
        <v>223</v>
      </c>
    </row>
    <row r="427" spans="1:1" x14ac:dyDescent="0.25">
      <c r="A427" s="61" t="s">
        <v>119</v>
      </c>
    </row>
    <row r="428" spans="1:1" x14ac:dyDescent="0.25">
      <c r="A428" s="61" t="s">
        <v>223</v>
      </c>
    </row>
    <row r="429" spans="1:1" x14ac:dyDescent="0.25">
      <c r="A429" s="61" t="s">
        <v>223</v>
      </c>
    </row>
    <row r="430" spans="1:1" x14ac:dyDescent="0.25">
      <c r="A430" s="61" t="s">
        <v>223</v>
      </c>
    </row>
    <row r="431" spans="1:1" x14ac:dyDescent="0.25">
      <c r="A431" s="61" t="s">
        <v>119</v>
      </c>
    </row>
    <row r="432" spans="1:1" x14ac:dyDescent="0.25">
      <c r="A432" s="61" t="s">
        <v>119</v>
      </c>
    </row>
    <row r="433" spans="1:1" x14ac:dyDescent="0.25">
      <c r="A433" s="61" t="s">
        <v>341</v>
      </c>
    </row>
    <row r="434" spans="1:1" x14ac:dyDescent="0.25">
      <c r="A434" s="61" t="s">
        <v>341</v>
      </c>
    </row>
    <row r="435" spans="1:1" x14ac:dyDescent="0.25">
      <c r="A435" s="61" t="s">
        <v>952</v>
      </c>
    </row>
    <row r="436" spans="1:1" x14ac:dyDescent="0.25">
      <c r="A436" s="61" t="s">
        <v>119</v>
      </c>
    </row>
    <row r="437" spans="1:1" x14ac:dyDescent="0.25">
      <c r="A437" s="61" t="s">
        <v>119</v>
      </c>
    </row>
    <row r="438" spans="1:1" x14ac:dyDescent="0.25">
      <c r="A438" s="61" t="s">
        <v>341</v>
      </c>
    </row>
    <row r="439" spans="1:1" x14ac:dyDescent="0.25">
      <c r="A439" s="61" t="s">
        <v>341</v>
      </c>
    </row>
    <row r="440" spans="1:1" x14ac:dyDescent="0.25">
      <c r="A440" s="61" t="s">
        <v>223</v>
      </c>
    </row>
    <row r="441" spans="1:1" x14ac:dyDescent="0.25">
      <c r="A441" s="61" t="s">
        <v>1522</v>
      </c>
    </row>
    <row r="442" spans="1:1" x14ac:dyDescent="0.25">
      <c r="A442" s="61" t="s">
        <v>1522</v>
      </c>
    </row>
    <row r="443" spans="1:1" x14ac:dyDescent="0.25">
      <c r="A443" s="61" t="s">
        <v>1522</v>
      </c>
    </row>
    <row r="444" spans="1:1" x14ac:dyDescent="0.25">
      <c r="A444" s="61" t="s">
        <v>1537</v>
      </c>
    </row>
    <row r="445" spans="1:1" x14ac:dyDescent="0.25">
      <c r="A445" s="61" t="s">
        <v>107</v>
      </c>
    </row>
    <row r="446" spans="1:1" x14ac:dyDescent="0.25">
      <c r="A446" s="61" t="s">
        <v>251</v>
      </c>
    </row>
    <row r="447" spans="1:1" x14ac:dyDescent="0.25">
      <c r="A447" s="61" t="s">
        <v>1549</v>
      </c>
    </row>
    <row r="448" spans="1:1" x14ac:dyDescent="0.25">
      <c r="A448" s="61" t="s">
        <v>1549</v>
      </c>
    </row>
    <row r="449" spans="1:1" x14ac:dyDescent="0.25">
      <c r="A449" s="61" t="s">
        <v>1549</v>
      </c>
    </row>
    <row r="450" spans="1:1" x14ac:dyDescent="0.25">
      <c r="A450" s="61" t="s">
        <v>952</v>
      </c>
    </row>
    <row r="451" spans="1:1" x14ac:dyDescent="0.25">
      <c r="A451" s="61" t="s">
        <v>1576</v>
      </c>
    </row>
    <row r="452" spans="1:1" x14ac:dyDescent="0.25">
      <c r="A452" s="61" t="s">
        <v>1576</v>
      </c>
    </row>
    <row r="453" spans="1:1" x14ac:dyDescent="0.25">
      <c r="A453" s="61" t="s">
        <v>1576</v>
      </c>
    </row>
    <row r="454" spans="1:1" x14ac:dyDescent="0.25">
      <c r="A454" s="61" t="s">
        <v>1576</v>
      </c>
    </row>
    <row r="455" spans="1:1" x14ac:dyDescent="0.25">
      <c r="A455" s="61" t="s">
        <v>223</v>
      </c>
    </row>
    <row r="456" spans="1:1" x14ac:dyDescent="0.25">
      <c r="A456" s="61" t="s">
        <v>223</v>
      </c>
    </row>
    <row r="457" spans="1:1" x14ac:dyDescent="0.25">
      <c r="A457" s="61" t="s">
        <v>223</v>
      </c>
    </row>
    <row r="458" spans="1:1" x14ac:dyDescent="0.25">
      <c r="A458" s="61" t="s">
        <v>223</v>
      </c>
    </row>
    <row r="459" spans="1:1" x14ac:dyDescent="0.25">
      <c r="A459" s="61" t="s">
        <v>1576</v>
      </c>
    </row>
    <row r="460" spans="1:1" x14ac:dyDescent="0.25">
      <c r="A460" s="61" t="s">
        <v>223</v>
      </c>
    </row>
    <row r="461" spans="1:1" x14ac:dyDescent="0.25">
      <c r="A461" s="61" t="s">
        <v>223</v>
      </c>
    </row>
    <row r="462" spans="1:1" x14ac:dyDescent="0.25">
      <c r="A462" s="61" t="s">
        <v>223</v>
      </c>
    </row>
    <row r="463" spans="1:1" x14ac:dyDescent="0.25">
      <c r="A463" s="61" t="s">
        <v>223</v>
      </c>
    </row>
    <row r="464" spans="1:1" x14ac:dyDescent="0.25">
      <c r="A464" s="61" t="s">
        <v>119</v>
      </c>
    </row>
    <row r="465" spans="1:1" x14ac:dyDescent="0.25">
      <c r="A465" s="61" t="s">
        <v>119</v>
      </c>
    </row>
    <row r="466" spans="1:1" x14ac:dyDescent="0.25">
      <c r="A466" s="61" t="s">
        <v>223</v>
      </c>
    </row>
    <row r="467" spans="1:1" x14ac:dyDescent="0.25">
      <c r="A467" s="61" t="s">
        <v>223</v>
      </c>
    </row>
    <row r="468" spans="1:1" x14ac:dyDescent="0.25">
      <c r="A468" s="61" t="s">
        <v>223</v>
      </c>
    </row>
    <row r="469" spans="1:1" x14ac:dyDescent="0.25">
      <c r="A469" s="61" t="s">
        <v>223</v>
      </c>
    </row>
    <row r="470" spans="1:1" x14ac:dyDescent="0.25">
      <c r="A470" s="61" t="s">
        <v>119</v>
      </c>
    </row>
    <row r="471" spans="1:1" x14ac:dyDescent="0.25">
      <c r="A471" s="61" t="s">
        <v>119</v>
      </c>
    </row>
    <row r="472" spans="1:1" x14ac:dyDescent="0.25">
      <c r="A472" s="61" t="s">
        <v>1638</v>
      </c>
    </row>
    <row r="473" spans="1:1" x14ac:dyDescent="0.25">
      <c r="A473" s="61" t="s">
        <v>1638</v>
      </c>
    </row>
    <row r="474" spans="1:1" x14ac:dyDescent="0.25">
      <c r="A474" s="61" t="s">
        <v>1638</v>
      </c>
    </row>
    <row r="475" spans="1:1" x14ac:dyDescent="0.25">
      <c r="A475" s="61" t="s">
        <v>1638</v>
      </c>
    </row>
    <row r="476" spans="1:1" x14ac:dyDescent="0.25">
      <c r="A476" s="61" t="s">
        <v>1638</v>
      </c>
    </row>
    <row r="477" spans="1:1" x14ac:dyDescent="0.25">
      <c r="A477" s="61" t="s">
        <v>119</v>
      </c>
    </row>
    <row r="478" spans="1:1" x14ac:dyDescent="0.25">
      <c r="A478" s="61" t="s">
        <v>223</v>
      </c>
    </row>
    <row r="479" spans="1:1" x14ac:dyDescent="0.25">
      <c r="A479" s="61" t="s">
        <v>223</v>
      </c>
    </row>
    <row r="480" spans="1:1" x14ac:dyDescent="0.25">
      <c r="A480" s="61" t="s">
        <v>223</v>
      </c>
    </row>
    <row r="481" spans="1:1" x14ac:dyDescent="0.25">
      <c r="A481" s="61" t="s">
        <v>119</v>
      </c>
    </row>
    <row r="482" spans="1:1" x14ac:dyDescent="0.25">
      <c r="A482" s="61" t="s">
        <v>119</v>
      </c>
    </row>
    <row r="483" spans="1:1" x14ac:dyDescent="0.25">
      <c r="A483" s="61" t="s">
        <v>223</v>
      </c>
    </row>
    <row r="484" spans="1:1" x14ac:dyDescent="0.25">
      <c r="A484" s="61" t="s">
        <v>1683</v>
      </c>
    </row>
    <row r="485" spans="1:1" x14ac:dyDescent="0.25">
      <c r="A485" s="61" t="s">
        <v>223</v>
      </c>
    </row>
    <row r="486" spans="1:1" x14ac:dyDescent="0.25">
      <c r="A486" s="61" t="s">
        <v>119</v>
      </c>
    </row>
    <row r="487" spans="1:1" x14ac:dyDescent="0.25">
      <c r="A487" s="61" t="s">
        <v>1708</v>
      </c>
    </row>
    <row r="488" spans="1:1" x14ac:dyDescent="0.25">
      <c r="A488" s="61" t="s">
        <v>1713</v>
      </c>
    </row>
    <row r="489" spans="1:1" x14ac:dyDescent="0.25">
      <c r="A489" s="61" t="s">
        <v>223</v>
      </c>
    </row>
    <row r="490" spans="1:1" x14ac:dyDescent="0.25">
      <c r="A490" s="61" t="s">
        <v>223</v>
      </c>
    </row>
    <row r="491" spans="1:1" x14ac:dyDescent="0.25">
      <c r="A491" s="61" t="s">
        <v>223</v>
      </c>
    </row>
    <row r="492" spans="1:1" x14ac:dyDescent="0.25">
      <c r="A492" s="61" t="s">
        <v>223</v>
      </c>
    </row>
    <row r="493" spans="1:1" x14ac:dyDescent="0.25">
      <c r="A493" s="61" t="s">
        <v>223</v>
      </c>
    </row>
    <row r="494" spans="1:1" x14ac:dyDescent="0.25">
      <c r="A494" s="61" t="s">
        <v>223</v>
      </c>
    </row>
    <row r="495" spans="1:1" x14ac:dyDescent="0.25">
      <c r="A495" s="61" t="s">
        <v>223</v>
      </c>
    </row>
    <row r="496" spans="1:1" x14ac:dyDescent="0.25">
      <c r="A496" s="61" t="s">
        <v>223</v>
      </c>
    </row>
    <row r="497" spans="1:1" x14ac:dyDescent="0.25">
      <c r="A497" s="61" t="s">
        <v>223</v>
      </c>
    </row>
    <row r="498" spans="1:1" x14ac:dyDescent="0.25">
      <c r="A498" s="61" t="s">
        <v>223</v>
      </c>
    </row>
    <row r="499" spans="1:1" x14ac:dyDescent="0.25">
      <c r="A499" s="61" t="s">
        <v>119</v>
      </c>
    </row>
    <row r="500" spans="1:1" x14ac:dyDescent="0.25">
      <c r="A500" s="61" t="s">
        <v>1683</v>
      </c>
    </row>
    <row r="501" spans="1:1" x14ac:dyDescent="0.25">
      <c r="A501" s="61" t="s">
        <v>1773</v>
      </c>
    </row>
    <row r="502" spans="1:1" x14ac:dyDescent="0.25">
      <c r="A502" s="61" t="s">
        <v>251</v>
      </c>
    </row>
    <row r="503" spans="1:1" x14ac:dyDescent="0.25">
      <c r="A503" s="61" t="s">
        <v>1784</v>
      </c>
    </row>
    <row r="504" spans="1:1" x14ac:dyDescent="0.25">
      <c r="A504" s="61" t="s">
        <v>952</v>
      </c>
    </row>
    <row r="505" spans="1:1" x14ac:dyDescent="0.25">
      <c r="A505" s="61" t="s">
        <v>107</v>
      </c>
    </row>
    <row r="506" spans="1:1" x14ac:dyDescent="0.25">
      <c r="A506" s="61" t="s">
        <v>107</v>
      </c>
    </row>
    <row r="507" spans="1:1" x14ac:dyDescent="0.25">
      <c r="A507" s="61" t="s">
        <v>223</v>
      </c>
    </row>
    <row r="508" spans="1:1" x14ac:dyDescent="0.25">
      <c r="A508" s="61" t="s">
        <v>952</v>
      </c>
    </row>
    <row r="509" spans="1:1" x14ac:dyDescent="0.25">
      <c r="A509" s="61" t="s">
        <v>1894</v>
      </c>
    </row>
    <row r="510" spans="1:1" x14ac:dyDescent="0.25">
      <c r="A510" s="61" t="s">
        <v>1784</v>
      </c>
    </row>
    <row r="511" spans="1:1" x14ac:dyDescent="0.25">
      <c r="A511" s="61" t="s">
        <v>1784</v>
      </c>
    </row>
    <row r="512" spans="1:1" x14ac:dyDescent="0.25">
      <c r="A512" s="61" t="s">
        <v>1894</v>
      </c>
    </row>
    <row r="513" spans="1:1" x14ac:dyDescent="0.25">
      <c r="A513" s="61" t="s">
        <v>952</v>
      </c>
    </row>
    <row r="514" spans="1:1" x14ac:dyDescent="0.25">
      <c r="A514" s="61" t="s">
        <v>952</v>
      </c>
    </row>
    <row r="515" spans="1:1" x14ac:dyDescent="0.25">
      <c r="A515" s="61" t="s">
        <v>952</v>
      </c>
    </row>
    <row r="516" spans="1:1" x14ac:dyDescent="0.25">
      <c r="A516" s="61" t="s">
        <v>1894</v>
      </c>
    </row>
    <row r="517" spans="1:1" x14ac:dyDescent="0.25">
      <c r="A517" s="61" t="s">
        <v>1894</v>
      </c>
    </row>
    <row r="518" spans="1:1" x14ac:dyDescent="0.25">
      <c r="A518" s="61" t="s">
        <v>1894</v>
      </c>
    </row>
    <row r="519" spans="1:1" x14ac:dyDescent="0.25">
      <c r="A519" s="61" t="s">
        <v>1894</v>
      </c>
    </row>
    <row r="520" spans="1:1" x14ac:dyDescent="0.25">
      <c r="A520" s="61" t="s">
        <v>107</v>
      </c>
    </row>
    <row r="521" spans="1:1" x14ac:dyDescent="0.25">
      <c r="A521" s="61" t="s">
        <v>1784</v>
      </c>
    </row>
    <row r="522" spans="1:1" x14ac:dyDescent="0.25">
      <c r="A522" s="61" t="s">
        <v>1784</v>
      </c>
    </row>
    <row r="523" spans="1:1" x14ac:dyDescent="0.25">
      <c r="A523" s="61" t="s">
        <v>1784</v>
      </c>
    </row>
    <row r="524" spans="1:1" x14ac:dyDescent="0.25">
      <c r="A524" s="61" t="s">
        <v>223</v>
      </c>
    </row>
    <row r="525" spans="1:1" x14ac:dyDescent="0.25">
      <c r="A525" s="61" t="s">
        <v>62</v>
      </c>
    </row>
    <row r="526" spans="1:1" x14ac:dyDescent="0.25">
      <c r="A526" s="61" t="s">
        <v>1894</v>
      </c>
    </row>
    <row r="527" spans="1:1" x14ac:dyDescent="0.25">
      <c r="A527" s="61" t="s">
        <v>952</v>
      </c>
    </row>
    <row r="528" spans="1:1" x14ac:dyDescent="0.25">
      <c r="A528" s="61" t="s">
        <v>1784</v>
      </c>
    </row>
    <row r="529" spans="1:1" x14ac:dyDescent="0.25">
      <c r="A529" s="61" t="s">
        <v>1784</v>
      </c>
    </row>
    <row r="530" spans="1:1" x14ac:dyDescent="0.25">
      <c r="A530" s="61" t="s">
        <v>1784</v>
      </c>
    </row>
    <row r="531" spans="1:1" x14ac:dyDescent="0.25">
      <c r="A531" s="61" t="s">
        <v>235</v>
      </c>
    </row>
    <row r="532" spans="1:1" x14ac:dyDescent="0.25">
      <c r="A532" s="61" t="s">
        <v>1894</v>
      </c>
    </row>
    <row r="533" spans="1:1" x14ac:dyDescent="0.25">
      <c r="A533" s="61" t="s">
        <v>952</v>
      </c>
    </row>
    <row r="534" spans="1:1" x14ac:dyDescent="0.25">
      <c r="A534" s="61" t="s">
        <v>1894</v>
      </c>
    </row>
    <row r="535" spans="1:1" x14ac:dyDescent="0.25">
      <c r="A535" s="61" t="s">
        <v>1894</v>
      </c>
    </row>
    <row r="536" spans="1:1" x14ac:dyDescent="0.25">
      <c r="A536" s="61" t="s">
        <v>952</v>
      </c>
    </row>
    <row r="537" spans="1:1" x14ac:dyDescent="0.25">
      <c r="A537" s="61" t="s">
        <v>952</v>
      </c>
    </row>
    <row r="538" spans="1:1" x14ac:dyDescent="0.25">
      <c r="A538" s="61" t="s">
        <v>235</v>
      </c>
    </row>
    <row r="539" spans="1:1" x14ac:dyDescent="0.25">
      <c r="A539" s="61" t="s">
        <v>235</v>
      </c>
    </row>
    <row r="540" spans="1:1" x14ac:dyDescent="0.25">
      <c r="A540" s="61" t="s">
        <v>1894</v>
      </c>
    </row>
    <row r="541" spans="1:1" x14ac:dyDescent="0.25">
      <c r="A541" s="61" t="s">
        <v>952</v>
      </c>
    </row>
    <row r="542" spans="1:1" x14ac:dyDescent="0.25">
      <c r="A542" s="103" t="s">
        <v>1894</v>
      </c>
    </row>
    <row r="543" spans="1:1" x14ac:dyDescent="0.25">
      <c r="A543" s="61" t="s">
        <v>952</v>
      </c>
    </row>
    <row r="544" spans="1:1" x14ac:dyDescent="0.25">
      <c r="A544" s="61" t="s">
        <v>952</v>
      </c>
    </row>
    <row r="545" spans="1:1" x14ac:dyDescent="0.25">
      <c r="A545" s="61" t="s">
        <v>1894</v>
      </c>
    </row>
    <row r="546" spans="1:1" x14ac:dyDescent="0.25">
      <c r="A546" s="61" t="s">
        <v>952</v>
      </c>
    </row>
    <row r="547" spans="1:1" x14ac:dyDescent="0.25">
      <c r="A547" s="61" t="s">
        <v>1894</v>
      </c>
    </row>
    <row r="548" spans="1:1" x14ac:dyDescent="0.25">
      <c r="A548" s="61" t="s">
        <v>952</v>
      </c>
    </row>
    <row r="549" spans="1:1" x14ac:dyDescent="0.25">
      <c r="A549" s="61" t="s">
        <v>1894</v>
      </c>
    </row>
    <row r="550" spans="1:1" x14ac:dyDescent="0.25">
      <c r="A550" s="61" t="s">
        <v>952</v>
      </c>
    </row>
    <row r="551" spans="1:1" x14ac:dyDescent="0.25">
      <c r="A551" s="61" t="s">
        <v>952</v>
      </c>
    </row>
    <row r="552" spans="1:1" x14ac:dyDescent="0.25">
      <c r="A552" s="61" t="s">
        <v>952</v>
      </c>
    </row>
    <row r="553" spans="1:1" x14ac:dyDescent="0.25">
      <c r="A553" s="61" t="s">
        <v>952</v>
      </c>
    </row>
    <row r="554" spans="1:1" x14ac:dyDescent="0.25">
      <c r="A554" s="61" t="s">
        <v>1894</v>
      </c>
    </row>
    <row r="555" spans="1:1" x14ac:dyDescent="0.25">
      <c r="A555" s="61" t="s">
        <v>1894</v>
      </c>
    </row>
    <row r="556" spans="1:1" x14ac:dyDescent="0.25">
      <c r="A556" s="61" t="s">
        <v>952</v>
      </c>
    </row>
    <row r="557" spans="1:1" x14ac:dyDescent="0.25">
      <c r="A557" s="61" t="s">
        <v>952</v>
      </c>
    </row>
    <row r="558" spans="1:1" x14ac:dyDescent="0.25">
      <c r="A558" s="61" t="s">
        <v>952</v>
      </c>
    </row>
    <row r="559" spans="1:1" x14ac:dyDescent="0.25">
      <c r="A559" s="61" t="s">
        <v>1894</v>
      </c>
    </row>
    <row r="560" spans="1:1" x14ac:dyDescent="0.25">
      <c r="A560" s="61" t="s">
        <v>952</v>
      </c>
    </row>
    <row r="561" spans="1:1" x14ac:dyDescent="0.25">
      <c r="A561" s="61" t="s">
        <v>952</v>
      </c>
    </row>
    <row r="562" spans="1:1" x14ac:dyDescent="0.25">
      <c r="A562" s="61" t="s">
        <v>1894</v>
      </c>
    </row>
    <row r="563" spans="1:1" x14ac:dyDescent="0.25">
      <c r="A563" s="61" t="s">
        <v>952</v>
      </c>
    </row>
    <row r="564" spans="1:1" x14ac:dyDescent="0.25">
      <c r="A564" s="61" t="s">
        <v>952</v>
      </c>
    </row>
    <row r="565" spans="1:1" x14ac:dyDescent="0.25">
      <c r="A565" s="61" t="s">
        <v>1894</v>
      </c>
    </row>
    <row r="566" spans="1:1" x14ac:dyDescent="0.25">
      <c r="A566" s="61" t="s">
        <v>223</v>
      </c>
    </row>
    <row r="567" spans="1:1" x14ac:dyDescent="0.25">
      <c r="A567" s="61" t="s">
        <v>119</v>
      </c>
    </row>
    <row r="568" spans="1:1" x14ac:dyDescent="0.25">
      <c r="A568" s="61" t="s">
        <v>1894</v>
      </c>
    </row>
    <row r="569" spans="1:1" x14ac:dyDescent="0.25">
      <c r="A569" s="61" t="s">
        <v>1894</v>
      </c>
    </row>
    <row r="570" spans="1:1" x14ac:dyDescent="0.25">
      <c r="A570" s="61" t="s">
        <v>1894</v>
      </c>
    </row>
    <row r="571" spans="1:1" x14ac:dyDescent="0.25">
      <c r="A571" s="61" t="s">
        <v>952</v>
      </c>
    </row>
    <row r="572" spans="1:1" x14ac:dyDescent="0.25">
      <c r="A572" s="61" t="s">
        <v>952</v>
      </c>
    </row>
    <row r="573" spans="1:1" x14ac:dyDescent="0.25">
      <c r="A573" s="61" t="s">
        <v>952</v>
      </c>
    </row>
    <row r="574" spans="1:1" x14ac:dyDescent="0.25">
      <c r="A574" s="61" t="s">
        <v>952</v>
      </c>
    </row>
    <row r="575" spans="1:1" x14ac:dyDescent="0.25">
      <c r="A575" s="61" t="s">
        <v>952</v>
      </c>
    </row>
    <row r="576" spans="1:1" x14ac:dyDescent="0.25">
      <c r="A576" s="61" t="s">
        <v>952</v>
      </c>
    </row>
    <row r="577" spans="1:1" x14ac:dyDescent="0.25">
      <c r="A577" s="61" t="s">
        <v>1894</v>
      </c>
    </row>
    <row r="578" spans="1:1" x14ac:dyDescent="0.25">
      <c r="A578" s="61" t="s">
        <v>1894</v>
      </c>
    </row>
    <row r="579" spans="1:1" x14ac:dyDescent="0.25">
      <c r="A579" s="61" t="s">
        <v>952</v>
      </c>
    </row>
    <row r="580" spans="1:1" x14ac:dyDescent="0.25">
      <c r="A580" s="61" t="s">
        <v>952</v>
      </c>
    </row>
    <row r="581" spans="1:1" x14ac:dyDescent="0.25">
      <c r="A581" s="61" t="s">
        <v>952</v>
      </c>
    </row>
    <row r="582" spans="1:1" x14ac:dyDescent="0.25">
      <c r="A582" s="61" t="s">
        <v>952</v>
      </c>
    </row>
    <row r="583" spans="1:1" x14ac:dyDescent="0.25">
      <c r="A583" s="61" t="s">
        <v>952</v>
      </c>
    </row>
    <row r="584" spans="1:1" x14ac:dyDescent="0.25">
      <c r="A584" s="61" t="s">
        <v>1894</v>
      </c>
    </row>
    <row r="585" spans="1:1" x14ac:dyDescent="0.25">
      <c r="A585" s="61" t="s">
        <v>952</v>
      </c>
    </row>
    <row r="586" spans="1:1" x14ac:dyDescent="0.25">
      <c r="A586" s="61" t="s">
        <v>1894</v>
      </c>
    </row>
    <row r="587" spans="1:1" x14ac:dyDescent="0.25">
      <c r="A587" s="61" t="s">
        <v>952</v>
      </c>
    </row>
    <row r="588" spans="1:1" x14ac:dyDescent="0.25">
      <c r="A588" s="61" t="s">
        <v>952</v>
      </c>
    </row>
    <row r="589" spans="1:1" x14ac:dyDescent="0.25">
      <c r="A589" s="61" t="s">
        <v>952</v>
      </c>
    </row>
    <row r="590" spans="1:1" x14ac:dyDescent="0.25">
      <c r="A590" s="61" t="s">
        <v>1894</v>
      </c>
    </row>
    <row r="591" spans="1:1" x14ac:dyDescent="0.25">
      <c r="A591" s="61" t="s">
        <v>1894</v>
      </c>
    </row>
    <row r="592" spans="1:1" x14ac:dyDescent="0.25">
      <c r="A592" s="61" t="s">
        <v>1894</v>
      </c>
    </row>
    <row r="593" spans="1:1" x14ac:dyDescent="0.25">
      <c r="A593" s="61" t="s">
        <v>1894</v>
      </c>
    </row>
    <row r="594" spans="1:1" x14ac:dyDescent="0.25">
      <c r="A594" s="61" t="s">
        <v>1894</v>
      </c>
    </row>
    <row r="595" spans="1:1" x14ac:dyDescent="0.25">
      <c r="A595" s="61" t="s">
        <v>1894</v>
      </c>
    </row>
    <row r="596" spans="1:1" x14ac:dyDescent="0.25">
      <c r="A596" s="61" t="s">
        <v>952</v>
      </c>
    </row>
    <row r="597" spans="1:1" x14ac:dyDescent="0.25">
      <c r="A597" s="61" t="s">
        <v>952</v>
      </c>
    </row>
    <row r="598" spans="1:1" x14ac:dyDescent="0.25">
      <c r="A598" s="61" t="s">
        <v>952</v>
      </c>
    </row>
    <row r="599" spans="1:1" x14ac:dyDescent="0.25">
      <c r="A599" s="61" t="s">
        <v>1894</v>
      </c>
    </row>
    <row r="600" spans="1:1" x14ac:dyDescent="0.25">
      <c r="A600" s="61" t="s">
        <v>952</v>
      </c>
    </row>
    <row r="601" spans="1:1" x14ac:dyDescent="0.25">
      <c r="A601" s="61" t="s">
        <v>952</v>
      </c>
    </row>
    <row r="602" spans="1:1" x14ac:dyDescent="0.25">
      <c r="A602" s="61" t="s">
        <v>1894</v>
      </c>
    </row>
    <row r="603" spans="1:1" x14ac:dyDescent="0.25">
      <c r="A603" s="61" t="s">
        <v>1894</v>
      </c>
    </row>
    <row r="604" spans="1:1" x14ac:dyDescent="0.25">
      <c r="A604" s="61" t="s">
        <v>1894</v>
      </c>
    </row>
    <row r="605" spans="1:1" x14ac:dyDescent="0.25">
      <c r="A605" s="61" t="s">
        <v>952</v>
      </c>
    </row>
    <row r="606" spans="1:1" x14ac:dyDescent="0.25">
      <c r="A606" s="61" t="s">
        <v>1894</v>
      </c>
    </row>
    <row r="607" spans="1:1" x14ac:dyDescent="0.25">
      <c r="A607" s="61" t="s">
        <v>1894</v>
      </c>
    </row>
    <row r="608" spans="1:1" x14ac:dyDescent="0.25">
      <c r="A608" s="61" t="s">
        <v>1894</v>
      </c>
    </row>
    <row r="609" spans="1:1" x14ac:dyDescent="0.25">
      <c r="A609" s="61" t="s">
        <v>1894</v>
      </c>
    </row>
    <row r="610" spans="1:1" x14ac:dyDescent="0.25">
      <c r="A610" s="61" t="s">
        <v>952</v>
      </c>
    </row>
    <row r="611" spans="1:1" x14ac:dyDescent="0.25">
      <c r="A611" s="61" t="s">
        <v>1894</v>
      </c>
    </row>
    <row r="612" spans="1:1" x14ac:dyDescent="0.25">
      <c r="A612" s="61" t="s">
        <v>1894</v>
      </c>
    </row>
    <row r="613" spans="1:1" x14ac:dyDescent="0.25">
      <c r="A613" s="61" t="s">
        <v>1894</v>
      </c>
    </row>
    <row r="614" spans="1:1" x14ac:dyDescent="0.25">
      <c r="A614" s="61" t="s">
        <v>1894</v>
      </c>
    </row>
    <row r="615" spans="1:1" x14ac:dyDescent="0.25">
      <c r="A615" s="61" t="s">
        <v>1894</v>
      </c>
    </row>
    <row r="616" spans="1:1" x14ac:dyDescent="0.25">
      <c r="A616" s="61" t="s">
        <v>1894</v>
      </c>
    </row>
    <row r="617" spans="1:1" x14ac:dyDescent="0.25">
      <c r="A617" s="61" t="s">
        <v>2602</v>
      </c>
    </row>
    <row r="618" spans="1:1" x14ac:dyDescent="0.25">
      <c r="A618" s="61" t="s">
        <v>1894</v>
      </c>
    </row>
    <row r="619" spans="1:1" x14ac:dyDescent="0.25">
      <c r="A619" s="61" t="s">
        <v>1894</v>
      </c>
    </row>
    <row r="620" spans="1:1" x14ac:dyDescent="0.25">
      <c r="A620" s="61" t="s">
        <v>952</v>
      </c>
    </row>
    <row r="621" spans="1:1" x14ac:dyDescent="0.25">
      <c r="A621" s="61" t="s">
        <v>952</v>
      </c>
    </row>
    <row r="622" spans="1:1" x14ac:dyDescent="0.25">
      <c r="A622" s="61" t="s">
        <v>952</v>
      </c>
    </row>
    <row r="623" spans="1:1" x14ac:dyDescent="0.25">
      <c r="A623" s="61" t="s">
        <v>952</v>
      </c>
    </row>
    <row r="624" spans="1:1" x14ac:dyDescent="0.25">
      <c r="A624" s="61" t="s">
        <v>952</v>
      </c>
    </row>
    <row r="625" spans="1:1" x14ac:dyDescent="0.25">
      <c r="A625" s="61" t="s">
        <v>1894</v>
      </c>
    </row>
    <row r="626" spans="1:1" x14ac:dyDescent="0.25">
      <c r="A626" s="61" t="s">
        <v>952</v>
      </c>
    </row>
    <row r="627" spans="1:1" x14ac:dyDescent="0.25">
      <c r="A627" s="61" t="s">
        <v>1894</v>
      </c>
    </row>
    <row r="628" spans="1:1" x14ac:dyDescent="0.25">
      <c r="A628" s="61" t="s">
        <v>1894</v>
      </c>
    </row>
    <row r="629" spans="1:1" x14ac:dyDescent="0.25">
      <c r="A629" s="61" t="s">
        <v>952</v>
      </c>
    </row>
    <row r="630" spans="1:1" x14ac:dyDescent="0.25">
      <c r="A630" s="61" t="s">
        <v>952</v>
      </c>
    </row>
    <row r="631" spans="1:1" x14ac:dyDescent="0.25">
      <c r="A631" s="61" t="s">
        <v>1894</v>
      </c>
    </row>
    <row r="632" spans="1:1" x14ac:dyDescent="0.25">
      <c r="A632" s="61" t="s">
        <v>1894</v>
      </c>
    </row>
    <row r="633" spans="1:1" x14ac:dyDescent="0.25">
      <c r="A633" s="61" t="s">
        <v>1894</v>
      </c>
    </row>
    <row r="634" spans="1:1" x14ac:dyDescent="0.25">
      <c r="A634" s="61" t="s">
        <v>952</v>
      </c>
    </row>
    <row r="635" spans="1:1" x14ac:dyDescent="0.25">
      <c r="A635" s="61" t="s">
        <v>1894</v>
      </c>
    </row>
    <row r="636" spans="1:1" x14ac:dyDescent="0.25">
      <c r="A636" s="61" t="s">
        <v>952</v>
      </c>
    </row>
    <row r="637" spans="1:1" x14ac:dyDescent="0.25">
      <c r="A637" s="61" t="s">
        <v>1894</v>
      </c>
    </row>
    <row r="638" spans="1:1" x14ac:dyDescent="0.25">
      <c r="A638" s="61" t="s">
        <v>952</v>
      </c>
    </row>
    <row r="639" spans="1:1" x14ac:dyDescent="0.25">
      <c r="A639" s="61" t="s">
        <v>1894</v>
      </c>
    </row>
    <row r="640" spans="1:1" x14ac:dyDescent="0.25">
      <c r="A640" s="61" t="s">
        <v>952</v>
      </c>
    </row>
    <row r="641" spans="1:1" x14ac:dyDescent="0.25">
      <c r="A641" s="61" t="s">
        <v>952</v>
      </c>
    </row>
    <row r="642" spans="1:1" x14ac:dyDescent="0.25">
      <c r="A642" s="61" t="s">
        <v>952</v>
      </c>
    </row>
    <row r="643" spans="1:1" x14ac:dyDescent="0.25">
      <c r="A643" s="61" t="s">
        <v>952</v>
      </c>
    </row>
    <row r="644" spans="1:1" x14ac:dyDescent="0.25">
      <c r="A644" s="61" t="s">
        <v>952</v>
      </c>
    </row>
    <row r="645" spans="1:1" x14ac:dyDescent="0.25">
      <c r="A645" s="61" t="s">
        <v>1894</v>
      </c>
    </row>
    <row r="646" spans="1:1" x14ac:dyDescent="0.25">
      <c r="A646" s="61" t="s">
        <v>1894</v>
      </c>
    </row>
    <row r="647" spans="1:1" x14ac:dyDescent="0.25">
      <c r="A647" s="61" t="s">
        <v>1894</v>
      </c>
    </row>
    <row r="648" spans="1:1" x14ac:dyDescent="0.25">
      <c r="A648" s="61" t="s">
        <v>1894</v>
      </c>
    </row>
    <row r="649" spans="1:1" x14ac:dyDescent="0.25">
      <c r="A649" s="61" t="s">
        <v>1894</v>
      </c>
    </row>
    <row r="650" spans="1:1" x14ac:dyDescent="0.25">
      <c r="A650" s="61" t="s">
        <v>1894</v>
      </c>
    </row>
    <row r="651" spans="1:1" x14ac:dyDescent="0.25">
      <c r="A651" s="61" t="s">
        <v>1894</v>
      </c>
    </row>
    <row r="652" spans="1:1" x14ac:dyDescent="0.25">
      <c r="A652" s="61" t="s">
        <v>952</v>
      </c>
    </row>
    <row r="653" spans="1:1" x14ac:dyDescent="0.25">
      <c r="A653" s="61" t="s">
        <v>1894</v>
      </c>
    </row>
    <row r="654" spans="1:1" x14ac:dyDescent="0.25">
      <c r="A654" s="61" t="s">
        <v>1894</v>
      </c>
    </row>
    <row r="655" spans="1:1" x14ac:dyDescent="0.25">
      <c r="A655" s="61" t="s">
        <v>1894</v>
      </c>
    </row>
    <row r="656" spans="1:1" x14ac:dyDescent="0.25">
      <c r="A656" s="61" t="s">
        <v>1894</v>
      </c>
    </row>
    <row r="657" spans="1:1" x14ac:dyDescent="0.25">
      <c r="A657" s="61" t="s">
        <v>1894</v>
      </c>
    </row>
    <row r="658" spans="1:1" x14ac:dyDescent="0.25">
      <c r="A658" s="61" t="s">
        <v>952</v>
      </c>
    </row>
    <row r="659" spans="1:1" x14ac:dyDescent="0.25">
      <c r="A659" s="61" t="s">
        <v>952</v>
      </c>
    </row>
    <row r="660" spans="1:1" x14ac:dyDescent="0.25">
      <c r="A660" s="61" t="s">
        <v>952</v>
      </c>
    </row>
    <row r="661" spans="1:1" x14ac:dyDescent="0.25">
      <c r="A661" s="61" t="s">
        <v>1894</v>
      </c>
    </row>
    <row r="662" spans="1:1" x14ac:dyDescent="0.25">
      <c r="A662" s="61" t="s">
        <v>1894</v>
      </c>
    </row>
    <row r="663" spans="1:1" x14ac:dyDescent="0.25">
      <c r="A663" s="61" t="s">
        <v>952</v>
      </c>
    </row>
    <row r="664" spans="1:1" x14ac:dyDescent="0.25">
      <c r="A664" s="61" t="s">
        <v>952</v>
      </c>
    </row>
    <row r="665" spans="1:1" x14ac:dyDescent="0.25">
      <c r="A665" s="61" t="s">
        <v>1894</v>
      </c>
    </row>
    <row r="666" spans="1:1" x14ac:dyDescent="0.25">
      <c r="A666" s="61" t="s">
        <v>1894</v>
      </c>
    </row>
    <row r="667" spans="1:1" x14ac:dyDescent="0.25">
      <c r="A667" s="61" t="s">
        <v>1894</v>
      </c>
    </row>
    <row r="668" spans="1:1" x14ac:dyDescent="0.25">
      <c r="A668" s="61" t="s">
        <v>1894</v>
      </c>
    </row>
    <row r="669" spans="1:1" x14ac:dyDescent="0.25">
      <c r="A669" s="61" t="s">
        <v>1894</v>
      </c>
    </row>
    <row r="670" spans="1:1" x14ac:dyDescent="0.25">
      <c r="A670" s="61" t="s">
        <v>952</v>
      </c>
    </row>
    <row r="671" spans="1:1" x14ac:dyDescent="0.25">
      <c r="A671" s="61" t="s">
        <v>952</v>
      </c>
    </row>
    <row r="672" spans="1:1" x14ac:dyDescent="0.25">
      <c r="A672" s="61" t="s">
        <v>1894</v>
      </c>
    </row>
    <row r="673" spans="1:1" x14ac:dyDescent="0.25">
      <c r="A673" s="61" t="s">
        <v>1894</v>
      </c>
    </row>
    <row r="674" spans="1:1" x14ac:dyDescent="0.25">
      <c r="A674" s="61" t="s">
        <v>952</v>
      </c>
    </row>
    <row r="675" spans="1:1" x14ac:dyDescent="0.25">
      <c r="A675" s="61" t="s">
        <v>1894</v>
      </c>
    </row>
    <row r="676" spans="1:1" x14ac:dyDescent="0.25">
      <c r="A676" s="61" t="s">
        <v>952</v>
      </c>
    </row>
    <row r="677" spans="1:1" x14ac:dyDescent="0.25">
      <c r="A677" s="61" t="s">
        <v>1894</v>
      </c>
    </row>
    <row r="678" spans="1:1" x14ac:dyDescent="0.25">
      <c r="A678" s="61" t="s">
        <v>1894</v>
      </c>
    </row>
    <row r="679" spans="1:1" x14ac:dyDescent="0.25">
      <c r="A679" s="61" t="s">
        <v>1894</v>
      </c>
    </row>
    <row r="680" spans="1:1" x14ac:dyDescent="0.25">
      <c r="A680" s="61" t="s">
        <v>1894</v>
      </c>
    </row>
    <row r="681" spans="1:1" x14ac:dyDescent="0.25">
      <c r="A681" s="61" t="s">
        <v>1894</v>
      </c>
    </row>
    <row r="682" spans="1:1" x14ac:dyDescent="0.25">
      <c r="A682" s="61" t="s">
        <v>1894</v>
      </c>
    </row>
    <row r="683" spans="1:1" x14ac:dyDescent="0.25">
      <c r="A683" s="61" t="s">
        <v>952</v>
      </c>
    </row>
    <row r="684" spans="1:1" x14ac:dyDescent="0.25">
      <c r="A684" s="61" t="s">
        <v>952</v>
      </c>
    </row>
    <row r="685" spans="1:1" x14ac:dyDescent="0.25">
      <c r="A685" s="61" t="s">
        <v>952</v>
      </c>
    </row>
    <row r="686" spans="1:1" x14ac:dyDescent="0.25">
      <c r="A686" s="61" t="s">
        <v>1894</v>
      </c>
    </row>
    <row r="687" spans="1:1" x14ac:dyDescent="0.25">
      <c r="A687" s="61" t="s">
        <v>1894</v>
      </c>
    </row>
    <row r="688" spans="1:1" x14ac:dyDescent="0.25">
      <c r="A688" s="61" t="s">
        <v>1894</v>
      </c>
    </row>
    <row r="689" spans="1:1" x14ac:dyDescent="0.25">
      <c r="A689" s="61" t="s">
        <v>1894</v>
      </c>
    </row>
    <row r="690" spans="1:1" x14ac:dyDescent="0.25">
      <c r="A690" s="61" t="s">
        <v>952</v>
      </c>
    </row>
    <row r="691" spans="1:1" x14ac:dyDescent="0.25">
      <c r="A691" s="61" t="s">
        <v>952</v>
      </c>
    </row>
    <row r="692" spans="1:1" x14ac:dyDescent="0.25">
      <c r="A692" s="61" t="s">
        <v>952</v>
      </c>
    </row>
    <row r="693" spans="1:1" x14ac:dyDescent="0.25">
      <c r="A693" s="61" t="s">
        <v>1894</v>
      </c>
    </row>
    <row r="694" spans="1:1" x14ac:dyDescent="0.25">
      <c r="A694" s="61" t="s">
        <v>1894</v>
      </c>
    </row>
    <row r="695" spans="1:1" x14ac:dyDescent="0.25">
      <c r="A695" s="61" t="s">
        <v>1894</v>
      </c>
    </row>
    <row r="696" spans="1:1" x14ac:dyDescent="0.25">
      <c r="A696" s="61" t="s">
        <v>1894</v>
      </c>
    </row>
    <row r="697" spans="1:1" x14ac:dyDescent="0.25">
      <c r="A697" s="61" t="s">
        <v>952</v>
      </c>
    </row>
    <row r="698" spans="1:1" x14ac:dyDescent="0.25">
      <c r="A698" s="61" t="s">
        <v>952</v>
      </c>
    </row>
    <row r="699" spans="1:1" x14ac:dyDescent="0.25">
      <c r="A699" s="61" t="s">
        <v>952</v>
      </c>
    </row>
    <row r="700" spans="1:1" x14ac:dyDescent="0.25">
      <c r="A700" s="61" t="s">
        <v>952</v>
      </c>
    </row>
    <row r="701" spans="1:1" x14ac:dyDescent="0.25">
      <c r="A701" s="61" t="s">
        <v>952</v>
      </c>
    </row>
    <row r="702" spans="1:1" x14ac:dyDescent="0.25">
      <c r="A702" s="61" t="s">
        <v>1894</v>
      </c>
    </row>
    <row r="703" spans="1:1" x14ac:dyDescent="0.25">
      <c r="A703" s="61" t="s">
        <v>1894</v>
      </c>
    </row>
    <row r="704" spans="1:1" x14ac:dyDescent="0.25">
      <c r="A704" s="61" t="s">
        <v>1894</v>
      </c>
    </row>
    <row r="705" spans="1:1" x14ac:dyDescent="0.25">
      <c r="A705" s="61" t="s">
        <v>1894</v>
      </c>
    </row>
    <row r="706" spans="1:1" x14ac:dyDescent="0.25">
      <c r="A706" s="61" t="s">
        <v>1894</v>
      </c>
    </row>
    <row r="707" spans="1:1" x14ac:dyDescent="0.25">
      <c r="A707" s="61" t="s">
        <v>1894</v>
      </c>
    </row>
    <row r="708" spans="1:1" x14ac:dyDescent="0.25">
      <c r="A708" s="61" t="s">
        <v>1894</v>
      </c>
    </row>
    <row r="709" spans="1:1" x14ac:dyDescent="0.25">
      <c r="A709" s="61" t="s">
        <v>952</v>
      </c>
    </row>
    <row r="710" spans="1:1" x14ac:dyDescent="0.25">
      <c r="A710" s="61" t="s">
        <v>1894</v>
      </c>
    </row>
    <row r="711" spans="1:1" x14ac:dyDescent="0.25">
      <c r="A711" s="61" t="s">
        <v>952</v>
      </c>
    </row>
    <row r="712" spans="1:1" x14ac:dyDescent="0.25">
      <c r="A712" s="61" t="s">
        <v>952</v>
      </c>
    </row>
    <row r="713" spans="1:1" x14ac:dyDescent="0.25">
      <c r="A713" s="61" t="s">
        <v>1894</v>
      </c>
    </row>
    <row r="714" spans="1:1" x14ac:dyDescent="0.25">
      <c r="A714" s="61" t="s">
        <v>1894</v>
      </c>
    </row>
    <row r="715" spans="1:1" x14ac:dyDescent="0.25">
      <c r="A715" s="61" t="s">
        <v>1894</v>
      </c>
    </row>
    <row r="716" spans="1:1" x14ac:dyDescent="0.25">
      <c r="A716" s="61" t="s">
        <v>952</v>
      </c>
    </row>
    <row r="717" spans="1:1" x14ac:dyDescent="0.25">
      <c r="A717" s="61" t="s">
        <v>952</v>
      </c>
    </row>
    <row r="718" spans="1:1" x14ac:dyDescent="0.25">
      <c r="A718" s="61" t="s">
        <v>1894</v>
      </c>
    </row>
    <row r="719" spans="1:1" x14ac:dyDescent="0.25">
      <c r="A719" s="61" t="s">
        <v>952</v>
      </c>
    </row>
    <row r="720" spans="1:1" x14ac:dyDescent="0.25">
      <c r="A720" s="61" t="s">
        <v>1894</v>
      </c>
    </row>
    <row r="721" spans="1:1" x14ac:dyDescent="0.25">
      <c r="A721" s="61" t="s">
        <v>952</v>
      </c>
    </row>
    <row r="722" spans="1:1" x14ac:dyDescent="0.25">
      <c r="A722" s="61" t="s">
        <v>1894</v>
      </c>
    </row>
    <row r="723" spans="1:1" x14ac:dyDescent="0.25">
      <c r="A723" s="61" t="s">
        <v>1894</v>
      </c>
    </row>
    <row r="724" spans="1:1" x14ac:dyDescent="0.25">
      <c r="A724" s="61" t="s">
        <v>1894</v>
      </c>
    </row>
    <row r="725" spans="1:1" x14ac:dyDescent="0.25">
      <c r="A725" s="61" t="s">
        <v>952</v>
      </c>
    </row>
    <row r="726" spans="1:1" x14ac:dyDescent="0.25">
      <c r="A726" s="61" t="s">
        <v>952</v>
      </c>
    </row>
    <row r="727" spans="1:1" x14ac:dyDescent="0.25">
      <c r="A727" s="61" t="s">
        <v>1894</v>
      </c>
    </row>
    <row r="728" spans="1:1" x14ac:dyDescent="0.25">
      <c r="A728" s="61" t="s">
        <v>952</v>
      </c>
    </row>
    <row r="729" spans="1:1" x14ac:dyDescent="0.25">
      <c r="A729" s="61" t="s">
        <v>1894</v>
      </c>
    </row>
    <row r="730" spans="1:1" x14ac:dyDescent="0.25">
      <c r="A730" s="61" t="s">
        <v>1894</v>
      </c>
    </row>
    <row r="731" spans="1:1" x14ac:dyDescent="0.25">
      <c r="A731" s="61" t="s">
        <v>952</v>
      </c>
    </row>
    <row r="732" spans="1:1" x14ac:dyDescent="0.25">
      <c r="A732" s="61" t="s">
        <v>952</v>
      </c>
    </row>
    <row r="733" spans="1:1" x14ac:dyDescent="0.25">
      <c r="A733" s="61" t="s">
        <v>1894</v>
      </c>
    </row>
    <row r="734" spans="1:1" x14ac:dyDescent="0.25">
      <c r="A734" s="61" t="s">
        <v>952</v>
      </c>
    </row>
    <row r="735" spans="1:1" x14ac:dyDescent="0.25">
      <c r="A735" s="61" t="s">
        <v>1894</v>
      </c>
    </row>
    <row r="736" spans="1:1" x14ac:dyDescent="0.25">
      <c r="A736" s="61" t="s">
        <v>952</v>
      </c>
    </row>
    <row r="737" spans="1:1" x14ac:dyDescent="0.25">
      <c r="A737" s="61" t="s">
        <v>952</v>
      </c>
    </row>
    <row r="738" spans="1:1" x14ac:dyDescent="0.25">
      <c r="A738" s="61" t="s">
        <v>952</v>
      </c>
    </row>
    <row r="739" spans="1:1" x14ac:dyDescent="0.25">
      <c r="A739" s="61" t="s">
        <v>952</v>
      </c>
    </row>
    <row r="740" spans="1:1" x14ac:dyDescent="0.25">
      <c r="A740" s="61" t="s">
        <v>952</v>
      </c>
    </row>
    <row r="741" spans="1:1" x14ac:dyDescent="0.25">
      <c r="A741" s="61" t="s">
        <v>952</v>
      </c>
    </row>
    <row r="742" spans="1:1" x14ac:dyDescent="0.25">
      <c r="A742" s="61" t="s">
        <v>952</v>
      </c>
    </row>
    <row r="743" spans="1:1" x14ac:dyDescent="0.25">
      <c r="A743" s="61" t="s">
        <v>952</v>
      </c>
    </row>
    <row r="744" spans="1:1" x14ac:dyDescent="0.25">
      <c r="A744" s="61" t="s">
        <v>952</v>
      </c>
    </row>
    <row r="745" spans="1:1" x14ac:dyDescent="0.25">
      <c r="A745" s="61" t="s">
        <v>1894</v>
      </c>
    </row>
    <row r="746" spans="1:1" x14ac:dyDescent="0.25">
      <c r="A746" s="61" t="s">
        <v>952</v>
      </c>
    </row>
    <row r="747" spans="1:1" x14ac:dyDescent="0.25">
      <c r="A747" s="61" t="s">
        <v>1894</v>
      </c>
    </row>
    <row r="748" spans="1:1" x14ac:dyDescent="0.25">
      <c r="A748" s="61" t="s">
        <v>1894</v>
      </c>
    </row>
    <row r="749" spans="1:1" x14ac:dyDescent="0.25">
      <c r="A749" s="61" t="s">
        <v>952</v>
      </c>
    </row>
    <row r="750" spans="1:1" x14ac:dyDescent="0.25">
      <c r="A750" s="61" t="s">
        <v>235</v>
      </c>
    </row>
    <row r="751" spans="1:1" x14ac:dyDescent="0.25">
      <c r="A751" s="61" t="s">
        <v>3120</v>
      </c>
    </row>
    <row r="752" spans="1:1" x14ac:dyDescent="0.25">
      <c r="A752" s="61" t="s">
        <v>1894</v>
      </c>
    </row>
    <row r="753" spans="1:1" x14ac:dyDescent="0.25">
      <c r="A753" s="61" t="s">
        <v>3127</v>
      </c>
    </row>
    <row r="754" spans="1:1" x14ac:dyDescent="0.25">
      <c r="A754" s="61" t="s">
        <v>1894</v>
      </c>
    </row>
    <row r="755" spans="1:1" x14ac:dyDescent="0.25">
      <c r="A755" s="61" t="s">
        <v>1894</v>
      </c>
    </row>
    <row r="756" spans="1:1" x14ac:dyDescent="0.25">
      <c r="A756" s="61" t="s">
        <v>1894</v>
      </c>
    </row>
    <row r="757" spans="1:1" x14ac:dyDescent="0.25">
      <c r="A757" s="61" t="s">
        <v>952</v>
      </c>
    </row>
    <row r="758" spans="1:1" x14ac:dyDescent="0.25">
      <c r="A758" s="61" t="s">
        <v>952</v>
      </c>
    </row>
    <row r="759" spans="1:1" x14ac:dyDescent="0.25">
      <c r="A759" s="61" t="s">
        <v>952</v>
      </c>
    </row>
    <row r="760" spans="1:1" x14ac:dyDescent="0.25">
      <c r="A760" s="61" t="s">
        <v>952</v>
      </c>
    </row>
    <row r="761" spans="1:1" x14ac:dyDescent="0.25">
      <c r="A761" s="61" t="s">
        <v>952</v>
      </c>
    </row>
    <row r="762" spans="1:1" x14ac:dyDescent="0.25">
      <c r="A762" s="61" t="s">
        <v>1894</v>
      </c>
    </row>
    <row r="763" spans="1:1" x14ac:dyDescent="0.25">
      <c r="A763" s="61" t="s">
        <v>952</v>
      </c>
    </row>
    <row r="764" spans="1:1" x14ac:dyDescent="0.25">
      <c r="A764" s="61" t="s">
        <v>1894</v>
      </c>
    </row>
    <row r="765" spans="1:1" x14ac:dyDescent="0.25">
      <c r="A765" s="61" t="s">
        <v>1894</v>
      </c>
    </row>
    <row r="766" spans="1:1" x14ac:dyDescent="0.25">
      <c r="A766" s="61" t="s">
        <v>1894</v>
      </c>
    </row>
    <row r="767" spans="1:1" x14ac:dyDescent="0.25">
      <c r="A767" s="61" t="s">
        <v>1894</v>
      </c>
    </row>
    <row r="768" spans="1:1" x14ac:dyDescent="0.25">
      <c r="A768" s="61" t="s">
        <v>1894</v>
      </c>
    </row>
    <row r="769" spans="1:1" x14ac:dyDescent="0.25">
      <c r="A769" s="61" t="s">
        <v>1894</v>
      </c>
    </row>
    <row r="770" spans="1:1" x14ac:dyDescent="0.25">
      <c r="A770" s="61" t="s">
        <v>1894</v>
      </c>
    </row>
    <row r="771" spans="1:1" x14ac:dyDescent="0.25">
      <c r="A771" s="61" t="s">
        <v>952</v>
      </c>
    </row>
    <row r="772" spans="1:1" x14ac:dyDescent="0.25">
      <c r="A772" s="61" t="s">
        <v>952</v>
      </c>
    </row>
    <row r="773" spans="1:1" x14ac:dyDescent="0.25">
      <c r="A773" s="61" t="s">
        <v>1894</v>
      </c>
    </row>
    <row r="774" spans="1:1" x14ac:dyDescent="0.25">
      <c r="A774" s="61" t="s">
        <v>1894</v>
      </c>
    </row>
    <row r="775" spans="1:1" x14ac:dyDescent="0.25">
      <c r="A775" s="61" t="s">
        <v>952</v>
      </c>
    </row>
    <row r="776" spans="1:1" x14ac:dyDescent="0.25">
      <c r="A776" s="61" t="s">
        <v>952</v>
      </c>
    </row>
    <row r="777" spans="1:1" x14ac:dyDescent="0.25">
      <c r="A777" s="61" t="s">
        <v>952</v>
      </c>
    </row>
    <row r="778" spans="1:1" x14ac:dyDescent="0.25">
      <c r="A778" s="61" t="s">
        <v>952</v>
      </c>
    </row>
    <row r="779" spans="1:1" x14ac:dyDescent="0.25">
      <c r="A779" s="61" t="s">
        <v>1894</v>
      </c>
    </row>
    <row r="780" spans="1:1" x14ac:dyDescent="0.25">
      <c r="A780" s="61" t="s">
        <v>952</v>
      </c>
    </row>
    <row r="781" spans="1:1" x14ac:dyDescent="0.25">
      <c r="A781" s="61" t="s">
        <v>952</v>
      </c>
    </row>
    <row r="782" spans="1:1" x14ac:dyDescent="0.25">
      <c r="A782" s="61" t="s">
        <v>952</v>
      </c>
    </row>
    <row r="783" spans="1:1" x14ac:dyDescent="0.25">
      <c r="A783" s="61" t="s">
        <v>1894</v>
      </c>
    </row>
    <row r="784" spans="1:1" x14ac:dyDescent="0.25">
      <c r="A784" s="61" t="s">
        <v>1894</v>
      </c>
    </row>
    <row r="785" spans="1:1" x14ac:dyDescent="0.25">
      <c r="A785" s="61" t="s">
        <v>1894</v>
      </c>
    </row>
    <row r="786" spans="1:1" x14ac:dyDescent="0.25">
      <c r="A786" s="61" t="s">
        <v>1894</v>
      </c>
    </row>
    <row r="787" spans="1:1" x14ac:dyDescent="0.25">
      <c r="A787" s="61" t="s">
        <v>1894</v>
      </c>
    </row>
    <row r="788" spans="1:1" x14ac:dyDescent="0.25">
      <c r="A788" s="61" t="s">
        <v>952</v>
      </c>
    </row>
    <row r="789" spans="1:1" x14ac:dyDescent="0.25">
      <c r="A789" s="61" t="s">
        <v>1894</v>
      </c>
    </row>
    <row r="790" spans="1:1" x14ac:dyDescent="0.25">
      <c r="A790" s="61" t="s">
        <v>1894</v>
      </c>
    </row>
    <row r="791" spans="1:1" x14ac:dyDescent="0.25">
      <c r="A791" s="61" t="s">
        <v>1894</v>
      </c>
    </row>
    <row r="792" spans="1:1" x14ac:dyDescent="0.25">
      <c r="A792" s="61" t="s">
        <v>1894</v>
      </c>
    </row>
    <row r="793" spans="1:1" x14ac:dyDescent="0.25">
      <c r="A793" s="61" t="s">
        <v>1894</v>
      </c>
    </row>
    <row r="794" spans="1:1" x14ac:dyDescent="0.25">
      <c r="A794" s="61" t="s">
        <v>1894</v>
      </c>
    </row>
    <row r="795" spans="1:1" x14ac:dyDescent="0.25">
      <c r="A795" s="61" t="s">
        <v>1894</v>
      </c>
    </row>
    <row r="796" spans="1:1" x14ac:dyDescent="0.25">
      <c r="A796" s="61" t="s">
        <v>1894</v>
      </c>
    </row>
    <row r="797" spans="1:1" x14ac:dyDescent="0.25">
      <c r="A797" s="61" t="s">
        <v>1894</v>
      </c>
    </row>
    <row r="798" spans="1:1" x14ac:dyDescent="0.25">
      <c r="A798" s="61" t="s">
        <v>1894</v>
      </c>
    </row>
    <row r="799" spans="1:1" x14ac:dyDescent="0.25">
      <c r="A799" s="61" t="s">
        <v>1894</v>
      </c>
    </row>
    <row r="800" spans="1:1" x14ac:dyDescent="0.25">
      <c r="A800" s="61" t="s">
        <v>1894</v>
      </c>
    </row>
    <row r="801" spans="1:1" x14ac:dyDescent="0.25">
      <c r="A801" s="61" t="s">
        <v>1894</v>
      </c>
    </row>
    <row r="802" spans="1:1" x14ac:dyDescent="0.25">
      <c r="A802" s="61" t="s">
        <v>1894</v>
      </c>
    </row>
    <row r="803" spans="1:1" x14ac:dyDescent="0.25">
      <c r="A803" s="61" t="s">
        <v>1894</v>
      </c>
    </row>
    <row r="804" spans="1:1" x14ac:dyDescent="0.25">
      <c r="A804" s="61" t="s">
        <v>1894</v>
      </c>
    </row>
    <row r="805" spans="1:1" x14ac:dyDescent="0.25">
      <c r="A805" s="61" t="s">
        <v>1894</v>
      </c>
    </row>
    <row r="806" spans="1:1" x14ac:dyDescent="0.25">
      <c r="A806" s="61" t="s">
        <v>1894</v>
      </c>
    </row>
    <row r="807" spans="1:1" x14ac:dyDescent="0.25">
      <c r="A807" s="61" t="s">
        <v>1894</v>
      </c>
    </row>
    <row r="808" spans="1:1" x14ac:dyDescent="0.25">
      <c r="A808" s="61" t="s">
        <v>235</v>
      </c>
    </row>
    <row r="809" spans="1:1" x14ac:dyDescent="0.25">
      <c r="A809" s="61" t="s">
        <v>235</v>
      </c>
    </row>
    <row r="810" spans="1:1" x14ac:dyDescent="0.25">
      <c r="A810" s="61" t="s">
        <v>235</v>
      </c>
    </row>
    <row r="811" spans="1:1" x14ac:dyDescent="0.25">
      <c r="A811" s="61" t="s">
        <v>235</v>
      </c>
    </row>
    <row r="812" spans="1:1" x14ac:dyDescent="0.25">
      <c r="A812" s="61" t="s">
        <v>952</v>
      </c>
    </row>
    <row r="813" spans="1:1" x14ac:dyDescent="0.25">
      <c r="A813" s="61" t="s">
        <v>952</v>
      </c>
    </row>
    <row r="814" spans="1:1" x14ac:dyDescent="0.25">
      <c r="A814" s="61" t="s">
        <v>1894</v>
      </c>
    </row>
    <row r="815" spans="1:1" x14ac:dyDescent="0.25">
      <c r="A815" s="61" t="s">
        <v>952</v>
      </c>
    </row>
    <row r="816" spans="1:1" x14ac:dyDescent="0.25">
      <c r="A816" s="61" t="s">
        <v>1894</v>
      </c>
    </row>
    <row r="817" spans="1:1" x14ac:dyDescent="0.25">
      <c r="A817" s="61" t="s">
        <v>1894</v>
      </c>
    </row>
    <row r="818" spans="1:1" x14ac:dyDescent="0.25">
      <c r="A818" s="61" t="s">
        <v>1894</v>
      </c>
    </row>
    <row r="819" spans="1:1" x14ac:dyDescent="0.25">
      <c r="A819" s="61" t="s">
        <v>1894</v>
      </c>
    </row>
    <row r="820" spans="1:1" x14ac:dyDescent="0.25">
      <c r="A820" s="61" t="s">
        <v>1894</v>
      </c>
    </row>
    <row r="821" spans="1:1" x14ac:dyDescent="0.25">
      <c r="A821" s="61" t="s">
        <v>1894</v>
      </c>
    </row>
    <row r="822" spans="1:1" x14ac:dyDescent="0.25">
      <c r="A822" s="61" t="s">
        <v>1894</v>
      </c>
    </row>
    <row r="823" spans="1:1" x14ac:dyDescent="0.25">
      <c r="A823" s="61" t="s">
        <v>1894</v>
      </c>
    </row>
    <row r="824" spans="1:1" x14ac:dyDescent="0.25">
      <c r="A824" s="61" t="s">
        <v>1894</v>
      </c>
    </row>
    <row r="825" spans="1:1" x14ac:dyDescent="0.25">
      <c r="A825" s="61" t="s">
        <v>952</v>
      </c>
    </row>
    <row r="826" spans="1:1" x14ac:dyDescent="0.25">
      <c r="A826" s="61" t="s">
        <v>952</v>
      </c>
    </row>
    <row r="827" spans="1:1" x14ac:dyDescent="0.25">
      <c r="A827" s="61" t="s">
        <v>952</v>
      </c>
    </row>
    <row r="828" spans="1:1" x14ac:dyDescent="0.25">
      <c r="A828" s="61" t="s">
        <v>1894</v>
      </c>
    </row>
    <row r="829" spans="1:1" x14ac:dyDescent="0.25">
      <c r="A829" s="61" t="s">
        <v>1894</v>
      </c>
    </row>
    <row r="830" spans="1:1" x14ac:dyDescent="0.25">
      <c r="A830" s="61" t="s">
        <v>1894</v>
      </c>
    </row>
    <row r="831" spans="1:1" x14ac:dyDescent="0.25">
      <c r="A831" s="61" t="s">
        <v>1894</v>
      </c>
    </row>
    <row r="832" spans="1:1" x14ac:dyDescent="0.25">
      <c r="A832" s="61" t="s">
        <v>952</v>
      </c>
    </row>
    <row r="833" spans="1:1" x14ac:dyDescent="0.25">
      <c r="A833" s="61" t="s">
        <v>952</v>
      </c>
    </row>
    <row r="834" spans="1:1" x14ac:dyDescent="0.25">
      <c r="A834" s="61" t="s">
        <v>952</v>
      </c>
    </row>
    <row r="835" spans="1:1" x14ac:dyDescent="0.25">
      <c r="A835" s="61" t="s">
        <v>1894</v>
      </c>
    </row>
    <row r="836" spans="1:1" x14ac:dyDescent="0.25">
      <c r="A836" s="61" t="s">
        <v>952</v>
      </c>
    </row>
    <row r="837" spans="1:1" x14ac:dyDescent="0.25">
      <c r="A837" s="61" t="s">
        <v>952</v>
      </c>
    </row>
    <row r="838" spans="1:1" x14ac:dyDescent="0.25">
      <c r="A838" s="61" t="s">
        <v>952</v>
      </c>
    </row>
    <row r="839" spans="1:1" x14ac:dyDescent="0.25">
      <c r="A839" s="61" t="s">
        <v>952</v>
      </c>
    </row>
    <row r="840" spans="1:1" x14ac:dyDescent="0.25">
      <c r="A840" s="61" t="s">
        <v>1894</v>
      </c>
    </row>
    <row r="841" spans="1:1" x14ac:dyDescent="0.25">
      <c r="A841" s="61" t="s">
        <v>1894</v>
      </c>
    </row>
    <row r="842" spans="1:1" x14ac:dyDescent="0.25">
      <c r="A842" s="61" t="s">
        <v>952</v>
      </c>
    </row>
    <row r="843" spans="1:1" x14ac:dyDescent="0.25">
      <c r="A843" s="61" t="s">
        <v>952</v>
      </c>
    </row>
    <row r="844" spans="1:1" x14ac:dyDescent="0.25">
      <c r="A844" s="61" t="s">
        <v>952</v>
      </c>
    </row>
    <row r="845" spans="1:1" x14ac:dyDescent="0.25">
      <c r="A845" s="61" t="s">
        <v>1894</v>
      </c>
    </row>
    <row r="846" spans="1:1" x14ac:dyDescent="0.25">
      <c r="A846" s="61" t="s">
        <v>1894</v>
      </c>
    </row>
    <row r="847" spans="1:1" x14ac:dyDescent="0.25">
      <c r="A847" s="61" t="s">
        <v>1894</v>
      </c>
    </row>
    <row r="848" spans="1:1" x14ac:dyDescent="0.25">
      <c r="A848" s="61" t="s">
        <v>952</v>
      </c>
    </row>
    <row r="849" spans="1:1" x14ac:dyDescent="0.25">
      <c r="A849" s="61" t="s">
        <v>952</v>
      </c>
    </row>
    <row r="850" spans="1:1" x14ac:dyDescent="0.25">
      <c r="A850" s="61" t="s">
        <v>952</v>
      </c>
    </row>
    <row r="851" spans="1:1" x14ac:dyDescent="0.25">
      <c r="A851" s="61" t="s">
        <v>952</v>
      </c>
    </row>
    <row r="852" spans="1:1" x14ac:dyDescent="0.25">
      <c r="A852" s="61" t="s">
        <v>952</v>
      </c>
    </row>
    <row r="853" spans="1:1" x14ac:dyDescent="0.25">
      <c r="A853" s="61" t="s">
        <v>952</v>
      </c>
    </row>
    <row r="854" spans="1:1" x14ac:dyDescent="0.25">
      <c r="A854" s="61" t="s">
        <v>952</v>
      </c>
    </row>
    <row r="855" spans="1:1" x14ac:dyDescent="0.25">
      <c r="A855" s="61" t="s">
        <v>952</v>
      </c>
    </row>
    <row r="856" spans="1:1" x14ac:dyDescent="0.25">
      <c r="A856" s="61" t="s">
        <v>952</v>
      </c>
    </row>
    <row r="857" spans="1:1" x14ac:dyDescent="0.25">
      <c r="A857" s="61" t="s">
        <v>1894</v>
      </c>
    </row>
    <row r="858" spans="1:1" x14ac:dyDescent="0.25">
      <c r="A858" s="61" t="s">
        <v>1894</v>
      </c>
    </row>
    <row r="859" spans="1:1" x14ac:dyDescent="0.25">
      <c r="A859" s="61" t="s">
        <v>952</v>
      </c>
    </row>
    <row r="860" spans="1:1" x14ac:dyDescent="0.25">
      <c r="A860" s="61" t="s">
        <v>952</v>
      </c>
    </row>
    <row r="861" spans="1:1" x14ac:dyDescent="0.25">
      <c r="A861" s="61" t="s">
        <v>1894</v>
      </c>
    </row>
    <row r="862" spans="1:1" x14ac:dyDescent="0.25">
      <c r="A862" s="61" t="s">
        <v>1894</v>
      </c>
    </row>
    <row r="863" spans="1:1" x14ac:dyDescent="0.25">
      <c r="A863" s="61" t="s">
        <v>952</v>
      </c>
    </row>
    <row r="864" spans="1:1" x14ac:dyDescent="0.25">
      <c r="A864" s="61" t="s">
        <v>952</v>
      </c>
    </row>
    <row r="865" spans="1:1" x14ac:dyDescent="0.25">
      <c r="A865" s="61" t="s">
        <v>952</v>
      </c>
    </row>
    <row r="866" spans="1:1" x14ac:dyDescent="0.25">
      <c r="A866" s="61" t="s">
        <v>952</v>
      </c>
    </row>
    <row r="867" spans="1:1" x14ac:dyDescent="0.25">
      <c r="A867" s="61" t="s">
        <v>952</v>
      </c>
    </row>
    <row r="868" spans="1:1" x14ac:dyDescent="0.25">
      <c r="A868" s="61" t="s">
        <v>952</v>
      </c>
    </row>
    <row r="869" spans="1:1" x14ac:dyDescent="0.25">
      <c r="A869" s="61" t="s">
        <v>952</v>
      </c>
    </row>
  </sheetData>
  <autoFilter ref="C1:C27" xr:uid="{00000000-0009-0000-0000-000003000000}"/>
  <phoneticPr fontId="3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89"/>
  <sheetViews>
    <sheetView workbookViewId="0">
      <selection activeCell="E2" sqref="E2:E68"/>
    </sheetView>
  </sheetViews>
  <sheetFormatPr defaultRowHeight="15" x14ac:dyDescent="0.25"/>
  <cols>
    <col min="1" max="1" width="22.7109375" customWidth="1"/>
    <col min="3" max="3" width="32" customWidth="1"/>
  </cols>
  <sheetData>
    <row r="1" spans="1:5" x14ac:dyDescent="0.25">
      <c r="A1" s="276" t="s">
        <v>51</v>
      </c>
      <c r="C1" s="276" t="s">
        <v>51</v>
      </c>
    </row>
    <row r="2" spans="1:5" x14ac:dyDescent="0.25">
      <c r="A2" s="60">
        <v>4000</v>
      </c>
      <c r="C2" s="60">
        <v>4000</v>
      </c>
      <c r="D2" t="s">
        <v>5085</v>
      </c>
      <c r="E2" t="str">
        <f>"Insert into Dmquycach(Maquycach, Tenquycach, Manhom) values ('" &amp; D2 &amp; "', N'" &amp; C2 &amp; "', 'N07') "</f>
        <v xml:space="preserve">Insert into Dmquycach(Maquycach, Tenquycach, Manhom) values ('DG001', N'4000', 'N07') </v>
      </c>
    </row>
    <row r="3" spans="1:5" x14ac:dyDescent="0.25">
      <c r="A3" s="60">
        <v>4000</v>
      </c>
      <c r="C3" s="141">
        <v>2000</v>
      </c>
      <c r="D3" t="s">
        <v>5169</v>
      </c>
      <c r="E3" t="str">
        <f t="shared" ref="E3:E66" si="0">"Insert into Dmquycach(Maquycach, Tenquycach, Manhom) values ('" &amp; D3 &amp; "', N'" &amp; C3 &amp; "', 'N07') "</f>
        <v xml:space="preserve">Insert into Dmquycach(Maquycach, Tenquycach, Manhom) values ('DG002', N'2000', 'N07') </v>
      </c>
    </row>
    <row r="4" spans="1:5" x14ac:dyDescent="0.25">
      <c r="A4" s="141">
        <v>2000</v>
      </c>
      <c r="C4" s="60" t="s">
        <v>106</v>
      </c>
      <c r="D4" t="s">
        <v>5170</v>
      </c>
      <c r="E4" t="str">
        <f t="shared" si="0"/>
        <v xml:space="preserve">Insert into Dmquycach(Maquycach, Tenquycach, Manhom) values ('DG003', N'1c', 'N07') </v>
      </c>
    </row>
    <row r="5" spans="1:5" x14ac:dyDescent="0.25">
      <c r="A5" s="60">
        <v>2000</v>
      </c>
      <c r="C5" s="60">
        <v>1500</v>
      </c>
      <c r="D5" t="s">
        <v>5171</v>
      </c>
      <c r="E5" t="str">
        <f t="shared" si="0"/>
        <v xml:space="preserve">Insert into Dmquycach(Maquycach, Tenquycach, Manhom) values ('DG004', N'1500', 'N07') </v>
      </c>
    </row>
    <row r="6" spans="1:5" x14ac:dyDescent="0.25">
      <c r="A6" s="60">
        <v>2000</v>
      </c>
      <c r="C6" s="60">
        <v>3000</v>
      </c>
      <c r="D6" t="s">
        <v>5172</v>
      </c>
      <c r="E6" t="str">
        <f t="shared" si="0"/>
        <v xml:space="preserve">Insert into Dmquycach(Maquycach, Tenquycach, Manhom) values ('DG005', N'3000', 'N07') </v>
      </c>
    </row>
    <row r="7" spans="1:5" x14ac:dyDescent="0.25">
      <c r="A7" s="60">
        <v>4000</v>
      </c>
      <c r="C7" s="60">
        <v>2500</v>
      </c>
      <c r="D7" t="s">
        <v>5173</v>
      </c>
      <c r="E7" t="str">
        <f t="shared" si="0"/>
        <v xml:space="preserve">Insert into Dmquycach(Maquycach, Tenquycach, Manhom) values ('DG006', N'2500', 'N07') </v>
      </c>
    </row>
    <row r="8" spans="1:5" x14ac:dyDescent="0.25">
      <c r="A8" s="60">
        <v>4000</v>
      </c>
      <c r="C8" s="60">
        <v>15000</v>
      </c>
      <c r="D8" t="s">
        <v>5174</v>
      </c>
      <c r="E8" t="str">
        <f t="shared" si="0"/>
        <v xml:space="preserve">Insert into Dmquycach(Maquycach, Tenquycach, Manhom) values ('DG007', N'15000', 'N07') </v>
      </c>
    </row>
    <row r="9" spans="1:5" x14ac:dyDescent="0.25">
      <c r="A9" s="60" t="s">
        <v>106</v>
      </c>
      <c r="C9" s="62" t="s">
        <v>144</v>
      </c>
      <c r="D9" t="s">
        <v>5175</v>
      </c>
      <c r="E9" t="str">
        <f t="shared" si="0"/>
        <v xml:space="preserve">Insert into Dmquycach(Maquycach, Tenquycach, Manhom) values ('DG008', N'2c', 'N07') </v>
      </c>
    </row>
    <row r="10" spans="1:5" x14ac:dyDescent="0.25">
      <c r="A10" s="60">
        <v>1500</v>
      </c>
      <c r="C10" s="60">
        <v>1200</v>
      </c>
      <c r="D10" t="s">
        <v>5176</v>
      </c>
      <c r="E10" t="str">
        <f t="shared" si="0"/>
        <v xml:space="preserve">Insert into Dmquycach(Maquycach, Tenquycach, Manhom) values ('DG009', N'1200', 'N07') </v>
      </c>
    </row>
    <row r="11" spans="1:5" x14ac:dyDescent="0.25">
      <c r="A11" s="60">
        <v>3000</v>
      </c>
      <c r="C11" s="60">
        <v>9000</v>
      </c>
      <c r="D11" t="s">
        <v>5177</v>
      </c>
      <c r="E11" t="str">
        <f t="shared" si="0"/>
        <v xml:space="preserve">Insert into Dmquycach(Maquycach, Tenquycach, Manhom) values ('DG010', N'9000', 'N07') </v>
      </c>
    </row>
    <row r="12" spans="1:5" x14ac:dyDescent="0.25">
      <c r="A12" s="60">
        <v>3000</v>
      </c>
      <c r="C12" s="60" t="s">
        <v>170</v>
      </c>
      <c r="D12" t="s">
        <v>5178</v>
      </c>
      <c r="E12" t="str">
        <f t="shared" si="0"/>
        <v xml:space="preserve">Insert into Dmquycach(Maquycach, Tenquycach, Manhom) values ('DG011', N'4c', 'N07') </v>
      </c>
    </row>
    <row r="13" spans="1:5" x14ac:dyDescent="0.25">
      <c r="A13" s="60">
        <v>2500</v>
      </c>
      <c r="C13" s="60" t="s">
        <v>175</v>
      </c>
      <c r="D13" t="s">
        <v>5179</v>
      </c>
      <c r="E13" t="str">
        <f t="shared" si="0"/>
        <v xml:space="preserve">Insert into Dmquycach(Maquycach, Tenquycach, Manhom) values ('DG012', N'3c', 'N07') </v>
      </c>
    </row>
    <row r="14" spans="1:5" x14ac:dyDescent="0.25">
      <c r="A14" s="60">
        <v>15000</v>
      </c>
      <c r="C14" s="60">
        <v>12000</v>
      </c>
      <c r="D14" t="s">
        <v>5180</v>
      </c>
      <c r="E14" t="str">
        <f t="shared" si="0"/>
        <v xml:space="preserve">Insert into Dmquycach(Maquycach, Tenquycach, Manhom) values ('DG013', N'12000', 'N07') </v>
      </c>
    </row>
    <row r="15" spans="1:5" x14ac:dyDescent="0.25">
      <c r="A15" s="62" t="s">
        <v>144</v>
      </c>
      <c r="C15" s="60">
        <v>10000</v>
      </c>
      <c r="D15" t="s">
        <v>5181</v>
      </c>
      <c r="E15" t="str">
        <f t="shared" si="0"/>
        <v xml:space="preserve">Insert into Dmquycach(Maquycach, Tenquycach, Manhom) values ('DG014', N'10000', 'N07') </v>
      </c>
    </row>
    <row r="16" spans="1:5" x14ac:dyDescent="0.25">
      <c r="A16" s="60">
        <v>1200</v>
      </c>
      <c r="C16" s="60">
        <v>76000</v>
      </c>
      <c r="D16" t="s">
        <v>5182</v>
      </c>
      <c r="E16" t="str">
        <f t="shared" si="0"/>
        <v xml:space="preserve">Insert into Dmquycach(Maquycach, Tenquycach, Manhom) values ('DG015', N'76000', 'N07') </v>
      </c>
    </row>
    <row r="17" spans="1:5" x14ac:dyDescent="0.25">
      <c r="A17" s="60">
        <v>1200</v>
      </c>
      <c r="C17" s="60" t="s">
        <v>296</v>
      </c>
      <c r="D17" t="s">
        <v>5183</v>
      </c>
      <c r="E17" t="str">
        <f t="shared" si="0"/>
        <v xml:space="preserve">Insert into Dmquycach(Maquycach, Tenquycach, Manhom) values ('DG016', N'4c/cây', 'N07') </v>
      </c>
    </row>
    <row r="18" spans="1:5" x14ac:dyDescent="0.25">
      <c r="A18" s="60">
        <v>3000</v>
      </c>
      <c r="C18" s="60">
        <v>24000</v>
      </c>
      <c r="D18" t="s">
        <v>5184</v>
      </c>
      <c r="E18" t="str">
        <f t="shared" si="0"/>
        <v xml:space="preserve">Insert into Dmquycach(Maquycach, Tenquycach, Manhom) values ('DG017', N'24000', 'N07') </v>
      </c>
    </row>
    <row r="19" spans="1:5" x14ac:dyDescent="0.25">
      <c r="A19" s="60">
        <v>9000</v>
      </c>
      <c r="C19" s="60" t="s">
        <v>340</v>
      </c>
      <c r="D19" t="s">
        <v>5185</v>
      </c>
      <c r="E19" t="str">
        <f t="shared" si="0"/>
        <v xml:space="preserve">Insert into Dmquycach(Maquycach, Tenquycach, Manhom) values ('DG018', N'2 cuộn', 'N07') </v>
      </c>
    </row>
    <row r="20" spans="1:5" x14ac:dyDescent="0.25">
      <c r="A20" s="60" t="s">
        <v>170</v>
      </c>
      <c r="C20" s="60">
        <v>5000</v>
      </c>
      <c r="D20" t="s">
        <v>5186</v>
      </c>
      <c r="E20" t="str">
        <f t="shared" si="0"/>
        <v xml:space="preserve">Insert into Dmquycach(Maquycach, Tenquycach, Manhom) values ('DG019', N'5000', 'N07') </v>
      </c>
    </row>
    <row r="21" spans="1:5" x14ac:dyDescent="0.25">
      <c r="A21" s="60" t="s">
        <v>175</v>
      </c>
      <c r="C21" s="60">
        <v>6000</v>
      </c>
      <c r="D21" t="s">
        <v>5187</v>
      </c>
      <c r="E21" t="str">
        <f t="shared" si="0"/>
        <v xml:space="preserve">Insert into Dmquycach(Maquycach, Tenquycach, Manhom) values ('DG020', N'6000', 'N07') </v>
      </c>
    </row>
    <row r="22" spans="1:5" x14ac:dyDescent="0.25">
      <c r="A22" s="60" t="s">
        <v>106</v>
      </c>
      <c r="C22" s="60">
        <v>18000</v>
      </c>
      <c r="D22" t="s">
        <v>5188</v>
      </c>
      <c r="E22" t="str">
        <f t="shared" si="0"/>
        <v xml:space="preserve">Insert into Dmquycach(Maquycach, Tenquycach, Manhom) values ('DG021', N'18000', 'N07') </v>
      </c>
    </row>
    <row r="23" spans="1:5" x14ac:dyDescent="0.25">
      <c r="A23" s="60" t="s">
        <v>144</v>
      </c>
      <c r="C23" s="60">
        <v>28800</v>
      </c>
      <c r="D23" t="s">
        <v>5189</v>
      </c>
      <c r="E23" t="str">
        <f t="shared" si="0"/>
        <v xml:space="preserve">Insert into Dmquycach(Maquycach, Tenquycach, Manhom) values ('DG022', N'28800', 'N07') </v>
      </c>
    </row>
    <row r="24" spans="1:5" x14ac:dyDescent="0.25">
      <c r="A24" s="60">
        <v>2500</v>
      </c>
      <c r="C24" s="60" t="s">
        <v>517</v>
      </c>
      <c r="D24" t="s">
        <v>5190</v>
      </c>
      <c r="E24" t="str">
        <f t="shared" si="0"/>
        <v xml:space="preserve">Insert into Dmquycach(Maquycach, Tenquycach, Manhom) values ('DG023', N'5c', 'N07') </v>
      </c>
    </row>
    <row r="25" spans="1:5" x14ac:dyDescent="0.25">
      <c r="A25" s="60" t="s">
        <v>175</v>
      </c>
      <c r="C25" s="60">
        <v>800</v>
      </c>
      <c r="D25" t="s">
        <v>5191</v>
      </c>
      <c r="E25" t="str">
        <f t="shared" si="0"/>
        <v xml:space="preserve">Insert into Dmquycach(Maquycach, Tenquycach, Manhom) values ('DG024', N'800', 'N07') </v>
      </c>
    </row>
    <row r="26" spans="1:5" x14ac:dyDescent="0.25">
      <c r="A26" s="60" t="s">
        <v>106</v>
      </c>
      <c r="C26" s="60">
        <v>7000</v>
      </c>
      <c r="D26" t="s">
        <v>5192</v>
      </c>
      <c r="E26" t="str">
        <f t="shared" si="0"/>
        <v xml:space="preserve">Insert into Dmquycach(Maquycach, Tenquycach, Manhom) values ('DG025', N'7000', 'N07') </v>
      </c>
    </row>
    <row r="27" spans="1:5" x14ac:dyDescent="0.25">
      <c r="A27" s="60" t="s">
        <v>106</v>
      </c>
      <c r="C27" s="60">
        <v>6500</v>
      </c>
      <c r="D27" t="s">
        <v>5193</v>
      </c>
      <c r="E27" t="str">
        <f t="shared" si="0"/>
        <v xml:space="preserve">Insert into Dmquycach(Maquycach, Tenquycach, Manhom) values ('DG026', N'6500', 'N07') </v>
      </c>
    </row>
    <row r="28" spans="1:5" x14ac:dyDescent="0.25">
      <c r="A28" s="60">
        <v>12000</v>
      </c>
      <c r="C28" s="60">
        <v>17000</v>
      </c>
      <c r="D28" t="s">
        <v>5194</v>
      </c>
      <c r="E28" t="str">
        <f t="shared" si="0"/>
        <v xml:space="preserve">Insert into Dmquycach(Maquycach, Tenquycach, Manhom) values ('DG027', N'17000', 'N07') </v>
      </c>
    </row>
    <row r="29" spans="1:5" x14ac:dyDescent="0.25">
      <c r="A29" s="60" t="s">
        <v>106</v>
      </c>
      <c r="C29" s="60">
        <v>3500</v>
      </c>
      <c r="D29" t="s">
        <v>5195</v>
      </c>
      <c r="E29" t="str">
        <f t="shared" si="0"/>
        <v xml:space="preserve">Insert into Dmquycach(Maquycach, Tenquycach, Manhom) values ('DG028', N'3500', 'N07') </v>
      </c>
    </row>
    <row r="30" spans="1:5" x14ac:dyDescent="0.25">
      <c r="A30" s="60" t="s">
        <v>170</v>
      </c>
      <c r="C30" s="60">
        <v>16800</v>
      </c>
      <c r="D30" t="s">
        <v>5196</v>
      </c>
      <c r="E30" t="str">
        <f t="shared" si="0"/>
        <v xml:space="preserve">Insert into Dmquycach(Maquycach, Tenquycach, Manhom) values ('DG029', N'16800', 'N07') </v>
      </c>
    </row>
    <row r="31" spans="1:5" x14ac:dyDescent="0.25">
      <c r="A31" s="60" t="s">
        <v>144</v>
      </c>
      <c r="C31" s="60">
        <v>2700</v>
      </c>
      <c r="D31" t="s">
        <v>5197</v>
      </c>
      <c r="E31" t="str">
        <f t="shared" si="0"/>
        <v xml:space="preserve">Insert into Dmquycach(Maquycach, Tenquycach, Manhom) values ('DG030', N'2700', 'N07') </v>
      </c>
    </row>
    <row r="32" spans="1:5" x14ac:dyDescent="0.25">
      <c r="A32" s="60">
        <v>3000</v>
      </c>
      <c r="C32" s="60">
        <v>900</v>
      </c>
      <c r="D32" t="s">
        <v>5198</v>
      </c>
      <c r="E32" t="str">
        <f t="shared" si="0"/>
        <v xml:space="preserve">Insert into Dmquycach(Maquycach, Tenquycach, Manhom) values ('DG031', N'900', 'N07') </v>
      </c>
    </row>
    <row r="33" spans="1:5" x14ac:dyDescent="0.25">
      <c r="A33" s="60">
        <v>3000</v>
      </c>
      <c r="C33" s="60" t="s">
        <v>1006</v>
      </c>
      <c r="D33" t="s">
        <v>5199</v>
      </c>
      <c r="E33" t="str">
        <f t="shared" si="0"/>
        <v xml:space="preserve">Insert into Dmquycach(Maquycach, Tenquycach, Manhom) values ('DG032', N'6c', 'N07') </v>
      </c>
    </row>
    <row r="34" spans="1:5" x14ac:dyDescent="0.25">
      <c r="A34" s="60">
        <v>10000</v>
      </c>
      <c r="C34" s="60">
        <v>8000</v>
      </c>
      <c r="D34" t="s">
        <v>5200</v>
      </c>
      <c r="E34" t="str">
        <f t="shared" si="0"/>
        <v xml:space="preserve">Insert into Dmquycach(Maquycach, Tenquycach, Manhom) values ('DG033', N'8000', 'N07') </v>
      </c>
    </row>
    <row r="35" spans="1:5" x14ac:dyDescent="0.25">
      <c r="A35" s="60">
        <v>76000</v>
      </c>
      <c r="C35" s="60">
        <v>1000</v>
      </c>
      <c r="D35" t="s">
        <v>5201</v>
      </c>
      <c r="E35" t="str">
        <f t="shared" si="0"/>
        <v xml:space="preserve">Insert into Dmquycach(Maquycach, Tenquycach, Manhom) values ('DG034', N'1000', 'N07') </v>
      </c>
    </row>
    <row r="36" spans="1:5" x14ac:dyDescent="0.25">
      <c r="A36" s="60" t="s">
        <v>106</v>
      </c>
      <c r="C36" s="60">
        <v>20000</v>
      </c>
      <c r="D36" t="s">
        <v>5202</v>
      </c>
      <c r="E36" t="str">
        <f t="shared" si="0"/>
        <v xml:space="preserve">Insert into Dmquycach(Maquycach, Tenquycach, Manhom) values ('DG035', N'20000', 'N07') </v>
      </c>
    </row>
    <row r="37" spans="1:5" x14ac:dyDescent="0.25">
      <c r="A37" s="60">
        <v>3000</v>
      </c>
      <c r="C37" s="60">
        <v>1</v>
      </c>
      <c r="D37" t="s">
        <v>5203</v>
      </c>
      <c r="E37" t="str">
        <f t="shared" si="0"/>
        <v xml:space="preserve">Insert into Dmquycach(Maquycach, Tenquycach, Manhom) values ('DG036', N'1', 'N07') </v>
      </c>
    </row>
    <row r="38" spans="1:5" x14ac:dyDescent="0.25">
      <c r="A38" s="60">
        <v>3000</v>
      </c>
      <c r="C38" s="60">
        <v>4500</v>
      </c>
      <c r="D38" t="s">
        <v>5204</v>
      </c>
      <c r="E38" t="str">
        <f t="shared" si="0"/>
        <v xml:space="preserve">Insert into Dmquycach(Maquycach, Tenquycach, Manhom) values ('DG037', N'4500', 'N07') </v>
      </c>
    </row>
    <row r="39" spans="1:5" x14ac:dyDescent="0.25">
      <c r="A39" s="60">
        <v>3000</v>
      </c>
      <c r="C39" s="114" t="s">
        <v>1307</v>
      </c>
      <c r="D39" t="s">
        <v>5205</v>
      </c>
      <c r="E39" t="str">
        <f t="shared" si="0"/>
        <v xml:space="preserve">Insert into Dmquycach(Maquycach, Tenquycach, Manhom) values ('DG038', N'2500(&lt;25kg/1 thùng)', 'N07') </v>
      </c>
    </row>
    <row r="40" spans="1:5" x14ac:dyDescent="0.25">
      <c r="A40" s="60">
        <v>3000</v>
      </c>
      <c r="C40" s="60">
        <v>11000</v>
      </c>
      <c r="D40" t="s">
        <v>5206</v>
      </c>
      <c r="E40" t="str">
        <f t="shared" si="0"/>
        <v xml:space="preserve">Insert into Dmquycach(Maquycach, Tenquycach, Manhom) values ('DG039', N'11000', 'N07') </v>
      </c>
    </row>
    <row r="41" spans="1:5" x14ac:dyDescent="0.25">
      <c r="A41" s="60">
        <v>3000</v>
      </c>
      <c r="C41" s="60">
        <v>10500</v>
      </c>
      <c r="D41" t="s">
        <v>5207</v>
      </c>
      <c r="E41" t="str">
        <f t="shared" si="0"/>
        <v xml:space="preserve">Insert into Dmquycach(Maquycach, Tenquycach, Manhom) values ('DG040', N'10500', 'N07') </v>
      </c>
    </row>
    <row r="42" spans="1:5" x14ac:dyDescent="0.25">
      <c r="A42" s="60">
        <v>2000</v>
      </c>
      <c r="C42" s="60" t="s">
        <v>1418</v>
      </c>
      <c r="D42" t="s">
        <v>5208</v>
      </c>
      <c r="E42" t="str">
        <f t="shared" si="0"/>
        <v xml:space="preserve">Insert into Dmquycach(Maquycach, Tenquycach, Manhom) values ('DG041', N'2c/thùng', 'N07') </v>
      </c>
    </row>
    <row r="43" spans="1:5" x14ac:dyDescent="0.25">
      <c r="A43" s="60" t="s">
        <v>296</v>
      </c>
      <c r="C43" s="141" t="s">
        <v>1886</v>
      </c>
      <c r="D43" t="s">
        <v>5209</v>
      </c>
      <c r="E43" t="str">
        <f t="shared" si="0"/>
        <v xml:space="preserve">Insert into Dmquycach(Maquycach, Tenquycach, Manhom) values ('DG042', N'3c/cây', 'N07') </v>
      </c>
    </row>
    <row r="44" spans="1:5" x14ac:dyDescent="0.25">
      <c r="A44" s="60">
        <v>24000</v>
      </c>
      <c r="C44" s="141" t="s">
        <v>1936</v>
      </c>
      <c r="D44" t="s">
        <v>5210</v>
      </c>
      <c r="E44" t="str">
        <f t="shared" si="0"/>
        <v xml:space="preserve">Insert into Dmquycach(Maquycach, Tenquycach, Manhom) values ('DG043', N'1c/cây', 'N07') </v>
      </c>
    </row>
    <row r="45" spans="1:5" x14ac:dyDescent="0.25">
      <c r="A45" s="60">
        <v>3000</v>
      </c>
      <c r="C45" s="141">
        <v>4800</v>
      </c>
      <c r="D45" t="s">
        <v>5211</v>
      </c>
      <c r="E45" t="str">
        <f t="shared" si="0"/>
        <v xml:space="preserve">Insert into Dmquycach(Maquycach, Tenquycach, Manhom) values ('DG044', N'4800', 'N07') </v>
      </c>
    </row>
    <row r="46" spans="1:5" x14ac:dyDescent="0.25">
      <c r="A46" s="60">
        <v>2500</v>
      </c>
      <c r="C46" s="141" t="s">
        <v>2000</v>
      </c>
      <c r="D46" t="s">
        <v>5212</v>
      </c>
      <c r="E46" t="str">
        <f t="shared" si="0"/>
        <v xml:space="preserve">Insert into Dmquycach(Maquycach, Tenquycach, Manhom) values ('DG045', N'2c/cây', 'N07') </v>
      </c>
    </row>
    <row r="47" spans="1:5" x14ac:dyDescent="0.25">
      <c r="A47" s="60">
        <v>1500</v>
      </c>
      <c r="C47" s="141" t="s">
        <v>2094</v>
      </c>
      <c r="D47" t="s">
        <v>5213</v>
      </c>
      <c r="E47" t="str">
        <f t="shared" si="0"/>
        <v xml:space="preserve">Insert into Dmquycach(Maquycach, Tenquycach, Manhom) values ('DG046', N'1659m', 'N07') </v>
      </c>
    </row>
    <row r="48" spans="1:5" x14ac:dyDescent="0.25">
      <c r="A48" s="60">
        <v>24000</v>
      </c>
      <c r="C48" s="178" t="s">
        <v>2252</v>
      </c>
      <c r="D48" t="s">
        <v>5214</v>
      </c>
      <c r="E48" t="str">
        <f t="shared" si="0"/>
        <v xml:space="preserve">Insert into Dmquycach(Maquycach, Tenquycach, Manhom) values ('DG047', N'cuộn 700m', 'N07') </v>
      </c>
    </row>
    <row r="49" spans="1:5" x14ac:dyDescent="0.25">
      <c r="A49" s="60" t="s">
        <v>340</v>
      </c>
      <c r="C49" s="141" t="s">
        <v>2297</v>
      </c>
      <c r="D49" t="s">
        <v>5215</v>
      </c>
      <c r="E49" t="str">
        <f t="shared" si="0"/>
        <v xml:space="preserve">Insert into Dmquycach(Maquycach, Tenquycach, Manhom) values ('DG048', N'700m', 'N07') </v>
      </c>
    </row>
    <row r="50" spans="1:5" x14ac:dyDescent="0.25">
      <c r="A50" s="60">
        <v>3000</v>
      </c>
      <c r="C50" s="141" t="s">
        <v>2306</v>
      </c>
      <c r="D50" t="s">
        <v>5216</v>
      </c>
      <c r="E50" t="str">
        <f t="shared" si="0"/>
        <v xml:space="preserve">Insert into Dmquycach(Maquycach, Tenquycach, Manhom) values ('DG049', N'1000m', 'N07') </v>
      </c>
    </row>
    <row r="51" spans="1:5" x14ac:dyDescent="0.25">
      <c r="A51" s="60">
        <v>3000</v>
      </c>
      <c r="C51" s="141" t="s">
        <v>2317</v>
      </c>
      <c r="D51" t="s">
        <v>5217</v>
      </c>
      <c r="E51" t="str">
        <f t="shared" si="0"/>
        <v xml:space="preserve">Insert into Dmquycach(Maquycach, Tenquycach, Manhom) values ('DG050', N'500m', 'N07') </v>
      </c>
    </row>
    <row r="52" spans="1:5" x14ac:dyDescent="0.25">
      <c r="A52" s="60">
        <v>2500</v>
      </c>
      <c r="C52" s="141" t="s">
        <v>2359</v>
      </c>
      <c r="D52" t="s">
        <v>5218</v>
      </c>
      <c r="E52" t="str">
        <f t="shared" si="0"/>
        <v xml:space="preserve">Insert into Dmquycach(Maquycach, Tenquycach, Manhom) values ('DG051', N'1500m', 'N07') </v>
      </c>
    </row>
    <row r="53" spans="1:5" x14ac:dyDescent="0.25">
      <c r="A53" s="60">
        <v>2500</v>
      </c>
      <c r="C53" s="141" t="s">
        <v>2381</v>
      </c>
      <c r="D53" t="s">
        <v>5219</v>
      </c>
      <c r="E53" t="str">
        <f t="shared" si="0"/>
        <v xml:space="preserve">Insert into Dmquycach(Maquycach, Tenquycach, Manhom) values ('DG052', N'3500 túi', 'N07') </v>
      </c>
    </row>
    <row r="54" spans="1:5" x14ac:dyDescent="0.25">
      <c r="A54" s="60">
        <v>1500</v>
      </c>
      <c r="C54" s="141" t="s">
        <v>1489</v>
      </c>
      <c r="D54" t="s">
        <v>5220</v>
      </c>
      <c r="E54" t="str">
        <f t="shared" si="0"/>
        <v xml:space="preserve">Insert into Dmquycach(Maquycach, Tenquycach, Manhom) values ('DG053', N'cuộn', 'N07') </v>
      </c>
    </row>
    <row r="55" spans="1:5" x14ac:dyDescent="0.25">
      <c r="A55" s="60">
        <v>1500</v>
      </c>
      <c r="C55" s="141" t="s">
        <v>2428</v>
      </c>
      <c r="D55" t="s">
        <v>5221</v>
      </c>
      <c r="E55" t="str">
        <f t="shared" si="0"/>
        <v xml:space="preserve">Insert into Dmquycach(Maquycach, Tenquycach, Manhom) values ('DG054', N'1c.cây', 'N07') </v>
      </c>
    </row>
    <row r="56" spans="1:5" x14ac:dyDescent="0.25">
      <c r="A56" s="60">
        <v>10000</v>
      </c>
      <c r="C56" s="141">
        <v>2030</v>
      </c>
      <c r="D56" t="s">
        <v>5222</v>
      </c>
      <c r="E56" t="str">
        <f t="shared" si="0"/>
        <v xml:space="preserve">Insert into Dmquycach(Maquycach, Tenquycach, Manhom) values ('DG055', N'2030', 'N07') </v>
      </c>
    </row>
    <row r="57" spans="1:5" x14ac:dyDescent="0.25">
      <c r="A57" s="60">
        <v>3000</v>
      </c>
      <c r="C57" s="141" t="s">
        <v>2590</v>
      </c>
      <c r="D57" t="s">
        <v>5223</v>
      </c>
      <c r="E57" t="str">
        <f t="shared" si="0"/>
        <v xml:space="preserve">Insert into Dmquycach(Maquycach, Tenquycach, Manhom) values ('DG056', N'1000 túi/thùng', 'N07') </v>
      </c>
    </row>
    <row r="58" spans="1:5" x14ac:dyDescent="0.25">
      <c r="A58" s="60">
        <v>2000</v>
      </c>
      <c r="C58" s="141">
        <v>25000</v>
      </c>
      <c r="D58" t="s">
        <v>5224</v>
      </c>
      <c r="E58" t="str">
        <f t="shared" si="0"/>
        <v xml:space="preserve">Insert into Dmquycach(Maquycach, Tenquycach, Manhom) values ('DG057', N'25000', 'N07') </v>
      </c>
    </row>
    <row r="59" spans="1:5" x14ac:dyDescent="0.25">
      <c r="A59" s="60">
        <v>5000</v>
      </c>
      <c r="C59" s="141" t="s">
        <v>2799</v>
      </c>
      <c r="D59" t="s">
        <v>5225</v>
      </c>
      <c r="E59" t="str">
        <f t="shared" si="0"/>
        <v xml:space="preserve">Insert into Dmquycach(Maquycach, Tenquycach, Manhom) values ('DG058', N'1c./cây', 'N07') </v>
      </c>
    </row>
    <row r="60" spans="1:5" x14ac:dyDescent="0.25">
      <c r="A60" s="60">
        <v>4000</v>
      </c>
      <c r="C60" s="141" t="s">
        <v>2817</v>
      </c>
      <c r="D60" t="s">
        <v>5226</v>
      </c>
      <c r="E60" t="str">
        <f t="shared" si="0"/>
        <v xml:space="preserve">Insert into Dmquycach(Maquycach, Tenquycach, Manhom) values ('DG059', N'3500 túi/thùng', 'N07') </v>
      </c>
    </row>
    <row r="61" spans="1:5" x14ac:dyDescent="0.25">
      <c r="A61" s="60">
        <v>4000</v>
      </c>
      <c r="C61" s="141" t="s">
        <v>2820</v>
      </c>
      <c r="D61" t="s">
        <v>5227</v>
      </c>
      <c r="E61" t="str">
        <f t="shared" si="0"/>
        <v xml:space="preserve">Insert into Dmquycach(Maquycach, Tenquycach, Manhom) values ('DG060', N'2500 túi/thùng', 'N07') </v>
      </c>
    </row>
    <row r="62" spans="1:5" x14ac:dyDescent="0.25">
      <c r="A62" s="60">
        <v>6000</v>
      </c>
      <c r="C62" s="141">
        <v>1100</v>
      </c>
      <c r="D62" t="s">
        <v>5228</v>
      </c>
      <c r="E62" t="str">
        <f t="shared" si="0"/>
        <v xml:space="preserve">Insert into Dmquycach(Maquycach, Tenquycach, Manhom) values ('DG061', N'1100', 'N07') </v>
      </c>
    </row>
    <row r="63" spans="1:5" x14ac:dyDescent="0.25">
      <c r="A63" s="60" t="s">
        <v>144</v>
      </c>
      <c r="C63" s="141" t="s">
        <v>3105</v>
      </c>
      <c r="D63" t="s">
        <v>5229</v>
      </c>
      <c r="E63" t="str">
        <f t="shared" si="0"/>
        <v xml:space="preserve">Insert into Dmquycach(Maquycach, Tenquycach, Manhom) values ('DG062', N'1000t', 'N07') </v>
      </c>
    </row>
    <row r="64" spans="1:5" x14ac:dyDescent="0.25">
      <c r="A64" s="60" t="s">
        <v>106</v>
      </c>
      <c r="C64" s="141" t="s">
        <v>3116</v>
      </c>
      <c r="D64" t="s">
        <v>5230</v>
      </c>
      <c r="E64" t="str">
        <f t="shared" si="0"/>
        <v xml:space="preserve">Insert into Dmquycach(Maquycach, Tenquycach, Manhom) values ('DG063', N'4000t', 'N07') </v>
      </c>
    </row>
    <row r="65" spans="1:5" x14ac:dyDescent="0.25">
      <c r="A65" s="60" t="s">
        <v>106</v>
      </c>
      <c r="C65" s="141" t="s">
        <v>3119</v>
      </c>
      <c r="D65" t="s">
        <v>5231</v>
      </c>
      <c r="E65" t="str">
        <f t="shared" si="0"/>
        <v xml:space="preserve">Insert into Dmquycach(Maquycach, Tenquycach, Manhom) values ('DG064', N'6000m', 'N07') </v>
      </c>
    </row>
    <row r="66" spans="1:5" x14ac:dyDescent="0.25">
      <c r="A66" s="60" t="s">
        <v>106</v>
      </c>
      <c r="C66" s="141">
        <v>110</v>
      </c>
      <c r="D66" t="s">
        <v>5232</v>
      </c>
      <c r="E66" t="str">
        <f t="shared" si="0"/>
        <v xml:space="preserve">Insert into Dmquycach(Maquycach, Tenquycach, Manhom) values ('DG065', N'110', 'N07') </v>
      </c>
    </row>
    <row r="67" spans="1:5" x14ac:dyDescent="0.25">
      <c r="A67" s="60" t="s">
        <v>106</v>
      </c>
      <c r="C67" s="141" t="s">
        <v>3564</v>
      </c>
      <c r="D67" t="s">
        <v>5233</v>
      </c>
      <c r="E67" t="str">
        <f t="shared" ref="E67:E68" si="1">"Insert into Dmquycach(Maquycach, Tenquycach, Manhom) values ('" &amp; D67 &amp; "', N'" &amp; C67 &amp; "', 'N07') "</f>
        <v xml:space="preserve">Insert into Dmquycach(Maquycach, Tenquycach, Manhom) values ('DG066', N'3000m', 'N07') </v>
      </c>
    </row>
    <row r="68" spans="1:5" x14ac:dyDescent="0.25">
      <c r="A68" s="60" t="s">
        <v>175</v>
      </c>
      <c r="C68" s="60" t="s">
        <v>3571</v>
      </c>
      <c r="D68" t="s">
        <v>5234</v>
      </c>
      <c r="E68" t="str">
        <f t="shared" si="1"/>
        <v xml:space="preserve">Insert into Dmquycach(Maquycach, Tenquycach, Manhom) values ('DG067', N'1c ( 2030m)/cây', 'N07') </v>
      </c>
    </row>
    <row r="69" spans="1:5" x14ac:dyDescent="0.25">
      <c r="A69" s="60">
        <v>4000</v>
      </c>
    </row>
    <row r="70" spans="1:5" x14ac:dyDescent="0.25">
      <c r="A70" s="60">
        <v>18000</v>
      </c>
    </row>
    <row r="71" spans="1:5" x14ac:dyDescent="0.25">
      <c r="A71" s="60">
        <v>3000</v>
      </c>
    </row>
    <row r="72" spans="1:5" x14ac:dyDescent="0.25">
      <c r="A72" s="60">
        <v>3000</v>
      </c>
    </row>
    <row r="73" spans="1:5" x14ac:dyDescent="0.25">
      <c r="A73" s="60">
        <v>2500</v>
      </c>
    </row>
    <row r="74" spans="1:5" x14ac:dyDescent="0.25">
      <c r="A74" s="60">
        <v>2500</v>
      </c>
    </row>
    <row r="75" spans="1:5" x14ac:dyDescent="0.25">
      <c r="A75" s="60">
        <v>1500</v>
      </c>
    </row>
    <row r="76" spans="1:5" x14ac:dyDescent="0.25">
      <c r="A76" s="60">
        <v>1500</v>
      </c>
    </row>
    <row r="77" spans="1:5" x14ac:dyDescent="0.25">
      <c r="A77" s="60">
        <v>10000</v>
      </c>
    </row>
    <row r="78" spans="1:5" x14ac:dyDescent="0.25">
      <c r="A78" s="60" t="s">
        <v>106</v>
      </c>
    </row>
    <row r="79" spans="1:5" x14ac:dyDescent="0.25">
      <c r="A79" s="60">
        <v>28800</v>
      </c>
    </row>
    <row r="80" spans="1:5" x14ac:dyDescent="0.25">
      <c r="A80" s="60" t="s">
        <v>517</v>
      </c>
    </row>
    <row r="81" spans="1:1" x14ac:dyDescent="0.25">
      <c r="A81" s="60" t="s">
        <v>144</v>
      </c>
    </row>
    <row r="82" spans="1:1" x14ac:dyDescent="0.25">
      <c r="A82" s="60">
        <v>1500</v>
      </c>
    </row>
    <row r="83" spans="1:1" x14ac:dyDescent="0.25">
      <c r="A83" s="60">
        <v>800</v>
      </c>
    </row>
    <row r="84" spans="1:1" x14ac:dyDescent="0.25">
      <c r="A84" s="60">
        <v>2500</v>
      </c>
    </row>
    <row r="85" spans="1:1" x14ac:dyDescent="0.25">
      <c r="A85" s="60">
        <v>7000</v>
      </c>
    </row>
    <row r="86" spans="1:1" x14ac:dyDescent="0.25">
      <c r="A86" s="60" t="s">
        <v>144</v>
      </c>
    </row>
    <row r="87" spans="1:1" x14ac:dyDescent="0.25">
      <c r="A87" s="60">
        <v>5000</v>
      </c>
    </row>
    <row r="88" spans="1:1" x14ac:dyDescent="0.25">
      <c r="A88" s="60">
        <v>5000</v>
      </c>
    </row>
    <row r="89" spans="1:1" x14ac:dyDescent="0.25">
      <c r="A89" s="60">
        <v>3000</v>
      </c>
    </row>
    <row r="90" spans="1:1" x14ac:dyDescent="0.25">
      <c r="A90" s="60">
        <v>3000</v>
      </c>
    </row>
    <row r="91" spans="1:1" x14ac:dyDescent="0.25">
      <c r="A91" s="60">
        <v>1500</v>
      </c>
    </row>
    <row r="92" spans="1:1" x14ac:dyDescent="0.25">
      <c r="A92" s="60">
        <v>1500</v>
      </c>
    </row>
    <row r="93" spans="1:1" x14ac:dyDescent="0.25">
      <c r="A93" s="60">
        <v>1500</v>
      </c>
    </row>
    <row r="94" spans="1:1" x14ac:dyDescent="0.25">
      <c r="A94" s="60">
        <v>3000</v>
      </c>
    </row>
    <row r="95" spans="1:1" x14ac:dyDescent="0.25">
      <c r="A95" s="60">
        <v>3000</v>
      </c>
    </row>
    <row r="96" spans="1:1" x14ac:dyDescent="0.25">
      <c r="A96" s="60">
        <v>3000</v>
      </c>
    </row>
    <row r="97" spans="1:1" x14ac:dyDescent="0.25">
      <c r="A97" s="60">
        <v>3000</v>
      </c>
    </row>
    <row r="98" spans="1:1" x14ac:dyDescent="0.25">
      <c r="A98" s="60">
        <v>2500</v>
      </c>
    </row>
    <row r="99" spans="1:1" x14ac:dyDescent="0.25">
      <c r="A99" s="60">
        <v>2500</v>
      </c>
    </row>
    <row r="100" spans="1:1" x14ac:dyDescent="0.25">
      <c r="A100" s="60">
        <v>2500</v>
      </c>
    </row>
    <row r="101" spans="1:1" x14ac:dyDescent="0.25">
      <c r="A101" s="60">
        <v>2500</v>
      </c>
    </row>
    <row r="102" spans="1:1" x14ac:dyDescent="0.25">
      <c r="A102" s="60">
        <v>1500</v>
      </c>
    </row>
    <row r="103" spans="1:1" x14ac:dyDescent="0.25">
      <c r="A103" s="60">
        <v>1500</v>
      </c>
    </row>
    <row r="104" spans="1:1" x14ac:dyDescent="0.25">
      <c r="A104" s="60">
        <v>1500</v>
      </c>
    </row>
    <row r="105" spans="1:1" x14ac:dyDescent="0.25">
      <c r="A105" s="60">
        <v>1500</v>
      </c>
    </row>
    <row r="106" spans="1:1" x14ac:dyDescent="0.25">
      <c r="A106" s="60">
        <v>3000</v>
      </c>
    </row>
    <row r="107" spans="1:1" x14ac:dyDescent="0.25">
      <c r="A107" s="60">
        <v>3000</v>
      </c>
    </row>
    <row r="108" spans="1:1" x14ac:dyDescent="0.25">
      <c r="A108" s="60">
        <v>3000</v>
      </c>
    </row>
    <row r="109" spans="1:1" x14ac:dyDescent="0.25">
      <c r="A109" s="60">
        <v>2500</v>
      </c>
    </row>
    <row r="110" spans="1:1" x14ac:dyDescent="0.25">
      <c r="A110" s="60">
        <v>2500</v>
      </c>
    </row>
    <row r="111" spans="1:1" x14ac:dyDescent="0.25">
      <c r="A111" s="60">
        <v>2500</v>
      </c>
    </row>
    <row r="112" spans="1:1" x14ac:dyDescent="0.25">
      <c r="A112" s="60">
        <v>2500</v>
      </c>
    </row>
    <row r="113" spans="1:1" x14ac:dyDescent="0.25">
      <c r="A113" s="60">
        <v>1500</v>
      </c>
    </row>
    <row r="114" spans="1:1" x14ac:dyDescent="0.25">
      <c r="A114" s="60">
        <v>1500</v>
      </c>
    </row>
    <row r="115" spans="1:1" x14ac:dyDescent="0.25">
      <c r="A115" s="60">
        <v>1500</v>
      </c>
    </row>
    <row r="116" spans="1:1" x14ac:dyDescent="0.25">
      <c r="A116" s="60">
        <v>1500</v>
      </c>
    </row>
    <row r="117" spans="1:1" x14ac:dyDescent="0.25">
      <c r="A117" s="60">
        <v>6500</v>
      </c>
    </row>
    <row r="118" spans="1:1" x14ac:dyDescent="0.25">
      <c r="A118" s="60" t="s">
        <v>106</v>
      </c>
    </row>
    <row r="119" spans="1:1" x14ac:dyDescent="0.25">
      <c r="A119" s="60" t="s">
        <v>106</v>
      </c>
    </row>
    <row r="120" spans="1:1" x14ac:dyDescent="0.25">
      <c r="A120" s="60" t="s">
        <v>106</v>
      </c>
    </row>
    <row r="121" spans="1:1" x14ac:dyDescent="0.25">
      <c r="A121" s="60">
        <v>1500</v>
      </c>
    </row>
    <row r="122" spans="1:1" x14ac:dyDescent="0.25">
      <c r="A122" s="60" t="s">
        <v>144</v>
      </c>
    </row>
    <row r="123" spans="1:1" x14ac:dyDescent="0.25">
      <c r="A123" s="60">
        <v>2500</v>
      </c>
    </row>
    <row r="124" spans="1:1" x14ac:dyDescent="0.25">
      <c r="A124" s="60">
        <v>4000</v>
      </c>
    </row>
    <row r="125" spans="1:1" x14ac:dyDescent="0.25">
      <c r="A125" s="60">
        <v>4000</v>
      </c>
    </row>
    <row r="126" spans="1:1" x14ac:dyDescent="0.25">
      <c r="A126" s="60" t="s">
        <v>106</v>
      </c>
    </row>
    <row r="127" spans="1:1" x14ac:dyDescent="0.25">
      <c r="A127" s="60" t="s">
        <v>106</v>
      </c>
    </row>
    <row r="128" spans="1:1" x14ac:dyDescent="0.25">
      <c r="A128" s="60">
        <v>2500</v>
      </c>
    </row>
    <row r="129" spans="1:1" x14ac:dyDescent="0.25">
      <c r="A129" s="60">
        <v>2500</v>
      </c>
    </row>
    <row r="130" spans="1:1" x14ac:dyDescent="0.25">
      <c r="A130" s="60">
        <v>4000</v>
      </c>
    </row>
    <row r="131" spans="1:1" x14ac:dyDescent="0.25">
      <c r="A131" s="60">
        <v>4000</v>
      </c>
    </row>
    <row r="132" spans="1:1" x14ac:dyDescent="0.25">
      <c r="A132" s="60">
        <v>4000</v>
      </c>
    </row>
    <row r="133" spans="1:1" x14ac:dyDescent="0.25">
      <c r="A133" s="60">
        <v>4000</v>
      </c>
    </row>
    <row r="134" spans="1:1" x14ac:dyDescent="0.25">
      <c r="A134" s="60" t="s">
        <v>106</v>
      </c>
    </row>
    <row r="135" spans="1:1" x14ac:dyDescent="0.25">
      <c r="A135" s="60" t="s">
        <v>106</v>
      </c>
    </row>
    <row r="136" spans="1:1" x14ac:dyDescent="0.25">
      <c r="A136" s="60" t="s">
        <v>106</v>
      </c>
    </row>
    <row r="137" spans="1:1" x14ac:dyDescent="0.25">
      <c r="A137" s="60" t="s">
        <v>106</v>
      </c>
    </row>
    <row r="138" spans="1:1" x14ac:dyDescent="0.25">
      <c r="A138" s="60" t="s">
        <v>106</v>
      </c>
    </row>
    <row r="139" spans="1:1" x14ac:dyDescent="0.25">
      <c r="A139" s="60" t="s">
        <v>106</v>
      </c>
    </row>
    <row r="140" spans="1:1" x14ac:dyDescent="0.25">
      <c r="A140" s="60">
        <v>4000</v>
      </c>
    </row>
    <row r="141" spans="1:1" x14ac:dyDescent="0.25">
      <c r="A141" s="60">
        <v>4000</v>
      </c>
    </row>
    <row r="142" spans="1:1" x14ac:dyDescent="0.25">
      <c r="A142" s="60">
        <v>4000</v>
      </c>
    </row>
    <row r="143" spans="1:1" x14ac:dyDescent="0.25">
      <c r="A143" s="60">
        <v>4000</v>
      </c>
    </row>
    <row r="144" spans="1:1" x14ac:dyDescent="0.25">
      <c r="A144" s="60">
        <v>4000</v>
      </c>
    </row>
    <row r="145" spans="1:1" x14ac:dyDescent="0.25">
      <c r="A145" s="60" t="s">
        <v>106</v>
      </c>
    </row>
    <row r="146" spans="1:1" x14ac:dyDescent="0.25">
      <c r="A146" s="60">
        <v>3000</v>
      </c>
    </row>
    <row r="147" spans="1:1" x14ac:dyDescent="0.25">
      <c r="A147" s="60" t="s">
        <v>106</v>
      </c>
    </row>
    <row r="148" spans="1:1" x14ac:dyDescent="0.25">
      <c r="A148" s="60">
        <v>2500</v>
      </c>
    </row>
    <row r="149" spans="1:1" x14ac:dyDescent="0.25">
      <c r="A149" s="60">
        <v>1500</v>
      </c>
    </row>
    <row r="150" spans="1:1" x14ac:dyDescent="0.25">
      <c r="A150" s="60">
        <v>2500</v>
      </c>
    </row>
    <row r="151" spans="1:1" x14ac:dyDescent="0.25">
      <c r="A151" s="60" t="s">
        <v>106</v>
      </c>
    </row>
    <row r="152" spans="1:1" x14ac:dyDescent="0.25">
      <c r="A152" s="60">
        <v>24000</v>
      </c>
    </row>
    <row r="153" spans="1:1" x14ac:dyDescent="0.25">
      <c r="A153" s="60">
        <v>3000</v>
      </c>
    </row>
    <row r="154" spans="1:1" x14ac:dyDescent="0.25">
      <c r="A154" s="60">
        <v>3000</v>
      </c>
    </row>
    <row r="155" spans="1:1" x14ac:dyDescent="0.25">
      <c r="A155" s="60" t="s">
        <v>106</v>
      </c>
    </row>
    <row r="156" spans="1:1" x14ac:dyDescent="0.25">
      <c r="A156" s="60">
        <v>4000</v>
      </c>
    </row>
    <row r="157" spans="1:1" x14ac:dyDescent="0.25">
      <c r="A157" s="60" t="s">
        <v>106</v>
      </c>
    </row>
    <row r="158" spans="1:1" x14ac:dyDescent="0.25">
      <c r="A158" s="60" t="s">
        <v>106</v>
      </c>
    </row>
    <row r="159" spans="1:1" x14ac:dyDescent="0.25">
      <c r="A159" s="60" t="s">
        <v>106</v>
      </c>
    </row>
    <row r="160" spans="1:1" x14ac:dyDescent="0.25">
      <c r="A160" s="60">
        <v>2500</v>
      </c>
    </row>
    <row r="161" spans="1:1" x14ac:dyDescent="0.25">
      <c r="A161" s="60">
        <v>12000</v>
      </c>
    </row>
    <row r="162" spans="1:1" x14ac:dyDescent="0.25">
      <c r="A162" s="60">
        <v>17000</v>
      </c>
    </row>
    <row r="163" spans="1:1" x14ac:dyDescent="0.25">
      <c r="A163" s="60">
        <v>15000</v>
      </c>
    </row>
    <row r="164" spans="1:1" x14ac:dyDescent="0.25">
      <c r="A164" s="60">
        <v>18000</v>
      </c>
    </row>
    <row r="165" spans="1:1" x14ac:dyDescent="0.25">
      <c r="A165" s="60" t="s">
        <v>144</v>
      </c>
    </row>
    <row r="166" spans="1:1" x14ac:dyDescent="0.25">
      <c r="A166" s="60" t="s">
        <v>144</v>
      </c>
    </row>
    <row r="167" spans="1:1" x14ac:dyDescent="0.25">
      <c r="A167" s="60" t="s">
        <v>144</v>
      </c>
    </row>
    <row r="168" spans="1:1" x14ac:dyDescent="0.25">
      <c r="A168" s="60" t="s">
        <v>144</v>
      </c>
    </row>
    <row r="169" spans="1:1" x14ac:dyDescent="0.25">
      <c r="A169" s="60">
        <v>15000</v>
      </c>
    </row>
    <row r="170" spans="1:1" x14ac:dyDescent="0.25">
      <c r="A170" s="60">
        <v>7000</v>
      </c>
    </row>
    <row r="171" spans="1:1" x14ac:dyDescent="0.25">
      <c r="A171" s="60">
        <v>6000</v>
      </c>
    </row>
    <row r="172" spans="1:1" x14ac:dyDescent="0.25">
      <c r="A172" s="60">
        <v>3500</v>
      </c>
    </row>
    <row r="173" spans="1:1" x14ac:dyDescent="0.25">
      <c r="A173" s="60">
        <v>15000</v>
      </c>
    </row>
    <row r="174" spans="1:1" x14ac:dyDescent="0.25">
      <c r="A174" s="60">
        <v>4000</v>
      </c>
    </row>
    <row r="175" spans="1:1" x14ac:dyDescent="0.25">
      <c r="A175" s="60">
        <v>2000</v>
      </c>
    </row>
    <row r="176" spans="1:1" x14ac:dyDescent="0.25">
      <c r="A176" s="60">
        <v>1500</v>
      </c>
    </row>
    <row r="177" spans="1:1" x14ac:dyDescent="0.25">
      <c r="A177" s="60">
        <v>1500</v>
      </c>
    </row>
    <row r="178" spans="1:1" x14ac:dyDescent="0.25">
      <c r="A178" s="60">
        <v>12000</v>
      </c>
    </row>
    <row r="179" spans="1:1" x14ac:dyDescent="0.25">
      <c r="A179" s="60">
        <v>10000</v>
      </c>
    </row>
    <row r="180" spans="1:1" x14ac:dyDescent="0.25">
      <c r="A180" s="60">
        <v>4000</v>
      </c>
    </row>
    <row r="181" spans="1:1" x14ac:dyDescent="0.25">
      <c r="A181" s="60">
        <v>2500</v>
      </c>
    </row>
    <row r="182" spans="1:1" x14ac:dyDescent="0.25">
      <c r="A182" s="60">
        <v>1500</v>
      </c>
    </row>
    <row r="183" spans="1:1" x14ac:dyDescent="0.25">
      <c r="A183" s="60">
        <v>1500</v>
      </c>
    </row>
    <row r="184" spans="1:1" x14ac:dyDescent="0.25">
      <c r="A184" s="60">
        <v>10000</v>
      </c>
    </row>
    <row r="185" spans="1:1" x14ac:dyDescent="0.25">
      <c r="A185" s="60">
        <v>16800</v>
      </c>
    </row>
    <row r="186" spans="1:1" x14ac:dyDescent="0.25">
      <c r="A186" s="60">
        <v>7000</v>
      </c>
    </row>
    <row r="187" spans="1:1" x14ac:dyDescent="0.25">
      <c r="A187" s="60" t="s">
        <v>106</v>
      </c>
    </row>
    <row r="188" spans="1:1" x14ac:dyDescent="0.25">
      <c r="A188" s="60" t="s">
        <v>106</v>
      </c>
    </row>
    <row r="189" spans="1:1" x14ac:dyDescent="0.25">
      <c r="A189" s="60">
        <v>2700</v>
      </c>
    </row>
    <row r="190" spans="1:1" x14ac:dyDescent="0.25">
      <c r="A190" s="60">
        <v>3500</v>
      </c>
    </row>
    <row r="191" spans="1:1" x14ac:dyDescent="0.25">
      <c r="A191" s="60">
        <v>4000</v>
      </c>
    </row>
    <row r="192" spans="1:1" x14ac:dyDescent="0.25">
      <c r="A192" s="60">
        <v>2500</v>
      </c>
    </row>
    <row r="193" spans="1:1" x14ac:dyDescent="0.25">
      <c r="A193" s="60">
        <v>2500</v>
      </c>
    </row>
    <row r="194" spans="1:1" x14ac:dyDescent="0.25">
      <c r="A194" s="60">
        <v>1500</v>
      </c>
    </row>
    <row r="195" spans="1:1" x14ac:dyDescent="0.25">
      <c r="A195" s="60">
        <v>1500</v>
      </c>
    </row>
    <row r="196" spans="1:1" x14ac:dyDescent="0.25">
      <c r="A196" s="60" t="s">
        <v>106</v>
      </c>
    </row>
    <row r="197" spans="1:1" x14ac:dyDescent="0.25">
      <c r="A197" s="60" t="s">
        <v>106</v>
      </c>
    </row>
    <row r="198" spans="1:1" x14ac:dyDescent="0.25">
      <c r="A198" s="60" t="s">
        <v>144</v>
      </c>
    </row>
    <row r="199" spans="1:1" x14ac:dyDescent="0.25">
      <c r="A199" s="60">
        <v>900</v>
      </c>
    </row>
    <row r="200" spans="1:1" x14ac:dyDescent="0.25">
      <c r="A200" s="60" t="s">
        <v>1006</v>
      </c>
    </row>
    <row r="201" spans="1:1" x14ac:dyDescent="0.25">
      <c r="A201" s="60" t="s">
        <v>106</v>
      </c>
    </row>
    <row r="202" spans="1:1" x14ac:dyDescent="0.25">
      <c r="A202" s="60" t="s">
        <v>106</v>
      </c>
    </row>
    <row r="203" spans="1:1" x14ac:dyDescent="0.25">
      <c r="A203" s="60">
        <v>1500</v>
      </c>
    </row>
    <row r="204" spans="1:1" x14ac:dyDescent="0.25">
      <c r="A204" s="60" t="s">
        <v>175</v>
      </c>
    </row>
    <row r="205" spans="1:1" x14ac:dyDescent="0.25">
      <c r="A205" s="102">
        <v>4000</v>
      </c>
    </row>
    <row r="206" spans="1:1" x14ac:dyDescent="0.25">
      <c r="A206" s="60">
        <v>2000</v>
      </c>
    </row>
    <row r="207" spans="1:1" x14ac:dyDescent="0.25">
      <c r="A207" s="60">
        <v>2000</v>
      </c>
    </row>
    <row r="208" spans="1:1" x14ac:dyDescent="0.25">
      <c r="A208" s="60">
        <v>2500</v>
      </c>
    </row>
    <row r="209" spans="1:1" x14ac:dyDescent="0.25">
      <c r="A209" s="60">
        <v>2000</v>
      </c>
    </row>
    <row r="210" spans="1:1" x14ac:dyDescent="0.25">
      <c r="A210" s="60" t="s">
        <v>106</v>
      </c>
    </row>
    <row r="211" spans="1:1" x14ac:dyDescent="0.25">
      <c r="A211" s="60" t="s">
        <v>106</v>
      </c>
    </row>
    <row r="212" spans="1:1" x14ac:dyDescent="0.25">
      <c r="A212" s="60" t="s">
        <v>106</v>
      </c>
    </row>
    <row r="213" spans="1:1" x14ac:dyDescent="0.25">
      <c r="A213" s="60" t="s">
        <v>106</v>
      </c>
    </row>
    <row r="214" spans="1:1" x14ac:dyDescent="0.25">
      <c r="A214" s="60" t="s">
        <v>106</v>
      </c>
    </row>
    <row r="215" spans="1:1" x14ac:dyDescent="0.25">
      <c r="A215" s="60" t="s">
        <v>106</v>
      </c>
    </row>
    <row r="216" spans="1:1" x14ac:dyDescent="0.25">
      <c r="A216" s="60" t="s">
        <v>106</v>
      </c>
    </row>
    <row r="217" spans="1:1" x14ac:dyDescent="0.25">
      <c r="A217" s="60">
        <v>3000</v>
      </c>
    </row>
    <row r="218" spans="1:1" x14ac:dyDescent="0.25">
      <c r="A218" s="60" t="s">
        <v>144</v>
      </c>
    </row>
    <row r="219" spans="1:1" x14ac:dyDescent="0.25">
      <c r="A219" s="60" t="s">
        <v>144</v>
      </c>
    </row>
    <row r="220" spans="1:1" x14ac:dyDescent="0.25">
      <c r="A220" s="60" t="s">
        <v>106</v>
      </c>
    </row>
    <row r="221" spans="1:1" x14ac:dyDescent="0.25">
      <c r="A221" s="60" t="s">
        <v>106</v>
      </c>
    </row>
    <row r="222" spans="1:1" x14ac:dyDescent="0.25">
      <c r="A222" s="60" t="s">
        <v>106</v>
      </c>
    </row>
    <row r="223" spans="1:1" x14ac:dyDescent="0.25">
      <c r="A223" s="60" t="s">
        <v>106</v>
      </c>
    </row>
    <row r="224" spans="1:1" x14ac:dyDescent="0.25">
      <c r="A224" s="60" t="s">
        <v>106</v>
      </c>
    </row>
    <row r="225" spans="1:1" x14ac:dyDescent="0.25">
      <c r="A225" s="60" t="s">
        <v>106</v>
      </c>
    </row>
    <row r="226" spans="1:1" x14ac:dyDescent="0.25">
      <c r="A226" s="60">
        <v>1500</v>
      </c>
    </row>
    <row r="227" spans="1:1" x14ac:dyDescent="0.25">
      <c r="A227" s="60" t="s">
        <v>175</v>
      </c>
    </row>
    <row r="228" spans="1:1" x14ac:dyDescent="0.25">
      <c r="A228" s="60">
        <v>4000</v>
      </c>
    </row>
    <row r="229" spans="1:1" x14ac:dyDescent="0.25">
      <c r="A229" s="60">
        <v>3000</v>
      </c>
    </row>
    <row r="230" spans="1:1" x14ac:dyDescent="0.25">
      <c r="A230" s="60">
        <v>1500</v>
      </c>
    </row>
    <row r="231" spans="1:1" x14ac:dyDescent="0.25">
      <c r="A231" s="60" t="s">
        <v>106</v>
      </c>
    </row>
    <row r="232" spans="1:1" x14ac:dyDescent="0.25">
      <c r="A232" s="60" t="s">
        <v>106</v>
      </c>
    </row>
    <row r="233" spans="1:1" x14ac:dyDescent="0.25">
      <c r="A233" s="60" t="s">
        <v>106</v>
      </c>
    </row>
    <row r="234" spans="1:1" x14ac:dyDescent="0.25">
      <c r="A234" s="60">
        <v>8000</v>
      </c>
    </row>
    <row r="235" spans="1:1" x14ac:dyDescent="0.25">
      <c r="A235" s="60">
        <v>3000</v>
      </c>
    </row>
    <row r="236" spans="1:1" x14ac:dyDescent="0.25">
      <c r="A236" s="60" t="s">
        <v>106</v>
      </c>
    </row>
    <row r="237" spans="1:1" x14ac:dyDescent="0.25">
      <c r="A237" s="60" t="s">
        <v>106</v>
      </c>
    </row>
    <row r="238" spans="1:1" x14ac:dyDescent="0.25">
      <c r="A238" s="60" t="s">
        <v>106</v>
      </c>
    </row>
    <row r="239" spans="1:1" x14ac:dyDescent="0.25">
      <c r="A239" s="60" t="s">
        <v>106</v>
      </c>
    </row>
    <row r="240" spans="1:1" x14ac:dyDescent="0.25">
      <c r="A240" s="60" t="s">
        <v>106</v>
      </c>
    </row>
    <row r="241" spans="1:1" x14ac:dyDescent="0.25">
      <c r="A241" s="60">
        <v>3000</v>
      </c>
    </row>
    <row r="242" spans="1:1" x14ac:dyDescent="0.25">
      <c r="A242" s="60" t="s">
        <v>106</v>
      </c>
    </row>
    <row r="243" spans="1:1" x14ac:dyDescent="0.25">
      <c r="A243" s="60">
        <v>2000</v>
      </c>
    </row>
    <row r="244" spans="1:1" x14ac:dyDescent="0.25">
      <c r="A244" s="60">
        <v>3000</v>
      </c>
    </row>
    <row r="245" spans="1:1" x14ac:dyDescent="0.25">
      <c r="A245" s="60" t="s">
        <v>106</v>
      </c>
    </row>
    <row r="246" spans="1:1" x14ac:dyDescent="0.25">
      <c r="A246" s="60">
        <v>2000</v>
      </c>
    </row>
    <row r="247" spans="1:1" x14ac:dyDescent="0.25">
      <c r="A247" s="60">
        <v>10000</v>
      </c>
    </row>
    <row r="248" spans="1:1" x14ac:dyDescent="0.25">
      <c r="A248" s="60">
        <v>2500</v>
      </c>
    </row>
    <row r="249" spans="1:1" x14ac:dyDescent="0.25">
      <c r="A249" s="60">
        <v>1500</v>
      </c>
    </row>
    <row r="250" spans="1:1" x14ac:dyDescent="0.25">
      <c r="A250" s="60" t="s">
        <v>144</v>
      </c>
    </row>
    <row r="251" spans="1:1" x14ac:dyDescent="0.25">
      <c r="A251" s="60">
        <v>2500</v>
      </c>
    </row>
    <row r="252" spans="1:1" x14ac:dyDescent="0.25">
      <c r="A252" s="60">
        <v>2000</v>
      </c>
    </row>
    <row r="253" spans="1:1" x14ac:dyDescent="0.25">
      <c r="A253" s="60" t="s">
        <v>144</v>
      </c>
    </row>
    <row r="254" spans="1:1" x14ac:dyDescent="0.25">
      <c r="A254" s="60" t="s">
        <v>106</v>
      </c>
    </row>
    <row r="255" spans="1:1" x14ac:dyDescent="0.25">
      <c r="A255" s="60" t="s">
        <v>106</v>
      </c>
    </row>
    <row r="256" spans="1:1" x14ac:dyDescent="0.25">
      <c r="A256" s="60" t="s">
        <v>106</v>
      </c>
    </row>
    <row r="257" spans="1:1" x14ac:dyDescent="0.25">
      <c r="A257" s="60">
        <v>2000</v>
      </c>
    </row>
    <row r="258" spans="1:1" x14ac:dyDescent="0.25">
      <c r="A258" s="60" t="s">
        <v>144</v>
      </c>
    </row>
    <row r="259" spans="1:1" x14ac:dyDescent="0.25">
      <c r="A259" s="60" t="s">
        <v>170</v>
      </c>
    </row>
    <row r="260" spans="1:1" x14ac:dyDescent="0.25">
      <c r="A260" s="60" t="s">
        <v>106</v>
      </c>
    </row>
    <row r="261" spans="1:1" x14ac:dyDescent="0.25">
      <c r="A261" s="60" t="s">
        <v>106</v>
      </c>
    </row>
    <row r="262" spans="1:1" x14ac:dyDescent="0.25">
      <c r="A262" s="60" t="s">
        <v>106</v>
      </c>
    </row>
    <row r="263" spans="1:1" x14ac:dyDescent="0.25">
      <c r="A263" s="60">
        <v>1000</v>
      </c>
    </row>
    <row r="264" spans="1:1" x14ac:dyDescent="0.25">
      <c r="A264" s="60">
        <v>1000</v>
      </c>
    </row>
    <row r="265" spans="1:1" x14ac:dyDescent="0.25">
      <c r="A265" s="60" t="s">
        <v>144</v>
      </c>
    </row>
    <row r="266" spans="1:1" x14ac:dyDescent="0.25">
      <c r="A266" s="60">
        <v>2000</v>
      </c>
    </row>
    <row r="267" spans="1:1" x14ac:dyDescent="0.25">
      <c r="A267" s="60" t="s">
        <v>175</v>
      </c>
    </row>
    <row r="268" spans="1:1" x14ac:dyDescent="0.25">
      <c r="A268" s="60" t="s">
        <v>175</v>
      </c>
    </row>
    <row r="269" spans="1:1" x14ac:dyDescent="0.25">
      <c r="A269" s="60" t="s">
        <v>175</v>
      </c>
    </row>
    <row r="270" spans="1:1" x14ac:dyDescent="0.25">
      <c r="A270" s="60">
        <v>5000</v>
      </c>
    </row>
    <row r="271" spans="1:1" x14ac:dyDescent="0.25">
      <c r="A271" s="60">
        <v>10000</v>
      </c>
    </row>
    <row r="272" spans="1:1" x14ac:dyDescent="0.25">
      <c r="A272" s="60">
        <v>20000</v>
      </c>
    </row>
    <row r="273" spans="1:1" x14ac:dyDescent="0.25">
      <c r="A273" s="60" t="s">
        <v>106</v>
      </c>
    </row>
    <row r="274" spans="1:1" x14ac:dyDescent="0.25">
      <c r="A274" s="60" t="s">
        <v>106</v>
      </c>
    </row>
    <row r="275" spans="1:1" x14ac:dyDescent="0.25">
      <c r="A275" s="60" t="s">
        <v>106</v>
      </c>
    </row>
    <row r="276" spans="1:1" x14ac:dyDescent="0.25">
      <c r="A276" s="60" t="s">
        <v>106</v>
      </c>
    </row>
    <row r="277" spans="1:1" x14ac:dyDescent="0.25">
      <c r="A277" s="60" t="s">
        <v>106</v>
      </c>
    </row>
    <row r="278" spans="1:1" x14ac:dyDescent="0.25">
      <c r="A278" s="60">
        <v>3500</v>
      </c>
    </row>
    <row r="279" spans="1:1" x14ac:dyDescent="0.25">
      <c r="A279" s="60">
        <v>2500</v>
      </c>
    </row>
    <row r="280" spans="1:1" x14ac:dyDescent="0.25">
      <c r="A280" s="60">
        <v>1500</v>
      </c>
    </row>
    <row r="281" spans="1:1" x14ac:dyDescent="0.25">
      <c r="A281" s="60">
        <v>1500</v>
      </c>
    </row>
    <row r="282" spans="1:1" x14ac:dyDescent="0.25">
      <c r="A282" s="60" t="s">
        <v>144</v>
      </c>
    </row>
    <row r="283" spans="1:1" x14ac:dyDescent="0.25">
      <c r="A283" s="60" t="s">
        <v>106</v>
      </c>
    </row>
    <row r="284" spans="1:1" x14ac:dyDescent="0.25">
      <c r="A284" s="60">
        <v>9000</v>
      </c>
    </row>
    <row r="285" spans="1:1" x14ac:dyDescent="0.25">
      <c r="A285" s="60">
        <v>1</v>
      </c>
    </row>
    <row r="286" spans="1:1" x14ac:dyDescent="0.25">
      <c r="A286" s="60">
        <v>12000</v>
      </c>
    </row>
    <row r="287" spans="1:1" x14ac:dyDescent="0.25">
      <c r="A287" s="60">
        <v>12000</v>
      </c>
    </row>
    <row r="288" spans="1:1" x14ac:dyDescent="0.25">
      <c r="A288" s="60" t="s">
        <v>106</v>
      </c>
    </row>
    <row r="289" spans="1:1" x14ac:dyDescent="0.25">
      <c r="A289" s="60" t="s">
        <v>106</v>
      </c>
    </row>
    <row r="290" spans="1:1" x14ac:dyDescent="0.25">
      <c r="A290" s="60">
        <v>8000</v>
      </c>
    </row>
    <row r="291" spans="1:1" x14ac:dyDescent="0.25">
      <c r="A291" s="60">
        <v>1500</v>
      </c>
    </row>
    <row r="292" spans="1:1" x14ac:dyDescent="0.25">
      <c r="A292" s="60">
        <v>4500</v>
      </c>
    </row>
    <row r="293" spans="1:1" x14ac:dyDescent="0.25">
      <c r="A293" s="60" t="s">
        <v>106</v>
      </c>
    </row>
    <row r="294" spans="1:1" x14ac:dyDescent="0.25">
      <c r="A294" s="60">
        <v>3500</v>
      </c>
    </row>
    <row r="295" spans="1:1" x14ac:dyDescent="0.25">
      <c r="A295" s="60">
        <v>2500</v>
      </c>
    </row>
    <row r="296" spans="1:1" x14ac:dyDescent="0.25">
      <c r="A296" s="60">
        <v>1500</v>
      </c>
    </row>
    <row r="297" spans="1:1" x14ac:dyDescent="0.25">
      <c r="A297" s="60">
        <v>1500</v>
      </c>
    </row>
    <row r="298" spans="1:1" x14ac:dyDescent="0.25">
      <c r="A298" s="60" t="s">
        <v>144</v>
      </c>
    </row>
    <row r="299" spans="1:1" x14ac:dyDescent="0.25">
      <c r="A299" s="114" t="s">
        <v>1307</v>
      </c>
    </row>
    <row r="300" spans="1:1" x14ac:dyDescent="0.25">
      <c r="A300" s="60" t="s">
        <v>106</v>
      </c>
    </row>
    <row r="301" spans="1:1" x14ac:dyDescent="0.25">
      <c r="A301" s="60" t="s">
        <v>106</v>
      </c>
    </row>
    <row r="302" spans="1:1" x14ac:dyDescent="0.25">
      <c r="A302" s="60">
        <v>3000</v>
      </c>
    </row>
    <row r="303" spans="1:1" x14ac:dyDescent="0.25">
      <c r="A303" s="60">
        <v>3000</v>
      </c>
    </row>
    <row r="304" spans="1:1" x14ac:dyDescent="0.25">
      <c r="A304" s="60">
        <v>3000</v>
      </c>
    </row>
    <row r="305" spans="1:1" x14ac:dyDescent="0.25">
      <c r="A305" s="60" t="s">
        <v>106</v>
      </c>
    </row>
    <row r="306" spans="1:1" x14ac:dyDescent="0.25">
      <c r="A306" s="60">
        <v>2000</v>
      </c>
    </row>
    <row r="307" spans="1:1" x14ac:dyDescent="0.25">
      <c r="A307" s="60">
        <v>2000</v>
      </c>
    </row>
    <row r="308" spans="1:1" x14ac:dyDescent="0.25">
      <c r="A308" s="141">
        <v>2000</v>
      </c>
    </row>
    <row r="309" spans="1:1" x14ac:dyDescent="0.25">
      <c r="A309" s="60" t="s">
        <v>106</v>
      </c>
    </row>
    <row r="310" spans="1:1" x14ac:dyDescent="0.25">
      <c r="A310" s="60">
        <v>2000</v>
      </c>
    </row>
    <row r="311" spans="1:1" x14ac:dyDescent="0.25">
      <c r="A311" s="60">
        <v>11000</v>
      </c>
    </row>
    <row r="312" spans="1:1" x14ac:dyDescent="0.25">
      <c r="A312" s="60">
        <v>10000</v>
      </c>
    </row>
    <row r="313" spans="1:1" x14ac:dyDescent="0.25">
      <c r="A313" s="60">
        <v>8000</v>
      </c>
    </row>
    <row r="314" spans="1:1" x14ac:dyDescent="0.25">
      <c r="A314" s="60">
        <v>7000</v>
      </c>
    </row>
    <row r="315" spans="1:1" x14ac:dyDescent="0.25">
      <c r="A315" s="60" t="s">
        <v>106</v>
      </c>
    </row>
    <row r="316" spans="1:1" x14ac:dyDescent="0.25">
      <c r="A316" s="60">
        <v>4000</v>
      </c>
    </row>
    <row r="317" spans="1:1" x14ac:dyDescent="0.25">
      <c r="A317" s="60" t="s">
        <v>106</v>
      </c>
    </row>
    <row r="318" spans="1:1" x14ac:dyDescent="0.25">
      <c r="A318" s="60">
        <v>2000</v>
      </c>
    </row>
    <row r="319" spans="1:1" x14ac:dyDescent="0.25">
      <c r="A319" s="60">
        <v>2000</v>
      </c>
    </row>
    <row r="320" spans="1:1" x14ac:dyDescent="0.25">
      <c r="A320" s="60">
        <v>2000</v>
      </c>
    </row>
    <row r="321" spans="1:1" x14ac:dyDescent="0.25">
      <c r="A321" s="60">
        <v>1500</v>
      </c>
    </row>
    <row r="322" spans="1:1" x14ac:dyDescent="0.25">
      <c r="A322" s="60">
        <v>1500</v>
      </c>
    </row>
    <row r="323" spans="1:1" x14ac:dyDescent="0.25">
      <c r="A323" s="60">
        <v>1500</v>
      </c>
    </row>
    <row r="324" spans="1:1" x14ac:dyDescent="0.25">
      <c r="A324" s="60">
        <v>1500</v>
      </c>
    </row>
    <row r="325" spans="1:1" x14ac:dyDescent="0.25">
      <c r="A325" s="115">
        <v>1500</v>
      </c>
    </row>
    <row r="326" spans="1:1" x14ac:dyDescent="0.25">
      <c r="A326" s="60">
        <v>1500</v>
      </c>
    </row>
    <row r="327" spans="1:1" x14ac:dyDescent="0.25">
      <c r="A327" s="60" t="s">
        <v>144</v>
      </c>
    </row>
    <row r="328" spans="1:1" x14ac:dyDescent="0.25">
      <c r="A328" s="60">
        <v>10000</v>
      </c>
    </row>
    <row r="329" spans="1:1" x14ac:dyDescent="0.25">
      <c r="A329" s="60">
        <v>5000</v>
      </c>
    </row>
    <row r="330" spans="1:1" x14ac:dyDescent="0.25">
      <c r="A330" s="60">
        <v>10500</v>
      </c>
    </row>
    <row r="331" spans="1:1" x14ac:dyDescent="0.25">
      <c r="A331" s="60">
        <v>6000</v>
      </c>
    </row>
    <row r="332" spans="1:1" x14ac:dyDescent="0.25">
      <c r="A332" s="60" t="s">
        <v>1418</v>
      </c>
    </row>
    <row r="333" spans="1:1" x14ac:dyDescent="0.25">
      <c r="A333" s="60">
        <v>2000</v>
      </c>
    </row>
    <row r="334" spans="1:1" x14ac:dyDescent="0.25">
      <c r="A334" s="60" t="s">
        <v>106</v>
      </c>
    </row>
    <row r="335" spans="1:1" x14ac:dyDescent="0.25">
      <c r="A335" s="60">
        <v>5000</v>
      </c>
    </row>
    <row r="336" spans="1:1" x14ac:dyDescent="0.25">
      <c r="A336" s="60">
        <v>2500</v>
      </c>
    </row>
    <row r="337" spans="1:1" x14ac:dyDescent="0.25">
      <c r="A337" s="60">
        <v>3500</v>
      </c>
    </row>
    <row r="338" spans="1:1" x14ac:dyDescent="0.25">
      <c r="A338" s="60">
        <v>2500</v>
      </c>
    </row>
    <row r="339" spans="1:1" x14ac:dyDescent="0.25">
      <c r="A339" s="60">
        <v>1500</v>
      </c>
    </row>
    <row r="340" spans="1:1" x14ac:dyDescent="0.25">
      <c r="A340" s="60">
        <v>3500</v>
      </c>
    </row>
    <row r="341" spans="1:1" x14ac:dyDescent="0.25">
      <c r="A341" s="60">
        <v>2500</v>
      </c>
    </row>
    <row r="342" spans="1:1" x14ac:dyDescent="0.25">
      <c r="A342" s="60">
        <v>2500</v>
      </c>
    </row>
    <row r="343" spans="1:1" x14ac:dyDescent="0.25">
      <c r="A343" s="60">
        <v>1500</v>
      </c>
    </row>
    <row r="344" spans="1:1" x14ac:dyDescent="0.25">
      <c r="A344" s="60">
        <v>1500</v>
      </c>
    </row>
    <row r="345" spans="1:1" x14ac:dyDescent="0.25">
      <c r="A345" s="60" t="s">
        <v>144</v>
      </c>
    </row>
    <row r="346" spans="1:1" x14ac:dyDescent="0.25">
      <c r="A346" s="60" t="s">
        <v>144</v>
      </c>
    </row>
    <row r="347" spans="1:1" x14ac:dyDescent="0.25">
      <c r="A347" s="60" t="s">
        <v>106</v>
      </c>
    </row>
    <row r="348" spans="1:1" x14ac:dyDescent="0.25">
      <c r="A348" s="60" t="s">
        <v>106</v>
      </c>
    </row>
    <row r="349" spans="1:1" x14ac:dyDescent="0.25">
      <c r="A349" s="60">
        <v>4000</v>
      </c>
    </row>
    <row r="350" spans="1:1" x14ac:dyDescent="0.25">
      <c r="A350" s="60" t="s">
        <v>144</v>
      </c>
    </row>
    <row r="351" spans="1:1" x14ac:dyDescent="0.25">
      <c r="A351" s="60">
        <v>1000</v>
      </c>
    </row>
    <row r="352" spans="1:1" x14ac:dyDescent="0.25">
      <c r="A352" s="60">
        <v>1500</v>
      </c>
    </row>
    <row r="353" spans="1:1" x14ac:dyDescent="0.25">
      <c r="A353" s="60">
        <v>1000</v>
      </c>
    </row>
    <row r="354" spans="1:1" x14ac:dyDescent="0.25">
      <c r="A354" s="60">
        <v>1000</v>
      </c>
    </row>
    <row r="355" spans="1:1" x14ac:dyDescent="0.25">
      <c r="A355" s="60">
        <v>18000</v>
      </c>
    </row>
    <row r="356" spans="1:1" x14ac:dyDescent="0.25">
      <c r="A356" s="60">
        <v>3500</v>
      </c>
    </row>
    <row r="357" spans="1:1" x14ac:dyDescent="0.25">
      <c r="A357" s="60">
        <v>3500</v>
      </c>
    </row>
    <row r="358" spans="1:1" x14ac:dyDescent="0.25">
      <c r="A358" s="60">
        <v>3500</v>
      </c>
    </row>
    <row r="359" spans="1:1" x14ac:dyDescent="0.25">
      <c r="A359" s="60">
        <v>1000</v>
      </c>
    </row>
    <row r="360" spans="1:1" x14ac:dyDescent="0.25">
      <c r="A360" s="60">
        <v>3500</v>
      </c>
    </row>
    <row r="361" spans="1:1" x14ac:dyDescent="0.25">
      <c r="A361" s="60">
        <v>3500</v>
      </c>
    </row>
    <row r="362" spans="1:1" x14ac:dyDescent="0.25">
      <c r="A362" s="60">
        <v>2500</v>
      </c>
    </row>
    <row r="363" spans="1:1" x14ac:dyDescent="0.25">
      <c r="A363" s="60">
        <v>2500</v>
      </c>
    </row>
    <row r="364" spans="1:1" x14ac:dyDescent="0.25">
      <c r="A364" s="60">
        <v>1500</v>
      </c>
    </row>
    <row r="365" spans="1:1" x14ac:dyDescent="0.25">
      <c r="A365" s="60">
        <v>1500</v>
      </c>
    </row>
    <row r="366" spans="1:1" x14ac:dyDescent="0.25">
      <c r="A366" s="60">
        <v>3500</v>
      </c>
    </row>
    <row r="367" spans="1:1" x14ac:dyDescent="0.25">
      <c r="A367" s="60">
        <v>3500</v>
      </c>
    </row>
    <row r="368" spans="1:1" x14ac:dyDescent="0.25">
      <c r="A368" s="60">
        <v>2500</v>
      </c>
    </row>
    <row r="369" spans="1:1" x14ac:dyDescent="0.25">
      <c r="A369" s="60">
        <v>2500</v>
      </c>
    </row>
    <row r="370" spans="1:1" x14ac:dyDescent="0.25">
      <c r="A370" s="60">
        <v>1500</v>
      </c>
    </row>
    <row r="371" spans="1:1" x14ac:dyDescent="0.25">
      <c r="A371" s="60">
        <v>1500</v>
      </c>
    </row>
    <row r="372" spans="1:1" x14ac:dyDescent="0.25">
      <c r="A372" s="141">
        <v>6000</v>
      </c>
    </row>
    <row r="373" spans="1:1" x14ac:dyDescent="0.25">
      <c r="A373" s="141">
        <v>6000</v>
      </c>
    </row>
    <row r="374" spans="1:1" x14ac:dyDescent="0.25">
      <c r="A374" s="141">
        <v>6000</v>
      </c>
    </row>
    <row r="375" spans="1:1" x14ac:dyDescent="0.25">
      <c r="A375" s="141">
        <v>6000</v>
      </c>
    </row>
    <row r="376" spans="1:1" x14ac:dyDescent="0.25">
      <c r="A376" s="141">
        <v>6000</v>
      </c>
    </row>
    <row r="377" spans="1:1" x14ac:dyDescent="0.25">
      <c r="A377" s="141">
        <v>3500</v>
      </c>
    </row>
    <row r="378" spans="1:1" x14ac:dyDescent="0.25">
      <c r="A378" s="141">
        <v>1500</v>
      </c>
    </row>
    <row r="379" spans="1:1" x14ac:dyDescent="0.25">
      <c r="A379" s="141">
        <v>3000</v>
      </c>
    </row>
    <row r="380" spans="1:1" x14ac:dyDescent="0.25">
      <c r="A380" s="141" t="s">
        <v>1418</v>
      </c>
    </row>
    <row r="381" spans="1:1" x14ac:dyDescent="0.25">
      <c r="A381" s="141">
        <v>2000</v>
      </c>
    </row>
    <row r="382" spans="1:1" x14ac:dyDescent="0.25">
      <c r="A382" s="60" t="s">
        <v>106</v>
      </c>
    </row>
    <row r="383" spans="1:1" x14ac:dyDescent="0.25">
      <c r="A383" s="60" t="s">
        <v>106</v>
      </c>
    </row>
    <row r="384" spans="1:1" x14ac:dyDescent="0.25">
      <c r="A384" s="141" t="s">
        <v>1886</v>
      </c>
    </row>
    <row r="385" spans="1:1" x14ac:dyDescent="0.25">
      <c r="A385" s="141">
        <v>3500</v>
      </c>
    </row>
    <row r="386" spans="1:1" x14ac:dyDescent="0.25">
      <c r="A386" s="141" t="s">
        <v>1936</v>
      </c>
    </row>
    <row r="387" spans="1:1" x14ac:dyDescent="0.25">
      <c r="A387" s="141" t="s">
        <v>1936</v>
      </c>
    </row>
    <row r="388" spans="1:1" x14ac:dyDescent="0.25">
      <c r="A388" s="141" t="s">
        <v>1936</v>
      </c>
    </row>
    <row r="389" spans="1:1" x14ac:dyDescent="0.25">
      <c r="A389" s="141">
        <v>4800</v>
      </c>
    </row>
    <row r="390" spans="1:1" x14ac:dyDescent="0.25">
      <c r="A390" s="141">
        <v>4000</v>
      </c>
    </row>
    <row r="391" spans="1:1" x14ac:dyDescent="0.25">
      <c r="A391" s="141">
        <v>4000</v>
      </c>
    </row>
    <row r="392" spans="1:1" x14ac:dyDescent="0.25">
      <c r="A392" s="141">
        <v>5000</v>
      </c>
    </row>
    <row r="393" spans="1:1" x14ac:dyDescent="0.25">
      <c r="A393" s="141" t="s">
        <v>2000</v>
      </c>
    </row>
    <row r="394" spans="1:1" x14ac:dyDescent="0.25">
      <c r="A394" s="141" t="s">
        <v>2000</v>
      </c>
    </row>
    <row r="395" spans="1:1" x14ac:dyDescent="0.25">
      <c r="A395" s="114" t="s">
        <v>1307</v>
      </c>
    </row>
    <row r="396" spans="1:1" x14ac:dyDescent="0.25">
      <c r="A396" s="141" t="s">
        <v>2094</v>
      </c>
    </row>
    <row r="397" spans="1:1" x14ac:dyDescent="0.25">
      <c r="A397" s="141" t="s">
        <v>1886</v>
      </c>
    </row>
    <row r="398" spans="1:1" x14ac:dyDescent="0.25">
      <c r="A398" s="141" t="s">
        <v>1936</v>
      </c>
    </row>
    <row r="399" spans="1:1" x14ac:dyDescent="0.25">
      <c r="A399" s="141">
        <v>2000</v>
      </c>
    </row>
    <row r="400" spans="1:1" x14ac:dyDescent="0.25">
      <c r="A400" s="141">
        <v>4000</v>
      </c>
    </row>
    <row r="401" spans="1:1" x14ac:dyDescent="0.25">
      <c r="A401" s="141">
        <v>15000</v>
      </c>
    </row>
    <row r="402" spans="1:1" x14ac:dyDescent="0.25">
      <c r="A402" s="178" t="s">
        <v>2252</v>
      </c>
    </row>
    <row r="403" spans="1:1" x14ac:dyDescent="0.25">
      <c r="A403" s="141" t="s">
        <v>2297</v>
      </c>
    </row>
    <row r="404" spans="1:1" x14ac:dyDescent="0.25">
      <c r="A404" s="141" t="s">
        <v>2306</v>
      </c>
    </row>
    <row r="405" spans="1:1" x14ac:dyDescent="0.25">
      <c r="A405" s="141" t="s">
        <v>2306</v>
      </c>
    </row>
    <row r="406" spans="1:1" x14ac:dyDescent="0.25">
      <c r="A406" s="141" t="s">
        <v>2306</v>
      </c>
    </row>
    <row r="407" spans="1:1" x14ac:dyDescent="0.25">
      <c r="A407" s="141" t="s">
        <v>2317</v>
      </c>
    </row>
    <row r="408" spans="1:1" x14ac:dyDescent="0.25">
      <c r="A408" s="141" t="s">
        <v>2306</v>
      </c>
    </row>
    <row r="409" spans="1:1" x14ac:dyDescent="0.25">
      <c r="A409" s="141" t="s">
        <v>2306</v>
      </c>
    </row>
    <row r="410" spans="1:1" x14ac:dyDescent="0.25">
      <c r="A410" s="141" t="s">
        <v>2306</v>
      </c>
    </row>
    <row r="411" spans="1:1" x14ac:dyDescent="0.25">
      <c r="A411" s="141" t="s">
        <v>1936</v>
      </c>
    </row>
    <row r="412" spans="1:1" x14ac:dyDescent="0.25">
      <c r="A412" s="141" t="s">
        <v>2359</v>
      </c>
    </row>
    <row r="413" spans="1:1" x14ac:dyDescent="0.25">
      <c r="A413" s="141" t="s">
        <v>2297</v>
      </c>
    </row>
    <row r="414" spans="1:1" x14ac:dyDescent="0.25">
      <c r="A414" s="60">
        <v>2500</v>
      </c>
    </row>
    <row r="415" spans="1:1" x14ac:dyDescent="0.25">
      <c r="A415" s="60">
        <v>1500</v>
      </c>
    </row>
    <row r="416" spans="1:1" x14ac:dyDescent="0.25">
      <c r="A416" s="141" t="s">
        <v>2381</v>
      </c>
    </row>
    <row r="417" spans="1:1" x14ac:dyDescent="0.25">
      <c r="A417" s="141" t="s">
        <v>1886</v>
      </c>
    </row>
    <row r="418" spans="1:1" x14ac:dyDescent="0.25">
      <c r="A418" s="141" t="s">
        <v>2000</v>
      </c>
    </row>
    <row r="419" spans="1:1" x14ac:dyDescent="0.25">
      <c r="A419" s="141" t="s">
        <v>1489</v>
      </c>
    </row>
    <row r="420" spans="1:1" x14ac:dyDescent="0.25">
      <c r="A420" s="141" t="s">
        <v>1489</v>
      </c>
    </row>
    <row r="421" spans="1:1" x14ac:dyDescent="0.25">
      <c r="A421" s="141" t="s">
        <v>2381</v>
      </c>
    </row>
    <row r="422" spans="1:1" x14ac:dyDescent="0.25">
      <c r="A422" s="141" t="s">
        <v>2381</v>
      </c>
    </row>
    <row r="423" spans="1:1" x14ac:dyDescent="0.25">
      <c r="A423" s="141" t="s">
        <v>2428</v>
      </c>
    </row>
    <row r="424" spans="1:1" x14ac:dyDescent="0.25">
      <c r="A424" s="141" t="s">
        <v>2428</v>
      </c>
    </row>
    <row r="425" spans="1:1" x14ac:dyDescent="0.25">
      <c r="A425" s="141" t="s">
        <v>1936</v>
      </c>
    </row>
    <row r="426" spans="1:1" x14ac:dyDescent="0.25">
      <c r="A426" s="141" t="s">
        <v>2000</v>
      </c>
    </row>
    <row r="427" spans="1:1" x14ac:dyDescent="0.25">
      <c r="A427" s="141">
        <v>2030</v>
      </c>
    </row>
    <row r="428" spans="1:1" x14ac:dyDescent="0.25">
      <c r="A428" s="141" t="s">
        <v>2000</v>
      </c>
    </row>
    <row r="429" spans="1:1" x14ac:dyDescent="0.25">
      <c r="A429" s="141" t="s">
        <v>1936</v>
      </c>
    </row>
    <row r="430" spans="1:1" x14ac:dyDescent="0.25">
      <c r="A430" s="141" t="s">
        <v>2000</v>
      </c>
    </row>
    <row r="431" spans="1:1" x14ac:dyDescent="0.25">
      <c r="A431" s="141" t="s">
        <v>1936</v>
      </c>
    </row>
    <row r="432" spans="1:1" x14ac:dyDescent="0.25">
      <c r="A432" s="141">
        <v>3500</v>
      </c>
    </row>
    <row r="433" spans="1:1" x14ac:dyDescent="0.25">
      <c r="A433" s="141" t="s">
        <v>1936</v>
      </c>
    </row>
    <row r="434" spans="1:1" x14ac:dyDescent="0.25">
      <c r="A434" s="141" t="s">
        <v>2590</v>
      </c>
    </row>
    <row r="435" spans="1:1" x14ac:dyDescent="0.25">
      <c r="A435" s="141">
        <v>2500</v>
      </c>
    </row>
    <row r="436" spans="1:1" x14ac:dyDescent="0.25">
      <c r="A436" s="141">
        <v>25000</v>
      </c>
    </row>
    <row r="437" spans="1:1" x14ac:dyDescent="0.25">
      <c r="A437" s="141">
        <v>1500</v>
      </c>
    </row>
    <row r="438" spans="1:1" x14ac:dyDescent="0.25">
      <c r="A438" s="141">
        <v>1500</v>
      </c>
    </row>
    <row r="439" spans="1:1" x14ac:dyDescent="0.25">
      <c r="A439" s="141" t="s">
        <v>1886</v>
      </c>
    </row>
    <row r="440" spans="1:1" x14ac:dyDescent="0.25">
      <c r="A440" s="141" t="s">
        <v>2799</v>
      </c>
    </row>
    <row r="441" spans="1:1" x14ac:dyDescent="0.25">
      <c r="A441" s="141" t="s">
        <v>1936</v>
      </c>
    </row>
    <row r="442" spans="1:1" x14ac:dyDescent="0.25">
      <c r="A442" s="141" t="s">
        <v>1936</v>
      </c>
    </row>
    <row r="443" spans="1:1" x14ac:dyDescent="0.25">
      <c r="A443" s="141" t="s">
        <v>2817</v>
      </c>
    </row>
    <row r="444" spans="1:1" x14ac:dyDescent="0.25">
      <c r="A444" s="141" t="s">
        <v>2820</v>
      </c>
    </row>
    <row r="445" spans="1:1" x14ac:dyDescent="0.25">
      <c r="A445" s="141" t="s">
        <v>2817</v>
      </c>
    </row>
    <row r="446" spans="1:1" x14ac:dyDescent="0.25">
      <c r="A446" s="141" t="s">
        <v>1936</v>
      </c>
    </row>
    <row r="447" spans="1:1" x14ac:dyDescent="0.25">
      <c r="A447" s="141" t="s">
        <v>1936</v>
      </c>
    </row>
    <row r="448" spans="1:1" x14ac:dyDescent="0.25">
      <c r="A448" s="141" t="s">
        <v>1936</v>
      </c>
    </row>
    <row r="449" spans="1:1" x14ac:dyDescent="0.25">
      <c r="A449" s="141" t="s">
        <v>1936</v>
      </c>
    </row>
    <row r="450" spans="1:1" x14ac:dyDescent="0.25">
      <c r="A450" s="141">
        <v>1100</v>
      </c>
    </row>
    <row r="451" spans="1:1" x14ac:dyDescent="0.25">
      <c r="A451" s="141">
        <v>1500</v>
      </c>
    </row>
    <row r="452" spans="1:1" x14ac:dyDescent="0.25">
      <c r="A452" s="141" t="s">
        <v>144</v>
      </c>
    </row>
    <row r="453" spans="1:1" x14ac:dyDescent="0.25">
      <c r="A453" s="141" t="s">
        <v>1936</v>
      </c>
    </row>
    <row r="454" spans="1:1" x14ac:dyDescent="0.25">
      <c r="A454" s="141" t="s">
        <v>1936</v>
      </c>
    </row>
    <row r="455" spans="1:1" x14ac:dyDescent="0.25">
      <c r="A455" s="141" t="s">
        <v>1936</v>
      </c>
    </row>
    <row r="456" spans="1:1" x14ac:dyDescent="0.25">
      <c r="A456" s="141" t="s">
        <v>1936</v>
      </c>
    </row>
    <row r="457" spans="1:1" x14ac:dyDescent="0.25">
      <c r="A457" s="141" t="s">
        <v>1936</v>
      </c>
    </row>
    <row r="458" spans="1:1" x14ac:dyDescent="0.25">
      <c r="A458" s="141" t="s">
        <v>1936</v>
      </c>
    </row>
    <row r="459" spans="1:1" x14ac:dyDescent="0.25">
      <c r="A459" s="141" t="s">
        <v>1936</v>
      </c>
    </row>
    <row r="460" spans="1:1" x14ac:dyDescent="0.25">
      <c r="A460" s="141" t="s">
        <v>1936</v>
      </c>
    </row>
    <row r="461" spans="1:1" x14ac:dyDescent="0.25">
      <c r="A461" s="141" t="s">
        <v>1936</v>
      </c>
    </row>
    <row r="462" spans="1:1" x14ac:dyDescent="0.25">
      <c r="A462" s="141" t="s">
        <v>1418</v>
      </c>
    </row>
    <row r="463" spans="1:1" x14ac:dyDescent="0.25">
      <c r="A463" s="141" t="s">
        <v>3105</v>
      </c>
    </row>
    <row r="464" spans="1:1" x14ac:dyDescent="0.25">
      <c r="A464" s="141" t="s">
        <v>1936</v>
      </c>
    </row>
    <row r="465" spans="1:1" x14ac:dyDescent="0.25">
      <c r="A465" s="141" t="s">
        <v>3116</v>
      </c>
    </row>
    <row r="466" spans="1:1" x14ac:dyDescent="0.25">
      <c r="A466" s="141" t="s">
        <v>3119</v>
      </c>
    </row>
    <row r="467" spans="1:1" x14ac:dyDescent="0.25">
      <c r="A467" s="141" t="s">
        <v>2359</v>
      </c>
    </row>
    <row r="468" spans="1:1" x14ac:dyDescent="0.25">
      <c r="A468" s="141">
        <v>110</v>
      </c>
    </row>
    <row r="469" spans="1:1" x14ac:dyDescent="0.25">
      <c r="A469" s="141">
        <v>4000</v>
      </c>
    </row>
    <row r="470" spans="1:1" x14ac:dyDescent="0.25">
      <c r="A470" s="141">
        <v>4000</v>
      </c>
    </row>
    <row r="471" spans="1:1" x14ac:dyDescent="0.25">
      <c r="A471" s="141" t="s">
        <v>3119</v>
      </c>
    </row>
    <row r="472" spans="1:1" x14ac:dyDescent="0.25">
      <c r="A472" s="141" t="s">
        <v>3119</v>
      </c>
    </row>
    <row r="473" spans="1:1" x14ac:dyDescent="0.25">
      <c r="A473" s="141" t="s">
        <v>1936</v>
      </c>
    </row>
    <row r="474" spans="1:1" x14ac:dyDescent="0.25">
      <c r="A474" s="141" t="s">
        <v>1936</v>
      </c>
    </row>
    <row r="475" spans="1:1" x14ac:dyDescent="0.25">
      <c r="A475" s="141" t="s">
        <v>1936</v>
      </c>
    </row>
    <row r="476" spans="1:1" x14ac:dyDescent="0.25">
      <c r="A476" s="141" t="s">
        <v>1936</v>
      </c>
    </row>
    <row r="477" spans="1:1" x14ac:dyDescent="0.25">
      <c r="A477" s="141" t="s">
        <v>1936</v>
      </c>
    </row>
    <row r="478" spans="1:1" x14ac:dyDescent="0.25">
      <c r="A478" s="141" t="s">
        <v>1936</v>
      </c>
    </row>
    <row r="479" spans="1:1" x14ac:dyDescent="0.25">
      <c r="A479" s="141" t="s">
        <v>1936</v>
      </c>
    </row>
    <row r="480" spans="1:1" x14ac:dyDescent="0.25">
      <c r="A480" s="141" t="s">
        <v>1936</v>
      </c>
    </row>
    <row r="481" spans="1:1" x14ac:dyDescent="0.25">
      <c r="A481" s="141" t="s">
        <v>1936</v>
      </c>
    </row>
    <row r="482" spans="1:1" x14ac:dyDescent="0.25">
      <c r="A482" s="141" t="s">
        <v>1936</v>
      </c>
    </row>
    <row r="483" spans="1:1" x14ac:dyDescent="0.25">
      <c r="A483" s="141" t="s">
        <v>3564</v>
      </c>
    </row>
    <row r="484" spans="1:1" x14ac:dyDescent="0.25">
      <c r="A484" s="60" t="s">
        <v>3571</v>
      </c>
    </row>
    <row r="485" spans="1:1" x14ac:dyDescent="0.25">
      <c r="A485" s="60">
        <v>2030</v>
      </c>
    </row>
    <row r="486" spans="1:1" x14ac:dyDescent="0.25">
      <c r="A486" s="60">
        <v>2030</v>
      </c>
    </row>
    <row r="487" spans="1:1" x14ac:dyDescent="0.25">
      <c r="A487" s="60">
        <v>2030</v>
      </c>
    </row>
    <row r="488" spans="1:1" x14ac:dyDescent="0.25">
      <c r="A488" s="60">
        <v>2030</v>
      </c>
    </row>
    <row r="489" spans="1:1" x14ac:dyDescent="0.25">
      <c r="A489" s="60">
        <v>2030</v>
      </c>
    </row>
  </sheetData>
  <autoFilter ref="C1:C68" xr:uid="{00000000-0009-0000-0000-000004000000}"/>
  <phoneticPr fontId="3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A1898"/>
  <sheetViews>
    <sheetView workbookViewId="0">
      <selection activeCell="A2" sqref="A2:A1895"/>
    </sheetView>
  </sheetViews>
  <sheetFormatPr defaultRowHeight="15" x14ac:dyDescent="0.25"/>
  <cols>
    <col min="1" max="1" width="39.42578125" customWidth="1"/>
  </cols>
  <sheetData>
    <row r="1" spans="1:1" x14ac:dyDescent="0.25">
      <c r="A1" s="273" t="s">
        <v>5081</v>
      </c>
    </row>
    <row r="2" spans="1:1" x14ac:dyDescent="0.25">
      <c r="A2" s="60">
        <v>4000</v>
      </c>
    </row>
    <row r="3" spans="1:1" x14ac:dyDescent="0.25">
      <c r="A3" s="60">
        <v>4000</v>
      </c>
    </row>
    <row r="4" spans="1:1" x14ac:dyDescent="0.25">
      <c r="A4" s="68">
        <v>2000</v>
      </c>
    </row>
    <row r="5" spans="1:1" x14ac:dyDescent="0.25">
      <c r="A5" s="60">
        <v>2000</v>
      </c>
    </row>
    <row r="6" spans="1:1" x14ac:dyDescent="0.25">
      <c r="A6" s="60">
        <v>2000</v>
      </c>
    </row>
    <row r="7" spans="1:1" hidden="1" x14ac:dyDescent="0.25">
      <c r="A7" s="60">
        <v>0</v>
      </c>
    </row>
    <row r="8" spans="1:1" x14ac:dyDescent="0.25">
      <c r="A8" s="60">
        <v>4000</v>
      </c>
    </row>
    <row r="9" spans="1:1" x14ac:dyDescent="0.25">
      <c r="A9" s="60">
        <v>4000</v>
      </c>
    </row>
    <row r="10" spans="1:1" hidden="1" x14ac:dyDescent="0.25">
      <c r="A10" s="60">
        <v>0</v>
      </c>
    </row>
    <row r="11" spans="1:1" x14ac:dyDescent="0.25">
      <c r="A11" s="60" t="s">
        <v>106</v>
      </c>
    </row>
    <row r="12" spans="1:1" hidden="1" x14ac:dyDescent="0.25">
      <c r="A12" s="60">
        <v>0</v>
      </c>
    </row>
    <row r="13" spans="1:1" x14ac:dyDescent="0.25">
      <c r="A13" s="60">
        <v>1500</v>
      </c>
    </row>
    <row r="14" spans="1:1" x14ac:dyDescent="0.25">
      <c r="A14" s="60">
        <v>3000</v>
      </c>
    </row>
    <row r="15" spans="1:1" x14ac:dyDescent="0.25">
      <c r="A15" s="60">
        <v>3000</v>
      </c>
    </row>
    <row r="16" spans="1:1" x14ac:dyDescent="0.25">
      <c r="A16" s="60">
        <v>2500</v>
      </c>
    </row>
    <row r="17" spans="1:1" x14ac:dyDescent="0.25">
      <c r="A17" s="60">
        <v>15000</v>
      </c>
    </row>
    <row r="18" spans="1:1" x14ac:dyDescent="0.25">
      <c r="A18" s="62" t="s">
        <v>144</v>
      </c>
    </row>
    <row r="19" spans="1:1" x14ac:dyDescent="0.25">
      <c r="A19" s="60">
        <v>1200</v>
      </c>
    </row>
    <row r="20" spans="1:1" hidden="1" x14ac:dyDescent="0.25">
      <c r="A20" s="60"/>
    </row>
    <row r="21" spans="1:1" x14ac:dyDescent="0.25">
      <c r="A21" s="60">
        <v>1200</v>
      </c>
    </row>
    <row r="22" spans="1:1" x14ac:dyDescent="0.25">
      <c r="A22" s="60">
        <v>3000</v>
      </c>
    </row>
    <row r="23" spans="1:1" x14ac:dyDescent="0.25">
      <c r="A23" s="60">
        <v>9000</v>
      </c>
    </row>
    <row r="24" spans="1:1" x14ac:dyDescent="0.25">
      <c r="A24" s="60" t="s">
        <v>170</v>
      </c>
    </row>
    <row r="25" spans="1:1" x14ac:dyDescent="0.25">
      <c r="A25" s="60" t="s">
        <v>175</v>
      </c>
    </row>
    <row r="26" spans="1:1" x14ac:dyDescent="0.25">
      <c r="A26" s="60" t="s">
        <v>106</v>
      </c>
    </row>
    <row r="27" spans="1:1" x14ac:dyDescent="0.25">
      <c r="A27" s="60" t="s">
        <v>144</v>
      </c>
    </row>
    <row r="28" spans="1:1" x14ac:dyDescent="0.25">
      <c r="A28" s="60">
        <v>2500</v>
      </c>
    </row>
    <row r="29" spans="1:1" x14ac:dyDescent="0.25">
      <c r="A29" s="60" t="s">
        <v>175</v>
      </c>
    </row>
    <row r="30" spans="1:1" x14ac:dyDescent="0.25">
      <c r="A30" s="60" t="s">
        <v>106</v>
      </c>
    </row>
    <row r="31" spans="1:1" x14ac:dyDescent="0.25">
      <c r="A31" s="60" t="s">
        <v>106</v>
      </c>
    </row>
    <row r="32" spans="1:1" hidden="1" x14ac:dyDescent="0.25">
      <c r="A32" s="60">
        <v>0</v>
      </c>
    </row>
    <row r="33" spans="1:1" x14ac:dyDescent="0.25">
      <c r="A33" s="60">
        <v>12000</v>
      </c>
    </row>
    <row r="34" spans="1:1" x14ac:dyDescent="0.25">
      <c r="A34" s="60" t="s">
        <v>106</v>
      </c>
    </row>
    <row r="35" spans="1:1" x14ac:dyDescent="0.25">
      <c r="A35" s="60" t="s">
        <v>170</v>
      </c>
    </row>
    <row r="36" spans="1:1" hidden="1" x14ac:dyDescent="0.25">
      <c r="A36" s="60"/>
    </row>
    <row r="37" spans="1:1" x14ac:dyDescent="0.25">
      <c r="A37" s="60" t="s">
        <v>144</v>
      </c>
    </row>
    <row r="38" spans="1:1" x14ac:dyDescent="0.25">
      <c r="A38" s="60">
        <v>3000</v>
      </c>
    </row>
    <row r="39" spans="1:1" x14ac:dyDescent="0.25">
      <c r="A39" s="60">
        <v>3000</v>
      </c>
    </row>
    <row r="40" spans="1:1" hidden="1" x14ac:dyDescent="0.25">
      <c r="A40" s="60"/>
    </row>
    <row r="41" spans="1:1" x14ac:dyDescent="0.25">
      <c r="A41" s="60">
        <v>10000</v>
      </c>
    </row>
    <row r="42" spans="1:1" hidden="1" x14ac:dyDescent="0.25">
      <c r="A42" s="60">
        <v>0</v>
      </c>
    </row>
    <row r="43" spans="1:1" hidden="1" x14ac:dyDescent="0.25">
      <c r="A43" s="60">
        <v>0</v>
      </c>
    </row>
    <row r="44" spans="1:1" x14ac:dyDescent="0.25">
      <c r="A44" s="60">
        <v>76000</v>
      </c>
    </row>
    <row r="45" spans="1:1" x14ac:dyDescent="0.25">
      <c r="A45" s="60" t="s">
        <v>106</v>
      </c>
    </row>
    <row r="46" spans="1:1" hidden="1" x14ac:dyDescent="0.25">
      <c r="A46" s="60" t="e">
        <v>#N/A</v>
      </c>
    </row>
    <row r="47" spans="1:1" x14ac:dyDescent="0.25">
      <c r="A47" s="60">
        <v>3000</v>
      </c>
    </row>
    <row r="48" spans="1:1" x14ac:dyDescent="0.25">
      <c r="A48" s="60">
        <v>3000</v>
      </c>
    </row>
    <row r="49" spans="1:1" x14ac:dyDescent="0.25">
      <c r="A49" s="60">
        <v>3000</v>
      </c>
    </row>
    <row r="50" spans="1:1" x14ac:dyDescent="0.25">
      <c r="A50" s="60">
        <v>3000</v>
      </c>
    </row>
    <row r="51" spans="1:1" hidden="1" x14ac:dyDescent="0.25">
      <c r="A51" s="60" t="e">
        <v>#N/A</v>
      </c>
    </row>
    <row r="52" spans="1:1" hidden="1" x14ac:dyDescent="0.25">
      <c r="A52" s="60"/>
    </row>
    <row r="53" spans="1:1" x14ac:dyDescent="0.25">
      <c r="A53" s="60">
        <v>3000</v>
      </c>
    </row>
    <row r="54" spans="1:1" x14ac:dyDescent="0.25">
      <c r="A54" s="60">
        <v>2000</v>
      </c>
    </row>
    <row r="55" spans="1:1" hidden="1" x14ac:dyDescent="0.25">
      <c r="A55" s="60">
        <v>0</v>
      </c>
    </row>
    <row r="56" spans="1:1" x14ac:dyDescent="0.25">
      <c r="A56" s="60" t="s">
        <v>296</v>
      </c>
    </row>
    <row r="57" spans="1:1" hidden="1" x14ac:dyDescent="0.25">
      <c r="A57" s="60">
        <v>0</v>
      </c>
    </row>
    <row r="58" spans="1:1" hidden="1" x14ac:dyDescent="0.25">
      <c r="A58" s="60">
        <v>0</v>
      </c>
    </row>
    <row r="59" spans="1:1" hidden="1" x14ac:dyDescent="0.25">
      <c r="A59" s="60">
        <v>0</v>
      </c>
    </row>
    <row r="60" spans="1:1" hidden="1" x14ac:dyDescent="0.25">
      <c r="A60" s="60">
        <v>0</v>
      </c>
    </row>
    <row r="61" spans="1:1" hidden="1" x14ac:dyDescent="0.25">
      <c r="A61" s="60">
        <v>0</v>
      </c>
    </row>
    <row r="62" spans="1:1" x14ac:dyDescent="0.25">
      <c r="A62" s="60">
        <v>24000</v>
      </c>
    </row>
    <row r="63" spans="1:1" x14ac:dyDescent="0.25">
      <c r="A63" s="60">
        <v>3000</v>
      </c>
    </row>
    <row r="64" spans="1:1" x14ac:dyDescent="0.25">
      <c r="A64" s="60">
        <v>2500</v>
      </c>
    </row>
    <row r="65" spans="1:1" x14ac:dyDescent="0.25">
      <c r="A65" s="60">
        <v>1500</v>
      </c>
    </row>
    <row r="66" spans="1:1" hidden="1" x14ac:dyDescent="0.25">
      <c r="A66" s="60">
        <v>0</v>
      </c>
    </row>
    <row r="67" spans="1:1" x14ac:dyDescent="0.25">
      <c r="A67" s="60">
        <v>24000</v>
      </c>
    </row>
    <row r="68" spans="1:1" hidden="1" x14ac:dyDescent="0.25">
      <c r="A68" s="60">
        <v>0</v>
      </c>
    </row>
    <row r="69" spans="1:1" x14ac:dyDescent="0.25">
      <c r="A69" s="60" t="s">
        <v>340</v>
      </c>
    </row>
    <row r="70" spans="1:1" hidden="1" x14ac:dyDescent="0.25">
      <c r="A70" s="60">
        <v>0</v>
      </c>
    </row>
    <row r="71" spans="1:1" hidden="1" x14ac:dyDescent="0.25">
      <c r="A71" s="60">
        <v>0</v>
      </c>
    </row>
    <row r="72" spans="1:1" hidden="1" x14ac:dyDescent="0.25">
      <c r="A72" s="60">
        <v>0</v>
      </c>
    </row>
    <row r="73" spans="1:1" hidden="1" x14ac:dyDescent="0.25">
      <c r="A73" s="60">
        <v>0</v>
      </c>
    </row>
    <row r="74" spans="1:1" hidden="1" x14ac:dyDescent="0.25">
      <c r="A74" s="60">
        <v>0</v>
      </c>
    </row>
    <row r="75" spans="1:1" hidden="1" x14ac:dyDescent="0.25">
      <c r="A75" s="60">
        <v>0</v>
      </c>
    </row>
    <row r="76" spans="1:1" x14ac:dyDescent="0.25">
      <c r="A76" s="60">
        <v>3000</v>
      </c>
    </row>
    <row r="77" spans="1:1" x14ac:dyDescent="0.25">
      <c r="A77" s="60">
        <v>3000</v>
      </c>
    </row>
    <row r="78" spans="1:1" x14ac:dyDescent="0.25">
      <c r="A78" s="60">
        <v>2500</v>
      </c>
    </row>
    <row r="79" spans="1:1" x14ac:dyDescent="0.25">
      <c r="A79" s="60">
        <v>2500</v>
      </c>
    </row>
    <row r="80" spans="1:1" x14ac:dyDescent="0.25">
      <c r="A80" s="60">
        <v>1500</v>
      </c>
    </row>
    <row r="81" spans="1:1" x14ac:dyDescent="0.25">
      <c r="A81" s="60">
        <v>1500</v>
      </c>
    </row>
    <row r="82" spans="1:1" x14ac:dyDescent="0.25">
      <c r="A82" s="60">
        <v>10000</v>
      </c>
    </row>
    <row r="83" spans="1:1" x14ac:dyDescent="0.25">
      <c r="A83" s="60">
        <v>3000</v>
      </c>
    </row>
    <row r="84" spans="1:1" hidden="1" x14ac:dyDescent="0.25">
      <c r="A84" s="60">
        <v>0</v>
      </c>
    </row>
    <row r="85" spans="1:1" hidden="1" x14ac:dyDescent="0.25">
      <c r="A85" s="60">
        <v>0</v>
      </c>
    </row>
    <row r="86" spans="1:1" hidden="1" x14ac:dyDescent="0.25">
      <c r="A86" s="60">
        <v>0</v>
      </c>
    </row>
    <row r="87" spans="1:1" x14ac:dyDescent="0.25">
      <c r="A87" s="60">
        <v>2000</v>
      </c>
    </row>
    <row r="88" spans="1:1" x14ac:dyDescent="0.25">
      <c r="A88" s="60">
        <v>5000</v>
      </c>
    </row>
    <row r="89" spans="1:1" hidden="1" x14ac:dyDescent="0.25">
      <c r="A89" s="60">
        <v>0</v>
      </c>
    </row>
    <row r="90" spans="1:1" hidden="1" x14ac:dyDescent="0.25">
      <c r="A90" s="60">
        <v>0</v>
      </c>
    </row>
    <row r="91" spans="1:1" hidden="1" x14ac:dyDescent="0.25">
      <c r="A91" s="60">
        <v>0</v>
      </c>
    </row>
    <row r="92" spans="1:1" hidden="1" x14ac:dyDescent="0.25">
      <c r="A92" s="60">
        <v>0</v>
      </c>
    </row>
    <row r="93" spans="1:1" x14ac:dyDescent="0.25">
      <c r="A93" s="60">
        <v>4000</v>
      </c>
    </row>
    <row r="94" spans="1:1" x14ac:dyDescent="0.25">
      <c r="A94" s="60">
        <v>4000</v>
      </c>
    </row>
    <row r="95" spans="1:1" hidden="1" x14ac:dyDescent="0.25">
      <c r="A95" s="60">
        <v>0</v>
      </c>
    </row>
    <row r="96" spans="1:1" x14ac:dyDescent="0.25">
      <c r="A96" s="60">
        <v>6000</v>
      </c>
    </row>
    <row r="97" spans="1:1" x14ac:dyDescent="0.25">
      <c r="A97" s="60" t="s">
        <v>144</v>
      </c>
    </row>
    <row r="98" spans="1:1" x14ac:dyDescent="0.25">
      <c r="A98" s="60" t="s">
        <v>106</v>
      </c>
    </row>
    <row r="99" spans="1:1" x14ac:dyDescent="0.25">
      <c r="A99" s="60" t="s">
        <v>106</v>
      </c>
    </row>
    <row r="100" spans="1:1" x14ac:dyDescent="0.25">
      <c r="A100" s="60" t="s">
        <v>106</v>
      </c>
    </row>
    <row r="101" spans="1:1" x14ac:dyDescent="0.25">
      <c r="A101" s="60" t="s">
        <v>106</v>
      </c>
    </row>
    <row r="102" spans="1:1" hidden="1" x14ac:dyDescent="0.25">
      <c r="A102" s="60"/>
    </row>
    <row r="103" spans="1:1" x14ac:dyDescent="0.25">
      <c r="A103" s="60" t="s">
        <v>175</v>
      </c>
    </row>
    <row r="104" spans="1:1" hidden="1" x14ac:dyDescent="0.25">
      <c r="A104" s="60"/>
    </row>
    <row r="105" spans="1:1" hidden="1" x14ac:dyDescent="0.25">
      <c r="A105" s="60"/>
    </row>
    <row r="106" spans="1:1" x14ac:dyDescent="0.25">
      <c r="A106" s="60">
        <v>4000</v>
      </c>
    </row>
    <row r="107" spans="1:1" x14ac:dyDescent="0.25">
      <c r="A107" s="60">
        <v>18000</v>
      </c>
    </row>
    <row r="108" spans="1:1" x14ac:dyDescent="0.25">
      <c r="A108" s="60">
        <v>3000</v>
      </c>
    </row>
    <row r="109" spans="1:1" x14ac:dyDescent="0.25">
      <c r="A109" s="60">
        <v>3000</v>
      </c>
    </row>
    <row r="110" spans="1:1" x14ac:dyDescent="0.25">
      <c r="A110" s="60">
        <v>2500</v>
      </c>
    </row>
    <row r="111" spans="1:1" x14ac:dyDescent="0.25">
      <c r="A111" s="60">
        <v>2500</v>
      </c>
    </row>
    <row r="112" spans="1:1" x14ac:dyDescent="0.25">
      <c r="A112" s="60">
        <v>1500</v>
      </c>
    </row>
    <row r="113" spans="1:1" x14ac:dyDescent="0.25">
      <c r="A113" s="60">
        <v>1500</v>
      </c>
    </row>
    <row r="114" spans="1:1" hidden="1" x14ac:dyDescent="0.25">
      <c r="A114" s="60"/>
    </row>
    <row r="115" spans="1:1" x14ac:dyDescent="0.25">
      <c r="A115" s="60">
        <v>10000</v>
      </c>
    </row>
    <row r="116" spans="1:1" x14ac:dyDescent="0.25">
      <c r="A116" s="60" t="s">
        <v>106</v>
      </c>
    </row>
    <row r="117" spans="1:1" hidden="1" x14ac:dyDescent="0.25">
      <c r="A117" s="60"/>
    </row>
    <row r="118" spans="1:1" hidden="1" x14ac:dyDescent="0.25">
      <c r="A118" s="60"/>
    </row>
    <row r="119" spans="1:1" x14ac:dyDescent="0.25">
      <c r="A119" s="60">
        <v>28800</v>
      </c>
    </row>
    <row r="120" spans="1:1" hidden="1" x14ac:dyDescent="0.25">
      <c r="A120" s="60"/>
    </row>
    <row r="121" spans="1:1" x14ac:dyDescent="0.25">
      <c r="A121" s="60" t="s">
        <v>517</v>
      </c>
    </row>
    <row r="122" spans="1:1" hidden="1" x14ac:dyDescent="0.25">
      <c r="A122" s="60"/>
    </row>
    <row r="123" spans="1:1" hidden="1" x14ac:dyDescent="0.25">
      <c r="A123" s="60"/>
    </row>
    <row r="124" spans="1:1" hidden="1" x14ac:dyDescent="0.25">
      <c r="A124" s="60"/>
    </row>
    <row r="125" spans="1:1" hidden="1" x14ac:dyDescent="0.25">
      <c r="A125" s="60"/>
    </row>
    <row r="126" spans="1:1" hidden="1" x14ac:dyDescent="0.25">
      <c r="A126" s="60"/>
    </row>
    <row r="127" spans="1:1" hidden="1" x14ac:dyDescent="0.25">
      <c r="A127" s="60"/>
    </row>
    <row r="128" spans="1:1" hidden="1" x14ac:dyDescent="0.25">
      <c r="A128" s="60"/>
    </row>
    <row r="129" spans="1:1" x14ac:dyDescent="0.25">
      <c r="A129" s="60" t="s">
        <v>144</v>
      </c>
    </row>
    <row r="130" spans="1:1" x14ac:dyDescent="0.25">
      <c r="A130" s="60">
        <v>1500</v>
      </c>
    </row>
    <row r="131" spans="1:1" hidden="1" x14ac:dyDescent="0.25">
      <c r="A131" s="60"/>
    </row>
    <row r="132" spans="1:1" x14ac:dyDescent="0.25">
      <c r="A132" s="60">
        <v>800</v>
      </c>
    </row>
    <row r="133" spans="1:1" x14ac:dyDescent="0.25">
      <c r="A133" s="60">
        <v>2500</v>
      </c>
    </row>
    <row r="134" spans="1:1" hidden="1" x14ac:dyDescent="0.25">
      <c r="A134" s="60"/>
    </row>
    <row r="135" spans="1:1" hidden="1" x14ac:dyDescent="0.25">
      <c r="A135" s="60"/>
    </row>
    <row r="136" spans="1:1" x14ac:dyDescent="0.25">
      <c r="A136" s="60">
        <v>7000</v>
      </c>
    </row>
    <row r="137" spans="1:1" hidden="1" x14ac:dyDescent="0.25">
      <c r="A137" s="60"/>
    </row>
    <row r="138" spans="1:1" x14ac:dyDescent="0.25">
      <c r="A138" s="60" t="s">
        <v>144</v>
      </c>
    </row>
    <row r="139" spans="1:1" x14ac:dyDescent="0.25">
      <c r="A139" s="60">
        <v>5000</v>
      </c>
    </row>
    <row r="140" spans="1:1" hidden="1" x14ac:dyDescent="0.25">
      <c r="A140" s="60"/>
    </row>
    <row r="141" spans="1:1" x14ac:dyDescent="0.25">
      <c r="A141" s="60">
        <v>5000</v>
      </c>
    </row>
    <row r="142" spans="1:1" hidden="1" x14ac:dyDescent="0.25">
      <c r="A142" s="60"/>
    </row>
    <row r="143" spans="1:1" hidden="1" x14ac:dyDescent="0.25">
      <c r="A143" s="60"/>
    </row>
    <row r="144" spans="1:1" hidden="1" x14ac:dyDescent="0.25">
      <c r="A144" s="60"/>
    </row>
    <row r="145" spans="1:1" hidden="1" x14ac:dyDescent="0.25">
      <c r="A145" s="60"/>
    </row>
    <row r="146" spans="1:1" hidden="1" x14ac:dyDescent="0.25">
      <c r="A146" s="60"/>
    </row>
    <row r="147" spans="1:1" hidden="1" x14ac:dyDescent="0.25">
      <c r="A147" s="60"/>
    </row>
    <row r="148" spans="1:1" hidden="1" x14ac:dyDescent="0.25">
      <c r="A148" s="60"/>
    </row>
    <row r="149" spans="1:1" hidden="1" x14ac:dyDescent="0.25">
      <c r="A149" s="60"/>
    </row>
    <row r="150" spans="1:1" hidden="1" x14ac:dyDescent="0.25">
      <c r="A150" s="60"/>
    </row>
    <row r="151" spans="1:1" x14ac:dyDescent="0.25">
      <c r="A151" s="60">
        <v>3000</v>
      </c>
    </row>
    <row r="152" spans="1:1" hidden="1" x14ac:dyDescent="0.25">
      <c r="A152" s="60"/>
    </row>
    <row r="153" spans="1:1" x14ac:dyDescent="0.25">
      <c r="A153" s="60">
        <v>3000</v>
      </c>
    </row>
    <row r="154" spans="1:1" x14ac:dyDescent="0.25">
      <c r="A154" s="60">
        <v>1500</v>
      </c>
    </row>
    <row r="155" spans="1:1" x14ac:dyDescent="0.25">
      <c r="A155" s="60">
        <v>1500</v>
      </c>
    </row>
    <row r="156" spans="1:1" x14ac:dyDescent="0.25">
      <c r="A156" s="60">
        <v>1500</v>
      </c>
    </row>
    <row r="157" spans="1:1" hidden="1" x14ac:dyDescent="0.25">
      <c r="A157" s="60"/>
    </row>
    <row r="158" spans="1:1" x14ac:dyDescent="0.25">
      <c r="A158" s="60">
        <v>3000</v>
      </c>
    </row>
    <row r="159" spans="1:1" x14ac:dyDescent="0.25">
      <c r="A159" s="60">
        <v>3000</v>
      </c>
    </row>
    <row r="160" spans="1:1" x14ac:dyDescent="0.25">
      <c r="A160" s="60">
        <v>3000</v>
      </c>
    </row>
    <row r="161" spans="1:1" x14ac:dyDescent="0.25">
      <c r="A161" s="60">
        <v>3000</v>
      </c>
    </row>
    <row r="162" spans="1:1" x14ac:dyDescent="0.25">
      <c r="A162" s="60">
        <v>2500</v>
      </c>
    </row>
    <row r="163" spans="1:1" x14ac:dyDescent="0.25">
      <c r="A163" s="60">
        <v>2500</v>
      </c>
    </row>
    <row r="164" spans="1:1" x14ac:dyDescent="0.25">
      <c r="A164" s="60">
        <v>2500</v>
      </c>
    </row>
    <row r="165" spans="1:1" x14ac:dyDescent="0.25">
      <c r="A165" s="60">
        <v>2500</v>
      </c>
    </row>
    <row r="166" spans="1:1" x14ac:dyDescent="0.25">
      <c r="A166" s="60">
        <v>1500</v>
      </c>
    </row>
    <row r="167" spans="1:1" x14ac:dyDescent="0.25">
      <c r="A167" s="60">
        <v>1500</v>
      </c>
    </row>
    <row r="168" spans="1:1" x14ac:dyDescent="0.25">
      <c r="A168" s="60">
        <v>1500</v>
      </c>
    </row>
    <row r="169" spans="1:1" x14ac:dyDescent="0.25">
      <c r="A169" s="60">
        <v>1500</v>
      </c>
    </row>
    <row r="170" spans="1:1" x14ac:dyDescent="0.25">
      <c r="A170" s="60">
        <v>3000</v>
      </c>
    </row>
    <row r="171" spans="1:1" x14ac:dyDescent="0.25">
      <c r="A171" s="60">
        <v>3000</v>
      </c>
    </row>
    <row r="172" spans="1:1" x14ac:dyDescent="0.25">
      <c r="A172" s="60">
        <v>3000</v>
      </c>
    </row>
    <row r="173" spans="1:1" x14ac:dyDescent="0.25">
      <c r="A173" s="60">
        <v>2500</v>
      </c>
    </row>
    <row r="174" spans="1:1" x14ac:dyDescent="0.25">
      <c r="A174" s="60">
        <v>2500</v>
      </c>
    </row>
    <row r="175" spans="1:1" x14ac:dyDescent="0.25">
      <c r="A175" s="60">
        <v>2500</v>
      </c>
    </row>
    <row r="176" spans="1:1" x14ac:dyDescent="0.25">
      <c r="A176" s="60">
        <v>2500</v>
      </c>
    </row>
    <row r="177" spans="1:1" x14ac:dyDescent="0.25">
      <c r="A177" s="60">
        <v>1500</v>
      </c>
    </row>
    <row r="178" spans="1:1" x14ac:dyDescent="0.25">
      <c r="A178" s="60">
        <v>1500</v>
      </c>
    </row>
    <row r="179" spans="1:1" x14ac:dyDescent="0.25">
      <c r="A179" s="60">
        <v>1500</v>
      </c>
    </row>
    <row r="180" spans="1:1" x14ac:dyDescent="0.25">
      <c r="A180" s="60">
        <v>1500</v>
      </c>
    </row>
    <row r="181" spans="1:1" hidden="1" x14ac:dyDescent="0.25">
      <c r="A181" s="60"/>
    </row>
    <row r="182" spans="1:1" x14ac:dyDescent="0.25">
      <c r="A182" s="60">
        <v>6500</v>
      </c>
    </row>
    <row r="183" spans="1:1" x14ac:dyDescent="0.25">
      <c r="A183" s="60" t="s">
        <v>106</v>
      </c>
    </row>
    <row r="184" spans="1:1" x14ac:dyDescent="0.25">
      <c r="A184" s="60" t="s">
        <v>106</v>
      </c>
    </row>
    <row r="185" spans="1:1" x14ac:dyDescent="0.25">
      <c r="A185" s="60" t="s">
        <v>106</v>
      </c>
    </row>
    <row r="186" spans="1:1" x14ac:dyDescent="0.25">
      <c r="A186" s="60">
        <v>1500</v>
      </c>
    </row>
    <row r="187" spans="1:1" x14ac:dyDescent="0.25">
      <c r="A187" s="60" t="s">
        <v>144</v>
      </c>
    </row>
    <row r="188" spans="1:1" hidden="1" x14ac:dyDescent="0.25">
      <c r="A188" s="60"/>
    </row>
    <row r="189" spans="1:1" hidden="1" x14ac:dyDescent="0.25">
      <c r="A189" s="60"/>
    </row>
    <row r="190" spans="1:1" hidden="1" x14ac:dyDescent="0.25">
      <c r="A190" s="60"/>
    </row>
    <row r="191" spans="1:1" x14ac:dyDescent="0.25">
      <c r="A191" s="60">
        <v>2500</v>
      </c>
    </row>
    <row r="192" spans="1:1" hidden="1" x14ac:dyDescent="0.25">
      <c r="A192" s="60"/>
    </row>
    <row r="193" spans="1:1" hidden="1" x14ac:dyDescent="0.25">
      <c r="A193" s="60"/>
    </row>
    <row r="194" spans="1:1" x14ac:dyDescent="0.25">
      <c r="A194" s="60">
        <v>4000</v>
      </c>
    </row>
    <row r="195" spans="1:1" x14ac:dyDescent="0.25">
      <c r="A195" s="60">
        <v>4000</v>
      </c>
    </row>
    <row r="196" spans="1:1" x14ac:dyDescent="0.25">
      <c r="A196" s="60" t="s">
        <v>106</v>
      </c>
    </row>
    <row r="197" spans="1:1" x14ac:dyDescent="0.25">
      <c r="A197" s="60" t="s">
        <v>106</v>
      </c>
    </row>
    <row r="198" spans="1:1" x14ac:dyDescent="0.25">
      <c r="A198" s="60">
        <v>2500</v>
      </c>
    </row>
    <row r="199" spans="1:1" x14ac:dyDescent="0.25">
      <c r="A199" s="60">
        <v>2500</v>
      </c>
    </row>
    <row r="200" spans="1:1" x14ac:dyDescent="0.25">
      <c r="A200" s="60">
        <v>4000</v>
      </c>
    </row>
    <row r="201" spans="1:1" x14ac:dyDescent="0.25">
      <c r="A201" s="60">
        <v>4000</v>
      </c>
    </row>
    <row r="202" spans="1:1" x14ac:dyDescent="0.25">
      <c r="A202" s="60">
        <v>4000</v>
      </c>
    </row>
    <row r="203" spans="1:1" x14ac:dyDescent="0.25">
      <c r="A203" s="60">
        <v>4000</v>
      </c>
    </row>
    <row r="204" spans="1:1" x14ac:dyDescent="0.25">
      <c r="A204" s="60" t="s">
        <v>106</v>
      </c>
    </row>
    <row r="205" spans="1:1" x14ac:dyDescent="0.25">
      <c r="A205" s="60" t="s">
        <v>106</v>
      </c>
    </row>
    <row r="206" spans="1:1" x14ac:dyDescent="0.25">
      <c r="A206" s="60" t="s">
        <v>106</v>
      </c>
    </row>
    <row r="207" spans="1:1" x14ac:dyDescent="0.25">
      <c r="A207" s="60" t="s">
        <v>106</v>
      </c>
    </row>
    <row r="208" spans="1:1" x14ac:dyDescent="0.25">
      <c r="A208" s="60" t="s">
        <v>106</v>
      </c>
    </row>
    <row r="209" spans="1:1" x14ac:dyDescent="0.25">
      <c r="A209" s="60" t="s">
        <v>106</v>
      </c>
    </row>
    <row r="210" spans="1:1" x14ac:dyDescent="0.25">
      <c r="A210" s="60">
        <v>4000</v>
      </c>
    </row>
    <row r="211" spans="1:1" x14ac:dyDescent="0.25">
      <c r="A211" s="60">
        <v>4000</v>
      </c>
    </row>
    <row r="212" spans="1:1" x14ac:dyDescent="0.25">
      <c r="A212" s="60">
        <v>4000</v>
      </c>
    </row>
    <row r="213" spans="1:1" x14ac:dyDescent="0.25">
      <c r="A213" s="60">
        <v>4000</v>
      </c>
    </row>
    <row r="214" spans="1:1" x14ac:dyDescent="0.25">
      <c r="A214" s="60">
        <v>4000</v>
      </c>
    </row>
    <row r="215" spans="1:1" hidden="1" x14ac:dyDescent="0.25">
      <c r="A215" s="60"/>
    </row>
    <row r="216" spans="1:1" x14ac:dyDescent="0.25">
      <c r="A216" s="60" t="s">
        <v>106</v>
      </c>
    </row>
    <row r="217" spans="1:1" x14ac:dyDescent="0.25">
      <c r="A217" s="60">
        <v>3000</v>
      </c>
    </row>
    <row r="218" spans="1:1" hidden="1" x14ac:dyDescent="0.25">
      <c r="A218" s="60"/>
    </row>
    <row r="219" spans="1:1" x14ac:dyDescent="0.25">
      <c r="A219" s="60" t="s">
        <v>106</v>
      </c>
    </row>
    <row r="220" spans="1:1" x14ac:dyDescent="0.25">
      <c r="A220" s="60">
        <v>2500</v>
      </c>
    </row>
    <row r="221" spans="1:1" x14ac:dyDescent="0.25">
      <c r="A221" s="60">
        <v>1500</v>
      </c>
    </row>
    <row r="222" spans="1:1" x14ac:dyDescent="0.25">
      <c r="A222" s="60">
        <v>2500</v>
      </c>
    </row>
    <row r="223" spans="1:1" x14ac:dyDescent="0.25">
      <c r="A223" s="60" t="s">
        <v>106</v>
      </c>
    </row>
    <row r="224" spans="1:1" x14ac:dyDescent="0.25">
      <c r="A224" s="60">
        <v>24000</v>
      </c>
    </row>
    <row r="225" spans="1:1" x14ac:dyDescent="0.25">
      <c r="A225" s="60">
        <v>3000</v>
      </c>
    </row>
    <row r="226" spans="1:1" x14ac:dyDescent="0.25">
      <c r="A226" s="60">
        <v>3000</v>
      </c>
    </row>
    <row r="227" spans="1:1" hidden="1" x14ac:dyDescent="0.25">
      <c r="A227" s="60"/>
    </row>
    <row r="228" spans="1:1" hidden="1" x14ac:dyDescent="0.25">
      <c r="A228" s="60"/>
    </row>
    <row r="229" spans="1:1" hidden="1" x14ac:dyDescent="0.25">
      <c r="A229" s="60"/>
    </row>
    <row r="230" spans="1:1" hidden="1" x14ac:dyDescent="0.25">
      <c r="A230" s="60"/>
    </row>
    <row r="231" spans="1:1" x14ac:dyDescent="0.25">
      <c r="A231" s="60" t="s">
        <v>106</v>
      </c>
    </row>
    <row r="232" spans="1:1" x14ac:dyDescent="0.25">
      <c r="A232" s="60">
        <v>4000</v>
      </c>
    </row>
    <row r="233" spans="1:1" x14ac:dyDescent="0.25">
      <c r="A233" s="60" t="s">
        <v>106</v>
      </c>
    </row>
    <row r="234" spans="1:1" x14ac:dyDescent="0.25">
      <c r="A234" s="60" t="s">
        <v>106</v>
      </c>
    </row>
    <row r="235" spans="1:1" x14ac:dyDescent="0.25">
      <c r="A235" s="60" t="s">
        <v>106</v>
      </c>
    </row>
    <row r="236" spans="1:1" hidden="1" x14ac:dyDescent="0.25">
      <c r="A236" s="60"/>
    </row>
    <row r="237" spans="1:1" x14ac:dyDescent="0.25">
      <c r="A237" s="60">
        <v>2500</v>
      </c>
    </row>
    <row r="238" spans="1:1" x14ac:dyDescent="0.25">
      <c r="A238" s="60">
        <v>12000</v>
      </c>
    </row>
    <row r="239" spans="1:1" x14ac:dyDescent="0.25">
      <c r="A239" s="60">
        <v>17000</v>
      </c>
    </row>
    <row r="240" spans="1:1" x14ac:dyDescent="0.25">
      <c r="A240" s="60">
        <v>15000</v>
      </c>
    </row>
    <row r="241" spans="1:1" x14ac:dyDescent="0.25">
      <c r="A241" s="60">
        <v>18000</v>
      </c>
    </row>
    <row r="242" spans="1:1" hidden="1" x14ac:dyDescent="0.25">
      <c r="A242" s="60"/>
    </row>
    <row r="243" spans="1:1" hidden="1" x14ac:dyDescent="0.25">
      <c r="A243" s="60"/>
    </row>
    <row r="244" spans="1:1" hidden="1" x14ac:dyDescent="0.25">
      <c r="A244" s="60"/>
    </row>
    <row r="245" spans="1:1" hidden="1" x14ac:dyDescent="0.25">
      <c r="A245" s="60"/>
    </row>
    <row r="246" spans="1:1" hidden="1" x14ac:dyDescent="0.25">
      <c r="A246" s="60"/>
    </row>
    <row r="247" spans="1:1" hidden="1" x14ac:dyDescent="0.25">
      <c r="A247" s="60"/>
    </row>
    <row r="248" spans="1:1" x14ac:dyDescent="0.25">
      <c r="A248" s="60" t="s">
        <v>144</v>
      </c>
    </row>
    <row r="249" spans="1:1" x14ac:dyDescent="0.25">
      <c r="A249" s="60" t="s">
        <v>144</v>
      </c>
    </row>
    <row r="250" spans="1:1" x14ac:dyDescent="0.25">
      <c r="A250" s="60" t="s">
        <v>144</v>
      </c>
    </row>
    <row r="251" spans="1:1" x14ac:dyDescent="0.25">
      <c r="A251" s="60" t="s">
        <v>144</v>
      </c>
    </row>
    <row r="252" spans="1:1" x14ac:dyDescent="0.25">
      <c r="A252" s="60">
        <v>15000</v>
      </c>
    </row>
    <row r="253" spans="1:1" x14ac:dyDescent="0.25">
      <c r="A253" s="60">
        <v>7000</v>
      </c>
    </row>
    <row r="254" spans="1:1" x14ac:dyDescent="0.25">
      <c r="A254" s="60">
        <v>6000</v>
      </c>
    </row>
    <row r="255" spans="1:1" x14ac:dyDescent="0.25">
      <c r="A255" s="60">
        <v>3500</v>
      </c>
    </row>
    <row r="256" spans="1:1" x14ac:dyDescent="0.25">
      <c r="A256" s="60">
        <v>15000</v>
      </c>
    </row>
    <row r="257" spans="1:1" x14ac:dyDescent="0.25">
      <c r="A257" s="60">
        <v>4000</v>
      </c>
    </row>
    <row r="258" spans="1:1" x14ac:dyDescent="0.25">
      <c r="A258" s="60">
        <v>2000</v>
      </c>
    </row>
    <row r="259" spans="1:1" x14ac:dyDescent="0.25">
      <c r="A259" s="60">
        <v>1500</v>
      </c>
    </row>
    <row r="260" spans="1:1" x14ac:dyDescent="0.25">
      <c r="A260" s="60">
        <v>1500</v>
      </c>
    </row>
    <row r="261" spans="1:1" x14ac:dyDescent="0.25">
      <c r="A261" s="60">
        <v>12000</v>
      </c>
    </row>
    <row r="262" spans="1:1" x14ac:dyDescent="0.25">
      <c r="A262" s="60">
        <v>10000</v>
      </c>
    </row>
    <row r="263" spans="1:1" x14ac:dyDescent="0.25">
      <c r="A263" s="60">
        <v>4000</v>
      </c>
    </row>
    <row r="264" spans="1:1" x14ac:dyDescent="0.25">
      <c r="A264" s="60">
        <v>2500</v>
      </c>
    </row>
    <row r="265" spans="1:1" x14ac:dyDescent="0.25">
      <c r="A265" s="60">
        <v>1500</v>
      </c>
    </row>
    <row r="266" spans="1:1" x14ac:dyDescent="0.25">
      <c r="A266" s="60">
        <v>1500</v>
      </c>
    </row>
    <row r="267" spans="1:1" x14ac:dyDescent="0.25">
      <c r="A267" s="60">
        <v>10000</v>
      </c>
    </row>
    <row r="268" spans="1:1" x14ac:dyDescent="0.25">
      <c r="A268" s="60">
        <v>16800</v>
      </c>
    </row>
    <row r="269" spans="1:1" x14ac:dyDescent="0.25">
      <c r="A269" s="60">
        <v>7000</v>
      </c>
    </row>
    <row r="270" spans="1:1" hidden="1" x14ac:dyDescent="0.25">
      <c r="A270" s="60"/>
    </row>
    <row r="271" spans="1:1" x14ac:dyDescent="0.25">
      <c r="A271" s="60" t="s">
        <v>106</v>
      </c>
    </row>
    <row r="272" spans="1:1" x14ac:dyDescent="0.25">
      <c r="A272" s="60" t="s">
        <v>106</v>
      </c>
    </row>
    <row r="273" spans="1:1" x14ac:dyDescent="0.25">
      <c r="A273" s="60">
        <v>2700</v>
      </c>
    </row>
    <row r="274" spans="1:1" x14ac:dyDescent="0.25">
      <c r="A274" s="60">
        <v>3500</v>
      </c>
    </row>
    <row r="275" spans="1:1" x14ac:dyDescent="0.25">
      <c r="A275" s="60">
        <v>4000</v>
      </c>
    </row>
    <row r="276" spans="1:1" x14ac:dyDescent="0.25">
      <c r="A276" s="60">
        <v>2500</v>
      </c>
    </row>
    <row r="277" spans="1:1" x14ac:dyDescent="0.25">
      <c r="A277" s="60">
        <v>2500</v>
      </c>
    </row>
    <row r="278" spans="1:1" x14ac:dyDescent="0.25">
      <c r="A278" s="60">
        <v>1500</v>
      </c>
    </row>
    <row r="279" spans="1:1" x14ac:dyDescent="0.25">
      <c r="A279" s="60">
        <v>1500</v>
      </c>
    </row>
    <row r="280" spans="1:1" x14ac:dyDescent="0.25">
      <c r="A280" s="60" t="s">
        <v>106</v>
      </c>
    </row>
    <row r="281" spans="1:1" x14ac:dyDescent="0.25">
      <c r="A281" s="60" t="s">
        <v>106</v>
      </c>
    </row>
    <row r="282" spans="1:1" x14ac:dyDescent="0.25">
      <c r="A282" s="60" t="s">
        <v>144</v>
      </c>
    </row>
    <row r="283" spans="1:1" x14ac:dyDescent="0.25">
      <c r="A283" s="60">
        <v>900</v>
      </c>
    </row>
    <row r="284" spans="1:1" x14ac:dyDescent="0.25">
      <c r="A284" s="60" t="s">
        <v>1006</v>
      </c>
    </row>
    <row r="285" spans="1:1" x14ac:dyDescent="0.25">
      <c r="A285" s="60" t="s">
        <v>106</v>
      </c>
    </row>
    <row r="286" spans="1:1" x14ac:dyDescent="0.25">
      <c r="A286" s="60" t="s">
        <v>106</v>
      </c>
    </row>
    <row r="287" spans="1:1" x14ac:dyDescent="0.25">
      <c r="A287" s="60">
        <v>1500</v>
      </c>
    </row>
    <row r="288" spans="1:1" x14ac:dyDescent="0.25">
      <c r="A288" s="60" t="s">
        <v>175</v>
      </c>
    </row>
    <row r="289" spans="1:1" x14ac:dyDescent="0.25">
      <c r="A289" s="102">
        <v>4000</v>
      </c>
    </row>
    <row r="290" spans="1:1" x14ac:dyDescent="0.25">
      <c r="A290" s="60">
        <v>2000</v>
      </c>
    </row>
    <row r="291" spans="1:1" x14ac:dyDescent="0.25">
      <c r="A291" s="60">
        <v>2000</v>
      </c>
    </row>
    <row r="292" spans="1:1" x14ac:dyDescent="0.25">
      <c r="A292" s="60">
        <v>2500</v>
      </c>
    </row>
    <row r="293" spans="1:1" x14ac:dyDescent="0.25">
      <c r="A293" s="60">
        <v>2000</v>
      </c>
    </row>
    <row r="294" spans="1:1" x14ac:dyDescent="0.25">
      <c r="A294" s="60" t="s">
        <v>106</v>
      </c>
    </row>
    <row r="295" spans="1:1" x14ac:dyDescent="0.25">
      <c r="A295" s="60" t="s">
        <v>106</v>
      </c>
    </row>
    <row r="296" spans="1:1" x14ac:dyDescent="0.25">
      <c r="A296" s="60" t="s">
        <v>106</v>
      </c>
    </row>
    <row r="297" spans="1:1" x14ac:dyDescent="0.25">
      <c r="A297" s="60" t="s">
        <v>106</v>
      </c>
    </row>
    <row r="298" spans="1:1" x14ac:dyDescent="0.25">
      <c r="A298" s="60" t="s">
        <v>106</v>
      </c>
    </row>
    <row r="299" spans="1:1" x14ac:dyDescent="0.25">
      <c r="A299" s="60" t="s">
        <v>106</v>
      </c>
    </row>
    <row r="300" spans="1:1" x14ac:dyDescent="0.25">
      <c r="A300" s="60" t="s">
        <v>106</v>
      </c>
    </row>
    <row r="301" spans="1:1" x14ac:dyDescent="0.25">
      <c r="A301" s="60">
        <v>3000</v>
      </c>
    </row>
    <row r="302" spans="1:1" x14ac:dyDescent="0.25">
      <c r="A302" s="60" t="s">
        <v>144</v>
      </c>
    </row>
    <row r="303" spans="1:1" x14ac:dyDescent="0.25">
      <c r="A303" s="60" t="s">
        <v>144</v>
      </c>
    </row>
    <row r="304" spans="1:1" x14ac:dyDescent="0.25">
      <c r="A304" s="60" t="s">
        <v>106</v>
      </c>
    </row>
    <row r="305" spans="1:1" x14ac:dyDescent="0.25">
      <c r="A305" s="60" t="s">
        <v>106</v>
      </c>
    </row>
    <row r="306" spans="1:1" x14ac:dyDescent="0.25">
      <c r="A306" s="60" t="s">
        <v>106</v>
      </c>
    </row>
    <row r="307" spans="1:1" x14ac:dyDescent="0.25">
      <c r="A307" s="60" t="s">
        <v>106</v>
      </c>
    </row>
    <row r="308" spans="1:1" x14ac:dyDescent="0.25">
      <c r="A308" s="60" t="s">
        <v>106</v>
      </c>
    </row>
    <row r="309" spans="1:1" x14ac:dyDescent="0.25">
      <c r="A309" s="60" t="s">
        <v>106</v>
      </c>
    </row>
    <row r="310" spans="1:1" x14ac:dyDescent="0.25">
      <c r="A310" s="60">
        <v>1500</v>
      </c>
    </row>
    <row r="311" spans="1:1" x14ac:dyDescent="0.25">
      <c r="A311" s="60" t="s">
        <v>175</v>
      </c>
    </row>
    <row r="312" spans="1:1" x14ac:dyDescent="0.25">
      <c r="A312" s="60">
        <v>4000</v>
      </c>
    </row>
    <row r="313" spans="1:1" hidden="1" x14ac:dyDescent="0.25">
      <c r="A313" s="60"/>
    </row>
    <row r="314" spans="1:1" x14ac:dyDescent="0.25">
      <c r="A314" s="60">
        <v>3000</v>
      </c>
    </row>
    <row r="315" spans="1:1" x14ac:dyDescent="0.25">
      <c r="A315" s="60">
        <v>1500</v>
      </c>
    </row>
    <row r="316" spans="1:1" x14ac:dyDescent="0.25">
      <c r="A316" s="60" t="s">
        <v>106</v>
      </c>
    </row>
    <row r="317" spans="1:1" x14ac:dyDescent="0.25">
      <c r="A317" s="60" t="s">
        <v>106</v>
      </c>
    </row>
    <row r="318" spans="1:1" x14ac:dyDescent="0.25">
      <c r="A318" s="60" t="s">
        <v>106</v>
      </c>
    </row>
    <row r="319" spans="1:1" x14ac:dyDescent="0.25">
      <c r="A319" s="60">
        <v>8000</v>
      </c>
    </row>
    <row r="320" spans="1:1" x14ac:dyDescent="0.25">
      <c r="A320" s="60">
        <v>3000</v>
      </c>
    </row>
    <row r="321" spans="1:1" x14ac:dyDescent="0.25">
      <c r="A321" s="60" t="s">
        <v>106</v>
      </c>
    </row>
    <row r="322" spans="1:1" x14ac:dyDescent="0.25">
      <c r="A322" s="60" t="s">
        <v>106</v>
      </c>
    </row>
    <row r="323" spans="1:1" x14ac:dyDescent="0.25">
      <c r="A323" s="60" t="s">
        <v>106</v>
      </c>
    </row>
    <row r="324" spans="1:1" x14ac:dyDescent="0.25">
      <c r="A324" s="60" t="s">
        <v>106</v>
      </c>
    </row>
    <row r="325" spans="1:1" x14ac:dyDescent="0.25">
      <c r="A325" s="60" t="s">
        <v>106</v>
      </c>
    </row>
    <row r="326" spans="1:1" x14ac:dyDescent="0.25">
      <c r="A326" s="60">
        <v>3000</v>
      </c>
    </row>
    <row r="327" spans="1:1" x14ac:dyDescent="0.25">
      <c r="A327" s="60" t="s">
        <v>106</v>
      </c>
    </row>
    <row r="328" spans="1:1" x14ac:dyDescent="0.25">
      <c r="A328" s="60">
        <v>2000</v>
      </c>
    </row>
    <row r="329" spans="1:1" x14ac:dyDescent="0.25">
      <c r="A329" s="60">
        <v>3000</v>
      </c>
    </row>
    <row r="330" spans="1:1" x14ac:dyDescent="0.25">
      <c r="A330" s="60" t="s">
        <v>106</v>
      </c>
    </row>
    <row r="331" spans="1:1" x14ac:dyDescent="0.25">
      <c r="A331" s="60">
        <v>2000</v>
      </c>
    </row>
    <row r="332" spans="1:1" x14ac:dyDescent="0.25">
      <c r="A332" s="60">
        <v>10000</v>
      </c>
    </row>
    <row r="333" spans="1:1" x14ac:dyDescent="0.25">
      <c r="A333" s="60">
        <v>2500</v>
      </c>
    </row>
    <row r="334" spans="1:1" x14ac:dyDescent="0.25">
      <c r="A334" s="60">
        <v>1500</v>
      </c>
    </row>
    <row r="335" spans="1:1" x14ac:dyDescent="0.25">
      <c r="A335" s="60" t="s">
        <v>144</v>
      </c>
    </row>
    <row r="336" spans="1:1" x14ac:dyDescent="0.25">
      <c r="A336" s="60">
        <v>2500</v>
      </c>
    </row>
    <row r="337" spans="1:1" x14ac:dyDescent="0.25">
      <c r="A337" s="60">
        <v>2000</v>
      </c>
    </row>
    <row r="338" spans="1:1" x14ac:dyDescent="0.25">
      <c r="A338" s="60" t="s">
        <v>144</v>
      </c>
    </row>
    <row r="339" spans="1:1" x14ac:dyDescent="0.25">
      <c r="A339" s="60" t="s">
        <v>106</v>
      </c>
    </row>
    <row r="340" spans="1:1" x14ac:dyDescent="0.25">
      <c r="A340" s="60" t="s">
        <v>106</v>
      </c>
    </row>
    <row r="341" spans="1:1" x14ac:dyDescent="0.25">
      <c r="A341" s="60" t="s">
        <v>106</v>
      </c>
    </row>
    <row r="342" spans="1:1" x14ac:dyDescent="0.25">
      <c r="A342" s="60">
        <v>2000</v>
      </c>
    </row>
    <row r="343" spans="1:1" x14ac:dyDescent="0.25">
      <c r="A343" s="60" t="s">
        <v>144</v>
      </c>
    </row>
    <row r="344" spans="1:1" x14ac:dyDescent="0.25">
      <c r="A344" s="60" t="s">
        <v>170</v>
      </c>
    </row>
    <row r="345" spans="1:1" x14ac:dyDescent="0.25">
      <c r="A345" s="60" t="s">
        <v>106</v>
      </c>
    </row>
    <row r="346" spans="1:1" x14ac:dyDescent="0.25">
      <c r="A346" s="60" t="s">
        <v>106</v>
      </c>
    </row>
    <row r="347" spans="1:1" x14ac:dyDescent="0.25">
      <c r="A347" s="60" t="s">
        <v>106</v>
      </c>
    </row>
    <row r="348" spans="1:1" x14ac:dyDescent="0.25">
      <c r="A348" s="60">
        <v>1000</v>
      </c>
    </row>
    <row r="349" spans="1:1" x14ac:dyDescent="0.25">
      <c r="A349" s="60">
        <v>1000</v>
      </c>
    </row>
    <row r="350" spans="1:1" x14ac:dyDescent="0.25">
      <c r="A350" s="60" t="s">
        <v>144</v>
      </c>
    </row>
    <row r="351" spans="1:1" x14ac:dyDescent="0.25">
      <c r="A351" s="60">
        <v>2000</v>
      </c>
    </row>
    <row r="352" spans="1:1" x14ac:dyDescent="0.25">
      <c r="A352" s="60" t="s">
        <v>175</v>
      </c>
    </row>
    <row r="353" spans="1:1" x14ac:dyDescent="0.25">
      <c r="A353" s="60" t="s">
        <v>175</v>
      </c>
    </row>
    <row r="354" spans="1:1" x14ac:dyDescent="0.25">
      <c r="A354" s="60" t="s">
        <v>175</v>
      </c>
    </row>
    <row r="355" spans="1:1" x14ac:dyDescent="0.25">
      <c r="A355" s="60">
        <v>5000</v>
      </c>
    </row>
    <row r="356" spans="1:1" x14ac:dyDescent="0.25">
      <c r="A356" s="60">
        <v>10000</v>
      </c>
    </row>
    <row r="357" spans="1:1" x14ac:dyDescent="0.25">
      <c r="A357" s="60">
        <v>20000</v>
      </c>
    </row>
    <row r="358" spans="1:1" x14ac:dyDescent="0.25">
      <c r="A358" s="60" t="s">
        <v>106</v>
      </c>
    </row>
    <row r="359" spans="1:1" x14ac:dyDescent="0.25">
      <c r="A359" s="60" t="s">
        <v>106</v>
      </c>
    </row>
    <row r="360" spans="1:1" x14ac:dyDescent="0.25">
      <c r="A360" s="60" t="s">
        <v>106</v>
      </c>
    </row>
    <row r="361" spans="1:1" x14ac:dyDescent="0.25">
      <c r="A361" s="60" t="s">
        <v>106</v>
      </c>
    </row>
    <row r="362" spans="1:1" x14ac:dyDescent="0.25">
      <c r="A362" s="60" t="s">
        <v>106</v>
      </c>
    </row>
    <row r="363" spans="1:1" x14ac:dyDescent="0.25">
      <c r="A363" s="60">
        <v>3500</v>
      </c>
    </row>
    <row r="364" spans="1:1" x14ac:dyDescent="0.25">
      <c r="A364" s="60">
        <v>2500</v>
      </c>
    </row>
    <row r="365" spans="1:1" x14ac:dyDescent="0.25">
      <c r="A365" s="60">
        <v>1500</v>
      </c>
    </row>
    <row r="366" spans="1:1" x14ac:dyDescent="0.25">
      <c r="A366" s="60">
        <v>1500</v>
      </c>
    </row>
    <row r="367" spans="1:1" x14ac:dyDescent="0.25">
      <c r="A367" s="60" t="s">
        <v>144</v>
      </c>
    </row>
    <row r="368" spans="1:1" x14ac:dyDescent="0.25">
      <c r="A368" s="60" t="s">
        <v>106</v>
      </c>
    </row>
    <row r="369" spans="1:1" x14ac:dyDescent="0.25">
      <c r="A369" s="60">
        <v>9000</v>
      </c>
    </row>
    <row r="370" spans="1:1" x14ac:dyDescent="0.25">
      <c r="A370" s="60">
        <v>1</v>
      </c>
    </row>
    <row r="371" spans="1:1" x14ac:dyDescent="0.25">
      <c r="A371" s="60">
        <v>12000</v>
      </c>
    </row>
    <row r="372" spans="1:1" x14ac:dyDescent="0.25">
      <c r="A372" s="60">
        <v>12000</v>
      </c>
    </row>
    <row r="373" spans="1:1" x14ac:dyDescent="0.25">
      <c r="A373" s="60" t="s">
        <v>106</v>
      </c>
    </row>
    <row r="374" spans="1:1" x14ac:dyDescent="0.25">
      <c r="A374" s="60" t="s">
        <v>106</v>
      </c>
    </row>
    <row r="375" spans="1:1" hidden="1" x14ac:dyDescent="0.25">
      <c r="A375" s="60"/>
    </row>
    <row r="376" spans="1:1" x14ac:dyDescent="0.25">
      <c r="A376" s="60">
        <v>8000</v>
      </c>
    </row>
    <row r="377" spans="1:1" x14ac:dyDescent="0.25">
      <c r="A377" s="60">
        <v>1500</v>
      </c>
    </row>
    <row r="378" spans="1:1" x14ac:dyDescent="0.25">
      <c r="A378" s="60">
        <v>4500</v>
      </c>
    </row>
    <row r="379" spans="1:1" x14ac:dyDescent="0.25">
      <c r="A379" s="60" t="s">
        <v>106</v>
      </c>
    </row>
    <row r="380" spans="1:1" x14ac:dyDescent="0.25">
      <c r="A380" s="60">
        <v>3500</v>
      </c>
    </row>
    <row r="381" spans="1:1" x14ac:dyDescent="0.25">
      <c r="A381" s="60">
        <v>2500</v>
      </c>
    </row>
    <row r="382" spans="1:1" x14ac:dyDescent="0.25">
      <c r="A382" s="60">
        <v>1500</v>
      </c>
    </row>
    <row r="383" spans="1:1" x14ac:dyDescent="0.25">
      <c r="A383" s="60">
        <v>1500</v>
      </c>
    </row>
    <row r="384" spans="1:1" x14ac:dyDescent="0.25">
      <c r="A384" s="60" t="s">
        <v>144</v>
      </c>
    </row>
    <row r="385" spans="1:1" x14ac:dyDescent="0.25">
      <c r="A385" s="114" t="s">
        <v>1307</v>
      </c>
    </row>
    <row r="386" spans="1:1" x14ac:dyDescent="0.25">
      <c r="A386" s="60" t="s">
        <v>106</v>
      </c>
    </row>
    <row r="387" spans="1:1" x14ac:dyDescent="0.25">
      <c r="A387" s="60" t="s">
        <v>106</v>
      </c>
    </row>
    <row r="388" spans="1:1" x14ac:dyDescent="0.25">
      <c r="A388" s="60">
        <v>3000</v>
      </c>
    </row>
    <row r="389" spans="1:1" x14ac:dyDescent="0.25">
      <c r="A389" s="60">
        <v>3000</v>
      </c>
    </row>
    <row r="390" spans="1:1" x14ac:dyDescent="0.25">
      <c r="A390" s="60">
        <v>3000</v>
      </c>
    </row>
    <row r="391" spans="1:1" x14ac:dyDescent="0.25">
      <c r="A391" s="60" t="s">
        <v>106</v>
      </c>
    </row>
    <row r="392" spans="1:1" x14ac:dyDescent="0.25">
      <c r="A392" s="60">
        <v>2000</v>
      </c>
    </row>
    <row r="393" spans="1:1" x14ac:dyDescent="0.25">
      <c r="A393" s="60">
        <v>2000</v>
      </c>
    </row>
    <row r="394" spans="1:1" x14ac:dyDescent="0.25">
      <c r="A394" s="68">
        <v>2000</v>
      </c>
    </row>
    <row r="395" spans="1:1" x14ac:dyDescent="0.25">
      <c r="A395" s="60" t="s">
        <v>106</v>
      </c>
    </row>
    <row r="396" spans="1:1" x14ac:dyDescent="0.25">
      <c r="A396" s="60">
        <v>2000</v>
      </c>
    </row>
    <row r="397" spans="1:1" x14ac:dyDescent="0.25">
      <c r="A397" s="60">
        <v>11000</v>
      </c>
    </row>
    <row r="398" spans="1:1" x14ac:dyDescent="0.25">
      <c r="A398" s="60">
        <v>10000</v>
      </c>
    </row>
    <row r="399" spans="1:1" x14ac:dyDescent="0.25">
      <c r="A399" s="60">
        <v>8000</v>
      </c>
    </row>
    <row r="400" spans="1:1" x14ac:dyDescent="0.25">
      <c r="A400" s="60">
        <v>7000</v>
      </c>
    </row>
    <row r="401" spans="1:1" x14ac:dyDescent="0.25">
      <c r="A401" s="60" t="s">
        <v>106</v>
      </c>
    </row>
    <row r="402" spans="1:1" x14ac:dyDescent="0.25">
      <c r="A402" s="60">
        <v>4000</v>
      </c>
    </row>
    <row r="403" spans="1:1" x14ac:dyDescent="0.25">
      <c r="A403" s="60" t="s">
        <v>106</v>
      </c>
    </row>
    <row r="404" spans="1:1" x14ac:dyDescent="0.25">
      <c r="A404" s="60">
        <v>2000</v>
      </c>
    </row>
    <row r="405" spans="1:1" x14ac:dyDescent="0.25">
      <c r="A405" s="60">
        <v>2000</v>
      </c>
    </row>
    <row r="406" spans="1:1" x14ac:dyDescent="0.25">
      <c r="A406" s="60">
        <v>2000</v>
      </c>
    </row>
    <row r="407" spans="1:1" x14ac:dyDescent="0.25">
      <c r="A407" s="60">
        <v>1500</v>
      </c>
    </row>
    <row r="408" spans="1:1" x14ac:dyDescent="0.25">
      <c r="A408" s="60">
        <v>1500</v>
      </c>
    </row>
    <row r="409" spans="1:1" x14ac:dyDescent="0.25">
      <c r="A409" s="60">
        <v>1500</v>
      </c>
    </row>
    <row r="410" spans="1:1" hidden="1" x14ac:dyDescent="0.25">
      <c r="A410" s="60"/>
    </row>
    <row r="411" spans="1:1" hidden="1" x14ac:dyDescent="0.25">
      <c r="A411" s="60"/>
    </row>
    <row r="412" spans="1:1" x14ac:dyDescent="0.25">
      <c r="A412" s="60">
        <v>1500</v>
      </c>
    </row>
    <row r="413" spans="1:1" x14ac:dyDescent="0.25">
      <c r="A413" s="115">
        <v>1500</v>
      </c>
    </row>
    <row r="414" spans="1:1" hidden="1" x14ac:dyDescent="0.25">
      <c r="A414" s="60"/>
    </row>
    <row r="415" spans="1:1" x14ac:dyDescent="0.25">
      <c r="A415" s="60">
        <v>1500</v>
      </c>
    </row>
    <row r="416" spans="1:1" x14ac:dyDescent="0.25">
      <c r="A416" s="60" t="s">
        <v>144</v>
      </c>
    </row>
    <row r="417" spans="1:1" x14ac:dyDescent="0.25">
      <c r="A417" s="60">
        <v>10000</v>
      </c>
    </row>
    <row r="418" spans="1:1" x14ac:dyDescent="0.25">
      <c r="A418" s="60">
        <v>5000</v>
      </c>
    </row>
    <row r="419" spans="1:1" hidden="1" x14ac:dyDescent="0.25">
      <c r="A419" s="60"/>
    </row>
    <row r="420" spans="1:1" hidden="1" x14ac:dyDescent="0.25">
      <c r="A420" s="60"/>
    </row>
    <row r="421" spans="1:1" x14ac:dyDescent="0.25">
      <c r="A421" s="60">
        <v>10500</v>
      </c>
    </row>
    <row r="422" spans="1:1" x14ac:dyDescent="0.25">
      <c r="A422" s="60">
        <v>6000</v>
      </c>
    </row>
    <row r="423" spans="1:1" hidden="1" x14ac:dyDescent="0.25">
      <c r="A423" s="60"/>
    </row>
    <row r="424" spans="1:1" hidden="1" x14ac:dyDescent="0.25">
      <c r="A424" s="60"/>
    </row>
    <row r="425" spans="1:1" x14ac:dyDescent="0.25">
      <c r="A425" s="60" t="s">
        <v>1418</v>
      </c>
    </row>
    <row r="426" spans="1:1" x14ac:dyDescent="0.25">
      <c r="A426" s="60">
        <v>2000</v>
      </c>
    </row>
    <row r="427" spans="1:1" hidden="1" x14ac:dyDescent="0.25">
      <c r="A427" s="60"/>
    </row>
    <row r="428" spans="1:1" hidden="1" x14ac:dyDescent="0.25">
      <c r="A428" s="60"/>
    </row>
    <row r="429" spans="1:1" hidden="1" x14ac:dyDescent="0.25">
      <c r="A429" s="119"/>
    </row>
    <row r="430" spans="1:1" hidden="1" x14ac:dyDescent="0.25">
      <c r="A430" s="60"/>
    </row>
    <row r="431" spans="1:1" hidden="1" x14ac:dyDescent="0.25">
      <c r="A431" s="60"/>
    </row>
    <row r="432" spans="1:1" hidden="1" x14ac:dyDescent="0.25">
      <c r="A432" s="60"/>
    </row>
    <row r="433" spans="1:1" x14ac:dyDescent="0.25">
      <c r="A433" s="60" t="s">
        <v>106</v>
      </c>
    </row>
    <row r="434" spans="1:1" hidden="1" x14ac:dyDescent="0.25">
      <c r="A434" s="60"/>
    </row>
    <row r="435" spans="1:1" x14ac:dyDescent="0.25">
      <c r="A435" s="60">
        <v>5000</v>
      </c>
    </row>
    <row r="436" spans="1:1" hidden="1" x14ac:dyDescent="0.25">
      <c r="A436" s="60"/>
    </row>
    <row r="437" spans="1:1" hidden="1" x14ac:dyDescent="0.25">
      <c r="A437" s="60"/>
    </row>
    <row r="438" spans="1:1" hidden="1" x14ac:dyDescent="0.25">
      <c r="A438" s="60"/>
    </row>
    <row r="439" spans="1:1" x14ac:dyDescent="0.25">
      <c r="A439" s="60">
        <v>2500</v>
      </c>
    </row>
    <row r="440" spans="1:1" hidden="1" x14ac:dyDescent="0.25">
      <c r="A440" s="60"/>
    </row>
    <row r="441" spans="1:1" x14ac:dyDescent="0.25">
      <c r="A441" s="60">
        <v>3500</v>
      </c>
    </row>
    <row r="442" spans="1:1" x14ac:dyDescent="0.25">
      <c r="A442" s="60">
        <v>2500</v>
      </c>
    </row>
    <row r="443" spans="1:1" x14ac:dyDescent="0.25">
      <c r="A443" s="60">
        <v>1500</v>
      </c>
    </row>
    <row r="444" spans="1:1" x14ac:dyDescent="0.25">
      <c r="A444" s="60">
        <v>3500</v>
      </c>
    </row>
    <row r="445" spans="1:1" x14ac:dyDescent="0.25">
      <c r="A445" s="60">
        <v>2500</v>
      </c>
    </row>
    <row r="446" spans="1:1" x14ac:dyDescent="0.25">
      <c r="A446" s="60">
        <v>2500</v>
      </c>
    </row>
    <row r="447" spans="1:1" x14ac:dyDescent="0.25">
      <c r="A447" s="60">
        <v>1500</v>
      </c>
    </row>
    <row r="448" spans="1:1" x14ac:dyDescent="0.25">
      <c r="A448" s="60">
        <v>1500</v>
      </c>
    </row>
    <row r="449" spans="1:1" hidden="1" x14ac:dyDescent="0.25">
      <c r="A449" s="60"/>
    </row>
    <row r="450" spans="1:1" hidden="1" x14ac:dyDescent="0.25">
      <c r="A450" s="60"/>
    </row>
    <row r="451" spans="1:1" hidden="1" x14ac:dyDescent="0.25">
      <c r="A451" s="60"/>
    </row>
    <row r="452" spans="1:1" hidden="1" x14ac:dyDescent="0.25">
      <c r="A452" s="60"/>
    </row>
    <row r="453" spans="1:1" hidden="1" x14ac:dyDescent="0.25">
      <c r="A453" s="60"/>
    </row>
    <row r="454" spans="1:1" hidden="1" x14ac:dyDescent="0.25">
      <c r="A454" s="60"/>
    </row>
    <row r="455" spans="1:1" hidden="1" x14ac:dyDescent="0.25">
      <c r="A455" s="60"/>
    </row>
    <row r="456" spans="1:1" hidden="1" x14ac:dyDescent="0.25">
      <c r="A456" s="60"/>
    </row>
    <row r="457" spans="1:1" hidden="1" x14ac:dyDescent="0.25">
      <c r="A457" s="60"/>
    </row>
    <row r="458" spans="1:1" hidden="1" x14ac:dyDescent="0.25">
      <c r="A458" s="60"/>
    </row>
    <row r="459" spans="1:1" x14ac:dyDescent="0.25">
      <c r="A459" s="60" t="s">
        <v>144</v>
      </c>
    </row>
    <row r="460" spans="1:1" x14ac:dyDescent="0.25">
      <c r="A460" s="60" t="s">
        <v>144</v>
      </c>
    </row>
    <row r="461" spans="1:1" hidden="1" x14ac:dyDescent="0.25">
      <c r="A461" s="60"/>
    </row>
    <row r="462" spans="1:1" hidden="1" x14ac:dyDescent="0.25">
      <c r="A462" s="60"/>
    </row>
    <row r="463" spans="1:1" hidden="1" x14ac:dyDescent="0.25">
      <c r="A463" s="60"/>
    </row>
    <row r="464" spans="1:1" hidden="1" x14ac:dyDescent="0.25">
      <c r="A464" s="60"/>
    </row>
    <row r="465" spans="1:1" hidden="1" x14ac:dyDescent="0.25">
      <c r="A465" s="60"/>
    </row>
    <row r="466" spans="1:1" hidden="1" x14ac:dyDescent="0.25">
      <c r="A466" s="60"/>
    </row>
    <row r="467" spans="1:1" x14ac:dyDescent="0.25">
      <c r="A467" s="60" t="s">
        <v>106</v>
      </c>
    </row>
    <row r="468" spans="1:1" x14ac:dyDescent="0.25">
      <c r="A468" s="60" t="s">
        <v>106</v>
      </c>
    </row>
    <row r="469" spans="1:1" x14ac:dyDescent="0.25">
      <c r="A469" s="60">
        <v>4000</v>
      </c>
    </row>
    <row r="470" spans="1:1" x14ac:dyDescent="0.25">
      <c r="A470" s="60" t="s">
        <v>144</v>
      </c>
    </row>
    <row r="471" spans="1:1" hidden="1" x14ac:dyDescent="0.25">
      <c r="A471" s="60"/>
    </row>
    <row r="472" spans="1:1" hidden="1" x14ac:dyDescent="0.25">
      <c r="A472" s="60"/>
    </row>
    <row r="473" spans="1:1" hidden="1" x14ac:dyDescent="0.25">
      <c r="A473" s="60"/>
    </row>
    <row r="474" spans="1:1" hidden="1" x14ac:dyDescent="0.25">
      <c r="A474" s="60"/>
    </row>
    <row r="475" spans="1:1" hidden="1" x14ac:dyDescent="0.25">
      <c r="A475" s="60"/>
    </row>
    <row r="476" spans="1:1" hidden="1" x14ac:dyDescent="0.25">
      <c r="A476" s="60"/>
    </row>
    <row r="477" spans="1:1" hidden="1" x14ac:dyDescent="0.25">
      <c r="A477" s="60"/>
    </row>
    <row r="478" spans="1:1" hidden="1" x14ac:dyDescent="0.25">
      <c r="A478" s="60"/>
    </row>
    <row r="479" spans="1:1" hidden="1" x14ac:dyDescent="0.25">
      <c r="A479" s="60"/>
    </row>
    <row r="480" spans="1:1" hidden="1" x14ac:dyDescent="0.25">
      <c r="A480" s="60"/>
    </row>
    <row r="481" spans="1:1" x14ac:dyDescent="0.25">
      <c r="A481" s="60">
        <v>1000</v>
      </c>
    </row>
    <row r="482" spans="1:1" x14ac:dyDescent="0.25">
      <c r="A482" s="60">
        <v>1500</v>
      </c>
    </row>
    <row r="483" spans="1:1" x14ac:dyDescent="0.25">
      <c r="A483" s="60">
        <v>1000</v>
      </c>
    </row>
    <row r="484" spans="1:1" x14ac:dyDescent="0.25">
      <c r="A484" s="60">
        <v>1000</v>
      </c>
    </row>
    <row r="485" spans="1:1" x14ac:dyDescent="0.25">
      <c r="A485" s="60">
        <v>18000</v>
      </c>
    </row>
    <row r="486" spans="1:1" x14ac:dyDescent="0.25">
      <c r="A486" s="60">
        <v>3500</v>
      </c>
    </row>
    <row r="487" spans="1:1" x14ac:dyDescent="0.25">
      <c r="A487" s="60">
        <v>3500</v>
      </c>
    </row>
    <row r="488" spans="1:1" x14ac:dyDescent="0.25">
      <c r="A488" s="60">
        <v>3500</v>
      </c>
    </row>
    <row r="489" spans="1:1" x14ac:dyDescent="0.25">
      <c r="A489" s="60">
        <v>1000</v>
      </c>
    </row>
    <row r="490" spans="1:1" x14ac:dyDescent="0.25">
      <c r="A490" s="60">
        <v>3500</v>
      </c>
    </row>
    <row r="491" spans="1:1" x14ac:dyDescent="0.25">
      <c r="A491" s="60">
        <v>3500</v>
      </c>
    </row>
    <row r="492" spans="1:1" x14ac:dyDescent="0.25">
      <c r="A492" s="60">
        <v>2500</v>
      </c>
    </row>
    <row r="493" spans="1:1" x14ac:dyDescent="0.25">
      <c r="A493" s="60">
        <v>2500</v>
      </c>
    </row>
    <row r="494" spans="1:1" x14ac:dyDescent="0.25">
      <c r="A494" s="60">
        <v>1500</v>
      </c>
    </row>
    <row r="495" spans="1:1" x14ac:dyDescent="0.25">
      <c r="A495" s="60">
        <v>1500</v>
      </c>
    </row>
    <row r="496" spans="1:1" x14ac:dyDescent="0.25">
      <c r="A496" s="60">
        <v>3500</v>
      </c>
    </row>
    <row r="497" spans="1:1" x14ac:dyDescent="0.25">
      <c r="A497" s="60">
        <v>3500</v>
      </c>
    </row>
    <row r="498" spans="1:1" x14ac:dyDescent="0.25">
      <c r="A498" s="60">
        <v>2500</v>
      </c>
    </row>
    <row r="499" spans="1:1" x14ac:dyDescent="0.25">
      <c r="A499" s="60">
        <v>2500</v>
      </c>
    </row>
    <row r="500" spans="1:1" x14ac:dyDescent="0.25">
      <c r="A500" s="60">
        <v>1500</v>
      </c>
    </row>
    <row r="501" spans="1:1" x14ac:dyDescent="0.25">
      <c r="A501" s="60">
        <v>1500</v>
      </c>
    </row>
    <row r="502" spans="1:1" x14ac:dyDescent="0.25">
      <c r="A502" s="141">
        <v>6000</v>
      </c>
    </row>
    <row r="503" spans="1:1" x14ac:dyDescent="0.25">
      <c r="A503" s="141">
        <v>6000</v>
      </c>
    </row>
    <row r="504" spans="1:1" x14ac:dyDescent="0.25">
      <c r="A504" s="141">
        <v>6000</v>
      </c>
    </row>
    <row r="505" spans="1:1" x14ac:dyDescent="0.25">
      <c r="A505" s="141">
        <v>6000</v>
      </c>
    </row>
    <row r="506" spans="1:1" x14ac:dyDescent="0.25">
      <c r="A506" s="141">
        <v>6000</v>
      </c>
    </row>
    <row r="507" spans="1:1" hidden="1" x14ac:dyDescent="0.25">
      <c r="A507" s="141"/>
    </row>
    <row r="508" spans="1:1" x14ac:dyDescent="0.25">
      <c r="A508" s="141">
        <v>3500</v>
      </c>
    </row>
    <row r="509" spans="1:1" hidden="1" x14ac:dyDescent="0.25">
      <c r="A509" s="141"/>
    </row>
    <row r="510" spans="1:1" hidden="1" x14ac:dyDescent="0.25">
      <c r="A510" s="141"/>
    </row>
    <row r="511" spans="1:1" hidden="1" x14ac:dyDescent="0.25">
      <c r="A511" s="141"/>
    </row>
    <row r="512" spans="1:1" hidden="1" x14ac:dyDescent="0.25">
      <c r="A512" s="141"/>
    </row>
    <row r="513" spans="1:1" hidden="1" x14ac:dyDescent="0.25">
      <c r="A513" s="141"/>
    </row>
    <row r="514" spans="1:1" hidden="1" x14ac:dyDescent="0.25">
      <c r="A514" s="141"/>
    </row>
    <row r="515" spans="1:1" hidden="1" x14ac:dyDescent="0.25">
      <c r="A515" s="141"/>
    </row>
    <row r="516" spans="1:1" hidden="1" x14ac:dyDescent="0.25">
      <c r="A516" s="141"/>
    </row>
    <row r="517" spans="1:1" hidden="1" x14ac:dyDescent="0.25">
      <c r="A517" s="141"/>
    </row>
    <row r="518" spans="1:1" hidden="1" x14ac:dyDescent="0.25">
      <c r="A518" s="141"/>
    </row>
    <row r="519" spans="1:1" hidden="1" x14ac:dyDescent="0.25">
      <c r="A519" s="141"/>
    </row>
    <row r="520" spans="1:1" hidden="1" x14ac:dyDescent="0.25">
      <c r="A520" s="141"/>
    </row>
    <row r="521" spans="1:1" hidden="1" x14ac:dyDescent="0.25">
      <c r="A521" s="141"/>
    </row>
    <row r="522" spans="1:1" hidden="1" x14ac:dyDescent="0.25">
      <c r="A522" s="141"/>
    </row>
    <row r="523" spans="1:1" hidden="1" x14ac:dyDescent="0.25">
      <c r="A523" s="141"/>
    </row>
    <row r="524" spans="1:1" hidden="1" x14ac:dyDescent="0.25">
      <c r="A524" s="141"/>
    </row>
    <row r="525" spans="1:1" x14ac:dyDescent="0.25">
      <c r="A525" s="141">
        <v>1500</v>
      </c>
    </row>
    <row r="526" spans="1:1" x14ac:dyDescent="0.25">
      <c r="A526" s="141">
        <v>3000</v>
      </c>
    </row>
    <row r="527" spans="1:1" hidden="1" x14ac:dyDescent="0.25">
      <c r="A527" s="141"/>
    </row>
    <row r="528" spans="1:1" hidden="1" x14ac:dyDescent="0.25">
      <c r="A528" s="141"/>
    </row>
    <row r="529" spans="1:1" hidden="1" x14ac:dyDescent="0.25">
      <c r="A529" s="141"/>
    </row>
    <row r="530" spans="1:1" hidden="1" x14ac:dyDescent="0.25">
      <c r="A530" s="141"/>
    </row>
    <row r="531" spans="1:1" hidden="1" x14ac:dyDescent="0.25">
      <c r="A531" s="141"/>
    </row>
    <row r="532" spans="1:1" x14ac:dyDescent="0.25">
      <c r="A532" s="141" t="s">
        <v>1418</v>
      </c>
    </row>
    <row r="533" spans="1:1" hidden="1" x14ac:dyDescent="0.25">
      <c r="A533" s="141"/>
    </row>
    <row r="534" spans="1:1" hidden="1" x14ac:dyDescent="0.25">
      <c r="A534" s="141"/>
    </row>
    <row r="535" spans="1:1" hidden="1" x14ac:dyDescent="0.25">
      <c r="A535" s="141"/>
    </row>
    <row r="536" spans="1:1" hidden="1" x14ac:dyDescent="0.25">
      <c r="A536" s="141"/>
    </row>
    <row r="537" spans="1:1" x14ac:dyDescent="0.25">
      <c r="A537" s="141">
        <v>2000</v>
      </c>
    </row>
    <row r="538" spans="1:1" hidden="1" x14ac:dyDescent="0.25">
      <c r="A538" s="141"/>
    </row>
    <row r="539" spans="1:1" hidden="1" x14ac:dyDescent="0.25">
      <c r="A539" s="141"/>
    </row>
    <row r="540" spans="1:1" hidden="1" x14ac:dyDescent="0.25">
      <c r="A540" s="141"/>
    </row>
    <row r="541" spans="1:1" hidden="1" x14ac:dyDescent="0.25">
      <c r="A541" s="141"/>
    </row>
    <row r="542" spans="1:1" hidden="1" x14ac:dyDescent="0.25">
      <c r="A542" s="141"/>
    </row>
    <row r="543" spans="1:1" hidden="1" x14ac:dyDescent="0.25">
      <c r="A543" s="141"/>
    </row>
    <row r="544" spans="1:1" hidden="1" x14ac:dyDescent="0.25">
      <c r="A544" s="141"/>
    </row>
    <row r="545" spans="1:1" hidden="1" x14ac:dyDescent="0.25">
      <c r="A545" s="141"/>
    </row>
    <row r="546" spans="1:1" hidden="1" x14ac:dyDescent="0.25">
      <c r="A546" s="141"/>
    </row>
    <row r="547" spans="1:1" hidden="1" x14ac:dyDescent="0.25">
      <c r="A547" s="141"/>
    </row>
    <row r="548" spans="1:1" hidden="1" x14ac:dyDescent="0.25">
      <c r="A548" s="141"/>
    </row>
    <row r="549" spans="1:1" hidden="1" x14ac:dyDescent="0.25">
      <c r="A549" s="141"/>
    </row>
    <row r="550" spans="1:1" hidden="1" x14ac:dyDescent="0.25">
      <c r="A550" s="141"/>
    </row>
    <row r="551" spans="1:1" hidden="1" x14ac:dyDescent="0.25">
      <c r="A551" s="141"/>
    </row>
    <row r="552" spans="1:1" hidden="1" x14ac:dyDescent="0.25">
      <c r="A552" s="141"/>
    </row>
    <row r="553" spans="1:1" hidden="1" x14ac:dyDescent="0.25">
      <c r="A553" s="141"/>
    </row>
    <row r="554" spans="1:1" hidden="1" x14ac:dyDescent="0.25">
      <c r="A554" s="141"/>
    </row>
    <row r="555" spans="1:1" hidden="1" x14ac:dyDescent="0.25">
      <c r="A555" s="141"/>
    </row>
    <row r="556" spans="1:1" x14ac:dyDescent="0.25">
      <c r="A556" s="60" t="s">
        <v>106</v>
      </c>
    </row>
    <row r="557" spans="1:1" hidden="1" x14ac:dyDescent="0.25">
      <c r="A557" s="141"/>
    </row>
    <row r="558" spans="1:1" hidden="1" x14ac:dyDescent="0.25">
      <c r="A558" s="141"/>
    </row>
    <row r="559" spans="1:1" hidden="1" x14ac:dyDescent="0.25">
      <c r="A559" s="141"/>
    </row>
    <row r="560" spans="1:1" hidden="1" x14ac:dyDescent="0.25">
      <c r="A560" s="141"/>
    </row>
    <row r="561" spans="1:1" hidden="1" x14ac:dyDescent="0.25">
      <c r="A561" s="141"/>
    </row>
    <row r="562" spans="1:1" hidden="1" x14ac:dyDescent="0.25">
      <c r="A562" s="141"/>
    </row>
    <row r="563" spans="1:1" hidden="1" x14ac:dyDescent="0.25">
      <c r="A563" s="141"/>
    </row>
    <row r="564" spans="1:1" hidden="1" x14ac:dyDescent="0.25">
      <c r="A564" s="141"/>
    </row>
    <row r="565" spans="1:1" hidden="1" x14ac:dyDescent="0.25">
      <c r="A565" s="141"/>
    </row>
    <row r="566" spans="1:1" hidden="1" x14ac:dyDescent="0.25">
      <c r="A566" s="141"/>
    </row>
    <row r="567" spans="1:1" hidden="1" x14ac:dyDescent="0.25">
      <c r="A567" s="141"/>
    </row>
    <row r="568" spans="1:1" x14ac:dyDescent="0.25">
      <c r="A568" s="60" t="s">
        <v>106</v>
      </c>
    </row>
    <row r="569" spans="1:1" hidden="1" x14ac:dyDescent="0.25">
      <c r="A569" s="141"/>
    </row>
    <row r="570" spans="1:1" hidden="1" x14ac:dyDescent="0.25">
      <c r="A570" s="141"/>
    </row>
    <row r="571" spans="1:1" hidden="1" x14ac:dyDescent="0.25">
      <c r="A571" s="141"/>
    </row>
    <row r="572" spans="1:1" hidden="1" x14ac:dyDescent="0.25">
      <c r="A572" s="141"/>
    </row>
    <row r="573" spans="1:1" hidden="1" x14ac:dyDescent="0.25">
      <c r="A573" s="141"/>
    </row>
    <row r="574" spans="1:1" hidden="1" x14ac:dyDescent="0.25">
      <c r="A574" s="141"/>
    </row>
    <row r="575" spans="1:1" hidden="1" x14ac:dyDescent="0.25">
      <c r="A575" s="141"/>
    </row>
    <row r="576" spans="1:1" hidden="1" x14ac:dyDescent="0.25">
      <c r="A576" s="141"/>
    </row>
    <row r="577" spans="1:1" hidden="1" x14ac:dyDescent="0.25">
      <c r="A577" s="141"/>
    </row>
    <row r="578" spans="1:1" hidden="1" x14ac:dyDescent="0.25">
      <c r="A578" s="141"/>
    </row>
    <row r="579" spans="1:1" hidden="1" x14ac:dyDescent="0.25">
      <c r="A579" s="141"/>
    </row>
    <row r="580" spans="1:1" hidden="1" x14ac:dyDescent="0.25">
      <c r="A580" s="141"/>
    </row>
    <row r="581" spans="1:1" hidden="1" x14ac:dyDescent="0.25">
      <c r="A581" s="141"/>
    </row>
    <row r="582" spans="1:1" x14ac:dyDescent="0.25">
      <c r="A582" s="141" t="s">
        <v>1886</v>
      </c>
    </row>
    <row r="583" spans="1:1" hidden="1" x14ac:dyDescent="0.25">
      <c r="A583" s="141"/>
    </row>
    <row r="584" spans="1:1" hidden="1" x14ac:dyDescent="0.25">
      <c r="A584" s="141"/>
    </row>
    <row r="585" spans="1:1" hidden="1" x14ac:dyDescent="0.25">
      <c r="A585" s="141"/>
    </row>
    <row r="586" spans="1:1" hidden="1" x14ac:dyDescent="0.25">
      <c r="A586" s="141"/>
    </row>
    <row r="587" spans="1:1" hidden="1" x14ac:dyDescent="0.25">
      <c r="A587" s="141"/>
    </row>
    <row r="588" spans="1:1" hidden="1" x14ac:dyDescent="0.25">
      <c r="A588" s="141"/>
    </row>
    <row r="589" spans="1:1" hidden="1" x14ac:dyDescent="0.25">
      <c r="A589" s="141"/>
    </row>
    <row r="590" spans="1:1" hidden="1" x14ac:dyDescent="0.25">
      <c r="A590" s="141"/>
    </row>
    <row r="591" spans="1:1" x14ac:dyDescent="0.25">
      <c r="A591" s="141">
        <v>3500</v>
      </c>
    </row>
    <row r="592" spans="1:1" hidden="1" x14ac:dyDescent="0.25">
      <c r="A592" s="141"/>
    </row>
    <row r="593" spans="1:1" hidden="1" x14ac:dyDescent="0.25">
      <c r="A593" s="141"/>
    </row>
    <row r="594" spans="1:1" hidden="1" x14ac:dyDescent="0.25">
      <c r="A594" s="141"/>
    </row>
    <row r="595" spans="1:1" hidden="1" x14ac:dyDescent="0.25">
      <c r="A595" s="141"/>
    </row>
    <row r="596" spans="1:1" x14ac:dyDescent="0.25">
      <c r="A596" s="141" t="s">
        <v>1936</v>
      </c>
    </row>
    <row r="597" spans="1:1" x14ac:dyDescent="0.25">
      <c r="A597" s="141" t="s">
        <v>1936</v>
      </c>
    </row>
    <row r="598" spans="1:1" x14ac:dyDescent="0.25">
      <c r="A598" s="141" t="s">
        <v>1936</v>
      </c>
    </row>
    <row r="599" spans="1:1" hidden="1" x14ac:dyDescent="0.25">
      <c r="A599" s="141"/>
    </row>
    <row r="600" spans="1:1" hidden="1" x14ac:dyDescent="0.25">
      <c r="A600" s="141"/>
    </row>
    <row r="601" spans="1:1" hidden="1" x14ac:dyDescent="0.25">
      <c r="A601" s="141"/>
    </row>
    <row r="602" spans="1:1" x14ac:dyDescent="0.25">
      <c r="A602" s="141">
        <v>4800</v>
      </c>
    </row>
    <row r="603" spans="1:1" x14ac:dyDescent="0.25">
      <c r="A603" s="141">
        <v>4000</v>
      </c>
    </row>
    <row r="604" spans="1:1" x14ac:dyDescent="0.25">
      <c r="A604" s="141">
        <v>4000</v>
      </c>
    </row>
    <row r="605" spans="1:1" hidden="1" x14ac:dyDescent="0.25">
      <c r="A605" s="141"/>
    </row>
    <row r="606" spans="1:1" hidden="1" x14ac:dyDescent="0.25">
      <c r="A606" s="141"/>
    </row>
    <row r="607" spans="1:1" x14ac:dyDescent="0.25">
      <c r="A607" s="141">
        <v>5000</v>
      </c>
    </row>
    <row r="608" spans="1:1" hidden="1" x14ac:dyDescent="0.25">
      <c r="A608" s="141">
        <v>0</v>
      </c>
    </row>
    <row r="609" spans="1:1" hidden="1" x14ac:dyDescent="0.25">
      <c r="A609" s="141"/>
    </row>
    <row r="610" spans="1:1" hidden="1" x14ac:dyDescent="0.25">
      <c r="A610" s="141"/>
    </row>
    <row r="611" spans="1:1" hidden="1" x14ac:dyDescent="0.25">
      <c r="A611" s="141"/>
    </row>
    <row r="612" spans="1:1" hidden="1" x14ac:dyDescent="0.25">
      <c r="A612" s="141"/>
    </row>
    <row r="613" spans="1:1" hidden="1" x14ac:dyDescent="0.25">
      <c r="A613" s="141"/>
    </row>
    <row r="614" spans="1:1" hidden="1" x14ac:dyDescent="0.25">
      <c r="A614" s="141"/>
    </row>
    <row r="615" spans="1:1" x14ac:dyDescent="0.25">
      <c r="A615" s="141" t="s">
        <v>2000</v>
      </c>
    </row>
    <row r="616" spans="1:1" x14ac:dyDescent="0.25">
      <c r="A616" s="141" t="s">
        <v>2000</v>
      </c>
    </row>
    <row r="617" spans="1:1" hidden="1" x14ac:dyDescent="0.25">
      <c r="A617" s="141"/>
    </row>
    <row r="618" spans="1:1" hidden="1" x14ac:dyDescent="0.25">
      <c r="A618" s="141"/>
    </row>
    <row r="619" spans="1:1" hidden="1" x14ac:dyDescent="0.25">
      <c r="A619" s="141"/>
    </row>
    <row r="620" spans="1:1" hidden="1" x14ac:dyDescent="0.25">
      <c r="A620" s="141"/>
    </row>
    <row r="621" spans="1:1" hidden="1" x14ac:dyDescent="0.25">
      <c r="A621" s="141"/>
    </row>
    <row r="622" spans="1:1" hidden="1" x14ac:dyDescent="0.25">
      <c r="A622" s="141"/>
    </row>
    <row r="623" spans="1:1" hidden="1" x14ac:dyDescent="0.25">
      <c r="A623" s="141"/>
    </row>
    <row r="624" spans="1:1" hidden="1" x14ac:dyDescent="0.25">
      <c r="A624" s="141"/>
    </row>
    <row r="625" spans="1:1" hidden="1" x14ac:dyDescent="0.25">
      <c r="A625" s="141"/>
    </row>
    <row r="626" spans="1:1" hidden="1" x14ac:dyDescent="0.25">
      <c r="A626" s="141"/>
    </row>
    <row r="627" spans="1:1" hidden="1" x14ac:dyDescent="0.25">
      <c r="A627" s="141"/>
    </row>
    <row r="628" spans="1:1" hidden="1" x14ac:dyDescent="0.25">
      <c r="A628" s="141"/>
    </row>
    <row r="629" spans="1:1" hidden="1" x14ac:dyDescent="0.25">
      <c r="A629" s="141"/>
    </row>
    <row r="630" spans="1:1" hidden="1" x14ac:dyDescent="0.25">
      <c r="A630" s="141"/>
    </row>
    <row r="631" spans="1:1" hidden="1" x14ac:dyDescent="0.25">
      <c r="A631" s="141"/>
    </row>
    <row r="632" spans="1:1" hidden="1" x14ac:dyDescent="0.25">
      <c r="A632" s="141"/>
    </row>
    <row r="633" spans="1:1" hidden="1" x14ac:dyDescent="0.25">
      <c r="A633" s="141"/>
    </row>
    <row r="634" spans="1:1" hidden="1" x14ac:dyDescent="0.25">
      <c r="A634" s="141"/>
    </row>
    <row r="635" spans="1:1" hidden="1" x14ac:dyDescent="0.25">
      <c r="A635" s="141"/>
    </row>
    <row r="636" spans="1:1" hidden="1" x14ac:dyDescent="0.25">
      <c r="A636" s="141"/>
    </row>
    <row r="637" spans="1:1" x14ac:dyDescent="0.25">
      <c r="A637" s="114" t="s">
        <v>1307</v>
      </c>
    </row>
    <row r="638" spans="1:1" hidden="1" x14ac:dyDescent="0.25">
      <c r="A638" s="141"/>
    </row>
    <row r="639" spans="1:1" hidden="1" x14ac:dyDescent="0.25">
      <c r="A639" s="141"/>
    </row>
    <row r="640" spans="1:1" hidden="1" x14ac:dyDescent="0.25">
      <c r="A640" s="141"/>
    </row>
    <row r="641" spans="1:1" hidden="1" x14ac:dyDescent="0.25">
      <c r="A641" s="141"/>
    </row>
    <row r="642" spans="1:1" hidden="1" x14ac:dyDescent="0.25">
      <c r="A642" s="141"/>
    </row>
    <row r="643" spans="1:1" hidden="1" x14ac:dyDescent="0.25">
      <c r="A643" s="141"/>
    </row>
    <row r="644" spans="1:1" hidden="1" x14ac:dyDescent="0.25">
      <c r="A644" s="141"/>
    </row>
    <row r="645" spans="1:1" hidden="1" x14ac:dyDescent="0.25">
      <c r="A645" s="141"/>
    </row>
    <row r="646" spans="1:1" hidden="1" x14ac:dyDescent="0.25">
      <c r="A646" s="141"/>
    </row>
    <row r="647" spans="1:1" hidden="1" x14ac:dyDescent="0.25">
      <c r="A647" s="141"/>
    </row>
    <row r="648" spans="1:1" hidden="1" x14ac:dyDescent="0.25">
      <c r="A648" s="141"/>
    </row>
    <row r="649" spans="1:1" hidden="1" x14ac:dyDescent="0.25">
      <c r="A649" s="141"/>
    </row>
    <row r="650" spans="1:1" x14ac:dyDescent="0.25">
      <c r="A650" s="141" t="s">
        <v>2094</v>
      </c>
    </row>
    <row r="651" spans="1:1" hidden="1" x14ac:dyDescent="0.25">
      <c r="A651" s="141"/>
    </row>
    <row r="652" spans="1:1" hidden="1" x14ac:dyDescent="0.25">
      <c r="A652" s="141"/>
    </row>
    <row r="653" spans="1:1" hidden="1" x14ac:dyDescent="0.25">
      <c r="A653" s="141"/>
    </row>
    <row r="654" spans="1:1" hidden="1" x14ac:dyDescent="0.25">
      <c r="A654" s="141"/>
    </row>
    <row r="655" spans="1:1" hidden="1" x14ac:dyDescent="0.25">
      <c r="A655" s="141"/>
    </row>
    <row r="656" spans="1:1" hidden="1" x14ac:dyDescent="0.25">
      <c r="A656" s="141"/>
    </row>
    <row r="657" spans="1:1" hidden="1" x14ac:dyDescent="0.25">
      <c r="A657" s="141"/>
    </row>
    <row r="658" spans="1:1" hidden="1" x14ac:dyDescent="0.25">
      <c r="A658" s="141"/>
    </row>
    <row r="659" spans="1:1" hidden="1" x14ac:dyDescent="0.25">
      <c r="A659" s="141"/>
    </row>
    <row r="660" spans="1:1" hidden="1" x14ac:dyDescent="0.25">
      <c r="A660" s="141"/>
    </row>
    <row r="661" spans="1:1" x14ac:dyDescent="0.25">
      <c r="A661" s="141" t="s">
        <v>1886</v>
      </c>
    </row>
    <row r="662" spans="1:1" hidden="1" x14ac:dyDescent="0.25">
      <c r="A662" s="141"/>
    </row>
    <row r="663" spans="1:1" x14ac:dyDescent="0.25">
      <c r="A663" s="141" t="s">
        <v>1936</v>
      </c>
    </row>
    <row r="664" spans="1:1" hidden="1" x14ac:dyDescent="0.25">
      <c r="A664" s="141"/>
    </row>
    <row r="665" spans="1:1" hidden="1" x14ac:dyDescent="0.25">
      <c r="A665" s="141"/>
    </row>
    <row r="666" spans="1:1" hidden="1" x14ac:dyDescent="0.25">
      <c r="A666" s="141"/>
    </row>
    <row r="667" spans="1:1" hidden="1" x14ac:dyDescent="0.25">
      <c r="A667" s="141"/>
    </row>
    <row r="668" spans="1:1" x14ac:dyDescent="0.25">
      <c r="A668" s="141">
        <v>2000</v>
      </c>
    </row>
    <row r="669" spans="1:1" hidden="1" x14ac:dyDescent="0.25">
      <c r="A669" s="141"/>
    </row>
    <row r="670" spans="1:1" hidden="1" x14ac:dyDescent="0.25">
      <c r="A670" s="141"/>
    </row>
    <row r="671" spans="1:1" hidden="1" x14ac:dyDescent="0.25">
      <c r="A671" s="141"/>
    </row>
    <row r="672" spans="1:1" hidden="1" x14ac:dyDescent="0.25">
      <c r="A672" s="141"/>
    </row>
    <row r="673" spans="1:1" hidden="1" x14ac:dyDescent="0.25">
      <c r="A673" s="141"/>
    </row>
    <row r="674" spans="1:1" x14ac:dyDescent="0.25">
      <c r="A674" s="141">
        <v>4000</v>
      </c>
    </row>
    <row r="675" spans="1:1" hidden="1" x14ac:dyDescent="0.25">
      <c r="A675" s="141"/>
    </row>
    <row r="676" spans="1:1" hidden="1" x14ac:dyDescent="0.25">
      <c r="A676" s="141"/>
    </row>
    <row r="677" spans="1:1" hidden="1" x14ac:dyDescent="0.25">
      <c r="A677" s="141"/>
    </row>
    <row r="678" spans="1:1" hidden="1" x14ac:dyDescent="0.25">
      <c r="A678" s="141"/>
    </row>
    <row r="679" spans="1:1" hidden="1" x14ac:dyDescent="0.25">
      <c r="A679" s="141"/>
    </row>
    <row r="680" spans="1:1" hidden="1" x14ac:dyDescent="0.25">
      <c r="A680" s="141"/>
    </row>
    <row r="681" spans="1:1" hidden="1" x14ac:dyDescent="0.25">
      <c r="A681" s="141"/>
    </row>
    <row r="682" spans="1:1" hidden="1" x14ac:dyDescent="0.25">
      <c r="A682" s="141"/>
    </row>
    <row r="683" spans="1:1" hidden="1" x14ac:dyDescent="0.25">
      <c r="A683" s="141"/>
    </row>
    <row r="684" spans="1:1" hidden="1" x14ac:dyDescent="0.25">
      <c r="A684" s="141"/>
    </row>
    <row r="685" spans="1:1" hidden="1" x14ac:dyDescent="0.25">
      <c r="A685" s="141"/>
    </row>
    <row r="686" spans="1:1" hidden="1" x14ac:dyDescent="0.25">
      <c r="A686" s="141"/>
    </row>
    <row r="687" spans="1:1" hidden="1" x14ac:dyDescent="0.25">
      <c r="A687" s="141"/>
    </row>
    <row r="688" spans="1:1" hidden="1" x14ac:dyDescent="0.25">
      <c r="A688" s="141"/>
    </row>
    <row r="689" spans="1:1" hidden="1" x14ac:dyDescent="0.25">
      <c r="A689" s="141"/>
    </row>
    <row r="690" spans="1:1" hidden="1" x14ac:dyDescent="0.25">
      <c r="A690" s="141"/>
    </row>
    <row r="691" spans="1:1" hidden="1" x14ac:dyDescent="0.25">
      <c r="A691" s="141"/>
    </row>
    <row r="692" spans="1:1" hidden="1" x14ac:dyDescent="0.25">
      <c r="A692" s="141"/>
    </row>
    <row r="693" spans="1:1" x14ac:dyDescent="0.25">
      <c r="A693" s="141">
        <v>15000</v>
      </c>
    </row>
    <row r="694" spans="1:1" hidden="1" x14ac:dyDescent="0.25">
      <c r="A694" s="141"/>
    </row>
    <row r="695" spans="1:1" hidden="1" x14ac:dyDescent="0.25">
      <c r="A695" s="141"/>
    </row>
    <row r="696" spans="1:1" hidden="1" x14ac:dyDescent="0.25">
      <c r="A696" s="141"/>
    </row>
    <row r="697" spans="1:1" hidden="1" x14ac:dyDescent="0.25">
      <c r="A697" s="141"/>
    </row>
    <row r="698" spans="1:1" hidden="1" x14ac:dyDescent="0.25">
      <c r="A698" s="141"/>
    </row>
    <row r="699" spans="1:1" hidden="1" x14ac:dyDescent="0.25">
      <c r="A699" s="141"/>
    </row>
    <row r="700" spans="1:1" hidden="1" x14ac:dyDescent="0.25">
      <c r="A700" s="141"/>
    </row>
    <row r="701" spans="1:1" x14ac:dyDescent="0.25">
      <c r="A701" s="178" t="s">
        <v>2252</v>
      </c>
    </row>
    <row r="702" spans="1:1" hidden="1" x14ac:dyDescent="0.25">
      <c r="A702" s="141"/>
    </row>
    <row r="703" spans="1:1" hidden="1" x14ac:dyDescent="0.25">
      <c r="A703" s="141"/>
    </row>
    <row r="704" spans="1:1" hidden="1" x14ac:dyDescent="0.25">
      <c r="A704" s="141"/>
    </row>
    <row r="705" spans="1:1" hidden="1" x14ac:dyDescent="0.25">
      <c r="A705" s="141"/>
    </row>
    <row r="706" spans="1:1" hidden="1" x14ac:dyDescent="0.25">
      <c r="A706" s="141"/>
    </row>
    <row r="707" spans="1:1" hidden="1" x14ac:dyDescent="0.25">
      <c r="A707" s="141"/>
    </row>
    <row r="708" spans="1:1" hidden="1" x14ac:dyDescent="0.25">
      <c r="A708" s="182"/>
    </row>
    <row r="709" spans="1:1" hidden="1" x14ac:dyDescent="0.25">
      <c r="A709" s="141"/>
    </row>
    <row r="710" spans="1:1" hidden="1" x14ac:dyDescent="0.25">
      <c r="A710" s="141"/>
    </row>
    <row r="711" spans="1:1" hidden="1" x14ac:dyDescent="0.25">
      <c r="A711" s="141"/>
    </row>
    <row r="712" spans="1:1" hidden="1" x14ac:dyDescent="0.25">
      <c r="A712" s="141"/>
    </row>
    <row r="713" spans="1:1" hidden="1" x14ac:dyDescent="0.25">
      <c r="A713" s="141"/>
    </row>
    <row r="714" spans="1:1" hidden="1" x14ac:dyDescent="0.25">
      <c r="A714" s="141"/>
    </row>
    <row r="715" spans="1:1" x14ac:dyDescent="0.25">
      <c r="A715" s="141" t="s">
        <v>2297</v>
      </c>
    </row>
    <row r="716" spans="1:1" hidden="1" x14ac:dyDescent="0.25">
      <c r="A716" s="120"/>
    </row>
    <row r="717" spans="1:1" x14ac:dyDescent="0.25">
      <c r="A717" s="141" t="s">
        <v>2306</v>
      </c>
    </row>
    <row r="718" spans="1:1" x14ac:dyDescent="0.25">
      <c r="A718" s="141" t="s">
        <v>2306</v>
      </c>
    </row>
    <row r="719" spans="1:1" x14ac:dyDescent="0.25">
      <c r="A719" s="141" t="s">
        <v>2306</v>
      </c>
    </row>
    <row r="720" spans="1:1" x14ac:dyDescent="0.25">
      <c r="A720" s="141" t="s">
        <v>2317</v>
      </c>
    </row>
    <row r="721" spans="1:1" hidden="1" x14ac:dyDescent="0.25">
      <c r="A721" s="141"/>
    </row>
    <row r="722" spans="1:1" hidden="1" x14ac:dyDescent="0.25">
      <c r="A722" s="141"/>
    </row>
    <row r="723" spans="1:1" x14ac:dyDescent="0.25">
      <c r="A723" s="141" t="s">
        <v>2306</v>
      </c>
    </row>
    <row r="724" spans="1:1" x14ac:dyDescent="0.25">
      <c r="A724" s="141" t="s">
        <v>2306</v>
      </c>
    </row>
    <row r="725" spans="1:1" hidden="1" x14ac:dyDescent="0.25">
      <c r="A725" s="141"/>
    </row>
    <row r="726" spans="1:1" x14ac:dyDescent="0.25">
      <c r="A726" s="141" t="s">
        <v>2306</v>
      </c>
    </row>
    <row r="727" spans="1:1" hidden="1" x14ac:dyDescent="0.25">
      <c r="A727" s="141"/>
    </row>
    <row r="728" spans="1:1" x14ac:dyDescent="0.25">
      <c r="A728" s="141" t="s">
        <v>1936</v>
      </c>
    </row>
    <row r="729" spans="1:1" hidden="1" x14ac:dyDescent="0.25">
      <c r="A729" s="141"/>
    </row>
    <row r="730" spans="1:1" hidden="1" x14ac:dyDescent="0.25">
      <c r="A730" s="141"/>
    </row>
    <row r="731" spans="1:1" x14ac:dyDescent="0.25">
      <c r="A731" s="141" t="s">
        <v>2359</v>
      </c>
    </row>
    <row r="732" spans="1:1" x14ac:dyDescent="0.25">
      <c r="A732" s="141" t="s">
        <v>2297</v>
      </c>
    </row>
    <row r="733" spans="1:1" hidden="1" x14ac:dyDescent="0.25">
      <c r="A733" s="141"/>
    </row>
    <row r="734" spans="1:1" hidden="1" x14ac:dyDescent="0.25">
      <c r="A734" s="141"/>
    </row>
    <row r="735" spans="1:1" x14ac:dyDescent="0.25">
      <c r="A735" s="60">
        <v>2500</v>
      </c>
    </row>
    <row r="736" spans="1:1" x14ac:dyDescent="0.25">
      <c r="A736" s="60">
        <v>1500</v>
      </c>
    </row>
    <row r="737" spans="1:1" hidden="1" x14ac:dyDescent="0.25">
      <c r="A737" s="141"/>
    </row>
    <row r="738" spans="1:1" x14ac:dyDescent="0.25">
      <c r="A738" s="141" t="s">
        <v>2381</v>
      </c>
    </row>
    <row r="739" spans="1:1" hidden="1" x14ac:dyDescent="0.25">
      <c r="A739" s="141"/>
    </row>
    <row r="740" spans="1:1" hidden="1" x14ac:dyDescent="0.25">
      <c r="A740" s="141"/>
    </row>
    <row r="741" spans="1:1" hidden="1" x14ac:dyDescent="0.25">
      <c r="A741" s="141"/>
    </row>
    <row r="742" spans="1:1" hidden="1" x14ac:dyDescent="0.25">
      <c r="A742" s="141"/>
    </row>
    <row r="743" spans="1:1" x14ac:dyDescent="0.25">
      <c r="A743" s="141" t="s">
        <v>1886</v>
      </c>
    </row>
    <row r="744" spans="1:1" x14ac:dyDescent="0.25">
      <c r="A744" s="141" t="s">
        <v>2000</v>
      </c>
    </row>
    <row r="745" spans="1:1" hidden="1" x14ac:dyDescent="0.25">
      <c r="A745" s="141"/>
    </row>
    <row r="746" spans="1:1" x14ac:dyDescent="0.25">
      <c r="A746" s="141" t="s">
        <v>1489</v>
      </c>
    </row>
    <row r="747" spans="1:1" x14ac:dyDescent="0.25">
      <c r="A747" s="141" t="s">
        <v>1489</v>
      </c>
    </row>
    <row r="748" spans="1:1" x14ac:dyDescent="0.25">
      <c r="A748" s="141" t="s">
        <v>2381</v>
      </c>
    </row>
    <row r="749" spans="1:1" x14ac:dyDescent="0.25">
      <c r="A749" s="141" t="s">
        <v>2381</v>
      </c>
    </row>
    <row r="750" spans="1:1" hidden="1" x14ac:dyDescent="0.25">
      <c r="A750" s="141"/>
    </row>
    <row r="751" spans="1:1" hidden="1" x14ac:dyDescent="0.25">
      <c r="A751" s="141"/>
    </row>
    <row r="752" spans="1:1" x14ac:dyDescent="0.25">
      <c r="A752" s="141" t="s">
        <v>2428</v>
      </c>
    </row>
    <row r="753" spans="1:1" x14ac:dyDescent="0.25">
      <c r="A753" s="141" t="s">
        <v>2428</v>
      </c>
    </row>
    <row r="754" spans="1:1" x14ac:dyDescent="0.25">
      <c r="A754" s="141" t="s">
        <v>1936</v>
      </c>
    </row>
    <row r="755" spans="1:1" x14ac:dyDescent="0.25">
      <c r="A755" s="141" t="s">
        <v>2000</v>
      </c>
    </row>
    <row r="756" spans="1:1" hidden="1" x14ac:dyDescent="0.25">
      <c r="A756" s="141"/>
    </row>
    <row r="757" spans="1:1" hidden="1" x14ac:dyDescent="0.25">
      <c r="A757" s="141"/>
    </row>
    <row r="758" spans="1:1" hidden="1" x14ac:dyDescent="0.25">
      <c r="A758" s="141"/>
    </row>
    <row r="759" spans="1:1" hidden="1" x14ac:dyDescent="0.25">
      <c r="A759" s="141"/>
    </row>
    <row r="760" spans="1:1" hidden="1" x14ac:dyDescent="0.25">
      <c r="A760" s="141"/>
    </row>
    <row r="761" spans="1:1" hidden="1" x14ac:dyDescent="0.25">
      <c r="A761" s="141"/>
    </row>
    <row r="762" spans="1:1" hidden="1" x14ac:dyDescent="0.25">
      <c r="A762" s="141"/>
    </row>
    <row r="763" spans="1:1" hidden="1" x14ac:dyDescent="0.25">
      <c r="A763" s="141"/>
    </row>
    <row r="764" spans="1:1" hidden="1" x14ac:dyDescent="0.25">
      <c r="A764" s="141"/>
    </row>
    <row r="765" spans="1:1" hidden="1" x14ac:dyDescent="0.25">
      <c r="A765" s="141"/>
    </row>
    <row r="766" spans="1:1" hidden="1" x14ac:dyDescent="0.25">
      <c r="A766" s="141"/>
    </row>
    <row r="767" spans="1:1" hidden="1" x14ac:dyDescent="0.25">
      <c r="A767" s="141"/>
    </row>
    <row r="768" spans="1:1" hidden="1" x14ac:dyDescent="0.25">
      <c r="A768" s="141"/>
    </row>
    <row r="769" spans="1:1" hidden="1" x14ac:dyDescent="0.25">
      <c r="A769" s="141"/>
    </row>
    <row r="770" spans="1:1" hidden="1" x14ac:dyDescent="0.25">
      <c r="A770" s="141"/>
    </row>
    <row r="771" spans="1:1" x14ac:dyDescent="0.25">
      <c r="A771" s="141">
        <v>2030</v>
      </c>
    </row>
    <row r="772" spans="1:1" hidden="1" x14ac:dyDescent="0.25">
      <c r="A772" s="141"/>
    </row>
    <row r="773" spans="1:1" hidden="1" x14ac:dyDescent="0.25">
      <c r="A773" s="141"/>
    </row>
    <row r="774" spans="1:1" hidden="1" x14ac:dyDescent="0.25">
      <c r="A774" s="141"/>
    </row>
    <row r="775" spans="1:1" hidden="1" x14ac:dyDescent="0.25">
      <c r="A775" s="141"/>
    </row>
    <row r="776" spans="1:1" hidden="1" x14ac:dyDescent="0.25">
      <c r="A776" s="141"/>
    </row>
    <row r="777" spans="1:1" hidden="1" x14ac:dyDescent="0.25">
      <c r="A777" s="141"/>
    </row>
    <row r="778" spans="1:1" hidden="1" x14ac:dyDescent="0.25">
      <c r="A778" s="141"/>
    </row>
    <row r="779" spans="1:1" hidden="1" x14ac:dyDescent="0.25">
      <c r="A779" s="141"/>
    </row>
    <row r="780" spans="1:1" hidden="1" x14ac:dyDescent="0.25">
      <c r="A780" s="141"/>
    </row>
    <row r="781" spans="1:1" x14ac:dyDescent="0.25">
      <c r="A781" s="141" t="s">
        <v>2000</v>
      </c>
    </row>
    <row r="782" spans="1:1" hidden="1" x14ac:dyDescent="0.25">
      <c r="A782" s="141"/>
    </row>
    <row r="783" spans="1:1" hidden="1" x14ac:dyDescent="0.25">
      <c r="A783" s="141"/>
    </row>
    <row r="784" spans="1:1" x14ac:dyDescent="0.25">
      <c r="A784" s="141" t="s">
        <v>1936</v>
      </c>
    </row>
    <row r="785" spans="1:1" hidden="1" x14ac:dyDescent="0.25">
      <c r="A785" s="141"/>
    </row>
    <row r="786" spans="1:1" x14ac:dyDescent="0.25">
      <c r="A786" s="141" t="s">
        <v>2000</v>
      </c>
    </row>
    <row r="787" spans="1:1" hidden="1" x14ac:dyDescent="0.25">
      <c r="A787" s="141"/>
    </row>
    <row r="788" spans="1:1" hidden="1" x14ac:dyDescent="0.25">
      <c r="A788" s="141"/>
    </row>
    <row r="789" spans="1:1" x14ac:dyDescent="0.25">
      <c r="A789" s="141" t="s">
        <v>1936</v>
      </c>
    </row>
    <row r="790" spans="1:1" hidden="1" x14ac:dyDescent="0.25">
      <c r="A790" s="141"/>
    </row>
    <row r="791" spans="1:1" hidden="1" x14ac:dyDescent="0.25">
      <c r="A791" s="141"/>
    </row>
    <row r="792" spans="1:1" hidden="1" x14ac:dyDescent="0.25">
      <c r="A792" s="141"/>
    </row>
    <row r="793" spans="1:1" hidden="1" x14ac:dyDescent="0.25">
      <c r="A793" s="141"/>
    </row>
    <row r="794" spans="1:1" hidden="1" x14ac:dyDescent="0.25">
      <c r="A794" s="141"/>
    </row>
    <row r="795" spans="1:1" hidden="1" x14ac:dyDescent="0.25">
      <c r="A795" s="141"/>
    </row>
    <row r="796" spans="1:1" hidden="1" x14ac:dyDescent="0.25">
      <c r="A796" s="141"/>
    </row>
    <row r="797" spans="1:1" hidden="1" x14ac:dyDescent="0.25">
      <c r="A797" s="141"/>
    </row>
    <row r="798" spans="1:1" hidden="1" x14ac:dyDescent="0.25">
      <c r="A798" s="141"/>
    </row>
    <row r="799" spans="1:1" hidden="1" x14ac:dyDescent="0.25">
      <c r="A799" s="141"/>
    </row>
    <row r="800" spans="1:1" hidden="1" x14ac:dyDescent="0.25">
      <c r="A800" s="141"/>
    </row>
    <row r="801" spans="1:1" hidden="1" x14ac:dyDescent="0.25">
      <c r="A801" s="141"/>
    </row>
    <row r="802" spans="1:1" hidden="1" x14ac:dyDescent="0.25">
      <c r="A802" s="141"/>
    </row>
    <row r="803" spans="1:1" x14ac:dyDescent="0.25">
      <c r="A803" s="141">
        <v>3500</v>
      </c>
    </row>
    <row r="804" spans="1:1" x14ac:dyDescent="0.25">
      <c r="A804" s="141" t="s">
        <v>1936</v>
      </c>
    </row>
    <row r="805" spans="1:1" hidden="1" x14ac:dyDescent="0.25">
      <c r="A805" s="141"/>
    </row>
    <row r="806" spans="1:1" x14ac:dyDescent="0.25">
      <c r="A806" s="141" t="s">
        <v>2590</v>
      </c>
    </row>
    <row r="807" spans="1:1" x14ac:dyDescent="0.25">
      <c r="A807" s="141">
        <v>2500</v>
      </c>
    </row>
    <row r="808" spans="1:1" x14ac:dyDescent="0.25">
      <c r="A808" s="141">
        <v>25000</v>
      </c>
    </row>
    <row r="809" spans="1:1" x14ac:dyDescent="0.25">
      <c r="A809" s="141">
        <v>1500</v>
      </c>
    </row>
    <row r="810" spans="1:1" x14ac:dyDescent="0.25">
      <c r="A810" s="141">
        <v>1500</v>
      </c>
    </row>
    <row r="811" spans="1:1" x14ac:dyDescent="0.25">
      <c r="A811" s="141" t="s">
        <v>1886</v>
      </c>
    </row>
    <row r="812" spans="1:1" hidden="1" x14ac:dyDescent="0.25">
      <c r="A812" s="141"/>
    </row>
    <row r="813" spans="1:1" hidden="1" x14ac:dyDescent="0.25">
      <c r="A813" s="141"/>
    </row>
    <row r="814" spans="1:1" hidden="1" x14ac:dyDescent="0.25">
      <c r="A814" s="141"/>
    </row>
    <row r="815" spans="1:1" hidden="1" x14ac:dyDescent="0.25">
      <c r="A815" s="141"/>
    </row>
    <row r="816" spans="1:1" hidden="1" x14ac:dyDescent="0.25">
      <c r="A816" s="141"/>
    </row>
    <row r="817" spans="1:1" hidden="1" x14ac:dyDescent="0.25">
      <c r="A817" s="141"/>
    </row>
    <row r="818" spans="1:1" hidden="1" x14ac:dyDescent="0.25">
      <c r="A818" s="141"/>
    </row>
    <row r="819" spans="1:1" hidden="1" x14ac:dyDescent="0.25">
      <c r="A819" s="141"/>
    </row>
    <row r="820" spans="1:1" hidden="1" x14ac:dyDescent="0.25">
      <c r="A820" s="141"/>
    </row>
    <row r="821" spans="1:1" hidden="1" x14ac:dyDescent="0.25">
      <c r="A821" s="141"/>
    </row>
    <row r="822" spans="1:1" hidden="1" x14ac:dyDescent="0.25">
      <c r="A822" s="141"/>
    </row>
    <row r="823" spans="1:1" hidden="1" x14ac:dyDescent="0.25">
      <c r="A823" s="141"/>
    </row>
    <row r="824" spans="1:1" hidden="1" x14ac:dyDescent="0.25">
      <c r="A824" s="141"/>
    </row>
    <row r="825" spans="1:1" hidden="1" x14ac:dyDescent="0.25">
      <c r="A825" s="141"/>
    </row>
    <row r="826" spans="1:1" hidden="1" x14ac:dyDescent="0.25">
      <c r="A826" s="141"/>
    </row>
    <row r="827" spans="1:1" hidden="1" x14ac:dyDescent="0.25">
      <c r="A827" s="141"/>
    </row>
    <row r="828" spans="1:1" hidden="1" x14ac:dyDescent="0.25">
      <c r="A828" s="141"/>
    </row>
    <row r="829" spans="1:1" hidden="1" x14ac:dyDescent="0.25">
      <c r="A829" s="141"/>
    </row>
    <row r="830" spans="1:1" hidden="1" x14ac:dyDescent="0.25">
      <c r="A830" s="141"/>
    </row>
    <row r="831" spans="1:1" hidden="1" x14ac:dyDescent="0.25">
      <c r="A831" s="141"/>
    </row>
    <row r="832" spans="1:1" hidden="1" x14ac:dyDescent="0.25">
      <c r="A832" s="141"/>
    </row>
    <row r="833" spans="1:1" hidden="1" x14ac:dyDescent="0.25">
      <c r="A833" s="141"/>
    </row>
    <row r="834" spans="1:1" hidden="1" x14ac:dyDescent="0.25">
      <c r="A834" s="141"/>
    </row>
    <row r="835" spans="1:1" hidden="1" x14ac:dyDescent="0.25">
      <c r="A835" s="141"/>
    </row>
    <row r="836" spans="1:1" hidden="1" x14ac:dyDescent="0.25">
      <c r="A836" s="141"/>
    </row>
    <row r="837" spans="1:1" hidden="1" x14ac:dyDescent="0.25">
      <c r="A837" s="141"/>
    </row>
    <row r="838" spans="1:1" hidden="1" x14ac:dyDescent="0.25">
      <c r="A838" s="141"/>
    </row>
    <row r="839" spans="1:1" hidden="1" x14ac:dyDescent="0.25">
      <c r="A839" s="141"/>
    </row>
    <row r="840" spans="1:1" hidden="1" x14ac:dyDescent="0.25">
      <c r="A840" s="141"/>
    </row>
    <row r="841" spans="1:1" hidden="1" x14ac:dyDescent="0.25">
      <c r="A841" s="141"/>
    </row>
    <row r="842" spans="1:1" hidden="1" x14ac:dyDescent="0.25">
      <c r="A842" s="141"/>
    </row>
    <row r="843" spans="1:1" hidden="1" x14ac:dyDescent="0.25">
      <c r="A843" s="141"/>
    </row>
    <row r="844" spans="1:1" hidden="1" x14ac:dyDescent="0.25">
      <c r="A844" s="141"/>
    </row>
    <row r="845" spans="1:1" hidden="1" x14ac:dyDescent="0.25">
      <c r="A845" s="141"/>
    </row>
    <row r="846" spans="1:1" hidden="1" x14ac:dyDescent="0.25">
      <c r="A846" s="141"/>
    </row>
    <row r="847" spans="1:1" hidden="1" x14ac:dyDescent="0.25">
      <c r="A847" s="141"/>
    </row>
    <row r="848" spans="1:1" hidden="1" x14ac:dyDescent="0.25">
      <c r="A848" s="141"/>
    </row>
    <row r="849" spans="1:1" hidden="1" x14ac:dyDescent="0.25">
      <c r="A849" s="141"/>
    </row>
    <row r="850" spans="1:1" hidden="1" x14ac:dyDescent="0.25">
      <c r="A850" s="141"/>
    </row>
    <row r="851" spans="1:1" hidden="1" x14ac:dyDescent="0.25">
      <c r="A851" s="141"/>
    </row>
    <row r="852" spans="1:1" hidden="1" x14ac:dyDescent="0.25">
      <c r="A852" s="141"/>
    </row>
    <row r="853" spans="1:1" hidden="1" x14ac:dyDescent="0.25">
      <c r="A853" s="141"/>
    </row>
    <row r="854" spans="1:1" hidden="1" x14ac:dyDescent="0.25">
      <c r="A854" s="141"/>
    </row>
    <row r="855" spans="1:1" hidden="1" x14ac:dyDescent="0.25">
      <c r="A855" s="141"/>
    </row>
    <row r="856" spans="1:1" hidden="1" x14ac:dyDescent="0.25">
      <c r="A856" s="141"/>
    </row>
    <row r="857" spans="1:1" hidden="1" x14ac:dyDescent="0.25">
      <c r="A857" s="141"/>
    </row>
    <row r="858" spans="1:1" hidden="1" x14ac:dyDescent="0.25">
      <c r="A858" s="141"/>
    </row>
    <row r="859" spans="1:1" hidden="1" x14ac:dyDescent="0.25">
      <c r="A859" s="141"/>
    </row>
    <row r="860" spans="1:1" hidden="1" x14ac:dyDescent="0.25">
      <c r="A860" s="141"/>
    </row>
    <row r="861" spans="1:1" hidden="1" x14ac:dyDescent="0.25">
      <c r="A861" s="141"/>
    </row>
    <row r="862" spans="1:1" hidden="1" x14ac:dyDescent="0.25">
      <c r="A862" s="141"/>
    </row>
    <row r="863" spans="1:1" hidden="1" x14ac:dyDescent="0.25">
      <c r="A863" s="141"/>
    </row>
    <row r="864" spans="1:1" hidden="1" x14ac:dyDescent="0.25">
      <c r="A864" s="141"/>
    </row>
    <row r="865" spans="1:1" hidden="1" x14ac:dyDescent="0.25">
      <c r="A865" s="141"/>
    </row>
    <row r="866" spans="1:1" hidden="1" x14ac:dyDescent="0.25">
      <c r="A866" s="141"/>
    </row>
    <row r="867" spans="1:1" hidden="1" x14ac:dyDescent="0.25">
      <c r="A867" s="141"/>
    </row>
    <row r="868" spans="1:1" hidden="1" x14ac:dyDescent="0.25">
      <c r="A868" s="141"/>
    </row>
    <row r="869" spans="1:1" hidden="1" x14ac:dyDescent="0.25">
      <c r="A869" s="141"/>
    </row>
    <row r="870" spans="1:1" hidden="1" x14ac:dyDescent="0.25">
      <c r="A870" s="141"/>
    </row>
    <row r="871" spans="1:1" hidden="1" x14ac:dyDescent="0.25">
      <c r="A871" s="141"/>
    </row>
    <row r="872" spans="1:1" x14ac:dyDescent="0.25">
      <c r="A872" s="141" t="s">
        <v>2799</v>
      </c>
    </row>
    <row r="873" spans="1:1" hidden="1" x14ac:dyDescent="0.25">
      <c r="A873" s="141"/>
    </row>
    <row r="874" spans="1:1" hidden="1" x14ac:dyDescent="0.25">
      <c r="A874" s="141"/>
    </row>
    <row r="875" spans="1:1" x14ac:dyDescent="0.25">
      <c r="A875" s="141" t="s">
        <v>1936</v>
      </c>
    </row>
    <row r="876" spans="1:1" x14ac:dyDescent="0.25">
      <c r="A876" s="141" t="s">
        <v>1936</v>
      </c>
    </row>
    <row r="877" spans="1:1" hidden="1" x14ac:dyDescent="0.25">
      <c r="A877" s="141"/>
    </row>
    <row r="878" spans="1:1" x14ac:dyDescent="0.25">
      <c r="A878" s="141" t="s">
        <v>2817</v>
      </c>
    </row>
    <row r="879" spans="1:1" x14ac:dyDescent="0.25">
      <c r="A879" s="141" t="s">
        <v>2820</v>
      </c>
    </row>
    <row r="880" spans="1:1" x14ac:dyDescent="0.25">
      <c r="A880" s="141" t="s">
        <v>2817</v>
      </c>
    </row>
    <row r="881" spans="1:1" hidden="1" x14ac:dyDescent="0.25">
      <c r="A881" s="141"/>
    </row>
    <row r="882" spans="1:1" x14ac:dyDescent="0.25">
      <c r="A882" s="141" t="s">
        <v>1936</v>
      </c>
    </row>
    <row r="883" spans="1:1" x14ac:dyDescent="0.25">
      <c r="A883" s="141" t="s">
        <v>1936</v>
      </c>
    </row>
    <row r="884" spans="1:1" hidden="1" x14ac:dyDescent="0.25">
      <c r="A884" s="141"/>
    </row>
    <row r="885" spans="1:1" hidden="1" x14ac:dyDescent="0.25">
      <c r="A885" s="141"/>
    </row>
    <row r="886" spans="1:1" x14ac:dyDescent="0.25">
      <c r="A886" s="141" t="s">
        <v>1936</v>
      </c>
    </row>
    <row r="887" spans="1:1" hidden="1" x14ac:dyDescent="0.25">
      <c r="A887" s="141"/>
    </row>
    <row r="888" spans="1:1" x14ac:dyDescent="0.25">
      <c r="A888" s="141" t="s">
        <v>1936</v>
      </c>
    </row>
    <row r="889" spans="1:1" hidden="1" x14ac:dyDescent="0.25">
      <c r="A889" s="141"/>
    </row>
    <row r="890" spans="1:1" hidden="1" x14ac:dyDescent="0.25">
      <c r="A890" s="141"/>
    </row>
    <row r="891" spans="1:1" hidden="1" x14ac:dyDescent="0.25">
      <c r="A891" s="141"/>
    </row>
    <row r="892" spans="1:1" hidden="1" x14ac:dyDescent="0.25">
      <c r="A892" s="141"/>
    </row>
    <row r="893" spans="1:1" hidden="1" x14ac:dyDescent="0.25">
      <c r="A893" s="141"/>
    </row>
    <row r="894" spans="1:1" hidden="1" x14ac:dyDescent="0.25">
      <c r="A894" s="141"/>
    </row>
    <row r="895" spans="1:1" hidden="1" x14ac:dyDescent="0.25">
      <c r="A895" s="141"/>
    </row>
    <row r="896" spans="1:1" hidden="1" x14ac:dyDescent="0.25">
      <c r="A896" s="141"/>
    </row>
    <row r="897" spans="1:1" hidden="1" x14ac:dyDescent="0.25">
      <c r="A897" s="141"/>
    </row>
    <row r="898" spans="1:1" hidden="1" x14ac:dyDescent="0.25">
      <c r="A898" s="141"/>
    </row>
    <row r="899" spans="1:1" hidden="1" x14ac:dyDescent="0.25">
      <c r="A899" s="141"/>
    </row>
    <row r="900" spans="1:1" hidden="1" x14ac:dyDescent="0.25">
      <c r="A900" s="141"/>
    </row>
    <row r="901" spans="1:1" hidden="1" x14ac:dyDescent="0.25">
      <c r="A901" s="141"/>
    </row>
    <row r="902" spans="1:1" hidden="1" x14ac:dyDescent="0.25">
      <c r="A902" s="141"/>
    </row>
    <row r="903" spans="1:1" hidden="1" x14ac:dyDescent="0.25">
      <c r="A903" s="141"/>
    </row>
    <row r="904" spans="1:1" hidden="1" x14ac:dyDescent="0.25">
      <c r="A904" s="141"/>
    </row>
    <row r="905" spans="1:1" hidden="1" x14ac:dyDescent="0.25">
      <c r="A905" s="141"/>
    </row>
    <row r="906" spans="1:1" hidden="1" x14ac:dyDescent="0.25">
      <c r="A906" s="141"/>
    </row>
    <row r="907" spans="1:1" hidden="1" x14ac:dyDescent="0.25">
      <c r="A907" s="141"/>
    </row>
    <row r="908" spans="1:1" hidden="1" x14ac:dyDescent="0.25">
      <c r="A908" s="141"/>
    </row>
    <row r="909" spans="1:1" hidden="1" x14ac:dyDescent="0.25">
      <c r="A909" s="141"/>
    </row>
    <row r="910" spans="1:1" hidden="1" x14ac:dyDescent="0.25">
      <c r="A910" s="141"/>
    </row>
    <row r="911" spans="1:1" hidden="1" x14ac:dyDescent="0.25">
      <c r="A911" s="141"/>
    </row>
    <row r="912" spans="1:1" hidden="1" x14ac:dyDescent="0.25">
      <c r="A912" s="141"/>
    </row>
    <row r="913" spans="1:1" hidden="1" x14ac:dyDescent="0.25">
      <c r="A913" s="141"/>
    </row>
    <row r="914" spans="1:1" hidden="1" x14ac:dyDescent="0.25">
      <c r="A914" s="141"/>
    </row>
    <row r="915" spans="1:1" hidden="1" x14ac:dyDescent="0.25">
      <c r="A915" s="141"/>
    </row>
    <row r="916" spans="1:1" hidden="1" x14ac:dyDescent="0.25">
      <c r="A916" s="141"/>
    </row>
    <row r="917" spans="1:1" hidden="1" x14ac:dyDescent="0.25">
      <c r="A917" s="141"/>
    </row>
    <row r="918" spans="1:1" hidden="1" x14ac:dyDescent="0.25">
      <c r="A918" s="141"/>
    </row>
    <row r="919" spans="1:1" hidden="1" x14ac:dyDescent="0.25">
      <c r="A919" s="141"/>
    </row>
    <row r="920" spans="1:1" hidden="1" x14ac:dyDescent="0.25">
      <c r="A920" s="141"/>
    </row>
    <row r="921" spans="1:1" hidden="1" x14ac:dyDescent="0.25">
      <c r="A921" s="141"/>
    </row>
    <row r="922" spans="1:1" hidden="1" x14ac:dyDescent="0.25">
      <c r="A922" s="141"/>
    </row>
    <row r="923" spans="1:1" hidden="1" x14ac:dyDescent="0.25">
      <c r="A923" s="141"/>
    </row>
    <row r="924" spans="1:1" hidden="1" x14ac:dyDescent="0.25">
      <c r="A924" s="141"/>
    </row>
    <row r="925" spans="1:1" hidden="1" x14ac:dyDescent="0.25">
      <c r="A925" s="141"/>
    </row>
    <row r="926" spans="1:1" hidden="1" x14ac:dyDescent="0.25">
      <c r="A926" s="141"/>
    </row>
    <row r="927" spans="1:1" hidden="1" x14ac:dyDescent="0.25">
      <c r="A927" s="141"/>
    </row>
    <row r="928" spans="1:1" hidden="1" x14ac:dyDescent="0.25">
      <c r="A928" s="141"/>
    </row>
    <row r="929" spans="1:1" hidden="1" x14ac:dyDescent="0.25">
      <c r="A929" s="141"/>
    </row>
    <row r="930" spans="1:1" hidden="1" x14ac:dyDescent="0.25">
      <c r="A930" s="141"/>
    </row>
    <row r="931" spans="1:1" hidden="1" x14ac:dyDescent="0.25">
      <c r="A931" s="141"/>
    </row>
    <row r="932" spans="1:1" hidden="1" x14ac:dyDescent="0.25">
      <c r="A932" s="141"/>
    </row>
    <row r="933" spans="1:1" hidden="1" x14ac:dyDescent="0.25">
      <c r="A933" s="141"/>
    </row>
    <row r="934" spans="1:1" hidden="1" x14ac:dyDescent="0.25">
      <c r="A934" s="141"/>
    </row>
    <row r="935" spans="1:1" hidden="1" x14ac:dyDescent="0.25">
      <c r="A935" s="141"/>
    </row>
    <row r="936" spans="1:1" hidden="1" x14ac:dyDescent="0.25">
      <c r="A936" s="141"/>
    </row>
    <row r="937" spans="1:1" hidden="1" x14ac:dyDescent="0.25">
      <c r="A937" s="141"/>
    </row>
    <row r="938" spans="1:1" hidden="1" x14ac:dyDescent="0.25">
      <c r="A938" s="141"/>
    </row>
    <row r="939" spans="1:1" hidden="1" x14ac:dyDescent="0.25">
      <c r="A939" s="141"/>
    </row>
    <row r="940" spans="1:1" hidden="1" x14ac:dyDescent="0.25">
      <c r="A940" s="141"/>
    </row>
    <row r="941" spans="1:1" hidden="1" x14ac:dyDescent="0.25">
      <c r="A941" s="141"/>
    </row>
    <row r="942" spans="1:1" x14ac:dyDescent="0.25">
      <c r="A942" s="141">
        <v>1100</v>
      </c>
    </row>
    <row r="943" spans="1:1" x14ac:dyDescent="0.25">
      <c r="A943" s="141">
        <v>1500</v>
      </c>
    </row>
    <row r="944" spans="1:1" x14ac:dyDescent="0.25">
      <c r="A944" s="141" t="s">
        <v>144</v>
      </c>
    </row>
    <row r="945" spans="1:1" hidden="1" x14ac:dyDescent="0.25">
      <c r="A945" s="141"/>
    </row>
    <row r="946" spans="1:1" hidden="1" x14ac:dyDescent="0.25">
      <c r="A946" s="141"/>
    </row>
    <row r="947" spans="1:1" hidden="1" x14ac:dyDescent="0.25">
      <c r="A947" s="141"/>
    </row>
    <row r="948" spans="1:1" hidden="1" x14ac:dyDescent="0.25">
      <c r="A948" s="141"/>
    </row>
    <row r="949" spans="1:1" hidden="1" x14ac:dyDescent="0.25">
      <c r="A949" s="141"/>
    </row>
    <row r="950" spans="1:1" hidden="1" x14ac:dyDescent="0.25">
      <c r="A950" s="141"/>
    </row>
    <row r="951" spans="1:1" hidden="1" x14ac:dyDescent="0.25">
      <c r="A951" s="141"/>
    </row>
    <row r="952" spans="1:1" hidden="1" x14ac:dyDescent="0.25">
      <c r="A952" s="141"/>
    </row>
    <row r="953" spans="1:1" hidden="1" x14ac:dyDescent="0.25">
      <c r="A953" s="141"/>
    </row>
    <row r="954" spans="1:1" hidden="1" x14ac:dyDescent="0.25">
      <c r="A954" s="141"/>
    </row>
    <row r="955" spans="1:1" hidden="1" x14ac:dyDescent="0.25">
      <c r="A955" s="141"/>
    </row>
    <row r="956" spans="1:1" hidden="1" x14ac:dyDescent="0.25">
      <c r="A956" s="141"/>
    </row>
    <row r="957" spans="1:1" x14ac:dyDescent="0.25">
      <c r="A957" s="141" t="s">
        <v>1936</v>
      </c>
    </row>
    <row r="958" spans="1:1" x14ac:dyDescent="0.25">
      <c r="A958" s="141" t="s">
        <v>1936</v>
      </c>
    </row>
    <row r="959" spans="1:1" x14ac:dyDescent="0.25">
      <c r="A959" s="141" t="s">
        <v>1936</v>
      </c>
    </row>
    <row r="960" spans="1:1" x14ac:dyDescent="0.25">
      <c r="A960" s="141" t="s">
        <v>1936</v>
      </c>
    </row>
    <row r="961" spans="1:1" x14ac:dyDescent="0.25">
      <c r="A961" s="141" t="s">
        <v>1936</v>
      </c>
    </row>
    <row r="962" spans="1:1" x14ac:dyDescent="0.25">
      <c r="A962" s="141" t="s">
        <v>1936</v>
      </c>
    </row>
    <row r="963" spans="1:1" x14ac:dyDescent="0.25">
      <c r="A963" s="141" t="s">
        <v>1936</v>
      </c>
    </row>
    <row r="964" spans="1:1" hidden="1" x14ac:dyDescent="0.25">
      <c r="A964" s="141"/>
    </row>
    <row r="965" spans="1:1" x14ac:dyDescent="0.25">
      <c r="A965" s="141" t="s">
        <v>1936</v>
      </c>
    </row>
    <row r="966" spans="1:1" x14ac:dyDescent="0.25">
      <c r="A966" s="141" t="s">
        <v>1936</v>
      </c>
    </row>
    <row r="967" spans="1:1" hidden="1" x14ac:dyDescent="0.25">
      <c r="A967" s="141"/>
    </row>
    <row r="968" spans="1:1" hidden="1" x14ac:dyDescent="0.25">
      <c r="A968" s="141"/>
    </row>
    <row r="969" spans="1:1" hidden="1" x14ac:dyDescent="0.25">
      <c r="A969" s="141"/>
    </row>
    <row r="970" spans="1:1" x14ac:dyDescent="0.25">
      <c r="A970" s="141" t="s">
        <v>1418</v>
      </c>
    </row>
    <row r="971" spans="1:1" x14ac:dyDescent="0.25">
      <c r="A971" s="141" t="s">
        <v>3105</v>
      </c>
    </row>
    <row r="972" spans="1:1" x14ac:dyDescent="0.25">
      <c r="A972" s="141" t="s">
        <v>1936</v>
      </c>
    </row>
    <row r="973" spans="1:1" hidden="1" x14ac:dyDescent="0.25">
      <c r="A973" s="141"/>
    </row>
    <row r="974" spans="1:1" hidden="1" x14ac:dyDescent="0.25">
      <c r="A974" s="141"/>
    </row>
    <row r="975" spans="1:1" x14ac:dyDescent="0.25">
      <c r="A975" s="141" t="s">
        <v>3116</v>
      </c>
    </row>
    <row r="976" spans="1:1" x14ac:dyDescent="0.25">
      <c r="A976" s="141" t="s">
        <v>3119</v>
      </c>
    </row>
    <row r="977" spans="1:1" hidden="1" x14ac:dyDescent="0.25">
      <c r="A977" s="141"/>
    </row>
    <row r="978" spans="1:1" x14ac:dyDescent="0.25">
      <c r="A978" s="141" t="s">
        <v>2359</v>
      </c>
    </row>
    <row r="979" spans="1:1" hidden="1" x14ac:dyDescent="0.25">
      <c r="A979" s="141"/>
    </row>
    <row r="980" spans="1:1" hidden="1" x14ac:dyDescent="0.25">
      <c r="A980" s="141"/>
    </row>
    <row r="981" spans="1:1" hidden="1" x14ac:dyDescent="0.25">
      <c r="A981" s="141"/>
    </row>
    <row r="982" spans="1:1" hidden="1" x14ac:dyDescent="0.25">
      <c r="A982" s="141"/>
    </row>
    <row r="983" spans="1:1" hidden="1" x14ac:dyDescent="0.25">
      <c r="A983" s="141"/>
    </row>
    <row r="984" spans="1:1" hidden="1" x14ac:dyDescent="0.25">
      <c r="A984" s="141"/>
    </row>
    <row r="985" spans="1:1" hidden="1" x14ac:dyDescent="0.25">
      <c r="A985" s="141"/>
    </row>
    <row r="986" spans="1:1" hidden="1" x14ac:dyDescent="0.25">
      <c r="A986" s="141"/>
    </row>
    <row r="987" spans="1:1" hidden="1" x14ac:dyDescent="0.25">
      <c r="A987" s="141"/>
    </row>
    <row r="988" spans="1:1" hidden="1" x14ac:dyDescent="0.25">
      <c r="A988" s="141"/>
    </row>
    <row r="989" spans="1:1" hidden="1" x14ac:dyDescent="0.25">
      <c r="A989" s="141"/>
    </row>
    <row r="990" spans="1:1" hidden="1" x14ac:dyDescent="0.25">
      <c r="A990" s="141"/>
    </row>
    <row r="991" spans="1:1" hidden="1" x14ac:dyDescent="0.25">
      <c r="A991" s="141"/>
    </row>
    <row r="992" spans="1:1" hidden="1" x14ac:dyDescent="0.25">
      <c r="A992" s="141"/>
    </row>
    <row r="993" spans="1:1" hidden="1" x14ac:dyDescent="0.25">
      <c r="A993" s="141"/>
    </row>
    <row r="994" spans="1:1" hidden="1" x14ac:dyDescent="0.25">
      <c r="A994" s="141"/>
    </row>
    <row r="995" spans="1:1" hidden="1" x14ac:dyDescent="0.25">
      <c r="A995" s="141"/>
    </row>
    <row r="996" spans="1:1" hidden="1" x14ac:dyDescent="0.25">
      <c r="A996" s="141"/>
    </row>
    <row r="997" spans="1:1" hidden="1" x14ac:dyDescent="0.25">
      <c r="A997" s="141"/>
    </row>
    <row r="998" spans="1:1" hidden="1" x14ac:dyDescent="0.25">
      <c r="A998" s="141"/>
    </row>
    <row r="999" spans="1:1" hidden="1" x14ac:dyDescent="0.25">
      <c r="A999" s="141"/>
    </row>
    <row r="1000" spans="1:1" hidden="1" x14ac:dyDescent="0.25">
      <c r="A1000" s="141"/>
    </row>
    <row r="1001" spans="1:1" hidden="1" x14ac:dyDescent="0.25">
      <c r="A1001" s="141"/>
    </row>
    <row r="1002" spans="1:1" hidden="1" x14ac:dyDescent="0.25">
      <c r="A1002" s="141"/>
    </row>
    <row r="1003" spans="1:1" hidden="1" x14ac:dyDescent="0.25">
      <c r="A1003" s="141"/>
    </row>
    <row r="1004" spans="1:1" hidden="1" x14ac:dyDescent="0.25">
      <c r="A1004" s="141"/>
    </row>
    <row r="1005" spans="1:1" hidden="1" x14ac:dyDescent="0.25">
      <c r="A1005" s="141"/>
    </row>
    <row r="1006" spans="1:1" hidden="1" x14ac:dyDescent="0.25">
      <c r="A1006" s="141"/>
    </row>
    <row r="1007" spans="1:1" hidden="1" x14ac:dyDescent="0.25">
      <c r="A1007" s="141"/>
    </row>
    <row r="1008" spans="1:1" x14ac:dyDescent="0.25">
      <c r="A1008" s="141">
        <v>110</v>
      </c>
    </row>
    <row r="1009" spans="1:1" hidden="1" x14ac:dyDescent="0.25">
      <c r="A1009" s="141"/>
    </row>
    <row r="1010" spans="1:1" hidden="1" x14ac:dyDescent="0.25">
      <c r="A1010" s="141"/>
    </row>
    <row r="1011" spans="1:1" hidden="1" x14ac:dyDescent="0.25">
      <c r="A1011" s="141"/>
    </row>
    <row r="1012" spans="1:1" hidden="1" x14ac:dyDescent="0.25">
      <c r="A1012" s="141"/>
    </row>
    <row r="1013" spans="1:1" hidden="1" x14ac:dyDescent="0.25">
      <c r="A1013" s="141"/>
    </row>
    <row r="1014" spans="1:1" hidden="1" x14ac:dyDescent="0.25">
      <c r="A1014" s="141"/>
    </row>
    <row r="1015" spans="1:1" hidden="1" x14ac:dyDescent="0.25">
      <c r="A1015" s="141"/>
    </row>
    <row r="1016" spans="1:1" hidden="1" x14ac:dyDescent="0.25">
      <c r="A1016" s="141"/>
    </row>
    <row r="1017" spans="1:1" hidden="1" x14ac:dyDescent="0.25">
      <c r="A1017" s="141"/>
    </row>
    <row r="1018" spans="1:1" hidden="1" x14ac:dyDescent="0.25">
      <c r="A1018" s="141"/>
    </row>
    <row r="1019" spans="1:1" hidden="1" x14ac:dyDescent="0.25">
      <c r="A1019" s="141"/>
    </row>
    <row r="1020" spans="1:1" hidden="1" x14ac:dyDescent="0.25">
      <c r="A1020" s="141"/>
    </row>
    <row r="1021" spans="1:1" hidden="1" x14ac:dyDescent="0.25">
      <c r="A1021" s="141"/>
    </row>
    <row r="1022" spans="1:1" hidden="1" x14ac:dyDescent="0.25">
      <c r="A1022" s="141"/>
    </row>
    <row r="1023" spans="1:1" hidden="1" x14ac:dyDescent="0.25">
      <c r="A1023" s="141"/>
    </row>
    <row r="1024" spans="1:1" hidden="1" x14ac:dyDescent="0.25">
      <c r="A1024" s="141"/>
    </row>
    <row r="1025" spans="1:1" hidden="1" x14ac:dyDescent="0.25">
      <c r="A1025" s="141"/>
    </row>
    <row r="1026" spans="1:1" hidden="1" x14ac:dyDescent="0.25">
      <c r="A1026" s="141"/>
    </row>
    <row r="1027" spans="1:1" hidden="1" x14ac:dyDescent="0.25">
      <c r="A1027" s="141"/>
    </row>
    <row r="1028" spans="1:1" hidden="1" x14ac:dyDescent="0.25">
      <c r="A1028" s="141"/>
    </row>
    <row r="1029" spans="1:1" hidden="1" x14ac:dyDescent="0.25">
      <c r="A1029" s="141"/>
    </row>
    <row r="1030" spans="1:1" hidden="1" x14ac:dyDescent="0.25">
      <c r="A1030" s="141"/>
    </row>
    <row r="1031" spans="1:1" hidden="1" x14ac:dyDescent="0.25">
      <c r="A1031" s="141"/>
    </row>
    <row r="1032" spans="1:1" hidden="1" x14ac:dyDescent="0.25">
      <c r="A1032" s="141"/>
    </row>
    <row r="1033" spans="1:1" hidden="1" x14ac:dyDescent="0.25">
      <c r="A1033" s="141"/>
    </row>
    <row r="1034" spans="1:1" hidden="1" x14ac:dyDescent="0.25">
      <c r="A1034" s="141"/>
    </row>
    <row r="1035" spans="1:1" hidden="1" x14ac:dyDescent="0.25">
      <c r="A1035" s="141"/>
    </row>
    <row r="1036" spans="1:1" hidden="1" x14ac:dyDescent="0.25">
      <c r="A1036" s="141"/>
    </row>
    <row r="1037" spans="1:1" hidden="1" x14ac:dyDescent="0.25">
      <c r="A1037" s="141"/>
    </row>
    <row r="1038" spans="1:1" hidden="1" x14ac:dyDescent="0.25">
      <c r="A1038" s="141"/>
    </row>
    <row r="1039" spans="1:1" hidden="1" x14ac:dyDescent="0.25">
      <c r="A1039" s="141"/>
    </row>
    <row r="1040" spans="1:1" hidden="1" x14ac:dyDescent="0.25">
      <c r="A1040" s="141"/>
    </row>
    <row r="1041" spans="1:1" hidden="1" x14ac:dyDescent="0.25">
      <c r="A1041" s="141"/>
    </row>
    <row r="1042" spans="1:1" hidden="1" x14ac:dyDescent="0.25">
      <c r="A1042" s="141"/>
    </row>
    <row r="1043" spans="1:1" hidden="1" x14ac:dyDescent="0.25">
      <c r="A1043" s="141"/>
    </row>
    <row r="1044" spans="1:1" hidden="1" x14ac:dyDescent="0.25">
      <c r="A1044" s="141"/>
    </row>
    <row r="1045" spans="1:1" hidden="1" x14ac:dyDescent="0.25">
      <c r="A1045" s="141"/>
    </row>
    <row r="1046" spans="1:1" x14ac:dyDescent="0.25">
      <c r="A1046" s="141">
        <v>4000</v>
      </c>
    </row>
    <row r="1047" spans="1:1" x14ac:dyDescent="0.25">
      <c r="A1047" s="141">
        <v>4000</v>
      </c>
    </row>
    <row r="1048" spans="1:1" x14ac:dyDescent="0.25">
      <c r="A1048" s="141" t="s">
        <v>3119</v>
      </c>
    </row>
    <row r="1049" spans="1:1" x14ac:dyDescent="0.25">
      <c r="A1049" s="141" t="s">
        <v>3119</v>
      </c>
    </row>
    <row r="1050" spans="1:1" hidden="1" x14ac:dyDescent="0.25">
      <c r="A1050" s="141"/>
    </row>
    <row r="1051" spans="1:1" hidden="1" x14ac:dyDescent="0.25">
      <c r="A1051" s="141"/>
    </row>
    <row r="1052" spans="1:1" hidden="1" x14ac:dyDescent="0.25">
      <c r="A1052" s="141"/>
    </row>
    <row r="1053" spans="1:1" hidden="1" x14ac:dyDescent="0.25">
      <c r="A1053" s="141"/>
    </row>
    <row r="1054" spans="1:1" hidden="1" x14ac:dyDescent="0.25">
      <c r="A1054" s="141"/>
    </row>
    <row r="1055" spans="1:1" hidden="1" x14ac:dyDescent="0.25">
      <c r="A1055" s="141"/>
    </row>
    <row r="1056" spans="1:1" hidden="1" x14ac:dyDescent="0.25">
      <c r="A1056" s="141"/>
    </row>
    <row r="1057" spans="1:1" hidden="1" x14ac:dyDescent="0.25">
      <c r="A1057" s="141"/>
    </row>
    <row r="1058" spans="1:1" hidden="1" x14ac:dyDescent="0.25">
      <c r="A1058" s="141"/>
    </row>
    <row r="1059" spans="1:1" hidden="1" x14ac:dyDescent="0.25">
      <c r="A1059" s="141"/>
    </row>
    <row r="1060" spans="1:1" hidden="1" x14ac:dyDescent="0.25">
      <c r="A1060" s="141"/>
    </row>
    <row r="1061" spans="1:1" hidden="1" x14ac:dyDescent="0.25">
      <c r="A1061" s="141"/>
    </row>
    <row r="1062" spans="1:1" hidden="1" x14ac:dyDescent="0.25">
      <c r="A1062" s="141"/>
    </row>
    <row r="1063" spans="1:1" hidden="1" x14ac:dyDescent="0.25">
      <c r="A1063" s="141"/>
    </row>
    <row r="1064" spans="1:1" hidden="1" x14ac:dyDescent="0.25">
      <c r="A1064" s="141"/>
    </row>
    <row r="1065" spans="1:1" hidden="1" x14ac:dyDescent="0.25">
      <c r="A1065" s="141"/>
    </row>
    <row r="1066" spans="1:1" hidden="1" x14ac:dyDescent="0.25">
      <c r="A1066" s="141"/>
    </row>
    <row r="1067" spans="1:1" hidden="1" x14ac:dyDescent="0.25">
      <c r="A1067" s="141"/>
    </row>
    <row r="1068" spans="1:1" hidden="1" x14ac:dyDescent="0.25">
      <c r="A1068" s="141"/>
    </row>
    <row r="1069" spans="1:1" hidden="1" x14ac:dyDescent="0.25">
      <c r="A1069" s="141"/>
    </row>
    <row r="1070" spans="1:1" hidden="1" x14ac:dyDescent="0.25">
      <c r="A1070" s="141"/>
    </row>
    <row r="1071" spans="1:1" hidden="1" x14ac:dyDescent="0.25">
      <c r="A1071" s="141"/>
    </row>
    <row r="1072" spans="1:1" hidden="1" x14ac:dyDescent="0.25">
      <c r="A1072" s="141"/>
    </row>
    <row r="1073" spans="1:1" hidden="1" x14ac:dyDescent="0.25">
      <c r="A1073" s="141"/>
    </row>
    <row r="1074" spans="1:1" hidden="1" x14ac:dyDescent="0.25">
      <c r="A1074" s="141"/>
    </row>
    <row r="1075" spans="1:1" hidden="1" x14ac:dyDescent="0.25">
      <c r="A1075" s="141"/>
    </row>
    <row r="1076" spans="1:1" hidden="1" x14ac:dyDescent="0.25">
      <c r="A1076" s="141"/>
    </row>
    <row r="1077" spans="1:1" hidden="1" x14ac:dyDescent="0.25">
      <c r="A1077" s="141"/>
    </row>
    <row r="1078" spans="1:1" hidden="1" x14ac:dyDescent="0.25">
      <c r="A1078" s="141"/>
    </row>
    <row r="1079" spans="1:1" hidden="1" x14ac:dyDescent="0.25">
      <c r="A1079" s="141"/>
    </row>
    <row r="1080" spans="1:1" hidden="1" x14ac:dyDescent="0.25">
      <c r="A1080" s="141"/>
    </row>
    <row r="1081" spans="1:1" hidden="1" x14ac:dyDescent="0.25">
      <c r="A1081" s="141"/>
    </row>
    <row r="1082" spans="1:1" hidden="1" x14ac:dyDescent="0.25">
      <c r="A1082" s="141"/>
    </row>
    <row r="1083" spans="1:1" hidden="1" x14ac:dyDescent="0.25">
      <c r="A1083" s="141"/>
    </row>
    <row r="1084" spans="1:1" hidden="1" x14ac:dyDescent="0.25">
      <c r="A1084" s="141"/>
    </row>
    <row r="1085" spans="1:1" hidden="1" x14ac:dyDescent="0.25">
      <c r="A1085" s="141"/>
    </row>
    <row r="1086" spans="1:1" hidden="1" x14ac:dyDescent="0.25">
      <c r="A1086" s="141"/>
    </row>
    <row r="1087" spans="1:1" hidden="1" x14ac:dyDescent="0.25">
      <c r="A1087" s="141"/>
    </row>
    <row r="1088" spans="1:1" x14ac:dyDescent="0.25">
      <c r="A1088" s="141" t="s">
        <v>1936</v>
      </c>
    </row>
    <row r="1089" spans="1:1" hidden="1" x14ac:dyDescent="0.25">
      <c r="A1089" s="141"/>
    </row>
    <row r="1090" spans="1:1" hidden="1" x14ac:dyDescent="0.25">
      <c r="A1090" s="141"/>
    </row>
    <row r="1091" spans="1:1" hidden="1" x14ac:dyDescent="0.25">
      <c r="A1091" s="141"/>
    </row>
    <row r="1092" spans="1:1" hidden="1" x14ac:dyDescent="0.25">
      <c r="A1092" s="141"/>
    </row>
    <row r="1093" spans="1:1" hidden="1" x14ac:dyDescent="0.25">
      <c r="A1093" s="141"/>
    </row>
    <row r="1094" spans="1:1" hidden="1" x14ac:dyDescent="0.25">
      <c r="A1094" s="141"/>
    </row>
    <row r="1095" spans="1:1" hidden="1" x14ac:dyDescent="0.25">
      <c r="A1095" s="141"/>
    </row>
    <row r="1096" spans="1:1" hidden="1" x14ac:dyDescent="0.25">
      <c r="A1096" s="141"/>
    </row>
    <row r="1097" spans="1:1" hidden="1" x14ac:dyDescent="0.25">
      <c r="A1097" s="141"/>
    </row>
    <row r="1098" spans="1:1" hidden="1" x14ac:dyDescent="0.25">
      <c r="A1098" s="141"/>
    </row>
    <row r="1099" spans="1:1" hidden="1" x14ac:dyDescent="0.25">
      <c r="A1099" s="141"/>
    </row>
    <row r="1100" spans="1:1" hidden="1" x14ac:dyDescent="0.25">
      <c r="A1100" s="141"/>
    </row>
    <row r="1101" spans="1:1" x14ac:dyDescent="0.25">
      <c r="A1101" s="141" t="s">
        <v>1936</v>
      </c>
    </row>
    <row r="1102" spans="1:1" x14ac:dyDescent="0.25">
      <c r="A1102" s="141" t="s">
        <v>1936</v>
      </c>
    </row>
    <row r="1103" spans="1:1" x14ac:dyDescent="0.25">
      <c r="A1103" s="141" t="s">
        <v>1936</v>
      </c>
    </row>
    <row r="1104" spans="1:1" x14ac:dyDescent="0.25">
      <c r="A1104" s="141" t="s">
        <v>1936</v>
      </c>
    </row>
    <row r="1105" spans="1:1" x14ac:dyDescent="0.25">
      <c r="A1105" s="141" t="s">
        <v>1936</v>
      </c>
    </row>
    <row r="1106" spans="1:1" x14ac:dyDescent="0.25">
      <c r="A1106" s="141" t="s">
        <v>1936</v>
      </c>
    </row>
    <row r="1107" spans="1:1" x14ac:dyDescent="0.25">
      <c r="A1107" s="141" t="s">
        <v>1936</v>
      </c>
    </row>
    <row r="1108" spans="1:1" x14ac:dyDescent="0.25">
      <c r="A1108" s="141" t="s">
        <v>1936</v>
      </c>
    </row>
    <row r="1109" spans="1:1" hidden="1" x14ac:dyDescent="0.25">
      <c r="A1109" s="141"/>
    </row>
    <row r="1110" spans="1:1" hidden="1" x14ac:dyDescent="0.25">
      <c r="A1110" s="141"/>
    </row>
    <row r="1111" spans="1:1" hidden="1" x14ac:dyDescent="0.25">
      <c r="A1111" s="141"/>
    </row>
    <row r="1112" spans="1:1" hidden="1" x14ac:dyDescent="0.25">
      <c r="A1112" s="141"/>
    </row>
    <row r="1113" spans="1:1" hidden="1" x14ac:dyDescent="0.25">
      <c r="A1113" s="141"/>
    </row>
    <row r="1114" spans="1:1" hidden="1" x14ac:dyDescent="0.25">
      <c r="A1114" s="141"/>
    </row>
    <row r="1115" spans="1:1" hidden="1" x14ac:dyDescent="0.25">
      <c r="A1115" s="141"/>
    </row>
    <row r="1116" spans="1:1" hidden="1" x14ac:dyDescent="0.25">
      <c r="A1116" s="141"/>
    </row>
    <row r="1117" spans="1:1" x14ac:dyDescent="0.25">
      <c r="A1117" s="141" t="s">
        <v>1936</v>
      </c>
    </row>
    <row r="1118" spans="1:1" hidden="1" x14ac:dyDescent="0.25">
      <c r="A1118" s="141"/>
    </row>
    <row r="1119" spans="1:1" hidden="1" x14ac:dyDescent="0.25">
      <c r="A1119" s="141"/>
    </row>
    <row r="1120" spans="1:1" hidden="1" x14ac:dyDescent="0.25">
      <c r="A1120" s="141"/>
    </row>
    <row r="1121" spans="1:1" hidden="1" x14ac:dyDescent="0.25">
      <c r="A1121" s="141"/>
    </row>
    <row r="1122" spans="1:1" hidden="1" x14ac:dyDescent="0.25">
      <c r="A1122" s="141"/>
    </row>
    <row r="1123" spans="1:1" hidden="1" x14ac:dyDescent="0.25">
      <c r="A1123" s="141"/>
    </row>
    <row r="1124" spans="1:1" hidden="1" x14ac:dyDescent="0.25">
      <c r="A1124" s="141"/>
    </row>
    <row r="1125" spans="1:1" hidden="1" x14ac:dyDescent="0.25">
      <c r="A1125" s="141"/>
    </row>
    <row r="1126" spans="1:1" hidden="1" x14ac:dyDescent="0.25">
      <c r="A1126" s="141"/>
    </row>
    <row r="1127" spans="1:1" hidden="1" x14ac:dyDescent="0.25">
      <c r="A1127" s="141"/>
    </row>
    <row r="1128" spans="1:1" hidden="1" x14ac:dyDescent="0.25">
      <c r="A1128" s="141"/>
    </row>
    <row r="1129" spans="1:1" hidden="1" x14ac:dyDescent="0.25">
      <c r="A1129" s="141"/>
    </row>
    <row r="1130" spans="1:1" hidden="1" x14ac:dyDescent="0.25">
      <c r="A1130" s="141"/>
    </row>
    <row r="1131" spans="1:1" hidden="1" x14ac:dyDescent="0.25">
      <c r="A1131" s="141"/>
    </row>
    <row r="1132" spans="1:1" hidden="1" x14ac:dyDescent="0.25">
      <c r="A1132" s="141"/>
    </row>
    <row r="1133" spans="1:1" hidden="1" x14ac:dyDescent="0.25">
      <c r="A1133" s="141"/>
    </row>
    <row r="1134" spans="1:1" hidden="1" x14ac:dyDescent="0.25">
      <c r="A1134" s="141"/>
    </row>
    <row r="1135" spans="1:1" hidden="1" x14ac:dyDescent="0.25">
      <c r="A1135" s="141"/>
    </row>
    <row r="1136" spans="1:1" hidden="1" x14ac:dyDescent="0.25">
      <c r="A1136" s="141"/>
    </row>
    <row r="1137" spans="1:1" hidden="1" x14ac:dyDescent="0.25">
      <c r="A1137" s="141"/>
    </row>
    <row r="1138" spans="1:1" hidden="1" x14ac:dyDescent="0.25">
      <c r="A1138" s="141"/>
    </row>
    <row r="1139" spans="1:1" hidden="1" x14ac:dyDescent="0.25">
      <c r="A1139" s="141"/>
    </row>
    <row r="1140" spans="1:1" hidden="1" x14ac:dyDescent="0.25">
      <c r="A1140" s="141"/>
    </row>
    <row r="1141" spans="1:1" hidden="1" x14ac:dyDescent="0.25">
      <c r="A1141" s="141"/>
    </row>
    <row r="1142" spans="1:1" hidden="1" x14ac:dyDescent="0.25">
      <c r="A1142" s="141"/>
    </row>
    <row r="1143" spans="1:1" hidden="1" x14ac:dyDescent="0.25">
      <c r="A1143" s="141"/>
    </row>
    <row r="1144" spans="1:1" hidden="1" x14ac:dyDescent="0.25">
      <c r="A1144" s="141"/>
    </row>
    <row r="1145" spans="1:1" hidden="1" x14ac:dyDescent="0.25">
      <c r="A1145" s="141"/>
    </row>
    <row r="1146" spans="1:1" hidden="1" x14ac:dyDescent="0.25">
      <c r="A1146" s="141"/>
    </row>
    <row r="1147" spans="1:1" hidden="1" x14ac:dyDescent="0.25">
      <c r="A1147" s="141"/>
    </row>
    <row r="1148" spans="1:1" hidden="1" x14ac:dyDescent="0.25">
      <c r="A1148" s="141"/>
    </row>
    <row r="1149" spans="1:1" hidden="1" x14ac:dyDescent="0.25">
      <c r="A1149" s="141"/>
    </row>
    <row r="1150" spans="1:1" hidden="1" x14ac:dyDescent="0.25">
      <c r="A1150" s="141"/>
    </row>
    <row r="1151" spans="1:1" hidden="1" x14ac:dyDescent="0.25">
      <c r="A1151" s="141"/>
    </row>
    <row r="1152" spans="1:1" hidden="1" x14ac:dyDescent="0.25">
      <c r="A1152" s="141"/>
    </row>
    <row r="1153" spans="1:1" hidden="1" x14ac:dyDescent="0.25">
      <c r="A1153" s="141"/>
    </row>
    <row r="1154" spans="1:1" hidden="1" x14ac:dyDescent="0.25">
      <c r="A1154" s="141"/>
    </row>
    <row r="1155" spans="1:1" hidden="1" x14ac:dyDescent="0.25">
      <c r="A1155" s="141"/>
    </row>
    <row r="1156" spans="1:1" hidden="1" x14ac:dyDescent="0.25">
      <c r="A1156" s="141"/>
    </row>
    <row r="1157" spans="1:1" hidden="1" x14ac:dyDescent="0.25">
      <c r="A1157" s="141"/>
    </row>
    <row r="1158" spans="1:1" hidden="1" x14ac:dyDescent="0.25">
      <c r="A1158" s="141"/>
    </row>
    <row r="1159" spans="1:1" x14ac:dyDescent="0.25">
      <c r="A1159" s="203" t="s">
        <v>3564</v>
      </c>
    </row>
    <row r="1160" spans="1:1" hidden="1" x14ac:dyDescent="0.25">
      <c r="A1160" s="120"/>
    </row>
    <row r="1161" spans="1:1" x14ac:dyDescent="0.25">
      <c r="A1161" s="120" t="s">
        <v>3571</v>
      </c>
    </row>
    <row r="1162" spans="1:1" hidden="1" x14ac:dyDescent="0.25">
      <c r="A1162" s="120"/>
    </row>
    <row r="1163" spans="1:1" hidden="1" x14ac:dyDescent="0.25">
      <c r="A1163" s="120"/>
    </row>
    <row r="1164" spans="1:1" hidden="1" x14ac:dyDescent="0.25">
      <c r="A1164" s="120"/>
    </row>
    <row r="1165" spans="1:1" hidden="1" x14ac:dyDescent="0.25">
      <c r="A1165" s="120"/>
    </row>
    <row r="1166" spans="1:1" hidden="1" x14ac:dyDescent="0.25">
      <c r="A1166" s="120"/>
    </row>
    <row r="1167" spans="1:1" x14ac:dyDescent="0.25">
      <c r="A1167" s="120">
        <v>2030</v>
      </c>
    </row>
    <row r="1168" spans="1:1" x14ac:dyDescent="0.25">
      <c r="A1168" s="120">
        <v>2030</v>
      </c>
    </row>
    <row r="1169" spans="1:1" x14ac:dyDescent="0.25">
      <c r="A1169" s="120">
        <v>2030</v>
      </c>
    </row>
    <row r="1170" spans="1:1" x14ac:dyDescent="0.25">
      <c r="A1170" s="120">
        <v>2030</v>
      </c>
    </row>
    <row r="1171" spans="1:1" x14ac:dyDescent="0.25">
      <c r="A1171" s="120">
        <v>2030</v>
      </c>
    </row>
    <row r="1172" spans="1:1" hidden="1" x14ac:dyDescent="0.25">
      <c r="A1172" s="120"/>
    </row>
    <row r="1173" spans="1:1" hidden="1" x14ac:dyDescent="0.25">
      <c r="A1173" s="141"/>
    </row>
    <row r="1174" spans="1:1" hidden="1" x14ac:dyDescent="0.25">
      <c r="A1174" s="141"/>
    </row>
    <row r="1175" spans="1:1" hidden="1" x14ac:dyDescent="0.25">
      <c r="A1175" s="141"/>
    </row>
    <row r="1176" spans="1:1" hidden="1" x14ac:dyDescent="0.25">
      <c r="A1176" s="141"/>
    </row>
    <row r="1177" spans="1:1" hidden="1" x14ac:dyDescent="0.25">
      <c r="A1177" s="141"/>
    </row>
    <row r="1178" spans="1:1" hidden="1" x14ac:dyDescent="0.25">
      <c r="A1178" s="141"/>
    </row>
    <row r="1179" spans="1:1" hidden="1" x14ac:dyDescent="0.25">
      <c r="A1179" s="141"/>
    </row>
    <row r="1180" spans="1:1" hidden="1" x14ac:dyDescent="0.25">
      <c r="A1180" s="141"/>
    </row>
    <row r="1181" spans="1:1" hidden="1" x14ac:dyDescent="0.25">
      <c r="A1181" s="141"/>
    </row>
    <row r="1182" spans="1:1" hidden="1" x14ac:dyDescent="0.25">
      <c r="A1182" s="141"/>
    </row>
    <row r="1183" spans="1:1" hidden="1" x14ac:dyDescent="0.25">
      <c r="A1183" s="120"/>
    </row>
    <row r="1184" spans="1:1" hidden="1" x14ac:dyDescent="0.25">
      <c r="A1184" s="141"/>
    </row>
    <row r="1185" spans="1:1" hidden="1" x14ac:dyDescent="0.25">
      <c r="A1185" s="141"/>
    </row>
    <row r="1186" spans="1:1" hidden="1" x14ac:dyDescent="0.25">
      <c r="A1186" s="141"/>
    </row>
    <row r="1187" spans="1:1" hidden="1" x14ac:dyDescent="0.25">
      <c r="A1187" s="141"/>
    </row>
    <row r="1188" spans="1:1" hidden="1" x14ac:dyDescent="0.25">
      <c r="A1188" s="141"/>
    </row>
    <row r="1189" spans="1:1" hidden="1" x14ac:dyDescent="0.25">
      <c r="A1189" s="141"/>
    </row>
    <row r="1190" spans="1:1" hidden="1" x14ac:dyDescent="0.25">
      <c r="A1190" s="141"/>
    </row>
    <row r="1191" spans="1:1" hidden="1" x14ac:dyDescent="0.25">
      <c r="A1191" s="141"/>
    </row>
    <row r="1192" spans="1:1" hidden="1" x14ac:dyDescent="0.25">
      <c r="A1192" s="141"/>
    </row>
    <row r="1193" spans="1:1" hidden="1" x14ac:dyDescent="0.25">
      <c r="A1193" s="141"/>
    </row>
    <row r="1194" spans="1:1" hidden="1" x14ac:dyDescent="0.25">
      <c r="A1194" s="141"/>
    </row>
    <row r="1195" spans="1:1" hidden="1" x14ac:dyDescent="0.25">
      <c r="A1195" s="141"/>
    </row>
    <row r="1196" spans="1:1" hidden="1" x14ac:dyDescent="0.25">
      <c r="A1196" s="141"/>
    </row>
    <row r="1197" spans="1:1" hidden="1" x14ac:dyDescent="0.25">
      <c r="A1197" s="141"/>
    </row>
    <row r="1198" spans="1:1" hidden="1" x14ac:dyDescent="0.25">
      <c r="A1198" s="141"/>
    </row>
    <row r="1199" spans="1:1" hidden="1" x14ac:dyDescent="0.25">
      <c r="A1199" s="141"/>
    </row>
    <row r="1200" spans="1:1" hidden="1" x14ac:dyDescent="0.25">
      <c r="A1200" s="141"/>
    </row>
    <row r="1201" spans="1:1" hidden="1" x14ac:dyDescent="0.25">
      <c r="A1201" s="141"/>
    </row>
    <row r="1202" spans="1:1" hidden="1" x14ac:dyDescent="0.25">
      <c r="A1202" s="141"/>
    </row>
    <row r="1203" spans="1:1" hidden="1" x14ac:dyDescent="0.25">
      <c r="A1203" s="141"/>
    </row>
    <row r="1204" spans="1:1" hidden="1" x14ac:dyDescent="0.25">
      <c r="A1204" s="141"/>
    </row>
    <row r="1205" spans="1:1" hidden="1" x14ac:dyDescent="0.25">
      <c r="A1205" s="141"/>
    </row>
    <row r="1206" spans="1:1" hidden="1" x14ac:dyDescent="0.25">
      <c r="A1206" s="141"/>
    </row>
    <row r="1207" spans="1:1" hidden="1" x14ac:dyDescent="0.25">
      <c r="A1207" s="141"/>
    </row>
    <row r="1208" spans="1:1" hidden="1" x14ac:dyDescent="0.25">
      <c r="A1208" s="141"/>
    </row>
    <row r="1209" spans="1:1" hidden="1" x14ac:dyDescent="0.25">
      <c r="A1209" s="141"/>
    </row>
    <row r="1210" spans="1:1" hidden="1" x14ac:dyDescent="0.25">
      <c r="A1210" s="141"/>
    </row>
    <row r="1211" spans="1:1" hidden="1" x14ac:dyDescent="0.25">
      <c r="A1211" s="141"/>
    </row>
    <row r="1212" spans="1:1" hidden="1" x14ac:dyDescent="0.25">
      <c r="A1212" s="141"/>
    </row>
    <row r="1213" spans="1:1" hidden="1" x14ac:dyDescent="0.25">
      <c r="A1213" s="141"/>
    </row>
    <row r="1214" spans="1:1" hidden="1" x14ac:dyDescent="0.25">
      <c r="A1214" s="141"/>
    </row>
    <row r="1215" spans="1:1" hidden="1" x14ac:dyDescent="0.25">
      <c r="A1215" s="141"/>
    </row>
    <row r="1216" spans="1:1" hidden="1" x14ac:dyDescent="0.25">
      <c r="A1216" s="141"/>
    </row>
    <row r="1217" spans="1:1" hidden="1" x14ac:dyDescent="0.25">
      <c r="A1217" s="141"/>
    </row>
    <row r="1218" spans="1:1" hidden="1" x14ac:dyDescent="0.25">
      <c r="A1218" s="141"/>
    </row>
    <row r="1219" spans="1:1" hidden="1" x14ac:dyDescent="0.25">
      <c r="A1219" s="141"/>
    </row>
    <row r="1220" spans="1:1" hidden="1" x14ac:dyDescent="0.25">
      <c r="A1220" s="141"/>
    </row>
    <row r="1221" spans="1:1" hidden="1" x14ac:dyDescent="0.25">
      <c r="A1221" s="141"/>
    </row>
    <row r="1222" spans="1:1" hidden="1" x14ac:dyDescent="0.25">
      <c r="A1222" s="141"/>
    </row>
    <row r="1223" spans="1:1" hidden="1" x14ac:dyDescent="0.25">
      <c r="A1223" s="141"/>
    </row>
    <row r="1224" spans="1:1" hidden="1" x14ac:dyDescent="0.25">
      <c r="A1224" s="141"/>
    </row>
    <row r="1225" spans="1:1" hidden="1" x14ac:dyDescent="0.25">
      <c r="A1225" s="141"/>
    </row>
    <row r="1226" spans="1:1" hidden="1" x14ac:dyDescent="0.25">
      <c r="A1226" s="141"/>
    </row>
    <row r="1227" spans="1:1" hidden="1" x14ac:dyDescent="0.25">
      <c r="A1227" s="141"/>
    </row>
    <row r="1228" spans="1:1" hidden="1" x14ac:dyDescent="0.25">
      <c r="A1228" s="141"/>
    </row>
    <row r="1229" spans="1:1" hidden="1" x14ac:dyDescent="0.25">
      <c r="A1229" s="141"/>
    </row>
    <row r="1230" spans="1:1" hidden="1" x14ac:dyDescent="0.25">
      <c r="A1230" s="141"/>
    </row>
    <row r="1231" spans="1:1" hidden="1" x14ac:dyDescent="0.25">
      <c r="A1231" s="141"/>
    </row>
    <row r="1232" spans="1:1" hidden="1" x14ac:dyDescent="0.25">
      <c r="A1232" s="141"/>
    </row>
    <row r="1233" spans="1:1" hidden="1" x14ac:dyDescent="0.25">
      <c r="A1233" s="141"/>
    </row>
    <row r="1234" spans="1:1" hidden="1" x14ac:dyDescent="0.25">
      <c r="A1234" s="141"/>
    </row>
    <row r="1235" spans="1:1" hidden="1" x14ac:dyDescent="0.25">
      <c r="A1235" s="141"/>
    </row>
    <row r="1236" spans="1:1" hidden="1" x14ac:dyDescent="0.25">
      <c r="A1236" s="141"/>
    </row>
    <row r="1237" spans="1:1" hidden="1" x14ac:dyDescent="0.25">
      <c r="A1237" s="141"/>
    </row>
    <row r="1238" spans="1:1" hidden="1" x14ac:dyDescent="0.25">
      <c r="A1238" s="141"/>
    </row>
    <row r="1239" spans="1:1" hidden="1" x14ac:dyDescent="0.25">
      <c r="A1239" s="141"/>
    </row>
    <row r="1240" spans="1:1" hidden="1" x14ac:dyDescent="0.25">
      <c r="A1240" s="141"/>
    </row>
    <row r="1241" spans="1:1" hidden="1" x14ac:dyDescent="0.25">
      <c r="A1241" s="141"/>
    </row>
    <row r="1242" spans="1:1" hidden="1" x14ac:dyDescent="0.25">
      <c r="A1242" s="141"/>
    </row>
    <row r="1243" spans="1:1" hidden="1" x14ac:dyDescent="0.25">
      <c r="A1243" s="141"/>
    </row>
    <row r="1244" spans="1:1" hidden="1" x14ac:dyDescent="0.25">
      <c r="A1244" s="141"/>
    </row>
    <row r="1245" spans="1:1" hidden="1" x14ac:dyDescent="0.25">
      <c r="A1245" s="141"/>
    </row>
    <row r="1246" spans="1:1" hidden="1" x14ac:dyDescent="0.25">
      <c r="A1246" s="141"/>
    </row>
    <row r="1247" spans="1:1" hidden="1" x14ac:dyDescent="0.25">
      <c r="A1247" s="141"/>
    </row>
    <row r="1248" spans="1:1" hidden="1" x14ac:dyDescent="0.25">
      <c r="A1248" s="141"/>
    </row>
    <row r="1249" spans="1:1" hidden="1" x14ac:dyDescent="0.25">
      <c r="A1249" s="141"/>
    </row>
    <row r="1250" spans="1:1" hidden="1" x14ac:dyDescent="0.25">
      <c r="A1250" s="141"/>
    </row>
    <row r="1251" spans="1:1" hidden="1" x14ac:dyDescent="0.25">
      <c r="A1251" s="141"/>
    </row>
    <row r="1252" spans="1:1" hidden="1" x14ac:dyDescent="0.25">
      <c r="A1252" s="141"/>
    </row>
    <row r="1253" spans="1:1" hidden="1" x14ac:dyDescent="0.25">
      <c r="A1253" s="141"/>
    </row>
    <row r="1254" spans="1:1" hidden="1" x14ac:dyDescent="0.25">
      <c r="A1254" s="182"/>
    </row>
    <row r="1255" spans="1:1" hidden="1" x14ac:dyDescent="0.25">
      <c r="A1255" s="182"/>
    </row>
    <row r="1256" spans="1:1" hidden="1" x14ac:dyDescent="0.25">
      <c r="A1256" s="182"/>
    </row>
    <row r="1257" spans="1:1" hidden="1" x14ac:dyDescent="0.25">
      <c r="A1257" s="141"/>
    </row>
    <row r="1258" spans="1:1" hidden="1" x14ac:dyDescent="0.25">
      <c r="A1258" s="141"/>
    </row>
    <row r="1259" spans="1:1" hidden="1" x14ac:dyDescent="0.25">
      <c r="A1259" s="141"/>
    </row>
    <row r="1260" spans="1:1" hidden="1" x14ac:dyDescent="0.25">
      <c r="A1260" s="141"/>
    </row>
    <row r="1261" spans="1:1" hidden="1" x14ac:dyDescent="0.25">
      <c r="A1261" s="141"/>
    </row>
    <row r="1262" spans="1:1" hidden="1" x14ac:dyDescent="0.25">
      <c r="A1262" s="141"/>
    </row>
    <row r="1263" spans="1:1" hidden="1" x14ac:dyDescent="0.25">
      <c r="A1263" s="120"/>
    </row>
    <row r="1264" spans="1:1" hidden="1" x14ac:dyDescent="0.25">
      <c r="A1264" s="120"/>
    </row>
    <row r="1265" spans="1:1" hidden="1" x14ac:dyDescent="0.25">
      <c r="A1265" s="120"/>
    </row>
    <row r="1266" spans="1:1" hidden="1" x14ac:dyDescent="0.25">
      <c r="A1266" s="120"/>
    </row>
    <row r="1267" spans="1:1" hidden="1" x14ac:dyDescent="0.25">
      <c r="A1267" s="141"/>
    </row>
    <row r="1268" spans="1:1" hidden="1" x14ac:dyDescent="0.25">
      <c r="A1268" s="141"/>
    </row>
    <row r="1269" spans="1:1" hidden="1" x14ac:dyDescent="0.25">
      <c r="A1269" s="141"/>
    </row>
    <row r="1270" spans="1:1" hidden="1" x14ac:dyDescent="0.25">
      <c r="A1270" s="141"/>
    </row>
    <row r="1271" spans="1:1" hidden="1" x14ac:dyDescent="0.25">
      <c r="A1271" s="141"/>
    </row>
    <row r="1272" spans="1:1" hidden="1" x14ac:dyDescent="0.25">
      <c r="A1272" s="141"/>
    </row>
    <row r="1273" spans="1:1" hidden="1" x14ac:dyDescent="0.25">
      <c r="A1273" s="141"/>
    </row>
    <row r="1274" spans="1:1" hidden="1" x14ac:dyDescent="0.25">
      <c r="A1274" s="141"/>
    </row>
    <row r="1275" spans="1:1" hidden="1" x14ac:dyDescent="0.25">
      <c r="A1275" s="141"/>
    </row>
    <row r="1276" spans="1:1" hidden="1" x14ac:dyDescent="0.25">
      <c r="A1276" s="141"/>
    </row>
    <row r="1277" spans="1:1" hidden="1" x14ac:dyDescent="0.25">
      <c r="A1277" s="120"/>
    </row>
    <row r="1278" spans="1:1" hidden="1" x14ac:dyDescent="0.25">
      <c r="A1278" s="120"/>
    </row>
    <row r="1279" spans="1:1" hidden="1" x14ac:dyDescent="0.25">
      <c r="A1279" s="141"/>
    </row>
    <row r="1280" spans="1:1" hidden="1" x14ac:dyDescent="0.25">
      <c r="A1280" s="141"/>
    </row>
    <row r="1281" spans="1:1" hidden="1" x14ac:dyDescent="0.25">
      <c r="A1281" s="141"/>
    </row>
    <row r="1282" spans="1:1" hidden="1" x14ac:dyDescent="0.25">
      <c r="A1282" s="120"/>
    </row>
    <row r="1283" spans="1:1" hidden="1" x14ac:dyDescent="0.25">
      <c r="A1283" s="120"/>
    </row>
    <row r="1284" spans="1:1" hidden="1" x14ac:dyDescent="0.25">
      <c r="A1284" s="120"/>
    </row>
    <row r="1285" spans="1:1" hidden="1" x14ac:dyDescent="0.25">
      <c r="A1285" s="141"/>
    </row>
    <row r="1286" spans="1:1" hidden="1" x14ac:dyDescent="0.25">
      <c r="A1286" s="141"/>
    </row>
    <row r="1287" spans="1:1" hidden="1" x14ac:dyDescent="0.25">
      <c r="A1287" s="141"/>
    </row>
    <row r="1288" spans="1:1" hidden="1" x14ac:dyDescent="0.25">
      <c r="A1288" s="141"/>
    </row>
    <row r="1289" spans="1:1" hidden="1" x14ac:dyDescent="0.25">
      <c r="A1289" s="141"/>
    </row>
    <row r="1290" spans="1:1" hidden="1" x14ac:dyDescent="0.25">
      <c r="A1290" s="141"/>
    </row>
    <row r="1291" spans="1:1" hidden="1" x14ac:dyDescent="0.25">
      <c r="A1291" s="141"/>
    </row>
    <row r="1292" spans="1:1" hidden="1" x14ac:dyDescent="0.25">
      <c r="A1292" s="141"/>
    </row>
    <row r="1293" spans="1:1" hidden="1" x14ac:dyDescent="0.25">
      <c r="A1293" s="120"/>
    </row>
    <row r="1294" spans="1:1" hidden="1" x14ac:dyDescent="0.25">
      <c r="A1294" s="141"/>
    </row>
    <row r="1295" spans="1:1" hidden="1" x14ac:dyDescent="0.25">
      <c r="A1295" s="120"/>
    </row>
    <row r="1296" spans="1:1" hidden="1" x14ac:dyDescent="0.25">
      <c r="A1296" s="120"/>
    </row>
    <row r="1297" spans="1:1" hidden="1" x14ac:dyDescent="0.25">
      <c r="A1297" s="120"/>
    </row>
    <row r="1298" spans="1:1" hidden="1" x14ac:dyDescent="0.25">
      <c r="A1298" s="141"/>
    </row>
    <row r="1299" spans="1:1" hidden="1" x14ac:dyDescent="0.25">
      <c r="A1299" s="141"/>
    </row>
    <row r="1300" spans="1:1" hidden="1" x14ac:dyDescent="0.25">
      <c r="A1300" s="141"/>
    </row>
    <row r="1301" spans="1:1" hidden="1" x14ac:dyDescent="0.25">
      <c r="A1301" s="141"/>
    </row>
    <row r="1302" spans="1:1" hidden="1" x14ac:dyDescent="0.25">
      <c r="A1302" s="141"/>
    </row>
    <row r="1303" spans="1:1" hidden="1" x14ac:dyDescent="0.25">
      <c r="A1303" s="141"/>
    </row>
    <row r="1304" spans="1:1" hidden="1" x14ac:dyDescent="0.25">
      <c r="A1304" s="120"/>
    </row>
    <row r="1305" spans="1:1" hidden="1" x14ac:dyDescent="0.25">
      <c r="A1305" s="120"/>
    </row>
    <row r="1306" spans="1:1" hidden="1" x14ac:dyDescent="0.25">
      <c r="A1306" s="120"/>
    </row>
    <row r="1307" spans="1:1" hidden="1" x14ac:dyDescent="0.25">
      <c r="A1307" s="141"/>
    </row>
    <row r="1308" spans="1:1" hidden="1" x14ac:dyDescent="0.25">
      <c r="A1308" s="141"/>
    </row>
    <row r="1309" spans="1:1" hidden="1" x14ac:dyDescent="0.25">
      <c r="A1309" s="141"/>
    </row>
    <row r="1310" spans="1:1" hidden="1" x14ac:dyDescent="0.25">
      <c r="A1310" s="141"/>
    </row>
    <row r="1311" spans="1:1" hidden="1" x14ac:dyDescent="0.25">
      <c r="A1311" s="141"/>
    </row>
    <row r="1312" spans="1:1" hidden="1" x14ac:dyDescent="0.25">
      <c r="A1312" s="141"/>
    </row>
    <row r="1313" spans="1:1" hidden="1" x14ac:dyDescent="0.25">
      <c r="A1313" s="141"/>
    </row>
    <row r="1314" spans="1:1" hidden="1" x14ac:dyDescent="0.25">
      <c r="A1314" s="141"/>
    </row>
    <row r="1315" spans="1:1" hidden="1" x14ac:dyDescent="0.25">
      <c r="A1315" s="141"/>
    </row>
    <row r="1316" spans="1:1" hidden="1" x14ac:dyDescent="0.25">
      <c r="A1316" s="141"/>
    </row>
    <row r="1317" spans="1:1" hidden="1" x14ac:dyDescent="0.25">
      <c r="A1317" s="141"/>
    </row>
    <row r="1318" spans="1:1" hidden="1" x14ac:dyDescent="0.25">
      <c r="A1318" s="141"/>
    </row>
    <row r="1319" spans="1:1" hidden="1" x14ac:dyDescent="0.25">
      <c r="A1319" s="141"/>
    </row>
    <row r="1320" spans="1:1" hidden="1" x14ac:dyDescent="0.25">
      <c r="A1320" s="141"/>
    </row>
    <row r="1321" spans="1:1" hidden="1" x14ac:dyDescent="0.25">
      <c r="A1321" s="141"/>
    </row>
    <row r="1322" spans="1:1" hidden="1" x14ac:dyDescent="0.25">
      <c r="A1322" s="141"/>
    </row>
    <row r="1323" spans="1:1" hidden="1" x14ac:dyDescent="0.25">
      <c r="A1323" s="141"/>
    </row>
    <row r="1324" spans="1:1" hidden="1" x14ac:dyDescent="0.25">
      <c r="A1324" s="141"/>
    </row>
    <row r="1325" spans="1:1" hidden="1" x14ac:dyDescent="0.25">
      <c r="A1325" s="141"/>
    </row>
    <row r="1326" spans="1:1" hidden="1" x14ac:dyDescent="0.25">
      <c r="A1326" s="141"/>
    </row>
    <row r="1327" spans="1:1" hidden="1" x14ac:dyDescent="0.25">
      <c r="A1327" s="141"/>
    </row>
    <row r="1328" spans="1:1" hidden="1" x14ac:dyDescent="0.25">
      <c r="A1328" s="141"/>
    </row>
    <row r="1329" spans="1:1" hidden="1" x14ac:dyDescent="0.25">
      <c r="A1329" s="141"/>
    </row>
    <row r="1330" spans="1:1" hidden="1" x14ac:dyDescent="0.25">
      <c r="A1330" s="141"/>
    </row>
    <row r="1331" spans="1:1" hidden="1" x14ac:dyDescent="0.25">
      <c r="A1331" s="141"/>
    </row>
    <row r="1332" spans="1:1" hidden="1" x14ac:dyDescent="0.25">
      <c r="A1332" s="141"/>
    </row>
    <row r="1333" spans="1:1" hidden="1" x14ac:dyDescent="0.25">
      <c r="A1333" s="141"/>
    </row>
    <row r="1334" spans="1:1" hidden="1" x14ac:dyDescent="0.25">
      <c r="A1334" s="141"/>
    </row>
    <row r="1335" spans="1:1" hidden="1" x14ac:dyDescent="0.25">
      <c r="A1335" s="141"/>
    </row>
    <row r="1336" spans="1:1" hidden="1" x14ac:dyDescent="0.25">
      <c r="A1336" s="141"/>
    </row>
    <row r="1337" spans="1:1" hidden="1" x14ac:dyDescent="0.25">
      <c r="A1337" s="141"/>
    </row>
    <row r="1338" spans="1:1" hidden="1" x14ac:dyDescent="0.25">
      <c r="A1338" s="141"/>
    </row>
    <row r="1339" spans="1:1" hidden="1" x14ac:dyDescent="0.25">
      <c r="A1339" s="182"/>
    </row>
    <row r="1340" spans="1:1" hidden="1" x14ac:dyDescent="0.25">
      <c r="A1340" s="182"/>
    </row>
    <row r="1341" spans="1:1" hidden="1" x14ac:dyDescent="0.25">
      <c r="A1341" s="182"/>
    </row>
    <row r="1342" spans="1:1" hidden="1" x14ac:dyDescent="0.25">
      <c r="A1342" s="182"/>
    </row>
    <row r="1343" spans="1:1" hidden="1" x14ac:dyDescent="0.25">
      <c r="A1343" s="182"/>
    </row>
    <row r="1344" spans="1:1" hidden="1" x14ac:dyDescent="0.25">
      <c r="A1344" s="182"/>
    </row>
    <row r="1345" spans="1:1" hidden="1" x14ac:dyDescent="0.25">
      <c r="A1345" s="182"/>
    </row>
    <row r="1346" spans="1:1" hidden="1" x14ac:dyDescent="0.25">
      <c r="A1346" s="141"/>
    </row>
    <row r="1347" spans="1:1" hidden="1" x14ac:dyDescent="0.25">
      <c r="A1347" s="182"/>
    </row>
    <row r="1348" spans="1:1" hidden="1" x14ac:dyDescent="0.25">
      <c r="A1348" s="141"/>
    </row>
    <row r="1349" spans="1:1" hidden="1" x14ac:dyDescent="0.25">
      <c r="A1349" s="141"/>
    </row>
    <row r="1350" spans="1:1" hidden="1" x14ac:dyDescent="0.25">
      <c r="A1350" s="141"/>
    </row>
    <row r="1351" spans="1:1" hidden="1" x14ac:dyDescent="0.25">
      <c r="A1351" s="141"/>
    </row>
    <row r="1352" spans="1:1" hidden="1" x14ac:dyDescent="0.25">
      <c r="A1352" s="141"/>
    </row>
    <row r="1353" spans="1:1" hidden="1" x14ac:dyDescent="0.25">
      <c r="A1353" s="141"/>
    </row>
    <row r="1354" spans="1:1" hidden="1" x14ac:dyDescent="0.25">
      <c r="A1354" s="141"/>
    </row>
    <row r="1355" spans="1:1" hidden="1" x14ac:dyDescent="0.25">
      <c r="A1355" s="141"/>
    </row>
    <row r="1356" spans="1:1" hidden="1" x14ac:dyDescent="0.25">
      <c r="A1356" s="141"/>
    </row>
    <row r="1357" spans="1:1" hidden="1" x14ac:dyDescent="0.25">
      <c r="A1357" s="141"/>
    </row>
    <row r="1358" spans="1:1" hidden="1" x14ac:dyDescent="0.25">
      <c r="A1358" s="141"/>
    </row>
    <row r="1359" spans="1:1" hidden="1" x14ac:dyDescent="0.25">
      <c r="A1359" s="141"/>
    </row>
    <row r="1360" spans="1:1" hidden="1" x14ac:dyDescent="0.25">
      <c r="A1360" s="120"/>
    </row>
    <row r="1361" spans="1:1" hidden="1" x14ac:dyDescent="0.25">
      <c r="A1361" s="182"/>
    </row>
    <row r="1362" spans="1:1" hidden="1" x14ac:dyDescent="0.25">
      <c r="A1362" s="182"/>
    </row>
    <row r="1363" spans="1:1" hidden="1" x14ac:dyDescent="0.25">
      <c r="A1363" s="141"/>
    </row>
    <row r="1364" spans="1:1" hidden="1" x14ac:dyDescent="0.25">
      <c r="A1364" s="141"/>
    </row>
    <row r="1365" spans="1:1" hidden="1" x14ac:dyDescent="0.25">
      <c r="A1365" s="141"/>
    </row>
    <row r="1366" spans="1:1" hidden="1" x14ac:dyDescent="0.25">
      <c r="A1366" s="141"/>
    </row>
    <row r="1367" spans="1:1" hidden="1" x14ac:dyDescent="0.25">
      <c r="A1367" s="141"/>
    </row>
    <row r="1368" spans="1:1" hidden="1" x14ac:dyDescent="0.25">
      <c r="A1368" s="141"/>
    </row>
    <row r="1369" spans="1:1" hidden="1" x14ac:dyDescent="0.25">
      <c r="A1369" s="141"/>
    </row>
    <row r="1370" spans="1:1" hidden="1" x14ac:dyDescent="0.25">
      <c r="A1370" s="141"/>
    </row>
    <row r="1371" spans="1:1" hidden="1" x14ac:dyDescent="0.25">
      <c r="A1371" s="141"/>
    </row>
    <row r="1372" spans="1:1" hidden="1" x14ac:dyDescent="0.25">
      <c r="A1372" s="141"/>
    </row>
    <row r="1373" spans="1:1" hidden="1" x14ac:dyDescent="0.25">
      <c r="A1373" s="238"/>
    </row>
    <row r="1374" spans="1:1" hidden="1" x14ac:dyDescent="0.25">
      <c r="A1374" s="182"/>
    </row>
    <row r="1375" spans="1:1" hidden="1" x14ac:dyDescent="0.25">
      <c r="A1375" s="182"/>
    </row>
    <row r="1376" spans="1:1" hidden="1" x14ac:dyDescent="0.25">
      <c r="A1376" s="182"/>
    </row>
    <row r="1377" spans="1:1" hidden="1" x14ac:dyDescent="0.25">
      <c r="A1377" s="141"/>
    </row>
    <row r="1378" spans="1:1" hidden="1" x14ac:dyDescent="0.25">
      <c r="A1378" s="141"/>
    </row>
    <row r="1379" spans="1:1" hidden="1" x14ac:dyDescent="0.25">
      <c r="A1379" s="141"/>
    </row>
    <row r="1380" spans="1:1" hidden="1" x14ac:dyDescent="0.25">
      <c r="A1380" s="141"/>
    </row>
    <row r="1381" spans="1:1" hidden="1" x14ac:dyDescent="0.25">
      <c r="A1381" s="141"/>
    </row>
    <row r="1382" spans="1:1" hidden="1" x14ac:dyDescent="0.25">
      <c r="A1382" s="141"/>
    </row>
    <row r="1383" spans="1:1" hidden="1" x14ac:dyDescent="0.25">
      <c r="A1383" s="141"/>
    </row>
    <row r="1384" spans="1:1" hidden="1" x14ac:dyDescent="0.25">
      <c r="A1384" s="141"/>
    </row>
    <row r="1385" spans="1:1" hidden="1" x14ac:dyDescent="0.25">
      <c r="A1385" s="141"/>
    </row>
    <row r="1386" spans="1:1" hidden="1" x14ac:dyDescent="0.25">
      <c r="A1386" s="141"/>
    </row>
    <row r="1387" spans="1:1" hidden="1" x14ac:dyDescent="0.25">
      <c r="A1387" s="141"/>
    </row>
    <row r="1388" spans="1:1" hidden="1" x14ac:dyDescent="0.25">
      <c r="A1388" s="120"/>
    </row>
    <row r="1389" spans="1:1" hidden="1" x14ac:dyDescent="0.25">
      <c r="A1389" s="120"/>
    </row>
    <row r="1390" spans="1:1" hidden="1" x14ac:dyDescent="0.25">
      <c r="A1390" s="120"/>
    </row>
    <row r="1391" spans="1:1" hidden="1" x14ac:dyDescent="0.25">
      <c r="A1391" s="120"/>
    </row>
    <row r="1392" spans="1:1" hidden="1" x14ac:dyDescent="0.25">
      <c r="A1392" s="120"/>
    </row>
    <row r="1393" spans="1:1" hidden="1" x14ac:dyDescent="0.25">
      <c r="A1393" s="120"/>
    </row>
    <row r="1394" spans="1:1" hidden="1" x14ac:dyDescent="0.25">
      <c r="A1394" s="120"/>
    </row>
    <row r="1395" spans="1:1" hidden="1" x14ac:dyDescent="0.25">
      <c r="A1395" s="120"/>
    </row>
    <row r="1396" spans="1:1" hidden="1" x14ac:dyDescent="0.25">
      <c r="A1396" s="120"/>
    </row>
    <row r="1397" spans="1:1" hidden="1" x14ac:dyDescent="0.25">
      <c r="A1397" s="141"/>
    </row>
    <row r="1398" spans="1:1" hidden="1" x14ac:dyDescent="0.25">
      <c r="A1398" s="141"/>
    </row>
    <row r="1399" spans="1:1" hidden="1" x14ac:dyDescent="0.25">
      <c r="A1399" s="182"/>
    </row>
    <row r="1400" spans="1:1" hidden="1" x14ac:dyDescent="0.25">
      <c r="A1400" s="182"/>
    </row>
    <row r="1401" spans="1:1" hidden="1" x14ac:dyDescent="0.25">
      <c r="A1401" s="182"/>
    </row>
    <row r="1402" spans="1:1" hidden="1" x14ac:dyDescent="0.25">
      <c r="A1402" s="120"/>
    </row>
    <row r="1403" spans="1:1" hidden="1" x14ac:dyDescent="0.25">
      <c r="A1403" s="120"/>
    </row>
    <row r="1404" spans="1:1" hidden="1" x14ac:dyDescent="0.25">
      <c r="A1404" s="141"/>
    </row>
    <row r="1405" spans="1:1" hidden="1" x14ac:dyDescent="0.25">
      <c r="A1405" s="120"/>
    </row>
    <row r="1406" spans="1:1" hidden="1" x14ac:dyDescent="0.25">
      <c r="A1406" s="141"/>
    </row>
    <row r="1407" spans="1:1" hidden="1" x14ac:dyDescent="0.25">
      <c r="A1407" s="141"/>
    </row>
    <row r="1408" spans="1:1" hidden="1" x14ac:dyDescent="0.25">
      <c r="A1408" s="182"/>
    </row>
    <row r="1409" spans="1:1" hidden="1" x14ac:dyDescent="0.25">
      <c r="A1409" s="182"/>
    </row>
    <row r="1410" spans="1:1" hidden="1" x14ac:dyDescent="0.25">
      <c r="A1410" s="182"/>
    </row>
    <row r="1411" spans="1:1" hidden="1" x14ac:dyDescent="0.25">
      <c r="A1411" s="182"/>
    </row>
    <row r="1412" spans="1:1" hidden="1" x14ac:dyDescent="0.25">
      <c r="A1412" s="182"/>
    </row>
    <row r="1413" spans="1:1" hidden="1" x14ac:dyDescent="0.25">
      <c r="A1413" s="249"/>
    </row>
    <row r="1414" spans="1:1" hidden="1" x14ac:dyDescent="0.25">
      <c r="A1414" s="249"/>
    </row>
    <row r="1415" spans="1:1" hidden="1" x14ac:dyDescent="0.25">
      <c r="A1415" s="253"/>
    </row>
    <row r="1416" spans="1:1" hidden="1" x14ac:dyDescent="0.25">
      <c r="A1416" s="253"/>
    </row>
    <row r="1417" spans="1:1" hidden="1" x14ac:dyDescent="0.25">
      <c r="A1417" s="182"/>
    </row>
    <row r="1418" spans="1:1" hidden="1" x14ac:dyDescent="0.25">
      <c r="A1418" s="141"/>
    </row>
    <row r="1419" spans="1:1" hidden="1" x14ac:dyDescent="0.25">
      <c r="A1419" s="141"/>
    </row>
    <row r="1420" spans="1:1" hidden="1" x14ac:dyDescent="0.25">
      <c r="A1420" s="141"/>
    </row>
    <row r="1421" spans="1:1" hidden="1" x14ac:dyDescent="0.25">
      <c r="A1421" s="203"/>
    </row>
    <row r="1422" spans="1:1" hidden="1" x14ac:dyDescent="0.25">
      <c r="A1422" s="203"/>
    </row>
    <row r="1423" spans="1:1" hidden="1" x14ac:dyDescent="0.25">
      <c r="A1423" s="120"/>
    </row>
    <row r="1424" spans="1:1" hidden="1" x14ac:dyDescent="0.25">
      <c r="A1424" s="120"/>
    </row>
    <row r="1425" spans="1:1" hidden="1" x14ac:dyDescent="0.25">
      <c r="A1425" s="120"/>
    </row>
    <row r="1426" spans="1:1" hidden="1" x14ac:dyDescent="0.25">
      <c r="A1426" s="120"/>
    </row>
    <row r="1427" spans="1:1" hidden="1" x14ac:dyDescent="0.25">
      <c r="A1427" s="120"/>
    </row>
    <row r="1428" spans="1:1" hidden="1" x14ac:dyDescent="0.25">
      <c r="A1428" s="120"/>
    </row>
    <row r="1429" spans="1:1" hidden="1" x14ac:dyDescent="0.25">
      <c r="A1429" s="120"/>
    </row>
    <row r="1430" spans="1:1" hidden="1" x14ac:dyDescent="0.25">
      <c r="A1430" s="120"/>
    </row>
    <row r="1431" spans="1:1" hidden="1" x14ac:dyDescent="0.25">
      <c r="A1431" s="120"/>
    </row>
    <row r="1432" spans="1:1" hidden="1" x14ac:dyDescent="0.25">
      <c r="A1432" s="120"/>
    </row>
    <row r="1433" spans="1:1" hidden="1" x14ac:dyDescent="0.25">
      <c r="A1433" s="120"/>
    </row>
    <row r="1434" spans="1:1" hidden="1" x14ac:dyDescent="0.25">
      <c r="A1434" s="120"/>
    </row>
    <row r="1435" spans="1:1" hidden="1" x14ac:dyDescent="0.25">
      <c r="A1435" s="120"/>
    </row>
    <row r="1436" spans="1:1" hidden="1" x14ac:dyDescent="0.25">
      <c r="A1436" s="120"/>
    </row>
    <row r="1437" spans="1:1" hidden="1" x14ac:dyDescent="0.25">
      <c r="A1437" s="120"/>
    </row>
    <row r="1438" spans="1:1" hidden="1" x14ac:dyDescent="0.25">
      <c r="A1438" s="120"/>
    </row>
    <row r="1439" spans="1:1" hidden="1" x14ac:dyDescent="0.25">
      <c r="A1439" s="120"/>
    </row>
    <row r="1440" spans="1:1" hidden="1" x14ac:dyDescent="0.25">
      <c r="A1440" s="120"/>
    </row>
    <row r="1441" spans="1:1" hidden="1" x14ac:dyDescent="0.25">
      <c r="A1441" s="141"/>
    </row>
    <row r="1442" spans="1:1" hidden="1" x14ac:dyDescent="0.25">
      <c r="A1442" s="120"/>
    </row>
    <row r="1443" spans="1:1" hidden="1" x14ac:dyDescent="0.25">
      <c r="A1443" s="120"/>
    </row>
    <row r="1444" spans="1:1" hidden="1" x14ac:dyDescent="0.25">
      <c r="A1444" s="120"/>
    </row>
    <row r="1445" spans="1:1" hidden="1" x14ac:dyDescent="0.25">
      <c r="A1445" s="120"/>
    </row>
    <row r="1446" spans="1:1" hidden="1" x14ac:dyDescent="0.25">
      <c r="A1446" s="120"/>
    </row>
    <row r="1447" spans="1:1" hidden="1" x14ac:dyDescent="0.25">
      <c r="A1447" s="120"/>
    </row>
    <row r="1448" spans="1:1" hidden="1" x14ac:dyDescent="0.25">
      <c r="A1448" s="141"/>
    </row>
    <row r="1449" spans="1:1" hidden="1" x14ac:dyDescent="0.25">
      <c r="A1449" s="120"/>
    </row>
    <row r="1450" spans="1:1" hidden="1" x14ac:dyDescent="0.25">
      <c r="A1450" s="120"/>
    </row>
    <row r="1451" spans="1:1" hidden="1" x14ac:dyDescent="0.25">
      <c r="A1451" s="120"/>
    </row>
    <row r="1452" spans="1:1" hidden="1" x14ac:dyDescent="0.25">
      <c r="A1452" s="120"/>
    </row>
    <row r="1453" spans="1:1" hidden="1" x14ac:dyDescent="0.25">
      <c r="A1453" s="120"/>
    </row>
    <row r="1454" spans="1:1" hidden="1" x14ac:dyDescent="0.25">
      <c r="A1454" s="141"/>
    </row>
    <row r="1455" spans="1:1" hidden="1" x14ac:dyDescent="0.25">
      <c r="A1455" s="120"/>
    </row>
    <row r="1456" spans="1:1" hidden="1" x14ac:dyDescent="0.25">
      <c r="A1456" s="120"/>
    </row>
    <row r="1457" spans="1:1" hidden="1" x14ac:dyDescent="0.25">
      <c r="A1457" s="120"/>
    </row>
    <row r="1458" spans="1:1" hidden="1" x14ac:dyDescent="0.25">
      <c r="A1458" s="120"/>
    </row>
    <row r="1459" spans="1:1" hidden="1" x14ac:dyDescent="0.25">
      <c r="A1459" s="141"/>
    </row>
    <row r="1460" spans="1:1" hidden="1" x14ac:dyDescent="0.25">
      <c r="A1460" s="141"/>
    </row>
    <row r="1461" spans="1:1" hidden="1" x14ac:dyDescent="0.25">
      <c r="A1461" s="141"/>
    </row>
    <row r="1462" spans="1:1" hidden="1" x14ac:dyDescent="0.25">
      <c r="A1462" s="120"/>
    </row>
    <row r="1463" spans="1:1" hidden="1" x14ac:dyDescent="0.25">
      <c r="A1463" s="120"/>
    </row>
    <row r="1464" spans="1:1" hidden="1" x14ac:dyDescent="0.25">
      <c r="A1464" s="120"/>
    </row>
    <row r="1465" spans="1:1" hidden="1" x14ac:dyDescent="0.25">
      <c r="A1465" s="120"/>
    </row>
    <row r="1466" spans="1:1" hidden="1" x14ac:dyDescent="0.25">
      <c r="A1466" s="141"/>
    </row>
    <row r="1467" spans="1:1" hidden="1" x14ac:dyDescent="0.25">
      <c r="A1467" s="141"/>
    </row>
    <row r="1468" spans="1:1" hidden="1" x14ac:dyDescent="0.25">
      <c r="A1468" s="141"/>
    </row>
    <row r="1469" spans="1:1" hidden="1" x14ac:dyDescent="0.25">
      <c r="A1469" s="120"/>
    </row>
    <row r="1470" spans="1:1" hidden="1" x14ac:dyDescent="0.25">
      <c r="A1470" s="120"/>
    </row>
    <row r="1471" spans="1:1" hidden="1" x14ac:dyDescent="0.25">
      <c r="A1471" s="120"/>
    </row>
    <row r="1472" spans="1:1" hidden="1" x14ac:dyDescent="0.25">
      <c r="A1472" s="120"/>
    </row>
    <row r="1473" spans="1:1" hidden="1" x14ac:dyDescent="0.25">
      <c r="A1473" s="120"/>
    </row>
    <row r="1474" spans="1:1" hidden="1" x14ac:dyDescent="0.25">
      <c r="A1474" s="120"/>
    </row>
    <row r="1475" spans="1:1" hidden="1" x14ac:dyDescent="0.25">
      <c r="A1475" s="120"/>
    </row>
    <row r="1476" spans="1:1" hidden="1" x14ac:dyDescent="0.25">
      <c r="A1476" s="120"/>
    </row>
    <row r="1477" spans="1:1" hidden="1" x14ac:dyDescent="0.25">
      <c r="A1477" s="120"/>
    </row>
    <row r="1478" spans="1:1" hidden="1" x14ac:dyDescent="0.25">
      <c r="A1478" s="120"/>
    </row>
    <row r="1479" spans="1:1" hidden="1" x14ac:dyDescent="0.25">
      <c r="A1479" s="120"/>
    </row>
    <row r="1480" spans="1:1" hidden="1" x14ac:dyDescent="0.25">
      <c r="A1480" s="120"/>
    </row>
    <row r="1481" spans="1:1" hidden="1" x14ac:dyDescent="0.25">
      <c r="A1481" s="120"/>
    </row>
    <row r="1482" spans="1:1" hidden="1" x14ac:dyDescent="0.25">
      <c r="A1482" s="120"/>
    </row>
    <row r="1483" spans="1:1" hidden="1" x14ac:dyDescent="0.25">
      <c r="A1483" s="120"/>
    </row>
    <row r="1484" spans="1:1" hidden="1" x14ac:dyDescent="0.25">
      <c r="A1484" s="120"/>
    </row>
    <row r="1485" spans="1:1" hidden="1" x14ac:dyDescent="0.25">
      <c r="A1485" s="120"/>
    </row>
    <row r="1486" spans="1:1" hidden="1" x14ac:dyDescent="0.25">
      <c r="A1486" s="120"/>
    </row>
    <row r="1487" spans="1:1" hidden="1" x14ac:dyDescent="0.25">
      <c r="A1487" s="120"/>
    </row>
    <row r="1488" spans="1:1" hidden="1" x14ac:dyDescent="0.25">
      <c r="A1488" s="120"/>
    </row>
    <row r="1489" spans="1:1" hidden="1" x14ac:dyDescent="0.25">
      <c r="A1489" s="120"/>
    </row>
    <row r="1490" spans="1:1" hidden="1" x14ac:dyDescent="0.25">
      <c r="A1490" s="120"/>
    </row>
    <row r="1491" spans="1:1" hidden="1" x14ac:dyDescent="0.25">
      <c r="A1491" s="120"/>
    </row>
    <row r="1492" spans="1:1" hidden="1" x14ac:dyDescent="0.25">
      <c r="A1492" s="120"/>
    </row>
    <row r="1493" spans="1:1" hidden="1" x14ac:dyDescent="0.25">
      <c r="A1493" s="120"/>
    </row>
    <row r="1494" spans="1:1" hidden="1" x14ac:dyDescent="0.25">
      <c r="A1494" s="120"/>
    </row>
    <row r="1495" spans="1:1" hidden="1" x14ac:dyDescent="0.25">
      <c r="A1495" s="120"/>
    </row>
    <row r="1496" spans="1:1" hidden="1" x14ac:dyDescent="0.25">
      <c r="A1496" s="120"/>
    </row>
    <row r="1497" spans="1:1" hidden="1" x14ac:dyDescent="0.25">
      <c r="A1497" s="120"/>
    </row>
    <row r="1498" spans="1:1" hidden="1" x14ac:dyDescent="0.25">
      <c r="A1498" s="120"/>
    </row>
    <row r="1499" spans="1:1" hidden="1" x14ac:dyDescent="0.25">
      <c r="A1499" s="120"/>
    </row>
    <row r="1500" spans="1:1" hidden="1" x14ac:dyDescent="0.25">
      <c r="A1500" s="120"/>
    </row>
    <row r="1501" spans="1:1" hidden="1" x14ac:dyDescent="0.25">
      <c r="A1501" s="120"/>
    </row>
    <row r="1502" spans="1:1" hidden="1" x14ac:dyDescent="0.25">
      <c r="A1502" s="120"/>
    </row>
    <row r="1503" spans="1:1" hidden="1" x14ac:dyDescent="0.25">
      <c r="A1503" s="120"/>
    </row>
    <row r="1504" spans="1:1" hidden="1" x14ac:dyDescent="0.25">
      <c r="A1504" s="120"/>
    </row>
    <row r="1505" spans="1:1" hidden="1" x14ac:dyDescent="0.25">
      <c r="A1505" s="120"/>
    </row>
    <row r="1506" spans="1:1" hidden="1" x14ac:dyDescent="0.25">
      <c r="A1506" s="120"/>
    </row>
    <row r="1507" spans="1:1" hidden="1" x14ac:dyDescent="0.25">
      <c r="A1507" s="120"/>
    </row>
    <row r="1508" spans="1:1" hidden="1" x14ac:dyDescent="0.25">
      <c r="A1508" s="120"/>
    </row>
    <row r="1509" spans="1:1" hidden="1" x14ac:dyDescent="0.25">
      <c r="A1509" s="120"/>
    </row>
    <row r="1510" spans="1:1" hidden="1" x14ac:dyDescent="0.25">
      <c r="A1510" s="120"/>
    </row>
    <row r="1511" spans="1:1" hidden="1" x14ac:dyDescent="0.25">
      <c r="A1511" s="120"/>
    </row>
    <row r="1512" spans="1:1" hidden="1" x14ac:dyDescent="0.25">
      <c r="A1512" s="120"/>
    </row>
    <row r="1513" spans="1:1" hidden="1" x14ac:dyDescent="0.25">
      <c r="A1513" s="120"/>
    </row>
    <row r="1514" spans="1:1" hidden="1" x14ac:dyDescent="0.25">
      <c r="A1514" s="120"/>
    </row>
    <row r="1515" spans="1:1" hidden="1" x14ac:dyDescent="0.25">
      <c r="A1515" s="120"/>
    </row>
    <row r="1516" spans="1:1" hidden="1" x14ac:dyDescent="0.25">
      <c r="A1516" s="120"/>
    </row>
    <row r="1517" spans="1:1" hidden="1" x14ac:dyDescent="0.25">
      <c r="A1517" s="120"/>
    </row>
    <row r="1518" spans="1:1" hidden="1" x14ac:dyDescent="0.25">
      <c r="A1518" s="120"/>
    </row>
    <row r="1519" spans="1:1" hidden="1" x14ac:dyDescent="0.25">
      <c r="A1519" s="120"/>
    </row>
    <row r="1520" spans="1:1" hidden="1" x14ac:dyDescent="0.25">
      <c r="A1520" s="120"/>
    </row>
    <row r="1521" spans="1:1" hidden="1" x14ac:dyDescent="0.25">
      <c r="A1521" s="120"/>
    </row>
    <row r="1522" spans="1:1" hidden="1" x14ac:dyDescent="0.25">
      <c r="A1522" s="120"/>
    </row>
    <row r="1523" spans="1:1" hidden="1" x14ac:dyDescent="0.25">
      <c r="A1523" s="120"/>
    </row>
    <row r="1524" spans="1:1" hidden="1" x14ac:dyDescent="0.25">
      <c r="A1524" s="120"/>
    </row>
    <row r="1525" spans="1:1" hidden="1" x14ac:dyDescent="0.25">
      <c r="A1525" s="120"/>
    </row>
    <row r="1526" spans="1:1" hidden="1" x14ac:dyDescent="0.25">
      <c r="A1526" s="120"/>
    </row>
    <row r="1527" spans="1:1" hidden="1" x14ac:dyDescent="0.25">
      <c r="A1527" s="120"/>
    </row>
    <row r="1528" spans="1:1" hidden="1" x14ac:dyDescent="0.25">
      <c r="A1528" s="120"/>
    </row>
    <row r="1529" spans="1:1" hidden="1" x14ac:dyDescent="0.25">
      <c r="A1529" s="120"/>
    </row>
    <row r="1530" spans="1:1" hidden="1" x14ac:dyDescent="0.25">
      <c r="A1530" s="120"/>
    </row>
    <row r="1531" spans="1:1" hidden="1" x14ac:dyDescent="0.25">
      <c r="A1531" s="120"/>
    </row>
    <row r="1532" spans="1:1" hidden="1" x14ac:dyDescent="0.25">
      <c r="A1532" s="120"/>
    </row>
    <row r="1533" spans="1:1" hidden="1" x14ac:dyDescent="0.25">
      <c r="A1533" s="120"/>
    </row>
    <row r="1534" spans="1:1" hidden="1" x14ac:dyDescent="0.25">
      <c r="A1534" s="120"/>
    </row>
    <row r="1535" spans="1:1" hidden="1" x14ac:dyDescent="0.25">
      <c r="A1535" s="120"/>
    </row>
    <row r="1536" spans="1:1" hidden="1" x14ac:dyDescent="0.25">
      <c r="A1536" s="120"/>
    </row>
    <row r="1537" spans="1:1" hidden="1" x14ac:dyDescent="0.25">
      <c r="A1537" s="120"/>
    </row>
    <row r="1538" spans="1:1" hidden="1" x14ac:dyDescent="0.25">
      <c r="A1538" s="120"/>
    </row>
    <row r="1539" spans="1:1" hidden="1" x14ac:dyDescent="0.25">
      <c r="A1539" s="120"/>
    </row>
    <row r="1540" spans="1:1" hidden="1" x14ac:dyDescent="0.25">
      <c r="A1540" s="120"/>
    </row>
    <row r="1541" spans="1:1" hidden="1" x14ac:dyDescent="0.25">
      <c r="A1541" s="120"/>
    </row>
    <row r="1542" spans="1:1" hidden="1" x14ac:dyDescent="0.25">
      <c r="A1542" s="120"/>
    </row>
    <row r="1543" spans="1:1" hidden="1" x14ac:dyDescent="0.25">
      <c r="A1543" s="120"/>
    </row>
    <row r="1544" spans="1:1" hidden="1" x14ac:dyDescent="0.25">
      <c r="A1544" s="120"/>
    </row>
    <row r="1545" spans="1:1" hidden="1" x14ac:dyDescent="0.25">
      <c r="A1545" s="120"/>
    </row>
    <row r="1546" spans="1:1" hidden="1" x14ac:dyDescent="0.25">
      <c r="A1546" s="120"/>
    </row>
    <row r="1547" spans="1:1" hidden="1" x14ac:dyDescent="0.25">
      <c r="A1547" s="120"/>
    </row>
    <row r="1548" spans="1:1" hidden="1" x14ac:dyDescent="0.25">
      <c r="A1548" s="120"/>
    </row>
    <row r="1549" spans="1:1" hidden="1" x14ac:dyDescent="0.25">
      <c r="A1549" s="120"/>
    </row>
    <row r="1550" spans="1:1" hidden="1" x14ac:dyDescent="0.25">
      <c r="A1550" s="120"/>
    </row>
    <row r="1551" spans="1:1" hidden="1" x14ac:dyDescent="0.25">
      <c r="A1551" s="120"/>
    </row>
    <row r="1552" spans="1:1" hidden="1" x14ac:dyDescent="0.25">
      <c r="A1552" s="120"/>
    </row>
    <row r="1553" spans="1:1" hidden="1" x14ac:dyDescent="0.25">
      <c r="A1553" s="120"/>
    </row>
    <row r="1554" spans="1:1" hidden="1" x14ac:dyDescent="0.25">
      <c r="A1554" s="120"/>
    </row>
    <row r="1555" spans="1:1" hidden="1" x14ac:dyDescent="0.25">
      <c r="A1555" s="120"/>
    </row>
    <row r="1556" spans="1:1" hidden="1" x14ac:dyDescent="0.25">
      <c r="A1556" s="120"/>
    </row>
    <row r="1557" spans="1:1" hidden="1" x14ac:dyDescent="0.25">
      <c r="A1557" s="120"/>
    </row>
    <row r="1558" spans="1:1" hidden="1" x14ac:dyDescent="0.25">
      <c r="A1558" s="120"/>
    </row>
    <row r="1559" spans="1:1" hidden="1" x14ac:dyDescent="0.25">
      <c r="A1559" s="120"/>
    </row>
    <row r="1560" spans="1:1" hidden="1" x14ac:dyDescent="0.25">
      <c r="A1560" s="120"/>
    </row>
    <row r="1561" spans="1:1" hidden="1" x14ac:dyDescent="0.25">
      <c r="A1561" s="120"/>
    </row>
    <row r="1562" spans="1:1" hidden="1" x14ac:dyDescent="0.25">
      <c r="A1562" s="120"/>
    </row>
    <row r="1563" spans="1:1" hidden="1" x14ac:dyDescent="0.25">
      <c r="A1563" s="120"/>
    </row>
    <row r="1564" spans="1:1" hidden="1" x14ac:dyDescent="0.25">
      <c r="A1564" s="120"/>
    </row>
    <row r="1565" spans="1:1" hidden="1" x14ac:dyDescent="0.25">
      <c r="A1565" s="120"/>
    </row>
    <row r="1566" spans="1:1" hidden="1" x14ac:dyDescent="0.25">
      <c r="A1566" s="120"/>
    </row>
    <row r="1567" spans="1:1" hidden="1" x14ac:dyDescent="0.25">
      <c r="A1567" s="120"/>
    </row>
    <row r="1568" spans="1:1" hidden="1" x14ac:dyDescent="0.25">
      <c r="A1568" s="120"/>
    </row>
    <row r="1569" spans="1:1" hidden="1" x14ac:dyDescent="0.25">
      <c r="A1569" s="120"/>
    </row>
    <row r="1570" spans="1:1" hidden="1" x14ac:dyDescent="0.25">
      <c r="A1570" s="120"/>
    </row>
    <row r="1571" spans="1:1" hidden="1" x14ac:dyDescent="0.25">
      <c r="A1571" s="120"/>
    </row>
    <row r="1572" spans="1:1" hidden="1" x14ac:dyDescent="0.25">
      <c r="A1572" s="120"/>
    </row>
    <row r="1573" spans="1:1" hidden="1" x14ac:dyDescent="0.25">
      <c r="A1573" s="120"/>
    </row>
    <row r="1574" spans="1:1" hidden="1" x14ac:dyDescent="0.25">
      <c r="A1574" s="120"/>
    </row>
    <row r="1575" spans="1:1" hidden="1" x14ac:dyDescent="0.25">
      <c r="A1575" s="120"/>
    </row>
    <row r="1576" spans="1:1" hidden="1" x14ac:dyDescent="0.25">
      <c r="A1576" s="120"/>
    </row>
    <row r="1577" spans="1:1" hidden="1" x14ac:dyDescent="0.25">
      <c r="A1577" s="120"/>
    </row>
    <row r="1578" spans="1:1" hidden="1" x14ac:dyDescent="0.25">
      <c r="A1578" s="120"/>
    </row>
    <row r="1579" spans="1:1" hidden="1" x14ac:dyDescent="0.25">
      <c r="A1579" s="120"/>
    </row>
    <row r="1580" spans="1:1" hidden="1" x14ac:dyDescent="0.25">
      <c r="A1580" s="120"/>
    </row>
    <row r="1581" spans="1:1" hidden="1" x14ac:dyDescent="0.25">
      <c r="A1581" s="120"/>
    </row>
    <row r="1582" spans="1:1" hidden="1" x14ac:dyDescent="0.25">
      <c r="A1582" s="120"/>
    </row>
    <row r="1583" spans="1:1" hidden="1" x14ac:dyDescent="0.25">
      <c r="A1583" s="120"/>
    </row>
    <row r="1584" spans="1:1" hidden="1" x14ac:dyDescent="0.25">
      <c r="A1584" s="120"/>
    </row>
    <row r="1585" spans="1:1" hidden="1" x14ac:dyDescent="0.25">
      <c r="A1585" s="120"/>
    </row>
    <row r="1586" spans="1:1" hidden="1" x14ac:dyDescent="0.25">
      <c r="A1586" s="120"/>
    </row>
    <row r="1587" spans="1:1" hidden="1" x14ac:dyDescent="0.25">
      <c r="A1587" s="120"/>
    </row>
    <row r="1588" spans="1:1" hidden="1" x14ac:dyDescent="0.25">
      <c r="A1588" s="120"/>
    </row>
    <row r="1589" spans="1:1" hidden="1" x14ac:dyDescent="0.25">
      <c r="A1589" s="120"/>
    </row>
    <row r="1590" spans="1:1" hidden="1" x14ac:dyDescent="0.25">
      <c r="A1590" s="120"/>
    </row>
    <row r="1591" spans="1:1" hidden="1" x14ac:dyDescent="0.25">
      <c r="A1591" s="120"/>
    </row>
    <row r="1592" spans="1:1" hidden="1" x14ac:dyDescent="0.25">
      <c r="A1592" s="120"/>
    </row>
    <row r="1593" spans="1:1" hidden="1" x14ac:dyDescent="0.25">
      <c r="A1593" s="120"/>
    </row>
    <row r="1594" spans="1:1" hidden="1" x14ac:dyDescent="0.25">
      <c r="A1594" s="120"/>
    </row>
    <row r="1595" spans="1:1" hidden="1" x14ac:dyDescent="0.25">
      <c r="A1595" s="120"/>
    </row>
    <row r="1596" spans="1:1" hidden="1" x14ac:dyDescent="0.25">
      <c r="A1596" s="120"/>
    </row>
    <row r="1597" spans="1:1" hidden="1" x14ac:dyDescent="0.25">
      <c r="A1597" s="120"/>
    </row>
    <row r="1598" spans="1:1" hidden="1" x14ac:dyDescent="0.25">
      <c r="A1598" s="120"/>
    </row>
    <row r="1599" spans="1:1" hidden="1" x14ac:dyDescent="0.25">
      <c r="A1599" s="120"/>
    </row>
    <row r="1600" spans="1:1" hidden="1" x14ac:dyDescent="0.25">
      <c r="A1600" s="120"/>
    </row>
    <row r="1601" spans="1:1" hidden="1" x14ac:dyDescent="0.25">
      <c r="A1601" s="120"/>
    </row>
    <row r="1602" spans="1:1" hidden="1" x14ac:dyDescent="0.25">
      <c r="A1602" s="120"/>
    </row>
    <row r="1603" spans="1:1" hidden="1" x14ac:dyDescent="0.25">
      <c r="A1603" s="120"/>
    </row>
    <row r="1604" spans="1:1" hidden="1" x14ac:dyDescent="0.25">
      <c r="A1604" s="120"/>
    </row>
    <row r="1605" spans="1:1" hidden="1" x14ac:dyDescent="0.25">
      <c r="A1605" s="120"/>
    </row>
    <row r="1606" spans="1:1" hidden="1" x14ac:dyDescent="0.25">
      <c r="A1606" s="120"/>
    </row>
    <row r="1607" spans="1:1" hidden="1" x14ac:dyDescent="0.25">
      <c r="A1607" s="120"/>
    </row>
    <row r="1608" spans="1:1" hidden="1" x14ac:dyDescent="0.25">
      <c r="A1608" s="120"/>
    </row>
    <row r="1609" spans="1:1" hidden="1" x14ac:dyDescent="0.25">
      <c r="A1609" s="120"/>
    </row>
    <row r="1610" spans="1:1" hidden="1" x14ac:dyDescent="0.25">
      <c r="A1610" s="120"/>
    </row>
    <row r="1611" spans="1:1" hidden="1" x14ac:dyDescent="0.25">
      <c r="A1611" s="120"/>
    </row>
    <row r="1612" spans="1:1" hidden="1" x14ac:dyDescent="0.25">
      <c r="A1612" s="120"/>
    </row>
    <row r="1613" spans="1:1" hidden="1" x14ac:dyDescent="0.25">
      <c r="A1613" s="120"/>
    </row>
    <row r="1614" spans="1:1" hidden="1" x14ac:dyDescent="0.25">
      <c r="A1614" s="120"/>
    </row>
    <row r="1615" spans="1:1" hidden="1" x14ac:dyDescent="0.25">
      <c r="A1615" s="120"/>
    </row>
    <row r="1616" spans="1:1" hidden="1" x14ac:dyDescent="0.25">
      <c r="A1616" s="120"/>
    </row>
    <row r="1617" spans="1:1" hidden="1" x14ac:dyDescent="0.25">
      <c r="A1617" s="120"/>
    </row>
    <row r="1618" spans="1:1" hidden="1" x14ac:dyDescent="0.25">
      <c r="A1618" s="120"/>
    </row>
    <row r="1619" spans="1:1" hidden="1" x14ac:dyDescent="0.25">
      <c r="A1619" s="120"/>
    </row>
    <row r="1620" spans="1:1" hidden="1" x14ac:dyDescent="0.25">
      <c r="A1620" s="120"/>
    </row>
    <row r="1621" spans="1:1" hidden="1" x14ac:dyDescent="0.25">
      <c r="A1621" s="120"/>
    </row>
    <row r="1622" spans="1:1" hidden="1" x14ac:dyDescent="0.25">
      <c r="A1622" s="120"/>
    </row>
    <row r="1623" spans="1:1" hidden="1" x14ac:dyDescent="0.25">
      <c r="A1623" s="120"/>
    </row>
    <row r="1624" spans="1:1" hidden="1" x14ac:dyDescent="0.25">
      <c r="A1624" s="120"/>
    </row>
    <row r="1625" spans="1:1" hidden="1" x14ac:dyDescent="0.25">
      <c r="A1625" s="120"/>
    </row>
    <row r="1626" spans="1:1" hidden="1" x14ac:dyDescent="0.25">
      <c r="A1626" s="120"/>
    </row>
    <row r="1627" spans="1:1" hidden="1" x14ac:dyDescent="0.25">
      <c r="A1627" s="120"/>
    </row>
    <row r="1628" spans="1:1" hidden="1" x14ac:dyDescent="0.25">
      <c r="A1628" s="120"/>
    </row>
    <row r="1629" spans="1:1" hidden="1" x14ac:dyDescent="0.25">
      <c r="A1629" s="120"/>
    </row>
    <row r="1630" spans="1:1" hidden="1" x14ac:dyDescent="0.25">
      <c r="A1630" s="120"/>
    </row>
    <row r="1631" spans="1:1" hidden="1" x14ac:dyDescent="0.25">
      <c r="A1631" s="120"/>
    </row>
    <row r="1632" spans="1:1" hidden="1" x14ac:dyDescent="0.25">
      <c r="A1632" s="120"/>
    </row>
    <row r="1633" spans="1:1" hidden="1" x14ac:dyDescent="0.25">
      <c r="A1633" s="120"/>
    </row>
    <row r="1634" spans="1:1" hidden="1" x14ac:dyDescent="0.25">
      <c r="A1634" s="120"/>
    </row>
    <row r="1635" spans="1:1" hidden="1" x14ac:dyDescent="0.25">
      <c r="A1635" s="120"/>
    </row>
    <row r="1636" spans="1:1" hidden="1" x14ac:dyDescent="0.25">
      <c r="A1636" s="120"/>
    </row>
    <row r="1637" spans="1:1" hidden="1" x14ac:dyDescent="0.25">
      <c r="A1637" s="120"/>
    </row>
    <row r="1638" spans="1:1" hidden="1" x14ac:dyDescent="0.25">
      <c r="A1638" s="120"/>
    </row>
    <row r="1639" spans="1:1" hidden="1" x14ac:dyDescent="0.25">
      <c r="A1639" s="120"/>
    </row>
    <row r="1640" spans="1:1" hidden="1" x14ac:dyDescent="0.25">
      <c r="A1640" s="120"/>
    </row>
    <row r="1641" spans="1:1" hidden="1" x14ac:dyDescent="0.25">
      <c r="A1641" s="120"/>
    </row>
    <row r="1642" spans="1:1" hidden="1" x14ac:dyDescent="0.25">
      <c r="A1642" s="120"/>
    </row>
    <row r="1643" spans="1:1" hidden="1" x14ac:dyDescent="0.25">
      <c r="A1643" s="120"/>
    </row>
    <row r="1644" spans="1:1" hidden="1" x14ac:dyDescent="0.25">
      <c r="A1644" s="120"/>
    </row>
    <row r="1645" spans="1:1" hidden="1" x14ac:dyDescent="0.25">
      <c r="A1645" s="120"/>
    </row>
    <row r="1646" spans="1:1" hidden="1" x14ac:dyDescent="0.25">
      <c r="A1646" s="120"/>
    </row>
    <row r="1647" spans="1:1" hidden="1" x14ac:dyDescent="0.25">
      <c r="A1647" s="120"/>
    </row>
    <row r="1648" spans="1:1" hidden="1" x14ac:dyDescent="0.25">
      <c r="A1648" s="120"/>
    </row>
    <row r="1649" spans="1:1" hidden="1" x14ac:dyDescent="0.25">
      <c r="A1649" s="120"/>
    </row>
    <row r="1650" spans="1:1" hidden="1" x14ac:dyDescent="0.25">
      <c r="A1650" s="120"/>
    </row>
    <row r="1651" spans="1:1" hidden="1" x14ac:dyDescent="0.25">
      <c r="A1651" s="120"/>
    </row>
    <row r="1652" spans="1:1" hidden="1" x14ac:dyDescent="0.25">
      <c r="A1652" s="120"/>
    </row>
    <row r="1653" spans="1:1" hidden="1" x14ac:dyDescent="0.25">
      <c r="A1653" s="120"/>
    </row>
    <row r="1654" spans="1:1" hidden="1" x14ac:dyDescent="0.25">
      <c r="A1654" s="120"/>
    </row>
    <row r="1655" spans="1:1" hidden="1" x14ac:dyDescent="0.25">
      <c r="A1655" s="120"/>
    </row>
    <row r="1656" spans="1:1" hidden="1" x14ac:dyDescent="0.25">
      <c r="A1656" s="120"/>
    </row>
    <row r="1657" spans="1:1" hidden="1" x14ac:dyDescent="0.25">
      <c r="A1657" s="120"/>
    </row>
    <row r="1658" spans="1:1" hidden="1" x14ac:dyDescent="0.25">
      <c r="A1658" s="120"/>
    </row>
    <row r="1659" spans="1:1" hidden="1" x14ac:dyDescent="0.25">
      <c r="A1659" s="120"/>
    </row>
    <row r="1660" spans="1:1" hidden="1" x14ac:dyDescent="0.25">
      <c r="A1660" s="120"/>
    </row>
    <row r="1661" spans="1:1" hidden="1" x14ac:dyDescent="0.25">
      <c r="A1661" s="120"/>
    </row>
    <row r="1662" spans="1:1" hidden="1" x14ac:dyDescent="0.25">
      <c r="A1662" s="120"/>
    </row>
    <row r="1663" spans="1:1" hidden="1" x14ac:dyDescent="0.25">
      <c r="A1663" s="120"/>
    </row>
    <row r="1664" spans="1:1" hidden="1" x14ac:dyDescent="0.25">
      <c r="A1664" s="120"/>
    </row>
    <row r="1665" spans="1:1" hidden="1" x14ac:dyDescent="0.25">
      <c r="A1665" s="120"/>
    </row>
    <row r="1666" spans="1:1" hidden="1" x14ac:dyDescent="0.25">
      <c r="A1666" s="120"/>
    </row>
    <row r="1667" spans="1:1" hidden="1" x14ac:dyDescent="0.25">
      <c r="A1667" s="120"/>
    </row>
    <row r="1668" spans="1:1" hidden="1" x14ac:dyDescent="0.25">
      <c r="A1668" s="120"/>
    </row>
    <row r="1669" spans="1:1" hidden="1" x14ac:dyDescent="0.25">
      <c r="A1669" s="120"/>
    </row>
    <row r="1670" spans="1:1" hidden="1" x14ac:dyDescent="0.25">
      <c r="A1670" s="120"/>
    </row>
    <row r="1671" spans="1:1" hidden="1" x14ac:dyDescent="0.25">
      <c r="A1671" s="120"/>
    </row>
    <row r="1672" spans="1:1" hidden="1" x14ac:dyDescent="0.25">
      <c r="A1672" s="120"/>
    </row>
    <row r="1673" spans="1:1" hidden="1" x14ac:dyDescent="0.25">
      <c r="A1673" s="120"/>
    </row>
    <row r="1674" spans="1:1" hidden="1" x14ac:dyDescent="0.25">
      <c r="A1674" s="120"/>
    </row>
    <row r="1675" spans="1:1" hidden="1" x14ac:dyDescent="0.25">
      <c r="A1675" s="120"/>
    </row>
    <row r="1676" spans="1:1" hidden="1" x14ac:dyDescent="0.25">
      <c r="A1676" s="120"/>
    </row>
    <row r="1677" spans="1:1" hidden="1" x14ac:dyDescent="0.25">
      <c r="A1677" s="120"/>
    </row>
    <row r="1678" spans="1:1" hidden="1" x14ac:dyDescent="0.25">
      <c r="A1678" s="120"/>
    </row>
    <row r="1679" spans="1:1" hidden="1" x14ac:dyDescent="0.25">
      <c r="A1679" s="120"/>
    </row>
    <row r="1680" spans="1:1" hidden="1" x14ac:dyDescent="0.25">
      <c r="A1680" s="120"/>
    </row>
    <row r="1681" spans="1:1" hidden="1" x14ac:dyDescent="0.25">
      <c r="A1681" s="120"/>
    </row>
    <row r="1682" spans="1:1" hidden="1" x14ac:dyDescent="0.25">
      <c r="A1682" s="120"/>
    </row>
    <row r="1683" spans="1:1" hidden="1" x14ac:dyDescent="0.25">
      <c r="A1683" s="120"/>
    </row>
    <row r="1684" spans="1:1" hidden="1" x14ac:dyDescent="0.25">
      <c r="A1684" s="120"/>
    </row>
    <row r="1685" spans="1:1" hidden="1" x14ac:dyDescent="0.25">
      <c r="A1685" s="120"/>
    </row>
    <row r="1686" spans="1:1" hidden="1" x14ac:dyDescent="0.25">
      <c r="A1686" s="120"/>
    </row>
    <row r="1687" spans="1:1" hidden="1" x14ac:dyDescent="0.25">
      <c r="A1687" s="120"/>
    </row>
    <row r="1688" spans="1:1" hidden="1" x14ac:dyDescent="0.25">
      <c r="A1688" s="120"/>
    </row>
    <row r="1689" spans="1:1" hidden="1" x14ac:dyDescent="0.25">
      <c r="A1689" s="120"/>
    </row>
    <row r="1690" spans="1:1" hidden="1" x14ac:dyDescent="0.25">
      <c r="A1690" s="120"/>
    </row>
    <row r="1691" spans="1:1" hidden="1" x14ac:dyDescent="0.25">
      <c r="A1691" s="120"/>
    </row>
    <row r="1692" spans="1:1" hidden="1" x14ac:dyDescent="0.25">
      <c r="A1692" s="120"/>
    </row>
    <row r="1693" spans="1:1" hidden="1" x14ac:dyDescent="0.25">
      <c r="A1693" s="120"/>
    </row>
    <row r="1694" spans="1:1" hidden="1" x14ac:dyDescent="0.25">
      <c r="A1694" s="120"/>
    </row>
    <row r="1695" spans="1:1" hidden="1" x14ac:dyDescent="0.25">
      <c r="A1695" s="120"/>
    </row>
    <row r="1696" spans="1:1" hidden="1" x14ac:dyDescent="0.25">
      <c r="A1696" s="120"/>
    </row>
    <row r="1697" spans="1:1" hidden="1" x14ac:dyDescent="0.25">
      <c r="A1697" s="120"/>
    </row>
    <row r="1698" spans="1:1" hidden="1" x14ac:dyDescent="0.25">
      <c r="A1698" s="120"/>
    </row>
    <row r="1699" spans="1:1" hidden="1" x14ac:dyDescent="0.25">
      <c r="A1699" s="120"/>
    </row>
    <row r="1700" spans="1:1" hidden="1" x14ac:dyDescent="0.25">
      <c r="A1700" s="120"/>
    </row>
    <row r="1701" spans="1:1" hidden="1" x14ac:dyDescent="0.25">
      <c r="A1701" s="120"/>
    </row>
    <row r="1702" spans="1:1" hidden="1" x14ac:dyDescent="0.25">
      <c r="A1702" s="120"/>
    </row>
    <row r="1703" spans="1:1" hidden="1" x14ac:dyDescent="0.25">
      <c r="A1703" s="120"/>
    </row>
    <row r="1704" spans="1:1" hidden="1" x14ac:dyDescent="0.25">
      <c r="A1704" s="120"/>
    </row>
    <row r="1705" spans="1:1" hidden="1" x14ac:dyDescent="0.25">
      <c r="A1705" s="120"/>
    </row>
    <row r="1706" spans="1:1" hidden="1" x14ac:dyDescent="0.25">
      <c r="A1706" s="120"/>
    </row>
    <row r="1707" spans="1:1" hidden="1" x14ac:dyDescent="0.25">
      <c r="A1707" s="120"/>
    </row>
    <row r="1708" spans="1:1" hidden="1" x14ac:dyDescent="0.25">
      <c r="A1708" s="120"/>
    </row>
    <row r="1709" spans="1:1" hidden="1" x14ac:dyDescent="0.25">
      <c r="A1709" s="120"/>
    </row>
    <row r="1710" spans="1:1" hidden="1" x14ac:dyDescent="0.25">
      <c r="A1710" s="120"/>
    </row>
    <row r="1711" spans="1:1" hidden="1" x14ac:dyDescent="0.25">
      <c r="A1711" s="120"/>
    </row>
    <row r="1712" spans="1:1" hidden="1" x14ac:dyDescent="0.25">
      <c r="A1712" s="120"/>
    </row>
    <row r="1713" spans="1:1" hidden="1" x14ac:dyDescent="0.25">
      <c r="A1713" s="120"/>
    </row>
    <row r="1714" spans="1:1" hidden="1" x14ac:dyDescent="0.25">
      <c r="A1714" s="120"/>
    </row>
    <row r="1715" spans="1:1" hidden="1" x14ac:dyDescent="0.25">
      <c r="A1715" s="120"/>
    </row>
    <row r="1716" spans="1:1" hidden="1" x14ac:dyDescent="0.25">
      <c r="A1716" s="120"/>
    </row>
    <row r="1717" spans="1:1" hidden="1" x14ac:dyDescent="0.25">
      <c r="A1717" s="120"/>
    </row>
    <row r="1718" spans="1:1" hidden="1" x14ac:dyDescent="0.25">
      <c r="A1718" s="120"/>
    </row>
    <row r="1719" spans="1:1" hidden="1" x14ac:dyDescent="0.25">
      <c r="A1719" s="120"/>
    </row>
    <row r="1720" spans="1:1" hidden="1" x14ac:dyDescent="0.25">
      <c r="A1720" s="120"/>
    </row>
    <row r="1721" spans="1:1" hidden="1" x14ac:dyDescent="0.25">
      <c r="A1721" s="120"/>
    </row>
    <row r="1722" spans="1:1" hidden="1" x14ac:dyDescent="0.25">
      <c r="A1722" s="120"/>
    </row>
    <row r="1723" spans="1:1" hidden="1" x14ac:dyDescent="0.25">
      <c r="A1723" s="120"/>
    </row>
    <row r="1724" spans="1:1" hidden="1" x14ac:dyDescent="0.25">
      <c r="A1724" s="120"/>
    </row>
    <row r="1725" spans="1:1" hidden="1" x14ac:dyDescent="0.25">
      <c r="A1725" s="120"/>
    </row>
    <row r="1726" spans="1:1" hidden="1" x14ac:dyDescent="0.25">
      <c r="A1726" s="120"/>
    </row>
    <row r="1727" spans="1:1" hidden="1" x14ac:dyDescent="0.25">
      <c r="A1727" s="120"/>
    </row>
    <row r="1728" spans="1:1" hidden="1" x14ac:dyDescent="0.25">
      <c r="A1728" s="120"/>
    </row>
    <row r="1729" spans="1:1" hidden="1" x14ac:dyDescent="0.25">
      <c r="A1729" s="120"/>
    </row>
    <row r="1730" spans="1:1" hidden="1" x14ac:dyDescent="0.25">
      <c r="A1730" s="120"/>
    </row>
    <row r="1731" spans="1:1" hidden="1" x14ac:dyDescent="0.25">
      <c r="A1731" s="120"/>
    </row>
    <row r="1732" spans="1:1" hidden="1" x14ac:dyDescent="0.25">
      <c r="A1732" s="120"/>
    </row>
    <row r="1733" spans="1:1" hidden="1" x14ac:dyDescent="0.25">
      <c r="A1733" s="120"/>
    </row>
    <row r="1734" spans="1:1" hidden="1" x14ac:dyDescent="0.25">
      <c r="A1734" s="120"/>
    </row>
    <row r="1735" spans="1:1" hidden="1" x14ac:dyDescent="0.25">
      <c r="A1735" s="120"/>
    </row>
    <row r="1736" spans="1:1" hidden="1" x14ac:dyDescent="0.25">
      <c r="A1736" s="120"/>
    </row>
    <row r="1737" spans="1:1" hidden="1" x14ac:dyDescent="0.25">
      <c r="A1737" s="120"/>
    </row>
    <row r="1738" spans="1:1" hidden="1" x14ac:dyDescent="0.25">
      <c r="A1738" s="120"/>
    </row>
    <row r="1739" spans="1:1" hidden="1" x14ac:dyDescent="0.25">
      <c r="A1739" s="120"/>
    </row>
    <row r="1740" spans="1:1" hidden="1" x14ac:dyDescent="0.25">
      <c r="A1740" s="120"/>
    </row>
    <row r="1741" spans="1:1" hidden="1" x14ac:dyDescent="0.25">
      <c r="A1741" s="120"/>
    </row>
    <row r="1742" spans="1:1" hidden="1" x14ac:dyDescent="0.25">
      <c r="A1742" s="120"/>
    </row>
    <row r="1743" spans="1:1" hidden="1" x14ac:dyDescent="0.25">
      <c r="A1743" s="120"/>
    </row>
    <row r="1744" spans="1:1" hidden="1" x14ac:dyDescent="0.25">
      <c r="A1744" s="120"/>
    </row>
    <row r="1745" spans="1:1" hidden="1" x14ac:dyDescent="0.25">
      <c r="A1745" s="120"/>
    </row>
    <row r="1746" spans="1:1" hidden="1" x14ac:dyDescent="0.25">
      <c r="A1746" s="120"/>
    </row>
    <row r="1747" spans="1:1" hidden="1" x14ac:dyDescent="0.25">
      <c r="A1747" s="120"/>
    </row>
    <row r="1748" spans="1:1" hidden="1" x14ac:dyDescent="0.25">
      <c r="A1748" s="120"/>
    </row>
    <row r="1749" spans="1:1" hidden="1" x14ac:dyDescent="0.25">
      <c r="A1749" s="120"/>
    </row>
    <row r="1750" spans="1:1" hidden="1" x14ac:dyDescent="0.25">
      <c r="A1750" s="120"/>
    </row>
    <row r="1751" spans="1:1" hidden="1" x14ac:dyDescent="0.25">
      <c r="A1751" s="120"/>
    </row>
    <row r="1752" spans="1:1" hidden="1" x14ac:dyDescent="0.25">
      <c r="A1752" s="120"/>
    </row>
    <row r="1753" spans="1:1" hidden="1" x14ac:dyDescent="0.25">
      <c r="A1753" s="120"/>
    </row>
    <row r="1754" spans="1:1" hidden="1" x14ac:dyDescent="0.25">
      <c r="A1754" s="120"/>
    </row>
    <row r="1755" spans="1:1" hidden="1" x14ac:dyDescent="0.25">
      <c r="A1755" s="120"/>
    </row>
    <row r="1756" spans="1:1" hidden="1" x14ac:dyDescent="0.25">
      <c r="A1756" s="120"/>
    </row>
    <row r="1757" spans="1:1" hidden="1" x14ac:dyDescent="0.25">
      <c r="A1757" s="120"/>
    </row>
    <row r="1758" spans="1:1" hidden="1" x14ac:dyDescent="0.25">
      <c r="A1758" s="120"/>
    </row>
    <row r="1759" spans="1:1" hidden="1" x14ac:dyDescent="0.25">
      <c r="A1759" s="120"/>
    </row>
    <row r="1760" spans="1:1" hidden="1" x14ac:dyDescent="0.25">
      <c r="A1760" s="120"/>
    </row>
    <row r="1761" spans="1:1" hidden="1" x14ac:dyDescent="0.25">
      <c r="A1761" s="120"/>
    </row>
    <row r="1762" spans="1:1" hidden="1" x14ac:dyDescent="0.25">
      <c r="A1762" s="120"/>
    </row>
    <row r="1763" spans="1:1" hidden="1" x14ac:dyDescent="0.25">
      <c r="A1763" s="120"/>
    </row>
    <row r="1764" spans="1:1" hidden="1" x14ac:dyDescent="0.25">
      <c r="A1764" s="120"/>
    </row>
    <row r="1765" spans="1:1" hidden="1" x14ac:dyDescent="0.25">
      <c r="A1765" s="120"/>
    </row>
    <row r="1766" spans="1:1" hidden="1" x14ac:dyDescent="0.25">
      <c r="A1766" s="120"/>
    </row>
    <row r="1767" spans="1:1" hidden="1" x14ac:dyDescent="0.25">
      <c r="A1767" s="120"/>
    </row>
    <row r="1768" spans="1:1" hidden="1" x14ac:dyDescent="0.25">
      <c r="A1768" s="120"/>
    </row>
    <row r="1769" spans="1:1" hidden="1" x14ac:dyDescent="0.25">
      <c r="A1769" s="120"/>
    </row>
    <row r="1770" spans="1:1" hidden="1" x14ac:dyDescent="0.25">
      <c r="A1770" s="120"/>
    </row>
    <row r="1771" spans="1:1" hidden="1" x14ac:dyDescent="0.25">
      <c r="A1771" s="120"/>
    </row>
    <row r="1772" spans="1:1" hidden="1" x14ac:dyDescent="0.25">
      <c r="A1772" s="120"/>
    </row>
    <row r="1773" spans="1:1" hidden="1" x14ac:dyDescent="0.25">
      <c r="A1773" s="120"/>
    </row>
    <row r="1774" spans="1:1" hidden="1" x14ac:dyDescent="0.25">
      <c r="A1774" s="120"/>
    </row>
    <row r="1775" spans="1:1" hidden="1" x14ac:dyDescent="0.25">
      <c r="A1775" s="120"/>
    </row>
    <row r="1776" spans="1:1" hidden="1" x14ac:dyDescent="0.25">
      <c r="A1776" s="120"/>
    </row>
    <row r="1777" spans="1:1" hidden="1" x14ac:dyDescent="0.25">
      <c r="A1777" s="120"/>
    </row>
    <row r="1778" spans="1:1" hidden="1" x14ac:dyDescent="0.25">
      <c r="A1778" s="120"/>
    </row>
    <row r="1779" spans="1:1" hidden="1" x14ac:dyDescent="0.25">
      <c r="A1779" s="120"/>
    </row>
    <row r="1780" spans="1:1" hidden="1" x14ac:dyDescent="0.25">
      <c r="A1780" s="120"/>
    </row>
    <row r="1781" spans="1:1" hidden="1" x14ac:dyDescent="0.25">
      <c r="A1781" s="120"/>
    </row>
    <row r="1782" spans="1:1" hidden="1" x14ac:dyDescent="0.25">
      <c r="A1782" s="120"/>
    </row>
    <row r="1783" spans="1:1" hidden="1" x14ac:dyDescent="0.25">
      <c r="A1783" s="120"/>
    </row>
    <row r="1784" spans="1:1" hidden="1" x14ac:dyDescent="0.25">
      <c r="A1784" s="120"/>
    </row>
    <row r="1785" spans="1:1" hidden="1" x14ac:dyDescent="0.25">
      <c r="A1785" s="120"/>
    </row>
    <row r="1786" spans="1:1" hidden="1" x14ac:dyDescent="0.25">
      <c r="A1786" s="120"/>
    </row>
    <row r="1787" spans="1:1" hidden="1" x14ac:dyDescent="0.25">
      <c r="A1787" s="120"/>
    </row>
    <row r="1788" spans="1:1" hidden="1" x14ac:dyDescent="0.25">
      <c r="A1788" s="120"/>
    </row>
    <row r="1789" spans="1:1" hidden="1" x14ac:dyDescent="0.25">
      <c r="A1789" s="120"/>
    </row>
    <row r="1790" spans="1:1" hidden="1" x14ac:dyDescent="0.25">
      <c r="A1790" s="120"/>
    </row>
    <row r="1791" spans="1:1" hidden="1" x14ac:dyDescent="0.25">
      <c r="A1791" s="120"/>
    </row>
    <row r="1792" spans="1:1" hidden="1" x14ac:dyDescent="0.25">
      <c r="A1792" s="120"/>
    </row>
    <row r="1793" spans="1:1" hidden="1" x14ac:dyDescent="0.25">
      <c r="A1793" s="120"/>
    </row>
    <row r="1794" spans="1:1" hidden="1" x14ac:dyDescent="0.25">
      <c r="A1794" s="120"/>
    </row>
    <row r="1795" spans="1:1" hidden="1" x14ac:dyDescent="0.25">
      <c r="A1795" s="120"/>
    </row>
    <row r="1796" spans="1:1" hidden="1" x14ac:dyDescent="0.25">
      <c r="A1796" s="120"/>
    </row>
    <row r="1797" spans="1:1" hidden="1" x14ac:dyDescent="0.25">
      <c r="A1797" s="120"/>
    </row>
    <row r="1798" spans="1:1" hidden="1" x14ac:dyDescent="0.25">
      <c r="A1798" s="120"/>
    </row>
    <row r="1799" spans="1:1" hidden="1" x14ac:dyDescent="0.25">
      <c r="A1799" s="120"/>
    </row>
    <row r="1800" spans="1:1" hidden="1" x14ac:dyDescent="0.25">
      <c r="A1800" s="120"/>
    </row>
    <row r="1801" spans="1:1" hidden="1" x14ac:dyDescent="0.25">
      <c r="A1801" s="120"/>
    </row>
    <row r="1802" spans="1:1" hidden="1" x14ac:dyDescent="0.25">
      <c r="A1802" s="120"/>
    </row>
    <row r="1803" spans="1:1" hidden="1" x14ac:dyDescent="0.25">
      <c r="A1803" s="120"/>
    </row>
    <row r="1804" spans="1:1" hidden="1" x14ac:dyDescent="0.25">
      <c r="A1804" s="120"/>
    </row>
    <row r="1805" spans="1:1" hidden="1" x14ac:dyDescent="0.25">
      <c r="A1805" s="120"/>
    </row>
    <row r="1806" spans="1:1" hidden="1" x14ac:dyDescent="0.25">
      <c r="A1806" s="120"/>
    </row>
    <row r="1807" spans="1:1" hidden="1" x14ac:dyDescent="0.25">
      <c r="A1807" s="120"/>
    </row>
    <row r="1808" spans="1:1" hidden="1" x14ac:dyDescent="0.25">
      <c r="A1808" s="120"/>
    </row>
    <row r="1809" spans="1:1" hidden="1" x14ac:dyDescent="0.25">
      <c r="A1809" s="120"/>
    </row>
    <row r="1810" spans="1:1" hidden="1" x14ac:dyDescent="0.25">
      <c r="A1810" s="120"/>
    </row>
    <row r="1811" spans="1:1" hidden="1" x14ac:dyDescent="0.25">
      <c r="A1811" s="120"/>
    </row>
    <row r="1812" spans="1:1" hidden="1" x14ac:dyDescent="0.25">
      <c r="A1812" s="120"/>
    </row>
    <row r="1813" spans="1:1" hidden="1" x14ac:dyDescent="0.25">
      <c r="A1813" s="120"/>
    </row>
    <row r="1814" spans="1:1" hidden="1" x14ac:dyDescent="0.25">
      <c r="A1814" s="120"/>
    </row>
    <row r="1815" spans="1:1" hidden="1" x14ac:dyDescent="0.25">
      <c r="A1815" s="120"/>
    </row>
    <row r="1816" spans="1:1" hidden="1" x14ac:dyDescent="0.25">
      <c r="A1816" s="120"/>
    </row>
    <row r="1817" spans="1:1" hidden="1" x14ac:dyDescent="0.25">
      <c r="A1817" s="120"/>
    </row>
    <row r="1818" spans="1:1" hidden="1" x14ac:dyDescent="0.25">
      <c r="A1818" s="120"/>
    </row>
    <row r="1819" spans="1:1" hidden="1" x14ac:dyDescent="0.25">
      <c r="A1819" s="120"/>
    </row>
    <row r="1820" spans="1:1" hidden="1" x14ac:dyDescent="0.25">
      <c r="A1820" s="120"/>
    </row>
    <row r="1821" spans="1:1" hidden="1" x14ac:dyDescent="0.25">
      <c r="A1821" s="120"/>
    </row>
    <row r="1822" spans="1:1" hidden="1" x14ac:dyDescent="0.25">
      <c r="A1822" s="120"/>
    </row>
    <row r="1823" spans="1:1" hidden="1" x14ac:dyDescent="0.25">
      <c r="A1823" s="120"/>
    </row>
    <row r="1824" spans="1:1" hidden="1" x14ac:dyDescent="0.25">
      <c r="A1824" s="120"/>
    </row>
    <row r="1825" spans="1:1" hidden="1" x14ac:dyDescent="0.25">
      <c r="A1825" s="120"/>
    </row>
    <row r="1826" spans="1:1" hidden="1" x14ac:dyDescent="0.25">
      <c r="A1826" s="120"/>
    </row>
    <row r="1827" spans="1:1" hidden="1" x14ac:dyDescent="0.25">
      <c r="A1827" s="120"/>
    </row>
    <row r="1828" spans="1:1" hidden="1" x14ac:dyDescent="0.25">
      <c r="A1828" s="120"/>
    </row>
    <row r="1829" spans="1:1" hidden="1" x14ac:dyDescent="0.25">
      <c r="A1829" s="120"/>
    </row>
    <row r="1830" spans="1:1" hidden="1" x14ac:dyDescent="0.25">
      <c r="A1830" s="120"/>
    </row>
    <row r="1831" spans="1:1" hidden="1" x14ac:dyDescent="0.25">
      <c r="A1831" s="120"/>
    </row>
    <row r="1832" spans="1:1" hidden="1" x14ac:dyDescent="0.25">
      <c r="A1832" s="120"/>
    </row>
    <row r="1833" spans="1:1" hidden="1" x14ac:dyDescent="0.25">
      <c r="A1833" s="120"/>
    </row>
    <row r="1834" spans="1:1" hidden="1" x14ac:dyDescent="0.25">
      <c r="A1834" s="120"/>
    </row>
    <row r="1835" spans="1:1" hidden="1" x14ac:dyDescent="0.25">
      <c r="A1835" s="120"/>
    </row>
    <row r="1836" spans="1:1" hidden="1" x14ac:dyDescent="0.25">
      <c r="A1836" s="120"/>
    </row>
    <row r="1837" spans="1:1" hidden="1" x14ac:dyDescent="0.25">
      <c r="A1837" s="120"/>
    </row>
    <row r="1838" spans="1:1" hidden="1" x14ac:dyDescent="0.25">
      <c r="A1838" s="120"/>
    </row>
    <row r="1839" spans="1:1" hidden="1" x14ac:dyDescent="0.25">
      <c r="A1839" s="120"/>
    </row>
    <row r="1840" spans="1:1" hidden="1" x14ac:dyDescent="0.25">
      <c r="A1840" s="120"/>
    </row>
    <row r="1841" spans="1:1" hidden="1" x14ac:dyDescent="0.25">
      <c r="A1841" s="120"/>
    </row>
    <row r="1842" spans="1:1" hidden="1" x14ac:dyDescent="0.25">
      <c r="A1842" s="120"/>
    </row>
    <row r="1843" spans="1:1" hidden="1" x14ac:dyDescent="0.25">
      <c r="A1843" s="120"/>
    </row>
    <row r="1844" spans="1:1" hidden="1" x14ac:dyDescent="0.25">
      <c r="A1844" s="120"/>
    </row>
    <row r="1845" spans="1:1" hidden="1" x14ac:dyDescent="0.25">
      <c r="A1845" s="120"/>
    </row>
    <row r="1846" spans="1:1" hidden="1" x14ac:dyDescent="0.25">
      <c r="A1846" s="120"/>
    </row>
    <row r="1847" spans="1:1" hidden="1" x14ac:dyDescent="0.25">
      <c r="A1847" s="120"/>
    </row>
    <row r="1848" spans="1:1" hidden="1" x14ac:dyDescent="0.25">
      <c r="A1848" s="120"/>
    </row>
    <row r="1849" spans="1:1" hidden="1" x14ac:dyDescent="0.25">
      <c r="A1849" s="120"/>
    </row>
    <row r="1850" spans="1:1" hidden="1" x14ac:dyDescent="0.25">
      <c r="A1850" s="120"/>
    </row>
    <row r="1851" spans="1:1" hidden="1" x14ac:dyDescent="0.25">
      <c r="A1851" s="120"/>
    </row>
    <row r="1852" spans="1:1" hidden="1" x14ac:dyDescent="0.25">
      <c r="A1852" s="120"/>
    </row>
    <row r="1853" spans="1:1" hidden="1" x14ac:dyDescent="0.25">
      <c r="A1853" s="120"/>
    </row>
    <row r="1854" spans="1:1" hidden="1" x14ac:dyDescent="0.25">
      <c r="A1854" s="120"/>
    </row>
    <row r="1855" spans="1:1" hidden="1" x14ac:dyDescent="0.25">
      <c r="A1855" s="120"/>
    </row>
    <row r="1856" spans="1:1" hidden="1" x14ac:dyDescent="0.25">
      <c r="A1856" s="120"/>
    </row>
    <row r="1857" spans="1:1" hidden="1" x14ac:dyDescent="0.25">
      <c r="A1857" s="120"/>
    </row>
    <row r="1858" spans="1:1" hidden="1" x14ac:dyDescent="0.25">
      <c r="A1858" s="120"/>
    </row>
    <row r="1859" spans="1:1" hidden="1" x14ac:dyDescent="0.25">
      <c r="A1859" s="120"/>
    </row>
    <row r="1860" spans="1:1" hidden="1" x14ac:dyDescent="0.25">
      <c r="A1860" s="120"/>
    </row>
    <row r="1861" spans="1:1" hidden="1" x14ac:dyDescent="0.25">
      <c r="A1861" s="120"/>
    </row>
    <row r="1862" spans="1:1" hidden="1" x14ac:dyDescent="0.25">
      <c r="A1862" s="120"/>
    </row>
    <row r="1863" spans="1:1" hidden="1" x14ac:dyDescent="0.25">
      <c r="A1863" s="120"/>
    </row>
    <row r="1864" spans="1:1" hidden="1" x14ac:dyDescent="0.25">
      <c r="A1864" s="120"/>
    </row>
    <row r="1865" spans="1:1" hidden="1" x14ac:dyDescent="0.25">
      <c r="A1865" s="120"/>
    </row>
    <row r="1866" spans="1:1" hidden="1" x14ac:dyDescent="0.25">
      <c r="A1866" s="120"/>
    </row>
    <row r="1867" spans="1:1" hidden="1" x14ac:dyDescent="0.25">
      <c r="A1867" s="120"/>
    </row>
    <row r="1868" spans="1:1" hidden="1" x14ac:dyDescent="0.25">
      <c r="A1868" s="120"/>
    </row>
    <row r="1869" spans="1:1" hidden="1" x14ac:dyDescent="0.25">
      <c r="A1869" s="120"/>
    </row>
    <row r="1870" spans="1:1" hidden="1" x14ac:dyDescent="0.25">
      <c r="A1870" s="120"/>
    </row>
    <row r="1871" spans="1:1" hidden="1" x14ac:dyDescent="0.25">
      <c r="A1871" s="120"/>
    </row>
    <row r="1872" spans="1:1" hidden="1" x14ac:dyDescent="0.25">
      <c r="A1872" s="120"/>
    </row>
    <row r="1873" spans="1:1" hidden="1" x14ac:dyDescent="0.25">
      <c r="A1873" s="120"/>
    </row>
    <row r="1874" spans="1:1" hidden="1" x14ac:dyDescent="0.25">
      <c r="A1874" s="120"/>
    </row>
    <row r="1875" spans="1:1" hidden="1" x14ac:dyDescent="0.25">
      <c r="A1875" s="120"/>
    </row>
    <row r="1876" spans="1:1" hidden="1" x14ac:dyDescent="0.25">
      <c r="A1876" s="120"/>
    </row>
    <row r="1877" spans="1:1" hidden="1" x14ac:dyDescent="0.25">
      <c r="A1877" s="120"/>
    </row>
    <row r="1878" spans="1:1" hidden="1" x14ac:dyDescent="0.25">
      <c r="A1878" s="120"/>
    </row>
    <row r="1879" spans="1:1" hidden="1" x14ac:dyDescent="0.25">
      <c r="A1879" s="120"/>
    </row>
    <row r="1880" spans="1:1" hidden="1" x14ac:dyDescent="0.25">
      <c r="A1880" s="120"/>
    </row>
    <row r="1881" spans="1:1" hidden="1" x14ac:dyDescent="0.25">
      <c r="A1881" s="120"/>
    </row>
    <row r="1882" spans="1:1" hidden="1" x14ac:dyDescent="0.25">
      <c r="A1882" s="120"/>
    </row>
    <row r="1883" spans="1:1" hidden="1" x14ac:dyDescent="0.25">
      <c r="A1883" s="120"/>
    </row>
    <row r="1884" spans="1:1" hidden="1" x14ac:dyDescent="0.25">
      <c r="A1884" s="120"/>
    </row>
    <row r="1885" spans="1:1" hidden="1" x14ac:dyDescent="0.25">
      <c r="A1885" s="120"/>
    </row>
    <row r="1886" spans="1:1" hidden="1" x14ac:dyDescent="0.25">
      <c r="A1886" s="120"/>
    </row>
    <row r="1887" spans="1:1" hidden="1" x14ac:dyDescent="0.25">
      <c r="A1887" s="120"/>
    </row>
    <row r="1888" spans="1:1" hidden="1" x14ac:dyDescent="0.25">
      <c r="A1888" s="120"/>
    </row>
    <row r="1889" spans="1:1" hidden="1" x14ac:dyDescent="0.25">
      <c r="A1889" s="120"/>
    </row>
    <row r="1890" spans="1:1" hidden="1" x14ac:dyDescent="0.25">
      <c r="A1890" s="120"/>
    </row>
    <row r="1891" spans="1:1" hidden="1" x14ac:dyDescent="0.25">
      <c r="A1891" s="120"/>
    </row>
    <row r="1892" spans="1:1" hidden="1" x14ac:dyDescent="0.25">
      <c r="A1892" s="120"/>
    </row>
    <row r="1893" spans="1:1" hidden="1" x14ac:dyDescent="0.25">
      <c r="A1893" s="120"/>
    </row>
    <row r="1894" spans="1:1" hidden="1" x14ac:dyDescent="0.25">
      <c r="A1894" s="120"/>
    </row>
    <row r="1895" spans="1:1" hidden="1" x14ac:dyDescent="0.25">
      <c r="A1895" s="120"/>
    </row>
    <row r="1896" spans="1:1" x14ac:dyDescent="0.25">
      <c r="A1896" s="127"/>
    </row>
    <row r="1897" spans="1:1" x14ac:dyDescent="0.25">
      <c r="A1897" s="127"/>
    </row>
    <row r="1898" spans="1:1" x14ac:dyDescent="0.25">
      <c r="A1898" s="127"/>
    </row>
  </sheetData>
  <autoFilter ref="A1:A1895" xr:uid="{00000000-0009-0000-0000-000005000000}">
    <filterColumn colId="0">
      <filters>
        <filter val="1"/>
        <filter val="1.000"/>
        <filter val="1.100"/>
        <filter val="1.200"/>
        <filter val="1.500"/>
        <filter val="10.000"/>
        <filter val="10.500"/>
        <filter val="1000 túi/thùng"/>
        <filter val="1000m"/>
        <filter val="1000t"/>
        <filter val="11.000"/>
        <filter val="110"/>
        <filter val="12.000"/>
        <filter val="15.000"/>
        <filter val="1500m"/>
        <filter val="16.800"/>
        <filter val="1659m"/>
        <filter val="17.000"/>
        <filter val="18.000"/>
        <filter val="1c"/>
        <filter val="1c ( 2030m)/cây"/>
        <filter val="1c./cây"/>
        <filter val="1c.cây"/>
        <filter val="1c/cây"/>
        <filter val="2 cuộn"/>
        <filter val="2.000"/>
        <filter val="2.030"/>
        <filter val="2.500"/>
        <filter val="2.700"/>
        <filter val="20.000"/>
        <filter val="24.000"/>
        <filter val="25.000"/>
        <filter val="2500 túi/thùng"/>
        <filter val="2500(&lt;25kg/1 thùng)"/>
        <filter val="28.800"/>
        <filter val="2c"/>
        <filter val="2c/cây"/>
        <filter val="2c/thùng"/>
        <filter val="3.000"/>
        <filter val="3.500"/>
        <filter val="3000m"/>
        <filter val="3500 túi"/>
        <filter val="3500 túi/thùng"/>
        <filter val="3c"/>
        <filter val="3c/cây"/>
        <filter val="4.000"/>
        <filter val="4.500"/>
        <filter val="4.800"/>
        <filter val="4000t"/>
        <filter val="4c"/>
        <filter val="4c/cây"/>
        <filter val="5.000"/>
        <filter val="500m"/>
        <filter val="5c"/>
        <filter val="6.000"/>
        <filter val="6.500"/>
        <filter val="6000m"/>
        <filter val="6c"/>
        <filter val="7.000"/>
        <filter val="700m"/>
        <filter val="76.000"/>
        <filter val="8.000"/>
        <filter val="800"/>
        <filter val="9.000"/>
        <filter val="900"/>
        <filter val="cuộn"/>
        <filter val="cuộn 700m"/>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Full SP</vt:lpstr>
      <vt:lpstr>Khách</vt:lpstr>
      <vt:lpstr>QC Thành phẩm</vt:lpstr>
      <vt:lpstr>QC Loại thùng</vt:lpstr>
      <vt:lpstr>QC đóng gói</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2015-06-05T18:17:20Z</dcterms:created>
  <dcterms:modified xsi:type="dcterms:W3CDTF">2022-10-17T04:43:06Z</dcterms:modified>
</cp:coreProperties>
</file>